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4.xml" ContentType="application/vnd.openxmlformats-officedocument.spreadsheetml.comments+xml"/>
  <Override PartName="/xl/charts/chart1.xml" ContentType="application/vnd.openxmlformats-officedocument.drawingml.chart+xml"/>
  <Override PartName="/xl/drawings/drawing6.xml" ContentType="application/vnd.openxmlformats-officedocument.drawing+xml"/>
  <Override PartName="/xl/drawings/drawing7.xml" ContentType="application/vnd.openxmlformats-officedocument.drawing+xml"/>
  <Override PartName="/xl/ctrlProps/ctrlProp12.xml" ContentType="application/vnd.ms-excel.controlproperties+xml"/>
  <Override PartName="/xl/ctrlProps/ctrlProp13.xml" ContentType="application/vnd.ms-excel.controlproperties+xml"/>
  <Override PartName="/xl/charts/chart2.xml" ContentType="application/vnd.openxmlformats-officedocument.drawingml.chart+xml"/>
  <Override PartName="/xl/drawings/drawing8.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9.xml" ContentType="application/vnd.openxmlformats-officedocument.drawing+xml"/>
  <Override PartName="/xl/ctrlProps/ctrlProp21.xml" ContentType="application/vnd.ms-excel.controlproperties+xml"/>
  <Override PartName="/xl/ctrlProps/ctrlProp22.xml" ContentType="application/vnd.ms-excel.controlproperties+xml"/>
  <Override PartName="/xl/comments8.xml" ContentType="application/vnd.openxmlformats-officedocument.spreadsheetml.comments+xml"/>
  <Override PartName="/xl/charts/chart3.xml" ContentType="application/vnd.openxmlformats-officedocument.drawingml.chart+xml"/>
  <Override PartName="/xl/comments9.xml" ContentType="application/vnd.openxmlformats-officedocument.spreadsheetml.comments+xml"/>
  <Override PartName="/xl/comments10.xml" ContentType="application/vnd.openxmlformats-officedocument.spreadsheetml.comments+xml"/>
  <Override PartName="/xl/drawings/drawing10.xml" ContentType="application/vnd.openxmlformats-officedocument.drawing+xml"/>
  <Override PartName="/xl/ctrlProps/ctrlProp23.xml" ContentType="application/vnd.ms-excel.controlproperties+xml"/>
  <Override PartName="/xl/ctrlProps/ctrlProp24.xml" ContentType="application/vnd.ms-excel.controlproperties+xml"/>
  <Override PartName="/xl/comments11.xml" ContentType="application/vnd.openxmlformats-officedocument.spreadsheetml.comments+xml"/>
  <Override PartName="/xl/drawings/drawing11.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drawings/drawing12.xml" ContentType="application/vnd.openxmlformats-officedocument.drawing+xml"/>
  <Override PartName="/xl/comments14.xml" ContentType="application/vnd.openxmlformats-officedocument.spreadsheetml.comments+xml"/>
  <Override PartName="/xl/charts/chart4.xml" ContentType="application/vnd.openxmlformats-officedocument.drawingml.chart+xml"/>
  <Override PartName="/xl/drawings/drawing13.xml" ContentType="application/vnd.openxmlformats-officedocument.drawing+xml"/>
  <Override PartName="/xl/ctrlProps/ctrlProp25.xml" ContentType="application/vnd.ms-excel.controlproperties+xml"/>
  <Override PartName="/xl/comments15.xml" ContentType="application/vnd.openxmlformats-officedocument.spreadsheetml.comments+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style1.xml" ContentType="application/vnd.ms-office.chartstyle+xml"/>
  <Override PartName="/xl/charts/colors1.xml" ContentType="application/vnd.ms-office.chartcolorstyle+xml"/>
  <Override PartName="/xl/comments16.xml" ContentType="application/vnd.openxmlformats-officedocument.spreadsheetml.comments+xml"/>
  <Override PartName="/xl/drawings/drawing14.xml" ContentType="application/vnd.openxmlformats-officedocument.drawing+xml"/>
  <Override PartName="/xl/comments17.xml" ContentType="application/vnd.openxmlformats-officedocument.spreadsheetml.comments+xml"/>
  <Override PartName="/xl/charts/chart9.xml" ContentType="application/vnd.openxmlformats-officedocument.drawingml.chart+xml"/>
  <Override PartName="/xl/comments1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127" codeName="{4470D2CD-2249-CD33-4A35-6F278624656F}"/>
  <workbookPr codeName="ThisWorkbook" defaultThemeVersion="124226"/>
  <mc:AlternateContent xmlns:mc="http://schemas.openxmlformats.org/markup-compatibility/2006">
    <mc:Choice Requires="x15">
      <x15ac:absPath xmlns:x15ac="http://schemas.microsoft.com/office/spreadsheetml/2010/11/ac" url="\\ims.gov.uk\data\Users\GBBULVD\BULHOME1\MBytheway\Data\Desktop\"/>
    </mc:Choice>
  </mc:AlternateContent>
  <xr:revisionPtr revIDLastSave="0" documentId="13_ncr:1_{B204372C-509B-4F2A-BD90-DA3C38946DD5}" xr6:coauthVersionLast="45" xr6:coauthVersionMax="45" xr10:uidLastSave="{00000000-0000-0000-0000-000000000000}"/>
  <bookViews>
    <workbookView xWindow="-120" yWindow="-120" windowWidth="23280" windowHeight="15000" tabRatio="794" firstSheet="4" activeTab="7" xr2:uid="{00000000-000D-0000-FFFF-FFFF00000000}"/>
  </bookViews>
  <sheets>
    <sheet name="Version control" sheetId="1" state="hidden" r:id="rId1"/>
    <sheet name="List" sheetId="38" state="hidden" r:id="rId2"/>
    <sheet name="Control sheet (hide)" sheetId="2" state="hidden" r:id="rId3"/>
    <sheet name="Notes" sheetId="33" r:id="rId4"/>
    <sheet name="Setup" sheetId="4" r:id="rId5"/>
    <sheet name="Demand" sheetId="3" r:id="rId6"/>
    <sheet name="Demand background (hide)" sheetId="6" state="hidden" r:id="rId7"/>
    <sheet name="SPC Chart" sheetId="7" r:id="rId8"/>
    <sheet name="SPC background (hide)" sheetId="12" state="hidden" r:id="rId9"/>
    <sheet name="Planned" sheetId="14" r:id="rId10"/>
    <sheet name="Planned background (hide)" sheetId="15" state="hidden" r:id="rId11"/>
    <sheet name="Planned SPC" sheetId="21" r:id="rId12"/>
    <sheet name="Capacity" sheetId="20" r:id="rId13"/>
    <sheet name="Critical resources" sheetId="22" r:id="rId14"/>
    <sheet name="Capacity setup" sheetId="32" r:id="rId15"/>
    <sheet name="Capacity summary" sheetId="24" r:id="rId16"/>
    <sheet name="Critical resources (hide)" sheetId="30" state="hidden" r:id="rId17"/>
    <sheet name="Capacity calculation (hide)" sheetId="31" state="hidden" r:id="rId18"/>
    <sheet name="Parameters" sheetId="11" r:id="rId19"/>
    <sheet name="Parameters calculator" sheetId="25" state="hidden" r:id="rId20"/>
    <sheet name="Parameters calculator (hide)" sheetId="26" state="hidden" r:id="rId21"/>
    <sheet name="Pathway" sheetId="28" r:id="rId22"/>
    <sheet name="Summary" sheetId="18" r:id="rId23"/>
    <sheet name="Lock (hide)" sheetId="27" state="hidden" r:id="rId24"/>
    <sheet name="Summary Calculations (hide)" sheetId="17" state="hidden" r:id="rId25"/>
    <sheet name="WL PI Backing (hide)" sheetId="39" state="hidden" r:id="rId26"/>
    <sheet name="Planning" sheetId="35" r:id="rId27"/>
    <sheet name="Planning (hide)" sheetId="36" state="hidden" r:id="rId28"/>
    <sheet name="Export (hide)" sheetId="37" state="hidden" r:id="rId29"/>
  </sheets>
  <functionGroups builtInGroupCount="19"/>
  <externalReferences>
    <externalReference r:id="rId30"/>
  </externalReferences>
  <definedNames>
    <definedName name="Cap_Chart_Adhoc_Range" localSheetId="26">OFFSET('Capacity calculation (hide)'!$BK$111,MATCH(Planning!$C$6,'Capacity calculation (hide)'!$C$111:$C$211,0)-1,0,1,52)</definedName>
    <definedName name="Cap_Chart_Adhoc_Range">OFFSET('Capacity calculation (hide)'!$BK$111,MATCH('Capacity summary'!$C$11,'Capacity calculation (hide)'!$C$111:$C$211,0)-1,0,1,52)</definedName>
    <definedName name="Cap_Chart_Core_Range" localSheetId="26">OFFSET('Capacity calculation (hide)'!$BK$4,MATCH(Planning!$C$5,'Capacity calculation (hide)'!$C$4:$C$104,0)-1,0,1,52)</definedName>
    <definedName name="Cap_Chart_Core_Range">OFFSET('Capacity calculation (hide)'!$BK$4,MATCH('Capacity summary'!$C$10,'Capacity calculation (hide)'!$C$4:$C$104,0)-1,0,1,52)</definedName>
    <definedName name="Cap_Chart_Xaxis">'Critical resources (hide)'!$B$6:$B$57</definedName>
    <definedName name="Capacity_Resource">IF('Critical resources'!$A$11=0,'Critical resources'!$A$1,OFFSET('Critical resources (hide)'!$G$6,0,0,'Critical resources'!$A$11,1))</definedName>
    <definedName name="ChartRange_Data">OFFSET('SPC background (hide)'!$C$16,0,0,MaxRows,1)</definedName>
    <definedName name="ChartRange_E1">OFFSET('SPC background (hide)'!$Q$16,0,0,MaxRows,1)</definedName>
    <definedName name="ChartRange_E2">OFFSET('SPC background (hide)'!$S$16,0,0,MaxRows,1)</definedName>
    <definedName name="ChartRange_E3">OFFSET('SPC background (hide)'!$Y$16,0,0,MaxRows,1)</definedName>
    <definedName name="ChartRange_E4">OFFSET('SPC background (hide)'!$W$16,0,0,MaxRows,1)</definedName>
    <definedName name="ChartRange_Emergencies">OFFSET('SPC background (hide)'!$AA$16,0,0,MaxRows,1)</definedName>
    <definedName name="ChartRange_Exclusion">OFFSET('SPC background (hide)'!$H$16,0,0,MaxRows,1)</definedName>
    <definedName name="ChartRange_LCL">OFFSET('SPC background (hide)'!$J$16,0,0,MaxRows,1)</definedName>
    <definedName name="ChartRange_Mean">OFFSET('SPC background (hide)'!$M$16,0,0,MaxRows,1)</definedName>
    <definedName name="ChartRange_PercLower">OFFSET('SPC background (hide)'!$AC$16,0,0,MaxRows,1)</definedName>
    <definedName name="ChartRange_PercUpper">OFFSET('SPC background (hide)'!$AD$16,0,0,MaxRows,1)</definedName>
    <definedName name="ChartRange_S1">OFFSET('SPC background (hide)'!$D$16,0,0,MaxRows,1)</definedName>
    <definedName name="ChartRange_S2">OFFSET('SPC background (hide)'!$E$16,0,0,MaxRows,1)</definedName>
    <definedName name="ChartRange_S3">OFFSET('SPC background (hide)'!$F$16,0,0,MaxRows,1)</definedName>
    <definedName name="ChartRange_S4">OFFSET('SPC background (hide)'!$G$16,0,0,MaxRows,1)</definedName>
    <definedName name="ChartRange_UCL">OFFSET('SPC background (hide)'!$P$16,0,0,MaxRows,1)</definedName>
    <definedName name="Emergency1">'Demand background (hide)'!$AX$3</definedName>
    <definedName name="Emergency2">'Demand background (hide)'!$AX$10</definedName>
    <definedName name="Emergency3">'Demand background (hide)'!$AX$17</definedName>
    <definedName name="Emergency4">'Demand background (hide)'!$AX$25</definedName>
    <definedName name="frequency_number">'[1]Control sheet (hide)'!$D$2</definedName>
    <definedName name="MaxRows">Demand!$A$6</definedName>
    <definedName name="Mean1">'Demand background (hide)'!$AW$3</definedName>
    <definedName name="Mean2">'Demand background (hide)'!$AW$10</definedName>
    <definedName name="Mean3">'Demand background (hide)'!$AW$17</definedName>
    <definedName name="Mean4">'Demand background (hide)'!$AW$25</definedName>
    <definedName name="Num_Modalities">Setup!$I$11</definedName>
    <definedName name="PercLower1">'Demand background (hide)'!$AW$6</definedName>
    <definedName name="PercLower2">'Demand background (hide)'!$AW$13</definedName>
    <definedName name="PercLower3">'Demand background (hide)'!$AW$20</definedName>
    <definedName name="PercLower4">'Demand background (hide)'!$AW$28</definedName>
    <definedName name="PercUpper1">'Demand background (hide)'!$AW$7</definedName>
    <definedName name="PercUpper2">'Demand background (hide)'!$AW$14</definedName>
    <definedName name="PercUpper3">'Demand background (hide)'!$AW$21</definedName>
    <definedName name="PercUpper4">'Demand background (hide)'!$AW$29</definedName>
    <definedName name="Plan_SPC_Baseline">OFFSET('Planned background (hide)'!$AD$3,0,0,PMaxRows,1)</definedName>
    <definedName name="Plan_SPC_Date">OFFSET('Planned background (hide)'!$BH$3,0,0,PMaxRows,1+IF(Planned!$C$8&lt;&gt;"",1,0))</definedName>
    <definedName name="Plan_SPC_Demand">OFFSET('Planned background (hide)'!$AE$3,0,0,PMaxRows,1)</definedName>
    <definedName name="Plan_SPC_LCL">OFFSET('Planned background (hide)'!$AH$3,0,0,PMaxRows,1)</definedName>
    <definedName name="Plan_SPC_Mean">OFFSET('Planned background (hide)'!$AF$3,0,0,PMaxRows,1)</definedName>
    <definedName name="Plan_SPC_Neg1Sig">OFFSET('Planned background (hide)'!$AJ$3,0,0,PMaxRows,1)</definedName>
    <definedName name="Plan_SPC_Neg2Sig">OFFSET('Planned background (hide)'!$AI$3,0,0,PMaxRows,1)</definedName>
    <definedName name="Plan_SPC_Pos1Sig">OFFSET('Planned background (hide)'!$AK$3,0,0,PMaxRows,1)</definedName>
    <definedName name="Plan_SPC_Pos2Sig">OFFSET('Planned background (hide)'!$AL$3,0,0,PMaxRows,1)</definedName>
    <definedName name="Plan_SPC_R1">OFFSET('Planned background (hide)'!$AP$3,0,0,PMaxRows,1)</definedName>
    <definedName name="Plan_SPC_R2">OFFSET('Planned background (hide)'!$AR$3,0,0,PMaxRows,1)</definedName>
    <definedName name="Plan_SPC_R3">OFFSET('Planned background (hide)'!$AT$3,0,0,PMaxRows,1)</definedName>
    <definedName name="Plan_SPC_R4">OFFSET('Planned background (hide)'!$AV$3,0,0,PMaxRows,1)</definedName>
    <definedName name="Plan_SPC_Sigma">OFFSET('Planned background (hide)'!$AG$3,0,0,PMaxRows,1)</definedName>
    <definedName name="Plan_SPC_UCL">OFFSET('Planned background (hide)'!$AM$3,0,0,PMaxRows,1)</definedName>
    <definedName name="Planned_RangeEnd">OFFSET(IF(Planned!$C$8 = 0,'Planned background (hide)'!$F$3,'Planned background (hide)'!$G$3),'Planned background (hide)'!$V$19-1,0,'Planned background (hide)'!$X$19,1)</definedName>
    <definedName name="Planned_RangeStart">OFFSET(IF(Planned!$C$8=0,'Planned background (hide)'!$F$3,'Planned background (hide)'!$G$3),0,0,'Planned background (hide)'!$X$18+1,1)</definedName>
    <definedName name="PMaxRows">Planned!$A$6</definedName>
    <definedName name="Range_Blank">'SPC background (hide)'!$A$1</definedName>
    <definedName name="Range_DateAxis">OFFSET('Demand background (hide)'!$AP$4,0,0,MaxRows,1+IF(Demand!$C$6&lt;&gt;"",1,0))</definedName>
    <definedName name="Range_S1End">OFFSET(IF(Demand!$C$6&lt;&gt;"",Demand!$D$12,'Control sheet (hide)'!$A$2),'SPC background (hide)'!$D$5,0,'SPC background (hide)'!$F$5,1)</definedName>
    <definedName name="Range_S1Start" comment="Start point for baseline selection">OFFSET(IF(Demand!$C$6&lt;&gt;"",Demand!$D$13,'Control sheet (hide)'!$A$3),0,0,'SPC background (hide)'!$F$4,1)</definedName>
    <definedName name="Range_S2End">IF('SPC background (hide)'!$C$6=2,OFFSET(IF(Demand!$C$6&lt;&gt;"",Demand!$D$12,'Control sheet (hide)'!$A$2),'SPC background (hide)'!$D$7,0,'SPC background (hide)'!$F$7,1),Range_Blank)</definedName>
    <definedName name="Range_S2Start">IF(ISNA('SPC background (hide)'!$F$6),Range_Blank,'Control sheet (hide)'!$C$6:$C$7)</definedName>
    <definedName name="Range_S3End">IF('SPC background (hide)'!$C$8=2,OFFSET(IF(Demand!$C$6&lt;&gt;"",Demand!$D$12,'Control sheet (hide)'!$A$2),'SPC background (hide)'!$D$9,0,'SPC background (hide)'!$F$9,1),Range_Blank)</definedName>
    <definedName name="Range_S3Start">IF(ISNA('SPC background (hide)'!$F$8),Range_Blank,'Control sheet (hide)'!$C$6:$C$7)</definedName>
    <definedName name="Range_S4End">IF('SPC background (hide)'!$C$10=2,OFFSET(IF(Demand!$C$6&lt;&gt;"",Demand!$D$12,'Control sheet (hide)'!$A$2),'SPC background (hide)'!$D$11,0,'SPC background (hide)'!$F$11,1),Range_Blank)</definedName>
    <definedName name="Range_S4Start">IF(ISNA('SPC background (hide)'!$F$10),Range_Blank,'Control sheet (hide)'!$C$6:$C$7)</definedName>
    <definedName name="SampleLength">'SPC background (hide)'!$I$11</definedName>
    <definedName name="Sigma1">'Demand background (hide)'!$AW$5</definedName>
    <definedName name="Sigma2">'Demand background (hide)'!$AW$12</definedName>
    <definedName name="Sigma3">'Demand background (hide)'!$AW$19</definedName>
    <definedName name="Sigma4">'Demand background (hide)'!$AW$27</definedName>
    <definedName name="SPC_Type">'SPC Chart'!$B$1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5" i="12" l="1"/>
  <c r="H16" i="20" l="1"/>
  <c r="D3" i="22" l="1"/>
  <c r="C4" i="20" l="1"/>
  <c r="D4" i="22" s="1"/>
  <c r="B223" i="24" l="1"/>
  <c r="D223" i="24" s="1"/>
  <c r="B222" i="24"/>
  <c r="C222" i="24" s="1"/>
  <c r="B221" i="24"/>
  <c r="D221" i="24" s="1"/>
  <c r="B220" i="24"/>
  <c r="E220" i="24" s="1"/>
  <c r="B219" i="24"/>
  <c r="E219" i="24" s="1"/>
  <c r="B218" i="24"/>
  <c r="E218" i="24" s="1"/>
  <c r="B217" i="24"/>
  <c r="E217" i="24" s="1"/>
  <c r="B216" i="24"/>
  <c r="E216" i="24" s="1"/>
  <c r="B215" i="24"/>
  <c r="D215" i="24" s="1"/>
  <c r="B214" i="24"/>
  <c r="C214" i="24" s="1"/>
  <c r="B213" i="24"/>
  <c r="C213" i="24" s="1"/>
  <c r="B212" i="24"/>
  <c r="E212" i="24" s="1"/>
  <c r="B211" i="24"/>
  <c r="E211" i="24" s="1"/>
  <c r="B210" i="24"/>
  <c r="E210" i="24" s="1"/>
  <c r="B209" i="24"/>
  <c r="D209" i="24" s="1"/>
  <c r="B208" i="24"/>
  <c r="E208" i="24" s="1"/>
  <c r="B207" i="24"/>
  <c r="D207" i="24" s="1"/>
  <c r="B206" i="24"/>
  <c r="C206" i="24" s="1"/>
  <c r="B205" i="24"/>
  <c r="C205" i="24" s="1"/>
  <c r="B204" i="24"/>
  <c r="E204" i="24" s="1"/>
  <c r="B203" i="24"/>
  <c r="E203" i="24" s="1"/>
  <c r="B202" i="24"/>
  <c r="E202" i="24" s="1"/>
  <c r="B201" i="24"/>
  <c r="E201" i="24" s="1"/>
  <c r="B200" i="24"/>
  <c r="E200" i="24" s="1"/>
  <c r="B199" i="24"/>
  <c r="D199" i="24" s="1"/>
  <c r="B198" i="24"/>
  <c r="C198" i="24" s="1"/>
  <c r="B197" i="24"/>
  <c r="C197" i="24" s="1"/>
  <c r="B196" i="24"/>
  <c r="E196" i="24" s="1"/>
  <c r="B195" i="24"/>
  <c r="E195" i="24" s="1"/>
  <c r="B194" i="24"/>
  <c r="E194" i="24" s="1"/>
  <c r="B193" i="24"/>
  <c r="E193" i="24" s="1"/>
  <c r="B192" i="24"/>
  <c r="E192" i="24" s="1"/>
  <c r="B191" i="24"/>
  <c r="D191" i="24" s="1"/>
  <c r="B190" i="24"/>
  <c r="C190" i="24" s="1"/>
  <c r="B189" i="24"/>
  <c r="C189" i="24" s="1"/>
  <c r="B188" i="24"/>
  <c r="E188" i="24" s="1"/>
  <c r="B187" i="24"/>
  <c r="E187" i="24" s="1"/>
  <c r="B186" i="24"/>
  <c r="E186" i="24" s="1"/>
  <c r="B185" i="24"/>
  <c r="C185" i="24" s="1"/>
  <c r="B184" i="24"/>
  <c r="E184" i="24" s="1"/>
  <c r="B183" i="24"/>
  <c r="D183" i="24" s="1"/>
  <c r="B182" i="24"/>
  <c r="C182" i="24" s="1"/>
  <c r="B181" i="24"/>
  <c r="C181" i="24" s="1"/>
  <c r="B180" i="24"/>
  <c r="E180" i="24" s="1"/>
  <c r="B179" i="24"/>
  <c r="E179" i="24" s="1"/>
  <c r="B178" i="24"/>
  <c r="E178" i="24" s="1"/>
  <c r="B177" i="24"/>
  <c r="D177" i="24" s="1"/>
  <c r="B176" i="24"/>
  <c r="E176" i="24" s="1"/>
  <c r="B175" i="24"/>
  <c r="D175" i="24" s="1"/>
  <c r="B174" i="24"/>
  <c r="C174" i="24" s="1"/>
  <c r="B173" i="24"/>
  <c r="C173" i="24" s="1"/>
  <c r="B172" i="24"/>
  <c r="E172" i="24" s="1"/>
  <c r="B171" i="24"/>
  <c r="E171" i="24" s="1"/>
  <c r="B170" i="24"/>
  <c r="E170" i="24" s="1"/>
  <c r="B169" i="24"/>
  <c r="D169" i="24" s="1"/>
  <c r="B168" i="24"/>
  <c r="E168" i="24" s="1"/>
  <c r="B167" i="24"/>
  <c r="D167" i="24" s="1"/>
  <c r="B166" i="24"/>
  <c r="C166" i="24" s="1"/>
  <c r="B165" i="24"/>
  <c r="C165" i="24" s="1"/>
  <c r="B164" i="24"/>
  <c r="E164" i="24" s="1"/>
  <c r="B163" i="24"/>
  <c r="E163" i="24" s="1"/>
  <c r="B162" i="24"/>
  <c r="E162" i="24" s="1"/>
  <c r="B161" i="24"/>
  <c r="E161" i="24" s="1"/>
  <c r="B160" i="24"/>
  <c r="E160" i="24" s="1"/>
  <c r="B159" i="24"/>
  <c r="D159" i="24" s="1"/>
  <c r="B158" i="24"/>
  <c r="C158" i="24" s="1"/>
  <c r="B157" i="24"/>
  <c r="C157" i="24" s="1"/>
  <c r="B156" i="24"/>
  <c r="E156" i="24" s="1"/>
  <c r="B155" i="24"/>
  <c r="E155" i="24" s="1"/>
  <c r="B154" i="24"/>
  <c r="E154" i="24" s="1"/>
  <c r="E153" i="24"/>
  <c r="B153" i="24"/>
  <c r="D153" i="24" s="1"/>
  <c r="B152" i="24"/>
  <c r="E152" i="24" s="1"/>
  <c r="B151" i="24"/>
  <c r="D151" i="24" s="1"/>
  <c r="B150" i="24"/>
  <c r="C150" i="24" s="1"/>
  <c r="B149" i="24"/>
  <c r="C149" i="24" s="1"/>
  <c r="B148" i="24"/>
  <c r="E148" i="24" s="1"/>
  <c r="B147" i="24"/>
  <c r="E147" i="24" s="1"/>
  <c r="B146" i="24"/>
  <c r="E146" i="24" s="1"/>
  <c r="B145" i="24"/>
  <c r="E145" i="24" s="1"/>
  <c r="B144" i="24"/>
  <c r="E144" i="24" s="1"/>
  <c r="B143" i="24"/>
  <c r="D143" i="24" s="1"/>
  <c r="B142" i="24"/>
  <c r="C142" i="24" s="1"/>
  <c r="B141" i="24"/>
  <c r="C141" i="24" s="1"/>
  <c r="B140" i="24"/>
  <c r="E140" i="24" s="1"/>
  <c r="B139" i="24"/>
  <c r="C139" i="24" s="1"/>
  <c r="B138" i="24"/>
  <c r="C138" i="24" s="1"/>
  <c r="B137" i="24"/>
  <c r="D137" i="24" s="1"/>
  <c r="B136" i="24"/>
  <c r="B135" i="24"/>
  <c r="D135" i="24" s="1"/>
  <c r="B134" i="24"/>
  <c r="C134" i="24" s="1"/>
  <c r="B133" i="24"/>
  <c r="C133" i="24" s="1"/>
  <c r="B132" i="24"/>
  <c r="B131" i="24"/>
  <c r="B130" i="24"/>
  <c r="D130" i="24" s="1"/>
  <c r="B129" i="24"/>
  <c r="D129" i="24" s="1"/>
  <c r="B128" i="24"/>
  <c r="B127" i="24"/>
  <c r="D127" i="24" s="1"/>
  <c r="B126" i="24"/>
  <c r="C126" i="24" s="1"/>
  <c r="B125" i="24"/>
  <c r="C125" i="24" s="1"/>
  <c r="B124" i="24"/>
  <c r="C124" i="24" s="1"/>
  <c r="V19" i="15"/>
  <c r="D218" i="24" l="1"/>
  <c r="E165" i="24"/>
  <c r="E181" i="24"/>
  <c r="C147" i="24"/>
  <c r="E167" i="24"/>
  <c r="C187" i="24"/>
  <c r="D202" i="24"/>
  <c r="C163" i="24"/>
  <c r="E169" i="24"/>
  <c r="C153" i="24"/>
  <c r="C179" i="24"/>
  <c r="D141" i="24"/>
  <c r="C186" i="24"/>
  <c r="C199" i="24"/>
  <c r="C201" i="24"/>
  <c r="E141" i="24"/>
  <c r="E143" i="24"/>
  <c r="D145" i="24"/>
  <c r="D146" i="24"/>
  <c r="C169" i="24"/>
  <c r="D170" i="24"/>
  <c r="C183" i="24"/>
  <c r="D185" i="24"/>
  <c r="D186" i="24"/>
  <c r="D188" i="24"/>
  <c r="C191" i="24"/>
  <c r="C194" i="24"/>
  <c r="D197" i="24"/>
  <c r="E199" i="24"/>
  <c r="C203" i="24"/>
  <c r="C209" i="24"/>
  <c r="C215" i="24"/>
  <c r="D219" i="24"/>
  <c r="C143" i="24"/>
  <c r="C145" i="24"/>
  <c r="C146" i="24"/>
  <c r="D205" i="24"/>
  <c r="D149" i="24"/>
  <c r="D165" i="24"/>
  <c r="E183" i="24"/>
  <c r="E185" i="24"/>
  <c r="C202" i="24"/>
  <c r="E209" i="24"/>
  <c r="E215" i="24"/>
  <c r="C218" i="24"/>
  <c r="E223" i="24"/>
  <c r="D125" i="24"/>
  <c r="D124" i="24"/>
  <c r="E149" i="24"/>
  <c r="D156" i="24"/>
  <c r="C167" i="24"/>
  <c r="C170" i="24"/>
  <c r="E177" i="24"/>
  <c r="D181" i="24"/>
  <c r="E191" i="24"/>
  <c r="D194" i="24"/>
  <c r="E205" i="24"/>
  <c r="D212" i="24"/>
  <c r="C223" i="24"/>
  <c r="D157" i="24"/>
  <c r="C175" i="24"/>
  <c r="C178" i="24"/>
  <c r="C195" i="24"/>
  <c r="D213" i="24"/>
  <c r="C217" i="24"/>
  <c r="C161" i="24"/>
  <c r="C151" i="24"/>
  <c r="C154" i="24"/>
  <c r="E157" i="24"/>
  <c r="D161" i="24"/>
  <c r="C171" i="24"/>
  <c r="E175" i="24"/>
  <c r="D178" i="24"/>
  <c r="D189" i="24"/>
  <c r="C193" i="24"/>
  <c r="C207" i="24"/>
  <c r="C210" i="24"/>
  <c r="E213" i="24"/>
  <c r="D217" i="24"/>
  <c r="D220" i="24"/>
  <c r="C127" i="24"/>
  <c r="E151" i="24"/>
  <c r="D154" i="24"/>
  <c r="E189" i="24"/>
  <c r="D193" i="24"/>
  <c r="E207" i="24"/>
  <c r="D210" i="24"/>
  <c r="E221" i="24"/>
  <c r="C155" i="24"/>
  <c r="C159" i="24"/>
  <c r="C162" i="24"/>
  <c r="D173" i="24"/>
  <c r="C177" i="24"/>
  <c r="E197" i="24"/>
  <c r="D201" i="24"/>
  <c r="C211" i="24"/>
  <c r="E159" i="24"/>
  <c r="D162" i="24"/>
  <c r="E173" i="24"/>
  <c r="E137" i="24"/>
  <c r="E138" i="24"/>
  <c r="D138" i="24"/>
  <c r="E136" i="24"/>
  <c r="E139" i="24"/>
  <c r="C137" i="24"/>
  <c r="C135" i="24"/>
  <c r="D133" i="24"/>
  <c r="C131" i="24"/>
  <c r="C129" i="24"/>
  <c r="C130" i="24"/>
  <c r="D126" i="24"/>
  <c r="D134" i="24"/>
  <c r="D142" i="24"/>
  <c r="D150" i="24"/>
  <c r="D158" i="24"/>
  <c r="D166" i="24"/>
  <c r="D174" i="24"/>
  <c r="D182" i="24"/>
  <c r="D190" i="24"/>
  <c r="D198" i="24"/>
  <c r="D206" i="24"/>
  <c r="D214" i="24"/>
  <c r="C219" i="24"/>
  <c r="D222" i="24"/>
  <c r="C128" i="24"/>
  <c r="D131" i="24"/>
  <c r="C136" i="24"/>
  <c r="D139" i="24"/>
  <c r="E142" i="24"/>
  <c r="C144" i="24"/>
  <c r="D147" i="24"/>
  <c r="E150" i="24"/>
  <c r="C152" i="24"/>
  <c r="D155" i="24"/>
  <c r="E158" i="24"/>
  <c r="C160" i="24"/>
  <c r="D163" i="24"/>
  <c r="E166" i="24"/>
  <c r="C168" i="24"/>
  <c r="D171" i="24"/>
  <c r="E174" i="24"/>
  <c r="C176" i="24"/>
  <c r="D179" i="24"/>
  <c r="E182" i="24"/>
  <c r="C184" i="24"/>
  <c r="D187" i="24"/>
  <c r="E190" i="24"/>
  <c r="C192" i="24"/>
  <c r="D195" i="24"/>
  <c r="E198" i="24"/>
  <c r="C200" i="24"/>
  <c r="D203" i="24"/>
  <c r="E206" i="24"/>
  <c r="C208" i="24"/>
  <c r="D211" i="24"/>
  <c r="E214" i="24"/>
  <c r="C216" i="24"/>
  <c r="E222" i="24"/>
  <c r="D132" i="24"/>
  <c r="D128" i="24"/>
  <c r="D136" i="24"/>
  <c r="D144" i="24"/>
  <c r="D152" i="24"/>
  <c r="D160" i="24"/>
  <c r="D168" i="24"/>
  <c r="D176" i="24"/>
  <c r="D184" i="24"/>
  <c r="D192" i="24"/>
  <c r="D200" i="24"/>
  <c r="D208" i="24"/>
  <c r="D216" i="24"/>
  <c r="C221" i="24"/>
  <c r="C132" i="24"/>
  <c r="C140" i="24"/>
  <c r="C148" i="24"/>
  <c r="C156" i="24"/>
  <c r="C164" i="24"/>
  <c r="C172" i="24"/>
  <c r="C180" i="24"/>
  <c r="C188" i="24"/>
  <c r="C196" i="24"/>
  <c r="C204" i="24"/>
  <c r="C212" i="24"/>
  <c r="C220" i="24"/>
  <c r="D140" i="24"/>
  <c r="D148" i="24"/>
  <c r="D164" i="24"/>
  <c r="D172" i="24"/>
  <c r="D180" i="24"/>
  <c r="D196" i="24"/>
  <c r="D204" i="24"/>
  <c r="B2" i="12" l="1"/>
  <c r="L4" i="12" l="1"/>
  <c r="D275" i="12" l="1"/>
  <c r="D274" i="12"/>
  <c r="D273" i="12"/>
  <c r="D272" i="12"/>
  <c r="D271" i="12"/>
  <c r="D268" i="12"/>
  <c r="D264" i="12"/>
  <c r="D267" i="12"/>
  <c r="D262" i="12"/>
  <c r="D260" i="12"/>
  <c r="D259" i="12"/>
  <c r="D258" i="12"/>
  <c r="D257" i="12"/>
  <c r="D256" i="12"/>
  <c r="D255" i="12"/>
  <c r="D254" i="12"/>
  <c r="D253" i="12"/>
  <c r="D252" i="12"/>
  <c r="D251" i="12"/>
  <c r="D250" i="12"/>
  <c r="D249" i="12"/>
  <c r="D248" i="12"/>
  <c r="D247" i="12"/>
  <c r="D270" i="12"/>
  <c r="D266" i="12"/>
  <c r="D261" i="12"/>
  <c r="D245" i="12"/>
  <c r="D241" i="12"/>
  <c r="D263" i="12"/>
  <c r="D244" i="12"/>
  <c r="D265" i="12"/>
  <c r="D246" i="12"/>
  <c r="D243" i="12"/>
  <c r="D242" i="12"/>
  <c r="D240" i="12"/>
  <c r="D238" i="12"/>
  <c r="D236" i="12"/>
  <c r="D234" i="12"/>
  <c r="D232" i="12"/>
  <c r="D230" i="12"/>
  <c r="D229" i="12"/>
  <c r="D228" i="12"/>
  <c r="D227" i="12"/>
  <c r="D226" i="12"/>
  <c r="D225" i="12"/>
  <c r="D224" i="12"/>
  <c r="D223" i="12"/>
  <c r="D222" i="12"/>
  <c r="D221" i="12"/>
  <c r="D220" i="12"/>
  <c r="D219" i="12"/>
  <c r="D218" i="12"/>
  <c r="D217" i="12"/>
  <c r="D216" i="12"/>
  <c r="D215" i="12"/>
  <c r="D214" i="12"/>
  <c r="D213" i="12"/>
  <c r="D212" i="12"/>
  <c r="D211" i="12"/>
  <c r="D210" i="12"/>
  <c r="D209" i="12"/>
  <c r="D208" i="12"/>
  <c r="D207" i="12"/>
  <c r="D206" i="12"/>
  <c r="D205" i="12"/>
  <c r="D204" i="12"/>
  <c r="D203" i="12"/>
  <c r="D235" i="12"/>
  <c r="D200" i="12"/>
  <c r="D196" i="12"/>
  <c r="D237" i="12"/>
  <c r="D199" i="12"/>
  <c r="D195" i="12"/>
  <c r="D269" i="12"/>
  <c r="D239" i="12"/>
  <c r="D231" i="12"/>
  <c r="D182" i="12"/>
  <c r="D201" i="12"/>
  <c r="D197" i="12"/>
  <c r="D193" i="12"/>
  <c r="D191" i="12"/>
  <c r="D189" i="12"/>
  <c r="D187" i="12"/>
  <c r="D185" i="12"/>
  <c r="D181" i="12"/>
  <c r="D202" i="12"/>
  <c r="D198" i="12"/>
  <c r="D194" i="12"/>
  <c r="D184" i="12"/>
  <c r="D180" i="12"/>
  <c r="D176" i="12"/>
  <c r="D172" i="12"/>
  <c r="D168" i="12"/>
  <c r="D163" i="12"/>
  <c r="D161" i="12"/>
  <c r="D159" i="12"/>
  <c r="D157" i="12"/>
  <c r="D155" i="12"/>
  <c r="D153" i="12"/>
  <c r="D149" i="12"/>
  <c r="D145" i="12"/>
  <c r="D192" i="12"/>
  <c r="D190" i="12"/>
  <c r="D188" i="12"/>
  <c r="D186" i="12"/>
  <c r="D177" i="12"/>
  <c r="D173" i="12"/>
  <c r="D169" i="12"/>
  <c r="D165" i="12"/>
  <c r="D148" i="12"/>
  <c r="D144" i="12"/>
  <c r="D143" i="12"/>
  <c r="D142" i="12"/>
  <c r="D141" i="12"/>
  <c r="D140" i="12"/>
  <c r="D139" i="12"/>
  <c r="D138" i="12"/>
  <c r="D137" i="12"/>
  <c r="D136" i="12"/>
  <c r="D135" i="12"/>
  <c r="D134" i="12"/>
  <c r="D133" i="12"/>
  <c r="D132" i="12"/>
  <c r="D131" i="12"/>
  <c r="D130" i="12"/>
  <c r="D129" i="12"/>
  <c r="D128" i="12"/>
  <c r="D127" i="12"/>
  <c r="D126" i="12"/>
  <c r="D125" i="12"/>
  <c r="D124" i="12"/>
  <c r="D123" i="12"/>
  <c r="D122" i="12"/>
  <c r="D121" i="12"/>
  <c r="D120" i="12"/>
  <c r="D119" i="12"/>
  <c r="D118" i="12"/>
  <c r="D117" i="12"/>
  <c r="D116" i="12"/>
  <c r="D115" i="12"/>
  <c r="D114" i="12"/>
  <c r="D113" i="12"/>
  <c r="D112" i="12"/>
  <c r="D111" i="12"/>
  <c r="D110" i="12"/>
  <c r="D109" i="12"/>
  <c r="D233" i="12"/>
  <c r="D183" i="12"/>
  <c r="D178" i="12"/>
  <c r="D174" i="12"/>
  <c r="D170" i="12"/>
  <c r="D166" i="12"/>
  <c r="D164" i="12"/>
  <c r="D162" i="12"/>
  <c r="D160" i="12"/>
  <c r="D158" i="12"/>
  <c r="D156" i="12"/>
  <c r="D154" i="12"/>
  <c r="D152" i="12"/>
  <c r="D151" i="12"/>
  <c r="D147" i="12"/>
  <c r="D179" i="12"/>
  <c r="D171" i="12"/>
  <c r="D150" i="12"/>
  <c r="D146" i="12"/>
  <c r="D108" i="12"/>
  <c r="D54" i="12"/>
  <c r="D50" i="12"/>
  <c r="D46" i="12"/>
  <c r="D42" i="12"/>
  <c r="D38" i="12"/>
  <c r="D53" i="12"/>
  <c r="D49" i="12"/>
  <c r="D45" i="12"/>
  <c r="D41" i="12"/>
  <c r="D37" i="12"/>
  <c r="D175" i="12"/>
  <c r="D167" i="12"/>
  <c r="D52" i="12"/>
  <c r="D48" i="12"/>
  <c r="D44" i="12"/>
  <c r="D40" i="12"/>
  <c r="D36" i="12"/>
  <c r="D106" i="12"/>
  <c r="D102" i="12"/>
  <c r="D98" i="12"/>
  <c r="D94" i="12"/>
  <c r="D90" i="12"/>
  <c r="D86" i="12"/>
  <c r="D82" i="12"/>
  <c r="D78" i="12"/>
  <c r="D74" i="12"/>
  <c r="D70" i="12"/>
  <c r="D66" i="12"/>
  <c r="D62" i="12"/>
  <c r="D58" i="12"/>
  <c r="D34" i="12"/>
  <c r="D30" i="12"/>
  <c r="D26" i="12"/>
  <c r="D22" i="12"/>
  <c r="D18" i="12"/>
  <c r="D97" i="12"/>
  <c r="D69" i="12"/>
  <c r="D61" i="12"/>
  <c r="D23" i="12"/>
  <c r="D107" i="12"/>
  <c r="D103" i="12"/>
  <c r="D99" i="12"/>
  <c r="D95" i="12"/>
  <c r="D91" i="12"/>
  <c r="D87" i="12"/>
  <c r="D83" i="12"/>
  <c r="D79" i="12"/>
  <c r="D75" i="12"/>
  <c r="D71" i="12"/>
  <c r="D67" i="12"/>
  <c r="D63" i="12"/>
  <c r="D59" i="12"/>
  <c r="D55" i="12"/>
  <c r="D51" i="12"/>
  <c r="D47" i="12"/>
  <c r="D43" i="12"/>
  <c r="D39" i="12"/>
  <c r="D33" i="12"/>
  <c r="D29" i="12"/>
  <c r="D25" i="12"/>
  <c r="D21" i="12"/>
  <c r="D17" i="12"/>
  <c r="D101" i="12"/>
  <c r="D89" i="12"/>
  <c r="D81" i="12"/>
  <c r="D73" i="12"/>
  <c r="D35" i="12"/>
  <c r="D31" i="12"/>
  <c r="D27" i="12"/>
  <c r="D19" i="12"/>
  <c r="D16" i="12"/>
  <c r="D104" i="12"/>
  <c r="D100" i="12"/>
  <c r="D96" i="12"/>
  <c r="D92" i="12"/>
  <c r="D88" i="12"/>
  <c r="D84" i="12"/>
  <c r="D80" i="12"/>
  <c r="D76" i="12"/>
  <c r="D72" i="12"/>
  <c r="D68" i="12"/>
  <c r="D64" i="12"/>
  <c r="D60" i="12"/>
  <c r="D56" i="12"/>
  <c r="D32" i="12"/>
  <c r="D28" i="12"/>
  <c r="D24" i="12"/>
  <c r="D20" i="12"/>
  <c r="D105" i="12"/>
  <c r="D93" i="12"/>
  <c r="D85" i="12"/>
  <c r="D77" i="12"/>
  <c r="D65" i="12"/>
  <c r="D57" i="12"/>
  <c r="B4" i="39" l="1"/>
  <c r="B3" i="39"/>
  <c r="H12" i="39" l="1"/>
  <c r="I12" i="39"/>
  <c r="J12" i="39"/>
  <c r="K12" i="39"/>
  <c r="C13" i="14" l="1"/>
  <c r="C13" i="3" l="1"/>
  <c r="A16" i="12" s="1"/>
  <c r="B2" i="33" l="1"/>
  <c r="C61" i="18" l="1"/>
  <c r="B29" i="18"/>
  <c r="D57" i="26"/>
  <c r="N57" i="26" s="1"/>
  <c r="D56" i="26"/>
  <c r="N56" i="26" s="1"/>
  <c r="D55" i="26"/>
  <c r="N55" i="26" s="1"/>
  <c r="B6" i="30" l="1"/>
  <c r="A6" i="30" s="1"/>
  <c r="F6" i="30" l="1"/>
  <c r="E11" i="17"/>
  <c r="A13" i="14"/>
  <c r="I6" i="28" l="1"/>
  <c r="B3" i="15" l="1"/>
  <c r="P14" i="14" s="1"/>
  <c r="B4" i="15"/>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2" i="15"/>
  <c r="B69" i="26" l="1"/>
  <c r="B70" i="26"/>
  <c r="B71" i="26"/>
  <c r="B72" i="26"/>
  <c r="B73" i="26"/>
  <c r="B74" i="26"/>
  <c r="B75" i="26"/>
  <c r="B76" i="26"/>
  <c r="B77" i="26"/>
  <c r="B68" i="26"/>
  <c r="B79" i="26" l="1"/>
  <c r="B4" i="24"/>
  <c r="I1" i="31" l="1"/>
  <c r="T16" i="20"/>
  <c r="R16" i="20"/>
  <c r="F16" i="20"/>
  <c r="C26" i="35"/>
  <c r="C27" i="35"/>
  <c r="C28" i="35"/>
  <c r="C29" i="35"/>
  <c r="C30" i="35"/>
  <c r="C31" i="35"/>
  <c r="C32" i="35"/>
  <c r="C33" i="35"/>
  <c r="C34" i="35"/>
  <c r="C35" i="35"/>
  <c r="C36" i="35"/>
  <c r="C37" i="35"/>
  <c r="C38" i="35"/>
  <c r="C39" i="35"/>
  <c r="C40" i="35"/>
  <c r="C41" i="35"/>
  <c r="C42" i="35"/>
  <c r="C43" i="35"/>
  <c r="C44" i="35"/>
  <c r="C45" i="35"/>
  <c r="C46" i="35"/>
  <c r="C25" i="35"/>
  <c r="C17" i="37" l="1"/>
  <c r="A4" i="36"/>
  <c r="A10" i="38" l="1"/>
  <c r="A9" i="38"/>
  <c r="A18" i="20"/>
  <c r="A19" i="20"/>
  <c r="A20" i="20"/>
  <c r="A21" i="20"/>
  <c r="A22" i="20"/>
  <c r="A23" i="20"/>
  <c r="A24" i="20"/>
  <c r="A25" i="20"/>
  <c r="A26" i="20"/>
  <c r="A27" i="20"/>
  <c r="A28" i="20"/>
  <c r="A29" i="20"/>
  <c r="A30" i="20"/>
  <c r="A31" i="20"/>
  <c r="A32" i="20"/>
  <c r="A33" i="20"/>
  <c r="A34" i="20"/>
  <c r="A35" i="20"/>
  <c r="A36" i="20"/>
  <c r="A37" i="20"/>
  <c r="A38" i="20"/>
  <c r="A39" i="20"/>
  <c r="A40" i="20"/>
  <c r="A41" i="20"/>
  <c r="A42" i="20"/>
  <c r="A43" i="20"/>
  <c r="A44" i="20"/>
  <c r="A45" i="20"/>
  <c r="A46" i="20"/>
  <c r="A47" i="20"/>
  <c r="A48" i="20"/>
  <c r="A49" i="20"/>
  <c r="A50" i="20"/>
  <c r="A51" i="20"/>
  <c r="A52" i="20"/>
  <c r="A53" i="20"/>
  <c r="A54" i="20"/>
  <c r="A55" i="20"/>
  <c r="A56" i="20"/>
  <c r="A57" i="20"/>
  <c r="A58" i="20"/>
  <c r="A59" i="20"/>
  <c r="A60" i="20"/>
  <c r="A61" i="20"/>
  <c r="A62" i="20"/>
  <c r="A63" i="20"/>
  <c r="A64" i="20"/>
  <c r="A65" i="20"/>
  <c r="A66" i="20"/>
  <c r="A67" i="20"/>
  <c r="A68" i="20"/>
  <c r="A69" i="20"/>
  <c r="A70" i="20"/>
  <c r="A71" i="20"/>
  <c r="A72" i="20"/>
  <c r="A73" i="20"/>
  <c r="A74" i="20"/>
  <c r="A75" i="20"/>
  <c r="A76" i="20"/>
  <c r="A77" i="20"/>
  <c r="A78" i="20"/>
  <c r="A79" i="20"/>
  <c r="A80" i="20"/>
  <c r="A81" i="20"/>
  <c r="A82" i="20"/>
  <c r="A83" i="20"/>
  <c r="A84" i="20"/>
  <c r="A85" i="20"/>
  <c r="A86" i="20"/>
  <c r="A87" i="20"/>
  <c r="A88" i="20"/>
  <c r="A89" i="20"/>
  <c r="A90" i="20"/>
  <c r="A91" i="20"/>
  <c r="A92" i="20"/>
  <c r="A93" i="20"/>
  <c r="A94" i="20"/>
  <c r="A95" i="20"/>
  <c r="A96" i="20"/>
  <c r="A97" i="20"/>
  <c r="A98" i="20"/>
  <c r="A99" i="20"/>
  <c r="A100" i="20"/>
  <c r="A101" i="20"/>
  <c r="A102" i="20"/>
  <c r="A103" i="20"/>
  <c r="A104" i="20"/>
  <c r="A105" i="20"/>
  <c r="A106" i="20"/>
  <c r="A107" i="20"/>
  <c r="A108" i="20"/>
  <c r="A109" i="20"/>
  <c r="A110" i="20"/>
  <c r="A111" i="20"/>
  <c r="A112" i="20"/>
  <c r="A113" i="20"/>
  <c r="A114" i="20"/>
  <c r="A115" i="20"/>
  <c r="A116" i="20"/>
  <c r="A17" i="20"/>
  <c r="M18" i="20"/>
  <c r="M19" i="20"/>
  <c r="M20" i="20"/>
  <c r="M21" i="20"/>
  <c r="M22" i="20"/>
  <c r="M23" i="20"/>
  <c r="M24" i="20"/>
  <c r="M25" i="20"/>
  <c r="M26" i="20"/>
  <c r="M27" i="20"/>
  <c r="M28" i="20"/>
  <c r="M29" i="20"/>
  <c r="M30" i="20"/>
  <c r="M31" i="20"/>
  <c r="M32" i="20"/>
  <c r="M33" i="20"/>
  <c r="M34" i="20"/>
  <c r="M35" i="20"/>
  <c r="M36" i="20"/>
  <c r="M37" i="20"/>
  <c r="M38" i="20"/>
  <c r="M39" i="20"/>
  <c r="M40" i="20"/>
  <c r="M41" i="20"/>
  <c r="M42" i="20"/>
  <c r="M43" i="20"/>
  <c r="M44" i="20"/>
  <c r="M45" i="20"/>
  <c r="M46" i="20"/>
  <c r="M47" i="20"/>
  <c r="M48" i="20"/>
  <c r="M49" i="20"/>
  <c r="M50" i="20"/>
  <c r="M51" i="20"/>
  <c r="M52" i="20"/>
  <c r="M53" i="20"/>
  <c r="M54" i="20"/>
  <c r="M55" i="20"/>
  <c r="M56" i="20"/>
  <c r="M57" i="20"/>
  <c r="M58" i="20"/>
  <c r="M59" i="20"/>
  <c r="M60" i="20"/>
  <c r="M61" i="20"/>
  <c r="M62" i="20"/>
  <c r="M63" i="20"/>
  <c r="M64" i="20"/>
  <c r="M65" i="20"/>
  <c r="M66" i="20"/>
  <c r="M67" i="20"/>
  <c r="M68" i="20"/>
  <c r="M69" i="20"/>
  <c r="M70" i="20"/>
  <c r="M71" i="20"/>
  <c r="M72" i="20"/>
  <c r="M73" i="20"/>
  <c r="M74" i="20"/>
  <c r="M75" i="20"/>
  <c r="M76" i="20"/>
  <c r="M77" i="20"/>
  <c r="M78" i="20"/>
  <c r="M79" i="20"/>
  <c r="M80" i="20"/>
  <c r="M81" i="20"/>
  <c r="M82" i="20"/>
  <c r="M83" i="20"/>
  <c r="M84" i="20"/>
  <c r="M85" i="20"/>
  <c r="M86" i="20"/>
  <c r="M87" i="20"/>
  <c r="M88" i="20"/>
  <c r="M89" i="20"/>
  <c r="M90" i="20"/>
  <c r="M91" i="20"/>
  <c r="M92" i="20"/>
  <c r="M93" i="20"/>
  <c r="M94" i="20"/>
  <c r="M95" i="20"/>
  <c r="M96" i="20"/>
  <c r="M97" i="20"/>
  <c r="M98" i="20"/>
  <c r="M99" i="20"/>
  <c r="M100" i="20"/>
  <c r="M101" i="20"/>
  <c r="M102" i="20"/>
  <c r="M103" i="20"/>
  <c r="M104" i="20"/>
  <c r="M105" i="20"/>
  <c r="M106" i="20"/>
  <c r="M107" i="20"/>
  <c r="M108" i="20"/>
  <c r="M109" i="20"/>
  <c r="M110" i="20"/>
  <c r="M111" i="20"/>
  <c r="M112" i="20"/>
  <c r="M113" i="20"/>
  <c r="M114" i="20"/>
  <c r="M115" i="20"/>
  <c r="M116" i="20"/>
  <c r="M17" i="20"/>
  <c r="J3" i="36" l="1"/>
  <c r="AC3" i="36"/>
  <c r="AB3" i="36"/>
  <c r="AA3" i="36"/>
  <c r="Z3" i="36"/>
  <c r="Y3" i="36"/>
  <c r="X3" i="36"/>
  <c r="W3" i="36"/>
  <c r="V3" i="36"/>
  <c r="U3" i="36"/>
  <c r="T3" i="36"/>
  <c r="S3" i="36"/>
  <c r="R3" i="36"/>
  <c r="Q3" i="36"/>
  <c r="P3" i="36"/>
  <c r="O3" i="36"/>
  <c r="N3" i="36"/>
  <c r="M3" i="36"/>
  <c r="L3" i="36"/>
  <c r="AC55" i="36"/>
  <c r="AB55" i="36"/>
  <c r="AA55" i="36"/>
  <c r="Z55" i="36"/>
  <c r="Y55" i="36"/>
  <c r="X55" i="36"/>
  <c r="W55" i="36"/>
  <c r="V55" i="36"/>
  <c r="U55" i="36"/>
  <c r="T55" i="36"/>
  <c r="S55" i="36"/>
  <c r="R55" i="36"/>
  <c r="Q55" i="36"/>
  <c r="P55" i="36"/>
  <c r="O55" i="36"/>
  <c r="N55" i="36"/>
  <c r="M55" i="36"/>
  <c r="L55" i="36"/>
  <c r="K55" i="36"/>
  <c r="AC54" i="36"/>
  <c r="AB54" i="36"/>
  <c r="AA54" i="36"/>
  <c r="Z54" i="36"/>
  <c r="Y54" i="36"/>
  <c r="X54" i="36"/>
  <c r="W54" i="36"/>
  <c r="V54" i="36"/>
  <c r="U54" i="36"/>
  <c r="T54" i="36"/>
  <c r="S54" i="36"/>
  <c r="R54" i="36"/>
  <c r="Q54" i="36"/>
  <c r="P54" i="36"/>
  <c r="O54" i="36"/>
  <c r="N54" i="36"/>
  <c r="M54" i="36"/>
  <c r="L54" i="36"/>
  <c r="K54" i="36"/>
  <c r="AC53" i="36"/>
  <c r="AB53" i="36"/>
  <c r="AA53" i="36"/>
  <c r="Z53" i="36"/>
  <c r="Y53" i="36"/>
  <c r="X53" i="36"/>
  <c r="W53" i="36"/>
  <c r="V53" i="36"/>
  <c r="U53" i="36"/>
  <c r="T53" i="36"/>
  <c r="S53" i="36"/>
  <c r="R53" i="36"/>
  <c r="Q53" i="36"/>
  <c r="P53" i="36"/>
  <c r="O53" i="36"/>
  <c r="N53" i="36"/>
  <c r="M53" i="36"/>
  <c r="L53" i="36"/>
  <c r="K53" i="36"/>
  <c r="AC52" i="36"/>
  <c r="AB52" i="36"/>
  <c r="AA52" i="36"/>
  <c r="Z52" i="36"/>
  <c r="Y52" i="36"/>
  <c r="X52" i="36"/>
  <c r="W52" i="36"/>
  <c r="V52" i="36"/>
  <c r="U52" i="36"/>
  <c r="T52" i="36"/>
  <c r="S52" i="36"/>
  <c r="R52" i="36"/>
  <c r="Q52" i="36"/>
  <c r="P52" i="36"/>
  <c r="O52" i="36"/>
  <c r="N52" i="36"/>
  <c r="M52" i="36"/>
  <c r="L52" i="36"/>
  <c r="K52" i="36"/>
  <c r="AC51" i="36"/>
  <c r="AB51" i="36"/>
  <c r="AA51" i="36"/>
  <c r="Z51" i="36"/>
  <c r="Y51" i="36"/>
  <c r="X51" i="36"/>
  <c r="W51" i="36"/>
  <c r="V51" i="36"/>
  <c r="U51" i="36"/>
  <c r="T51" i="36"/>
  <c r="S51" i="36"/>
  <c r="R51" i="36"/>
  <c r="Q51" i="36"/>
  <c r="P51" i="36"/>
  <c r="O51" i="36"/>
  <c r="N51" i="36"/>
  <c r="M51" i="36"/>
  <c r="L51" i="36"/>
  <c r="K51" i="36"/>
  <c r="AC50" i="36"/>
  <c r="AB50" i="36"/>
  <c r="AA50" i="36"/>
  <c r="Z50" i="36"/>
  <c r="Y50" i="36"/>
  <c r="X50" i="36"/>
  <c r="W50" i="36"/>
  <c r="V50" i="36"/>
  <c r="U50" i="36"/>
  <c r="T50" i="36"/>
  <c r="S50" i="36"/>
  <c r="R50" i="36"/>
  <c r="Q50" i="36"/>
  <c r="P50" i="36"/>
  <c r="O50" i="36"/>
  <c r="N50" i="36"/>
  <c r="M50" i="36"/>
  <c r="L50" i="36"/>
  <c r="K50" i="36"/>
  <c r="AC49" i="36"/>
  <c r="AB49" i="36"/>
  <c r="AA49" i="36"/>
  <c r="Z49" i="36"/>
  <c r="Y49" i="36"/>
  <c r="X49" i="36"/>
  <c r="W49" i="36"/>
  <c r="V49" i="36"/>
  <c r="U49" i="36"/>
  <c r="T49" i="36"/>
  <c r="S49" i="36"/>
  <c r="R49" i="36"/>
  <c r="Q49" i="36"/>
  <c r="P49" i="36"/>
  <c r="O49" i="36"/>
  <c r="N49" i="36"/>
  <c r="M49" i="36"/>
  <c r="L49" i="36"/>
  <c r="K49" i="36"/>
  <c r="AC48" i="36"/>
  <c r="AB48" i="36"/>
  <c r="AA48" i="36"/>
  <c r="Z48" i="36"/>
  <c r="Y48" i="36"/>
  <c r="X48" i="36"/>
  <c r="W48" i="36"/>
  <c r="V48" i="36"/>
  <c r="U48" i="36"/>
  <c r="T48" i="36"/>
  <c r="S48" i="36"/>
  <c r="R48" i="36"/>
  <c r="Q48" i="36"/>
  <c r="P48" i="36"/>
  <c r="O48" i="36"/>
  <c r="N48" i="36"/>
  <c r="M48" i="36"/>
  <c r="L48" i="36"/>
  <c r="K48" i="36"/>
  <c r="AC47" i="36"/>
  <c r="AB47" i="36"/>
  <c r="AA47" i="36"/>
  <c r="Z47" i="36"/>
  <c r="Y47" i="36"/>
  <c r="X47" i="36"/>
  <c r="W47" i="36"/>
  <c r="V47" i="36"/>
  <c r="U47" i="36"/>
  <c r="T47" i="36"/>
  <c r="S47" i="36"/>
  <c r="R47" i="36"/>
  <c r="Q47" i="36"/>
  <c r="P47" i="36"/>
  <c r="O47" i="36"/>
  <c r="N47" i="36"/>
  <c r="M47" i="36"/>
  <c r="L47" i="36"/>
  <c r="K47" i="36"/>
  <c r="AC46" i="36"/>
  <c r="AB46" i="36"/>
  <c r="AA46" i="36"/>
  <c r="Z46" i="36"/>
  <c r="Y46" i="36"/>
  <c r="X46" i="36"/>
  <c r="W46" i="36"/>
  <c r="V46" i="36"/>
  <c r="U46" i="36"/>
  <c r="T46" i="36"/>
  <c r="S46" i="36"/>
  <c r="R46" i="36"/>
  <c r="Q46" i="36"/>
  <c r="P46" i="36"/>
  <c r="O46" i="36"/>
  <c r="N46" i="36"/>
  <c r="M46" i="36"/>
  <c r="L46" i="36"/>
  <c r="K46" i="36"/>
  <c r="AC45" i="36"/>
  <c r="AB45" i="36"/>
  <c r="AA45" i="36"/>
  <c r="Z45" i="36"/>
  <c r="Y45" i="36"/>
  <c r="X45" i="36"/>
  <c r="W45" i="36"/>
  <c r="V45" i="36"/>
  <c r="U45" i="36"/>
  <c r="T45" i="36"/>
  <c r="S45" i="36"/>
  <c r="R45" i="36"/>
  <c r="Q45" i="36"/>
  <c r="P45" i="36"/>
  <c r="O45" i="36"/>
  <c r="N45" i="36"/>
  <c r="M45" i="36"/>
  <c r="L45" i="36"/>
  <c r="K45" i="36"/>
  <c r="AC44" i="36"/>
  <c r="AB44" i="36"/>
  <c r="AA44" i="36"/>
  <c r="Z44" i="36"/>
  <c r="Y44" i="36"/>
  <c r="X44" i="36"/>
  <c r="W44" i="36"/>
  <c r="V44" i="36"/>
  <c r="U44" i="36"/>
  <c r="T44" i="36"/>
  <c r="S44" i="36"/>
  <c r="R44" i="36"/>
  <c r="Q44" i="36"/>
  <c r="P44" i="36"/>
  <c r="O44" i="36"/>
  <c r="N44" i="36"/>
  <c r="M44" i="36"/>
  <c r="L44" i="36"/>
  <c r="K44" i="36"/>
  <c r="AC43" i="36"/>
  <c r="AB43" i="36"/>
  <c r="AA43" i="36"/>
  <c r="Z43" i="36"/>
  <c r="Y43" i="36"/>
  <c r="X43" i="36"/>
  <c r="W43" i="36"/>
  <c r="V43" i="36"/>
  <c r="U43" i="36"/>
  <c r="T43" i="36"/>
  <c r="S43" i="36"/>
  <c r="R43" i="36"/>
  <c r="Q43" i="36"/>
  <c r="P43" i="36"/>
  <c r="O43" i="36"/>
  <c r="N43" i="36"/>
  <c r="M43" i="36"/>
  <c r="L43" i="36"/>
  <c r="K43" i="36"/>
  <c r="AC42" i="36"/>
  <c r="AB42" i="36"/>
  <c r="AA42" i="36"/>
  <c r="Z42" i="36"/>
  <c r="Y42" i="36"/>
  <c r="X42" i="36"/>
  <c r="W42" i="36"/>
  <c r="V42" i="36"/>
  <c r="U42" i="36"/>
  <c r="T42" i="36"/>
  <c r="S42" i="36"/>
  <c r="R42" i="36"/>
  <c r="Q42" i="36"/>
  <c r="P42" i="36"/>
  <c r="O42" i="36"/>
  <c r="N42" i="36"/>
  <c r="M42" i="36"/>
  <c r="L42" i="36"/>
  <c r="K42" i="36"/>
  <c r="AC41" i="36"/>
  <c r="AB41" i="36"/>
  <c r="AA41" i="36"/>
  <c r="Z41" i="36"/>
  <c r="Y41" i="36"/>
  <c r="X41" i="36"/>
  <c r="W41" i="36"/>
  <c r="V41" i="36"/>
  <c r="U41" i="36"/>
  <c r="T41" i="36"/>
  <c r="S41" i="36"/>
  <c r="R41" i="36"/>
  <c r="Q41" i="36"/>
  <c r="P41" i="36"/>
  <c r="O41" i="36"/>
  <c r="N41" i="36"/>
  <c r="M41" i="36"/>
  <c r="L41" i="36"/>
  <c r="K41" i="36"/>
  <c r="AC40" i="36"/>
  <c r="AB40" i="36"/>
  <c r="AA40" i="36"/>
  <c r="Z40" i="36"/>
  <c r="Y40" i="36"/>
  <c r="X40" i="36"/>
  <c r="W40" i="36"/>
  <c r="V40" i="36"/>
  <c r="U40" i="36"/>
  <c r="T40" i="36"/>
  <c r="S40" i="36"/>
  <c r="R40" i="36"/>
  <c r="Q40" i="36"/>
  <c r="P40" i="36"/>
  <c r="O40" i="36"/>
  <c r="N40" i="36"/>
  <c r="M40" i="36"/>
  <c r="L40" i="36"/>
  <c r="K40" i="36"/>
  <c r="AC39" i="36"/>
  <c r="AB39" i="36"/>
  <c r="AA39" i="36"/>
  <c r="Z39" i="36"/>
  <c r="Y39" i="36"/>
  <c r="X39" i="36"/>
  <c r="W39" i="36"/>
  <c r="V39" i="36"/>
  <c r="U39" i="36"/>
  <c r="T39" i="36"/>
  <c r="S39" i="36"/>
  <c r="R39" i="36"/>
  <c r="Q39" i="36"/>
  <c r="P39" i="36"/>
  <c r="O39" i="36"/>
  <c r="N39" i="36"/>
  <c r="M39" i="36"/>
  <c r="L39" i="36"/>
  <c r="K39" i="36"/>
  <c r="AC38" i="36"/>
  <c r="AB38" i="36"/>
  <c r="AA38" i="36"/>
  <c r="Z38" i="36"/>
  <c r="Y38" i="36"/>
  <c r="X38" i="36"/>
  <c r="W38" i="36"/>
  <c r="V38" i="36"/>
  <c r="U38" i="36"/>
  <c r="T38" i="36"/>
  <c r="S38" i="36"/>
  <c r="R38" i="36"/>
  <c r="Q38" i="36"/>
  <c r="P38" i="36"/>
  <c r="O38" i="36"/>
  <c r="N38" i="36"/>
  <c r="M38" i="36"/>
  <c r="L38" i="36"/>
  <c r="K38" i="36"/>
  <c r="AC37" i="36"/>
  <c r="AB37" i="36"/>
  <c r="AA37" i="36"/>
  <c r="Z37" i="36"/>
  <c r="Y37" i="36"/>
  <c r="X37" i="36"/>
  <c r="W37" i="36"/>
  <c r="V37" i="36"/>
  <c r="U37" i="36"/>
  <c r="T37" i="36"/>
  <c r="S37" i="36"/>
  <c r="R37" i="36"/>
  <c r="Q37" i="36"/>
  <c r="P37" i="36"/>
  <c r="O37" i="36"/>
  <c r="N37" i="36"/>
  <c r="M37" i="36"/>
  <c r="L37" i="36"/>
  <c r="K37" i="36"/>
  <c r="AC36" i="36"/>
  <c r="AB36" i="36"/>
  <c r="AA36" i="36"/>
  <c r="Z36" i="36"/>
  <c r="Y36" i="36"/>
  <c r="X36" i="36"/>
  <c r="W36" i="36"/>
  <c r="V36" i="36"/>
  <c r="U36" i="36"/>
  <c r="T36" i="36"/>
  <c r="S36" i="36"/>
  <c r="R36" i="36"/>
  <c r="Q36" i="36"/>
  <c r="P36" i="36"/>
  <c r="O36" i="36"/>
  <c r="N36" i="36"/>
  <c r="M36" i="36"/>
  <c r="L36" i="36"/>
  <c r="K36" i="36"/>
  <c r="AC35" i="36"/>
  <c r="AB35" i="36"/>
  <c r="AA35" i="36"/>
  <c r="Z35" i="36"/>
  <c r="Y35" i="36"/>
  <c r="X35" i="36"/>
  <c r="W35" i="36"/>
  <c r="V35" i="36"/>
  <c r="U35" i="36"/>
  <c r="T35" i="36"/>
  <c r="S35" i="36"/>
  <c r="R35" i="36"/>
  <c r="Q35" i="36"/>
  <c r="P35" i="36"/>
  <c r="O35" i="36"/>
  <c r="N35" i="36"/>
  <c r="M35" i="36"/>
  <c r="L35" i="36"/>
  <c r="K35" i="36"/>
  <c r="AC34" i="36"/>
  <c r="AB34" i="36"/>
  <c r="AA34" i="36"/>
  <c r="Z34" i="36"/>
  <c r="Y34" i="36"/>
  <c r="X34" i="36"/>
  <c r="W34" i="36"/>
  <c r="V34" i="36"/>
  <c r="U34" i="36"/>
  <c r="T34" i="36"/>
  <c r="S34" i="36"/>
  <c r="R34" i="36"/>
  <c r="Q34" i="36"/>
  <c r="P34" i="36"/>
  <c r="O34" i="36"/>
  <c r="N34" i="36"/>
  <c r="M34" i="36"/>
  <c r="L34" i="36"/>
  <c r="K34" i="36"/>
  <c r="AC33" i="36"/>
  <c r="AB33" i="36"/>
  <c r="AA33" i="36"/>
  <c r="Z33" i="36"/>
  <c r="Y33" i="36"/>
  <c r="X33" i="36"/>
  <c r="W33" i="36"/>
  <c r="V33" i="36"/>
  <c r="U33" i="36"/>
  <c r="T33" i="36"/>
  <c r="S33" i="36"/>
  <c r="R33" i="36"/>
  <c r="Q33" i="36"/>
  <c r="P33" i="36"/>
  <c r="O33" i="36"/>
  <c r="N33" i="36"/>
  <c r="M33" i="36"/>
  <c r="L33" i="36"/>
  <c r="K33" i="36"/>
  <c r="AC32" i="36"/>
  <c r="AB32" i="36"/>
  <c r="AA32" i="36"/>
  <c r="Z32" i="36"/>
  <c r="Y32" i="36"/>
  <c r="X32" i="36"/>
  <c r="W32" i="36"/>
  <c r="V32" i="36"/>
  <c r="U32" i="36"/>
  <c r="T32" i="36"/>
  <c r="S32" i="36"/>
  <c r="R32" i="36"/>
  <c r="Q32" i="36"/>
  <c r="P32" i="36"/>
  <c r="O32" i="36"/>
  <c r="N32" i="36"/>
  <c r="M32" i="36"/>
  <c r="L32" i="36"/>
  <c r="K32" i="36"/>
  <c r="AC31" i="36"/>
  <c r="AB31" i="36"/>
  <c r="AA31" i="36"/>
  <c r="Z31" i="36"/>
  <c r="Y31" i="36"/>
  <c r="X31" i="36"/>
  <c r="W31" i="36"/>
  <c r="V31" i="36"/>
  <c r="U31" i="36"/>
  <c r="T31" i="36"/>
  <c r="S31" i="36"/>
  <c r="R31" i="36"/>
  <c r="Q31" i="36"/>
  <c r="P31" i="36"/>
  <c r="O31" i="36"/>
  <c r="N31" i="36"/>
  <c r="M31" i="36"/>
  <c r="L31" i="36"/>
  <c r="K31" i="36"/>
  <c r="AC30" i="36"/>
  <c r="AB30" i="36"/>
  <c r="AA30" i="36"/>
  <c r="Z30" i="36"/>
  <c r="Y30" i="36"/>
  <c r="X30" i="36"/>
  <c r="W30" i="36"/>
  <c r="V30" i="36"/>
  <c r="U30" i="36"/>
  <c r="T30" i="36"/>
  <c r="S30" i="36"/>
  <c r="R30" i="36"/>
  <c r="Q30" i="36"/>
  <c r="P30" i="36"/>
  <c r="O30" i="36"/>
  <c r="N30" i="36"/>
  <c r="M30" i="36"/>
  <c r="L30" i="36"/>
  <c r="K30" i="36"/>
  <c r="AC29" i="36"/>
  <c r="AB29" i="36"/>
  <c r="AA29" i="36"/>
  <c r="Z29" i="36"/>
  <c r="Y29" i="36"/>
  <c r="X29" i="36"/>
  <c r="W29" i="36"/>
  <c r="V29" i="36"/>
  <c r="U29" i="36"/>
  <c r="T29" i="36"/>
  <c r="S29" i="36"/>
  <c r="R29" i="36"/>
  <c r="Q29" i="36"/>
  <c r="P29" i="36"/>
  <c r="O29" i="36"/>
  <c r="N29" i="36"/>
  <c r="M29" i="36"/>
  <c r="L29" i="36"/>
  <c r="K29" i="36"/>
  <c r="AC28" i="36"/>
  <c r="AB28" i="36"/>
  <c r="AA28" i="36"/>
  <c r="Z28" i="36"/>
  <c r="Y28" i="36"/>
  <c r="X28" i="36"/>
  <c r="W28" i="36"/>
  <c r="V28" i="36"/>
  <c r="U28" i="36"/>
  <c r="T28" i="36"/>
  <c r="S28" i="36"/>
  <c r="R28" i="36"/>
  <c r="Q28" i="36"/>
  <c r="P28" i="36"/>
  <c r="O28" i="36"/>
  <c r="N28" i="36"/>
  <c r="M28" i="36"/>
  <c r="L28" i="36"/>
  <c r="K28" i="36"/>
  <c r="AC27" i="36"/>
  <c r="AB27" i="36"/>
  <c r="AA27" i="36"/>
  <c r="Z27" i="36"/>
  <c r="Y27" i="36"/>
  <c r="X27" i="36"/>
  <c r="W27" i="36"/>
  <c r="V27" i="36"/>
  <c r="U27" i="36"/>
  <c r="T27" i="36"/>
  <c r="S27" i="36"/>
  <c r="R27" i="36"/>
  <c r="Q27" i="36"/>
  <c r="P27" i="36"/>
  <c r="O27" i="36"/>
  <c r="N27" i="36"/>
  <c r="M27" i="36"/>
  <c r="L27" i="36"/>
  <c r="K27" i="36"/>
  <c r="AC26" i="36"/>
  <c r="AB26" i="36"/>
  <c r="AA26" i="36"/>
  <c r="Z26" i="36"/>
  <c r="Y26" i="36"/>
  <c r="X26" i="36"/>
  <c r="W26" i="36"/>
  <c r="V26" i="36"/>
  <c r="U26" i="36"/>
  <c r="T26" i="36"/>
  <c r="S26" i="36"/>
  <c r="R26" i="36"/>
  <c r="Q26" i="36"/>
  <c r="P26" i="36"/>
  <c r="O26" i="36"/>
  <c r="N26" i="36"/>
  <c r="M26" i="36"/>
  <c r="L26" i="36"/>
  <c r="K26" i="36"/>
  <c r="AC25" i="36"/>
  <c r="AB25" i="36"/>
  <c r="AA25" i="36"/>
  <c r="Z25" i="36"/>
  <c r="Y25" i="36"/>
  <c r="X25" i="36"/>
  <c r="W25" i="36"/>
  <c r="V25" i="36"/>
  <c r="U25" i="36"/>
  <c r="T25" i="36"/>
  <c r="S25" i="36"/>
  <c r="R25" i="36"/>
  <c r="Q25" i="36"/>
  <c r="P25" i="36"/>
  <c r="O25" i="36"/>
  <c r="N25" i="36"/>
  <c r="M25" i="36"/>
  <c r="L25" i="36"/>
  <c r="K25" i="36"/>
  <c r="AC24" i="36"/>
  <c r="AB24" i="36"/>
  <c r="AA24" i="36"/>
  <c r="Z24" i="36"/>
  <c r="Y24" i="36"/>
  <c r="X24" i="36"/>
  <c r="W24" i="36"/>
  <c r="V24" i="36"/>
  <c r="U24" i="36"/>
  <c r="T24" i="36"/>
  <c r="S24" i="36"/>
  <c r="R24" i="36"/>
  <c r="Q24" i="36"/>
  <c r="P24" i="36"/>
  <c r="O24" i="36"/>
  <c r="N24" i="36"/>
  <c r="M24" i="36"/>
  <c r="L24" i="36"/>
  <c r="K24" i="36"/>
  <c r="AC23" i="36"/>
  <c r="AB23" i="36"/>
  <c r="AA23" i="36"/>
  <c r="Z23" i="36"/>
  <c r="Y23" i="36"/>
  <c r="X23" i="36"/>
  <c r="W23" i="36"/>
  <c r="V23" i="36"/>
  <c r="U23" i="36"/>
  <c r="T23" i="36"/>
  <c r="S23" i="36"/>
  <c r="R23" i="36"/>
  <c r="Q23" i="36"/>
  <c r="P23" i="36"/>
  <c r="O23" i="36"/>
  <c r="N23" i="36"/>
  <c r="M23" i="36"/>
  <c r="L23" i="36"/>
  <c r="K23" i="36"/>
  <c r="AC22" i="36"/>
  <c r="AB22" i="36"/>
  <c r="AA22" i="36"/>
  <c r="Z22" i="36"/>
  <c r="Y22" i="36"/>
  <c r="X22" i="36"/>
  <c r="W22" i="36"/>
  <c r="V22" i="36"/>
  <c r="U22" i="36"/>
  <c r="T22" i="36"/>
  <c r="S22" i="36"/>
  <c r="R22" i="36"/>
  <c r="Q22" i="36"/>
  <c r="P22" i="36"/>
  <c r="O22" i="36"/>
  <c r="N22" i="36"/>
  <c r="M22" i="36"/>
  <c r="L22" i="36"/>
  <c r="K22" i="36"/>
  <c r="AC21" i="36"/>
  <c r="AB21" i="36"/>
  <c r="AA21" i="36"/>
  <c r="Z21" i="36"/>
  <c r="Y21" i="36"/>
  <c r="X21" i="36"/>
  <c r="W21" i="36"/>
  <c r="V21" i="36"/>
  <c r="U21" i="36"/>
  <c r="T21" i="36"/>
  <c r="S21" i="36"/>
  <c r="R21" i="36"/>
  <c r="Q21" i="36"/>
  <c r="P21" i="36"/>
  <c r="O21" i="36"/>
  <c r="N21" i="36"/>
  <c r="M21" i="36"/>
  <c r="L21" i="36"/>
  <c r="K21" i="36"/>
  <c r="AC20" i="36"/>
  <c r="AB20" i="36"/>
  <c r="AA20" i="36"/>
  <c r="Z20" i="36"/>
  <c r="Y20" i="36"/>
  <c r="X20" i="36"/>
  <c r="W20" i="36"/>
  <c r="V20" i="36"/>
  <c r="U20" i="36"/>
  <c r="T20" i="36"/>
  <c r="S20" i="36"/>
  <c r="R20" i="36"/>
  <c r="Q20" i="36"/>
  <c r="P20" i="36"/>
  <c r="O20" i="36"/>
  <c r="N20" i="36"/>
  <c r="M20" i="36"/>
  <c r="L20" i="36"/>
  <c r="K20" i="36"/>
  <c r="AC19" i="36"/>
  <c r="AB19" i="36"/>
  <c r="AA19" i="36"/>
  <c r="Z19" i="36"/>
  <c r="Y19" i="36"/>
  <c r="X19" i="36"/>
  <c r="W19" i="36"/>
  <c r="V19" i="36"/>
  <c r="U19" i="36"/>
  <c r="T19" i="36"/>
  <c r="S19" i="36"/>
  <c r="R19" i="36"/>
  <c r="Q19" i="36"/>
  <c r="P19" i="36"/>
  <c r="O19" i="36"/>
  <c r="N19" i="36"/>
  <c r="M19" i="36"/>
  <c r="L19" i="36"/>
  <c r="K19" i="36"/>
  <c r="AC18" i="36"/>
  <c r="AB18" i="36"/>
  <c r="AA18" i="36"/>
  <c r="Z18" i="36"/>
  <c r="Y18" i="36"/>
  <c r="X18" i="36"/>
  <c r="W18" i="36"/>
  <c r="V18" i="36"/>
  <c r="U18" i="36"/>
  <c r="T18" i="36"/>
  <c r="S18" i="36"/>
  <c r="R18" i="36"/>
  <c r="Q18" i="36"/>
  <c r="P18" i="36"/>
  <c r="O18" i="36"/>
  <c r="N18" i="36"/>
  <c r="M18" i="36"/>
  <c r="L18" i="36"/>
  <c r="K18" i="36"/>
  <c r="AC17" i="36"/>
  <c r="AB17" i="36"/>
  <c r="AA17" i="36"/>
  <c r="Z17" i="36"/>
  <c r="Y17" i="36"/>
  <c r="X17" i="36"/>
  <c r="W17" i="36"/>
  <c r="V17" i="36"/>
  <c r="U17" i="36"/>
  <c r="T17" i="36"/>
  <c r="S17" i="36"/>
  <c r="R17" i="36"/>
  <c r="Q17" i="36"/>
  <c r="P17" i="36"/>
  <c r="O17" i="36"/>
  <c r="N17" i="36"/>
  <c r="M17" i="36"/>
  <c r="L17" i="36"/>
  <c r="K17" i="36"/>
  <c r="AC16" i="36"/>
  <c r="AB16" i="36"/>
  <c r="AA16" i="36"/>
  <c r="Z16" i="36"/>
  <c r="Y16" i="36"/>
  <c r="X16" i="36"/>
  <c r="W16" i="36"/>
  <c r="V16" i="36"/>
  <c r="U16" i="36"/>
  <c r="T16" i="36"/>
  <c r="S16" i="36"/>
  <c r="R16" i="36"/>
  <c r="Q16" i="36"/>
  <c r="P16" i="36"/>
  <c r="O16" i="36"/>
  <c r="N16" i="36"/>
  <c r="M16" i="36"/>
  <c r="L16" i="36"/>
  <c r="K16" i="36"/>
  <c r="AC15" i="36"/>
  <c r="AB15" i="36"/>
  <c r="AA15" i="36"/>
  <c r="Z15" i="36"/>
  <c r="Y15" i="36"/>
  <c r="X15" i="36"/>
  <c r="W15" i="36"/>
  <c r="V15" i="36"/>
  <c r="U15" i="36"/>
  <c r="T15" i="36"/>
  <c r="S15" i="36"/>
  <c r="R15" i="36"/>
  <c r="Q15" i="36"/>
  <c r="P15" i="36"/>
  <c r="O15" i="36"/>
  <c r="N15" i="36"/>
  <c r="M15" i="36"/>
  <c r="L15" i="36"/>
  <c r="K15" i="36"/>
  <c r="AC14" i="36"/>
  <c r="AB14" i="36"/>
  <c r="AA14" i="36"/>
  <c r="Z14" i="36"/>
  <c r="Y14" i="36"/>
  <c r="X14" i="36"/>
  <c r="W14" i="36"/>
  <c r="V14" i="36"/>
  <c r="U14" i="36"/>
  <c r="T14" i="36"/>
  <c r="S14" i="36"/>
  <c r="R14" i="36"/>
  <c r="Q14" i="36"/>
  <c r="P14" i="36"/>
  <c r="O14" i="36"/>
  <c r="N14" i="36"/>
  <c r="M14" i="36"/>
  <c r="L14" i="36"/>
  <c r="K14" i="36"/>
  <c r="AC13" i="36"/>
  <c r="AB13" i="36"/>
  <c r="AA13" i="36"/>
  <c r="Z13" i="36"/>
  <c r="Y13" i="36"/>
  <c r="X13" i="36"/>
  <c r="W13" i="36"/>
  <c r="V13" i="36"/>
  <c r="U13" i="36"/>
  <c r="T13" i="36"/>
  <c r="S13" i="36"/>
  <c r="R13" i="36"/>
  <c r="Q13" i="36"/>
  <c r="P13" i="36"/>
  <c r="O13" i="36"/>
  <c r="N13" i="36"/>
  <c r="M13" i="36"/>
  <c r="L13" i="36"/>
  <c r="K13" i="36"/>
  <c r="AC12" i="36"/>
  <c r="AB12" i="36"/>
  <c r="AA12" i="36"/>
  <c r="Z12" i="36"/>
  <c r="Y12" i="36"/>
  <c r="X12" i="36"/>
  <c r="W12" i="36"/>
  <c r="V12" i="36"/>
  <c r="U12" i="36"/>
  <c r="T12" i="36"/>
  <c r="S12" i="36"/>
  <c r="R12" i="36"/>
  <c r="Q12" i="36"/>
  <c r="P12" i="36"/>
  <c r="O12" i="36"/>
  <c r="N12" i="36"/>
  <c r="M12" i="36"/>
  <c r="L12" i="36"/>
  <c r="K12" i="36"/>
  <c r="AC11" i="36"/>
  <c r="AB11" i="36"/>
  <c r="AA11" i="36"/>
  <c r="Z11" i="36"/>
  <c r="Y11" i="36"/>
  <c r="X11" i="36"/>
  <c r="W11" i="36"/>
  <c r="V11" i="36"/>
  <c r="U11" i="36"/>
  <c r="T11" i="36"/>
  <c r="S11" i="36"/>
  <c r="R11" i="36"/>
  <c r="Q11" i="36"/>
  <c r="P11" i="36"/>
  <c r="O11" i="36"/>
  <c r="N11" i="36"/>
  <c r="M11" i="36"/>
  <c r="L11" i="36"/>
  <c r="K11" i="36"/>
  <c r="AC10" i="36"/>
  <c r="AB10" i="36"/>
  <c r="AA10" i="36"/>
  <c r="Z10" i="36"/>
  <c r="Y10" i="36"/>
  <c r="X10" i="36"/>
  <c r="W10" i="36"/>
  <c r="V10" i="36"/>
  <c r="U10" i="36"/>
  <c r="T10" i="36"/>
  <c r="S10" i="36"/>
  <c r="R10" i="36"/>
  <c r="Q10" i="36"/>
  <c r="P10" i="36"/>
  <c r="O10" i="36"/>
  <c r="N10" i="36"/>
  <c r="M10" i="36"/>
  <c r="L10" i="36"/>
  <c r="K10" i="36"/>
  <c r="AC9" i="36"/>
  <c r="AB9" i="36"/>
  <c r="AA9" i="36"/>
  <c r="Z9" i="36"/>
  <c r="Y9" i="36"/>
  <c r="X9" i="36"/>
  <c r="W9" i="36"/>
  <c r="V9" i="36"/>
  <c r="U9" i="36"/>
  <c r="T9" i="36"/>
  <c r="S9" i="36"/>
  <c r="R9" i="36"/>
  <c r="Q9" i="36"/>
  <c r="P9" i="36"/>
  <c r="O9" i="36"/>
  <c r="N9" i="36"/>
  <c r="M9" i="36"/>
  <c r="L9" i="36"/>
  <c r="K9" i="36"/>
  <c r="AC8" i="36"/>
  <c r="AB8" i="36"/>
  <c r="AA8" i="36"/>
  <c r="Z8" i="36"/>
  <c r="Y8" i="36"/>
  <c r="X8" i="36"/>
  <c r="W8" i="36"/>
  <c r="V8" i="36"/>
  <c r="U8" i="36"/>
  <c r="T8" i="36"/>
  <c r="S8" i="36"/>
  <c r="R8" i="36"/>
  <c r="Q8" i="36"/>
  <c r="P8" i="36"/>
  <c r="O8" i="36"/>
  <c r="N8" i="36"/>
  <c r="M8" i="36"/>
  <c r="L8" i="36"/>
  <c r="K8" i="36"/>
  <c r="AC7" i="36"/>
  <c r="AB7" i="36"/>
  <c r="AA7" i="36"/>
  <c r="Z7" i="36"/>
  <c r="Y7" i="36"/>
  <c r="X7" i="36"/>
  <c r="W7" i="36"/>
  <c r="V7" i="36"/>
  <c r="U7" i="36"/>
  <c r="T7" i="36"/>
  <c r="S7" i="36"/>
  <c r="R7" i="36"/>
  <c r="Q7" i="36"/>
  <c r="P7" i="36"/>
  <c r="O7" i="36"/>
  <c r="N7" i="36"/>
  <c r="M7" i="36"/>
  <c r="L7" i="36"/>
  <c r="K7" i="36"/>
  <c r="AC6" i="36"/>
  <c r="AB6" i="36"/>
  <c r="AA6" i="36"/>
  <c r="Z6" i="36"/>
  <c r="Y6" i="36"/>
  <c r="X6" i="36"/>
  <c r="W6" i="36"/>
  <c r="V6" i="36"/>
  <c r="U6" i="36"/>
  <c r="T6" i="36"/>
  <c r="S6" i="36"/>
  <c r="R6" i="36"/>
  <c r="Q6" i="36"/>
  <c r="P6" i="36"/>
  <c r="O6" i="36"/>
  <c r="N6" i="36"/>
  <c r="M6" i="36"/>
  <c r="L6" i="36"/>
  <c r="K6" i="36"/>
  <c r="AC5" i="36"/>
  <c r="AB5" i="36"/>
  <c r="AA5" i="36"/>
  <c r="Z5" i="36"/>
  <c r="Y5" i="36"/>
  <c r="X5" i="36"/>
  <c r="W5" i="36"/>
  <c r="V5" i="36"/>
  <c r="U5" i="36"/>
  <c r="T5" i="36"/>
  <c r="S5" i="36"/>
  <c r="R5" i="36"/>
  <c r="Q5" i="36"/>
  <c r="P5" i="36"/>
  <c r="O5" i="36"/>
  <c r="N5" i="36"/>
  <c r="M5" i="36"/>
  <c r="L5" i="36"/>
  <c r="K5" i="36"/>
  <c r="AC4" i="36"/>
  <c r="AB4" i="36"/>
  <c r="AA4" i="36"/>
  <c r="Z4" i="36"/>
  <c r="Y4" i="36"/>
  <c r="X4" i="36"/>
  <c r="W4" i="36"/>
  <c r="V4" i="36"/>
  <c r="U4" i="36"/>
  <c r="T4" i="36"/>
  <c r="S4" i="36"/>
  <c r="R4" i="36"/>
  <c r="Q4" i="36"/>
  <c r="P4" i="36"/>
  <c r="O4" i="36"/>
  <c r="N4" i="36"/>
  <c r="M4" i="36"/>
  <c r="L4" i="36"/>
  <c r="K4" i="36"/>
  <c r="J5" i="36"/>
  <c r="J6" i="36"/>
  <c r="J7" i="36"/>
  <c r="J8" i="36"/>
  <c r="J9" i="36"/>
  <c r="J10" i="36"/>
  <c r="J11" i="36"/>
  <c r="J12" i="36"/>
  <c r="J13" i="36"/>
  <c r="J14" i="36"/>
  <c r="J15" i="36"/>
  <c r="J16" i="36"/>
  <c r="J17" i="36"/>
  <c r="J18" i="36"/>
  <c r="J19" i="36"/>
  <c r="J20" i="36"/>
  <c r="J21" i="36"/>
  <c r="J22" i="36"/>
  <c r="J23" i="36"/>
  <c r="J24" i="36"/>
  <c r="J25" i="36"/>
  <c r="J26" i="36"/>
  <c r="J27" i="36"/>
  <c r="J28" i="36"/>
  <c r="J29" i="36"/>
  <c r="J30" i="36"/>
  <c r="J31" i="36"/>
  <c r="J32" i="36"/>
  <c r="J33" i="36"/>
  <c r="J34" i="36"/>
  <c r="J35" i="36"/>
  <c r="J36" i="36"/>
  <c r="J37" i="36"/>
  <c r="J38" i="36"/>
  <c r="J39" i="36"/>
  <c r="J40" i="36"/>
  <c r="J41" i="36"/>
  <c r="J42" i="36"/>
  <c r="J43" i="36"/>
  <c r="J44" i="36"/>
  <c r="J45" i="36"/>
  <c r="J46" i="36"/>
  <c r="J47" i="36"/>
  <c r="J48" i="36"/>
  <c r="J49" i="36"/>
  <c r="J50" i="36"/>
  <c r="J51" i="36"/>
  <c r="J52" i="36"/>
  <c r="J53" i="36"/>
  <c r="J54" i="36"/>
  <c r="J55" i="36"/>
  <c r="J4" i="36"/>
  <c r="A5" i="36"/>
  <c r="A6" i="36" s="1"/>
  <c r="A7" i="36" s="1"/>
  <c r="A8" i="36" s="1"/>
  <c r="A9" i="36" s="1"/>
  <c r="A10" i="36" s="1"/>
  <c r="A11" i="36" s="1"/>
  <c r="A12" i="36" s="1"/>
  <c r="A13" i="36" s="1"/>
  <c r="A14" i="36" s="1"/>
  <c r="A15" i="36" s="1"/>
  <c r="A16" i="36" s="1"/>
  <c r="A17" i="36" s="1"/>
  <c r="A18" i="36" s="1"/>
  <c r="A19" i="36" s="1"/>
  <c r="A20" i="36" s="1"/>
  <c r="A21" i="36" s="1"/>
  <c r="A22" i="36" s="1"/>
  <c r="A23" i="36" s="1"/>
  <c r="A24" i="36" s="1"/>
  <c r="A25" i="36" s="1"/>
  <c r="A26" i="36" s="1"/>
  <c r="A27" i="36" s="1"/>
  <c r="A28" i="36" s="1"/>
  <c r="A29" i="36" s="1"/>
  <c r="A30" i="36" s="1"/>
  <c r="A31" i="36" s="1"/>
  <c r="A32" i="36" s="1"/>
  <c r="A33" i="36" s="1"/>
  <c r="A34" i="36" s="1"/>
  <c r="A35" i="36" s="1"/>
  <c r="A36" i="36" s="1"/>
  <c r="A37" i="36" s="1"/>
  <c r="A38" i="36" s="1"/>
  <c r="A39" i="36" s="1"/>
  <c r="A40" i="36" s="1"/>
  <c r="A41" i="36" s="1"/>
  <c r="A42" i="36" s="1"/>
  <c r="A43" i="36" s="1"/>
  <c r="A44" i="36" s="1"/>
  <c r="A45" i="36" s="1"/>
  <c r="A46" i="36" s="1"/>
  <c r="A47" i="36" s="1"/>
  <c r="A48" i="36" s="1"/>
  <c r="A49" i="36" s="1"/>
  <c r="A50" i="36" s="1"/>
  <c r="A51" i="36" s="1"/>
  <c r="A52" i="36" s="1"/>
  <c r="A53" i="36" s="1"/>
  <c r="A54" i="36" s="1"/>
  <c r="A55" i="36" s="1"/>
  <c r="B55" i="36" s="1"/>
  <c r="I5" i="36"/>
  <c r="I7" i="36"/>
  <c r="I12" i="36"/>
  <c r="I16" i="36"/>
  <c r="I17" i="36"/>
  <c r="I18" i="36"/>
  <c r="I19" i="36"/>
  <c r="I20" i="36"/>
  <c r="I21" i="36"/>
  <c r="I22" i="36"/>
  <c r="I23" i="36"/>
  <c r="I24" i="36"/>
  <c r="I25" i="36"/>
  <c r="I26" i="36"/>
  <c r="I27" i="36"/>
  <c r="I28" i="36"/>
  <c r="I29" i="36"/>
  <c r="I30" i="36"/>
  <c r="I32" i="36"/>
  <c r="I33" i="36"/>
  <c r="I34" i="36"/>
  <c r="I35" i="36"/>
  <c r="I36" i="36"/>
  <c r="I37" i="36"/>
  <c r="I38" i="36"/>
  <c r="I39" i="36"/>
  <c r="I40" i="36"/>
  <c r="I41" i="36"/>
  <c r="I42" i="36"/>
  <c r="I43" i="36"/>
  <c r="I44" i="36"/>
  <c r="I45" i="36"/>
  <c r="I47" i="36"/>
  <c r="I50" i="36"/>
  <c r="I51" i="36"/>
  <c r="I52" i="36"/>
  <c r="I53" i="36"/>
  <c r="I54" i="36"/>
  <c r="I55" i="36"/>
  <c r="I4" i="36"/>
  <c r="E42" i="26"/>
  <c r="B52" i="36" l="1"/>
  <c r="B48" i="36"/>
  <c r="B44" i="36"/>
  <c r="B40" i="36"/>
  <c r="B36" i="36"/>
  <c r="B32" i="36"/>
  <c r="B28" i="36"/>
  <c r="B24" i="36"/>
  <c r="B20" i="36"/>
  <c r="B16" i="36"/>
  <c r="B12" i="36"/>
  <c r="B8" i="36"/>
  <c r="B51" i="36"/>
  <c r="B47" i="36"/>
  <c r="B43" i="36"/>
  <c r="B39" i="36"/>
  <c r="B35" i="36"/>
  <c r="B31" i="36"/>
  <c r="B27" i="36"/>
  <c r="B23" i="36"/>
  <c r="B19" i="36"/>
  <c r="B15" i="36"/>
  <c r="B11" i="36"/>
  <c r="B7" i="36"/>
  <c r="B54" i="36"/>
  <c r="B50" i="36"/>
  <c r="B46" i="36"/>
  <c r="B42" i="36"/>
  <c r="B38" i="36"/>
  <c r="B34" i="36"/>
  <c r="B30" i="36"/>
  <c r="B26" i="36"/>
  <c r="B22" i="36"/>
  <c r="B18" i="36"/>
  <c r="B14" i="36"/>
  <c r="B10" i="36"/>
  <c r="B6" i="36"/>
  <c r="B53" i="36"/>
  <c r="B49" i="36"/>
  <c r="B45" i="36"/>
  <c r="B41" i="36"/>
  <c r="B37" i="36"/>
  <c r="B33" i="36"/>
  <c r="B29" i="36"/>
  <c r="B25" i="36"/>
  <c r="B21" i="36"/>
  <c r="B17" i="36"/>
  <c r="B13" i="36"/>
  <c r="B9" i="36"/>
  <c r="B5" i="36"/>
  <c r="B4" i="36"/>
  <c r="B38" i="18" l="1"/>
  <c r="A2" i="17"/>
  <c r="B123" i="35" l="1"/>
  <c r="C123" i="35" s="1"/>
  <c r="B122" i="35"/>
  <c r="B121" i="35"/>
  <c r="C121" i="35" s="1"/>
  <c r="B120" i="35"/>
  <c r="C120" i="35" s="1"/>
  <c r="B119" i="35"/>
  <c r="C119" i="35" s="1"/>
  <c r="B118" i="35"/>
  <c r="C118" i="35" s="1"/>
  <c r="B117" i="35"/>
  <c r="B116" i="35"/>
  <c r="C116" i="35" s="1"/>
  <c r="B115" i="35"/>
  <c r="C115" i="35" s="1"/>
  <c r="B114" i="35"/>
  <c r="C114" i="35" s="1"/>
  <c r="B113" i="35"/>
  <c r="C113" i="35" s="1"/>
  <c r="B112" i="35"/>
  <c r="C112" i="35" s="1"/>
  <c r="B111" i="35"/>
  <c r="C111" i="35" s="1"/>
  <c r="B110" i="35"/>
  <c r="C110" i="35" s="1"/>
  <c r="B109" i="35"/>
  <c r="B108" i="35"/>
  <c r="C108" i="35" s="1"/>
  <c r="B107" i="35"/>
  <c r="C107" i="35" s="1"/>
  <c r="B106" i="35"/>
  <c r="B105" i="35"/>
  <c r="C105" i="35" s="1"/>
  <c r="B104" i="35"/>
  <c r="C104" i="35" s="1"/>
  <c r="B103" i="35"/>
  <c r="C103" i="35" s="1"/>
  <c r="B102" i="35"/>
  <c r="C102" i="35" s="1"/>
  <c r="B101" i="35"/>
  <c r="B100" i="35"/>
  <c r="C100" i="35" s="1"/>
  <c r="B99" i="35"/>
  <c r="C99" i="35" s="1"/>
  <c r="B98" i="35"/>
  <c r="C98" i="35" s="1"/>
  <c r="B97" i="35"/>
  <c r="B96" i="35"/>
  <c r="C96" i="35" s="1"/>
  <c r="B95" i="35"/>
  <c r="B94" i="35"/>
  <c r="C94" i="35" s="1"/>
  <c r="B93" i="35"/>
  <c r="C93" i="35" s="1"/>
  <c r="B92" i="35"/>
  <c r="C92" i="35" s="1"/>
  <c r="B91" i="35"/>
  <c r="B90" i="35"/>
  <c r="C90" i="35" s="1"/>
  <c r="B89" i="35"/>
  <c r="C89" i="35" s="1"/>
  <c r="B88" i="35"/>
  <c r="C88" i="35" s="1"/>
  <c r="B87" i="35"/>
  <c r="B86" i="35"/>
  <c r="C86" i="35" s="1"/>
  <c r="B85" i="35"/>
  <c r="C85" i="35" s="1"/>
  <c r="B84" i="35"/>
  <c r="C84" i="35" s="1"/>
  <c r="B83" i="35"/>
  <c r="B82" i="35"/>
  <c r="C82" i="35" s="1"/>
  <c r="B81" i="35"/>
  <c r="C81" i="35" s="1"/>
  <c r="B80" i="35"/>
  <c r="C80" i="35" s="1"/>
  <c r="B79" i="35"/>
  <c r="B78" i="35"/>
  <c r="C78" i="35" s="1"/>
  <c r="B77" i="35"/>
  <c r="C77" i="35" s="1"/>
  <c r="B76" i="35"/>
  <c r="C76" i="35" s="1"/>
  <c r="B75" i="35"/>
  <c r="B74" i="35"/>
  <c r="C74" i="35" s="1"/>
  <c r="B73" i="35"/>
  <c r="B72" i="35"/>
  <c r="C72" i="35" s="1"/>
  <c r="B71" i="35"/>
  <c r="B70" i="35"/>
  <c r="C70" i="35" s="1"/>
  <c r="B69" i="35"/>
  <c r="C69" i="35" s="1"/>
  <c r="B68" i="35"/>
  <c r="C68" i="35" s="1"/>
  <c r="B67" i="35"/>
  <c r="B66" i="35"/>
  <c r="C66" i="35" s="1"/>
  <c r="B65" i="35"/>
  <c r="B64" i="35"/>
  <c r="C64" i="35" s="1"/>
  <c r="B63" i="35"/>
  <c r="B62" i="35"/>
  <c r="C62" i="35" s="1"/>
  <c r="B61" i="35"/>
  <c r="C61" i="35" s="1"/>
  <c r="B60" i="35"/>
  <c r="C60" i="35" s="1"/>
  <c r="B59" i="35"/>
  <c r="B58" i="35"/>
  <c r="C58" i="35" s="1"/>
  <c r="B57" i="35"/>
  <c r="C57" i="35" s="1"/>
  <c r="B56" i="35"/>
  <c r="C56" i="35" s="1"/>
  <c r="B55" i="35"/>
  <c r="B54" i="35"/>
  <c r="C54" i="35" s="1"/>
  <c r="B53" i="35"/>
  <c r="C53" i="35" s="1"/>
  <c r="B52" i="35"/>
  <c r="C52" i="35" s="1"/>
  <c r="B51" i="35"/>
  <c r="B50" i="35"/>
  <c r="C50" i="35" s="1"/>
  <c r="B49" i="35"/>
  <c r="C49" i="35" s="1"/>
  <c r="B48" i="35"/>
  <c r="C48" i="35" s="1"/>
  <c r="B47" i="35"/>
  <c r="D49" i="35" l="1"/>
  <c r="D89" i="35"/>
  <c r="D51" i="35"/>
  <c r="C51" i="35"/>
  <c r="D55" i="35"/>
  <c r="C55" i="35"/>
  <c r="D91" i="35"/>
  <c r="C91" i="35"/>
  <c r="D95" i="35"/>
  <c r="C95" i="35"/>
  <c r="D106" i="35"/>
  <c r="C106" i="35"/>
  <c r="D117" i="35"/>
  <c r="C117" i="35"/>
  <c r="D59" i="35"/>
  <c r="C59" i="35"/>
  <c r="D63" i="35"/>
  <c r="C63" i="35"/>
  <c r="D67" i="35"/>
  <c r="C67" i="35"/>
  <c r="D71" i="35"/>
  <c r="C71" i="35"/>
  <c r="D75" i="35"/>
  <c r="C75" i="35"/>
  <c r="D81" i="35"/>
  <c r="D114" i="35"/>
  <c r="D121" i="35"/>
  <c r="D79" i="35"/>
  <c r="C79" i="35"/>
  <c r="D97" i="35"/>
  <c r="C97" i="35"/>
  <c r="D101" i="35"/>
  <c r="C101" i="35"/>
  <c r="D122" i="35"/>
  <c r="C122" i="35"/>
  <c r="D47" i="35"/>
  <c r="C47" i="35"/>
  <c r="D57" i="35"/>
  <c r="D65" i="35"/>
  <c r="C65" i="35"/>
  <c r="D73" i="35"/>
  <c r="C73" i="35"/>
  <c r="D76" i="35"/>
  <c r="D83" i="35"/>
  <c r="C83" i="35"/>
  <c r="D87" i="35"/>
  <c r="C87" i="35"/>
  <c r="D105" i="35"/>
  <c r="D109" i="35"/>
  <c r="C109" i="35"/>
  <c r="K3" i="36"/>
  <c r="D52" i="35"/>
  <c r="D84" i="35"/>
  <c r="D60" i="35"/>
  <c r="D92" i="35"/>
  <c r="D113" i="35"/>
  <c r="D68" i="35"/>
  <c r="D53" i="35"/>
  <c r="D61" i="35"/>
  <c r="D69" i="35"/>
  <c r="D77" i="35"/>
  <c r="D85" i="35"/>
  <c r="D93" i="35"/>
  <c r="D48" i="35"/>
  <c r="D56" i="35"/>
  <c r="D64" i="35"/>
  <c r="D72" i="35"/>
  <c r="D80" i="35"/>
  <c r="D88" i="35"/>
  <c r="D96" i="35"/>
  <c r="D102" i="35"/>
  <c r="D110" i="35"/>
  <c r="D118" i="35"/>
  <c r="D103" i="35"/>
  <c r="D108" i="35"/>
  <c r="D119" i="35"/>
  <c r="D46" i="35"/>
  <c r="D50" i="35"/>
  <c r="D54" i="35"/>
  <c r="D58" i="35"/>
  <c r="D62" i="35"/>
  <c r="D66" i="35"/>
  <c r="D70" i="35"/>
  <c r="D74" i="35"/>
  <c r="D78" i="35"/>
  <c r="D82" i="35"/>
  <c r="D86" i="35"/>
  <c r="D90" i="35"/>
  <c r="D94" i="35"/>
  <c r="D98" i="35"/>
  <c r="D107" i="35"/>
  <c r="D112" i="35"/>
  <c r="D123" i="35"/>
  <c r="D100" i="35"/>
  <c r="D111" i="35"/>
  <c r="D116" i="35"/>
  <c r="D99" i="35"/>
  <c r="D104" i="35"/>
  <c r="D115" i="35"/>
  <c r="D120" i="35"/>
  <c r="B25" i="24"/>
  <c r="B26" i="24"/>
  <c r="B27" i="24"/>
  <c r="B28" i="24"/>
  <c r="E28" i="24" s="1"/>
  <c r="B29" i="24"/>
  <c r="E29" i="24" s="1"/>
  <c r="B30" i="24"/>
  <c r="E30" i="24" s="1"/>
  <c r="B31" i="24"/>
  <c r="E31" i="24" s="1"/>
  <c r="B32" i="24"/>
  <c r="C32" i="24" s="1"/>
  <c r="B33" i="24"/>
  <c r="E33" i="24" s="1"/>
  <c r="B34" i="24"/>
  <c r="E34" i="24" s="1"/>
  <c r="B35" i="24"/>
  <c r="E35" i="24" s="1"/>
  <c r="B36" i="24"/>
  <c r="C36" i="24" s="1"/>
  <c r="B37" i="24"/>
  <c r="E37" i="24" s="1"/>
  <c r="B38" i="24"/>
  <c r="E38" i="24" s="1"/>
  <c r="B39" i="24"/>
  <c r="E39" i="24" s="1"/>
  <c r="B40" i="24"/>
  <c r="C40" i="24" s="1"/>
  <c r="B41" i="24"/>
  <c r="E41" i="24" s="1"/>
  <c r="B42" i="24"/>
  <c r="E42" i="24" s="1"/>
  <c r="B43" i="24"/>
  <c r="E43" i="24" s="1"/>
  <c r="B44" i="24"/>
  <c r="E44" i="24" s="1"/>
  <c r="B45" i="24"/>
  <c r="E45" i="24" s="1"/>
  <c r="B46" i="24"/>
  <c r="E46" i="24" s="1"/>
  <c r="B47" i="24"/>
  <c r="E47" i="24" s="1"/>
  <c r="B48" i="24"/>
  <c r="C48" i="24" s="1"/>
  <c r="B49" i="24"/>
  <c r="E49" i="24" s="1"/>
  <c r="B50" i="24"/>
  <c r="E50" i="24" s="1"/>
  <c r="B51" i="24"/>
  <c r="E51" i="24" s="1"/>
  <c r="B52" i="24"/>
  <c r="E52" i="24" s="1"/>
  <c r="B53" i="24"/>
  <c r="E53" i="24" s="1"/>
  <c r="B54" i="24"/>
  <c r="E54" i="24" s="1"/>
  <c r="B55" i="24"/>
  <c r="E55" i="24" s="1"/>
  <c r="B56" i="24"/>
  <c r="E56" i="24" s="1"/>
  <c r="B57" i="24"/>
  <c r="E57" i="24" s="1"/>
  <c r="B58" i="24"/>
  <c r="E58" i="24" s="1"/>
  <c r="B59" i="24"/>
  <c r="E59" i="24" s="1"/>
  <c r="B60" i="24"/>
  <c r="C60" i="24" s="1"/>
  <c r="B61" i="24"/>
  <c r="E61" i="24" s="1"/>
  <c r="B62" i="24"/>
  <c r="E62" i="24" s="1"/>
  <c r="B63" i="24"/>
  <c r="E63" i="24" s="1"/>
  <c r="B64" i="24"/>
  <c r="E64" i="24" s="1"/>
  <c r="B65" i="24"/>
  <c r="E65" i="24" s="1"/>
  <c r="B66" i="24"/>
  <c r="E66" i="24" s="1"/>
  <c r="B67" i="24"/>
  <c r="E67" i="24" s="1"/>
  <c r="B68" i="24"/>
  <c r="C68" i="24" s="1"/>
  <c r="B69" i="24"/>
  <c r="E69" i="24" s="1"/>
  <c r="B70" i="24"/>
  <c r="E70" i="24" s="1"/>
  <c r="B71" i="24"/>
  <c r="E71" i="24" s="1"/>
  <c r="B72" i="24"/>
  <c r="E72" i="24" s="1"/>
  <c r="B73" i="24"/>
  <c r="E73" i="24" s="1"/>
  <c r="B74" i="24"/>
  <c r="E74" i="24" s="1"/>
  <c r="B75" i="24"/>
  <c r="E75" i="24" s="1"/>
  <c r="B76" i="24"/>
  <c r="C76" i="24" s="1"/>
  <c r="B77" i="24"/>
  <c r="E77" i="24" s="1"/>
  <c r="B78" i="24"/>
  <c r="E78" i="24" s="1"/>
  <c r="B79" i="24"/>
  <c r="E79" i="24" s="1"/>
  <c r="B80" i="24"/>
  <c r="C80" i="24" s="1"/>
  <c r="B81" i="24"/>
  <c r="E81" i="24" s="1"/>
  <c r="B82" i="24"/>
  <c r="E82" i="24" s="1"/>
  <c r="B83" i="24"/>
  <c r="E83" i="24" s="1"/>
  <c r="B84" i="24"/>
  <c r="E84" i="24" s="1"/>
  <c r="B85" i="24"/>
  <c r="E85" i="24" s="1"/>
  <c r="B86" i="24"/>
  <c r="E86" i="24" s="1"/>
  <c r="B87" i="24"/>
  <c r="E87" i="24" s="1"/>
  <c r="B88" i="24"/>
  <c r="C88" i="24" s="1"/>
  <c r="B89" i="24"/>
  <c r="E89" i="24" s="1"/>
  <c r="B90" i="24"/>
  <c r="E90" i="24" s="1"/>
  <c r="B91" i="24"/>
  <c r="E91" i="24" s="1"/>
  <c r="B92" i="24"/>
  <c r="E92" i="24" s="1"/>
  <c r="B93" i="24"/>
  <c r="E93" i="24" s="1"/>
  <c r="B94" i="24"/>
  <c r="E94" i="24" s="1"/>
  <c r="B95" i="24"/>
  <c r="E95" i="24" s="1"/>
  <c r="B96" i="24"/>
  <c r="E96" i="24" s="1"/>
  <c r="B97" i="24"/>
  <c r="E97" i="24" s="1"/>
  <c r="B98" i="24"/>
  <c r="E98" i="24" s="1"/>
  <c r="B99" i="24"/>
  <c r="E99" i="24" s="1"/>
  <c r="B100" i="24"/>
  <c r="C100" i="24" s="1"/>
  <c r="B101" i="24"/>
  <c r="E101" i="24" s="1"/>
  <c r="B102" i="24"/>
  <c r="E102" i="24" s="1"/>
  <c r="B103" i="24"/>
  <c r="E103" i="24" s="1"/>
  <c r="B104" i="24"/>
  <c r="C104" i="24" s="1"/>
  <c r="B105" i="24"/>
  <c r="E105" i="24" s="1"/>
  <c r="B106" i="24"/>
  <c r="E106" i="24" s="1"/>
  <c r="B107" i="24"/>
  <c r="E107" i="24" s="1"/>
  <c r="B108" i="24"/>
  <c r="E108" i="24" s="1"/>
  <c r="B109" i="24"/>
  <c r="E109" i="24" s="1"/>
  <c r="B110" i="24"/>
  <c r="E110" i="24" s="1"/>
  <c r="B111" i="24"/>
  <c r="E111" i="24" s="1"/>
  <c r="B112" i="24"/>
  <c r="C112" i="24" s="1"/>
  <c r="B113" i="24"/>
  <c r="E113" i="24" s="1"/>
  <c r="B114" i="24"/>
  <c r="E114" i="24" s="1"/>
  <c r="B115" i="24"/>
  <c r="E115" i="24" s="1"/>
  <c r="B116" i="24"/>
  <c r="E116" i="24" s="1"/>
  <c r="B117" i="24"/>
  <c r="E117" i="24" s="1"/>
  <c r="B118" i="24"/>
  <c r="E118" i="24" s="1"/>
  <c r="B119" i="24"/>
  <c r="E119" i="24" s="1"/>
  <c r="B120" i="24"/>
  <c r="E120" i="24" s="1"/>
  <c r="B121" i="24"/>
  <c r="E121" i="24" s="1"/>
  <c r="B122" i="24"/>
  <c r="E122" i="24" s="1"/>
  <c r="B123" i="24"/>
  <c r="E123" i="24" s="1"/>
  <c r="B24" i="24"/>
  <c r="D113" i="31"/>
  <c r="E113" i="31"/>
  <c r="F113" i="31"/>
  <c r="D114" i="31"/>
  <c r="E114" i="31"/>
  <c r="F114" i="31"/>
  <c r="D115" i="31"/>
  <c r="E115" i="31"/>
  <c r="F115" i="31"/>
  <c r="D116" i="31"/>
  <c r="E116" i="31"/>
  <c r="F116" i="31"/>
  <c r="D117" i="31"/>
  <c r="E117" i="31"/>
  <c r="F117" i="31"/>
  <c r="D118" i="31"/>
  <c r="E118" i="31"/>
  <c r="F118" i="31"/>
  <c r="D119" i="31"/>
  <c r="E119" i="31"/>
  <c r="F119" i="31"/>
  <c r="D120" i="31"/>
  <c r="E120" i="31"/>
  <c r="F120" i="31"/>
  <c r="D121" i="31"/>
  <c r="E121" i="31"/>
  <c r="F121" i="31"/>
  <c r="D122" i="31"/>
  <c r="E122" i="31"/>
  <c r="F122" i="31"/>
  <c r="D123" i="31"/>
  <c r="E123" i="31"/>
  <c r="F123" i="31"/>
  <c r="D124" i="31"/>
  <c r="E124" i="31"/>
  <c r="F124" i="31"/>
  <c r="D125" i="31"/>
  <c r="E125" i="31"/>
  <c r="F125" i="31"/>
  <c r="D126" i="31"/>
  <c r="E126" i="31"/>
  <c r="F126" i="31"/>
  <c r="D127" i="31"/>
  <c r="E127" i="31"/>
  <c r="F127" i="31"/>
  <c r="D128" i="31"/>
  <c r="E128" i="31"/>
  <c r="F128" i="31"/>
  <c r="D129" i="31"/>
  <c r="E129" i="31"/>
  <c r="F129" i="31"/>
  <c r="D130" i="31"/>
  <c r="E130" i="31"/>
  <c r="F130" i="31"/>
  <c r="D131" i="31"/>
  <c r="E131" i="31"/>
  <c r="F131" i="31"/>
  <c r="D132" i="31"/>
  <c r="E132" i="31"/>
  <c r="F132" i="31"/>
  <c r="D133" i="31"/>
  <c r="E133" i="31"/>
  <c r="F133" i="31"/>
  <c r="D134" i="31"/>
  <c r="E134" i="31"/>
  <c r="F134" i="31"/>
  <c r="D135" i="31"/>
  <c r="E135" i="31"/>
  <c r="F135" i="31"/>
  <c r="D136" i="31"/>
  <c r="E136" i="31"/>
  <c r="F136" i="31"/>
  <c r="D137" i="31"/>
  <c r="E137" i="31"/>
  <c r="F137" i="31"/>
  <c r="D138" i="31"/>
  <c r="E138" i="31"/>
  <c r="F138" i="31"/>
  <c r="D139" i="31"/>
  <c r="E139" i="31"/>
  <c r="F139" i="31"/>
  <c r="D140" i="31"/>
  <c r="E140" i="31"/>
  <c r="F140" i="31"/>
  <c r="D141" i="31"/>
  <c r="E141" i="31"/>
  <c r="F141" i="31"/>
  <c r="D142" i="31"/>
  <c r="E142" i="31"/>
  <c r="F142" i="31"/>
  <c r="D143" i="31"/>
  <c r="E143" i="31"/>
  <c r="F143" i="31"/>
  <c r="D144" i="31"/>
  <c r="E144" i="31"/>
  <c r="F144" i="31"/>
  <c r="D145" i="31"/>
  <c r="E145" i="31"/>
  <c r="F145" i="31"/>
  <c r="D146" i="31"/>
  <c r="E146" i="31"/>
  <c r="F146" i="31"/>
  <c r="D147" i="31"/>
  <c r="E147" i="31"/>
  <c r="F147" i="31"/>
  <c r="D148" i="31"/>
  <c r="E148" i="31"/>
  <c r="F148" i="31"/>
  <c r="D149" i="31"/>
  <c r="E149" i="31"/>
  <c r="F149" i="31"/>
  <c r="D150" i="31"/>
  <c r="E150" i="31"/>
  <c r="F150" i="31"/>
  <c r="D151" i="31"/>
  <c r="E151" i="31"/>
  <c r="F151" i="31"/>
  <c r="D152" i="31"/>
  <c r="E152" i="31"/>
  <c r="F152" i="31"/>
  <c r="D153" i="31"/>
  <c r="E153" i="31"/>
  <c r="F153" i="31"/>
  <c r="D154" i="31"/>
  <c r="E154" i="31"/>
  <c r="F154" i="31"/>
  <c r="D155" i="31"/>
  <c r="E155" i="31"/>
  <c r="F155" i="31"/>
  <c r="D156" i="31"/>
  <c r="E156" i="31"/>
  <c r="F156" i="31"/>
  <c r="D157" i="31"/>
  <c r="E157" i="31"/>
  <c r="F157" i="31"/>
  <c r="D158" i="31"/>
  <c r="E158" i="31"/>
  <c r="F158" i="31"/>
  <c r="D159" i="31"/>
  <c r="E159" i="31"/>
  <c r="F159" i="31"/>
  <c r="D160" i="31"/>
  <c r="E160" i="31"/>
  <c r="F160" i="31"/>
  <c r="D161" i="31"/>
  <c r="E161" i="31"/>
  <c r="F161" i="31"/>
  <c r="D162" i="31"/>
  <c r="E162" i="31"/>
  <c r="F162" i="31"/>
  <c r="D163" i="31"/>
  <c r="E163" i="31"/>
  <c r="F163" i="31"/>
  <c r="D164" i="31"/>
  <c r="E164" i="31"/>
  <c r="F164" i="31"/>
  <c r="D165" i="31"/>
  <c r="E165" i="31"/>
  <c r="F165" i="31"/>
  <c r="D166" i="31"/>
  <c r="E166" i="31"/>
  <c r="F166" i="31"/>
  <c r="D167" i="31"/>
  <c r="E167" i="31"/>
  <c r="F167" i="31"/>
  <c r="D168" i="31"/>
  <c r="E168" i="31"/>
  <c r="F168" i="31"/>
  <c r="D169" i="31"/>
  <c r="E169" i="31"/>
  <c r="F169" i="31"/>
  <c r="D170" i="31"/>
  <c r="E170" i="31"/>
  <c r="F170" i="31"/>
  <c r="D171" i="31"/>
  <c r="E171" i="31"/>
  <c r="F171" i="31"/>
  <c r="D172" i="31"/>
  <c r="E172" i="31"/>
  <c r="F172" i="31"/>
  <c r="D173" i="31"/>
  <c r="E173" i="31"/>
  <c r="F173" i="31"/>
  <c r="D174" i="31"/>
  <c r="E174" i="31"/>
  <c r="F174" i="31"/>
  <c r="D175" i="31"/>
  <c r="E175" i="31"/>
  <c r="F175" i="31"/>
  <c r="D176" i="31"/>
  <c r="E176" i="31"/>
  <c r="F176" i="31"/>
  <c r="D177" i="31"/>
  <c r="E177" i="31"/>
  <c r="F177" i="31"/>
  <c r="D178" i="31"/>
  <c r="E178" i="31"/>
  <c r="F178" i="31"/>
  <c r="D179" i="31"/>
  <c r="E179" i="31"/>
  <c r="F179" i="31"/>
  <c r="D180" i="31"/>
  <c r="E180" i="31"/>
  <c r="F180" i="31"/>
  <c r="D181" i="31"/>
  <c r="E181" i="31"/>
  <c r="F181" i="31"/>
  <c r="D182" i="31"/>
  <c r="E182" i="31"/>
  <c r="F182" i="31"/>
  <c r="D183" i="31"/>
  <c r="E183" i="31"/>
  <c r="F183" i="31"/>
  <c r="D184" i="31"/>
  <c r="E184" i="31"/>
  <c r="F184" i="31"/>
  <c r="D185" i="31"/>
  <c r="E185" i="31"/>
  <c r="F185" i="31"/>
  <c r="D186" i="31"/>
  <c r="E186" i="31"/>
  <c r="F186" i="31"/>
  <c r="D187" i="31"/>
  <c r="E187" i="31"/>
  <c r="F187" i="31"/>
  <c r="D188" i="31"/>
  <c r="E188" i="31"/>
  <c r="F188" i="31"/>
  <c r="D189" i="31"/>
  <c r="E189" i="31"/>
  <c r="F189" i="31"/>
  <c r="D190" i="31"/>
  <c r="E190" i="31"/>
  <c r="F190" i="31"/>
  <c r="D191" i="31"/>
  <c r="E191" i="31"/>
  <c r="F191" i="31"/>
  <c r="D192" i="31"/>
  <c r="E192" i="31"/>
  <c r="F192" i="31"/>
  <c r="D193" i="31"/>
  <c r="E193" i="31"/>
  <c r="F193" i="31"/>
  <c r="D194" i="31"/>
  <c r="E194" i="31"/>
  <c r="F194" i="31"/>
  <c r="D195" i="31"/>
  <c r="E195" i="31"/>
  <c r="F195" i="31"/>
  <c r="D196" i="31"/>
  <c r="E196" i="31"/>
  <c r="F196" i="31"/>
  <c r="D197" i="31"/>
  <c r="E197" i="31"/>
  <c r="F197" i="31"/>
  <c r="D198" i="31"/>
  <c r="E198" i="31"/>
  <c r="F198" i="31"/>
  <c r="D199" i="31"/>
  <c r="E199" i="31"/>
  <c r="F199" i="31"/>
  <c r="D200" i="31"/>
  <c r="E200" i="31"/>
  <c r="F200" i="31"/>
  <c r="D201" i="31"/>
  <c r="E201" i="31"/>
  <c r="F201" i="31"/>
  <c r="D202" i="31"/>
  <c r="E202" i="31"/>
  <c r="F202" i="31"/>
  <c r="D203" i="31"/>
  <c r="E203" i="31"/>
  <c r="F203" i="31"/>
  <c r="D204" i="31"/>
  <c r="E204" i="31"/>
  <c r="F204" i="31"/>
  <c r="D205" i="31"/>
  <c r="E205" i="31"/>
  <c r="F205" i="31"/>
  <c r="D206" i="31"/>
  <c r="E206" i="31"/>
  <c r="F206" i="31"/>
  <c r="D207" i="31"/>
  <c r="E207" i="31"/>
  <c r="F207" i="31"/>
  <c r="D208" i="31"/>
  <c r="E208" i="31"/>
  <c r="F208" i="31"/>
  <c r="D209" i="31"/>
  <c r="E209" i="31"/>
  <c r="F209" i="31"/>
  <c r="D210" i="31"/>
  <c r="E210" i="31"/>
  <c r="F210" i="31"/>
  <c r="D211" i="31"/>
  <c r="E211" i="31"/>
  <c r="F211" i="31"/>
  <c r="F112" i="31"/>
  <c r="E112" i="31"/>
  <c r="D112" i="31"/>
  <c r="C6" i="31"/>
  <c r="C7" i="31"/>
  <c r="C8" i="31"/>
  <c r="C9" i="31"/>
  <c r="C10" i="31"/>
  <c r="C11" i="31"/>
  <c r="C12" i="31"/>
  <c r="C13" i="31"/>
  <c r="C14" i="31"/>
  <c r="C15" i="31"/>
  <c r="C16" i="31"/>
  <c r="C17" i="31"/>
  <c r="C18" i="31"/>
  <c r="C19" i="31"/>
  <c r="C20" i="31"/>
  <c r="C21" i="31"/>
  <c r="C22" i="31"/>
  <c r="C23" i="31"/>
  <c r="C24" i="31"/>
  <c r="C25" i="31"/>
  <c r="C26" i="31"/>
  <c r="C27" i="31"/>
  <c r="C28" i="31"/>
  <c r="C29" i="31"/>
  <c r="C30" i="31"/>
  <c r="C31" i="31"/>
  <c r="C32" i="31"/>
  <c r="C33" i="31"/>
  <c r="C34" i="31"/>
  <c r="C35" i="31"/>
  <c r="C36" i="31"/>
  <c r="C37" i="31"/>
  <c r="C38" i="31"/>
  <c r="C39" i="31"/>
  <c r="C40" i="31"/>
  <c r="C41" i="31"/>
  <c r="C42" i="31"/>
  <c r="C43" i="31"/>
  <c r="C44" i="31"/>
  <c r="C45" i="31"/>
  <c r="C46" i="31"/>
  <c r="C47" i="31"/>
  <c r="C48" i="31"/>
  <c r="C49" i="31"/>
  <c r="C50" i="31"/>
  <c r="C51" i="31"/>
  <c r="C52" i="31"/>
  <c r="C53" i="31"/>
  <c r="C54" i="31"/>
  <c r="C55" i="31"/>
  <c r="C56" i="31"/>
  <c r="C57" i="31"/>
  <c r="C58" i="31"/>
  <c r="C59" i="31"/>
  <c r="C60" i="31"/>
  <c r="C61" i="31"/>
  <c r="C62" i="31"/>
  <c r="C63" i="31"/>
  <c r="C64" i="31"/>
  <c r="C65" i="31"/>
  <c r="C66" i="31"/>
  <c r="C67" i="31"/>
  <c r="C68" i="31"/>
  <c r="C69" i="31"/>
  <c r="C70" i="31"/>
  <c r="C71" i="31"/>
  <c r="C72" i="31"/>
  <c r="C73" i="31"/>
  <c r="C74" i="31"/>
  <c r="C75" i="31"/>
  <c r="C76" i="31"/>
  <c r="C77" i="31"/>
  <c r="C78" i="31"/>
  <c r="C79" i="31"/>
  <c r="C80" i="31"/>
  <c r="C81" i="31"/>
  <c r="C82" i="31"/>
  <c r="C83" i="31"/>
  <c r="C84" i="31"/>
  <c r="C85" i="31"/>
  <c r="C86" i="31"/>
  <c r="C87" i="31"/>
  <c r="C88" i="31"/>
  <c r="C89" i="31"/>
  <c r="C90" i="31"/>
  <c r="C91" i="31"/>
  <c r="C92" i="31"/>
  <c r="C93" i="31"/>
  <c r="C94" i="31"/>
  <c r="C95" i="31"/>
  <c r="C96" i="31"/>
  <c r="C97" i="31"/>
  <c r="C98" i="31"/>
  <c r="C99" i="31"/>
  <c r="C100" i="31"/>
  <c r="C101" i="31"/>
  <c r="C102" i="31"/>
  <c r="C103" i="31"/>
  <c r="C104" i="31"/>
  <c r="C5" i="31"/>
  <c r="E68" i="24" l="1"/>
  <c r="E100" i="24"/>
  <c r="E36" i="24"/>
  <c r="E60" i="24"/>
  <c r="E76" i="24"/>
  <c r="E112" i="24"/>
  <c r="E104" i="24"/>
  <c r="E88" i="24"/>
  <c r="E80" i="24"/>
  <c r="E48" i="24"/>
  <c r="E40" i="24"/>
  <c r="E32" i="24"/>
  <c r="D31" i="24"/>
  <c r="D116" i="24"/>
  <c r="D108" i="24"/>
  <c r="D100" i="24"/>
  <c r="D92" i="24"/>
  <c r="D84" i="24"/>
  <c r="D76" i="24"/>
  <c r="D68" i="24"/>
  <c r="D60" i="24"/>
  <c r="D56" i="24"/>
  <c r="D48" i="24"/>
  <c r="D32" i="24"/>
  <c r="D122" i="24"/>
  <c r="D118" i="24"/>
  <c r="D114" i="24"/>
  <c r="D110" i="24"/>
  <c r="D106" i="24"/>
  <c r="D102" i="24"/>
  <c r="D98" i="24"/>
  <c r="D94" i="24"/>
  <c r="D90" i="24"/>
  <c r="D86" i="24"/>
  <c r="D82" i="24"/>
  <c r="D78" i="24"/>
  <c r="D74" i="24"/>
  <c r="D70" i="24"/>
  <c r="D66" i="24"/>
  <c r="D62" i="24"/>
  <c r="D58" i="24"/>
  <c r="D54" i="24"/>
  <c r="D50" i="24"/>
  <c r="D46" i="24"/>
  <c r="D42" i="24"/>
  <c r="D38" i="24"/>
  <c r="D34" i="24"/>
  <c r="D30" i="24"/>
  <c r="D26" i="24"/>
  <c r="D24" i="24"/>
  <c r="D120" i="24"/>
  <c r="D112" i="24"/>
  <c r="D104" i="24"/>
  <c r="D96" i="24"/>
  <c r="D88" i="24"/>
  <c r="D80" i="24"/>
  <c r="D72" i="24"/>
  <c r="D64" i="24"/>
  <c r="D52" i="24"/>
  <c r="D44" i="24"/>
  <c r="D40" i="24"/>
  <c r="D36" i="24"/>
  <c r="D28" i="24"/>
  <c r="D123" i="24"/>
  <c r="D119" i="24"/>
  <c r="D115" i="24"/>
  <c r="D111" i="24"/>
  <c r="D107" i="24"/>
  <c r="D103" i="24"/>
  <c r="D99" i="24"/>
  <c r="D95" i="24"/>
  <c r="D91" i="24"/>
  <c r="D87" i="24"/>
  <c r="D83" i="24"/>
  <c r="D79" i="24"/>
  <c r="D75" i="24"/>
  <c r="D71" i="24"/>
  <c r="D67" i="24"/>
  <c r="D63" i="24"/>
  <c r="D59" i="24"/>
  <c r="D55" i="24"/>
  <c r="D51" i="24"/>
  <c r="D47" i="24"/>
  <c r="D43" i="24"/>
  <c r="D39" i="24"/>
  <c r="D35" i="24"/>
  <c r="D27" i="24"/>
  <c r="D121" i="24"/>
  <c r="D117" i="24"/>
  <c r="D113" i="24"/>
  <c r="D109" i="24"/>
  <c r="D105" i="24"/>
  <c r="D101" i="24"/>
  <c r="D97" i="24"/>
  <c r="D93" i="24"/>
  <c r="D89" i="24"/>
  <c r="D85" i="24"/>
  <c r="D81" i="24"/>
  <c r="D77" i="24"/>
  <c r="D73" i="24"/>
  <c r="D69" i="24"/>
  <c r="D65" i="24"/>
  <c r="D61" i="24"/>
  <c r="D57" i="24"/>
  <c r="D53" i="24"/>
  <c r="D49" i="24"/>
  <c r="D45" i="24"/>
  <c r="D41" i="24"/>
  <c r="D37" i="24"/>
  <c r="D33" i="24"/>
  <c r="D29" i="24"/>
  <c r="D25" i="24"/>
  <c r="C123" i="24"/>
  <c r="C119" i="24"/>
  <c r="C115" i="24"/>
  <c r="C111" i="24"/>
  <c r="C107" i="24"/>
  <c r="C103" i="24"/>
  <c r="C99" i="24"/>
  <c r="C95" i="24"/>
  <c r="C91" i="24"/>
  <c r="C87" i="24"/>
  <c r="C83" i="24"/>
  <c r="C79" i="24"/>
  <c r="C75" i="24"/>
  <c r="C71" i="24"/>
  <c r="C67" i="24"/>
  <c r="C63" i="24"/>
  <c r="C59" i="24"/>
  <c r="C55" i="24"/>
  <c r="C51" i="24"/>
  <c r="C47" i="24"/>
  <c r="C43" i="24"/>
  <c r="C39" i="24"/>
  <c r="C35" i="24"/>
  <c r="C31" i="24"/>
  <c r="C27" i="24"/>
  <c r="C24" i="24"/>
  <c r="C120" i="24"/>
  <c r="C116" i="24"/>
  <c r="C108" i="24"/>
  <c r="C92" i="24"/>
  <c r="C84" i="24"/>
  <c r="C64" i="24"/>
  <c r="C52" i="24"/>
  <c r="C44" i="24"/>
  <c r="C28" i="24"/>
  <c r="C122" i="24"/>
  <c r="C118" i="24"/>
  <c r="C114" i="24"/>
  <c r="C110" i="24"/>
  <c r="C106" i="24"/>
  <c r="C102" i="24"/>
  <c r="C98" i="24"/>
  <c r="C94" i="24"/>
  <c r="C90" i="24"/>
  <c r="C86" i="24"/>
  <c r="C82" i="24"/>
  <c r="C78" i="24"/>
  <c r="C74" i="24"/>
  <c r="C70" i="24"/>
  <c r="C66" i="24"/>
  <c r="C62" i="24"/>
  <c r="C58" i="24"/>
  <c r="C54" i="24"/>
  <c r="C50" i="24"/>
  <c r="C46" i="24"/>
  <c r="C42" i="24"/>
  <c r="C38" i="24"/>
  <c r="C34" i="24"/>
  <c r="C30" i="24"/>
  <c r="C26" i="24"/>
  <c r="C96" i="24"/>
  <c r="C72" i="24"/>
  <c r="C56" i="24"/>
  <c r="C121" i="24"/>
  <c r="C117" i="24"/>
  <c r="C113" i="24"/>
  <c r="C109" i="24"/>
  <c r="C105" i="24"/>
  <c r="C101" i="24"/>
  <c r="C97" i="24"/>
  <c r="C93" i="24"/>
  <c r="C89" i="24"/>
  <c r="C85" i="24"/>
  <c r="C81" i="24"/>
  <c r="C77" i="24"/>
  <c r="C73" i="24"/>
  <c r="C69" i="24"/>
  <c r="C65" i="24"/>
  <c r="C61" i="24"/>
  <c r="C57" i="24"/>
  <c r="C53" i="24"/>
  <c r="C49" i="24"/>
  <c r="C45" i="24"/>
  <c r="C41" i="24"/>
  <c r="C37" i="24"/>
  <c r="C33" i="24"/>
  <c r="C29" i="24"/>
  <c r="C25" i="24"/>
  <c r="C113" i="31"/>
  <c r="C114" i="31"/>
  <c r="C115" i="31"/>
  <c r="C116" i="31"/>
  <c r="C117" i="31"/>
  <c r="C118" i="31"/>
  <c r="C119" i="31"/>
  <c r="C120" i="31"/>
  <c r="C121" i="31"/>
  <c r="C122" i="31"/>
  <c r="C123" i="31"/>
  <c r="C124" i="31"/>
  <c r="C125" i="31"/>
  <c r="C126" i="31"/>
  <c r="C127" i="31"/>
  <c r="C128" i="31"/>
  <c r="C129" i="31"/>
  <c r="C130" i="31"/>
  <c r="C131" i="31"/>
  <c r="C132" i="31"/>
  <c r="C133" i="31"/>
  <c r="C134" i="31"/>
  <c r="C135" i="31"/>
  <c r="C136" i="31"/>
  <c r="C137" i="31"/>
  <c r="C138" i="31"/>
  <c r="C139" i="31"/>
  <c r="C140" i="31"/>
  <c r="C141" i="31"/>
  <c r="C142" i="31"/>
  <c r="C143" i="31"/>
  <c r="C144" i="31"/>
  <c r="C145" i="31"/>
  <c r="C146" i="31"/>
  <c r="C147" i="31"/>
  <c r="C148" i="31"/>
  <c r="C149" i="31"/>
  <c r="C150" i="31"/>
  <c r="C151" i="31"/>
  <c r="C152" i="31"/>
  <c r="C153" i="31"/>
  <c r="C154" i="31"/>
  <c r="C155" i="31"/>
  <c r="C156" i="31"/>
  <c r="C157" i="31"/>
  <c r="C158" i="31"/>
  <c r="C159" i="31"/>
  <c r="C160" i="31"/>
  <c r="C161" i="31"/>
  <c r="C162" i="31"/>
  <c r="C163" i="31"/>
  <c r="C164" i="31"/>
  <c r="C165" i="31"/>
  <c r="C166" i="31"/>
  <c r="C167" i="31"/>
  <c r="C168" i="31"/>
  <c r="C169" i="31"/>
  <c r="C170" i="31"/>
  <c r="C171" i="31"/>
  <c r="C172" i="31"/>
  <c r="C173" i="31"/>
  <c r="C174" i="31"/>
  <c r="C175" i="31"/>
  <c r="C176" i="31"/>
  <c r="C177" i="31"/>
  <c r="C178" i="31"/>
  <c r="C179" i="31"/>
  <c r="C180" i="31"/>
  <c r="C181" i="31"/>
  <c r="C182" i="31"/>
  <c r="C183" i="31"/>
  <c r="C184" i="31"/>
  <c r="C185" i="31"/>
  <c r="C186" i="31"/>
  <c r="C187" i="31"/>
  <c r="C188" i="31"/>
  <c r="C189" i="31"/>
  <c r="C190" i="31"/>
  <c r="C191" i="31"/>
  <c r="C192" i="31"/>
  <c r="C193" i="31"/>
  <c r="C194" i="31"/>
  <c r="C195" i="31"/>
  <c r="C196" i="31"/>
  <c r="C197" i="31"/>
  <c r="C198" i="31"/>
  <c r="C199" i="31"/>
  <c r="C200" i="31"/>
  <c r="C201" i="31"/>
  <c r="C202" i="31"/>
  <c r="C203" i="31"/>
  <c r="C204" i="31"/>
  <c r="C205" i="31"/>
  <c r="C206" i="31"/>
  <c r="C207" i="31"/>
  <c r="C208" i="31"/>
  <c r="C209" i="31"/>
  <c r="C210" i="31"/>
  <c r="C211" i="31"/>
  <c r="C112" i="31"/>
  <c r="B119" i="32"/>
  <c r="B120" i="32"/>
  <c r="B121" i="32"/>
  <c r="B122" i="32"/>
  <c r="B123" i="32"/>
  <c r="B124" i="32"/>
  <c r="B125" i="32"/>
  <c r="B126" i="32"/>
  <c r="B127" i="32"/>
  <c r="B128" i="32"/>
  <c r="B129" i="32"/>
  <c r="B130" i="32"/>
  <c r="B131" i="32"/>
  <c r="B132" i="32"/>
  <c r="B133" i="32"/>
  <c r="B134" i="32"/>
  <c r="B135" i="32"/>
  <c r="B136" i="32"/>
  <c r="B137" i="32"/>
  <c r="B138" i="32"/>
  <c r="B139" i="32"/>
  <c r="B140" i="32"/>
  <c r="B141" i="32"/>
  <c r="B142" i="32"/>
  <c r="B143" i="32"/>
  <c r="B144" i="32"/>
  <c r="B145" i="32"/>
  <c r="B146" i="32"/>
  <c r="B147" i="32"/>
  <c r="B148" i="32"/>
  <c r="B149" i="32"/>
  <c r="B150" i="32"/>
  <c r="B151" i="32"/>
  <c r="B152" i="32"/>
  <c r="B153" i="32"/>
  <c r="B154" i="32"/>
  <c r="B155" i="32"/>
  <c r="B156" i="32"/>
  <c r="B157" i="32"/>
  <c r="B158" i="32"/>
  <c r="B159" i="32"/>
  <c r="B160" i="32"/>
  <c r="B161" i="32"/>
  <c r="B162" i="32"/>
  <c r="B163" i="32"/>
  <c r="B164" i="32"/>
  <c r="B165" i="32"/>
  <c r="B166" i="32"/>
  <c r="B167" i="32"/>
  <c r="B168" i="32"/>
  <c r="B169" i="32"/>
  <c r="B170" i="32"/>
  <c r="B171" i="32"/>
  <c r="B172" i="32"/>
  <c r="B173" i="32"/>
  <c r="B174" i="32"/>
  <c r="B175" i="32"/>
  <c r="B176" i="32"/>
  <c r="B177" i="32"/>
  <c r="B178" i="32"/>
  <c r="B179" i="32"/>
  <c r="B180" i="32"/>
  <c r="B181" i="32"/>
  <c r="B182" i="32"/>
  <c r="B183" i="32"/>
  <c r="B184" i="32"/>
  <c r="B185" i="32"/>
  <c r="B186" i="32"/>
  <c r="B187" i="32"/>
  <c r="B188" i="32"/>
  <c r="B189" i="32"/>
  <c r="B190" i="32"/>
  <c r="B191" i="32"/>
  <c r="B192" i="32"/>
  <c r="B193" i="32"/>
  <c r="B194" i="32"/>
  <c r="B195" i="32"/>
  <c r="B196" i="32"/>
  <c r="B197" i="32"/>
  <c r="B198" i="32"/>
  <c r="B199" i="32"/>
  <c r="B200" i="32"/>
  <c r="B201" i="32"/>
  <c r="B202" i="32"/>
  <c r="B203" i="32"/>
  <c r="B204" i="32"/>
  <c r="B205" i="32"/>
  <c r="B206" i="32"/>
  <c r="B207" i="32"/>
  <c r="B208" i="32"/>
  <c r="B209" i="32"/>
  <c r="B210" i="32"/>
  <c r="B211" i="32"/>
  <c r="B212" i="32"/>
  <c r="B213" i="32"/>
  <c r="B214" i="32"/>
  <c r="B215" i="32"/>
  <c r="B216" i="32"/>
  <c r="B217" i="32"/>
  <c r="B118" i="32"/>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G83" i="30"/>
  <c r="G84" i="30"/>
  <c r="G85" i="30"/>
  <c r="G86" i="30"/>
  <c r="G87" i="30"/>
  <c r="G88" i="30"/>
  <c r="G89" i="30"/>
  <c r="G90" i="30"/>
  <c r="G91" i="30"/>
  <c r="G92" i="30"/>
  <c r="G93" i="30"/>
  <c r="G94" i="30"/>
  <c r="G95" i="30"/>
  <c r="G96" i="30"/>
  <c r="G97" i="30"/>
  <c r="G98" i="30"/>
  <c r="G99" i="30"/>
  <c r="G100" i="30"/>
  <c r="G101" i="30"/>
  <c r="G102" i="30"/>
  <c r="G103" i="30"/>
  <c r="G104" i="30"/>
  <c r="G105" i="30"/>
  <c r="G6" i="30"/>
  <c r="AE4" i="2" l="1"/>
  <c r="AE5" i="2"/>
  <c r="AE6" i="2"/>
  <c r="AE7" i="2"/>
  <c r="AE8" i="2"/>
  <c r="AE9" i="2"/>
  <c r="AE10" i="2"/>
  <c r="AE11" i="2"/>
  <c r="AE12" i="2"/>
  <c r="AE13" i="2"/>
  <c r="AE14" i="2"/>
  <c r="AE15" i="2"/>
  <c r="AE16" i="2"/>
  <c r="AE17" i="2"/>
  <c r="AE18" i="2"/>
  <c r="AE19" i="2"/>
  <c r="AE20" i="2"/>
  <c r="AE21" i="2"/>
  <c r="AE22" i="2"/>
  <c r="AE23" i="2"/>
  <c r="AE24" i="2"/>
  <c r="AE25" i="2"/>
  <c r="AE26" i="2"/>
  <c r="AE27" i="2"/>
  <c r="AE28" i="2"/>
  <c r="AE29" i="2"/>
  <c r="AE30" i="2"/>
  <c r="AE31" i="2"/>
  <c r="AE32" i="2"/>
  <c r="AE33" i="2"/>
  <c r="AE34" i="2"/>
  <c r="AE35" i="2"/>
  <c r="AE36" i="2"/>
  <c r="AE37" i="2"/>
  <c r="AE38" i="2"/>
  <c r="AE39" i="2"/>
  <c r="AE40" i="2"/>
  <c r="AE41" i="2"/>
  <c r="AE42" i="2"/>
  <c r="AE43" i="2"/>
  <c r="AE44" i="2"/>
  <c r="AE45" i="2"/>
  <c r="AE46" i="2"/>
  <c r="AE47" i="2"/>
  <c r="AE48" i="2"/>
  <c r="AE49" i="2"/>
  <c r="AE50" i="2"/>
  <c r="AE51" i="2"/>
  <c r="AE52" i="2"/>
  <c r="AE53" i="2"/>
  <c r="AE54" i="2"/>
  <c r="AE55" i="2"/>
  <c r="AE56" i="2"/>
  <c r="AE57" i="2"/>
  <c r="AE58" i="2"/>
  <c r="AE59" i="2"/>
  <c r="AE60" i="2"/>
  <c r="AE61" i="2"/>
  <c r="AE62" i="2"/>
  <c r="AE63" i="2"/>
  <c r="AE64" i="2"/>
  <c r="AE65" i="2"/>
  <c r="AE66" i="2"/>
  <c r="AE67" i="2"/>
  <c r="AE68" i="2"/>
  <c r="AE69" i="2"/>
  <c r="AE70" i="2"/>
  <c r="AE71" i="2"/>
  <c r="AE72" i="2"/>
  <c r="AE73" i="2"/>
  <c r="AE74" i="2"/>
  <c r="AE75" i="2"/>
  <c r="AE76" i="2"/>
  <c r="AE77" i="2"/>
  <c r="AE78" i="2"/>
  <c r="AE79" i="2"/>
  <c r="AE80" i="2"/>
  <c r="AE81" i="2"/>
  <c r="AE82" i="2"/>
  <c r="AE83" i="2"/>
  <c r="AE84" i="2"/>
  <c r="AE85" i="2"/>
  <c r="AE86" i="2"/>
  <c r="AE87" i="2"/>
  <c r="AE88" i="2"/>
  <c r="AE89" i="2"/>
  <c r="AE90" i="2"/>
  <c r="AE91" i="2"/>
  <c r="AE92" i="2"/>
  <c r="AE93" i="2"/>
  <c r="AE94" i="2"/>
  <c r="AE95" i="2"/>
  <c r="AE96" i="2"/>
  <c r="AE97" i="2"/>
  <c r="AE98" i="2"/>
  <c r="AE99" i="2"/>
  <c r="AE100" i="2"/>
  <c r="AE101" i="2"/>
  <c r="AE102" i="2"/>
  <c r="AE103" i="2"/>
  <c r="AE104" i="2"/>
  <c r="AE3" i="2"/>
  <c r="F104" i="31"/>
  <c r="E104" i="31"/>
  <c r="D104" i="31"/>
  <c r="F103" i="31"/>
  <c r="E103" i="31"/>
  <c r="D103" i="31"/>
  <c r="F102" i="31"/>
  <c r="E102" i="31"/>
  <c r="D102" i="31"/>
  <c r="F101" i="31"/>
  <c r="E101" i="31"/>
  <c r="D101" i="31"/>
  <c r="F100" i="31"/>
  <c r="E100" i="31"/>
  <c r="D100" i="31"/>
  <c r="F99" i="31"/>
  <c r="E99" i="31"/>
  <c r="D99" i="31"/>
  <c r="F98" i="31"/>
  <c r="E98" i="31"/>
  <c r="D98" i="31"/>
  <c r="F97" i="31"/>
  <c r="E97" i="31"/>
  <c r="D97" i="31"/>
  <c r="F96" i="31"/>
  <c r="E96" i="31"/>
  <c r="D96" i="31"/>
  <c r="F95" i="31"/>
  <c r="E95" i="31"/>
  <c r="D95" i="31"/>
  <c r="F94" i="31"/>
  <c r="E94" i="31"/>
  <c r="D94" i="31"/>
  <c r="F93" i="31"/>
  <c r="E93" i="31"/>
  <c r="D93" i="31"/>
  <c r="F92" i="31"/>
  <c r="E92" i="31"/>
  <c r="D92" i="31"/>
  <c r="F91" i="31"/>
  <c r="E91" i="31"/>
  <c r="D91" i="31"/>
  <c r="F90" i="31"/>
  <c r="E90" i="31"/>
  <c r="D90" i="31"/>
  <c r="F89" i="31"/>
  <c r="E89" i="31"/>
  <c r="D89" i="31"/>
  <c r="F88" i="31"/>
  <c r="E88" i="31"/>
  <c r="D88" i="31"/>
  <c r="F87" i="31"/>
  <c r="E87" i="31"/>
  <c r="D87" i="31"/>
  <c r="F86" i="31"/>
  <c r="E86" i="31"/>
  <c r="D86" i="31"/>
  <c r="F85" i="31"/>
  <c r="E85" i="31"/>
  <c r="D85" i="31"/>
  <c r="F84" i="31"/>
  <c r="E84" i="31"/>
  <c r="D84" i="31"/>
  <c r="F83" i="31"/>
  <c r="E83" i="31"/>
  <c r="D83" i="31"/>
  <c r="F82" i="31"/>
  <c r="E82" i="31"/>
  <c r="D82" i="31"/>
  <c r="F81" i="31"/>
  <c r="E81" i="31"/>
  <c r="D81" i="31"/>
  <c r="F80" i="31"/>
  <c r="E80" i="31"/>
  <c r="D80" i="31"/>
  <c r="F79" i="31"/>
  <c r="E79" i="31"/>
  <c r="D79" i="31"/>
  <c r="F78" i="31"/>
  <c r="E78" i="31"/>
  <c r="D78" i="31"/>
  <c r="F77" i="31"/>
  <c r="E77" i="31"/>
  <c r="D77" i="31"/>
  <c r="F76" i="31"/>
  <c r="E76" i="31"/>
  <c r="D76" i="31"/>
  <c r="F75" i="31"/>
  <c r="E75" i="31"/>
  <c r="D75" i="31"/>
  <c r="F74" i="31"/>
  <c r="E74" i="31"/>
  <c r="D74" i="31"/>
  <c r="F73" i="31"/>
  <c r="E73" i="31"/>
  <c r="D73" i="31"/>
  <c r="F72" i="31"/>
  <c r="E72" i="31"/>
  <c r="D72" i="31"/>
  <c r="F71" i="31"/>
  <c r="E71" i="31"/>
  <c r="D71" i="31"/>
  <c r="F70" i="31"/>
  <c r="E70" i="31"/>
  <c r="D70" i="31"/>
  <c r="F69" i="31"/>
  <c r="E69" i="31"/>
  <c r="D69" i="31"/>
  <c r="F68" i="31"/>
  <c r="E68" i="31"/>
  <c r="D68" i="31"/>
  <c r="F67" i="31"/>
  <c r="E67" i="31"/>
  <c r="D67" i="31"/>
  <c r="F66" i="31"/>
  <c r="E66" i="31"/>
  <c r="D66" i="31"/>
  <c r="F65" i="31"/>
  <c r="E65" i="31"/>
  <c r="D65" i="31"/>
  <c r="F64" i="31"/>
  <c r="E64" i="31"/>
  <c r="D64" i="31"/>
  <c r="F63" i="31"/>
  <c r="E63" i="31"/>
  <c r="D63" i="31"/>
  <c r="F62" i="31"/>
  <c r="E62" i="31"/>
  <c r="D62" i="31"/>
  <c r="F61" i="31"/>
  <c r="E61" i="31"/>
  <c r="D61" i="31"/>
  <c r="F60" i="31"/>
  <c r="E60" i="31"/>
  <c r="D60" i="31"/>
  <c r="F59" i="31"/>
  <c r="E59" i="31"/>
  <c r="D59" i="31"/>
  <c r="F58" i="31"/>
  <c r="E58" i="31"/>
  <c r="D58" i="31"/>
  <c r="F57" i="31"/>
  <c r="E57" i="31"/>
  <c r="D57" i="31"/>
  <c r="F56" i="31"/>
  <c r="E56" i="31"/>
  <c r="D56" i="31"/>
  <c r="F55" i="31"/>
  <c r="E55" i="31"/>
  <c r="D55" i="31"/>
  <c r="F54" i="31"/>
  <c r="E54" i="31"/>
  <c r="D54" i="31"/>
  <c r="F53" i="31"/>
  <c r="E53" i="31"/>
  <c r="D53" i="31"/>
  <c r="F52" i="31"/>
  <c r="E52" i="31"/>
  <c r="D52" i="31"/>
  <c r="F51" i="31"/>
  <c r="E51" i="31"/>
  <c r="D51" i="31"/>
  <c r="F50" i="31"/>
  <c r="E50" i="31"/>
  <c r="D50" i="31"/>
  <c r="F49" i="31"/>
  <c r="E49" i="31"/>
  <c r="D49" i="31"/>
  <c r="F48" i="31"/>
  <c r="E48" i="31"/>
  <c r="D48" i="31"/>
  <c r="F47" i="31"/>
  <c r="E47" i="31"/>
  <c r="D47" i="31"/>
  <c r="F46" i="31"/>
  <c r="E46" i="31"/>
  <c r="D46" i="31"/>
  <c r="F45" i="31"/>
  <c r="E45" i="31"/>
  <c r="D45" i="31"/>
  <c r="F44" i="31"/>
  <c r="E44" i="31"/>
  <c r="D44" i="31"/>
  <c r="F43" i="31"/>
  <c r="E43" i="31"/>
  <c r="D43" i="31"/>
  <c r="F42" i="31"/>
  <c r="E42" i="31"/>
  <c r="D42" i="31"/>
  <c r="F41" i="31"/>
  <c r="E41" i="31"/>
  <c r="D41" i="31"/>
  <c r="F40" i="31"/>
  <c r="E40" i="31"/>
  <c r="D40" i="31"/>
  <c r="F39" i="31"/>
  <c r="E39" i="31"/>
  <c r="D39" i="31"/>
  <c r="F38" i="31"/>
  <c r="E38" i="31"/>
  <c r="D38" i="31"/>
  <c r="F37" i="31"/>
  <c r="E37" i="31"/>
  <c r="D37" i="31"/>
  <c r="F36" i="31"/>
  <c r="E36" i="31"/>
  <c r="D36" i="31"/>
  <c r="F35" i="31"/>
  <c r="E35" i="31"/>
  <c r="D35" i="31"/>
  <c r="F34" i="31"/>
  <c r="E34" i="31"/>
  <c r="D34" i="31"/>
  <c r="F33" i="31"/>
  <c r="E33" i="31"/>
  <c r="D33" i="31"/>
  <c r="F32" i="31"/>
  <c r="E32" i="31"/>
  <c r="D32" i="31"/>
  <c r="F31" i="31"/>
  <c r="E31" i="31"/>
  <c r="D31" i="31"/>
  <c r="F30" i="31"/>
  <c r="E30" i="31"/>
  <c r="D30" i="31"/>
  <c r="F29" i="31"/>
  <c r="E29" i="31"/>
  <c r="D29" i="31"/>
  <c r="F28" i="31"/>
  <c r="E28" i="31"/>
  <c r="D28" i="31"/>
  <c r="F27" i="31"/>
  <c r="E27" i="31"/>
  <c r="D27" i="31"/>
  <c r="F26" i="31"/>
  <c r="E26" i="31"/>
  <c r="D26" i="31"/>
  <c r="F25" i="31"/>
  <c r="E25" i="31"/>
  <c r="D25" i="31"/>
  <c r="F24" i="31"/>
  <c r="E24" i="31"/>
  <c r="D24" i="31"/>
  <c r="F23" i="31"/>
  <c r="E23" i="31"/>
  <c r="D23" i="31"/>
  <c r="F22" i="31"/>
  <c r="E22" i="31"/>
  <c r="D22" i="31"/>
  <c r="F21" i="31"/>
  <c r="E21" i="31"/>
  <c r="D21" i="31"/>
  <c r="F20" i="31"/>
  <c r="E20" i="31"/>
  <c r="D20" i="31"/>
  <c r="F19" i="31"/>
  <c r="E19" i="31"/>
  <c r="D19" i="31"/>
  <c r="F18" i="31"/>
  <c r="E18" i="31"/>
  <c r="D18" i="31"/>
  <c r="F17" i="31"/>
  <c r="E17" i="31"/>
  <c r="D17" i="31"/>
  <c r="F16" i="31"/>
  <c r="E16" i="31"/>
  <c r="D16" i="31"/>
  <c r="F15" i="31"/>
  <c r="E15" i="31"/>
  <c r="D15" i="31"/>
  <c r="F14" i="31"/>
  <c r="E14" i="31"/>
  <c r="D14" i="31"/>
  <c r="F13" i="31"/>
  <c r="E13" i="31"/>
  <c r="D13" i="31"/>
  <c r="F12" i="31"/>
  <c r="E12" i="31"/>
  <c r="D12" i="31"/>
  <c r="F11" i="31"/>
  <c r="E11" i="31"/>
  <c r="D11" i="31"/>
  <c r="F10" i="31"/>
  <c r="E10" i="31"/>
  <c r="D10" i="31"/>
  <c r="F9" i="31"/>
  <c r="E9" i="31"/>
  <c r="D9" i="31"/>
  <c r="F8" i="31"/>
  <c r="E8" i="31"/>
  <c r="D8" i="31"/>
  <c r="F7" i="31"/>
  <c r="E7" i="31"/>
  <c r="D7" i="31"/>
  <c r="F6" i="31"/>
  <c r="E6" i="31"/>
  <c r="D6" i="31"/>
  <c r="F5" i="31"/>
  <c r="E5" i="31"/>
  <c r="D5" i="31"/>
  <c r="B111" i="32" l="1"/>
  <c r="B110" i="32"/>
  <c r="B109" i="32"/>
  <c r="B108" i="32"/>
  <c r="B107" i="32"/>
  <c r="B106" i="32"/>
  <c r="B105" i="32"/>
  <c r="B104" i="32"/>
  <c r="B103" i="32"/>
  <c r="B102" i="32"/>
  <c r="B101" i="32"/>
  <c r="B100" i="32"/>
  <c r="B99" i="32"/>
  <c r="B98" i="32"/>
  <c r="B97" i="32"/>
  <c r="B96" i="32"/>
  <c r="B95" i="32"/>
  <c r="B94" i="32"/>
  <c r="B93" i="32"/>
  <c r="B92" i="32"/>
  <c r="B91" i="32"/>
  <c r="B90" i="32"/>
  <c r="B89" i="32"/>
  <c r="B88" i="32"/>
  <c r="B87" i="32"/>
  <c r="B86" i="32"/>
  <c r="B85" i="32"/>
  <c r="B84" i="32"/>
  <c r="B83" i="32"/>
  <c r="B82" i="32"/>
  <c r="B81" i="32"/>
  <c r="B80" i="32"/>
  <c r="B79" i="32"/>
  <c r="B78" i="32"/>
  <c r="B77" i="32"/>
  <c r="B76" i="32"/>
  <c r="B75" i="32"/>
  <c r="B74" i="32"/>
  <c r="B73" i="32"/>
  <c r="B72" i="32"/>
  <c r="B71" i="32"/>
  <c r="B70" i="32"/>
  <c r="B69" i="32"/>
  <c r="B68" i="32"/>
  <c r="B67" i="32"/>
  <c r="B66" i="32"/>
  <c r="B65" i="32"/>
  <c r="B64" i="32"/>
  <c r="B63" i="32"/>
  <c r="B62" i="32"/>
  <c r="B61" i="32"/>
  <c r="B60" i="32"/>
  <c r="B59" i="32"/>
  <c r="B58" i="32"/>
  <c r="B57" i="32"/>
  <c r="B56" i="32"/>
  <c r="B55" i="32"/>
  <c r="B54" i="32"/>
  <c r="B53" i="32"/>
  <c r="B52" i="32"/>
  <c r="B51" i="32"/>
  <c r="B50" i="32"/>
  <c r="B49" i="32"/>
  <c r="B48" i="32"/>
  <c r="B47" i="32"/>
  <c r="B46" i="32"/>
  <c r="B45" i="32"/>
  <c r="B44" i="32"/>
  <c r="B43" i="32"/>
  <c r="B42" i="32"/>
  <c r="B41" i="32"/>
  <c r="B40" i="32"/>
  <c r="B39" i="32"/>
  <c r="B38" i="32"/>
  <c r="B37" i="32"/>
  <c r="B36" i="32"/>
  <c r="B35" i="32"/>
  <c r="B34" i="32"/>
  <c r="B33" i="32"/>
  <c r="B32" i="32"/>
  <c r="B31" i="32"/>
  <c r="B30" i="32"/>
  <c r="B29" i="32"/>
  <c r="B28" i="32"/>
  <c r="B27" i="32"/>
  <c r="B26" i="32"/>
  <c r="B25" i="32"/>
  <c r="B24" i="32"/>
  <c r="B23" i="32"/>
  <c r="B22" i="32"/>
  <c r="B21" i="32"/>
  <c r="B20" i="32"/>
  <c r="B19" i="32"/>
  <c r="B18" i="32"/>
  <c r="B17" i="32"/>
  <c r="B16" i="32"/>
  <c r="B15" i="32"/>
  <c r="B14" i="32"/>
  <c r="B13" i="32"/>
  <c r="B12" i="32"/>
  <c r="T103" i="30" l="1"/>
  <c r="T104" i="30"/>
  <c r="T105" i="30"/>
  <c r="T64" i="30"/>
  <c r="T65" i="30"/>
  <c r="T66" i="30"/>
  <c r="T67" i="30"/>
  <c r="T68" i="30"/>
  <c r="T69" i="30"/>
  <c r="T70" i="30"/>
  <c r="T71" i="30"/>
  <c r="T72" i="30"/>
  <c r="T73" i="30"/>
  <c r="T74" i="30"/>
  <c r="T75" i="30"/>
  <c r="T76" i="30"/>
  <c r="T77" i="30"/>
  <c r="T78" i="30"/>
  <c r="T79" i="30"/>
  <c r="T80" i="30"/>
  <c r="T81" i="30"/>
  <c r="T82" i="30"/>
  <c r="T83" i="30"/>
  <c r="T84" i="30"/>
  <c r="T85" i="30"/>
  <c r="T86" i="30"/>
  <c r="T87" i="30"/>
  <c r="T88" i="30"/>
  <c r="T89" i="30"/>
  <c r="T90" i="30"/>
  <c r="T91" i="30"/>
  <c r="T92" i="30"/>
  <c r="T93" i="30"/>
  <c r="T94" i="30"/>
  <c r="T95" i="30"/>
  <c r="T96" i="30"/>
  <c r="T97" i="30"/>
  <c r="T98" i="30"/>
  <c r="T99" i="30"/>
  <c r="T100" i="30"/>
  <c r="T101" i="30"/>
  <c r="T102" i="30"/>
  <c r="T7" i="30"/>
  <c r="T8" i="30"/>
  <c r="T9" i="30"/>
  <c r="T10" i="30"/>
  <c r="T11" i="30"/>
  <c r="T12" i="30"/>
  <c r="T13" i="30"/>
  <c r="T14" i="30"/>
  <c r="T15" i="30"/>
  <c r="T16" i="30"/>
  <c r="T17" i="30"/>
  <c r="T18" i="30"/>
  <c r="T19" i="30"/>
  <c r="T20" i="30"/>
  <c r="T21" i="30"/>
  <c r="T22" i="30"/>
  <c r="T23" i="30"/>
  <c r="T24" i="30"/>
  <c r="T25" i="30"/>
  <c r="T26" i="30"/>
  <c r="T27" i="30"/>
  <c r="T28" i="30"/>
  <c r="T29" i="30"/>
  <c r="T30" i="30"/>
  <c r="T31" i="30"/>
  <c r="T32" i="30"/>
  <c r="T33" i="30"/>
  <c r="T34" i="30"/>
  <c r="T35" i="30"/>
  <c r="T36" i="30"/>
  <c r="T37" i="30"/>
  <c r="T38" i="30"/>
  <c r="T39" i="30"/>
  <c r="T40" i="30"/>
  <c r="T41" i="30"/>
  <c r="T42" i="30"/>
  <c r="T43" i="30"/>
  <c r="T44" i="30"/>
  <c r="T45" i="30"/>
  <c r="T46" i="30"/>
  <c r="T47" i="30"/>
  <c r="T48" i="30"/>
  <c r="T49" i="30"/>
  <c r="T50" i="30"/>
  <c r="T51" i="30"/>
  <c r="T52" i="30"/>
  <c r="T53" i="30"/>
  <c r="T54" i="30"/>
  <c r="T55" i="30"/>
  <c r="T56" i="30"/>
  <c r="T57" i="30"/>
  <c r="T58" i="30"/>
  <c r="T59" i="30"/>
  <c r="T60" i="30"/>
  <c r="T61" i="30"/>
  <c r="T62" i="30"/>
  <c r="T63" i="30"/>
  <c r="T6" i="30"/>
  <c r="BK3" i="31" l="1"/>
  <c r="E6" i="30"/>
  <c r="D6" i="30"/>
  <c r="B7" i="30"/>
  <c r="A7" i="30" s="1"/>
  <c r="F7" i="30" l="1"/>
  <c r="BL3" i="31" s="1"/>
  <c r="BL110" i="31" s="1"/>
  <c r="BK110" i="31"/>
  <c r="D7" i="30"/>
  <c r="E7" i="30"/>
  <c r="B8" i="30"/>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2" i="22"/>
  <c r="F8" i="30" l="1"/>
  <c r="BM3" i="31" s="1"/>
  <c r="BM110" i="31" s="1"/>
  <c r="A8" i="30"/>
  <c r="D8" i="30"/>
  <c r="E8" i="30"/>
  <c r="B9" i="30"/>
  <c r="A9" i="30" s="1"/>
  <c r="A11" i="22"/>
  <c r="G65" i="26"/>
  <c r="R12" i="17"/>
  <c r="A15" i="17"/>
  <c r="H13" i="39" s="1"/>
  <c r="BA22" i="31" l="1"/>
  <c r="AJ22" i="31"/>
  <c r="AA22" i="31"/>
  <c r="Q22" i="31"/>
  <c r="AN22" i="31"/>
  <c r="N22" i="31"/>
  <c r="Z22" i="31"/>
  <c r="T86" i="31"/>
  <c r="K86" i="31"/>
  <c r="BE86" i="31"/>
  <c r="AU86" i="31"/>
  <c r="AV86" i="31"/>
  <c r="AL86" i="31"/>
  <c r="BE25" i="31"/>
  <c r="AV25" i="31"/>
  <c r="AM25" i="31"/>
  <c r="U25" i="31"/>
  <c r="K25" i="31"/>
  <c r="AB25" i="31"/>
  <c r="T25" i="31"/>
  <c r="Y49" i="31"/>
  <c r="P49" i="31"/>
  <c r="BB49" i="31"/>
  <c r="AK49" i="31"/>
  <c r="T49" i="31"/>
  <c r="J49" i="31"/>
  <c r="BE11" i="31"/>
  <c r="AV11" i="31"/>
  <c r="AM11" i="31"/>
  <c r="U11" i="31"/>
  <c r="K11" i="31"/>
  <c r="AD11" i="31"/>
  <c r="AR11" i="31"/>
  <c r="Y19" i="31"/>
  <c r="P19" i="31"/>
  <c r="BA19" i="31"/>
  <c r="AQ19" i="31"/>
  <c r="V19" i="31"/>
  <c r="N19" i="31"/>
  <c r="BE27" i="31"/>
  <c r="AV27" i="31"/>
  <c r="AM27" i="31"/>
  <c r="U27" i="31"/>
  <c r="K27" i="31"/>
  <c r="AZ27" i="31"/>
  <c r="AR27" i="31"/>
  <c r="Y35" i="31"/>
  <c r="P35" i="31"/>
  <c r="BA35" i="31"/>
  <c r="AX35" i="31"/>
  <c r="AI35" i="31"/>
  <c r="AA35" i="31"/>
  <c r="BE43" i="31"/>
  <c r="AV43" i="31"/>
  <c r="AM43" i="31"/>
  <c r="V43" i="31"/>
  <c r="AZ43" i="31"/>
  <c r="AP43" i="31"/>
  <c r="AQ43" i="31"/>
  <c r="Y51" i="31"/>
  <c r="AS22" i="31"/>
  <c r="AB22" i="31"/>
  <c r="S22" i="31"/>
  <c r="I22" i="31"/>
  <c r="R22" i="31"/>
  <c r="BB22" i="31"/>
  <c r="AP22" i="31"/>
  <c r="L86" i="31"/>
  <c r="BF86" i="31"/>
  <c r="AW86" i="31"/>
  <c r="AM86" i="31"/>
  <c r="AC86" i="31"/>
  <c r="AK86" i="31"/>
  <c r="AW25" i="31"/>
  <c r="AN25" i="31"/>
  <c r="AE25" i="31"/>
  <c r="M25" i="31"/>
  <c r="BB25" i="31"/>
  <c r="AL25" i="31"/>
  <c r="BF25" i="31"/>
  <c r="Q49" i="31"/>
  <c r="H49" i="31"/>
  <c r="AT49" i="31"/>
  <c r="AC49" i="31"/>
  <c r="L49" i="31"/>
  <c r="S49" i="31"/>
  <c r="AW11" i="31"/>
  <c r="AN11" i="31"/>
  <c r="AE11" i="31"/>
  <c r="M11" i="31"/>
  <c r="BF11" i="31"/>
  <c r="J11" i="31"/>
  <c r="V11" i="31"/>
  <c r="Q19" i="31"/>
  <c r="H19" i="31"/>
  <c r="AS19" i="31"/>
  <c r="AI19" i="31"/>
  <c r="AZ19" i="31"/>
  <c r="BB19" i="31"/>
  <c r="AW27" i="31"/>
  <c r="AN27" i="31"/>
  <c r="AE27" i="31"/>
  <c r="M27" i="31"/>
  <c r="BF27" i="31"/>
  <c r="AD27" i="31"/>
  <c r="V27" i="31"/>
  <c r="Q35" i="31"/>
  <c r="H35" i="31"/>
  <c r="AS35" i="31"/>
  <c r="AP35" i="31"/>
  <c r="O35" i="31"/>
  <c r="K35" i="31"/>
  <c r="AW43" i="31"/>
  <c r="AN43" i="31"/>
  <c r="AE43" i="31"/>
  <c r="N43" i="31"/>
  <c r="AR43" i="31"/>
  <c r="AH43" i="31"/>
  <c r="AI43" i="31"/>
  <c r="Q51" i="31"/>
  <c r="H51" i="31"/>
  <c r="AT51" i="31"/>
  <c r="AC51" i="31"/>
  <c r="L51" i="31"/>
  <c r="AQ51" i="31"/>
  <c r="AU59" i="31"/>
  <c r="AI59" i="31"/>
  <c r="I59" i="31"/>
  <c r="AB59" i="31"/>
  <c r="AT59" i="31"/>
  <c r="J59" i="31"/>
  <c r="L59" i="31"/>
  <c r="O67" i="31"/>
  <c r="BA67" i="31"/>
  <c r="Q67" i="31"/>
  <c r="AG67" i="31"/>
  <c r="R67" i="31"/>
  <c r="AD67" i="31"/>
  <c r="AW75" i="31"/>
  <c r="AN75" i="31"/>
  <c r="V75" i="31"/>
  <c r="AL75" i="31"/>
  <c r="Z75" i="31"/>
  <c r="AI75" i="31"/>
  <c r="N75" i="31"/>
  <c r="P83" i="31"/>
  <c r="BB83" i="31"/>
  <c r="AK83" i="31"/>
  <c r="AA83" i="31"/>
  <c r="L83" i="31"/>
  <c r="Y83" i="31"/>
  <c r="BD91" i="31"/>
  <c r="AR91" i="31"/>
  <c r="AG91" i="31"/>
  <c r="BB91" i="31"/>
  <c r="AX91" i="31"/>
  <c r="W91" i="31"/>
  <c r="AK22" i="31"/>
  <c r="T22" i="31"/>
  <c r="K22" i="31"/>
  <c r="BC22" i="31"/>
  <c r="BF22" i="31"/>
  <c r="AF22" i="31"/>
  <c r="V22" i="31"/>
  <c r="BG86" i="31"/>
  <c r="AX86" i="31"/>
  <c r="AO86" i="31"/>
  <c r="AE86" i="31"/>
  <c r="AT86" i="31"/>
  <c r="V86" i="31"/>
  <c r="AO25" i="31"/>
  <c r="AF25" i="31"/>
  <c r="W25" i="31"/>
  <c r="BG25" i="31"/>
  <c r="AH25" i="31"/>
  <c r="AT25" i="31"/>
  <c r="AJ25" i="31"/>
  <c r="I49" i="31"/>
  <c r="BC49" i="31"/>
  <c r="AL49" i="31"/>
  <c r="U49" i="31"/>
  <c r="BF49" i="31"/>
  <c r="K49" i="31"/>
  <c r="AO11" i="31"/>
  <c r="AF11" i="31"/>
  <c r="W11" i="31"/>
  <c r="BG11" i="31"/>
  <c r="AJ11" i="31"/>
  <c r="T11" i="31"/>
  <c r="AL11" i="31"/>
  <c r="I19" i="31"/>
  <c r="BC19" i="31"/>
  <c r="AK19" i="31"/>
  <c r="AA19" i="31"/>
  <c r="AP19" i="31"/>
  <c r="AH19" i="31"/>
  <c r="AO27" i="31"/>
  <c r="AF27" i="31"/>
  <c r="W27" i="31"/>
  <c r="BG27" i="31"/>
  <c r="AJ27" i="31"/>
  <c r="J27" i="31"/>
  <c r="AL27" i="31"/>
  <c r="I35" i="31"/>
  <c r="BB35" i="31"/>
  <c r="AK35" i="31"/>
  <c r="AH35" i="31"/>
  <c r="AE35" i="31"/>
  <c r="AY35" i="31"/>
  <c r="AO43" i="31"/>
  <c r="AF43" i="31"/>
  <c r="W43" i="31"/>
  <c r="BA43" i="31"/>
  <c r="AJ43" i="31"/>
  <c r="Z43" i="31"/>
  <c r="S43" i="31"/>
  <c r="I51" i="31"/>
  <c r="BC51" i="31"/>
  <c r="AL51" i="31"/>
  <c r="U51" i="31"/>
  <c r="BF51" i="31"/>
  <c r="AI51" i="31"/>
  <c r="AM59" i="31"/>
  <c r="AA59" i="31"/>
  <c r="AX59" i="31"/>
  <c r="Q59" i="31"/>
  <c r="AJ59" i="31"/>
  <c r="AS59" i="31"/>
  <c r="BD59" i="31"/>
  <c r="BG67" i="31"/>
  <c r="AP67" i="31"/>
  <c r="BF67" i="31"/>
  <c r="V67" i="31"/>
  <c r="BE67" i="31"/>
  <c r="I67" i="31"/>
  <c r="AO75" i="31"/>
  <c r="BA75" i="31"/>
  <c r="M75" i="31"/>
  <c r="AA75" i="31"/>
  <c r="L75" i="31"/>
  <c r="S75" i="31"/>
  <c r="AU75" i="31"/>
  <c r="H83" i="31"/>
  <c r="AT83" i="31"/>
  <c r="AC83" i="31"/>
  <c r="S83" i="31"/>
  <c r="AZ83" i="31"/>
  <c r="T83" i="31"/>
  <c r="BA91" i="31"/>
  <c r="AJ91" i="31"/>
  <c r="Y91" i="31"/>
  <c r="AN91" i="31"/>
  <c r="AL91" i="31"/>
  <c r="BE91" i="31"/>
  <c r="J91" i="31"/>
  <c r="BG99" i="31"/>
  <c r="AV99" i="31"/>
  <c r="AG99" i="31"/>
  <c r="Z99" i="31"/>
  <c r="W99" i="31"/>
  <c r="M99" i="31"/>
  <c r="AK14" i="31"/>
  <c r="T14" i="31"/>
  <c r="K14" i="31"/>
  <c r="BC14" i="31"/>
  <c r="H14" i="31"/>
  <c r="AN14" i="31"/>
  <c r="J14" i="31"/>
  <c r="BB57" i="31"/>
  <c r="AK57" i="31"/>
  <c r="T57" i="31"/>
  <c r="AC22" i="31"/>
  <c r="L22" i="31"/>
  <c r="BE22" i="31"/>
  <c r="AU22" i="31"/>
  <c r="AL22" i="31"/>
  <c r="J22" i="31"/>
  <c r="AT22" i="31"/>
  <c r="AY86" i="31"/>
  <c r="AP86" i="31"/>
  <c r="AG86" i="31"/>
  <c r="W86" i="31"/>
  <c r="X86" i="31"/>
  <c r="AF86" i="31"/>
  <c r="AG25" i="31"/>
  <c r="X25" i="31"/>
  <c r="O25" i="31"/>
  <c r="AY25" i="31"/>
  <c r="L25" i="31"/>
  <c r="Z25" i="31"/>
  <c r="N25" i="31"/>
  <c r="BD49" i="31"/>
  <c r="AU49" i="31"/>
  <c r="AD49" i="31"/>
  <c r="M49" i="31"/>
  <c r="AX49" i="31"/>
  <c r="BG49" i="31"/>
  <c r="AG11" i="31"/>
  <c r="X11" i="31"/>
  <c r="O11" i="31"/>
  <c r="AY11" i="31"/>
  <c r="N11" i="31"/>
  <c r="AX11" i="31"/>
  <c r="R11" i="31"/>
  <c r="BD19" i="31"/>
  <c r="AU19" i="31"/>
  <c r="AC19" i="31"/>
  <c r="S19" i="31"/>
  <c r="T19" i="31"/>
  <c r="L19" i="31"/>
  <c r="AG27" i="31"/>
  <c r="X27" i="31"/>
  <c r="O27" i="31"/>
  <c r="AY27" i="31"/>
  <c r="N27" i="31"/>
  <c r="AX27" i="31"/>
  <c r="R27" i="31"/>
  <c r="BD35" i="31"/>
  <c r="AT35" i="31"/>
  <c r="AZ35" i="31"/>
  <c r="Z35" i="31"/>
  <c r="M35" i="31"/>
  <c r="W35" i="31"/>
  <c r="AG43" i="31"/>
  <c r="X43" i="31"/>
  <c r="O43" i="31"/>
  <c r="AS43" i="31"/>
  <c r="AB43" i="31"/>
  <c r="R43" i="31"/>
  <c r="AA43" i="31"/>
  <c r="BD51" i="31"/>
  <c r="AU51" i="31"/>
  <c r="AD51" i="31"/>
  <c r="M51" i="31"/>
  <c r="AX51" i="31"/>
  <c r="AA51" i="31"/>
  <c r="AE59" i="31"/>
  <c r="S59" i="31"/>
  <c r="AN59" i="31"/>
  <c r="BF59" i="31"/>
  <c r="Y59" i="31"/>
  <c r="AR59" i="31"/>
  <c r="M59" i="31"/>
  <c r="AY67" i="31"/>
  <c r="AF67" i="31"/>
  <c r="AV67" i="31"/>
  <c r="L67" i="31"/>
  <c r="AJ67" i="31"/>
  <c r="AT67" i="31"/>
  <c r="AG75" i="31"/>
  <c r="AS75" i="31"/>
  <c r="BB75" i="31"/>
  <c r="R75" i="31"/>
  <c r="AQ75" i="31"/>
  <c r="AJ75" i="31"/>
  <c r="AX75" i="31"/>
  <c r="BC83" i="31"/>
  <c r="AL83" i="31"/>
  <c r="U83" i="31"/>
  <c r="K83" i="31"/>
  <c r="AG83" i="31"/>
  <c r="AX83" i="31"/>
  <c r="AS91" i="31"/>
  <c r="AB91" i="31"/>
  <c r="Q91" i="31"/>
  <c r="AA91" i="31"/>
  <c r="X91" i="31"/>
  <c r="S91" i="31"/>
  <c r="AE91" i="31"/>
  <c r="AY99" i="31"/>
  <c r="AN99" i="31"/>
  <c r="U99" i="31"/>
  <c r="N99" i="31"/>
  <c r="AO99" i="31"/>
  <c r="BB99" i="31"/>
  <c r="AC14" i="31"/>
  <c r="U22" i="31"/>
  <c r="BG22" i="31"/>
  <c r="AW22" i="31"/>
  <c r="AM22" i="31"/>
  <c r="P22" i="31"/>
  <c r="AX22" i="31"/>
  <c r="AZ86" i="31"/>
  <c r="AQ86" i="31"/>
  <c r="AH86" i="31"/>
  <c r="Y86" i="31"/>
  <c r="O86" i="31"/>
  <c r="AN86" i="31"/>
  <c r="BB86" i="31"/>
  <c r="Y25" i="31"/>
  <c r="P25" i="31"/>
  <c r="BA25" i="31"/>
  <c r="AQ25" i="31"/>
  <c r="AZ25" i="31"/>
  <c r="R25" i="31"/>
  <c r="BE49" i="31"/>
  <c r="AV49" i="31"/>
  <c r="AM49" i="31"/>
  <c r="V49" i="31"/>
  <c r="AZ49" i="31"/>
  <c r="AP49" i="31"/>
  <c r="AY49" i="31"/>
  <c r="Y11" i="31"/>
  <c r="P11" i="31"/>
  <c r="BA11" i="31"/>
  <c r="AQ11" i="31"/>
  <c r="BB11" i="31"/>
  <c r="AB11" i="31"/>
  <c r="BE19" i="31"/>
  <c r="AV19" i="31"/>
  <c r="AM19" i="31"/>
  <c r="U19" i="31"/>
  <c r="K19" i="31"/>
  <c r="AL19" i="31"/>
  <c r="J19" i="31"/>
  <c r="Y27" i="31"/>
  <c r="P27" i="31"/>
  <c r="BA27" i="31"/>
  <c r="AQ27" i="31"/>
  <c r="BB27" i="31"/>
  <c r="AB27" i="31"/>
  <c r="BE35" i="31"/>
  <c r="AV35" i="31"/>
  <c r="AL35" i="31"/>
  <c r="AR35" i="31"/>
  <c r="R35" i="31"/>
  <c r="BG35" i="31"/>
  <c r="AQ35" i="31"/>
  <c r="Y43" i="31"/>
  <c r="P43" i="31"/>
  <c r="BB43" i="31"/>
  <c r="AK43" i="31"/>
  <c r="T43" i="31"/>
  <c r="J43" i="31"/>
  <c r="BE51" i="31"/>
  <c r="AV51" i="31"/>
  <c r="AM51" i="31"/>
  <c r="V51" i="31"/>
  <c r="AZ51" i="31"/>
  <c r="AP51" i="31"/>
  <c r="S51" i="31"/>
  <c r="W59" i="31"/>
  <c r="K59" i="31"/>
  <c r="AC59" i="31"/>
  <c r="AV59" i="31"/>
  <c r="N59" i="31"/>
  <c r="AH59" i="31"/>
  <c r="BC67" i="31"/>
  <c r="AQ67" i="31"/>
  <c r="U67" i="31"/>
  <c r="AK67" i="31"/>
  <c r="AS67" i="31"/>
  <c r="N67" i="31"/>
  <c r="Y67" i="31"/>
  <c r="Y75" i="31"/>
  <c r="AK75" i="31"/>
  <c r="AP75" i="31"/>
  <c r="H75" i="31"/>
  <c r="X75" i="31"/>
  <c r="AE75" i="31"/>
  <c r="BD83" i="31"/>
  <c r="AU83" i="31"/>
  <c r="AD83" i="31"/>
  <c r="M83" i="31"/>
  <c r="BF83" i="31"/>
  <c r="J83" i="31"/>
  <c r="I83" i="31"/>
  <c r="AK91" i="31"/>
  <c r="T91" i="31"/>
  <c r="I91" i="31"/>
  <c r="O91" i="31"/>
  <c r="K91" i="31"/>
  <c r="AV91" i="31"/>
  <c r="AZ99" i="31"/>
  <c r="AQ99" i="31"/>
  <c r="AF99" i="31"/>
  <c r="BE99" i="31"/>
  <c r="AW99" i="31"/>
  <c r="V99" i="31"/>
  <c r="AX99" i="31"/>
  <c r="U14" i="31"/>
  <c r="BG14" i="31"/>
  <c r="AW14" i="31"/>
  <c r="AM14" i="31"/>
  <c r="Z14" i="31"/>
  <c r="BF14" i="31"/>
  <c r="BC57" i="31"/>
  <c r="AL57" i="31"/>
  <c r="M22" i="31"/>
  <c r="AY22" i="31"/>
  <c r="AO22" i="31"/>
  <c r="AE22" i="31"/>
  <c r="X22" i="31"/>
  <c r="AD22" i="31"/>
  <c r="AR86" i="31"/>
  <c r="AI86" i="31"/>
  <c r="Z86" i="31"/>
  <c r="Q86" i="31"/>
  <c r="BA86" i="31"/>
  <c r="U86" i="31"/>
  <c r="BD86" i="31"/>
  <c r="Q25" i="31"/>
  <c r="H25" i="31"/>
  <c r="AS25" i="31"/>
  <c r="AI25" i="31"/>
  <c r="AD25" i="31"/>
  <c r="AR25" i="31"/>
  <c r="AW49" i="31"/>
  <c r="AN49" i="31"/>
  <c r="AE49" i="31"/>
  <c r="N49" i="31"/>
  <c r="AR49" i="31"/>
  <c r="AH49" i="31"/>
  <c r="AQ49" i="31"/>
  <c r="Q11" i="31"/>
  <c r="H11" i="31"/>
  <c r="AS11" i="31"/>
  <c r="AI11" i="31"/>
  <c r="AH11" i="31"/>
  <c r="AP11" i="31"/>
  <c r="AW19" i="31"/>
  <c r="AN19" i="31"/>
  <c r="AE19" i="31"/>
  <c r="M19" i="31"/>
  <c r="AT19" i="31"/>
  <c r="R19" i="31"/>
  <c r="AX19" i="31"/>
  <c r="Q27" i="31"/>
  <c r="H27" i="31"/>
  <c r="AS27" i="31"/>
  <c r="AI27" i="31"/>
  <c r="AH27" i="31"/>
  <c r="AT27" i="31"/>
  <c r="AW35" i="31"/>
  <c r="AN35" i="31"/>
  <c r="AD35" i="31"/>
  <c r="AJ35" i="31"/>
  <c r="J35" i="31"/>
  <c r="AC35" i="31"/>
  <c r="T35" i="31"/>
  <c r="Q43" i="31"/>
  <c r="H43" i="31"/>
  <c r="AT43" i="31"/>
  <c r="AC43" i="31"/>
  <c r="L43" i="31"/>
  <c r="K43" i="31"/>
  <c r="AW51" i="31"/>
  <c r="AN51" i="31"/>
  <c r="AE51" i="31"/>
  <c r="N51" i="31"/>
  <c r="AR51" i="31"/>
  <c r="AH51" i="31"/>
  <c r="K51" i="31"/>
  <c r="O59" i="31"/>
  <c r="AZ59" i="31"/>
  <c r="R59" i="31"/>
  <c r="AK59" i="31"/>
  <c r="BA59" i="31"/>
  <c r="AG59" i="31"/>
  <c r="AU67" i="31"/>
  <c r="AI67" i="31"/>
  <c r="J67" i="31"/>
  <c r="Z67" i="31"/>
  <c r="X67" i="31"/>
  <c r="BD67" i="31"/>
  <c r="AX67" i="31"/>
  <c r="Q75" i="31"/>
  <c r="AC75" i="31"/>
  <c r="AD75" i="31"/>
  <c r="AZ75" i="31"/>
  <c r="J75" i="31"/>
  <c r="AB75" i="31"/>
  <c r="AV83" i="31"/>
  <c r="AM83" i="31"/>
  <c r="V83" i="31"/>
  <c r="BG83" i="31"/>
  <c r="AJ83" i="31"/>
  <c r="AW83" i="31"/>
  <c r="AO83" i="31"/>
  <c r="AC91" i="31"/>
  <c r="L91" i="31"/>
  <c r="BC91" i="31"/>
  <c r="AY91" i="31"/>
  <c r="AU91" i="31"/>
  <c r="AZ22" i="31"/>
  <c r="AQ22" i="31"/>
  <c r="AG22" i="31"/>
  <c r="W22" i="31"/>
  <c r="BD22" i="31"/>
  <c r="H22" i="31"/>
  <c r="AJ86" i="31"/>
  <c r="AA86" i="31"/>
  <c r="R86" i="31"/>
  <c r="I86" i="31"/>
  <c r="AD86" i="31"/>
  <c r="P86" i="31"/>
  <c r="N86" i="31"/>
  <c r="I25" i="31"/>
  <c r="BC25" i="31"/>
  <c r="AK25" i="31"/>
  <c r="AA25" i="31"/>
  <c r="J25" i="31"/>
  <c r="V25" i="31"/>
  <c r="AO49" i="31"/>
  <c r="AF49" i="31"/>
  <c r="W49" i="31"/>
  <c r="BA49" i="31"/>
  <c r="AJ49" i="31"/>
  <c r="Z49" i="31"/>
  <c r="AA49" i="31"/>
  <c r="I11" i="31"/>
  <c r="BC11" i="31"/>
  <c r="AK11" i="31"/>
  <c r="AA11" i="31"/>
  <c r="L11" i="31"/>
  <c r="AT11" i="31"/>
  <c r="AO19" i="31"/>
  <c r="AF19" i="31"/>
  <c r="W19" i="31"/>
  <c r="BG19" i="31"/>
  <c r="Z19" i="31"/>
  <c r="BF19" i="31"/>
  <c r="AB19" i="31"/>
  <c r="I27" i="31"/>
  <c r="BC27" i="31"/>
  <c r="AK27" i="31"/>
  <c r="AA27" i="31"/>
  <c r="L27" i="31"/>
  <c r="Z27" i="31"/>
  <c r="AO35" i="31"/>
  <c r="AF35" i="31"/>
  <c r="V35" i="31"/>
  <c r="AB35" i="31"/>
  <c r="AM35" i="31"/>
  <c r="L35" i="31"/>
  <c r="AU35" i="31"/>
  <c r="I43" i="31"/>
  <c r="BC43" i="31"/>
  <c r="AL43" i="31"/>
  <c r="U43" i="31"/>
  <c r="BF43" i="31"/>
  <c r="BG43" i="31"/>
  <c r="AO51" i="31"/>
  <c r="AF51" i="31"/>
  <c r="W51" i="31"/>
  <c r="BA51" i="31"/>
  <c r="AJ51" i="31"/>
  <c r="Z51" i="31"/>
  <c r="AY51" i="31"/>
  <c r="BG59" i="31"/>
  <c r="AO59" i="31"/>
  <c r="H59" i="31"/>
  <c r="Z59" i="31"/>
  <c r="AP59" i="31"/>
  <c r="X59" i="31"/>
  <c r="AM67" i="31"/>
  <c r="AA67" i="31"/>
  <c r="AW67" i="31"/>
  <c r="P67" i="31"/>
  <c r="AO67" i="31"/>
  <c r="AH67" i="31"/>
  <c r="AC67" i="31"/>
  <c r="I75" i="31"/>
  <c r="BF75" i="31"/>
  <c r="T75" i="31"/>
  <c r="AH75" i="31"/>
  <c r="AM75" i="31"/>
  <c r="U75" i="31"/>
  <c r="AN83" i="31"/>
  <c r="AR22" i="31"/>
  <c r="AI22" i="31"/>
  <c r="Y22" i="31"/>
  <c r="O22" i="31"/>
  <c r="AH22" i="31"/>
  <c r="AV22" i="31"/>
  <c r="AB86" i="31"/>
  <c r="S86" i="31"/>
  <c r="J86" i="31"/>
  <c r="BC86" i="31"/>
  <c r="H86" i="31"/>
  <c r="AS86" i="31"/>
  <c r="M86" i="31"/>
  <c r="BD25" i="31"/>
  <c r="AU25" i="31"/>
  <c r="AC25" i="31"/>
  <c r="S25" i="31"/>
  <c r="AX25" i="31"/>
  <c r="AP25" i="31"/>
  <c r="AG49" i="31"/>
  <c r="X49" i="31"/>
  <c r="O49" i="31"/>
  <c r="AS49" i="31"/>
  <c r="AB49" i="31"/>
  <c r="R49" i="31"/>
  <c r="AI49" i="31"/>
  <c r="BD11" i="31"/>
  <c r="AU11" i="31"/>
  <c r="AC11" i="31"/>
  <c r="S11" i="31"/>
  <c r="AZ11" i="31"/>
  <c r="Z11" i="31"/>
  <c r="AG19" i="31"/>
  <c r="X19" i="31"/>
  <c r="O19" i="31"/>
  <c r="AY19" i="31"/>
  <c r="AR19" i="31"/>
  <c r="AJ19" i="31"/>
  <c r="AD19" i="31"/>
  <c r="BD27" i="31"/>
  <c r="AU27" i="31"/>
  <c r="AC27" i="31"/>
  <c r="S27" i="31"/>
  <c r="AP27" i="31"/>
  <c r="T27" i="31"/>
  <c r="AG35" i="31"/>
  <c r="X35" i="31"/>
  <c r="N35" i="31"/>
  <c r="BF35" i="31"/>
  <c r="S35" i="31"/>
  <c r="BC35" i="31"/>
  <c r="U35" i="31"/>
  <c r="BD43" i="31"/>
  <c r="AU43" i="31"/>
  <c r="AD43" i="31"/>
  <c r="M43" i="31"/>
  <c r="AX43" i="31"/>
  <c r="AY43" i="31"/>
  <c r="AG51" i="31"/>
  <c r="X51" i="31"/>
  <c r="O51" i="31"/>
  <c r="P51" i="31"/>
  <c r="BG51" i="31"/>
  <c r="P59" i="31"/>
  <c r="S67" i="31"/>
  <c r="M67" i="31"/>
  <c r="K75" i="31"/>
  <c r="AF83" i="31"/>
  <c r="AY83" i="31"/>
  <c r="AB83" i="31"/>
  <c r="AW91" i="31"/>
  <c r="AH91" i="31"/>
  <c r="AR99" i="31"/>
  <c r="K99" i="31"/>
  <c r="AE99" i="31"/>
  <c r="AP99" i="31"/>
  <c r="AH99" i="31"/>
  <c r="L14" i="31"/>
  <c r="AG14" i="31"/>
  <c r="AX14" i="31"/>
  <c r="R14" i="31"/>
  <c r="AM57" i="31"/>
  <c r="BA57" i="31"/>
  <c r="AB57" i="31"/>
  <c r="K57" i="31"/>
  <c r="AP57" i="31"/>
  <c r="BE57" i="31"/>
  <c r="AM73" i="31"/>
  <c r="U73" i="31"/>
  <c r="K73" i="31"/>
  <c r="T73" i="31"/>
  <c r="AD73" i="31"/>
  <c r="BB73" i="31"/>
  <c r="AH73" i="31"/>
  <c r="I81" i="31"/>
  <c r="BC81" i="31"/>
  <c r="AR81" i="31"/>
  <c r="AL81" i="31"/>
  <c r="AH81" i="31"/>
  <c r="O81" i="31"/>
  <c r="AK89" i="31"/>
  <c r="T89" i="31"/>
  <c r="I89" i="31"/>
  <c r="P89" i="31"/>
  <c r="N89" i="31"/>
  <c r="V89" i="31"/>
  <c r="AH89" i="31"/>
  <c r="BG97" i="31"/>
  <c r="AV97" i="31"/>
  <c r="V97" i="31"/>
  <c r="AC97" i="31"/>
  <c r="Y97" i="31"/>
  <c r="M97" i="31"/>
  <c r="AK38" i="31"/>
  <c r="T38" i="31"/>
  <c r="K38" i="31"/>
  <c r="BE38" i="31"/>
  <c r="AV38" i="31"/>
  <c r="AL38" i="31"/>
  <c r="W38" i="31"/>
  <c r="AZ78" i="31"/>
  <c r="AO78" i="31"/>
  <c r="V78" i="31"/>
  <c r="AY78" i="31"/>
  <c r="BD78" i="31"/>
  <c r="X78" i="31"/>
  <c r="AN102" i="31"/>
  <c r="AE102" i="31"/>
  <c r="L102" i="31"/>
  <c r="Q102" i="31"/>
  <c r="BA102" i="31"/>
  <c r="I102" i="31"/>
  <c r="AT102" i="31"/>
  <c r="I17" i="31"/>
  <c r="BC17" i="31"/>
  <c r="AK17" i="31"/>
  <c r="AA17" i="31"/>
  <c r="R17" i="31"/>
  <c r="AZ17" i="31"/>
  <c r="AO33" i="31"/>
  <c r="AF33" i="31"/>
  <c r="V33" i="31"/>
  <c r="J33" i="31"/>
  <c r="BA33" i="31"/>
  <c r="S33" i="31"/>
  <c r="M33" i="31"/>
  <c r="I41" i="31"/>
  <c r="BC41" i="31"/>
  <c r="AL41" i="31"/>
  <c r="U41" i="31"/>
  <c r="BF41" i="31"/>
  <c r="AQ41" i="31"/>
  <c r="AM65" i="31"/>
  <c r="AA65" i="31"/>
  <c r="BE65" i="31"/>
  <c r="AZ65" i="31"/>
  <c r="U65" i="31"/>
  <c r="AF65" i="31"/>
  <c r="Z65" i="31"/>
  <c r="AZ12" i="31"/>
  <c r="AQ12" i="31"/>
  <c r="AG12" i="31"/>
  <c r="W12" i="31"/>
  <c r="V12" i="31"/>
  <c r="AH12" i="31"/>
  <c r="AK20" i="31"/>
  <c r="T20" i="31"/>
  <c r="K20" i="31"/>
  <c r="BC20" i="31"/>
  <c r="P20" i="31"/>
  <c r="AX20" i="31"/>
  <c r="AN20" i="31"/>
  <c r="AZ28" i="31"/>
  <c r="AQ28" i="31"/>
  <c r="AG28" i="31"/>
  <c r="W28" i="31"/>
  <c r="AN28" i="31"/>
  <c r="N28" i="31"/>
  <c r="AK36" i="31"/>
  <c r="T36" i="31"/>
  <c r="Z36" i="31"/>
  <c r="Q36" i="31"/>
  <c r="H36" i="31"/>
  <c r="S36" i="31"/>
  <c r="W36" i="31"/>
  <c r="AZ44" i="31"/>
  <c r="AQ44" i="31"/>
  <c r="AH44" i="31"/>
  <c r="Y44" i="31"/>
  <c r="P44" i="31"/>
  <c r="W44" i="31"/>
  <c r="AK52" i="31"/>
  <c r="T52" i="31"/>
  <c r="K52" i="31"/>
  <c r="BE52" i="31"/>
  <c r="AV52" i="31"/>
  <c r="AL52" i="31"/>
  <c r="W52" i="31"/>
  <c r="K60" i="31"/>
  <c r="BA60" i="31"/>
  <c r="T60" i="31"/>
  <c r="AL60" i="31"/>
  <c r="AT60" i="31"/>
  <c r="L60" i="31"/>
  <c r="AQ68" i="31"/>
  <c r="AM68" i="31"/>
  <c r="L68" i="31"/>
  <c r="AB68" i="31"/>
  <c r="AJ68" i="31"/>
  <c r="AV68" i="31"/>
  <c r="AO68" i="31"/>
  <c r="AZ76" i="31"/>
  <c r="AO76" i="31"/>
  <c r="R76" i="31"/>
  <c r="K76" i="31"/>
  <c r="J76" i="31"/>
  <c r="Z76" i="31"/>
  <c r="AJ84" i="31"/>
  <c r="AA84" i="31"/>
  <c r="R84" i="31"/>
  <c r="I84" i="31"/>
  <c r="AC84" i="31"/>
  <c r="U84" i="31"/>
  <c r="H84" i="31"/>
  <c r="H92" i="31"/>
  <c r="AR92" i="31"/>
  <c r="M92" i="31"/>
  <c r="S92" i="31"/>
  <c r="BE92" i="31"/>
  <c r="AW92" i="31"/>
  <c r="AN100" i="31"/>
  <c r="AE100" i="31"/>
  <c r="BB51" i="31"/>
  <c r="BC59" i="31"/>
  <c r="BE59" i="31"/>
  <c r="K67" i="31"/>
  <c r="AZ67" i="31"/>
  <c r="AY75" i="31"/>
  <c r="X83" i="31"/>
  <c r="AQ83" i="31"/>
  <c r="R83" i="31"/>
  <c r="AO91" i="31"/>
  <c r="V91" i="31"/>
  <c r="AJ99" i="31"/>
  <c r="BD99" i="31"/>
  <c r="R99" i="31"/>
  <c r="BC99" i="31"/>
  <c r="BA14" i="31"/>
  <c r="AY14" i="31"/>
  <c r="Y14" i="31"/>
  <c r="AD14" i="31"/>
  <c r="AL14" i="31"/>
  <c r="AE57" i="31"/>
  <c r="AS57" i="31"/>
  <c r="L57" i="31"/>
  <c r="BD57" i="31"/>
  <c r="J57" i="31"/>
  <c r="Y57" i="31"/>
  <c r="AE73" i="31"/>
  <c r="M73" i="31"/>
  <c r="AX73" i="31"/>
  <c r="H73" i="31"/>
  <c r="Q73" i="31"/>
  <c r="V73" i="31"/>
  <c r="AJ73" i="31"/>
  <c r="BD81" i="31"/>
  <c r="AU81" i="31"/>
  <c r="AE81" i="31"/>
  <c r="Z81" i="31"/>
  <c r="T81" i="31"/>
  <c r="AP81" i="31"/>
  <c r="AC89" i="31"/>
  <c r="L89" i="31"/>
  <c r="BD89" i="31"/>
  <c r="BB89" i="31"/>
  <c r="AV89" i="31"/>
  <c r="AX89" i="31"/>
  <c r="AF89" i="31"/>
  <c r="AY97" i="31"/>
  <c r="AN97" i="31"/>
  <c r="I97" i="31"/>
  <c r="O97" i="31"/>
  <c r="AP97" i="31"/>
  <c r="BA97" i="31"/>
  <c r="AC38" i="31"/>
  <c r="L38" i="31"/>
  <c r="BF38" i="31"/>
  <c r="AW38" i="31"/>
  <c r="AN38" i="31"/>
  <c r="AD38" i="31"/>
  <c r="AE38" i="31"/>
  <c r="AR78" i="31"/>
  <c r="AG78" i="31"/>
  <c r="BC78" i="31"/>
  <c r="AM78" i="31"/>
  <c r="S78" i="31"/>
  <c r="AX78" i="31"/>
  <c r="AF102" i="31"/>
  <c r="W102" i="31"/>
  <c r="BE102" i="31"/>
  <c r="AX102" i="31"/>
  <c r="AH102" i="31"/>
  <c r="AS102" i="31"/>
  <c r="AO102" i="31"/>
  <c r="BD17" i="31"/>
  <c r="AU17" i="31"/>
  <c r="AC17" i="31"/>
  <c r="S17" i="31"/>
  <c r="BF17" i="31"/>
  <c r="AD17" i="31"/>
  <c r="AG33" i="31"/>
  <c r="X33" i="31"/>
  <c r="N33" i="31"/>
  <c r="BG33" i="31"/>
  <c r="AK33" i="31"/>
  <c r="AU33" i="31"/>
  <c r="AS33" i="31"/>
  <c r="BD41" i="31"/>
  <c r="AU41" i="31"/>
  <c r="AD41" i="31"/>
  <c r="M41" i="31"/>
  <c r="AX41" i="31"/>
  <c r="AI41" i="31"/>
  <c r="AE65" i="31"/>
  <c r="S65" i="31"/>
  <c r="AT65" i="31"/>
  <c r="AO65" i="31"/>
  <c r="BF65" i="31"/>
  <c r="M65" i="31"/>
  <c r="J65" i="31"/>
  <c r="AR12" i="31"/>
  <c r="AI12" i="31"/>
  <c r="Y12" i="31"/>
  <c r="O12" i="31"/>
  <c r="AN12" i="31"/>
  <c r="N12" i="31"/>
  <c r="AC20" i="31"/>
  <c r="L20" i="31"/>
  <c r="BE20" i="31"/>
  <c r="AU20" i="31"/>
  <c r="V20" i="31"/>
  <c r="AD20" i="31"/>
  <c r="R20" i="31"/>
  <c r="AR28" i="31"/>
  <c r="AI28" i="31"/>
  <c r="Y28" i="31"/>
  <c r="O28" i="31"/>
  <c r="R28" i="31"/>
  <c r="AX28" i="31"/>
  <c r="AC36" i="31"/>
  <c r="L36" i="31"/>
  <c r="R36" i="31"/>
  <c r="I36" i="31"/>
  <c r="BB36" i="31"/>
  <c r="AU36" i="31"/>
  <c r="AA36" i="31"/>
  <c r="AR44" i="31"/>
  <c r="AI44" i="31"/>
  <c r="Z44" i="31"/>
  <c r="Q44" i="31"/>
  <c r="H44" i="31"/>
  <c r="O44" i="31"/>
  <c r="AC52" i="31"/>
  <c r="L52" i="31"/>
  <c r="BF52" i="31"/>
  <c r="AW52" i="31"/>
  <c r="AN52" i="31"/>
  <c r="AD52" i="31"/>
  <c r="O52" i="31"/>
  <c r="BC60" i="31"/>
  <c r="AP60" i="31"/>
  <c r="I60" i="31"/>
  <c r="AB60" i="31"/>
  <c r="AJ60" i="31"/>
  <c r="BE60" i="31"/>
  <c r="AI68" i="31"/>
  <c r="AE68" i="31"/>
  <c r="AX68" i="31"/>
  <c r="Q68" i="31"/>
  <c r="N68" i="31"/>
  <c r="Z68" i="31"/>
  <c r="T68" i="31"/>
  <c r="AR76" i="31"/>
  <c r="AG76" i="31"/>
  <c r="BB76" i="31"/>
  <c r="AP76" i="31"/>
  <c r="AV76" i="31"/>
  <c r="S76" i="31"/>
  <c r="AB84" i="31"/>
  <c r="S84" i="31"/>
  <c r="J84" i="31"/>
  <c r="BC84" i="31"/>
  <c r="AT84" i="31"/>
  <c r="BD84" i="31"/>
  <c r="BA84" i="31"/>
  <c r="BC92" i="31"/>
  <c r="AJ92" i="31"/>
  <c r="AX92" i="31"/>
  <c r="AQ92" i="31"/>
  <c r="AI92" i="31"/>
  <c r="AH92" i="31"/>
  <c r="AF100" i="31"/>
  <c r="AS51" i="31"/>
  <c r="AY59" i="31"/>
  <c r="AF59" i="31"/>
  <c r="AL67" i="31"/>
  <c r="H67" i="31"/>
  <c r="P75" i="31"/>
  <c r="AE83" i="31"/>
  <c r="AI83" i="31"/>
  <c r="AP83" i="31"/>
  <c r="AP91" i="31"/>
  <c r="H91" i="31"/>
  <c r="AB99" i="31"/>
  <c r="X99" i="31"/>
  <c r="BA99" i="31"/>
  <c r="AK99" i="31"/>
  <c r="AS14" i="31"/>
  <c r="AQ14" i="31"/>
  <c r="Q14" i="31"/>
  <c r="AV14" i="31"/>
  <c r="P14" i="31"/>
  <c r="W57" i="31"/>
  <c r="AC57" i="31"/>
  <c r="BG57" i="31"/>
  <c r="AV57" i="31"/>
  <c r="AO57" i="31"/>
  <c r="AW57" i="31"/>
  <c r="W73" i="31"/>
  <c r="BG73" i="31"/>
  <c r="AL73" i="31"/>
  <c r="BE73" i="31"/>
  <c r="AZ73" i="31"/>
  <c r="AW73" i="31"/>
  <c r="BE81" i="31"/>
  <c r="AV81" i="31"/>
  <c r="BA81" i="31"/>
  <c r="S81" i="31"/>
  <c r="L81" i="31"/>
  <c r="AI81" i="31"/>
  <c r="AQ81" i="31"/>
  <c r="U89" i="31"/>
  <c r="BE89" i="31"/>
  <c r="AQ89" i="31"/>
  <c r="AN89" i="31"/>
  <c r="AI89" i="31"/>
  <c r="S89" i="31"/>
  <c r="AZ97" i="31"/>
  <c r="AQ97" i="31"/>
  <c r="AF97" i="31"/>
  <c r="BF97" i="31"/>
  <c r="AX97" i="31"/>
  <c r="W97" i="31"/>
  <c r="BC97" i="31"/>
  <c r="U38" i="31"/>
  <c r="BG38" i="31"/>
  <c r="AX38" i="31"/>
  <c r="AO38" i="31"/>
  <c r="AF38" i="31"/>
  <c r="V38" i="31"/>
  <c r="BA78" i="31"/>
  <c r="AJ78" i="31"/>
  <c r="Y78" i="31"/>
  <c r="AP78" i="31"/>
  <c r="Z78" i="31"/>
  <c r="AQ78" i="31"/>
  <c r="AT78" i="31"/>
  <c r="X102" i="31"/>
  <c r="O102" i="31"/>
  <c r="AQ102" i="31"/>
  <c r="AK102" i="31"/>
  <c r="M102" i="31"/>
  <c r="V102" i="31"/>
  <c r="BE17" i="31"/>
  <c r="AV17" i="31"/>
  <c r="AM17" i="31"/>
  <c r="U17" i="31"/>
  <c r="K17" i="31"/>
  <c r="AJ17" i="31"/>
  <c r="J17" i="31"/>
  <c r="Y33" i="31"/>
  <c r="P33" i="31"/>
  <c r="BF33" i="31"/>
  <c r="AQ33" i="31"/>
  <c r="U33" i="31"/>
  <c r="AE33" i="31"/>
  <c r="BE41" i="31"/>
  <c r="AV41" i="31"/>
  <c r="AM41" i="31"/>
  <c r="V41" i="31"/>
  <c r="AZ41" i="31"/>
  <c r="AP41" i="31"/>
  <c r="AA41" i="31"/>
  <c r="W65" i="31"/>
  <c r="K65" i="31"/>
  <c r="AJ65" i="31"/>
  <c r="AD65" i="31"/>
  <c r="AK65" i="31"/>
  <c r="AW65" i="31"/>
  <c r="BA12" i="31"/>
  <c r="AJ12" i="31"/>
  <c r="AA12" i="31"/>
  <c r="Q12" i="31"/>
  <c r="AV12" i="31"/>
  <c r="R12" i="31"/>
  <c r="AX12" i="31"/>
  <c r="U20" i="31"/>
  <c r="BG20" i="31"/>
  <c r="AW20" i="31"/>
  <c r="AM20" i="31"/>
  <c r="BD20" i="31"/>
  <c r="H20" i="31"/>
  <c r="BA28" i="31"/>
  <c r="AJ28" i="31"/>
  <c r="AA28" i="31"/>
  <c r="Q28" i="31"/>
  <c r="AV28" i="31"/>
  <c r="AF28" i="31"/>
  <c r="AD28" i="31"/>
  <c r="U36" i="31"/>
  <c r="BG36" i="31"/>
  <c r="J36" i="31"/>
  <c r="BD36" i="31"/>
  <c r="AT36" i="31"/>
  <c r="O36" i="31"/>
  <c r="BA44" i="31"/>
  <c r="AJ44" i="31"/>
  <c r="AA44" i="31"/>
  <c r="R44" i="31"/>
  <c r="I44" i="31"/>
  <c r="BB44" i="31"/>
  <c r="BC44" i="31"/>
  <c r="U52" i="31"/>
  <c r="BG52" i="31"/>
  <c r="AX52" i="31"/>
  <c r="AO52" i="31"/>
  <c r="AF52" i="31"/>
  <c r="V52" i="31"/>
  <c r="BG60" i="31"/>
  <c r="AU60" i="31"/>
  <c r="AF60" i="31"/>
  <c r="AX60" i="31"/>
  <c r="Q60" i="31"/>
  <c r="Y60" i="31"/>
  <c r="AS60" i="31"/>
  <c r="AA68" i="31"/>
  <c r="W68" i="31"/>
  <c r="AN68" i="31"/>
  <c r="BD68" i="31"/>
  <c r="BA68" i="31"/>
  <c r="AT68" i="31"/>
  <c r="BA76" i="31"/>
  <c r="AJ76" i="31"/>
  <c r="Y76" i="31"/>
  <c r="AN76" i="31"/>
  <c r="V76" i="31"/>
  <c r="AD76" i="31"/>
  <c r="P76" i="31"/>
  <c r="T84" i="31"/>
  <c r="K84" i="31"/>
  <c r="BE84" i="31"/>
  <c r="AU84" i="31"/>
  <c r="X84" i="31"/>
  <c r="N84" i="31"/>
  <c r="BD92" i="31"/>
  <c r="AU92" i="31"/>
  <c r="AB92" i="31"/>
  <c r="AK92" i="31"/>
  <c r="V92" i="31"/>
  <c r="Q92" i="31"/>
  <c r="AC92" i="31"/>
  <c r="X100" i="31"/>
  <c r="AK51" i="31"/>
  <c r="AQ59" i="31"/>
  <c r="U59" i="31"/>
  <c r="AB67" i="31"/>
  <c r="BE75" i="31"/>
  <c r="AT75" i="31"/>
  <c r="W83" i="31"/>
  <c r="Q83" i="31"/>
  <c r="BG91" i="31"/>
  <c r="AD91" i="31"/>
  <c r="R91" i="31"/>
  <c r="T99" i="31"/>
  <c r="P99" i="31"/>
  <c r="AM99" i="31"/>
  <c r="O99" i="31"/>
  <c r="M14" i="31"/>
  <c r="AI14" i="31"/>
  <c r="I14" i="31"/>
  <c r="AT14" i="31"/>
  <c r="AH14" i="31"/>
  <c r="O57" i="31"/>
  <c r="U57" i="31"/>
  <c r="AY57" i="31"/>
  <c r="AN57" i="31"/>
  <c r="I57" i="31"/>
  <c r="Q57" i="31"/>
  <c r="O73" i="31"/>
  <c r="AY73" i="31"/>
  <c r="Y73" i="31"/>
  <c r="AR73" i="31"/>
  <c r="AN73" i="31"/>
  <c r="P73" i="31"/>
  <c r="AW81" i="31"/>
  <c r="AN81" i="31"/>
  <c r="AS81" i="31"/>
  <c r="BB81" i="31"/>
  <c r="AY81" i="31"/>
  <c r="BG81" i="31"/>
  <c r="AD81" i="31"/>
  <c r="M89" i="31"/>
  <c r="AW89" i="31"/>
  <c r="AE89" i="31"/>
  <c r="AA89" i="31"/>
  <c r="W89" i="31"/>
  <c r="AT89" i="31"/>
  <c r="AR97" i="31"/>
  <c r="AI97" i="31"/>
  <c r="X97" i="31"/>
  <c r="AT97" i="31"/>
  <c r="AD97" i="31"/>
  <c r="BE97" i="31"/>
  <c r="AM97" i="31"/>
  <c r="M38" i="31"/>
  <c r="AY38" i="31"/>
  <c r="AP38" i="31"/>
  <c r="AG38" i="31"/>
  <c r="X38" i="31"/>
  <c r="N38" i="31"/>
  <c r="AS78" i="31"/>
  <c r="AB78" i="31"/>
  <c r="Q78" i="31"/>
  <c r="AD78" i="31"/>
  <c r="N78" i="31"/>
  <c r="K78" i="31"/>
  <c r="AE78" i="31"/>
  <c r="P102" i="31"/>
  <c r="AZ102" i="31"/>
  <c r="AD102" i="31"/>
  <c r="Y102" i="31"/>
  <c r="AY102" i="31"/>
  <c r="AL102" i="31"/>
  <c r="AW17" i="31"/>
  <c r="AN17" i="31"/>
  <c r="AE17" i="31"/>
  <c r="M17" i="31"/>
  <c r="AR17" i="31"/>
  <c r="N17" i="31"/>
  <c r="AT17" i="31"/>
  <c r="Q33" i="31"/>
  <c r="H33" i="31"/>
  <c r="AX33" i="31"/>
  <c r="AA33" i="31"/>
  <c r="AZ33" i="31"/>
  <c r="O33" i="31"/>
  <c r="AW41" i="31"/>
  <c r="AN41" i="31"/>
  <c r="AE41" i="31"/>
  <c r="N41" i="31"/>
  <c r="AR41" i="31"/>
  <c r="AH41" i="31"/>
  <c r="S41" i="31"/>
  <c r="O65" i="31"/>
  <c r="AX65" i="31"/>
  <c r="Y65" i="31"/>
  <c r="T65" i="31"/>
  <c r="Q65" i="31"/>
  <c r="AB65" i="31"/>
  <c r="AS12" i="31"/>
  <c r="AB12" i="31"/>
  <c r="S12" i="31"/>
  <c r="I12" i="31"/>
  <c r="Z12" i="31"/>
  <c r="BF12" i="31"/>
  <c r="AD12" i="31"/>
  <c r="M20" i="31"/>
  <c r="AY20" i="31"/>
  <c r="AO20" i="31"/>
  <c r="AE20" i="31"/>
  <c r="AH20" i="31"/>
  <c r="AV20" i="31"/>
  <c r="AS28" i="31"/>
  <c r="AB28" i="31"/>
  <c r="S28" i="31"/>
  <c r="I28" i="31"/>
  <c r="Z28" i="31"/>
  <c r="BF28" i="31"/>
  <c r="H28" i="31"/>
  <c r="M36" i="31"/>
  <c r="AY36" i="31"/>
  <c r="BE36" i="31"/>
  <c r="AV36" i="31"/>
  <c r="AL36" i="31"/>
  <c r="AQ36" i="31"/>
  <c r="AS44" i="31"/>
  <c r="AB44" i="31"/>
  <c r="S44" i="31"/>
  <c r="J44" i="31"/>
  <c r="BD44" i="31"/>
  <c r="AT44" i="31"/>
  <c r="AU44" i="31"/>
  <c r="M52" i="31"/>
  <c r="AY52" i="31"/>
  <c r="AP52" i="31"/>
  <c r="AG52" i="31"/>
  <c r="X52" i="31"/>
  <c r="N52" i="31"/>
  <c r="AY60" i="31"/>
  <c r="AM60" i="31"/>
  <c r="U60" i="31"/>
  <c r="AN60" i="31"/>
  <c r="AV60" i="31"/>
  <c r="N60" i="31"/>
  <c r="AH60" i="31"/>
  <c r="S68" i="31"/>
  <c r="O68" i="31"/>
  <c r="AC68" i="31"/>
  <c r="AS68" i="31"/>
  <c r="AF68" i="31"/>
  <c r="Y68" i="31"/>
  <c r="AS76" i="31"/>
  <c r="AB76" i="31"/>
  <c r="Q76" i="31"/>
  <c r="AA76" i="31"/>
  <c r="BC76" i="31"/>
  <c r="H76" i="31"/>
  <c r="BG76" i="31"/>
  <c r="L84" i="31"/>
  <c r="BF84" i="31"/>
  <c r="AW84" i="31"/>
  <c r="AM84" i="31"/>
  <c r="AS84" i="31"/>
  <c r="BB84" i="31"/>
  <c r="AV92" i="31"/>
  <c r="AM92" i="31"/>
  <c r="T92" i="31"/>
  <c r="Y92" i="31"/>
  <c r="AP92" i="31"/>
  <c r="BA92" i="31"/>
  <c r="AT92" i="31"/>
  <c r="AB51" i="31"/>
  <c r="AD59" i="31"/>
  <c r="V59" i="31"/>
  <c r="BB67" i="31"/>
  <c r="BD75" i="31"/>
  <c r="W75" i="31"/>
  <c r="O83" i="31"/>
  <c r="BE83" i="31"/>
  <c r="U91" i="31"/>
  <c r="P91" i="31"/>
  <c r="AQ91" i="31"/>
  <c r="L99" i="31"/>
  <c r="H99" i="31"/>
  <c r="AC99" i="31"/>
  <c r="AD99" i="31"/>
  <c r="AZ14" i="31"/>
  <c r="AA14" i="31"/>
  <c r="AU14" i="31"/>
  <c r="X14" i="31"/>
  <c r="BB14" i="31"/>
  <c r="AT57" i="31"/>
  <c r="M57" i="31"/>
  <c r="AQ57" i="31"/>
  <c r="AF57" i="31"/>
  <c r="AH57" i="31"/>
  <c r="AX57" i="31"/>
  <c r="BA73" i="31"/>
  <c r="AQ73" i="31"/>
  <c r="L73" i="31"/>
  <c r="AF73" i="31"/>
  <c r="Z73" i="31"/>
  <c r="AV73" i="31"/>
  <c r="AO81" i="31"/>
  <c r="AF81" i="31"/>
  <c r="AK81" i="31"/>
  <c r="AM81" i="31"/>
  <c r="AJ81" i="31"/>
  <c r="V81" i="31"/>
  <c r="J81" i="31"/>
  <c r="AZ89" i="31"/>
  <c r="AO89" i="31"/>
  <c r="R89" i="31"/>
  <c r="O89" i="31"/>
  <c r="J89" i="31"/>
  <c r="H89" i="31"/>
  <c r="AJ97" i="31"/>
  <c r="AA97" i="31"/>
  <c r="P97" i="31"/>
  <c r="AG97" i="31"/>
  <c r="J97" i="31"/>
  <c r="AL97" i="31"/>
  <c r="AK97" i="31"/>
  <c r="AZ38" i="31"/>
  <c r="AQ38" i="31"/>
  <c r="AH38" i="31"/>
  <c r="Y38" i="31"/>
  <c r="P38" i="31"/>
  <c r="O38" i="31"/>
  <c r="AK78" i="31"/>
  <c r="T78" i="31"/>
  <c r="I78" i="31"/>
  <c r="P78" i="31"/>
  <c r="AV78" i="31"/>
  <c r="AL78" i="31"/>
  <c r="R78" i="31"/>
  <c r="H102" i="31"/>
  <c r="AR102" i="31"/>
  <c r="R102" i="31"/>
  <c r="K102" i="31"/>
  <c r="AG102" i="31"/>
  <c r="Z102" i="31"/>
  <c r="AO17" i="31"/>
  <c r="AF17" i="31"/>
  <c r="W17" i="31"/>
  <c r="BG17" i="31"/>
  <c r="V17" i="31"/>
  <c r="AX17" i="31"/>
  <c r="Z17" i="31"/>
  <c r="I33" i="31"/>
  <c r="BB33" i="31"/>
  <c r="AP33" i="31"/>
  <c r="K33" i="31"/>
  <c r="AJ33" i="31"/>
  <c r="AR33" i="31"/>
  <c r="AO41" i="31"/>
  <c r="AF41" i="31"/>
  <c r="W41" i="31"/>
  <c r="BA41" i="31"/>
  <c r="AJ41" i="31"/>
  <c r="Z41" i="31"/>
  <c r="K41" i="31"/>
  <c r="BG65" i="31"/>
  <c r="AN65" i="31"/>
  <c r="N65" i="31"/>
  <c r="I65" i="31"/>
  <c r="BB65" i="31"/>
  <c r="L65" i="31"/>
  <c r="AK12" i="31"/>
  <c r="T12" i="31"/>
  <c r="K12" i="31"/>
  <c r="BC12" i="31"/>
  <c r="BB12" i="31"/>
  <c r="AL12" i="31"/>
  <c r="H12" i="31"/>
  <c r="AZ20" i="31"/>
  <c r="AQ20" i="31"/>
  <c r="AG20" i="31"/>
  <c r="W20" i="31"/>
  <c r="N20" i="31"/>
  <c r="Z20" i="31"/>
  <c r="AK28" i="31"/>
  <c r="T28" i="31"/>
  <c r="K28" i="31"/>
  <c r="BC28" i="31"/>
  <c r="AT28" i="31"/>
  <c r="AL28" i="31"/>
  <c r="BB28" i="31"/>
  <c r="AZ36" i="31"/>
  <c r="BF36" i="31"/>
  <c r="AW36" i="31"/>
  <c r="AN36" i="31"/>
  <c r="AD36" i="31"/>
  <c r="K36" i="31"/>
  <c r="AK44" i="31"/>
  <c r="T44" i="31"/>
  <c r="K44" i="31"/>
  <c r="BE44" i="31"/>
  <c r="AV44" i="31"/>
  <c r="AL44" i="31"/>
  <c r="AE44" i="31"/>
  <c r="AZ52" i="31"/>
  <c r="AQ52" i="31"/>
  <c r="AH52" i="31"/>
  <c r="Y52" i="31"/>
  <c r="P52" i="31"/>
  <c r="BC52" i="31"/>
  <c r="AQ60" i="31"/>
  <c r="AE60" i="31"/>
  <c r="J60" i="31"/>
  <c r="AC60" i="31"/>
  <c r="AK60" i="31"/>
  <c r="BD60" i="31"/>
  <c r="X60" i="31"/>
  <c r="K68" i="31"/>
  <c r="BB68" i="31"/>
  <c r="R68" i="31"/>
  <c r="AH68" i="31"/>
  <c r="J68" i="31"/>
  <c r="AP68" i="31"/>
  <c r="AK76" i="31"/>
  <c r="T76" i="31"/>
  <c r="I76" i="31"/>
  <c r="O76" i="31"/>
  <c r="AH76" i="31"/>
  <c r="T51" i="31"/>
  <c r="T59" i="31"/>
  <c r="BB59" i="31"/>
  <c r="AR67" i="31"/>
  <c r="AV75" i="31"/>
  <c r="BC75" i="31"/>
  <c r="N83" i="31"/>
  <c r="AH83" i="31"/>
  <c r="M91" i="31"/>
  <c r="AM91" i="31"/>
  <c r="AT91" i="31"/>
  <c r="AI99" i="31"/>
  <c r="BF99" i="31"/>
  <c r="I99" i="31"/>
  <c r="Q99" i="31"/>
  <c r="AR14" i="31"/>
  <c r="S14" i="31"/>
  <c r="AE14" i="31"/>
  <c r="AP14" i="31"/>
  <c r="AF14" i="31"/>
  <c r="AD57" i="31"/>
  <c r="AZ57" i="31"/>
  <c r="AI57" i="31"/>
  <c r="X57" i="31"/>
  <c r="AG57" i="31"/>
  <c r="R57" i="31"/>
  <c r="AS73" i="31"/>
  <c r="AI73" i="31"/>
  <c r="BF73" i="31"/>
  <c r="R73" i="31"/>
  <c r="N73" i="31"/>
  <c r="J73" i="31"/>
  <c r="AG81" i="31"/>
  <c r="X81" i="31"/>
  <c r="AC81" i="31"/>
  <c r="AA81" i="31"/>
  <c r="W81" i="31"/>
  <c r="BF81" i="31"/>
  <c r="AB81" i="31"/>
  <c r="AR89" i="31"/>
  <c r="AG89" i="31"/>
  <c r="BC89" i="31"/>
  <c r="AY89" i="31"/>
  <c r="BG89" i="31"/>
  <c r="AL89" i="31"/>
  <c r="AB97" i="31"/>
  <c r="S97" i="31"/>
  <c r="H97" i="31"/>
  <c r="U97" i="31"/>
  <c r="AW97" i="31"/>
  <c r="Q97" i="31"/>
  <c r="AE97" i="31"/>
  <c r="AR38" i="31"/>
  <c r="AI38" i="31"/>
  <c r="Z38" i="31"/>
  <c r="Q38" i="31"/>
  <c r="H38" i="31"/>
  <c r="BC38" i="31"/>
  <c r="AC78" i="31"/>
  <c r="L78" i="31"/>
  <c r="BG78" i="31"/>
  <c r="BB78" i="31"/>
  <c r="AI78" i="31"/>
  <c r="H78" i="31"/>
  <c r="O78" i="31"/>
  <c r="BC102" i="31"/>
  <c r="AJ102" i="31"/>
  <c r="BB102" i="31"/>
  <c r="BF102" i="31"/>
  <c r="J102" i="31"/>
  <c r="U102" i="31"/>
  <c r="AG17" i="31"/>
  <c r="X17" i="31"/>
  <c r="O17" i="31"/>
  <c r="AY17" i="31"/>
  <c r="AP17" i="31"/>
  <c r="BB17" i="31"/>
  <c r="AB17" i="31"/>
  <c r="BD33" i="31"/>
  <c r="AT33" i="31"/>
  <c r="AH33" i="31"/>
  <c r="BC33" i="31"/>
  <c r="T33" i="31"/>
  <c r="AB33" i="31"/>
  <c r="AG41" i="31"/>
  <c r="X41" i="31"/>
  <c r="O41" i="31"/>
  <c r="AS41" i="31"/>
  <c r="AB41" i="31"/>
  <c r="R41" i="31"/>
  <c r="BG41" i="31"/>
  <c r="AY65" i="31"/>
  <c r="AC65" i="31"/>
  <c r="BD65" i="31"/>
  <c r="AP65" i="31"/>
  <c r="AG65" i="31"/>
  <c r="AR65" i="31"/>
  <c r="AC12" i="31"/>
  <c r="L12" i="31"/>
  <c r="BE12" i="31"/>
  <c r="AU12" i="31"/>
  <c r="AT12" i="31"/>
  <c r="P12" i="31"/>
  <c r="AF12" i="31"/>
  <c r="AR20" i="31"/>
  <c r="AI20" i="31"/>
  <c r="Y20" i="31"/>
  <c r="O20" i="31"/>
  <c r="BB20" i="31"/>
  <c r="AP20" i="31"/>
  <c r="AC28" i="31"/>
  <c r="L28" i="31"/>
  <c r="BE28" i="31"/>
  <c r="AU28" i="31"/>
  <c r="X28" i="31"/>
  <c r="P28" i="31"/>
  <c r="J28" i="31"/>
  <c r="AR36" i="31"/>
  <c r="AX36" i="31"/>
  <c r="AO36" i="31"/>
  <c r="AF36" i="31"/>
  <c r="V36" i="31"/>
  <c r="AM36" i="31"/>
  <c r="AC44" i="31"/>
  <c r="L44" i="31"/>
  <c r="BF44" i="31"/>
  <c r="AW44" i="31"/>
  <c r="AN44" i="31"/>
  <c r="AD44" i="31"/>
  <c r="AM44" i="31"/>
  <c r="AR52" i="31"/>
  <c r="AI52" i="31"/>
  <c r="Z52" i="31"/>
  <c r="Q52" i="31"/>
  <c r="H52" i="31"/>
  <c r="AU52" i="31"/>
  <c r="AI60" i="31"/>
  <c r="W60" i="31"/>
  <c r="AZ60" i="31"/>
  <c r="R60" i="31"/>
  <c r="Z60" i="31"/>
  <c r="AR60" i="31"/>
  <c r="M60" i="31"/>
  <c r="BE68" i="31"/>
  <c r="AR68" i="31"/>
  <c r="H68" i="31"/>
  <c r="X68" i="31"/>
  <c r="AZ68" i="31"/>
  <c r="U68" i="31"/>
  <c r="AC76" i="31"/>
  <c r="L76" i="31"/>
  <c r="BD76" i="31"/>
  <c r="AX76" i="31"/>
  <c r="N76" i="31"/>
  <c r="W76" i="31"/>
  <c r="R51" i="31"/>
  <c r="AW59" i="31"/>
  <c r="AE67" i="31"/>
  <c r="T67" i="31"/>
  <c r="AR75" i="31"/>
  <c r="O75" i="31"/>
  <c r="BA83" i="31"/>
  <c r="Z83" i="31"/>
  <c r="AZ91" i="31"/>
  <c r="Z91" i="31"/>
  <c r="AI91" i="31"/>
  <c r="AA99" i="31"/>
  <c r="AT99" i="31"/>
  <c r="AU99" i="31"/>
  <c r="AL99" i="31"/>
  <c r="AJ14" i="31"/>
  <c r="BE14" i="31"/>
  <c r="W14" i="31"/>
  <c r="V14" i="31"/>
  <c r="N14" i="31"/>
  <c r="V57" i="31"/>
  <c r="AR57" i="31"/>
  <c r="AA57" i="31"/>
  <c r="P57" i="31"/>
  <c r="BF57" i="31"/>
  <c r="BC73" i="31"/>
  <c r="AK73" i="31"/>
  <c r="AA73" i="31"/>
  <c r="AT73" i="31"/>
  <c r="BD73" i="31"/>
  <c r="AB73" i="31"/>
  <c r="AO73" i="31"/>
  <c r="Y81" i="31"/>
  <c r="P81" i="31"/>
  <c r="U81" i="31"/>
  <c r="N81" i="31"/>
  <c r="K81" i="31"/>
  <c r="R81" i="31"/>
  <c r="BA89" i="31"/>
  <c r="AJ89" i="31"/>
  <c r="Y89" i="31"/>
  <c r="AP89" i="31"/>
  <c r="AM89" i="31"/>
  <c r="X89" i="31"/>
  <c r="K89" i="31"/>
  <c r="T97" i="31"/>
  <c r="K97" i="31"/>
  <c r="AU97" i="31"/>
  <c r="BB97" i="31"/>
  <c r="Z97" i="31"/>
  <c r="R97" i="31"/>
  <c r="BA38" i="31"/>
  <c r="AJ38" i="31"/>
  <c r="AA38" i="31"/>
  <c r="R38" i="31"/>
  <c r="I38" i="31"/>
  <c r="BB38" i="31"/>
  <c r="AU38" i="31"/>
  <c r="U78" i="31"/>
  <c r="BE78" i="31"/>
  <c r="AU78" i="31"/>
  <c r="AN78" i="31"/>
  <c r="W78" i="31"/>
  <c r="AF78" i="31"/>
  <c r="BD102" i="31"/>
  <c r="AU102" i="31"/>
  <c r="AB102" i="31"/>
  <c r="AP102" i="31"/>
  <c r="AI102" i="31"/>
  <c r="AW102" i="31"/>
  <c r="BG102" i="31"/>
  <c r="Y17" i="31"/>
  <c r="P17" i="31"/>
  <c r="BA17" i="31"/>
  <c r="AQ17" i="31"/>
  <c r="T17" i="31"/>
  <c r="AH17" i="31"/>
  <c r="BE33" i="31"/>
  <c r="AV33" i="31"/>
  <c r="AL33" i="31"/>
  <c r="Z33" i="31"/>
  <c r="AM33" i="31"/>
  <c r="AY33" i="31"/>
  <c r="L33" i="31"/>
  <c r="Y41" i="31"/>
  <c r="P41" i="31"/>
  <c r="BB41" i="31"/>
  <c r="AK41" i="31"/>
  <c r="T41" i="31"/>
  <c r="J41" i="31"/>
  <c r="BC65" i="31"/>
  <c r="AQ65" i="31"/>
  <c r="R65" i="31"/>
  <c r="AS65" i="31"/>
  <c r="V65" i="31"/>
  <c r="P65" i="31"/>
  <c r="X65" i="31"/>
  <c r="U12" i="31"/>
  <c r="BG12" i="31"/>
  <c r="AW12" i="31"/>
  <c r="AM12" i="31"/>
  <c r="X12" i="31"/>
  <c r="J12" i="31"/>
  <c r="BA20" i="31"/>
  <c r="AJ20" i="31"/>
  <c r="AA20" i="31"/>
  <c r="Q20" i="31"/>
  <c r="BF20" i="31"/>
  <c r="AF20" i="31"/>
  <c r="AT20" i="31"/>
  <c r="U28" i="31"/>
  <c r="BG28" i="31"/>
  <c r="AW28" i="31"/>
  <c r="AM28" i="31"/>
  <c r="AP28" i="31"/>
  <c r="BD28" i="31"/>
  <c r="BA36" i="31"/>
  <c r="AJ36" i="31"/>
  <c r="AP36" i="31"/>
  <c r="AG36" i="31"/>
  <c r="X36" i="31"/>
  <c r="N36" i="31"/>
  <c r="AI36" i="31"/>
  <c r="U44" i="31"/>
  <c r="BG44" i="31"/>
  <c r="AX44" i="31"/>
  <c r="AO44" i="31"/>
  <c r="AF44" i="31"/>
  <c r="V44" i="31"/>
  <c r="BA52" i="31"/>
  <c r="AJ52" i="31"/>
  <c r="AA52" i="31"/>
  <c r="R52" i="31"/>
  <c r="I52" i="31"/>
  <c r="BB52" i="31"/>
  <c r="AM52" i="31"/>
  <c r="AA60" i="31"/>
  <c r="O60" i="31"/>
  <c r="AO60" i="31"/>
  <c r="H60" i="31"/>
  <c r="P60" i="31"/>
  <c r="AG60" i="31"/>
  <c r="BG68" i="31"/>
  <c r="BC68" i="31"/>
  <c r="AG68" i="31"/>
  <c r="AW68" i="31"/>
  <c r="M68" i="31"/>
  <c r="AD68" i="31"/>
  <c r="AK68" i="31"/>
  <c r="U76" i="31"/>
  <c r="BE76" i="31"/>
  <c r="AQ76" i="31"/>
  <c r="AL76" i="31"/>
  <c r="AY76" i="31"/>
  <c r="AM76" i="31"/>
  <c r="AZ84" i="31"/>
  <c r="AQ84" i="31"/>
  <c r="AH84" i="31"/>
  <c r="Y84" i="31"/>
  <c r="O84" i="31"/>
  <c r="P84" i="31"/>
  <c r="AD84" i="31"/>
  <c r="X92" i="31"/>
  <c r="O92" i="31"/>
  <c r="AL92" i="31"/>
  <c r="AS92" i="31"/>
  <c r="AO92" i="31"/>
  <c r="J51" i="31"/>
  <c r="AL59" i="31"/>
  <c r="W67" i="31"/>
  <c r="AN67" i="31"/>
  <c r="AF75" i="31"/>
  <c r="BG75" i="31"/>
  <c r="AS83" i="31"/>
  <c r="AR83" i="31"/>
  <c r="BF91" i="31"/>
  <c r="N91" i="31"/>
  <c r="AF91" i="31"/>
  <c r="S99" i="31"/>
  <c r="AS99" i="31"/>
  <c r="Y99" i="31"/>
  <c r="J99" i="31"/>
  <c r="AB14" i="31"/>
  <c r="AO14" i="31"/>
  <c r="O14" i="31"/>
  <c r="BD14" i="31"/>
  <c r="AU57" i="31"/>
  <c r="N57" i="31"/>
  <c r="AJ57" i="31"/>
  <c r="S57" i="31"/>
  <c r="H57" i="31"/>
  <c r="Z57" i="31"/>
  <c r="AU73" i="31"/>
  <c r="AC73" i="31"/>
  <c r="S73" i="31"/>
  <c r="AG73" i="31"/>
  <c r="AP73" i="31"/>
  <c r="X73" i="31"/>
  <c r="I73" i="31"/>
  <c r="Q81" i="31"/>
  <c r="H81" i="31"/>
  <c r="M81" i="31"/>
  <c r="AZ81" i="31"/>
  <c r="AT81" i="31"/>
  <c r="AX81" i="31"/>
  <c r="AS89" i="31"/>
  <c r="AB89" i="31"/>
  <c r="Q89" i="31"/>
  <c r="AD89" i="31"/>
  <c r="Z89" i="31"/>
  <c r="BF89" i="31"/>
  <c r="AU89" i="31"/>
  <c r="L97" i="31"/>
  <c r="BD97" i="31"/>
  <c r="AH97" i="31"/>
  <c r="AO97" i="31"/>
  <c r="AS97" i="31"/>
  <c r="N97" i="31"/>
  <c r="AS38" i="31"/>
  <c r="AB38" i="31"/>
  <c r="S38" i="31"/>
  <c r="J38" i="31"/>
  <c r="BD38" i="31"/>
  <c r="AT38" i="31"/>
  <c r="AM38" i="31"/>
  <c r="M78" i="31"/>
  <c r="AW78" i="31"/>
  <c r="AH78" i="31"/>
  <c r="AA78" i="31"/>
  <c r="J78" i="31"/>
  <c r="BF78" i="31"/>
  <c r="AV102" i="31"/>
  <c r="AM102" i="31"/>
  <c r="T102" i="31"/>
  <c r="AC102" i="31"/>
  <c r="N102" i="31"/>
  <c r="AA102" i="31"/>
  <c r="S102" i="31"/>
  <c r="Q17" i="31"/>
  <c r="H17" i="31"/>
  <c r="AS17" i="31"/>
  <c r="AI17" i="31"/>
  <c r="AL17" i="31"/>
  <c r="L17" i="31"/>
  <c r="AW33" i="31"/>
  <c r="AN33" i="31"/>
  <c r="AD33" i="31"/>
  <c r="R33" i="31"/>
  <c r="W33" i="31"/>
  <c r="AI33" i="31"/>
  <c r="AC33" i="31"/>
  <c r="Q41" i="31"/>
  <c r="H41" i="31"/>
  <c r="AT41" i="31"/>
  <c r="AC41" i="31"/>
  <c r="L41" i="31"/>
  <c r="AY41" i="31"/>
  <c r="AU65" i="31"/>
  <c r="AI65" i="31"/>
  <c r="H65" i="31"/>
  <c r="AH65" i="31"/>
  <c r="AL65" i="31"/>
  <c r="BA65" i="31"/>
  <c r="AV65" i="31"/>
  <c r="M12" i="31"/>
  <c r="AY12" i="31"/>
  <c r="AO12" i="31"/>
  <c r="AE12" i="31"/>
  <c r="AP12" i="31"/>
  <c r="BD12" i="31"/>
  <c r="AS20" i="31"/>
  <c r="AB20" i="31"/>
  <c r="S20" i="31"/>
  <c r="I20" i="31"/>
  <c r="AL20" i="31"/>
  <c r="J20" i="31"/>
  <c r="X20" i="31"/>
  <c r="M28" i="31"/>
  <c r="AY28" i="31"/>
  <c r="AO28" i="31"/>
  <c r="AE28" i="31"/>
  <c r="V28" i="31"/>
  <c r="AH28" i="31"/>
  <c r="AS36" i="31"/>
  <c r="AB36" i="31"/>
  <c r="AH36" i="31"/>
  <c r="Y36" i="31"/>
  <c r="P36" i="31"/>
  <c r="BC36" i="31"/>
  <c r="AE36" i="31"/>
  <c r="M44" i="31"/>
  <c r="AY44" i="31"/>
  <c r="AP44" i="31"/>
  <c r="AG44" i="31"/>
  <c r="X44" i="31"/>
  <c r="N44" i="31"/>
  <c r="AS52" i="31"/>
  <c r="AB52" i="31"/>
  <c r="S52" i="31"/>
  <c r="J52" i="31"/>
  <c r="BD52" i="31"/>
  <c r="AT52" i="31"/>
  <c r="AE52" i="31"/>
  <c r="S60" i="31"/>
  <c r="BB60" i="31"/>
  <c r="AD60" i="31"/>
  <c r="AW60" i="31"/>
  <c r="BF60" i="31"/>
  <c r="V60" i="31"/>
  <c r="AY68" i="31"/>
  <c r="AU68" i="31"/>
  <c r="V68" i="31"/>
  <c r="AL68" i="31"/>
  <c r="BF68" i="31"/>
  <c r="I68" i="31"/>
  <c r="P68" i="31"/>
  <c r="M76" i="31"/>
  <c r="AW76" i="31"/>
  <c r="AE76" i="31"/>
  <c r="X76" i="31"/>
  <c r="AF76" i="31"/>
  <c r="AI76" i="31"/>
  <c r="AR84" i="31"/>
  <c r="AI84" i="31"/>
  <c r="Z84" i="31"/>
  <c r="Q84" i="31"/>
  <c r="AV84" i="31"/>
  <c r="AK84" i="31"/>
  <c r="AF84" i="31"/>
  <c r="P92" i="31"/>
  <c r="AZ92" i="31"/>
  <c r="AT76" i="31"/>
  <c r="AG84" i="31"/>
  <c r="AF92" i="31"/>
  <c r="AG92" i="31"/>
  <c r="N92" i="31"/>
  <c r="AM100" i="31"/>
  <c r="L100" i="31"/>
  <c r="R100" i="31"/>
  <c r="BB100" i="31"/>
  <c r="J100" i="31"/>
  <c r="AO100" i="31"/>
  <c r="AP30" i="31"/>
  <c r="N30" i="31"/>
  <c r="AB30" i="31"/>
  <c r="AU30" i="31"/>
  <c r="Y30" i="31"/>
  <c r="BE30" i="31"/>
  <c r="AQ70" i="31"/>
  <c r="AG70" i="31"/>
  <c r="W70" i="31"/>
  <c r="V70" i="31"/>
  <c r="AF70" i="31"/>
  <c r="AR70" i="31"/>
  <c r="BD70" i="31"/>
  <c r="I15" i="31"/>
  <c r="BC15" i="31"/>
  <c r="AK15" i="31"/>
  <c r="AA15" i="31"/>
  <c r="AJ15" i="31"/>
  <c r="J15" i="31"/>
  <c r="AO23" i="31"/>
  <c r="AF23" i="31"/>
  <c r="W23" i="31"/>
  <c r="BG23" i="31"/>
  <c r="AD23" i="31"/>
  <c r="V23" i="31"/>
  <c r="AH23" i="31"/>
  <c r="I31" i="31"/>
  <c r="BB31" i="31"/>
  <c r="AP31" i="31"/>
  <c r="AU31" i="31"/>
  <c r="L31" i="31"/>
  <c r="AZ31" i="31"/>
  <c r="AO39" i="31"/>
  <c r="AF39" i="31"/>
  <c r="W39" i="31"/>
  <c r="BA39" i="31"/>
  <c r="AJ39" i="31"/>
  <c r="Z39" i="31"/>
  <c r="AI39" i="31"/>
  <c r="I47" i="31"/>
  <c r="BC47" i="31"/>
  <c r="AL47" i="31"/>
  <c r="U47" i="31"/>
  <c r="BF47" i="31"/>
  <c r="AY47" i="31"/>
  <c r="AM55" i="31"/>
  <c r="V55" i="31"/>
  <c r="AZ55" i="31"/>
  <c r="AN55" i="31"/>
  <c r="AO55" i="31"/>
  <c r="AY55" i="31"/>
  <c r="AW55" i="31"/>
  <c r="BG63" i="31"/>
  <c r="AV63" i="31"/>
  <c r="L63" i="31"/>
  <c r="H63" i="31"/>
  <c r="AH63" i="31"/>
  <c r="AP63" i="31"/>
  <c r="AM71" i="31"/>
  <c r="U71" i="31"/>
  <c r="K71" i="31"/>
  <c r="I71" i="31"/>
  <c r="AF71" i="31"/>
  <c r="BD71" i="31"/>
  <c r="AJ71" i="31"/>
  <c r="I79" i="31"/>
  <c r="BA79" i="31"/>
  <c r="AH79" i="31"/>
  <c r="AA79" i="31"/>
  <c r="V79" i="31"/>
  <c r="R79" i="31"/>
  <c r="AK87" i="31"/>
  <c r="L87" i="31"/>
  <c r="BF87" i="31"/>
  <c r="R87" i="31"/>
  <c r="O87" i="31"/>
  <c r="AY87" i="31"/>
  <c r="N87" i="31"/>
  <c r="BG95" i="31"/>
  <c r="AV95" i="31"/>
  <c r="W95" i="31"/>
  <c r="AD95" i="31"/>
  <c r="Z95" i="31"/>
  <c r="BE95" i="31"/>
  <c r="AJ103" i="31"/>
  <c r="AA103" i="31"/>
  <c r="P103" i="31"/>
  <c r="AC103" i="31"/>
  <c r="AS103" i="31"/>
  <c r="AG103" i="31"/>
  <c r="N103" i="31"/>
  <c r="K54" i="31"/>
  <c r="BE54" i="31"/>
  <c r="AV54" i="31"/>
  <c r="AF54" i="31"/>
  <c r="AN54" i="31"/>
  <c r="W54" i="31"/>
  <c r="BD9" i="31"/>
  <c r="U9" i="31"/>
  <c r="L9" i="31"/>
  <c r="AP9" i="31"/>
  <c r="AU76" i="31"/>
  <c r="AE84" i="31"/>
  <c r="AE92" i="31"/>
  <c r="U92" i="31"/>
  <c r="AA92" i="31"/>
  <c r="W100" i="31"/>
  <c r="BF100" i="31"/>
  <c r="AY100" i="31"/>
  <c r="AI100" i="31"/>
  <c r="AT100" i="31"/>
  <c r="AP100" i="31"/>
  <c r="BB30" i="31"/>
  <c r="AY30" i="31"/>
  <c r="T30" i="31"/>
  <c r="AH30" i="31"/>
  <c r="Q30" i="31"/>
  <c r="AO30" i="31"/>
  <c r="AI70" i="31"/>
  <c r="Y70" i="31"/>
  <c r="O70" i="31"/>
  <c r="J70" i="31"/>
  <c r="T70" i="31"/>
  <c r="L70" i="31"/>
  <c r="X70" i="31"/>
  <c r="BD15" i="31"/>
  <c r="AU15" i="31"/>
  <c r="AC15" i="31"/>
  <c r="S15" i="31"/>
  <c r="N15" i="31"/>
  <c r="AX15" i="31"/>
  <c r="AG23" i="31"/>
  <c r="X23" i="31"/>
  <c r="O23" i="31"/>
  <c r="AY23" i="31"/>
  <c r="J23" i="31"/>
  <c r="AJ23" i="31"/>
  <c r="L23" i="31"/>
  <c r="BD31" i="31"/>
  <c r="AT31" i="31"/>
  <c r="AH31" i="31"/>
  <c r="AE31" i="31"/>
  <c r="BG31" i="31"/>
  <c r="AJ31" i="31"/>
  <c r="AG39" i="31"/>
  <c r="X39" i="31"/>
  <c r="O39" i="31"/>
  <c r="AS39" i="31"/>
  <c r="AB39" i="31"/>
  <c r="R39" i="31"/>
  <c r="AQ39" i="31"/>
  <c r="BD47" i="31"/>
  <c r="AU47" i="31"/>
  <c r="AD47" i="31"/>
  <c r="M47" i="31"/>
  <c r="AX47" i="31"/>
  <c r="AQ47" i="31"/>
  <c r="AE55" i="31"/>
  <c r="N55" i="31"/>
  <c r="AR55" i="31"/>
  <c r="AF55" i="31"/>
  <c r="R55" i="31"/>
  <c r="AG55" i="31"/>
  <c r="Z55" i="31"/>
  <c r="AY63" i="31"/>
  <c r="AK63" i="31"/>
  <c r="AW63" i="31"/>
  <c r="BD63" i="31"/>
  <c r="R63" i="31"/>
  <c r="Y63" i="31"/>
  <c r="AE71" i="31"/>
  <c r="M71" i="31"/>
  <c r="AZ71" i="31"/>
  <c r="BF71" i="31"/>
  <c r="R71" i="31"/>
  <c r="X71" i="31"/>
  <c r="AL71" i="31"/>
  <c r="BD79" i="31"/>
  <c r="AS79" i="31"/>
  <c r="T79" i="31"/>
  <c r="N79" i="31"/>
  <c r="J79" i="31"/>
  <c r="AQ79" i="31"/>
  <c r="AC87" i="31"/>
  <c r="BE87" i="31"/>
  <c r="AT87" i="31"/>
  <c r="BC87" i="31"/>
  <c r="AX87" i="31"/>
  <c r="V87" i="31"/>
  <c r="AH87" i="31"/>
  <c r="AY95" i="31"/>
  <c r="AN95" i="31"/>
  <c r="J95" i="31"/>
  <c r="Q95" i="31"/>
  <c r="AS95" i="31"/>
  <c r="AO95" i="31"/>
  <c r="AB103" i="31"/>
  <c r="S103" i="31"/>
  <c r="H103" i="31"/>
  <c r="O103" i="31"/>
  <c r="V103" i="31"/>
  <c r="M103" i="31"/>
  <c r="AU103" i="31"/>
  <c r="BF54" i="31"/>
  <c r="AW54" i="31"/>
  <c r="AZ54" i="31"/>
  <c r="U54" i="31"/>
  <c r="AC54" i="31"/>
  <c r="L54" i="31"/>
  <c r="AV9" i="31"/>
  <c r="M9" i="31"/>
  <c r="BB9" i="31"/>
  <c r="AH9" i="31"/>
  <c r="Y9" i="31"/>
  <c r="P9" i="31"/>
  <c r="O9" i="31"/>
  <c r="AR10" i="31"/>
  <c r="AI10" i="31"/>
  <c r="Y10" i="31"/>
  <c r="X10" i="31"/>
  <c r="AL10" i="31"/>
  <c r="N10" i="31"/>
  <c r="AC18" i="31"/>
  <c r="L18" i="31"/>
  <c r="BE18" i="31"/>
  <c r="AU18" i="31"/>
  <c r="BB18" i="31"/>
  <c r="Z18" i="31"/>
  <c r="P18" i="31"/>
  <c r="AR26" i="31"/>
  <c r="AI26" i="31"/>
  <c r="Y26" i="31"/>
  <c r="O26" i="31"/>
  <c r="BF26" i="31"/>
  <c r="AF26" i="31"/>
  <c r="AC34" i="31"/>
  <c r="L34" i="31"/>
  <c r="BB34" i="31"/>
  <c r="W34" i="31"/>
  <c r="AF34" i="31"/>
  <c r="K34" i="31"/>
  <c r="Y34" i="31"/>
  <c r="AR42" i="31"/>
  <c r="AI42" i="31"/>
  <c r="Z42" i="31"/>
  <c r="Q42" i="31"/>
  <c r="H42" i="31"/>
  <c r="AU42" i="31"/>
  <c r="AC50" i="31"/>
  <c r="L50" i="31"/>
  <c r="BF50" i="31"/>
  <c r="AW50" i="31"/>
  <c r="AN50" i="31"/>
  <c r="AD50" i="31"/>
  <c r="AU50" i="31"/>
  <c r="K58" i="31"/>
  <c r="AW58" i="31"/>
  <c r="AN58" i="31"/>
  <c r="AE58" i="31"/>
  <c r="L58" i="31"/>
  <c r="M58" i="31"/>
  <c r="AI66" i="31"/>
  <c r="W66" i="31"/>
  <c r="AV66" i="31"/>
  <c r="N66" i="31"/>
  <c r="L66" i="31"/>
  <c r="AR66" i="31"/>
  <c r="AL66" i="31"/>
  <c r="AL74" i="31"/>
  <c r="Q74" i="31"/>
  <c r="AN74" i="31"/>
  <c r="R74" i="31"/>
  <c r="M74" i="31"/>
  <c r="W74" i="31"/>
  <c r="AB82" i="31"/>
  <c r="AW82" i="31"/>
  <c r="AK82" i="31"/>
  <c r="AG82" i="31"/>
  <c r="BD82" i="31"/>
  <c r="P82" i="31"/>
  <c r="N82" i="31"/>
  <c r="BD90" i="31"/>
  <c r="AS90" i="31"/>
  <c r="R90" i="31"/>
  <c r="N90" i="31"/>
  <c r="J90" i="31"/>
  <c r="T90" i="31"/>
  <c r="AF98" i="31"/>
  <c r="W98" i="31"/>
  <c r="BG98" i="31"/>
  <c r="S98" i="31"/>
  <c r="AK98" i="31"/>
  <c r="AW98" i="31"/>
  <c r="AC98" i="31"/>
  <c r="BC94" i="31"/>
  <c r="AJ94" i="31"/>
  <c r="BF76" i="31"/>
  <c r="W84" i="31"/>
  <c r="W92" i="31"/>
  <c r="BG92" i="31"/>
  <c r="BD100" i="31"/>
  <c r="O100" i="31"/>
  <c r="AS100" i="31"/>
  <c r="AL100" i="31"/>
  <c r="N100" i="31"/>
  <c r="Y100" i="31"/>
  <c r="BA30" i="31"/>
  <c r="AT30" i="31"/>
  <c r="AK30" i="31"/>
  <c r="L30" i="31"/>
  <c r="Z30" i="31"/>
  <c r="I30" i="31"/>
  <c r="AF30" i="31"/>
  <c r="AA70" i="31"/>
  <c r="Q70" i="31"/>
  <c r="BA70" i="31"/>
  <c r="AT70" i="31"/>
  <c r="BB70" i="31"/>
  <c r="AL70" i="31"/>
  <c r="BE15" i="31"/>
  <c r="AV15" i="31"/>
  <c r="AM15" i="31"/>
  <c r="U15" i="31"/>
  <c r="K15" i="31"/>
  <c r="Z15" i="31"/>
  <c r="AB15" i="31"/>
  <c r="Y23" i="31"/>
  <c r="P23" i="31"/>
  <c r="BA23" i="31"/>
  <c r="AQ23" i="31"/>
  <c r="AX23" i="31"/>
  <c r="AP23" i="31"/>
  <c r="BE31" i="31"/>
  <c r="AV31" i="31"/>
  <c r="AL31" i="31"/>
  <c r="Z31" i="31"/>
  <c r="O31" i="31"/>
  <c r="AQ31" i="31"/>
  <c r="T31" i="31"/>
  <c r="Y39" i="31"/>
  <c r="P39" i="31"/>
  <c r="BB39" i="31"/>
  <c r="AK39" i="31"/>
  <c r="T39" i="31"/>
  <c r="J39" i="31"/>
  <c r="BE47" i="31"/>
  <c r="AV47" i="31"/>
  <c r="AM47" i="31"/>
  <c r="V47" i="31"/>
  <c r="AZ47" i="31"/>
  <c r="AP47" i="31"/>
  <c r="AI47" i="31"/>
  <c r="W55" i="31"/>
  <c r="BA55" i="31"/>
  <c r="AJ55" i="31"/>
  <c r="X55" i="31"/>
  <c r="BF55" i="31"/>
  <c r="J55" i="31"/>
  <c r="BC63" i="31"/>
  <c r="AQ63" i="31"/>
  <c r="Z63" i="31"/>
  <c r="AL63" i="31"/>
  <c r="AN63" i="31"/>
  <c r="AX63" i="31"/>
  <c r="I63" i="31"/>
  <c r="W71" i="31"/>
  <c r="BG71" i="31"/>
  <c r="AN71" i="31"/>
  <c r="AT71" i="31"/>
  <c r="BB71" i="31"/>
  <c r="AX71" i="31"/>
  <c r="BE79" i="31"/>
  <c r="AV79" i="31"/>
  <c r="AK79" i="31"/>
  <c r="BB79" i="31"/>
  <c r="AY79" i="31"/>
  <c r="AJ79" i="31"/>
  <c r="K79" i="31"/>
  <c r="U87" i="31"/>
  <c r="AW87" i="31"/>
  <c r="AF87" i="31"/>
  <c r="AP87" i="31"/>
  <c r="AL87" i="31"/>
  <c r="AU87" i="31"/>
  <c r="AZ95" i="31"/>
  <c r="AQ95" i="31"/>
  <c r="AF95" i="31"/>
  <c r="AU95" i="31"/>
  <c r="BA95" i="31"/>
  <c r="Y95" i="31"/>
  <c r="BB95" i="31"/>
  <c r="T103" i="31"/>
  <c r="K103" i="31"/>
  <c r="BC103" i="31"/>
  <c r="AW103" i="31"/>
  <c r="AM103" i="31"/>
  <c r="AH103" i="31"/>
  <c r="BG54" i="31"/>
  <c r="AX54" i="31"/>
  <c r="AO54" i="31"/>
  <c r="AR54" i="31"/>
  <c r="AT54" i="31"/>
  <c r="O54" i="31"/>
  <c r="X54" i="31"/>
  <c r="BC9" i="31"/>
  <c r="AE9" i="31"/>
  <c r="AQ9" i="31"/>
  <c r="Z9" i="31"/>
  <c r="Q9" i="31"/>
  <c r="H9" i="31"/>
  <c r="BA10" i="31"/>
  <c r="AJ10" i="31"/>
  <c r="AA10" i="31"/>
  <c r="BC10" i="31"/>
  <c r="H10" i="31"/>
  <c r="Q10" i="31"/>
  <c r="AV10" i="31"/>
  <c r="U18" i="31"/>
  <c r="BG18" i="31"/>
  <c r="AW18" i="31"/>
  <c r="AM18" i="31"/>
  <c r="AF18" i="31"/>
  <c r="AT18" i="31"/>
  <c r="BA26" i="31"/>
  <c r="AJ26" i="31"/>
  <c r="AA26" i="31"/>
  <c r="Q26" i="31"/>
  <c r="AT26" i="31"/>
  <c r="AL26" i="31"/>
  <c r="J26" i="31"/>
  <c r="U34" i="31"/>
  <c r="BF34" i="31"/>
  <c r="AT34" i="31"/>
  <c r="AY34" i="31"/>
  <c r="P34" i="31"/>
  <c r="BD34" i="31"/>
  <c r="BA42" i="31"/>
  <c r="AJ42" i="31"/>
  <c r="AA42" i="31"/>
  <c r="R42" i="31"/>
  <c r="I42" i="31"/>
  <c r="BB42" i="31"/>
  <c r="AM42" i="31"/>
  <c r="U50" i="31"/>
  <c r="BG50" i="31"/>
  <c r="AX50" i="31"/>
  <c r="AO50" i="31"/>
  <c r="AF50" i="31"/>
  <c r="V50" i="31"/>
  <c r="BG58" i="31"/>
  <c r="AX58" i="31"/>
  <c r="AO58" i="31"/>
  <c r="AF58" i="31"/>
  <c r="W58" i="31"/>
  <c r="BB58" i="31"/>
  <c r="AL58" i="31"/>
  <c r="AA66" i="31"/>
  <c r="O66" i="31"/>
  <c r="AK66" i="31"/>
  <c r="BA66" i="31"/>
  <c r="AX66" i="31"/>
  <c r="V66" i="31"/>
  <c r="BA74" i="31"/>
  <c r="AB74" i="31"/>
  <c r="I74" i="31"/>
  <c r="Y74" i="31"/>
  <c r="BG74" i="31"/>
  <c r="AX74" i="31"/>
  <c r="AZ74" i="31"/>
  <c r="T82" i="31"/>
  <c r="BC82" i="31"/>
  <c r="X82" i="31"/>
  <c r="U82" i="31"/>
  <c r="AC82" i="31"/>
  <c r="AF82" i="31"/>
  <c r="BE90" i="31"/>
  <c r="AV90" i="31"/>
  <c r="AK90" i="31"/>
  <c r="BB90" i="31"/>
  <c r="AY90" i="31"/>
  <c r="AR90" i="31"/>
  <c r="S90" i="31"/>
  <c r="X98" i="31"/>
  <c r="O98" i="31"/>
  <c r="AT98" i="31"/>
  <c r="BA98" i="31"/>
  <c r="Q98" i="31"/>
  <c r="Z98" i="31"/>
  <c r="BD94" i="31"/>
  <c r="AU94" i="31"/>
  <c r="AB94" i="31"/>
  <c r="BG84" i="31"/>
  <c r="V84" i="31"/>
  <c r="L92" i="31"/>
  <c r="R92" i="31"/>
  <c r="AV100" i="31"/>
  <c r="AZ100" i="31"/>
  <c r="AG100" i="31"/>
  <c r="Z100" i="31"/>
  <c r="BA100" i="31"/>
  <c r="AA100" i="31"/>
  <c r="AS30" i="31"/>
  <c r="AL30" i="31"/>
  <c r="AC30" i="31"/>
  <c r="AV30" i="31"/>
  <c r="R30" i="31"/>
  <c r="BD30" i="31"/>
  <c r="X30" i="31"/>
  <c r="S70" i="31"/>
  <c r="I70" i="31"/>
  <c r="AN70" i="31"/>
  <c r="AH70" i="31"/>
  <c r="AP70" i="31"/>
  <c r="AK70" i="31"/>
  <c r="AW15" i="31"/>
  <c r="AN15" i="31"/>
  <c r="AE15" i="31"/>
  <c r="M15" i="31"/>
  <c r="AP15" i="31"/>
  <c r="BB15" i="31"/>
  <c r="AR15" i="31"/>
  <c r="Q23" i="31"/>
  <c r="H23" i="31"/>
  <c r="AS23" i="31"/>
  <c r="AI23" i="31"/>
  <c r="AB23" i="31"/>
  <c r="T23" i="31"/>
  <c r="AW31" i="31"/>
  <c r="AN31" i="31"/>
  <c r="AD31" i="31"/>
  <c r="R31" i="31"/>
  <c r="AS31" i="31"/>
  <c r="AA31" i="31"/>
  <c r="AK31" i="31"/>
  <c r="Q39" i="31"/>
  <c r="H39" i="31"/>
  <c r="AT39" i="31"/>
  <c r="AC39" i="31"/>
  <c r="L39" i="31"/>
  <c r="AA39" i="31"/>
  <c r="AW47" i="31"/>
  <c r="AN47" i="31"/>
  <c r="AE47" i="31"/>
  <c r="N47" i="31"/>
  <c r="AR47" i="31"/>
  <c r="AH47" i="31"/>
  <c r="AA47" i="31"/>
  <c r="O55" i="31"/>
  <c r="AS55" i="31"/>
  <c r="AB55" i="31"/>
  <c r="P55" i="31"/>
  <c r="AI55" i="31"/>
  <c r="AX55" i="31"/>
  <c r="AU63" i="31"/>
  <c r="AI63" i="31"/>
  <c r="P63" i="31"/>
  <c r="AB63" i="31"/>
  <c r="U63" i="31"/>
  <c r="AF63" i="31"/>
  <c r="J63" i="31"/>
  <c r="O71" i="31"/>
  <c r="AY71" i="31"/>
  <c r="Z71" i="31"/>
  <c r="AG71" i="31"/>
  <c r="AO71" i="31"/>
  <c r="Q71" i="31"/>
  <c r="AW79" i="31"/>
  <c r="AN79" i="31"/>
  <c r="AC79" i="31"/>
  <c r="AP79" i="31"/>
  <c r="AL79" i="31"/>
  <c r="BF79" i="31"/>
  <c r="AR79" i="31"/>
  <c r="AZ87" i="31"/>
  <c r="AO87" i="31"/>
  <c r="S87" i="31"/>
  <c r="AD87" i="31"/>
  <c r="X87" i="31"/>
  <c r="K87" i="31"/>
  <c r="AR95" i="31"/>
  <c r="AI95" i="31"/>
  <c r="X95" i="31"/>
  <c r="AH95" i="31"/>
  <c r="AE95" i="31"/>
  <c r="BF95" i="31"/>
  <c r="AL95" i="31"/>
  <c r="L103" i="31"/>
  <c r="BD103" i="31"/>
  <c r="AP103" i="31"/>
  <c r="AK103" i="31"/>
  <c r="U103" i="31"/>
  <c r="AE103" i="31"/>
  <c r="AY54" i="31"/>
  <c r="AP54" i="31"/>
  <c r="AG54" i="31"/>
  <c r="BA54" i="31"/>
  <c r="AE54" i="31"/>
  <c r="AM54" i="31"/>
  <c r="M54" i="31"/>
  <c r="BG9" i="31"/>
  <c r="BF9" i="31"/>
  <c r="AI9" i="31"/>
  <c r="R9" i="31"/>
  <c r="I9" i="31"/>
  <c r="AU9" i="31"/>
  <c r="AS10" i="31"/>
  <c r="AB10" i="31"/>
  <c r="S10" i="31"/>
  <c r="AU10" i="31"/>
  <c r="AP10" i="31"/>
  <c r="BD10" i="31"/>
  <c r="Z10" i="31"/>
  <c r="M18" i="31"/>
  <c r="AY18" i="31"/>
  <c r="AO18" i="31"/>
  <c r="AE18" i="31"/>
  <c r="J18" i="31"/>
  <c r="X18" i="31"/>
  <c r="AS26" i="31"/>
  <c r="AB26" i="31"/>
  <c r="S26" i="31"/>
  <c r="I26" i="31"/>
  <c r="X26" i="31"/>
  <c r="P26" i="31"/>
  <c r="AV26" i="31"/>
  <c r="M34" i="31"/>
  <c r="AX34" i="31"/>
  <c r="AL34" i="31"/>
  <c r="AI34" i="31"/>
  <c r="AU34" i="31"/>
  <c r="AN34" i="31"/>
  <c r="AS42" i="31"/>
  <c r="AB42" i="31"/>
  <c r="S42" i="31"/>
  <c r="J42" i="31"/>
  <c r="BD42" i="31"/>
  <c r="AT42" i="31"/>
  <c r="AE42" i="31"/>
  <c r="M50" i="31"/>
  <c r="AY50" i="31"/>
  <c r="AP50" i="31"/>
  <c r="AG50" i="31"/>
  <c r="X50" i="31"/>
  <c r="N50" i="31"/>
  <c r="BC58" i="31"/>
  <c r="AP58" i="31"/>
  <c r="AG58" i="31"/>
  <c r="X58" i="31"/>
  <c r="O58" i="31"/>
  <c r="V58" i="31"/>
  <c r="AK58" i="31"/>
  <c r="S66" i="31"/>
  <c r="AZ66" i="31"/>
  <c r="Z66" i="31"/>
  <c r="AP66" i="31"/>
  <c r="AC66" i="31"/>
  <c r="AN66" i="31"/>
  <c r="AS74" i="31"/>
  <c r="S74" i="31"/>
  <c r="AY84" i="31"/>
  <c r="AL84" i="31"/>
  <c r="AY92" i="31"/>
  <c r="AD92" i="31"/>
  <c r="P100" i="31"/>
  <c r="AR100" i="31"/>
  <c r="S100" i="31"/>
  <c r="M100" i="31"/>
  <c r="AH100" i="31"/>
  <c r="V100" i="31"/>
  <c r="AZ30" i="31"/>
  <c r="BC30" i="31"/>
  <c r="U30" i="31"/>
  <c r="AI30" i="31"/>
  <c r="J30" i="31"/>
  <c r="AN30" i="31"/>
  <c r="P30" i="31"/>
  <c r="K70" i="31"/>
  <c r="BC70" i="31"/>
  <c r="AB70" i="31"/>
  <c r="U70" i="31"/>
  <c r="AC70" i="31"/>
  <c r="AD70" i="31"/>
  <c r="AO15" i="31"/>
  <c r="AF15" i="31"/>
  <c r="W15" i="31"/>
  <c r="BG15" i="31"/>
  <c r="T15" i="31"/>
  <c r="AH15" i="31"/>
  <c r="V15" i="31"/>
  <c r="I23" i="31"/>
  <c r="BC23" i="31"/>
  <c r="AK23" i="31"/>
  <c r="AA23" i="31"/>
  <c r="BF23" i="31"/>
  <c r="AL23" i="31"/>
  <c r="AO31" i="31"/>
  <c r="AF31" i="31"/>
  <c r="V31" i="31"/>
  <c r="J31" i="31"/>
  <c r="AC31" i="31"/>
  <c r="K31" i="31"/>
  <c r="BA31" i="31"/>
  <c r="I39" i="31"/>
  <c r="BC39" i="31"/>
  <c r="AL39" i="31"/>
  <c r="U39" i="31"/>
  <c r="BF39" i="31"/>
  <c r="S39" i="31"/>
  <c r="AO47" i="31"/>
  <c r="AF47" i="31"/>
  <c r="W47" i="31"/>
  <c r="BA47" i="31"/>
  <c r="AJ47" i="31"/>
  <c r="Z47" i="31"/>
  <c r="S47" i="31"/>
  <c r="BB55" i="31"/>
  <c r="AK55" i="31"/>
  <c r="T55" i="31"/>
  <c r="H55" i="31"/>
  <c r="Q55" i="31"/>
  <c r="AA55" i="31"/>
  <c r="AM63" i="31"/>
  <c r="AA63" i="31"/>
  <c r="BB63" i="31"/>
  <c r="Q63" i="31"/>
  <c r="BA63" i="31"/>
  <c r="N63" i="31"/>
  <c r="AC63" i="31"/>
  <c r="BA71" i="31"/>
  <c r="AQ71" i="31"/>
  <c r="N71" i="31"/>
  <c r="T71" i="31"/>
  <c r="AB71" i="31"/>
  <c r="AW71" i="31"/>
  <c r="AO79" i="31"/>
  <c r="AF79" i="31"/>
  <c r="U79" i="31"/>
  <c r="AB79" i="31"/>
  <c r="Z79" i="31"/>
  <c r="W79" i="31"/>
  <c r="AD79" i="31"/>
  <c r="AR87" i="31"/>
  <c r="AG87" i="31"/>
  <c r="H87" i="31"/>
  <c r="P87" i="31"/>
  <c r="M87" i="31"/>
  <c r="J87" i="31"/>
  <c r="AJ95" i="31"/>
  <c r="AA95" i="31"/>
  <c r="P95" i="31"/>
  <c r="V95" i="31"/>
  <c r="M95" i="31"/>
  <c r="AM95" i="31"/>
  <c r="AG95" i="31"/>
  <c r="BG103" i="31"/>
  <c r="AX84" i="31"/>
  <c r="M84" i="31"/>
  <c r="Z92" i="31"/>
  <c r="J92" i="31"/>
  <c r="H100" i="31"/>
  <c r="AJ100" i="31"/>
  <c r="BE100" i="31"/>
  <c r="BG100" i="31"/>
  <c r="K100" i="31"/>
  <c r="U100" i="31"/>
  <c r="AR30" i="31"/>
  <c r="AM30" i="31"/>
  <c r="M30" i="31"/>
  <c r="AA30" i="31"/>
  <c r="BG30" i="31"/>
  <c r="AE30" i="31"/>
  <c r="H30" i="31"/>
  <c r="BE70" i="31"/>
  <c r="AU70" i="31"/>
  <c r="N70" i="31"/>
  <c r="H70" i="31"/>
  <c r="P70" i="31"/>
  <c r="Z70" i="31"/>
  <c r="AG15" i="31"/>
  <c r="X15" i="31"/>
  <c r="O15" i="31"/>
  <c r="AY15" i="31"/>
  <c r="AL15" i="31"/>
  <c r="L15" i="31"/>
  <c r="AT15" i="31"/>
  <c r="BD23" i="31"/>
  <c r="AU23" i="31"/>
  <c r="AC23" i="31"/>
  <c r="S23" i="31"/>
  <c r="AT23" i="31"/>
  <c r="R23" i="31"/>
  <c r="AG31" i="31"/>
  <c r="X31" i="31"/>
  <c r="N31" i="31"/>
  <c r="AY31" i="31"/>
  <c r="M31" i="31"/>
  <c r="BC31" i="31"/>
  <c r="U31" i="31"/>
  <c r="BD39" i="31"/>
  <c r="AU39" i="31"/>
  <c r="AD39" i="31"/>
  <c r="M39" i="31"/>
  <c r="AX39" i="31"/>
  <c r="K39" i="31"/>
  <c r="AG47" i="31"/>
  <c r="X47" i="31"/>
  <c r="O47" i="31"/>
  <c r="AS47" i="31"/>
  <c r="AB47" i="31"/>
  <c r="R47" i="31"/>
  <c r="K47" i="31"/>
  <c r="AT55" i="31"/>
  <c r="AC55" i="31"/>
  <c r="L55" i="31"/>
  <c r="AP55" i="31"/>
  <c r="BE55" i="31"/>
  <c r="I55" i="31"/>
  <c r="AE63" i="31"/>
  <c r="S63" i="31"/>
  <c r="AR63" i="31"/>
  <c r="BE63" i="31"/>
  <c r="AJ63" i="31"/>
  <c r="AT63" i="31"/>
  <c r="AS63" i="31"/>
  <c r="AS71" i="31"/>
  <c r="AI71" i="31"/>
  <c r="AV71" i="31"/>
  <c r="H71" i="31"/>
  <c r="P71" i="31"/>
  <c r="L71" i="31"/>
  <c r="AG79" i="31"/>
  <c r="X79" i="31"/>
  <c r="M79" i="31"/>
  <c r="O79" i="31"/>
  <c r="L79" i="31"/>
  <c r="BC79" i="31"/>
  <c r="AE79" i="31"/>
  <c r="AJ87" i="31"/>
  <c r="Y87" i="31"/>
  <c r="BD87" i="31"/>
  <c r="BB87" i="31"/>
  <c r="Z87" i="31"/>
  <c r="AV87" i="31"/>
  <c r="AB95" i="31"/>
  <c r="S95" i="31"/>
  <c r="H95" i="31"/>
  <c r="I95" i="31"/>
  <c r="AX95" i="31"/>
  <c r="R95" i="31"/>
  <c r="U95" i="31"/>
  <c r="AY103" i="31"/>
  <c r="AN103" i="31"/>
  <c r="Q103" i="31"/>
  <c r="J103" i="31"/>
  <c r="AL103" i="31"/>
  <c r="I103" i="31"/>
  <c r="AI54" i="31"/>
  <c r="AO84" i="31"/>
  <c r="AN92" i="31"/>
  <c r="BF92" i="31"/>
  <c r="BB92" i="31"/>
  <c r="AU100" i="31"/>
  <c r="T100" i="31"/>
  <c r="AD100" i="31"/>
  <c r="Q100" i="31"/>
  <c r="AC100" i="31"/>
  <c r="I100" i="31"/>
  <c r="AX30" i="31"/>
  <c r="V30" i="31"/>
  <c r="AJ30" i="31"/>
  <c r="K30" i="31"/>
  <c r="AG30" i="31"/>
  <c r="O30" i="31"/>
  <c r="AY70" i="31"/>
  <c r="AO70" i="31"/>
  <c r="AE70" i="31"/>
  <c r="AJ70" i="31"/>
  <c r="AS70" i="31"/>
  <c r="M70" i="31"/>
  <c r="R70" i="31"/>
  <c r="Q15" i="31"/>
  <c r="H15" i="31"/>
  <c r="AS15" i="31"/>
  <c r="AI15" i="31"/>
  <c r="BF15" i="31"/>
  <c r="AD15" i="31"/>
  <c r="AW23" i="31"/>
  <c r="AN23" i="31"/>
  <c r="AE23" i="31"/>
  <c r="M23" i="31"/>
  <c r="AZ23" i="31"/>
  <c r="AR23" i="31"/>
  <c r="BB23" i="31"/>
  <c r="Q31" i="31"/>
  <c r="H31" i="31"/>
  <c r="AX31" i="31"/>
  <c r="S31" i="31"/>
  <c r="AB31" i="31"/>
  <c r="W31" i="31"/>
  <c r="AW39" i="31"/>
  <c r="AN39" i="31"/>
  <c r="AE39" i="31"/>
  <c r="N39" i="31"/>
  <c r="AR39" i="31"/>
  <c r="AH39" i="31"/>
  <c r="AY39" i="31"/>
  <c r="Q47" i="31"/>
  <c r="H47" i="31"/>
  <c r="AT47" i="31"/>
  <c r="AC47" i="31"/>
  <c r="L47" i="31"/>
  <c r="BG47" i="31"/>
  <c r="AU55" i="31"/>
  <c r="AD55" i="31"/>
  <c r="M55" i="31"/>
  <c r="AV55" i="31"/>
  <c r="BG55" i="31"/>
  <c r="K55" i="31"/>
  <c r="Y55" i="31"/>
  <c r="O63" i="31"/>
  <c r="BF63" i="31"/>
  <c r="V63" i="31"/>
  <c r="X63" i="31"/>
  <c r="AZ63" i="31"/>
  <c r="M63" i="31"/>
  <c r="AU71" i="31"/>
  <c r="AC71" i="31"/>
  <c r="S71" i="31"/>
  <c r="V71" i="31"/>
  <c r="AR71" i="31"/>
  <c r="Y71" i="31"/>
  <c r="J71" i="31"/>
  <c r="Q79" i="31"/>
  <c r="H79" i="31"/>
  <c r="AT79" i="31"/>
  <c r="AM79" i="31"/>
  <c r="AI79" i="31"/>
  <c r="AX79" i="31"/>
  <c r="AS87" i="31"/>
  <c r="T87" i="31"/>
  <c r="I87" i="31"/>
  <c r="AE87" i="31"/>
  <c r="AA87" i="31"/>
  <c r="W87" i="31"/>
  <c r="AI87" i="31"/>
  <c r="L95" i="31"/>
  <c r="BD95" i="31"/>
  <c r="AK95" i="31"/>
  <c r="AP95" i="31"/>
  <c r="AT95" i="31"/>
  <c r="N95" i="31"/>
  <c r="AR103" i="31"/>
  <c r="AI103" i="31"/>
  <c r="X103" i="31"/>
  <c r="AO103" i="31"/>
  <c r="Y103" i="31"/>
  <c r="BA103" i="31"/>
  <c r="AX103" i="31"/>
  <c r="S54" i="31"/>
  <c r="J54" i="31"/>
  <c r="BD54" i="31"/>
  <c r="AU54" i="31"/>
  <c r="P54" i="31"/>
  <c r="AK54" i="31"/>
  <c r="AW9" i="31"/>
  <c r="AC9" i="31"/>
  <c r="T9" i="31"/>
  <c r="BA9" i="31"/>
  <c r="AO9" i="31"/>
  <c r="AF9" i="31"/>
  <c r="V9" i="31"/>
  <c r="M10" i="31"/>
  <c r="AY10" i="31"/>
  <c r="AO10" i="31"/>
  <c r="O10" i="31"/>
  <c r="R10" i="31"/>
  <c r="BB10" i="31"/>
  <c r="AS18" i="31"/>
  <c r="AB18" i="31"/>
  <c r="S18" i="31"/>
  <c r="I18" i="31"/>
  <c r="AH18" i="31"/>
  <c r="AN18" i="31"/>
  <c r="BF18" i="31"/>
  <c r="M26" i="31"/>
  <c r="AY26" i="31"/>
  <c r="AO26" i="31"/>
  <c r="AE26" i="31"/>
  <c r="AN26" i="31"/>
  <c r="N26" i="31"/>
  <c r="AS34" i="31"/>
  <c r="AB34" i="31"/>
  <c r="R34" i="31"/>
  <c r="BC34" i="31"/>
  <c r="Q34" i="31"/>
  <c r="AQ34" i="31"/>
  <c r="BE34" i="31"/>
  <c r="M42" i="31"/>
  <c r="AY42" i="31"/>
  <c r="AP42" i="31"/>
  <c r="AG42" i="31"/>
  <c r="X42" i="31"/>
  <c r="N42" i="31"/>
  <c r="AS50" i="31"/>
  <c r="AB50" i="31"/>
  <c r="S50" i="31"/>
  <c r="J50" i="31"/>
  <c r="BD50" i="31"/>
  <c r="AT50" i="31"/>
  <c r="BC50" i="31"/>
  <c r="AA58" i="31"/>
  <c r="J58" i="31"/>
  <c r="BE58" i="31"/>
  <c r="AU58" i="31"/>
  <c r="AB58" i="31"/>
  <c r="N58" i="31"/>
  <c r="AY66" i="31"/>
  <c r="AM66" i="31"/>
  <c r="I66" i="31"/>
  <c r="AJ66" i="31"/>
  <c r="BB66" i="31"/>
  <c r="AS66" i="31"/>
  <c r="M66" i="31"/>
  <c r="BD74" i="31"/>
  <c r="AI74" i="31"/>
  <c r="O74" i="31"/>
  <c r="AV74" i="31"/>
  <c r="AP84" i="31"/>
  <c r="AX100" i="31"/>
  <c r="BG70" i="31"/>
  <c r="P15" i="31"/>
  <c r="U23" i="31"/>
  <c r="AR31" i="31"/>
  <c r="BG39" i="31"/>
  <c r="AL55" i="31"/>
  <c r="AG63" i="31"/>
  <c r="BE71" i="31"/>
  <c r="S79" i="31"/>
  <c r="T95" i="31"/>
  <c r="AV103" i="31"/>
  <c r="Z103" i="31"/>
  <c r="Q54" i="31"/>
  <c r="AB54" i="31"/>
  <c r="AK9" i="31"/>
  <c r="AM9" i="31"/>
  <c r="AL9" i="31"/>
  <c r="L10" i="31"/>
  <c r="AE10" i="31"/>
  <c r="P10" i="31"/>
  <c r="AR18" i="31"/>
  <c r="Y18" i="31"/>
  <c r="AD18" i="31"/>
  <c r="AC26" i="31"/>
  <c r="BE26" i="31"/>
  <c r="AP26" i="31"/>
  <c r="AD26" i="31"/>
  <c r="AH34" i="31"/>
  <c r="AW34" i="31"/>
  <c r="H34" i="31"/>
  <c r="L42" i="31"/>
  <c r="AW42" i="31"/>
  <c r="AD42" i="31"/>
  <c r="AR50" i="31"/>
  <c r="Z50" i="31"/>
  <c r="H50" i="31"/>
  <c r="AQ58" i="31"/>
  <c r="Q58" i="31"/>
  <c r="AR58" i="31"/>
  <c r="AD58" i="31"/>
  <c r="AD66" i="31"/>
  <c r="U66" i="31"/>
  <c r="BD66" i="31"/>
  <c r="BB74" i="31"/>
  <c r="L74" i="31"/>
  <c r="BE74" i="31"/>
  <c r="AD74" i="31"/>
  <c r="AX82" i="31"/>
  <c r="W82" i="31"/>
  <c r="AT82" i="31"/>
  <c r="AS82" i="31"/>
  <c r="AL82" i="31"/>
  <c r="I90" i="31"/>
  <c r="U90" i="31"/>
  <c r="AZ90" i="31"/>
  <c r="V90" i="31"/>
  <c r="K90" i="31"/>
  <c r="AU98" i="31"/>
  <c r="L98" i="31"/>
  <c r="AA98" i="31"/>
  <c r="AY98" i="31"/>
  <c r="AP98" i="31"/>
  <c r="AE94" i="31"/>
  <c r="AK94" i="31"/>
  <c r="AQ94" i="31"/>
  <c r="BF94" i="31"/>
  <c r="I94" i="31"/>
  <c r="BE13" i="31"/>
  <c r="AV13" i="31"/>
  <c r="AM13" i="31"/>
  <c r="U13" i="31"/>
  <c r="K13" i="31"/>
  <c r="AH13" i="31"/>
  <c r="AT13" i="31"/>
  <c r="Y21" i="31"/>
  <c r="P21" i="31"/>
  <c r="BA21" i="31"/>
  <c r="AQ21" i="31"/>
  <c r="Z21" i="31"/>
  <c r="R21" i="31"/>
  <c r="BF29" i="31"/>
  <c r="Q29" i="31"/>
  <c r="H29" i="31"/>
  <c r="AT29" i="31"/>
  <c r="AY29" i="31"/>
  <c r="AJ29" i="31"/>
  <c r="Z29" i="31"/>
  <c r="Y37" i="31"/>
  <c r="P37" i="31"/>
  <c r="BB37" i="31"/>
  <c r="AK37" i="31"/>
  <c r="T37" i="31"/>
  <c r="J37" i="31"/>
  <c r="BE45" i="31"/>
  <c r="AV45" i="31"/>
  <c r="AM45" i="31"/>
  <c r="V45" i="31"/>
  <c r="AZ45" i="31"/>
  <c r="AP45" i="31"/>
  <c r="K45" i="31"/>
  <c r="AO53" i="31"/>
  <c r="AF53" i="31"/>
  <c r="W53" i="31"/>
  <c r="BD53" i="31"/>
  <c r="AJ53" i="31"/>
  <c r="R53" i="31"/>
  <c r="BC61" i="31"/>
  <c r="AQ61" i="31"/>
  <c r="X61" i="31"/>
  <c r="Y61" i="31"/>
  <c r="AG61" i="31"/>
  <c r="BB61" i="31"/>
  <c r="Q61" i="31"/>
  <c r="W69" i="31"/>
  <c r="BG69" i="31"/>
  <c r="AO69" i="31"/>
  <c r="AH69" i="31"/>
  <c r="AD69" i="31"/>
  <c r="AX69" i="31"/>
  <c r="BE77" i="31"/>
  <c r="AV77" i="31"/>
  <c r="AK77" i="31"/>
  <c r="AZ77" i="31"/>
  <c r="AY77" i="31"/>
  <c r="AL77" i="31"/>
  <c r="Z77" i="31"/>
  <c r="X85" i="31"/>
  <c r="O85" i="31"/>
  <c r="AS85" i="31"/>
  <c r="AI85" i="31"/>
  <c r="Q85" i="31"/>
  <c r="AZ85" i="31"/>
  <c r="AZ93" i="31"/>
  <c r="AQ93" i="31"/>
  <c r="AF93" i="31"/>
  <c r="AW93" i="31"/>
  <c r="BB93" i="31"/>
  <c r="AT93" i="31"/>
  <c r="AP93" i="31"/>
  <c r="T101" i="31"/>
  <c r="K101" i="31"/>
  <c r="BE101" i="31"/>
  <c r="AX101" i="31"/>
  <c r="AO101" i="31"/>
  <c r="AC101" i="31"/>
  <c r="BA46" i="31"/>
  <c r="AJ46" i="31"/>
  <c r="AA46" i="31"/>
  <c r="R46" i="31"/>
  <c r="I46" i="31"/>
  <c r="BB46" i="31"/>
  <c r="AE46" i="31"/>
  <c r="AA62" i="31"/>
  <c r="O62" i="31"/>
  <c r="V62" i="31"/>
  <c r="AR62" i="31"/>
  <c r="BA62" i="31"/>
  <c r="AW62" i="31"/>
  <c r="BA16" i="31"/>
  <c r="AJ16" i="31"/>
  <c r="AA16" i="31"/>
  <c r="Q16" i="31"/>
  <c r="BB16" i="31"/>
  <c r="AV16" i="31"/>
  <c r="R16" i="31"/>
  <c r="U24" i="31"/>
  <c r="BG24" i="31"/>
  <c r="AN84" i="31"/>
  <c r="AW100" i="31"/>
  <c r="AW70" i="31"/>
  <c r="BA15" i="31"/>
  <c r="K23" i="31"/>
  <c r="AM31" i="31"/>
  <c r="Y47" i="31"/>
  <c r="U55" i="31"/>
  <c r="AO63" i="31"/>
  <c r="AD71" i="31"/>
  <c r="BA87" i="31"/>
  <c r="K95" i="31"/>
  <c r="AF103" i="31"/>
  <c r="BE103" i="31"/>
  <c r="I54" i="31"/>
  <c r="N54" i="31"/>
  <c r="AR9" i="31"/>
  <c r="AZ9" i="31"/>
  <c r="AD9" i="31"/>
  <c r="BG10" i="31"/>
  <c r="W10" i="31"/>
  <c r="AD10" i="31"/>
  <c r="AJ18" i="31"/>
  <c r="Q18" i="31"/>
  <c r="H18" i="31"/>
  <c r="U26" i="31"/>
  <c r="AW26" i="31"/>
  <c r="V26" i="31"/>
  <c r="BA34" i="31"/>
  <c r="Z34" i="31"/>
  <c r="AG34" i="31"/>
  <c r="I34" i="31"/>
  <c r="BG42" i="31"/>
  <c r="AO42" i="31"/>
  <c r="V42" i="31"/>
  <c r="AJ50" i="31"/>
  <c r="R50" i="31"/>
  <c r="BB50" i="31"/>
  <c r="AI58" i="31"/>
  <c r="I58" i="31"/>
  <c r="AJ58" i="31"/>
  <c r="BG66" i="31"/>
  <c r="T66" i="31"/>
  <c r="J66" i="31"/>
  <c r="AH66" i="31"/>
  <c r="AR74" i="31"/>
  <c r="AW74" i="31"/>
  <c r="AO74" i="31"/>
  <c r="N74" i="31"/>
  <c r="AP82" i="31"/>
  <c r="O82" i="31"/>
  <c r="K82" i="31"/>
  <c r="S82" i="31"/>
  <c r="BA82" i="31"/>
  <c r="AN90" i="31"/>
  <c r="M90" i="31"/>
  <c r="AM90" i="31"/>
  <c r="AJ90" i="31"/>
  <c r="AT90" i="31"/>
  <c r="AM98" i="31"/>
  <c r="AH98" i="31"/>
  <c r="N98" i="31"/>
  <c r="AD98" i="31"/>
  <c r="AV94" i="31"/>
  <c r="W94" i="31"/>
  <c r="Y94" i="31"/>
  <c r="AD94" i="31"/>
  <c r="AL94" i="31"/>
  <c r="M94" i="31"/>
  <c r="AW13" i="31"/>
  <c r="AN13" i="31"/>
  <c r="AE13" i="31"/>
  <c r="M13" i="31"/>
  <c r="AL13" i="31"/>
  <c r="L13" i="31"/>
  <c r="Z13" i="31"/>
  <c r="Q21" i="31"/>
  <c r="H21" i="31"/>
  <c r="AS21" i="31"/>
  <c r="AI21" i="31"/>
  <c r="AR21" i="31"/>
  <c r="BF21" i="31"/>
  <c r="AX29" i="31"/>
  <c r="I29" i="31"/>
  <c r="BC29" i="31"/>
  <c r="BA29" i="31"/>
  <c r="AQ29" i="31"/>
  <c r="N29" i="31"/>
  <c r="AZ29" i="31"/>
  <c r="Q37" i="31"/>
  <c r="H37" i="31"/>
  <c r="AT37" i="31"/>
  <c r="AC37" i="31"/>
  <c r="L37" i="31"/>
  <c r="BG37" i="31"/>
  <c r="AW45" i="31"/>
  <c r="AN45" i="31"/>
  <c r="AE45" i="31"/>
  <c r="N45" i="31"/>
  <c r="AR45" i="31"/>
  <c r="AH45" i="31"/>
  <c r="BG45" i="31"/>
  <c r="AG53" i="31"/>
  <c r="X53" i="31"/>
  <c r="O53" i="31"/>
  <c r="AS53" i="31"/>
  <c r="AB53" i="31"/>
  <c r="J53" i="31"/>
  <c r="AU61" i="31"/>
  <c r="AI61" i="31"/>
  <c r="M61" i="31"/>
  <c r="L61" i="31"/>
  <c r="U61" i="31"/>
  <c r="AP61" i="31"/>
  <c r="BA61" i="31"/>
  <c r="O69" i="31"/>
  <c r="AY69" i="31"/>
  <c r="AB69" i="31"/>
  <c r="V69" i="31"/>
  <c r="Q69" i="31"/>
  <c r="R69" i="31"/>
  <c r="AW77" i="31"/>
  <c r="AN77" i="31"/>
  <c r="AC77" i="31"/>
  <c r="AM77" i="31"/>
  <c r="AE77" i="31"/>
  <c r="S77" i="31"/>
  <c r="O77" i="31"/>
  <c r="P85" i="31"/>
  <c r="BB85" i="31"/>
  <c r="AK85" i="31"/>
  <c r="AA85" i="31"/>
  <c r="BE85" i="31"/>
  <c r="J85" i="31"/>
  <c r="AR93" i="31"/>
  <c r="AI93" i="31"/>
  <c r="X93" i="31"/>
  <c r="AK93" i="31"/>
  <c r="AG93" i="31"/>
  <c r="Z93" i="31"/>
  <c r="AH93" i="31"/>
  <c r="L101" i="31"/>
  <c r="BD101" i="31"/>
  <c r="AS101" i="31"/>
  <c r="AL101" i="31"/>
  <c r="V101" i="31"/>
  <c r="O101" i="31"/>
  <c r="AS46" i="31"/>
  <c r="AB46" i="31"/>
  <c r="S46" i="31"/>
  <c r="J46" i="31"/>
  <c r="BD46" i="31"/>
  <c r="AT46" i="31"/>
  <c r="W46" i="31"/>
  <c r="S62" i="31"/>
  <c r="BE62" i="31"/>
  <c r="J62" i="31"/>
  <c r="AF62" i="31"/>
  <c r="AO62" i="31"/>
  <c r="AK62" i="31"/>
  <c r="AS16" i="31"/>
  <c r="AB16" i="31"/>
  <c r="S16" i="31"/>
  <c r="I16" i="31"/>
  <c r="AF16" i="31"/>
  <c r="Z16" i="31"/>
  <c r="BD16" i="31"/>
  <c r="M24" i="31"/>
  <c r="AY24" i="31"/>
  <c r="AO24" i="31"/>
  <c r="AE24" i="31"/>
  <c r="AL24" i="31"/>
  <c r="K92" i="31"/>
  <c r="BF30" i="31"/>
  <c r="AM70" i="31"/>
  <c r="AQ15" i="31"/>
  <c r="Z23" i="31"/>
  <c r="BE39" i="31"/>
  <c r="P47" i="31"/>
  <c r="BD55" i="31"/>
  <c r="T63" i="31"/>
  <c r="AP71" i="31"/>
  <c r="AB87" i="31"/>
  <c r="AW95" i="31"/>
  <c r="AD103" i="31"/>
  <c r="AQ54" i="31"/>
  <c r="AJ54" i="31"/>
  <c r="BB54" i="31"/>
  <c r="AJ9" i="31"/>
  <c r="AG9" i="31"/>
  <c r="N9" i="31"/>
  <c r="AQ10" i="31"/>
  <c r="AT10" i="31"/>
  <c r="AF10" i="31"/>
  <c r="T18" i="31"/>
  <c r="BC18" i="31"/>
  <c r="AV18" i="31"/>
  <c r="AZ26" i="31"/>
  <c r="AG26" i="31"/>
  <c r="R26" i="31"/>
  <c r="AK34" i="31"/>
  <c r="J34" i="31"/>
  <c r="AV34" i="31"/>
  <c r="AO34" i="31"/>
  <c r="AQ42" i="31"/>
  <c r="Y42" i="31"/>
  <c r="BC42" i="31"/>
  <c r="T50" i="31"/>
  <c r="BE50" i="31"/>
  <c r="AL50" i="31"/>
  <c r="S58" i="31"/>
  <c r="AV58" i="31"/>
  <c r="T58" i="31"/>
  <c r="AQ66" i="31"/>
  <c r="BF66" i="31"/>
  <c r="AG66" i="31"/>
  <c r="Q66" i="31"/>
  <c r="Z74" i="31"/>
  <c r="AH74" i="31"/>
  <c r="AA74" i="31"/>
  <c r="V74" i="31"/>
  <c r="AH82" i="31"/>
  <c r="AY82" i="31"/>
  <c r="BG82" i="31"/>
  <c r="AO82" i="31"/>
  <c r="Y82" i="31"/>
  <c r="AF90" i="31"/>
  <c r="BC90" i="31"/>
  <c r="AA90" i="31"/>
  <c r="AH90" i="31"/>
  <c r="BD98" i="31"/>
  <c r="AE98" i="31"/>
  <c r="U98" i="31"/>
  <c r="AL98" i="31"/>
  <c r="K98" i="31"/>
  <c r="AN94" i="31"/>
  <c r="O94" i="31"/>
  <c r="K94" i="31"/>
  <c r="R94" i="31"/>
  <c r="Q94" i="31"/>
  <c r="BA94" i="31"/>
  <c r="AO13" i="31"/>
  <c r="AF13" i="31"/>
  <c r="W13" i="31"/>
  <c r="BG13" i="31"/>
  <c r="R13" i="31"/>
  <c r="AZ13" i="31"/>
  <c r="AP13" i="31"/>
  <c r="I21" i="31"/>
  <c r="BC21" i="31"/>
  <c r="AK21" i="31"/>
  <c r="AA21" i="31"/>
  <c r="V21" i="31"/>
  <c r="AJ21" i="31"/>
  <c r="AP29" i="31"/>
  <c r="BD29" i="31"/>
  <c r="AU29" i="31"/>
  <c r="AS29" i="31"/>
  <c r="AI29" i="31"/>
  <c r="AH29" i="31"/>
  <c r="AR29" i="31"/>
  <c r="I37" i="31"/>
  <c r="BC37" i="31"/>
  <c r="AL37" i="31"/>
  <c r="U37" i="31"/>
  <c r="BF37" i="31"/>
  <c r="AY37" i="31"/>
  <c r="AO45" i="31"/>
  <c r="AF45" i="31"/>
  <c r="W45" i="31"/>
  <c r="BA45" i="31"/>
  <c r="AJ45" i="31"/>
  <c r="Z45" i="31"/>
  <c r="AQ45" i="31"/>
  <c r="Y53" i="31"/>
  <c r="P53" i="31"/>
  <c r="BE53" i="31"/>
  <c r="AK53" i="31"/>
  <c r="T53" i="31"/>
  <c r="AY53" i="31"/>
  <c r="AM61" i="31"/>
  <c r="AA61" i="31"/>
  <c r="AX61" i="31"/>
  <c r="AV61" i="31"/>
  <c r="I61" i="31"/>
  <c r="AD61" i="31"/>
  <c r="AC61" i="31"/>
  <c r="BA69" i="31"/>
  <c r="AQ69" i="31"/>
  <c r="P69" i="31"/>
  <c r="I69" i="31"/>
  <c r="AF69" i="31"/>
  <c r="AR69" i="31"/>
  <c r="AO77" i="31"/>
  <c r="AF77" i="31"/>
  <c r="U77" i="31"/>
  <c r="AA77" i="31"/>
  <c r="J77" i="31"/>
  <c r="BB77" i="31"/>
  <c r="AU77" i="31"/>
  <c r="H85" i="31"/>
  <c r="AT85" i="31"/>
  <c r="AC85" i="31"/>
  <c r="S85" i="31"/>
  <c r="AH85" i="31"/>
  <c r="AW85" i="31"/>
  <c r="AJ93" i="31"/>
  <c r="AA93" i="31"/>
  <c r="P93" i="31"/>
  <c r="W93" i="31"/>
  <c r="N93" i="31"/>
  <c r="AO93" i="31"/>
  <c r="V93" i="31"/>
  <c r="BG101" i="31"/>
  <c r="AV101" i="31"/>
  <c r="AE101" i="31"/>
  <c r="Y101" i="31"/>
  <c r="AM101" i="31"/>
  <c r="BF101" i="31"/>
  <c r="AK46" i="31"/>
  <c r="T46" i="31"/>
  <c r="K46" i="31"/>
  <c r="BE46" i="31"/>
  <c r="AV46" i="31"/>
  <c r="AL46" i="31"/>
  <c r="O46" i="31"/>
  <c r="K62" i="31"/>
  <c r="AT62" i="31"/>
  <c r="BF62" i="31"/>
  <c r="T62" i="31"/>
  <c r="AC62" i="31"/>
  <c r="X62" i="31"/>
  <c r="AK16" i="31"/>
  <c r="T16" i="31"/>
  <c r="K16" i="31"/>
  <c r="BC16" i="31"/>
  <c r="J16" i="31"/>
  <c r="AT16" i="31"/>
  <c r="AH16" i="31"/>
  <c r="AZ24" i="31"/>
  <c r="AQ24" i="31"/>
  <c r="I92" i="31"/>
  <c r="AD30" i="31"/>
  <c r="AV70" i="31"/>
  <c r="R15" i="31"/>
  <c r="N23" i="31"/>
  <c r="AV39" i="31"/>
  <c r="BB47" i="31"/>
  <c r="S55" i="31"/>
  <c r="AD63" i="31"/>
  <c r="Y79" i="31"/>
  <c r="Q87" i="31"/>
  <c r="BC95" i="31"/>
  <c r="BB103" i="31"/>
  <c r="AA54" i="31"/>
  <c r="V54" i="31"/>
  <c r="AL54" i="31"/>
  <c r="AB9" i="31"/>
  <c r="W9" i="31"/>
  <c r="AK10" i="31"/>
  <c r="K10" i="31"/>
  <c r="V10" i="31"/>
  <c r="I10" i="31"/>
  <c r="AQ18" i="31"/>
  <c r="W18" i="31"/>
  <c r="R18" i="31"/>
  <c r="T26" i="31"/>
  <c r="BC26" i="31"/>
  <c r="AX26" i="31"/>
  <c r="AZ34" i="31"/>
  <c r="AD34" i="31"/>
  <c r="AE34" i="31"/>
  <c r="AK42" i="31"/>
  <c r="K42" i="31"/>
  <c r="AV42" i="31"/>
  <c r="W42" i="31"/>
  <c r="AQ50" i="31"/>
  <c r="Y50" i="31"/>
  <c r="AE50" i="31"/>
  <c r="AH58" i="31"/>
  <c r="P58" i="31"/>
  <c r="BA58" i="31"/>
  <c r="K66" i="31"/>
  <c r="P66" i="31"/>
  <c r="H66" i="31"/>
  <c r="AK74" i="31"/>
  <c r="AY74" i="31"/>
  <c r="T74" i="31"/>
  <c r="J74" i="31"/>
  <c r="BF74" i="31"/>
  <c r="Z82" i="31"/>
  <c r="M82" i="31"/>
  <c r="AQ82" i="31"/>
  <c r="Q82" i="31"/>
  <c r="AW90" i="31"/>
  <c r="X90" i="31"/>
  <c r="AQ90" i="31"/>
  <c r="AL90" i="31"/>
  <c r="BG90" i="31"/>
  <c r="AV98" i="31"/>
  <c r="AZ98" i="31"/>
  <c r="I98" i="31"/>
  <c r="R98" i="31"/>
  <c r="Y98" i="31"/>
  <c r="AF94" i="31"/>
  <c r="AZ94" i="31"/>
  <c r="AW94" i="31"/>
  <c r="AP94" i="31"/>
  <c r="BB94" i="31"/>
  <c r="AS94" i="31"/>
  <c r="AG13" i="31"/>
  <c r="X13" i="31"/>
  <c r="O13" i="31"/>
  <c r="AY13" i="31"/>
  <c r="BF13" i="31"/>
  <c r="AD13" i="31"/>
  <c r="T13" i="31"/>
  <c r="BD21" i="31"/>
  <c r="AU21" i="31"/>
  <c r="AC21" i="31"/>
  <c r="S21" i="31"/>
  <c r="BB21" i="31"/>
  <c r="N21" i="31"/>
  <c r="BE29" i="31"/>
  <c r="AV29" i="31"/>
  <c r="AM29" i="31"/>
  <c r="AK29" i="31"/>
  <c r="AA29" i="31"/>
  <c r="L29" i="31"/>
  <c r="T29" i="31"/>
  <c r="BD37" i="31"/>
  <c r="AU37" i="31"/>
  <c r="AD37" i="31"/>
  <c r="M37" i="31"/>
  <c r="AX37" i="31"/>
  <c r="AQ37" i="31"/>
  <c r="AG45" i="31"/>
  <c r="X45" i="31"/>
  <c r="O45" i="31"/>
  <c r="AS45" i="31"/>
  <c r="AB45" i="31"/>
  <c r="R45" i="31"/>
  <c r="AY45" i="31"/>
  <c r="Q53" i="31"/>
  <c r="H53" i="31"/>
  <c r="AT53" i="31"/>
  <c r="AC53" i="31"/>
  <c r="L53" i="31"/>
  <c r="AQ53" i="31"/>
  <c r="AE61" i="31"/>
  <c r="S61" i="31"/>
  <c r="AL61" i="31"/>
  <c r="AJ61" i="31"/>
  <c r="BE61" i="31"/>
  <c r="R61" i="31"/>
  <c r="AO61" i="31"/>
  <c r="AS69" i="31"/>
  <c r="AI69" i="31"/>
  <c r="AW69" i="31"/>
  <c r="BF69" i="31"/>
  <c r="Z69" i="31"/>
  <c r="N69" i="31"/>
  <c r="AG77" i="31"/>
  <c r="X77" i="31"/>
  <c r="M77" i="31"/>
  <c r="N77" i="31"/>
  <c r="AR77" i="31"/>
  <c r="AH77" i="31"/>
  <c r="BF77" i="31"/>
  <c r="BC85" i="31"/>
  <c r="AL85" i="31"/>
  <c r="U85" i="31"/>
  <c r="K85" i="31"/>
  <c r="L85" i="31"/>
  <c r="AR85" i="31"/>
  <c r="AB93" i="31"/>
  <c r="S93" i="31"/>
  <c r="H93" i="31"/>
  <c r="J93" i="31"/>
  <c r="BA93" i="31"/>
  <c r="U93" i="31"/>
  <c r="Q93" i="31"/>
  <c r="AY101" i="31"/>
  <c r="AN101" i="31"/>
  <c r="R101" i="31"/>
  <c r="M101" i="31"/>
  <c r="U101" i="31"/>
  <c r="I101" i="31"/>
  <c r="AC46" i="31"/>
  <c r="L46" i="31"/>
  <c r="BF46" i="31"/>
  <c r="AW46" i="31"/>
  <c r="AN46" i="31"/>
  <c r="AD46" i="31"/>
  <c r="BC46" i="31"/>
  <c r="BC62" i="31"/>
  <c r="AJ62" i="31"/>
  <c r="AS62" i="31"/>
  <c r="H62" i="31"/>
  <c r="Q62" i="31"/>
  <c r="L62" i="31"/>
  <c r="AC16" i="31"/>
  <c r="L16" i="31"/>
  <c r="BE16" i="31"/>
  <c r="AU16" i="31"/>
  <c r="AL16" i="31"/>
  <c r="X16" i="31"/>
  <c r="N16" i="31"/>
  <c r="AR24" i="31"/>
  <c r="AI24" i="31"/>
  <c r="Y24" i="31"/>
  <c r="BC100" i="31"/>
  <c r="AW30" i="31"/>
  <c r="BF70" i="31"/>
  <c r="AZ15" i="31"/>
  <c r="Y31" i="31"/>
  <c r="AM39" i="31"/>
  <c r="AK47" i="31"/>
  <c r="AH55" i="31"/>
  <c r="BC71" i="31"/>
  <c r="P79" i="31"/>
  <c r="AQ87" i="31"/>
  <c r="AC95" i="31"/>
  <c r="W103" i="31"/>
  <c r="AH54" i="31"/>
  <c r="H54" i="31"/>
  <c r="BC54" i="31"/>
  <c r="AA9" i="31"/>
  <c r="AX9" i="31"/>
  <c r="AC10" i="31"/>
  <c r="BE10" i="31"/>
  <c r="J10" i="31"/>
  <c r="AX10" i="31"/>
  <c r="AI18" i="31"/>
  <c r="O18" i="31"/>
  <c r="AP18" i="31"/>
  <c r="L26" i="31"/>
  <c r="AU26" i="31"/>
  <c r="BD26" i="31"/>
  <c r="AR34" i="31"/>
  <c r="V34" i="31"/>
  <c r="O34" i="31"/>
  <c r="AC42" i="31"/>
  <c r="BF42" i="31"/>
  <c r="AN42" i="31"/>
  <c r="O42" i="31"/>
  <c r="AI50" i="31"/>
  <c r="Q50" i="31"/>
  <c r="W50" i="31"/>
  <c r="Z58" i="31"/>
  <c r="H58" i="31"/>
  <c r="U58" i="31"/>
  <c r="BC66" i="31"/>
  <c r="BE66" i="31"/>
  <c r="AW66" i="31"/>
  <c r="AC74" i="31"/>
  <c r="AP74" i="31"/>
  <c r="AF74" i="31"/>
  <c r="AQ74" i="31"/>
  <c r="AZ82" i="31"/>
  <c r="BE82" i="31"/>
  <c r="AV82" i="31"/>
  <c r="AD82" i="31"/>
  <c r="AN82" i="31"/>
  <c r="AO90" i="31"/>
  <c r="P90" i="31"/>
  <c r="AD90" i="31"/>
  <c r="Z90" i="31"/>
  <c r="W90" i="31"/>
  <c r="AN98" i="31"/>
  <c r="AR98" i="31"/>
  <c r="BF98" i="31"/>
  <c r="BE98" i="31"/>
  <c r="V98" i="31"/>
  <c r="X94" i="31"/>
  <c r="AR94" i="31"/>
  <c r="AI94" i="31"/>
  <c r="U94" i="31"/>
  <c r="AH94" i="31"/>
  <c r="AG94" i="31"/>
  <c r="Y13" i="31"/>
  <c r="P13" i="31"/>
  <c r="BA13" i="31"/>
  <c r="AQ13" i="31"/>
  <c r="AJ13" i="31"/>
  <c r="J13" i="31"/>
  <c r="BE21" i="31"/>
  <c r="AV21" i="31"/>
  <c r="AM21" i="31"/>
  <c r="U21" i="31"/>
  <c r="K21" i="31"/>
  <c r="AP21" i="31"/>
  <c r="AZ21" i="31"/>
  <c r="AW29" i="31"/>
  <c r="AN29" i="31"/>
  <c r="AE29" i="31"/>
  <c r="AC29" i="31"/>
  <c r="S29" i="31"/>
  <c r="AD29" i="31"/>
  <c r="BE37" i="31"/>
  <c r="AV37" i="31"/>
  <c r="AM37" i="31"/>
  <c r="V37" i="31"/>
  <c r="AZ37" i="31"/>
  <c r="AP37" i="31"/>
  <c r="AI37" i="31"/>
  <c r="Y45" i="31"/>
  <c r="P45" i="31"/>
  <c r="BB45" i="31"/>
  <c r="AK45" i="31"/>
  <c r="T45" i="31"/>
  <c r="J45" i="31"/>
  <c r="BC53" i="31"/>
  <c r="AB100" i="31"/>
  <c r="S30" i="31"/>
  <c r="AX70" i="31"/>
  <c r="BE23" i="31"/>
  <c r="P31" i="31"/>
  <c r="V39" i="31"/>
  <c r="T47" i="31"/>
  <c r="AQ55" i="31"/>
  <c r="AK71" i="31"/>
  <c r="BG79" i="31"/>
  <c r="AN87" i="31"/>
  <c r="O95" i="31"/>
  <c r="AT103" i="31"/>
  <c r="Z54" i="31"/>
  <c r="T54" i="31"/>
  <c r="BE9" i="31"/>
  <c r="S9" i="31"/>
  <c r="AN9" i="31"/>
  <c r="U10" i="31"/>
  <c r="AW10" i="31"/>
  <c r="AN10" i="31"/>
  <c r="BA18" i="31"/>
  <c r="AA18" i="31"/>
  <c r="BD18" i="31"/>
  <c r="V18" i="31"/>
  <c r="BG26" i="31"/>
  <c r="AM26" i="31"/>
  <c r="AH26" i="31"/>
  <c r="AJ34" i="31"/>
  <c r="N34" i="31"/>
  <c r="BG34" i="31"/>
  <c r="U42" i="31"/>
  <c r="AX42" i="31"/>
  <c r="AF42" i="31"/>
  <c r="BA50" i="31"/>
  <c r="AA50" i="31"/>
  <c r="I50" i="31"/>
  <c r="O50" i="31"/>
  <c r="R58" i="31"/>
  <c r="BD58" i="31"/>
  <c r="AT58" i="31"/>
  <c r="AU66" i="31"/>
  <c r="AT66" i="31"/>
  <c r="AB66" i="31"/>
  <c r="U74" i="31"/>
  <c r="AG74" i="31"/>
  <c r="AT74" i="31"/>
  <c r="H74" i="31"/>
  <c r="AR82" i="31"/>
  <c r="AU82" i="31"/>
  <c r="AI82" i="31"/>
  <c r="R82" i="31"/>
  <c r="J82" i="31"/>
  <c r="AG90" i="31"/>
  <c r="H90" i="31"/>
  <c r="AP90" i="31"/>
  <c r="L90" i="31"/>
  <c r="BF90" i="31"/>
  <c r="P98" i="31"/>
  <c r="AJ98" i="31"/>
  <c r="AS98" i="31"/>
  <c r="BB98" i="31"/>
  <c r="J98" i="31"/>
  <c r="P94" i="31"/>
  <c r="T94" i="31"/>
  <c r="V94" i="31"/>
  <c r="BG94" i="31"/>
  <c r="N94" i="31"/>
  <c r="AT94" i="31"/>
  <c r="Q13" i="31"/>
  <c r="H13" i="31"/>
  <c r="AS13" i="31"/>
  <c r="AI13" i="31"/>
  <c r="N13" i="31"/>
  <c r="AX13" i="31"/>
  <c r="AW21" i="31"/>
  <c r="AN21" i="31"/>
  <c r="AE21" i="31"/>
  <c r="M21" i="31"/>
  <c r="AX21" i="31"/>
  <c r="T21" i="31"/>
  <c r="AD21" i="31"/>
  <c r="AO29" i="31"/>
  <c r="AF29" i="31"/>
  <c r="W29" i="31"/>
  <c r="U29" i="31"/>
  <c r="K29" i="31"/>
  <c r="J29" i="31"/>
  <c r="AW37" i="31"/>
  <c r="AN37" i="31"/>
  <c r="AE37" i="31"/>
  <c r="N37" i="31"/>
  <c r="AR37" i="31"/>
  <c r="AH37" i="31"/>
  <c r="AA37" i="31"/>
  <c r="Q45" i="31"/>
  <c r="H45" i="31"/>
  <c r="AT45" i="31"/>
  <c r="AC45" i="31"/>
  <c r="L45" i="31"/>
  <c r="AI45" i="31"/>
  <c r="BB53" i="31"/>
  <c r="BG53" i="31"/>
  <c r="AU53" i="31"/>
  <c r="AD53" i="31"/>
  <c r="M53" i="31"/>
  <c r="AP53" i="31"/>
  <c r="AA53" i="31"/>
  <c r="O61" i="31"/>
  <c r="BD61" i="31"/>
  <c r="N61" i="31"/>
  <c r="J61" i="31"/>
  <c r="AF61" i="31"/>
  <c r="AN61" i="31"/>
  <c r="AU69" i="31"/>
  <c r="AC69" i="31"/>
  <c r="S69" i="31"/>
  <c r="X69" i="31"/>
  <c r="AG69" i="31"/>
  <c r="Y69" i="31"/>
  <c r="H69" i="31"/>
  <c r="Q77" i="31"/>
  <c r="H77" i="31"/>
  <c r="AQ77" i="31"/>
  <c r="AJ77" i="31"/>
  <c r="AP77" i="31"/>
  <c r="AT77" i="31"/>
  <c r="AV85" i="31"/>
  <c r="AM85" i="31"/>
  <c r="V85" i="31"/>
  <c r="BG85" i="31"/>
  <c r="R85" i="31"/>
  <c r="AB85" i="31"/>
  <c r="AP85" i="31"/>
  <c r="L93" i="31"/>
  <c r="BD93" i="31"/>
  <c r="AL93" i="31"/>
  <c r="AS93" i="31"/>
  <c r="I93" i="31"/>
  <c r="BF93" i="31"/>
  <c r="AR101" i="31"/>
  <c r="AI101" i="31"/>
  <c r="X101" i="31"/>
  <c r="AP101" i="31"/>
  <c r="Z101" i="31"/>
  <c r="AH101" i="31"/>
  <c r="AW101" i="31"/>
  <c r="M46" i="31"/>
  <c r="AY46" i="31"/>
  <c r="AP46" i="31"/>
  <c r="AG46" i="31"/>
  <c r="X46" i="31"/>
  <c r="N46" i="31"/>
  <c r="AY62" i="31"/>
  <c r="AM62" i="31"/>
  <c r="N62" i="31"/>
  <c r="U62" i="31"/>
  <c r="AP62" i="31"/>
  <c r="AN62" i="31"/>
  <c r="AL62" i="31"/>
  <c r="M16" i="31"/>
  <c r="AY16" i="31"/>
  <c r="AO16" i="31"/>
  <c r="AQ100" i="31"/>
  <c r="AQ30" i="31"/>
  <c r="AZ70" i="31"/>
  <c r="AV23" i="31"/>
  <c r="BF31" i="31"/>
  <c r="AZ39" i="31"/>
  <c r="J47" i="31"/>
  <c r="W63" i="31"/>
  <c r="AA71" i="31"/>
  <c r="AZ79" i="31"/>
  <c r="BG87" i="31"/>
  <c r="AZ103" i="31"/>
  <c r="BF103" i="31"/>
  <c r="R54" i="31"/>
  <c r="AS54" i="31"/>
  <c r="AY9" i="31"/>
  <c r="K9" i="31"/>
  <c r="X9" i="31"/>
  <c r="AZ10" i="31"/>
  <c r="AG10" i="31"/>
  <c r="BF10" i="31"/>
  <c r="AK18" i="31"/>
  <c r="K18" i="31"/>
  <c r="N18" i="31"/>
  <c r="AL18" i="31"/>
  <c r="AQ26" i="31"/>
  <c r="W26" i="31"/>
  <c r="BB26" i="31"/>
  <c r="T34" i="31"/>
  <c r="AM34" i="31"/>
  <c r="AA34" i="31"/>
  <c r="AZ42" i="31"/>
  <c r="AH42" i="31"/>
  <c r="P42" i="31"/>
  <c r="AK50" i="31"/>
  <c r="K50" i="31"/>
  <c r="AV50" i="31"/>
  <c r="AM50" i="31"/>
  <c r="BF58" i="31"/>
  <c r="AM58" i="31"/>
  <c r="AS58" i="31"/>
  <c r="AE66" i="31"/>
  <c r="Y66" i="31"/>
  <c r="X66" i="31"/>
  <c r="AU74" i="31"/>
  <c r="X74" i="31"/>
  <c r="AE74" i="31"/>
  <c r="AM74" i="31"/>
  <c r="AJ82" i="31"/>
  <c r="AM82" i="31"/>
  <c r="V82" i="31"/>
  <c r="I82" i="31"/>
  <c r="AA82" i="31"/>
  <c r="Y90" i="31"/>
  <c r="BA90" i="31"/>
  <c r="AB90" i="31"/>
  <c r="AU90" i="31"/>
  <c r="AE90" i="31"/>
  <c r="H98" i="31"/>
  <c r="AB98" i="31"/>
  <c r="AG98" i="31"/>
  <c r="AI98" i="31"/>
  <c r="AX98" i="31"/>
  <c r="H94" i="31"/>
  <c r="L94" i="31"/>
  <c r="J94" i="31"/>
  <c r="AO94" i="31"/>
  <c r="AY94" i="31"/>
  <c r="Z94" i="31"/>
  <c r="I13" i="31"/>
  <c r="BC13" i="31"/>
  <c r="AK13" i="31"/>
  <c r="AA13" i="31"/>
  <c r="V13" i="31"/>
  <c r="AB13" i="31"/>
  <c r="AO21" i="31"/>
  <c r="AF21" i="31"/>
  <c r="W21" i="31"/>
  <c r="BG21" i="31"/>
  <c r="AB21" i="31"/>
  <c r="L21" i="31"/>
  <c r="J21" i="31"/>
  <c r="AG29" i="31"/>
  <c r="X29" i="31"/>
  <c r="O29" i="31"/>
  <c r="M29" i="31"/>
  <c r="AL29" i="31"/>
  <c r="V29" i="31"/>
  <c r="AO37" i="31"/>
  <c r="AF37" i="31"/>
  <c r="W37" i="31"/>
  <c r="BA37" i="31"/>
  <c r="AJ37" i="31"/>
  <c r="Z37" i="31"/>
  <c r="K37" i="31"/>
  <c r="I45" i="31"/>
  <c r="BC45" i="31"/>
  <c r="AL45" i="31"/>
  <c r="U45" i="31"/>
  <c r="BF45" i="31"/>
  <c r="AA45" i="31"/>
  <c r="BA53" i="31"/>
  <c r="AV53" i="31"/>
  <c r="AM53" i="31"/>
  <c r="V53" i="31"/>
  <c r="AZ53" i="31"/>
  <c r="AH53" i="31"/>
  <c r="K53" i="31"/>
  <c r="BG61" i="31"/>
  <c r="AS61" i="31"/>
  <c r="AW61" i="31"/>
  <c r="BF61" i="31"/>
  <c r="T61" i="31"/>
  <c r="AB61" i="31"/>
  <c r="AM69" i="31"/>
  <c r="U69" i="31"/>
  <c r="K69" i="31"/>
  <c r="J69" i="31"/>
  <c r="BD69" i="31"/>
  <c r="AZ69" i="31"/>
  <c r="L69" i="31"/>
  <c r="I77" i="31"/>
  <c r="BA77" i="31"/>
  <c r="AD77" i="31"/>
  <c r="W77" i="31"/>
  <c r="T77" i="31"/>
  <c r="AI77" i="31"/>
  <c r="AN85" i="31"/>
  <c r="AE85" i="31"/>
  <c r="N85" i="31"/>
  <c r="AY85" i="31"/>
  <c r="BF85" i="31"/>
  <c r="I85" i="31"/>
  <c r="Y85" i="31"/>
  <c r="BG93" i="31"/>
  <c r="AV93" i="31"/>
  <c r="Y93" i="31"/>
  <c r="AE93" i="31"/>
  <c r="AU93" i="31"/>
  <c r="BC93" i="31"/>
  <c r="AJ101" i="31"/>
  <c r="AA101" i="31"/>
  <c r="P101" i="31"/>
  <c r="AD101" i="31"/>
  <c r="AT101" i="31"/>
  <c r="N101" i="31"/>
  <c r="J101" i="31"/>
  <c r="AZ46" i="31"/>
  <c r="AQ46" i="31"/>
  <c r="AH46" i="31"/>
  <c r="Y46" i="31"/>
  <c r="P46" i="31"/>
  <c r="AU46" i="31"/>
  <c r="AQ62" i="31"/>
  <c r="AE62" i="31"/>
  <c r="AV62" i="31"/>
  <c r="I62" i="31"/>
  <c r="AD62" i="31"/>
  <c r="AB62" i="31"/>
  <c r="Z62" i="31"/>
  <c r="AZ16" i="31"/>
  <c r="AQ16" i="31"/>
  <c r="AG16" i="31"/>
  <c r="W16" i="31"/>
  <c r="H16" i="31"/>
  <c r="P16" i="31"/>
  <c r="AK100" i="31"/>
  <c r="AH71" i="31"/>
  <c r="J9" i="31"/>
  <c r="AK26" i="31"/>
  <c r="BE42" i="31"/>
  <c r="AC58" i="31"/>
  <c r="BF82" i="31"/>
  <c r="AI90" i="31"/>
  <c r="AX94" i="31"/>
  <c r="S13" i="31"/>
  <c r="AL21" i="31"/>
  <c r="AG37" i="31"/>
  <c r="AU45" i="31"/>
  <c r="BF53" i="31"/>
  <c r="AI53" i="31"/>
  <c r="V61" i="31"/>
  <c r="AK69" i="31"/>
  <c r="BE69" i="31"/>
  <c r="BC77" i="31"/>
  <c r="BD85" i="31"/>
  <c r="AO85" i="31"/>
  <c r="K93" i="31"/>
  <c r="O93" i="31"/>
  <c r="BC101" i="31"/>
  <c r="U46" i="31"/>
  <c r="AF46" i="31"/>
  <c r="Y62" i="31"/>
  <c r="AX62" i="31"/>
  <c r="AM16" i="31"/>
  <c r="AN16" i="31"/>
  <c r="L24" i="31"/>
  <c r="I24" i="31"/>
  <c r="AN24" i="31"/>
  <c r="AF24" i="31"/>
  <c r="AV24" i="31"/>
  <c r="AR32" i="31"/>
  <c r="AH32" i="31"/>
  <c r="V32" i="31"/>
  <c r="K32" i="31"/>
  <c r="H32" i="31"/>
  <c r="AF32" i="31"/>
  <c r="AC40" i="31"/>
  <c r="L40" i="31"/>
  <c r="BF40" i="31"/>
  <c r="AW40" i="31"/>
  <c r="AN40" i="31"/>
  <c r="AD40" i="31"/>
  <c r="BC40" i="31"/>
  <c r="AR48" i="31"/>
  <c r="AI48" i="31"/>
  <c r="Q48" i="31"/>
  <c r="H48" i="31"/>
  <c r="AU48" i="31"/>
  <c r="AI56" i="31"/>
  <c r="Z56" i="31"/>
  <c r="Q56" i="31"/>
  <c r="T56" i="31"/>
  <c r="W56" i="31"/>
  <c r="BC64" i="31"/>
  <c r="AK64" i="31"/>
  <c r="Y64" i="31"/>
  <c r="Y72" i="31"/>
  <c r="H72" i="31"/>
  <c r="J72" i="31"/>
  <c r="AR80" i="31"/>
  <c r="BB80" i="31"/>
  <c r="H80" i="31"/>
  <c r="AG88" i="31"/>
  <c r="R88" i="31"/>
  <c r="AI88" i="31"/>
  <c r="BC96" i="31"/>
  <c r="BG96" i="31"/>
  <c r="N96" i="31"/>
  <c r="AF104" i="31"/>
  <c r="BB104" i="31"/>
  <c r="AG104" i="31"/>
  <c r="AS104" i="31"/>
  <c r="X34" i="31"/>
  <c r="AQ98" i="31"/>
  <c r="AX53" i="31"/>
  <c r="P77" i="31"/>
  <c r="AU62" i="31"/>
  <c r="AG24" i="31"/>
  <c r="AQ32" i="31"/>
  <c r="J40" i="31"/>
  <c r="AP48" i="31"/>
  <c r="X56" i="31"/>
  <c r="M64" i="31"/>
  <c r="AR72" i="31"/>
  <c r="AF80" i="31"/>
  <c r="AM88" i="31"/>
  <c r="V96" i="31"/>
  <c r="AA104" i="31"/>
  <c r="W30" i="31"/>
  <c r="AU79" i="31"/>
  <c r="AT9" i="31"/>
  <c r="K26" i="31"/>
  <c r="AL42" i="31"/>
  <c r="AO66" i="31"/>
  <c r="AE82" i="31"/>
  <c r="AX90" i="31"/>
  <c r="BE94" i="31"/>
  <c r="BB13" i="31"/>
  <c r="AH21" i="31"/>
  <c r="X37" i="31"/>
  <c r="AD45" i="31"/>
  <c r="AE53" i="31"/>
  <c r="S53" i="31"/>
  <c r="AT61" i="31"/>
  <c r="M69" i="31"/>
  <c r="T69" i="31"/>
  <c r="R77" i="31"/>
  <c r="AF85" i="31"/>
  <c r="AJ85" i="31"/>
  <c r="AN93" i="31"/>
  <c r="AM93" i="31"/>
  <c r="Q101" i="31"/>
  <c r="AR46" i="31"/>
  <c r="H46" i="31"/>
  <c r="AH62" i="31"/>
  <c r="M62" i="31"/>
  <c r="AE16" i="31"/>
  <c r="BA24" i="31"/>
  <c r="AA24" i="31"/>
  <c r="BC24" i="31"/>
  <c r="R24" i="31"/>
  <c r="J24" i="31"/>
  <c r="BA32" i="31"/>
  <c r="AJ32" i="31"/>
  <c r="Z32" i="31"/>
  <c r="N32" i="31"/>
  <c r="BE32" i="31"/>
  <c r="BC32" i="31"/>
  <c r="P32" i="31"/>
  <c r="U40" i="31"/>
  <c r="BG40" i="31"/>
  <c r="AX40" i="31"/>
  <c r="AO40" i="31"/>
  <c r="AF40" i="31"/>
  <c r="V40" i="31"/>
  <c r="BA48" i="31"/>
  <c r="AJ48" i="31"/>
  <c r="AA48" i="31"/>
  <c r="R48" i="31"/>
  <c r="I48" i="31"/>
  <c r="BB48" i="31"/>
  <c r="AM48" i="31"/>
  <c r="AA56" i="31"/>
  <c r="R56" i="31"/>
  <c r="I56" i="31"/>
  <c r="BC56" i="31"/>
  <c r="L56" i="31"/>
  <c r="AT56" i="31"/>
  <c r="BG64" i="31"/>
  <c r="AU64" i="31"/>
  <c r="Q64" i="31"/>
  <c r="AC64" i="31"/>
  <c r="U64" i="31"/>
  <c r="AF64" i="31"/>
  <c r="I64" i="31"/>
  <c r="AA72" i="31"/>
  <c r="Q72" i="31"/>
  <c r="AZ72" i="31"/>
  <c r="BF72" i="31"/>
  <c r="BA72" i="31"/>
  <c r="AK72" i="31"/>
  <c r="BA80" i="31"/>
  <c r="AJ80" i="31"/>
  <c r="Y80" i="31"/>
  <c r="AN80" i="31"/>
  <c r="AL80" i="31"/>
  <c r="BC80" i="31"/>
  <c r="AQ80" i="31"/>
  <c r="Y88" i="31"/>
  <c r="P88" i="31"/>
  <c r="BF88" i="31"/>
  <c r="BB88" i="31"/>
  <c r="AX88" i="31"/>
  <c r="Z88" i="31"/>
  <c r="BD96" i="31"/>
  <c r="AU96" i="31"/>
  <c r="AB96" i="31"/>
  <c r="AT96" i="31"/>
  <c r="AO96" i="31"/>
  <c r="BA96" i="31"/>
  <c r="AQ96" i="31"/>
  <c r="X104" i="31"/>
  <c r="O104" i="31"/>
  <c r="AP104" i="31"/>
  <c r="AI104" i="31"/>
  <c r="K104" i="31"/>
  <c r="AL104" i="31"/>
  <c r="J64" i="31"/>
  <c r="X72" i="31"/>
  <c r="BF80" i="31"/>
  <c r="BD88" i="31"/>
  <c r="O88" i="31"/>
  <c r="K88" i="31"/>
  <c r="AW96" i="31"/>
  <c r="AX96" i="31"/>
  <c r="BA104" i="31"/>
  <c r="I104" i="31"/>
  <c r="AX72" i="31"/>
  <c r="AV88" i="31"/>
  <c r="AZ88" i="31"/>
  <c r="X96" i="31"/>
  <c r="R96" i="31"/>
  <c r="AU104" i="31"/>
  <c r="AT104" i="31"/>
  <c r="BC55" i="31"/>
  <c r="Z61" i="31"/>
  <c r="AD93" i="31"/>
  <c r="AW16" i="31"/>
  <c r="AT24" i="31"/>
  <c r="S40" i="31"/>
  <c r="AY48" i="31"/>
  <c r="AG56" i="31"/>
  <c r="S64" i="31"/>
  <c r="AO72" i="31"/>
  <c r="M80" i="31"/>
  <c r="AW88" i="31"/>
  <c r="P96" i="31"/>
  <c r="AV104" i="31"/>
  <c r="Y15" i="31"/>
  <c r="AM87" i="31"/>
  <c r="T10" i="31"/>
  <c r="H26" i="31"/>
  <c r="AZ50" i="31"/>
  <c r="AF66" i="31"/>
  <c r="L82" i="31"/>
  <c r="BC98" i="31"/>
  <c r="S94" i="31"/>
  <c r="AR13" i="31"/>
  <c r="Y29" i="31"/>
  <c r="O37" i="31"/>
  <c r="M45" i="31"/>
  <c r="AL53" i="31"/>
  <c r="W61" i="31"/>
  <c r="AR61" i="31"/>
  <c r="AA69" i="31"/>
  <c r="AL69" i="31"/>
  <c r="AX77" i="31"/>
  <c r="AU85" i="31"/>
  <c r="AX85" i="31"/>
  <c r="AX93" i="31"/>
  <c r="AZ101" i="31"/>
  <c r="AU101" i="31"/>
  <c r="BG46" i="31"/>
  <c r="V46" i="31"/>
  <c r="AG62" i="31"/>
  <c r="U16" i="31"/>
  <c r="O16" i="31"/>
  <c r="AS24" i="31"/>
  <c r="S24" i="31"/>
  <c r="AU24" i="31"/>
  <c r="BF24" i="31"/>
  <c r="Z24" i="31"/>
  <c r="AS32" i="31"/>
  <c r="AB32" i="31"/>
  <c r="R32" i="31"/>
  <c r="AU32" i="31"/>
  <c r="AO32" i="31"/>
  <c r="AM32" i="31"/>
  <c r="AW32" i="31"/>
  <c r="M40" i="31"/>
  <c r="AY40" i="31"/>
  <c r="AP40" i="31"/>
  <c r="AG40" i="31"/>
  <c r="X40" i="31"/>
  <c r="N40" i="31"/>
  <c r="AS48" i="31"/>
  <c r="AB48" i="31"/>
  <c r="S48" i="31"/>
  <c r="J48" i="31"/>
  <c r="BD48" i="31"/>
  <c r="AT48" i="31"/>
  <c r="AE48" i="31"/>
  <c r="S56" i="31"/>
  <c r="J56" i="31"/>
  <c r="BD56" i="31"/>
  <c r="AU56" i="31"/>
  <c r="AE56" i="31"/>
  <c r="V56" i="31"/>
  <c r="AY64" i="31"/>
  <c r="AM64" i="31"/>
  <c r="BD64" i="31"/>
  <c r="R64" i="31"/>
  <c r="BA64" i="31"/>
  <c r="N64" i="31"/>
  <c r="AR64" i="31"/>
  <c r="S72" i="31"/>
  <c r="I72" i="31"/>
  <c r="AL72" i="31"/>
  <c r="AS72" i="31"/>
  <c r="AN72" i="31"/>
  <c r="AJ72" i="31"/>
  <c r="AS80" i="31"/>
  <c r="AB80" i="31"/>
  <c r="Q80" i="31"/>
  <c r="AA80" i="31"/>
  <c r="X80" i="31"/>
  <c r="R80" i="31"/>
  <c r="AD80" i="31"/>
  <c r="Q88" i="31"/>
  <c r="H88" i="31"/>
  <c r="AR88" i="31"/>
  <c r="AP88" i="31"/>
  <c r="AJ88" i="31"/>
  <c r="V88" i="31"/>
  <c r="AV96" i="31"/>
  <c r="AM96" i="31"/>
  <c r="T96" i="31"/>
  <c r="AH96" i="31"/>
  <c r="S96" i="31"/>
  <c r="AG96" i="31"/>
  <c r="AY96" i="31"/>
  <c r="P104" i="31"/>
  <c r="AZ104" i="31"/>
  <c r="AC104" i="31"/>
  <c r="V104" i="31"/>
  <c r="AX104" i="31"/>
  <c r="AK104" i="31"/>
  <c r="BE64" i="31"/>
  <c r="N72" i="31"/>
  <c r="AY80" i="31"/>
  <c r="J80" i="31"/>
  <c r="S88" i="31"/>
  <c r="AF96" i="31"/>
  <c r="I96" i="31"/>
  <c r="Z96" i="31"/>
  <c r="BE104" i="31"/>
  <c r="R104" i="31"/>
  <c r="U80" i="31"/>
  <c r="BE88" i="31"/>
  <c r="AT88" i="31"/>
  <c r="O96" i="31"/>
  <c r="AA96" i="31"/>
  <c r="AB104" i="31"/>
  <c r="AH104" i="31"/>
  <c r="AD54" i="31"/>
  <c r="S37" i="31"/>
  <c r="T93" i="31"/>
  <c r="AZ62" i="31"/>
  <c r="M32" i="31"/>
  <c r="AS40" i="31"/>
  <c r="M48" i="31"/>
  <c r="AP56" i="31"/>
  <c r="AW64" i="31"/>
  <c r="AE72" i="31"/>
  <c r="AW80" i="31"/>
  <c r="AC88" i="31"/>
  <c r="AZ96" i="31"/>
  <c r="AM104" i="31"/>
  <c r="AM23" i="31"/>
  <c r="AQ103" i="31"/>
  <c r="AM10" i="31"/>
  <c r="Z26" i="31"/>
  <c r="AH50" i="31"/>
  <c r="R66" i="31"/>
  <c r="H82" i="31"/>
  <c r="T98" i="31"/>
  <c r="AC94" i="31"/>
  <c r="AG21" i="31"/>
  <c r="P29" i="31"/>
  <c r="AS37" i="31"/>
  <c r="AX45" i="31"/>
  <c r="N53" i="31"/>
  <c r="AY61" i="31"/>
  <c r="H61" i="31"/>
  <c r="BB69" i="31"/>
  <c r="AN69" i="31"/>
  <c r="K77" i="31"/>
  <c r="W85" i="31"/>
  <c r="Z85" i="31"/>
  <c r="M93" i="31"/>
  <c r="AB101" i="31"/>
  <c r="W101" i="31"/>
  <c r="AI46" i="31"/>
  <c r="AM46" i="31"/>
  <c r="BD62" i="31"/>
  <c r="AR16" i="31"/>
  <c r="AX16" i="31"/>
  <c r="AK24" i="31"/>
  <c r="K24" i="31"/>
  <c r="AM24" i="31"/>
  <c r="P24" i="31"/>
  <c r="AX24" i="31"/>
  <c r="AK32" i="31"/>
  <c r="T32" i="31"/>
  <c r="J32" i="31"/>
  <c r="AE32" i="31"/>
  <c r="Y32" i="31"/>
  <c r="W32" i="31"/>
  <c r="AG32" i="31"/>
  <c r="AZ40" i="31"/>
  <c r="AQ40" i="31"/>
  <c r="AH40" i="31"/>
  <c r="Y40" i="31"/>
  <c r="P40" i="31"/>
  <c r="AM40" i="31"/>
  <c r="AK48" i="31"/>
  <c r="T48" i="31"/>
  <c r="K48" i="31"/>
  <c r="BE48" i="31"/>
  <c r="AV48" i="31"/>
  <c r="AL48" i="31"/>
  <c r="O48" i="31"/>
  <c r="K56" i="31"/>
  <c r="BE56" i="31"/>
  <c r="AV56" i="31"/>
  <c r="AM56" i="31"/>
  <c r="M56" i="31"/>
  <c r="AS56" i="31"/>
  <c r="AQ64" i="31"/>
  <c r="AE64" i="31"/>
  <c r="AS64" i="31"/>
  <c r="H64" i="31"/>
  <c r="AJ64" i="31"/>
  <c r="AT64" i="31"/>
  <c r="Z64" i="31"/>
  <c r="K72" i="31"/>
  <c r="BC72" i="31"/>
  <c r="Z72" i="31"/>
  <c r="AF72" i="31"/>
  <c r="AB72" i="31"/>
  <c r="AC72" i="31"/>
  <c r="AK80" i="31"/>
  <c r="T80" i="31"/>
  <c r="I80" i="31"/>
  <c r="O80" i="31"/>
  <c r="K80" i="31"/>
  <c r="AP80" i="31"/>
  <c r="P80" i="31"/>
  <c r="I88" i="31"/>
  <c r="BA88" i="31"/>
  <c r="AE88" i="31"/>
  <c r="AB88" i="31"/>
  <c r="W88" i="31"/>
  <c r="BG88" i="31"/>
  <c r="AN96" i="31"/>
  <c r="AE96" i="31"/>
  <c r="L96" i="31"/>
  <c r="U96" i="31"/>
  <c r="BF96" i="31"/>
  <c r="M96" i="31"/>
  <c r="AD96" i="31"/>
  <c r="H104" i="31"/>
  <c r="AR104" i="31"/>
  <c r="Q104" i="31"/>
  <c r="J104" i="31"/>
  <c r="AD104" i="31"/>
  <c r="Y104" i="31"/>
  <c r="AD64" i="31"/>
  <c r="AU72" i="31"/>
  <c r="T72" i="31"/>
  <c r="L80" i="31"/>
  <c r="BG80" i="31"/>
  <c r="AS88" i="31"/>
  <c r="W96" i="31"/>
  <c r="AL96" i="31"/>
  <c r="AJ104" i="31"/>
  <c r="AT80" i="31"/>
  <c r="BC88" i="31"/>
  <c r="AI96" i="31"/>
  <c r="BD104" i="31"/>
  <c r="BG104" i="31"/>
  <c r="AG18" i="31"/>
  <c r="R29" i="31"/>
  <c r="AT69" i="31"/>
  <c r="AF101" i="31"/>
  <c r="AP16" i="31"/>
  <c r="AL32" i="31"/>
  <c r="S32" i="31"/>
  <c r="AT40" i="31"/>
  <c r="N48" i="31"/>
  <c r="AC56" i="31"/>
  <c r="AG64" i="31"/>
  <c r="L72" i="31"/>
  <c r="AH80" i="31"/>
  <c r="J88" i="31"/>
  <c r="BE96" i="31"/>
  <c r="S104" i="31"/>
  <c r="AI31" i="31"/>
  <c r="R103" i="31"/>
  <c r="AH10" i="31"/>
  <c r="AP34" i="31"/>
  <c r="P50" i="31"/>
  <c r="K74" i="31"/>
  <c r="BB82" i="31"/>
  <c r="AO98" i="31"/>
  <c r="AA94" i="31"/>
  <c r="X21" i="31"/>
  <c r="BB29" i="31"/>
  <c r="AB37" i="31"/>
  <c r="S45" i="31"/>
  <c r="U53" i="31"/>
  <c r="K61" i="31"/>
  <c r="AZ61" i="31"/>
  <c r="AJ69" i="31"/>
  <c r="Y77" i="31"/>
  <c r="V77" i="31"/>
  <c r="AD85" i="31"/>
  <c r="AG85" i="31"/>
  <c r="BE93" i="31"/>
  <c r="AQ101" i="31"/>
  <c r="BB101" i="31"/>
  <c r="AX46" i="31"/>
  <c r="BG62" i="31"/>
  <c r="BB62" i="31"/>
  <c r="BG16" i="31"/>
  <c r="AD16" i="31"/>
  <c r="AC24" i="31"/>
  <c r="BE24" i="31"/>
  <c r="W24" i="31"/>
  <c r="BD24" i="31"/>
  <c r="AD24" i="31"/>
  <c r="AC32" i="31"/>
  <c r="L32" i="31"/>
  <c r="BB32" i="31"/>
  <c r="O32" i="31"/>
  <c r="I32" i="31"/>
  <c r="AY32" i="31"/>
  <c r="Q32" i="31"/>
  <c r="AR40" i="31"/>
  <c r="AI40" i="31"/>
  <c r="Z40" i="31"/>
  <c r="Q40" i="31"/>
  <c r="H40" i="31"/>
  <c r="AE40" i="31"/>
  <c r="AC48" i="31"/>
  <c r="L48" i="31"/>
  <c r="BF48" i="31"/>
  <c r="AW48" i="31"/>
  <c r="AN48" i="31"/>
  <c r="AD48" i="31"/>
  <c r="W48" i="31"/>
  <c r="BF56" i="31"/>
  <c r="AW56" i="31"/>
  <c r="AN56" i="31"/>
  <c r="AZ56" i="31"/>
  <c r="AD56" i="31"/>
  <c r="U56" i="31"/>
  <c r="AI64" i="31"/>
  <c r="W64" i="31"/>
  <c r="AH64" i="31"/>
  <c r="T64" i="31"/>
  <c r="BE72" i="31"/>
  <c r="M72" i="31"/>
  <c r="AC80" i="31"/>
  <c r="AI80" i="31"/>
  <c r="AY88" i="31"/>
  <c r="BC104" i="31"/>
  <c r="AU80" i="31"/>
  <c r="AC90" i="31"/>
  <c r="N24" i="31"/>
  <c r="X48" i="31"/>
  <c r="AY72" i="31"/>
  <c r="AN88" i="31"/>
  <c r="T104" i="31"/>
  <c r="AP39" i="31"/>
  <c r="Y54" i="31"/>
  <c r="AZ18" i="31"/>
  <c r="S34" i="31"/>
  <c r="AY58" i="31"/>
  <c r="BC74" i="31"/>
  <c r="Q90" i="31"/>
  <c r="M98" i="31"/>
  <c r="BD13" i="31"/>
  <c r="O21" i="31"/>
  <c r="BG29" i="31"/>
  <c r="R37" i="31"/>
  <c r="AW53" i="31"/>
  <c r="AR53" i="31"/>
  <c r="AH61" i="31"/>
  <c r="P61" i="31"/>
  <c r="AV69" i="31"/>
  <c r="BD77" i="31"/>
  <c r="BG77" i="31"/>
  <c r="BA85" i="31"/>
  <c r="T85" i="31"/>
  <c r="R93" i="31"/>
  <c r="S101" i="31"/>
  <c r="AG101" i="31"/>
  <c r="Z46" i="31"/>
  <c r="AI62" i="31"/>
  <c r="R62" i="31"/>
  <c r="AI16" i="31"/>
  <c r="BF16" i="31"/>
  <c r="AJ24" i="31"/>
  <c r="AW24" i="31"/>
  <c r="O24" i="31"/>
  <c r="AH24" i="31"/>
  <c r="H24" i="31"/>
  <c r="U32" i="31"/>
  <c r="BF32" i="31"/>
  <c r="AT32" i="31"/>
  <c r="BG32" i="31"/>
  <c r="BD32" i="31"/>
  <c r="AI32" i="31"/>
  <c r="BA40" i="31"/>
  <c r="AJ40" i="31"/>
  <c r="AA40" i="31"/>
  <c r="R40" i="31"/>
  <c r="I40" i="31"/>
  <c r="BB40" i="31"/>
  <c r="W40" i="31"/>
  <c r="U48" i="31"/>
  <c r="BG48" i="31"/>
  <c r="AX48" i="31"/>
  <c r="AO48" i="31"/>
  <c r="AF48" i="31"/>
  <c r="V48" i="31"/>
  <c r="BG56" i="31"/>
  <c r="AX56" i="31"/>
  <c r="AO56" i="31"/>
  <c r="AF56" i="31"/>
  <c r="AR56" i="31"/>
  <c r="BB56" i="31"/>
  <c r="AK56" i="31"/>
  <c r="AA64" i="31"/>
  <c r="O64" i="31"/>
  <c r="X64" i="31"/>
  <c r="AO64" i="31"/>
  <c r="AZ64" i="31"/>
  <c r="L64" i="31"/>
  <c r="BG72" i="31"/>
  <c r="AW72" i="31"/>
  <c r="AM72" i="31"/>
  <c r="AT72" i="31"/>
  <c r="BD72" i="31"/>
  <c r="AV72" i="31"/>
  <c r="BE80" i="31"/>
  <c r="AM80" i="31"/>
  <c r="AE80" i="31"/>
  <c r="AK88" i="31"/>
  <c r="AH88" i="31"/>
  <c r="BB96" i="31"/>
  <c r="AO104" i="31"/>
  <c r="P74" i="31"/>
  <c r="AU13" i="31"/>
  <c r="I53" i="31"/>
  <c r="L77" i="31"/>
  <c r="AO46" i="31"/>
  <c r="AP24" i="31"/>
  <c r="AN32" i="31"/>
  <c r="BD40" i="31"/>
  <c r="AG48" i="31"/>
  <c r="AJ56" i="31"/>
  <c r="V64" i="31"/>
  <c r="AH72" i="31"/>
  <c r="Z80" i="31"/>
  <c r="AQ88" i="31"/>
  <c r="AP96" i="31"/>
  <c r="M104" i="31"/>
  <c r="K63" i="31"/>
  <c r="AS9" i="31"/>
  <c r="AX18" i="31"/>
  <c r="T42" i="31"/>
  <c r="AZ58" i="31"/>
  <c r="AJ74" i="31"/>
  <c r="O90" i="31"/>
  <c r="AM94" i="31"/>
  <c r="AC13" i="31"/>
  <c r="AT21" i="31"/>
  <c r="AB29" i="31"/>
  <c r="BD45" i="31"/>
  <c r="AN53" i="31"/>
  <c r="Z53" i="31"/>
  <c r="AK61" i="31"/>
  <c r="AE69" i="31"/>
  <c r="AP69" i="31"/>
  <c r="AS77" i="31"/>
  <c r="AB77" i="31"/>
  <c r="AQ85" i="31"/>
  <c r="AY93" i="31"/>
  <c r="AC93" i="31"/>
  <c r="H101" i="31"/>
  <c r="AK101" i="31"/>
  <c r="Q46" i="31"/>
  <c r="W62" i="31"/>
  <c r="P62" i="31"/>
  <c r="Y16" i="31"/>
  <c r="V16" i="31"/>
  <c r="T24" i="31"/>
  <c r="Q24" i="31"/>
  <c r="V24" i="31"/>
  <c r="BB24" i="31"/>
  <c r="X24" i="31"/>
  <c r="AZ32" i="31"/>
  <c r="AP32" i="31"/>
  <c r="AD32" i="31"/>
  <c r="AA32" i="31"/>
  <c r="X32" i="31"/>
  <c r="AV32" i="31"/>
  <c r="AK40" i="31"/>
  <c r="T40" i="31"/>
  <c r="K40" i="31"/>
  <c r="BE40" i="31"/>
  <c r="AV40" i="31"/>
  <c r="AL40" i="31"/>
  <c r="AU40" i="31"/>
  <c r="AZ48" i="31"/>
  <c r="AQ48" i="31"/>
  <c r="AH48" i="31"/>
  <c r="Y48" i="31"/>
  <c r="P48" i="31"/>
  <c r="BC48" i="31"/>
  <c r="AQ56" i="31"/>
  <c r="AH56" i="31"/>
  <c r="Y56" i="31"/>
  <c r="P56" i="31"/>
  <c r="AB56" i="31"/>
  <c r="BA56" i="31"/>
  <c r="AL56" i="31"/>
  <c r="K64" i="31"/>
  <c r="AL64" i="31"/>
  <c r="AX64" i="31"/>
  <c r="BB64" i="31"/>
  <c r="P64" i="31"/>
  <c r="AP64" i="31"/>
  <c r="AQ72" i="31"/>
  <c r="AG72" i="31"/>
  <c r="W72" i="31"/>
  <c r="U72" i="31"/>
  <c r="AD72" i="31"/>
  <c r="AP72" i="31"/>
  <c r="BB72" i="31"/>
  <c r="AZ80" i="31"/>
  <c r="AO80" i="31"/>
  <c r="S80" i="31"/>
  <c r="N80" i="31"/>
  <c r="V80" i="31"/>
  <c r="W80" i="31"/>
  <c r="AO88" i="31"/>
  <c r="AF88" i="31"/>
  <c r="U88" i="31"/>
  <c r="AD88" i="31"/>
  <c r="AA88" i="31"/>
  <c r="AL88" i="31"/>
  <c r="L88" i="31"/>
  <c r="H96" i="31"/>
  <c r="AR96" i="31"/>
  <c r="J96" i="31"/>
  <c r="AC96" i="31"/>
  <c r="AK96" i="31"/>
  <c r="K96" i="31"/>
  <c r="AN104" i="31"/>
  <c r="AE104" i="31"/>
  <c r="L104" i="31"/>
  <c r="N104" i="31"/>
  <c r="AY104" i="31"/>
  <c r="AQ104" i="31"/>
  <c r="BF104" i="31"/>
  <c r="Z48" i="31"/>
  <c r="H56" i="31"/>
  <c r="O56" i="31"/>
  <c r="AB64" i="31"/>
  <c r="AN64" i="31"/>
  <c r="AV64" i="31"/>
  <c r="AI72" i="31"/>
  <c r="O72" i="31"/>
  <c r="R72" i="31"/>
  <c r="V72" i="31"/>
  <c r="AG80" i="31"/>
  <c r="AX80" i="31"/>
  <c r="AV80" i="31"/>
  <c r="X88" i="31"/>
  <c r="M88" i="31"/>
  <c r="N88" i="31"/>
  <c r="AU88" i="31"/>
  <c r="AJ96" i="31"/>
  <c r="Q96" i="31"/>
  <c r="AS96" i="31"/>
  <c r="W104" i="31"/>
  <c r="AW104" i="31"/>
  <c r="U104" i="31"/>
  <c r="Y58" i="31"/>
  <c r="AY21" i="31"/>
  <c r="BC69" i="31"/>
  <c r="M85" i="31"/>
  <c r="BA101" i="31"/>
  <c r="AB24" i="31"/>
  <c r="AX32" i="31"/>
  <c r="AB40" i="31"/>
  <c r="O40" i="31"/>
  <c r="AY56" i="31"/>
  <c r="N56" i="31"/>
  <c r="BF64" i="31"/>
  <c r="P72" i="31"/>
  <c r="BD80" i="31"/>
  <c r="T88" i="31"/>
  <c r="Y96" i="31"/>
  <c r="Z104" i="31"/>
  <c r="F9" i="30"/>
  <c r="BN3" i="31" s="1"/>
  <c r="BN110" i="31" s="1"/>
  <c r="A16" i="17"/>
  <c r="H14" i="39" s="1"/>
  <c r="D15" i="17"/>
  <c r="AN114" i="31"/>
  <c r="AB116" i="31"/>
  <c r="P118" i="31"/>
  <c r="H120" i="31"/>
  <c r="AR121" i="31"/>
  <c r="V124" i="31"/>
  <c r="X117" i="31"/>
  <c r="AR117" i="31"/>
  <c r="L115" i="31"/>
  <c r="AV116" i="31"/>
  <c r="AN118" i="31"/>
  <c r="AB120" i="31"/>
  <c r="P122" i="31"/>
  <c r="AF115" i="31"/>
  <c r="L119" i="31"/>
  <c r="AV120" i="31"/>
  <c r="AN122" i="31"/>
  <c r="H116" i="31"/>
  <c r="AF119" i="31"/>
  <c r="X121" i="31"/>
  <c r="Q123" i="31"/>
  <c r="Y202" i="31"/>
  <c r="AT126" i="31"/>
  <c r="X126" i="31"/>
  <c r="BE126" i="31"/>
  <c r="AQ130" i="31"/>
  <c r="U130" i="31"/>
  <c r="I134" i="31"/>
  <c r="BE138" i="31"/>
  <c r="BB146" i="31"/>
  <c r="AW150" i="31"/>
  <c r="AT154" i="31"/>
  <c r="AQ158" i="31"/>
  <c r="AJ166" i="31"/>
  <c r="AG170" i="31"/>
  <c r="AD174" i="31"/>
  <c r="Z178" i="31"/>
  <c r="W186" i="31"/>
  <c r="Q190" i="31"/>
  <c r="AL194" i="31"/>
  <c r="J198" i="31"/>
  <c r="BF123" i="31"/>
  <c r="AN121" i="31"/>
  <c r="AV119" i="31"/>
  <c r="L118" i="31"/>
  <c r="X116" i="31"/>
  <c r="AF114" i="31"/>
  <c r="AX126" i="31"/>
  <c r="AB126" i="31"/>
  <c r="N130" i="31"/>
  <c r="AU130" i="31"/>
  <c r="Y130" i="31"/>
  <c r="Y134" i="31"/>
  <c r="V142" i="31"/>
  <c r="S146" i="31"/>
  <c r="N150" i="31"/>
  <c r="K154" i="31"/>
  <c r="BG158" i="31"/>
  <c r="AZ166" i="31"/>
  <c r="AW170" i="31"/>
  <c r="AT174" i="31"/>
  <c r="AP178" i="31"/>
  <c r="AM186" i="31"/>
  <c r="AG190" i="31"/>
  <c r="O194" i="31"/>
  <c r="Z198" i="31"/>
  <c r="R125" i="31"/>
  <c r="H122" i="31"/>
  <c r="P120" i="31"/>
  <c r="AB118" i="31"/>
  <c r="AN116" i="31"/>
  <c r="AV114" i="31"/>
  <c r="AH126" i="31"/>
  <c r="L126" i="31"/>
  <c r="AW126" i="31"/>
  <c r="AE130" i="31"/>
  <c r="I130" i="31"/>
  <c r="AB134" i="31"/>
  <c r="Y138" i="31"/>
  <c r="V146" i="31"/>
  <c r="Q150" i="31"/>
  <c r="N154" i="31"/>
  <c r="K158" i="31"/>
  <c r="BG162" i="31"/>
  <c r="AZ170" i="31"/>
  <c r="AW174" i="31"/>
  <c r="AS178" i="31"/>
  <c r="AP182" i="31"/>
  <c r="AJ190" i="31"/>
  <c r="AV194" i="31"/>
  <c r="AC198" i="31"/>
  <c r="P114" i="31"/>
  <c r="O126" i="31"/>
  <c r="AR126" i="31"/>
  <c r="AD130" i="31"/>
  <c r="H130" i="31"/>
  <c r="AO130" i="31"/>
  <c r="V138" i="31"/>
  <c r="S142" i="31"/>
  <c r="L146" i="31"/>
  <c r="K150" i="31"/>
  <c r="BG154" i="31"/>
  <c r="X162" i="31"/>
  <c r="AW166" i="31"/>
  <c r="AT170" i="31"/>
  <c r="AQ174" i="31"/>
  <c r="AM182" i="31"/>
  <c r="AF186" i="31"/>
  <c r="AD190" i="31"/>
  <c r="AS194" i="31"/>
  <c r="N202" i="31"/>
  <c r="I123" i="31"/>
  <c r="P121" i="31"/>
  <c r="AB119" i="31"/>
  <c r="AN117" i="31"/>
  <c r="AV115" i="31"/>
  <c r="L114" i="31"/>
  <c r="S126" i="31"/>
  <c r="AZ126" i="31"/>
  <c r="AH130" i="31"/>
  <c r="L130" i="31"/>
  <c r="BA130" i="31"/>
  <c r="AL138" i="31"/>
  <c r="AI142" i="31"/>
  <c r="AB146" i="31"/>
  <c r="AA150" i="31"/>
  <c r="T158" i="31"/>
  <c r="AB162" i="31"/>
  <c r="N166" i="31"/>
  <c r="K170" i="31"/>
  <c r="BG174" i="31"/>
  <c r="BC182" i="31"/>
  <c r="AV186" i="31"/>
  <c r="AT190" i="31"/>
  <c r="AP194" i="31"/>
  <c r="AH202" i="31"/>
  <c r="AP123" i="31"/>
  <c r="AF121" i="31"/>
  <c r="AR119" i="31"/>
  <c r="H118" i="31"/>
  <c r="P116" i="31"/>
  <c r="AB114" i="31"/>
  <c r="BB126" i="31"/>
  <c r="AJ126" i="31"/>
  <c r="R130" i="31"/>
  <c r="AY130" i="31"/>
  <c r="AG130" i="31"/>
  <c r="AO134" i="31"/>
  <c r="AL142" i="31"/>
  <c r="AI146" i="31"/>
  <c r="AD150" i="31"/>
  <c r="AA154" i="31"/>
  <c r="U162" i="31"/>
  <c r="Q166" i="31"/>
  <c r="N170" i="31"/>
  <c r="K174" i="31"/>
  <c r="BF178" i="31"/>
  <c r="BC186" i="31"/>
  <c r="AW190" i="31"/>
  <c r="AE194" i="31"/>
  <c r="AP198" i="31"/>
  <c r="AP150" i="31"/>
  <c r="AC150" i="31"/>
  <c r="P150" i="31"/>
  <c r="BD146" i="31"/>
  <c r="AU146" i="31"/>
  <c r="AH146" i="31"/>
  <c r="U142" i="31"/>
  <c r="H142" i="31"/>
  <c r="AX142" i="31"/>
  <c r="AK138" i="31"/>
  <c r="X138" i="31"/>
  <c r="O138" i="31"/>
  <c r="BA134" i="31"/>
  <c r="AN134" i="31"/>
  <c r="AE134" i="31"/>
  <c r="BC122" i="31"/>
  <c r="Q126" i="31"/>
  <c r="AB130" i="31"/>
  <c r="AI138" i="31"/>
  <c r="Y146" i="31"/>
  <c r="Q158" i="31"/>
  <c r="K166" i="31"/>
  <c r="BC178" i="31"/>
  <c r="AS186" i="31"/>
  <c r="AM198" i="31"/>
  <c r="AF122" i="31"/>
  <c r="H119" i="31"/>
  <c r="AB115" i="31"/>
  <c r="AQ126" i="31"/>
  <c r="BB130" i="31"/>
  <c r="BB134" i="31"/>
  <c r="AR142" i="31"/>
  <c r="AJ154" i="31"/>
  <c r="BE162" i="31"/>
  <c r="T174" i="31"/>
  <c r="M182" i="31"/>
  <c r="BG190" i="31"/>
  <c r="AY202" i="31"/>
  <c r="L121" i="31"/>
  <c r="AF117" i="31"/>
  <c r="H114" i="31"/>
  <c r="BD126" i="31"/>
  <c r="T130" i="31"/>
  <c r="BB138" i="31"/>
  <c r="AR146" i="31"/>
  <c r="AJ158" i="31"/>
  <c r="AD166" i="31"/>
  <c r="W178" i="31"/>
  <c r="M186" i="31"/>
  <c r="BF194" i="31"/>
  <c r="BF150" i="31"/>
  <c r="M150" i="31"/>
  <c r="AK146" i="31"/>
  <c r="H146" i="31"/>
  <c r="R146" i="31"/>
  <c r="AN142" i="31"/>
  <c r="O142" i="31"/>
  <c r="U138" i="31"/>
  <c r="AU138" i="31"/>
  <c r="R138" i="31"/>
  <c r="X134" i="31"/>
  <c r="AX134" i="31"/>
  <c r="BE150" i="31"/>
  <c r="AR150" i="31"/>
  <c r="AG146" i="31"/>
  <c r="T146" i="31"/>
  <c r="K146" i="31"/>
  <c r="AW142" i="31"/>
  <c r="AJ142" i="31"/>
  <c r="AA142" i="31"/>
  <c r="N142" i="31"/>
  <c r="AZ138" i="31"/>
  <c r="AQ138" i="31"/>
  <c r="AD138" i="31"/>
  <c r="Q134" i="31"/>
  <c r="BG134" i="31"/>
  <c r="AT134" i="31"/>
  <c r="U152" i="31"/>
  <c r="V185" i="31"/>
  <c r="AJ177" i="31"/>
  <c r="AG169" i="31"/>
  <c r="O161" i="31"/>
  <c r="R157" i="31"/>
  <c r="U153" i="31"/>
  <c r="X149" i="31"/>
  <c r="AC141" i="31"/>
  <c r="AF137" i="31"/>
  <c r="AV133" i="31"/>
  <c r="Z133" i="31"/>
  <c r="AB129" i="31"/>
  <c r="AT129" i="31"/>
  <c r="M125" i="31"/>
  <c r="AI125" i="31"/>
  <c r="AQ114" i="31"/>
  <c r="W116" i="31"/>
  <c r="BC117" i="31"/>
  <c r="AM119" i="31"/>
  <c r="S121" i="31"/>
  <c r="BA122" i="31"/>
  <c r="L210" i="31"/>
  <c r="V126" i="31"/>
  <c r="AK126" i="31"/>
  <c r="AZ130" i="31"/>
  <c r="AR138" i="31"/>
  <c r="AJ150" i="31"/>
  <c r="AD158" i="31"/>
  <c r="T170" i="31"/>
  <c r="M178" i="31"/>
  <c r="BF186" i="31"/>
  <c r="AV198" i="31"/>
  <c r="L122" i="31"/>
  <c r="AF118" i="31"/>
  <c r="H115" i="31"/>
  <c r="H126" i="31"/>
  <c r="AA130" i="31"/>
  <c r="L134" i="31"/>
  <c r="BE142" i="31"/>
  <c r="AW154" i="31"/>
  <c r="AQ162" i="31"/>
  <c r="AG174" i="31"/>
  <c r="Z182" i="31"/>
  <c r="AC194" i="31"/>
  <c r="I202" i="31"/>
  <c r="AN120" i="31"/>
  <c r="L117" i="31"/>
  <c r="N126" i="31"/>
  <c r="Y126" i="31"/>
  <c r="AN130" i="31"/>
  <c r="L138" i="31"/>
  <c r="BE146" i="31"/>
  <c r="AW158" i="31"/>
  <c r="AQ166" i="31"/>
  <c r="AF178" i="31"/>
  <c r="Z186" i="31"/>
  <c r="P198" i="31"/>
  <c r="Z150" i="31"/>
  <c r="AV150" i="31"/>
  <c r="U146" i="31"/>
  <c r="AE146" i="31"/>
  <c r="BA142" i="31"/>
  <c r="X142" i="31"/>
  <c r="AH142" i="31"/>
  <c r="BD138" i="31"/>
  <c r="AE138" i="31"/>
  <c r="AK134" i="31"/>
  <c r="H134" i="31"/>
  <c r="AH134" i="31"/>
  <c r="AO150" i="31"/>
  <c r="AB150" i="31"/>
  <c r="Q146" i="31"/>
  <c r="BG146" i="31"/>
  <c r="AT146" i="31"/>
  <c r="AG142" i="31"/>
  <c r="T142" i="31"/>
  <c r="K142" i="31"/>
  <c r="AW138" i="31"/>
  <c r="AJ138" i="31"/>
  <c r="AA138" i="31"/>
  <c r="N138" i="31"/>
  <c r="AZ134" i="31"/>
  <c r="AQ134" i="31"/>
  <c r="AD134" i="31"/>
  <c r="AD117" i="31"/>
  <c r="O185" i="31"/>
  <c r="AE173" i="31"/>
  <c r="BC165" i="31"/>
  <c r="BA161" i="31"/>
  <c r="BD157" i="31"/>
  <c r="H153" i="31"/>
  <c r="M145" i="31"/>
  <c r="P141" i="31"/>
  <c r="W137" i="31"/>
  <c r="P133" i="31"/>
  <c r="AS129" i="31"/>
  <c r="BG129" i="31"/>
  <c r="Z129" i="31"/>
  <c r="AR125" i="31"/>
  <c r="K125" i="31"/>
  <c r="K115" i="31"/>
  <c r="AQ116" i="31"/>
  <c r="AA118" i="31"/>
  <c r="BG119" i="31"/>
  <c r="AM121" i="31"/>
  <c r="R124" i="31"/>
  <c r="AU210" i="31"/>
  <c r="AI126" i="31"/>
  <c r="AL134" i="31"/>
  <c r="T154" i="31"/>
  <c r="BG170" i="31"/>
  <c r="AQ190" i="31"/>
  <c r="AR120" i="31"/>
  <c r="BG122" i="31"/>
  <c r="AJ130" i="31"/>
  <c r="AO146" i="31"/>
  <c r="AA166" i="31"/>
  <c r="J186" i="31"/>
  <c r="AW122" i="31"/>
  <c r="AR115" i="31"/>
  <c r="AL130" i="31"/>
  <c r="AY142" i="31"/>
  <c r="AR162" i="31"/>
  <c r="P182" i="31"/>
  <c r="BB202" i="31"/>
  <c r="AF150" i="31"/>
  <c r="O146" i="31"/>
  <c r="AU142" i="31"/>
  <c r="AN138" i="31"/>
  <c r="U134" i="31"/>
  <c r="R134" i="31"/>
  <c r="L150" i="31"/>
  <c r="AQ146" i="31"/>
  <c r="Q142" i="31"/>
  <c r="AT142" i="31"/>
  <c r="T138" i="31"/>
  <c r="AW134" i="31"/>
  <c r="AA134" i="31"/>
  <c r="K201" i="31"/>
  <c r="U173" i="31"/>
  <c r="AN161" i="31"/>
  <c r="AX149" i="31"/>
  <c r="BF141" i="31"/>
  <c r="AM133" i="31"/>
  <c r="AM129" i="31"/>
  <c r="T125" i="31"/>
  <c r="AE115" i="31"/>
  <c r="AU118" i="31"/>
  <c r="K122" i="31"/>
  <c r="AA210" i="31"/>
  <c r="Y210" i="31"/>
  <c r="H206" i="31"/>
  <c r="AC206" i="31"/>
  <c r="BB124" i="31"/>
  <c r="AV121" i="31"/>
  <c r="L120" i="31"/>
  <c r="X118" i="31"/>
  <c r="AF116" i="31"/>
  <c r="AR114" i="31"/>
  <c r="AL126" i="31"/>
  <c r="T126" i="31"/>
  <c r="BA126" i="31"/>
  <c r="AI130" i="31"/>
  <c r="Q130" i="31"/>
  <c r="AR134" i="31"/>
  <c r="AO138" i="31"/>
  <c r="AL146" i="31"/>
  <c r="AG150" i="31"/>
  <c r="AD154" i="31"/>
  <c r="AA158" i="31"/>
  <c r="T166" i="31"/>
  <c r="Q170" i="31"/>
  <c r="N174" i="31"/>
  <c r="J178" i="31"/>
  <c r="BF182" i="31"/>
  <c r="AZ190" i="31"/>
  <c r="V194" i="31"/>
  <c r="AS198" i="31"/>
  <c r="AS202" i="31"/>
  <c r="AZ211" i="31"/>
  <c r="AQ211" i="31"/>
  <c r="AD211" i="31"/>
  <c r="Q211" i="31"/>
  <c r="BG207" i="31"/>
  <c r="AS207" i="31"/>
  <c r="AT207" i="31"/>
  <c r="U203" i="31"/>
  <c r="H203" i="31"/>
  <c r="AX203" i="31"/>
  <c r="AL199" i="31"/>
  <c r="Y199" i="31"/>
  <c r="L199" i="31"/>
  <c r="BB195" i="31"/>
  <c r="AO195" i="31"/>
  <c r="AB195" i="31"/>
  <c r="S195" i="31"/>
  <c r="BF191" i="31"/>
  <c r="AS191" i="31"/>
  <c r="AF191" i="31"/>
  <c r="V187" i="31"/>
  <c r="BD116" i="31"/>
  <c r="AY211" i="31"/>
  <c r="AL211" i="31"/>
  <c r="Y211" i="31"/>
  <c r="L207" i="31"/>
  <c r="BA207" i="31"/>
  <c r="AH207" i="31"/>
  <c r="AC203" i="31"/>
  <c r="P203" i="31"/>
  <c r="BF203" i="31"/>
  <c r="AT199" i="31"/>
  <c r="AG199" i="31"/>
  <c r="T199" i="31"/>
  <c r="K199" i="31"/>
  <c r="AW195" i="31"/>
  <c r="AJ195" i="31"/>
  <c r="AA195" i="31"/>
  <c r="O191" i="31"/>
  <c r="BA191" i="31"/>
  <c r="AN191" i="31"/>
  <c r="AD187" i="31"/>
  <c r="BD120" i="31"/>
  <c r="AP211" i="31"/>
  <c r="P207" i="31"/>
  <c r="AX207" i="31"/>
  <c r="T203" i="31"/>
  <c r="AX199" i="31"/>
  <c r="X199" i="31"/>
  <c r="BA195" i="31"/>
  <c r="AE195" i="31"/>
  <c r="BE191" i="31"/>
  <c r="AH187" i="31"/>
  <c r="AZ187" i="31"/>
  <c r="AQ187" i="31"/>
  <c r="AD183" i="31"/>
  <c r="Q183" i="31"/>
  <c r="BG183" i="31"/>
  <c r="AT179" i="31"/>
  <c r="AG179" i="31"/>
  <c r="T179" i="31"/>
  <c r="K179" i="31"/>
  <c r="AK175" i="31"/>
  <c r="AU175" i="31"/>
  <c r="AM211" i="31"/>
  <c r="M211" i="31"/>
  <c r="AO207" i="31"/>
  <c r="Q203" i="31"/>
  <c r="AT203" i="31"/>
  <c r="U199" i="31"/>
  <c r="AX195" i="31"/>
  <c r="X195" i="31"/>
  <c r="BB191" i="31"/>
  <c r="AB191" i="31"/>
  <c r="Y187" i="31"/>
  <c r="L187" i="31"/>
  <c r="BB183" i="31"/>
  <c r="AO183" i="31"/>
  <c r="AB183" i="31"/>
  <c r="S183" i="31"/>
  <c r="BE179" i="31"/>
  <c r="AR179" i="31"/>
  <c r="AI179" i="31"/>
  <c r="V175" i="31"/>
  <c r="AF175" i="31"/>
  <c r="O211" i="31"/>
  <c r="Q207" i="31"/>
  <c r="V203" i="31"/>
  <c r="Z195" i="31"/>
  <c r="AD191" i="31"/>
  <c r="M187" i="31"/>
  <c r="AP183" i="31"/>
  <c r="P183" i="31"/>
  <c r="AS179" i="31"/>
  <c r="W179" i="31"/>
  <c r="BG175" i="31"/>
  <c r="M175" i="31"/>
  <c r="S171" i="31"/>
  <c r="BG126" i="31"/>
  <c r="AY134" i="31"/>
  <c r="AG154" i="31"/>
  <c r="Q174" i="31"/>
  <c r="M194" i="31"/>
  <c r="X120" i="31"/>
  <c r="AD126" i="31"/>
  <c r="BD130" i="31"/>
  <c r="AZ150" i="31"/>
  <c r="AJ170" i="31"/>
  <c r="T190" i="31"/>
  <c r="AB122" i="31"/>
  <c r="X115" i="31"/>
  <c r="K130" i="31"/>
  <c r="I142" i="31"/>
  <c r="AL162" i="31"/>
  <c r="AC182" i="31"/>
  <c r="L202" i="31"/>
  <c r="BA146" i="31"/>
  <c r="AX146" i="31"/>
  <c r="AE142" i="31"/>
  <c r="H138" i="31"/>
  <c r="BD134" i="31"/>
  <c r="V150" i="31"/>
  <c r="AW146" i="31"/>
  <c r="AA146" i="31"/>
  <c r="AZ142" i="31"/>
  <c r="AD142" i="31"/>
  <c r="BG138" i="31"/>
  <c r="AG134" i="31"/>
  <c r="K134" i="31"/>
  <c r="BA193" i="31"/>
  <c r="O169" i="31"/>
  <c r="AE157" i="31"/>
  <c r="AK149" i="31"/>
  <c r="AS137" i="31"/>
  <c r="BF133" i="31"/>
  <c r="S129" i="31"/>
  <c r="BC125" i="31"/>
  <c r="BC115" i="31"/>
  <c r="O119" i="31"/>
  <c r="AE122" i="31"/>
  <c r="BB210" i="31"/>
  <c r="J210" i="31"/>
  <c r="AQ206" i="31"/>
  <c r="BF206" i="31"/>
  <c r="Y123" i="31"/>
  <c r="AB121" i="31"/>
  <c r="AN119" i="31"/>
  <c r="AV117" i="31"/>
  <c r="L116" i="31"/>
  <c r="X114" i="31"/>
  <c r="K126" i="31"/>
  <c r="AN126" i="31"/>
  <c r="V130" i="31"/>
  <c r="BG130" i="31"/>
  <c r="AK130" i="31"/>
  <c r="BE134" i="31"/>
  <c r="BB142" i="31"/>
  <c r="AY146" i="31"/>
  <c r="AT150" i="31"/>
  <c r="AQ154" i="31"/>
  <c r="V162" i="31"/>
  <c r="AG166" i="31"/>
  <c r="AD170" i="31"/>
  <c r="AA174" i="31"/>
  <c r="W182" i="31"/>
  <c r="P186" i="31"/>
  <c r="N190" i="31"/>
  <c r="BC194" i="31"/>
  <c r="BF198" i="31"/>
  <c r="BD121" i="31"/>
  <c r="AJ211" i="31"/>
  <c r="AA211" i="31"/>
  <c r="N211" i="31"/>
  <c r="AZ207" i="31"/>
  <c r="AQ207" i="31"/>
  <c r="AC207" i="31"/>
  <c r="AP207" i="31"/>
  <c r="BD203" i="31"/>
  <c r="AU203" i="31"/>
  <c r="AH203" i="31"/>
  <c r="V199" i="31"/>
  <c r="I199" i="31"/>
  <c r="AY199" i="31"/>
  <c r="AL195" i="31"/>
  <c r="Y195" i="31"/>
  <c r="L195" i="31"/>
  <c r="BC191" i="31"/>
  <c r="AP191" i="31"/>
  <c r="AC191" i="31"/>
  <c r="P191" i="31"/>
  <c r="BE187" i="31"/>
  <c r="AR211" i="31"/>
  <c r="AI211" i="31"/>
  <c r="V211" i="31"/>
  <c r="I211" i="31"/>
  <c r="AY207" i="31"/>
  <c r="AK207" i="31"/>
  <c r="N207" i="31"/>
  <c r="M203" i="31"/>
  <c r="BC203" i="31"/>
  <c r="AP203" i="31"/>
  <c r="AD199" i="31"/>
  <c r="Q199" i="31"/>
  <c r="BG199" i="31"/>
  <c r="AT195" i="31"/>
  <c r="AG195" i="31"/>
  <c r="T195" i="31"/>
  <c r="K195" i="31"/>
  <c r="AX191" i="31"/>
  <c r="AK191" i="31"/>
  <c r="X191" i="31"/>
  <c r="N187" i="31"/>
  <c r="AF211" i="31"/>
  <c r="J211" i="31"/>
  <c r="AM207" i="31"/>
  <c r="Z207" i="31"/>
  <c r="AQ203" i="31"/>
  <c r="R199" i="31"/>
  <c r="AU199" i="31"/>
  <c r="U195" i="31"/>
  <c r="AY191" i="31"/>
  <c r="Y191" i="31"/>
  <c r="BA187" i="31"/>
  <c r="AJ187" i="31"/>
  <c r="AA187" i="31"/>
  <c r="N183" i="31"/>
  <c r="AZ183" i="31"/>
  <c r="AQ183" i="31"/>
  <c r="AD179" i="31"/>
  <c r="Q179" i="31"/>
  <c r="BG179" i="31"/>
  <c r="AT175" i="31"/>
  <c r="BD175" i="31"/>
  <c r="BD119" i="31"/>
  <c r="BF211" i="31"/>
  <c r="AF207" i="31"/>
  <c r="I207" i="31"/>
  <c r="AJ203" i="31"/>
  <c r="N203" i="31"/>
  <c r="AN199" i="31"/>
  <c r="R195" i="31"/>
  <c r="AU195" i="31"/>
  <c r="V191" i="31"/>
  <c r="AX187" i="31"/>
  <c r="I187" i="31"/>
  <c r="AY187" i="31"/>
  <c r="AL183" i="31"/>
  <c r="Y183" i="31"/>
  <c r="L183" i="31"/>
  <c r="BB179" i="31"/>
  <c r="AO179" i="31"/>
  <c r="AB179" i="31"/>
  <c r="S179" i="31"/>
  <c r="AS175" i="31"/>
  <c r="BC175" i="31"/>
  <c r="BA211" i="31"/>
  <c r="BE203" i="31"/>
  <c r="J199" i="31"/>
  <c r="M195" i="31"/>
  <c r="Q191" i="31"/>
  <c r="AF187" i="31"/>
  <c r="J183" i="31"/>
  <c r="AM183" i="31"/>
  <c r="M179" i="31"/>
  <c r="AP175" i="31"/>
  <c r="AI175" i="31"/>
  <c r="L175" i="31"/>
  <c r="AX130" i="31"/>
  <c r="AO162" i="31"/>
  <c r="AI202" i="31"/>
  <c r="U126" i="31"/>
  <c r="AG158" i="31"/>
  <c r="BC198" i="31"/>
  <c r="AA126" i="31"/>
  <c r="AQ150" i="31"/>
  <c r="K190" i="31"/>
  <c r="AN146" i="31"/>
  <c r="R142" i="31"/>
  <c r="AU134" i="31"/>
  <c r="AZ146" i="31"/>
  <c r="BG142" i="31"/>
  <c r="K138" i="31"/>
  <c r="N134" i="31"/>
  <c r="R165" i="31"/>
  <c r="BC145" i="31"/>
  <c r="Q129" i="31"/>
  <c r="AP125" i="31"/>
  <c r="AA120" i="31"/>
  <c r="AH210" i="31"/>
  <c r="S206" i="31"/>
  <c r="AR122" i="31"/>
  <c r="P119" i="31"/>
  <c r="AN115" i="31"/>
  <c r="AE126" i="31"/>
  <c r="AT130" i="31"/>
  <c r="V134" i="31"/>
  <c r="L142" i="31"/>
  <c r="BG150" i="31"/>
  <c r="Y162" i="31"/>
  <c r="AQ170" i="31"/>
  <c r="AF182" i="31"/>
  <c r="AA190" i="31"/>
  <c r="S202" i="31"/>
  <c r="T211" i="31"/>
  <c r="AW211" i="31"/>
  <c r="AA207" i="31"/>
  <c r="BA203" i="31"/>
  <c r="AE203" i="31"/>
  <c r="BE199" i="31"/>
  <c r="AI199" i="31"/>
  <c r="I195" i="31"/>
  <c r="AM191" i="31"/>
  <c r="M191" i="31"/>
  <c r="BD118" i="31"/>
  <c r="S211" i="31"/>
  <c r="AR207" i="31"/>
  <c r="U207" i="31"/>
  <c r="AV203" i="31"/>
  <c r="Z203" i="31"/>
  <c r="AZ199" i="31"/>
  <c r="AD195" i="31"/>
  <c r="BG195" i="31"/>
  <c r="AH191" i="31"/>
  <c r="H191" i="31"/>
  <c r="BC211" i="31"/>
  <c r="BE207" i="31"/>
  <c r="K203" i="31"/>
  <c r="O199" i="31"/>
  <c r="S191" i="31"/>
  <c r="AG187" i="31"/>
  <c r="K187" i="31"/>
  <c r="AJ183" i="31"/>
  <c r="N179" i="31"/>
  <c r="AQ179" i="31"/>
  <c r="AN175" i="31"/>
  <c r="Z211" i="31"/>
  <c r="AD207" i="31"/>
  <c r="AH199" i="31"/>
  <c r="AK195" i="31"/>
  <c r="AO191" i="31"/>
  <c r="AR187" i="31"/>
  <c r="V183" i="31"/>
  <c r="AY183" i="31"/>
  <c r="Y179" i="31"/>
  <c r="BB175" i="31"/>
  <c r="BD114" i="31"/>
  <c r="AR203" i="31"/>
  <c r="BC195" i="31"/>
  <c r="BC187" i="31"/>
  <c r="BF179" i="31"/>
  <c r="AW175" i="31"/>
  <c r="AY171" i="31"/>
  <c r="V171" i="31"/>
  <c r="I171" i="31"/>
  <c r="AY167" i="31"/>
  <c r="AL167" i="31"/>
  <c r="Y167" i="31"/>
  <c r="L167" i="31"/>
  <c r="BB163" i="31"/>
  <c r="AO163" i="31"/>
  <c r="AB163" i="31"/>
  <c r="S159" i="31"/>
  <c r="BE159" i="31"/>
  <c r="AR159" i="31"/>
  <c r="AI155" i="31"/>
  <c r="V155" i="31"/>
  <c r="I155" i="31"/>
  <c r="AY151" i="31"/>
  <c r="AL151" i="31"/>
  <c r="Y151" i="31"/>
  <c r="L151" i="31"/>
  <c r="AZ147" i="31"/>
  <c r="AQ147" i="31"/>
  <c r="AD147" i="31"/>
  <c r="Q143" i="31"/>
  <c r="BG143" i="31"/>
  <c r="AT143" i="31"/>
  <c r="AG139" i="31"/>
  <c r="T139" i="31"/>
  <c r="K139" i="31"/>
  <c r="AW135" i="31"/>
  <c r="AJ135" i="31"/>
  <c r="U211" i="31"/>
  <c r="Y203" i="31"/>
  <c r="AC199" i="31"/>
  <c r="AF195" i="31"/>
  <c r="AJ191" i="31"/>
  <c r="P187" i="31"/>
  <c r="AS183" i="31"/>
  <c r="W183" i="31"/>
  <c r="AV179" i="31"/>
  <c r="Z175" i="31"/>
  <c r="AA175" i="31"/>
  <c r="BG171" i="31"/>
  <c r="AT171" i="31"/>
  <c r="AG171" i="31"/>
  <c r="T171" i="31"/>
  <c r="K167" i="31"/>
  <c r="AW167" i="31"/>
  <c r="AJ167" i="31"/>
  <c r="AA163" i="31"/>
  <c r="N163" i="31"/>
  <c r="AZ163" i="31"/>
  <c r="AQ159" i="31"/>
  <c r="AD159" i="31"/>
  <c r="Q159" i="31"/>
  <c r="BG155" i="31"/>
  <c r="AT155" i="31"/>
  <c r="AG155" i="31"/>
  <c r="T155" i="31"/>
  <c r="K151" i="31"/>
  <c r="AW151" i="31"/>
  <c r="AJ151" i="31"/>
  <c r="Y147" i="31"/>
  <c r="L147" i="31"/>
  <c r="BB147" i="31"/>
  <c r="AO143" i="31"/>
  <c r="AB143" i="31"/>
  <c r="S143" i="31"/>
  <c r="BE139" i="31"/>
  <c r="AR139" i="31"/>
  <c r="AI139" i="31"/>
  <c r="V139" i="31"/>
  <c r="I135" i="31"/>
  <c r="AX211" i="31"/>
  <c r="BF199" i="31"/>
  <c r="N191" i="31"/>
  <c r="AH183" i="31"/>
  <c r="AK179" i="31"/>
  <c r="AY175" i="31"/>
  <c r="O171" i="31"/>
  <c r="AN171" i="31"/>
  <c r="R167" i="31"/>
  <c r="AU163" i="31"/>
  <c r="U163" i="31"/>
  <c r="AX159" i="31"/>
  <c r="X159" i="31"/>
  <c r="BA155" i="31"/>
  <c r="AE151" i="31"/>
  <c r="S130" i="31"/>
  <c r="AA162" i="31"/>
  <c r="AR202" i="31"/>
  <c r="AO126" i="31"/>
  <c r="AT158" i="31"/>
  <c r="M198" i="31"/>
  <c r="AU126" i="31"/>
  <c r="AZ154" i="31"/>
  <c r="T194" i="31"/>
  <c r="X146" i="31"/>
  <c r="BA138" i="31"/>
  <c r="O134" i="31"/>
  <c r="AJ146" i="31"/>
  <c r="AQ142" i="31"/>
  <c r="AT138" i="31"/>
  <c r="AW130" i="31"/>
  <c r="AJ165" i="31"/>
  <c r="AP145" i="31"/>
  <c r="AV129" i="31"/>
  <c r="S114" i="31"/>
  <c r="AY120" i="31"/>
  <c r="AW210" i="31"/>
  <c r="AW206" i="31"/>
  <c r="X122" i="31"/>
  <c r="AR118" i="31"/>
  <c r="P115" i="31"/>
  <c r="AY126" i="31"/>
  <c r="O130" i="31"/>
  <c r="AI134" i="31"/>
  <c r="Y142" i="31"/>
  <c r="Q154" i="31"/>
  <c r="BB162" i="31"/>
  <c r="AZ174" i="31"/>
  <c r="AS182" i="31"/>
  <c r="AJ194" i="31"/>
  <c r="AB202" i="31"/>
  <c r="BG211" i="31"/>
  <c r="AG211" i="31"/>
  <c r="K207" i="31"/>
  <c r="AK203" i="31"/>
  <c r="O203" i="31"/>
  <c r="AO199" i="31"/>
  <c r="S199" i="31"/>
  <c r="AR195" i="31"/>
  <c r="W191" i="31"/>
  <c r="AV191" i="31"/>
  <c r="BD115" i="31"/>
  <c r="BB211" i="31"/>
  <c r="AB207" i="31"/>
  <c r="BB207" i="31"/>
  <c r="AF203" i="31"/>
  <c r="J203" i="31"/>
  <c r="AJ199" i="31"/>
  <c r="N195" i="31"/>
  <c r="AQ195" i="31"/>
  <c r="R191" i="31"/>
  <c r="AT187" i="31"/>
  <c r="W211" i="31"/>
  <c r="Y207" i="31"/>
  <c r="AD203" i="31"/>
  <c r="AH195" i="31"/>
  <c r="AL191" i="31"/>
  <c r="Q187" i="31"/>
  <c r="AT183" i="31"/>
  <c r="T183" i="31"/>
  <c r="AW179" i="31"/>
  <c r="AA179" i="31"/>
  <c r="X175" i="31"/>
  <c r="AS211" i="31"/>
  <c r="AW203" i="31"/>
  <c r="BA199" i="31"/>
  <c r="BD195" i="31"/>
  <c r="I191" i="31"/>
  <c r="AB187" i="31"/>
  <c r="BE183" i="31"/>
  <c r="AI183" i="31"/>
  <c r="I179" i="31"/>
  <c r="AL175" i="31"/>
  <c r="X211" i="31"/>
  <c r="AI203" i="31"/>
  <c r="AQ191" i="31"/>
  <c r="W187" i="31"/>
  <c r="Z179" i="31"/>
  <c r="AZ175" i="31"/>
  <c r="AI171" i="31"/>
  <c r="BE171" i="31"/>
  <c r="AR171" i="31"/>
  <c r="AI167" i="31"/>
  <c r="V167" i="31"/>
  <c r="I167" i="31"/>
  <c r="AY163" i="31"/>
  <c r="AL163" i="31"/>
  <c r="Y163" i="31"/>
  <c r="L163" i="31"/>
  <c r="BB159" i="31"/>
  <c r="AO159" i="31"/>
  <c r="AB159" i="31"/>
  <c r="S155" i="31"/>
  <c r="BE155" i="31"/>
  <c r="AR155" i="31"/>
  <c r="AI151" i="31"/>
  <c r="V151" i="31"/>
  <c r="I151" i="31"/>
  <c r="AW147" i="31"/>
  <c r="AJ147" i="31"/>
  <c r="AA147" i="31"/>
  <c r="N147" i="31"/>
  <c r="AZ143" i="31"/>
  <c r="AQ143" i="31"/>
  <c r="AD143" i="31"/>
  <c r="Q139" i="31"/>
  <c r="BG139" i="31"/>
  <c r="AT139" i="31"/>
  <c r="AG135" i="31"/>
  <c r="BD211" i="31"/>
  <c r="H207" i="31"/>
  <c r="L203" i="31"/>
  <c r="P199" i="31"/>
  <c r="W195" i="31"/>
  <c r="Z187" i="31"/>
  <c r="AM187" i="31"/>
  <c r="M183" i="31"/>
  <c r="AP179" i="31"/>
  <c r="P179" i="31"/>
  <c r="AG175" i="31"/>
  <c r="W175" i="31"/>
  <c r="AQ171" i="31"/>
  <c r="AD171" i="31"/>
  <c r="Q171" i="31"/>
  <c r="BG167" i="31"/>
  <c r="AT167" i="31"/>
  <c r="AG167" i="31"/>
  <c r="T167" i="31"/>
  <c r="K163" i="31"/>
  <c r="AW163" i="31"/>
  <c r="AJ163" i="31"/>
  <c r="AA159" i="31"/>
  <c r="N159" i="31"/>
  <c r="AZ159" i="31"/>
  <c r="AQ155" i="31"/>
  <c r="AD155" i="31"/>
  <c r="Q155" i="31"/>
  <c r="BG151" i="31"/>
  <c r="AT151" i="31"/>
  <c r="AG151" i="31"/>
  <c r="T151" i="31"/>
  <c r="I147" i="31"/>
  <c r="AY147" i="31"/>
  <c r="AL147" i="31"/>
  <c r="Y143" i="31"/>
  <c r="L143" i="31"/>
  <c r="BB143" i="31"/>
  <c r="AO139" i="31"/>
  <c r="AB139" i="31"/>
  <c r="S139" i="31"/>
  <c r="BE135" i="31"/>
  <c r="AR135" i="31"/>
  <c r="X207" i="31"/>
  <c r="AF199" i="31"/>
  <c r="AP187" i="31"/>
  <c r="U183" i="31"/>
  <c r="X179" i="31"/>
  <c r="K175" i="31"/>
  <c r="AH171" i="31"/>
  <c r="H171" i="31"/>
  <c r="AK167" i="31"/>
  <c r="O163" i="31"/>
  <c r="AN163" i="31"/>
  <c r="R159" i="31"/>
  <c r="AU155" i="31"/>
  <c r="AB142" i="31"/>
  <c r="P117" i="31"/>
  <c r="P178" i="31"/>
  <c r="BE130" i="31"/>
  <c r="J150" i="31"/>
  <c r="AX138" i="31"/>
  <c r="AD146" i="31"/>
  <c r="AJ134" i="31"/>
  <c r="AU153" i="31"/>
  <c r="BE125" i="31"/>
  <c r="BD210" i="31"/>
  <c r="AL206" i="31"/>
  <c r="AB117" i="31"/>
  <c r="I126" i="31"/>
  <c r="S138" i="31"/>
  <c r="AZ158" i="31"/>
  <c r="AM178" i="31"/>
  <c r="W198" i="31"/>
  <c r="K211" i="31"/>
  <c r="M207" i="31"/>
  <c r="R203" i="31"/>
  <c r="V195" i="31"/>
  <c r="Z191" i="31"/>
  <c r="AB211" i="31"/>
  <c r="AI207" i="31"/>
  <c r="AM203" i="31"/>
  <c r="AQ199" i="31"/>
  <c r="AU191" i="31"/>
  <c r="AW187" i="31"/>
  <c r="AG203" i="31"/>
  <c r="AN195" i="31"/>
  <c r="T187" i="31"/>
  <c r="AA183" i="31"/>
  <c r="AD175" i="31"/>
  <c r="BC207" i="31"/>
  <c r="H199" i="31"/>
  <c r="R187" i="31"/>
  <c r="I183" i="31"/>
  <c r="L179" i="31"/>
  <c r="AN207" i="31"/>
  <c r="BF187" i="31"/>
  <c r="AF179" i="31"/>
  <c r="BB171" i="31"/>
  <c r="AB171" i="31"/>
  <c r="BE167" i="31"/>
  <c r="AI163" i="31"/>
  <c r="I163" i="31"/>
  <c r="AL159" i="31"/>
  <c r="L159" i="31"/>
  <c r="AO155" i="31"/>
  <c r="S151" i="31"/>
  <c r="AR151" i="31"/>
  <c r="T147" i="31"/>
  <c r="AW143" i="31"/>
  <c r="AA143" i="31"/>
  <c r="AZ139" i="31"/>
  <c r="AD139" i="31"/>
  <c r="AU211" i="31"/>
  <c r="BB203" i="31"/>
  <c r="K191" i="31"/>
  <c r="BF183" i="31"/>
  <c r="J179" i="31"/>
  <c r="AJ175" i="31"/>
  <c r="AA171" i="31"/>
  <c r="AZ171" i="31"/>
  <c r="AD167" i="31"/>
  <c r="BG163" i="31"/>
  <c r="AG163" i="31"/>
  <c r="K159" i="31"/>
  <c r="AJ159" i="31"/>
  <c r="N155" i="31"/>
  <c r="AQ151" i="31"/>
  <c r="Q151" i="31"/>
  <c r="AR147" i="31"/>
  <c r="V147" i="31"/>
  <c r="AY143" i="31"/>
  <c r="Y139" i="31"/>
  <c r="BB139" i="31"/>
  <c r="AB135" i="31"/>
  <c r="J195" i="31"/>
  <c r="H183" i="31"/>
  <c r="I175" i="31"/>
  <c r="AE167" i="31"/>
  <c r="AH163" i="31"/>
  <c r="AK159" i="31"/>
  <c r="U155" i="31"/>
  <c r="R151" i="31"/>
  <c r="AS147" i="31"/>
  <c r="W147" i="31"/>
  <c r="AV143" i="31"/>
  <c r="Z143" i="31"/>
  <c r="BC139" i="31"/>
  <c r="AC135" i="31"/>
  <c r="AQ135" i="31"/>
  <c r="AD135" i="31"/>
  <c r="Q131" i="31"/>
  <c r="BG131" i="31"/>
  <c r="AT131" i="31"/>
  <c r="AG127" i="31"/>
  <c r="T127" i="31"/>
  <c r="K127" i="31"/>
  <c r="AW123" i="31"/>
  <c r="BG123" i="31"/>
  <c r="U114" i="31"/>
  <c r="AG115" i="31"/>
  <c r="AS116" i="31"/>
  <c r="BE117" i="31"/>
  <c r="Q119" i="31"/>
  <c r="AC120" i="31"/>
  <c r="AO121" i="31"/>
  <c r="BD122" i="31"/>
  <c r="AF208" i="31"/>
  <c r="W208" i="31"/>
  <c r="I208" i="31"/>
  <c r="AW204" i="31"/>
  <c r="AO203" i="31"/>
  <c r="AV195" i="31"/>
  <c r="X187" i="31"/>
  <c r="AE183" i="31"/>
  <c r="AH175" i="31"/>
  <c r="H175" i="31"/>
  <c r="AK171" i="31"/>
  <c r="O167" i="31"/>
  <c r="AN167" i="31"/>
  <c r="R163" i="31"/>
  <c r="AU159" i="31"/>
  <c r="U159" i="31"/>
  <c r="AX155" i="31"/>
  <c r="X155" i="31"/>
  <c r="BA151" i="31"/>
  <c r="AC147" i="31"/>
  <c r="BF147" i="31"/>
  <c r="AF143" i="31"/>
  <c r="J143" i="31"/>
  <c r="AM139" i="31"/>
  <c r="M135" i="31"/>
  <c r="AI135" i="31"/>
  <c r="V135" i="31"/>
  <c r="I131" i="31"/>
  <c r="AY131" i="31"/>
  <c r="AL131" i="31"/>
  <c r="Y127" i="31"/>
  <c r="L127" i="31"/>
  <c r="BB127" i="31"/>
  <c r="AO123" i="31"/>
  <c r="AY123" i="31"/>
  <c r="AC114" i="31"/>
  <c r="AO115" i="31"/>
  <c r="BA116" i="31"/>
  <c r="M118" i="31"/>
  <c r="Y119" i="31"/>
  <c r="AK120" i="31"/>
  <c r="AW121" i="31"/>
  <c r="R123" i="31"/>
  <c r="X208" i="31"/>
  <c r="O208" i="31"/>
  <c r="AH208" i="31"/>
  <c r="AU207" i="31"/>
  <c r="J187" i="31"/>
  <c r="H179" i="31"/>
  <c r="Z171" i="31"/>
  <c r="AC167" i="31"/>
  <c r="AF163" i="31"/>
  <c r="AM155" i="31"/>
  <c r="AP151" i="31"/>
  <c r="AU147" i="31"/>
  <c r="AX143" i="31"/>
  <c r="BA135" i="31"/>
  <c r="AP135" i="31"/>
  <c r="P131" i="31"/>
  <c r="AS127" i="31"/>
  <c r="W127" i="31"/>
  <c r="P123" i="31"/>
  <c r="U115" i="31"/>
  <c r="AS117" i="31"/>
  <c r="Q120" i="31"/>
  <c r="AO122" i="31"/>
  <c r="AI208" i="31"/>
  <c r="V208" i="31"/>
  <c r="AR204" i="31"/>
  <c r="AI204" i="31"/>
  <c r="V204" i="31"/>
  <c r="AM200" i="31"/>
  <c r="Y200" i="31"/>
  <c r="AW200" i="31"/>
  <c r="Z196" i="31"/>
  <c r="M196" i="31"/>
  <c r="BC196" i="31"/>
  <c r="AQ192" i="31"/>
  <c r="AD192" i="31"/>
  <c r="Q192" i="31"/>
  <c r="BG188" i="31"/>
  <c r="AL188" i="31"/>
  <c r="AN188" i="31"/>
  <c r="AB188" i="31"/>
  <c r="J184" i="31"/>
  <c r="AV184" i="31"/>
  <c r="AM184" i="31"/>
  <c r="Z180" i="31"/>
  <c r="M180" i="31"/>
  <c r="BC180" i="31"/>
  <c r="AP176" i="31"/>
  <c r="AC176" i="31"/>
  <c r="P176" i="31"/>
  <c r="BG172" i="31"/>
  <c r="AT172" i="31"/>
  <c r="AG172" i="31"/>
  <c r="T172" i="31"/>
  <c r="K168" i="31"/>
  <c r="AW168" i="31"/>
  <c r="AJ168" i="31"/>
  <c r="AA164" i="31"/>
  <c r="N164" i="31"/>
  <c r="AZ164" i="31"/>
  <c r="AQ160" i="31"/>
  <c r="AD160" i="31"/>
  <c r="Q160" i="31"/>
  <c r="BG156" i="31"/>
  <c r="AT156" i="31"/>
  <c r="AG156" i="31"/>
  <c r="T156" i="31"/>
  <c r="K152" i="31"/>
  <c r="AW152" i="31"/>
  <c r="AJ152" i="31"/>
  <c r="AS148" i="31"/>
  <c r="AB148" i="31"/>
  <c r="K148" i="31"/>
  <c r="AO144" i="31"/>
  <c r="AB144" i="31"/>
  <c r="S144" i="31"/>
  <c r="BE140" i="31"/>
  <c r="AR140" i="31"/>
  <c r="AI140" i="31"/>
  <c r="V140" i="31"/>
  <c r="I136" i="31"/>
  <c r="AY136" i="31"/>
  <c r="AL136" i="31"/>
  <c r="Y132" i="31"/>
  <c r="L132" i="31"/>
  <c r="BB132" i="31"/>
  <c r="AO128" i="31"/>
  <c r="AB128" i="31"/>
  <c r="R211" i="31"/>
  <c r="AG191" i="31"/>
  <c r="U179" i="31"/>
  <c r="BF171" i="31"/>
  <c r="J167" i="31"/>
  <c r="M163" i="31"/>
  <c r="P159" i="31"/>
  <c r="W151" i="31"/>
  <c r="X147" i="31"/>
  <c r="AE143" i="31"/>
  <c r="AH139" i="31"/>
  <c r="BF135" i="31"/>
  <c r="AF131" i="31"/>
  <c r="J131" i="31"/>
  <c r="AM127" i="31"/>
  <c r="AF123" i="31"/>
  <c r="BE114" i="31"/>
  <c r="AC117" i="31"/>
  <c r="BA119" i="31"/>
  <c r="Y122" i="31"/>
  <c r="AY208" i="31"/>
  <c r="Z208" i="31"/>
  <c r="AZ204" i="31"/>
  <c r="AQ204" i="31"/>
  <c r="AD204" i="31"/>
  <c r="AU200" i="31"/>
  <c r="AK200" i="31"/>
  <c r="H200" i="31"/>
  <c r="AH196" i="31"/>
  <c r="U196" i="31"/>
  <c r="H196" i="31"/>
  <c r="AY192" i="31"/>
  <c r="AL192" i="31"/>
  <c r="Y192" i="31"/>
  <c r="L192" i="31"/>
  <c r="AT188" i="31"/>
  <c r="AV188" i="31"/>
  <c r="L188" i="31"/>
  <c r="R184" i="31"/>
  <c r="BD184" i="31"/>
  <c r="AU184" i="31"/>
  <c r="AH180" i="31"/>
  <c r="U180" i="31"/>
  <c r="H180" i="31"/>
  <c r="AX176" i="31"/>
  <c r="AK176" i="31"/>
  <c r="X176" i="31"/>
  <c r="O176" i="31"/>
  <c r="BB172" i="31"/>
  <c r="AO172" i="31"/>
  <c r="AB172" i="31"/>
  <c r="S168" i="31"/>
  <c r="BE168" i="31"/>
  <c r="AR168" i="31"/>
  <c r="AI164" i="31"/>
  <c r="V164" i="31"/>
  <c r="I164" i="31"/>
  <c r="AY160" i="31"/>
  <c r="AL160" i="31"/>
  <c r="Y160" i="31"/>
  <c r="L160" i="31"/>
  <c r="BB156" i="31"/>
  <c r="AO156" i="31"/>
  <c r="AB156" i="31"/>
  <c r="S152" i="31"/>
  <c r="BE152" i="31"/>
  <c r="AR152" i="31"/>
  <c r="BE148" i="31"/>
  <c r="AJ148" i="31"/>
  <c r="S148" i="31"/>
  <c r="AW144" i="31"/>
  <c r="AJ144" i="31"/>
  <c r="AA144" i="31"/>
  <c r="N144" i="31"/>
  <c r="AZ140" i="31"/>
  <c r="AQ140" i="31"/>
  <c r="AD140" i="31"/>
  <c r="Q136" i="31"/>
  <c r="BG136" i="31"/>
  <c r="AT136" i="31"/>
  <c r="AG132" i="31"/>
  <c r="T132" i="31"/>
  <c r="K132" i="31"/>
  <c r="AW128" i="31"/>
  <c r="AJ128" i="31"/>
  <c r="AA128" i="31"/>
  <c r="AX183" i="31"/>
  <c r="AV171" i="31"/>
  <c r="BF159" i="31"/>
  <c r="M151" i="31"/>
  <c r="U139" i="31"/>
  <c r="BA131" i="31"/>
  <c r="BD127" i="31"/>
  <c r="AE123" i="31"/>
  <c r="AG118" i="31"/>
  <c r="Z124" i="31"/>
  <c r="AK204" i="31"/>
  <c r="O204" i="31"/>
  <c r="AL200" i="31"/>
  <c r="AO142" i="31"/>
  <c r="AR116" i="31"/>
  <c r="AC178" i="31"/>
  <c r="S134" i="31"/>
  <c r="AS150" i="31"/>
  <c r="AH138" i="31"/>
  <c r="N146" i="31"/>
  <c r="T134" i="31"/>
  <c r="AH153" i="31"/>
  <c r="AG125" i="31"/>
  <c r="AJ210" i="31"/>
  <c r="AT206" i="31"/>
  <c r="H117" i="31"/>
  <c r="AG126" i="31"/>
  <c r="AB138" i="31"/>
  <c r="N158" i="31"/>
  <c r="AV178" i="31"/>
  <c r="AF198" i="31"/>
  <c r="AT211" i="31"/>
  <c r="V207" i="31"/>
  <c r="BB199" i="31"/>
  <c r="BE195" i="31"/>
  <c r="J191" i="31"/>
  <c r="L211" i="31"/>
  <c r="S207" i="31"/>
  <c r="W203" i="31"/>
  <c r="AA199" i="31"/>
  <c r="AE191" i="31"/>
  <c r="BF122" i="31"/>
  <c r="AZ203" i="31"/>
  <c r="H195" i="31"/>
  <c r="BG187" i="31"/>
  <c r="K183" i="31"/>
  <c r="BA175" i="31"/>
  <c r="W207" i="31"/>
  <c r="AE199" i="31"/>
  <c r="AO187" i="31"/>
  <c r="AR183" i="31"/>
  <c r="AY179" i="31"/>
  <c r="AE207" i="31"/>
  <c r="AS187" i="31"/>
  <c r="BC179" i="31"/>
  <c r="AL171" i="31"/>
  <c r="L171" i="31"/>
  <c r="AO167" i="31"/>
  <c r="S163" i="31"/>
  <c r="AR163" i="31"/>
  <c r="V159" i="31"/>
  <c r="AY155" i="31"/>
  <c r="Y155" i="31"/>
  <c r="BB151" i="31"/>
  <c r="AB151" i="31"/>
  <c r="BG147" i="31"/>
  <c r="AG143" i="31"/>
  <c r="K143" i="31"/>
  <c r="AJ139" i="31"/>
  <c r="N139" i="31"/>
  <c r="AH211" i="31"/>
  <c r="AP199" i="31"/>
  <c r="AW191" i="31"/>
  <c r="Z183" i="31"/>
  <c r="AC179" i="31"/>
  <c r="AQ175" i="31"/>
  <c r="K171" i="31"/>
  <c r="AJ171" i="31"/>
  <c r="N167" i="31"/>
  <c r="AQ163" i="31"/>
  <c r="Q163" i="31"/>
  <c r="AT159" i="31"/>
  <c r="T159" i="31"/>
  <c r="AW155" i="31"/>
  <c r="AA151" i="31"/>
  <c r="AZ151" i="31"/>
  <c r="AB147" i="31"/>
  <c r="BE143" i="31"/>
  <c r="AI143" i="31"/>
  <c r="I139" i="31"/>
  <c r="AL139" i="31"/>
  <c r="Z125" i="31"/>
  <c r="AM195" i="31"/>
  <c r="AX179" i="31"/>
  <c r="AU171" i="31"/>
  <c r="AX167" i="31"/>
  <c r="BA163" i="31"/>
  <c r="BD159" i="31"/>
  <c r="AN155" i="31"/>
  <c r="AK151" i="31"/>
  <c r="M147" i="31"/>
  <c r="AP147" i="31"/>
  <c r="P143" i="31"/>
  <c r="AS139" i="31"/>
  <c r="W139" i="31"/>
  <c r="AV135" i="31"/>
  <c r="AA135" i="31"/>
  <c r="N135" i="31"/>
  <c r="AZ131" i="31"/>
  <c r="AQ131" i="31"/>
  <c r="AD131" i="31"/>
  <c r="Q127" i="31"/>
  <c r="BG127" i="31"/>
  <c r="AT127" i="31"/>
  <c r="AZ123" i="31"/>
  <c r="AQ123" i="31"/>
  <c r="AK114" i="31"/>
  <c r="AW115" i="31"/>
  <c r="I117" i="31"/>
  <c r="U118" i="31"/>
  <c r="AG119" i="31"/>
  <c r="AS120" i="31"/>
  <c r="BE121" i="31"/>
  <c r="AH123" i="31"/>
  <c r="P208" i="31"/>
  <c r="BE208" i="31"/>
  <c r="AT208" i="31"/>
  <c r="H211" i="31"/>
  <c r="S203" i="31"/>
  <c r="AA191" i="31"/>
  <c r="O187" i="31"/>
  <c r="R179" i="31"/>
  <c r="AR175" i="31"/>
  <c r="AE171" i="31"/>
  <c r="BD171" i="31"/>
  <c r="AH167" i="31"/>
  <c r="H167" i="31"/>
  <c r="AK163" i="31"/>
  <c r="O159" i="31"/>
  <c r="AN159" i="31"/>
  <c r="R155" i="31"/>
  <c r="AU151" i="31"/>
  <c r="U151" i="31"/>
  <c r="AV147" i="31"/>
  <c r="Z147" i="31"/>
  <c r="BC143" i="31"/>
  <c r="AC139" i="31"/>
  <c r="BF139" i="31"/>
  <c r="AF135" i="31"/>
  <c r="S135" i="31"/>
  <c r="BE131" i="31"/>
  <c r="AR131" i="31"/>
  <c r="AI131" i="31"/>
  <c r="V131" i="31"/>
  <c r="I127" i="31"/>
  <c r="AY127" i="31"/>
  <c r="AL127" i="31"/>
  <c r="AR123" i="31"/>
  <c r="AI123" i="31"/>
  <c r="AS114" i="31"/>
  <c r="BE115" i="31"/>
  <c r="Q117" i="31"/>
  <c r="AC118" i="31"/>
  <c r="AO119" i="31"/>
  <c r="BA120" i="31"/>
  <c r="M122" i="31"/>
  <c r="J124" i="31"/>
  <c r="H208" i="31"/>
  <c r="AW208" i="31"/>
  <c r="N208" i="31"/>
  <c r="AY203" i="31"/>
  <c r="AE187" i="31"/>
  <c r="Y175" i="31"/>
  <c r="M171" i="31"/>
  <c r="P167" i="31"/>
  <c r="W159" i="31"/>
  <c r="Z155" i="31"/>
  <c r="AC151" i="31"/>
  <c r="AH147" i="31"/>
  <c r="AK139" i="31"/>
  <c r="AN135" i="31"/>
  <c r="J135" i="31"/>
  <c r="AM131" i="31"/>
  <c r="M127" i="31"/>
  <c r="AP127" i="31"/>
  <c r="AM123" i="31"/>
  <c r="BA115" i="31"/>
  <c r="Y118" i="31"/>
  <c r="AW120" i="31"/>
  <c r="AT123" i="31"/>
  <c r="BA208" i="31"/>
  <c r="AO204" i="31"/>
  <c r="AB204" i="31"/>
  <c r="S204" i="31"/>
  <c r="BD200" i="31"/>
  <c r="AT200" i="31"/>
  <c r="I200" i="31"/>
  <c r="W200" i="31"/>
  <c r="J196" i="31"/>
  <c r="AV196" i="31"/>
  <c r="AM196" i="31"/>
  <c r="AA192" i="31"/>
  <c r="N192" i="31"/>
  <c r="AZ192" i="31"/>
  <c r="AQ188" i="31"/>
  <c r="V188" i="31"/>
  <c r="N188" i="31"/>
  <c r="BF184" i="31"/>
  <c r="AS184" i="31"/>
  <c r="AF184" i="31"/>
  <c r="W184" i="31"/>
  <c r="J180" i="31"/>
  <c r="AV180" i="31"/>
  <c r="AM180" i="31"/>
  <c r="Z176" i="31"/>
  <c r="M176" i="31"/>
  <c r="BC176" i="31"/>
  <c r="AQ172" i="31"/>
  <c r="AD172" i="31"/>
  <c r="Q172" i="31"/>
  <c r="BG168" i="31"/>
  <c r="AT168" i="31"/>
  <c r="AG168" i="31"/>
  <c r="T168" i="31"/>
  <c r="K164" i="31"/>
  <c r="AW164" i="31"/>
  <c r="AJ164" i="31"/>
  <c r="AA160" i="31"/>
  <c r="N160" i="31"/>
  <c r="AZ160" i="31"/>
  <c r="AQ156" i="31"/>
  <c r="AD156" i="31"/>
  <c r="Q156" i="31"/>
  <c r="BG152" i="31"/>
  <c r="AT152" i="31"/>
  <c r="AG152" i="31"/>
  <c r="T152" i="31"/>
  <c r="AC148" i="31"/>
  <c r="L148" i="31"/>
  <c r="AL148" i="31"/>
  <c r="Y144" i="31"/>
  <c r="L144" i="31"/>
  <c r="BB144" i="31"/>
  <c r="AO140" i="31"/>
  <c r="AB140" i="31"/>
  <c r="S140" i="31"/>
  <c r="BE136" i="31"/>
  <c r="AR136" i="31"/>
  <c r="AI136" i="31"/>
  <c r="V136" i="31"/>
  <c r="I132" i="31"/>
  <c r="AY132" i="31"/>
  <c r="AL132" i="31"/>
  <c r="Y128" i="31"/>
  <c r="L128" i="31"/>
  <c r="BF207" i="31"/>
  <c r="AN187" i="31"/>
  <c r="AX175" i="31"/>
  <c r="AS171" i="31"/>
  <c r="AV167" i="31"/>
  <c r="BC159" i="31"/>
  <c r="BF155" i="31"/>
  <c r="J151" i="31"/>
  <c r="O147" i="31"/>
  <c r="R143" i="31"/>
  <c r="U135" i="31"/>
  <c r="Z135" i="31"/>
  <c r="BC131" i="31"/>
  <c r="AC127" i="31"/>
  <c r="BF127" i="31"/>
  <c r="BC123" i="31"/>
  <c r="AK115" i="31"/>
  <c r="I118" i="31"/>
  <c r="AG120" i="31"/>
  <c r="J123" i="31"/>
  <c r="S208" i="31"/>
  <c r="BA204" i="31"/>
  <c r="AJ204" i="31"/>
  <c r="AA204" i="31"/>
  <c r="N204" i="31"/>
  <c r="AE200" i="31"/>
  <c r="Q200" i="31"/>
  <c r="AG200" i="31"/>
  <c r="R196" i="31"/>
  <c r="BD196" i="31"/>
  <c r="AU196" i="31"/>
  <c r="AI192" i="31"/>
  <c r="V192" i="31"/>
  <c r="I192" i="31"/>
  <c r="AY188" i="31"/>
  <c r="AD188" i="31"/>
  <c r="Y188" i="31"/>
  <c r="O188" i="31"/>
  <c r="BA184" i="31"/>
  <c r="AN184" i="31"/>
  <c r="AE184" i="31"/>
  <c r="R180" i="31"/>
  <c r="BD180" i="31"/>
  <c r="AU180" i="31"/>
  <c r="AH176" i="31"/>
  <c r="U176" i="31"/>
  <c r="H176" i="31"/>
  <c r="AY172" i="31"/>
  <c r="AL172" i="31"/>
  <c r="Y172" i="31"/>
  <c r="L172" i="31"/>
  <c r="BB168" i="31"/>
  <c r="AO168" i="31"/>
  <c r="AB168" i="31"/>
  <c r="S164" i="31"/>
  <c r="BE164" i="31"/>
  <c r="AR164" i="31"/>
  <c r="AI160" i="31"/>
  <c r="V160" i="31"/>
  <c r="I160" i="31"/>
  <c r="AY156" i="31"/>
  <c r="AL156" i="31"/>
  <c r="Y156" i="31"/>
  <c r="L156" i="31"/>
  <c r="BB152" i="31"/>
  <c r="AO152" i="31"/>
  <c r="AB152" i="31"/>
  <c r="AK148" i="31"/>
  <c r="T148" i="31"/>
  <c r="AT148" i="31"/>
  <c r="AG144" i="31"/>
  <c r="T144" i="31"/>
  <c r="K144" i="31"/>
  <c r="AW140" i="31"/>
  <c r="AJ140" i="31"/>
  <c r="AA140" i="31"/>
  <c r="N140" i="31"/>
  <c r="AZ136" i="31"/>
  <c r="AQ136" i="31"/>
  <c r="AD136" i="31"/>
  <c r="Q132" i="31"/>
  <c r="BG132" i="31"/>
  <c r="AT132" i="31"/>
  <c r="AG128" i="31"/>
  <c r="T128" i="31"/>
  <c r="AE211" i="31"/>
  <c r="BA179" i="31"/>
  <c r="Z167" i="31"/>
  <c r="AF159" i="31"/>
  <c r="AN147" i="31"/>
  <c r="AX139" i="31"/>
  <c r="AN131" i="31"/>
  <c r="AU127" i="31"/>
  <c r="AW114" i="31"/>
  <c r="AS119" i="31"/>
  <c r="BG208" i="31"/>
  <c r="BD204" i="31"/>
  <c r="AH204" i="31"/>
  <c r="AS200" i="31"/>
  <c r="AV182" i="31"/>
  <c r="X119" i="31"/>
  <c r="AK142" i="31"/>
  <c r="AG138" i="31"/>
  <c r="J137" i="31"/>
  <c r="AZ206" i="31"/>
  <c r="AY122" i="31"/>
  <c r="I146" i="31"/>
  <c r="AC186" i="31"/>
  <c r="AJ207" i="31"/>
  <c r="AR199" i="31"/>
  <c r="BB187" i="31"/>
  <c r="J207" i="31"/>
  <c r="Q195" i="31"/>
  <c r="AC211" i="31"/>
  <c r="AR191" i="31"/>
  <c r="AZ179" i="31"/>
  <c r="BG203" i="31"/>
  <c r="AI187" i="31"/>
  <c r="AC175" i="31"/>
  <c r="AC183" i="31"/>
  <c r="AO171" i="31"/>
  <c r="AR167" i="31"/>
  <c r="AY159" i="31"/>
  <c r="BB155" i="31"/>
  <c r="BE151" i="31"/>
  <c r="K147" i="31"/>
  <c r="N143" i="31"/>
  <c r="Q135" i="31"/>
  <c r="BF195" i="31"/>
  <c r="AF183" i="31"/>
  <c r="U175" i="31"/>
  <c r="AQ167" i="31"/>
  <c r="AT163" i="31"/>
  <c r="AW159" i="31"/>
  <c r="AZ155" i="31"/>
  <c r="BE147" i="31"/>
  <c r="I143" i="31"/>
  <c r="L139" i="31"/>
  <c r="AL207" i="31"/>
  <c r="O179" i="31"/>
  <c r="BD167" i="31"/>
  <c r="O155" i="31"/>
  <c r="BD151" i="31"/>
  <c r="J147" i="31"/>
  <c r="M139" i="31"/>
  <c r="T135" i="31"/>
  <c r="AW131" i="31"/>
  <c r="AA131" i="31"/>
  <c r="AZ127" i="31"/>
  <c r="AD127" i="31"/>
  <c r="AA123" i="31"/>
  <c r="M116" i="31"/>
  <c r="AK118" i="31"/>
  <c r="I121" i="31"/>
  <c r="AP124" i="31"/>
  <c r="AO208" i="31"/>
  <c r="AK211" i="31"/>
  <c r="AZ191" i="31"/>
  <c r="BD179" i="31"/>
  <c r="AX171" i="31"/>
  <c r="BA167" i="31"/>
  <c r="BD163" i="31"/>
  <c r="H159" i="31"/>
  <c r="O151" i="31"/>
  <c r="P147" i="31"/>
  <c r="W143" i="31"/>
  <c r="Z139" i="31"/>
  <c r="BB135" i="31"/>
  <c r="AB131" i="31"/>
  <c r="BE127" i="31"/>
  <c r="AI127" i="31"/>
  <c r="AB123" i="31"/>
  <c r="I115" i="31"/>
  <c r="AG117" i="31"/>
  <c r="BE119" i="31"/>
  <c r="AC122" i="31"/>
  <c r="AU208" i="31"/>
  <c r="J208" i="31"/>
  <c r="BD183" i="31"/>
  <c r="BC167" i="31"/>
  <c r="J159" i="31"/>
  <c r="P151" i="31"/>
  <c r="X139" i="31"/>
  <c r="AC131" i="31"/>
  <c r="AF127" i="31"/>
  <c r="I114" i="31"/>
  <c r="BE118" i="31"/>
  <c r="AR208" i="31"/>
  <c r="Y204" i="31"/>
  <c r="BB204" i="31"/>
  <c r="V200" i="31"/>
  <c r="BF196" i="31"/>
  <c r="AF196" i="31"/>
  <c r="K192" i="31"/>
  <c r="AJ192" i="31"/>
  <c r="AS188" i="31"/>
  <c r="AP184" i="31"/>
  <c r="P184" i="31"/>
  <c r="AS180" i="31"/>
  <c r="W180" i="31"/>
  <c r="AV176" i="31"/>
  <c r="AA172" i="31"/>
  <c r="AZ172" i="31"/>
  <c r="AD168" i="31"/>
  <c r="BG164" i="31"/>
  <c r="AG164" i="31"/>
  <c r="K160" i="31"/>
  <c r="AJ160" i="31"/>
  <c r="N156" i="31"/>
  <c r="AQ152" i="31"/>
  <c r="Q152" i="31"/>
  <c r="M148" i="31"/>
  <c r="V148" i="31"/>
  <c r="AY144" i="31"/>
  <c r="Y140" i="31"/>
  <c r="BB140" i="31"/>
  <c r="AB136" i="31"/>
  <c r="BE132" i="31"/>
  <c r="AI132" i="31"/>
  <c r="I128" i="31"/>
  <c r="Z199" i="31"/>
  <c r="AM175" i="31"/>
  <c r="AM163" i="31"/>
  <c r="AS155" i="31"/>
  <c r="BA143" i="31"/>
  <c r="P135" i="31"/>
  <c r="W131" i="31"/>
  <c r="Z127" i="31"/>
  <c r="Q116" i="31"/>
  <c r="M121" i="31"/>
  <c r="AK208" i="31"/>
  <c r="T204" i="31"/>
  <c r="AV200" i="31"/>
  <c r="AX200" i="31"/>
  <c r="BA196" i="31"/>
  <c r="AE196" i="31"/>
  <c r="BE192" i="31"/>
  <c r="AI188" i="31"/>
  <c r="AF188" i="31"/>
  <c r="AK184" i="31"/>
  <c r="O184" i="31"/>
  <c r="AN180" i="31"/>
  <c r="R176" i="31"/>
  <c r="AU176" i="31"/>
  <c r="V172" i="31"/>
  <c r="AY168" i="31"/>
  <c r="Y168" i="31"/>
  <c r="BB164" i="31"/>
  <c r="AB164" i="31"/>
  <c r="BE160" i="31"/>
  <c r="AI156" i="31"/>
  <c r="I156" i="31"/>
  <c r="AL152" i="31"/>
  <c r="L152" i="31"/>
  <c r="BA148" i="31"/>
  <c r="Q144" i="31"/>
  <c r="AT144" i="31"/>
  <c r="T140" i="31"/>
  <c r="AW136" i="31"/>
  <c r="AA136" i="31"/>
  <c r="AZ132" i="31"/>
  <c r="AD132" i="31"/>
  <c r="BG128" i="31"/>
  <c r="AB175" i="31"/>
  <c r="J155" i="31"/>
  <c r="X135" i="31"/>
  <c r="AH127" i="31"/>
  <c r="BE120" i="31"/>
  <c r="X204" i="31"/>
  <c r="BF200" i="31"/>
  <c r="BE196" i="31"/>
  <c r="AI196" i="31"/>
  <c r="J192" i="31"/>
  <c r="AM188" i="31"/>
  <c r="J188" i="31"/>
  <c r="AO184" i="31"/>
  <c r="S184" i="31"/>
  <c r="AR180" i="31"/>
  <c r="V176" i="31"/>
  <c r="AY176" i="31"/>
  <c r="Z172" i="31"/>
  <c r="M199" i="31"/>
  <c r="S175" i="31"/>
  <c r="W163" i="31"/>
  <c r="AC155" i="31"/>
  <c r="AK143" i="31"/>
  <c r="H135" i="31"/>
  <c r="O131" i="31"/>
  <c r="R127" i="31"/>
  <c r="Y116" i="31"/>
  <c r="U121" i="31"/>
  <c r="AC208" i="31"/>
  <c r="P204" i="31"/>
  <c r="AR200" i="31"/>
  <c r="AP200" i="31"/>
  <c r="AW196" i="31"/>
  <c r="AA196" i="31"/>
  <c r="BA192" i="31"/>
  <c r="AE188" i="31"/>
  <c r="X188" i="31"/>
  <c r="AG184" i="31"/>
  <c r="K184" i="31"/>
  <c r="AG207" i="31"/>
  <c r="AE179" i="31"/>
  <c r="M167" i="31"/>
  <c r="W155" i="31"/>
  <c r="AE147" i="31"/>
  <c r="AK135" i="31"/>
  <c r="H131" i="31"/>
  <c r="O127" i="31"/>
  <c r="AC115" i="31"/>
  <c r="Y120" i="31"/>
  <c r="AA208" i="31"/>
  <c r="AN204" i="31"/>
  <c r="R204" i="31"/>
  <c r="U200" i="31"/>
  <c r="V196" i="31"/>
  <c r="AY196" i="31"/>
  <c r="Z192" i="31"/>
  <c r="BC188" i="31"/>
  <c r="AJ188" i="31"/>
  <c r="BE184" i="31"/>
  <c r="AI184" i="31"/>
  <c r="I180" i="31"/>
  <c r="AL176" i="31"/>
  <c r="L176" i="31"/>
  <c r="AP172" i="31"/>
  <c r="P172" i="31"/>
  <c r="AS168" i="31"/>
  <c r="AP155" i="31"/>
  <c r="AX127" i="31"/>
  <c r="AF204" i="31"/>
  <c r="AQ196" i="31"/>
  <c r="AW184" i="31"/>
  <c r="AD176" i="31"/>
  <c r="AH172" i="31"/>
  <c r="AP168" i="31"/>
  <c r="BC164" i="31"/>
  <c r="AC164" i="31"/>
  <c r="BF160" i="31"/>
  <c r="AF160" i="31"/>
  <c r="J156" i="31"/>
  <c r="AM152" i="31"/>
  <c r="M152" i="31"/>
  <c r="I148" i="31"/>
  <c r="R148" i="31"/>
  <c r="AU144" i="31"/>
  <c r="U140" i="31"/>
  <c r="AX140" i="31"/>
  <c r="X136" i="31"/>
  <c r="BA132" i="31"/>
  <c r="AE132" i="31"/>
  <c r="BD128" i="31"/>
  <c r="BB128" i="31"/>
  <c r="AO124" i="31"/>
  <c r="AB124" i="31"/>
  <c r="S124" i="31"/>
  <c r="J115" i="31"/>
  <c r="V116" i="31"/>
  <c r="AH117" i="31"/>
  <c r="AT118" i="31"/>
  <c r="BF119" i="31"/>
  <c r="R121" i="31"/>
  <c r="AD122" i="31"/>
  <c r="BD209" i="31"/>
  <c r="AU209" i="31"/>
  <c r="AG209" i="31"/>
  <c r="V209" i="31"/>
  <c r="AC205" i="31"/>
  <c r="L205" i="31"/>
  <c r="AN205" i="31"/>
  <c r="Y201" i="31"/>
  <c r="H201" i="31"/>
  <c r="Z201" i="31"/>
  <c r="AP197" i="31"/>
  <c r="AC197" i="31"/>
  <c r="P197" i="31"/>
  <c r="BG193" i="31"/>
  <c r="AT193" i="31"/>
  <c r="AG193" i="31"/>
  <c r="T193" i="31"/>
  <c r="K189" i="31"/>
  <c r="AW189" i="31"/>
  <c r="AJ189" i="31"/>
  <c r="Z185" i="31"/>
  <c r="M185" i="31"/>
  <c r="BC185" i="31"/>
  <c r="AP181" i="31"/>
  <c r="AC181" i="31"/>
  <c r="P181" i="31"/>
  <c r="BF177" i="31"/>
  <c r="AS177" i="31"/>
  <c r="AF177" i="31"/>
  <c r="W177" i="31"/>
  <c r="K173" i="31"/>
  <c r="AW173" i="31"/>
  <c r="AJ173" i="31"/>
  <c r="P195" i="31"/>
  <c r="X143" i="31"/>
  <c r="BE116" i="31"/>
  <c r="BG200" i="31"/>
  <c r="AK192" i="31"/>
  <c r="AT180" i="31"/>
  <c r="AZ176" i="31"/>
  <c r="BD172" i="31"/>
  <c r="AK168" i="31"/>
  <c r="O164" i="31"/>
  <c r="AN164" i="31"/>
  <c r="R160" i="31"/>
  <c r="AU156" i="31"/>
  <c r="U156" i="31"/>
  <c r="AX152" i="31"/>
  <c r="X152" i="31"/>
  <c r="P148" i="31"/>
  <c r="AC144" i="31"/>
  <c r="BF144" i="31"/>
  <c r="AF140" i="31"/>
  <c r="J140" i="31"/>
  <c r="AM136" i="31"/>
  <c r="M132" i="31"/>
  <c r="AP132" i="31"/>
  <c r="P128" i="31"/>
  <c r="AH128" i="31"/>
  <c r="U124" i="31"/>
  <c r="H124" i="31"/>
  <c r="R114" i="31"/>
  <c r="AD115" i="31"/>
  <c r="AP116" i="31"/>
  <c r="BB117" i="31"/>
  <c r="N119" i="31"/>
  <c r="Z120" i="31"/>
  <c r="AL121" i="31"/>
  <c r="AZ122" i="31"/>
  <c r="J182" i="31"/>
  <c r="AV118" i="31"/>
  <c r="BD142" i="31"/>
  <c r="Q138" i="31"/>
  <c r="AC133" i="31"/>
  <c r="AB206" i="31"/>
  <c r="R126" i="31"/>
  <c r="T150" i="31"/>
  <c r="AP186" i="31"/>
  <c r="T207" i="31"/>
  <c r="AB199" i="31"/>
  <c r="AL187" i="31"/>
  <c r="AS203" i="31"/>
  <c r="AZ195" i="31"/>
  <c r="AV207" i="31"/>
  <c r="L191" i="31"/>
  <c r="AJ179" i="31"/>
  <c r="AA203" i="31"/>
  <c r="S187" i="31"/>
  <c r="AV175" i="31"/>
  <c r="AV183" i="31"/>
  <c r="Y171" i="31"/>
  <c r="AB167" i="31"/>
  <c r="AI159" i="31"/>
  <c r="AL155" i="31"/>
  <c r="AO151" i="31"/>
  <c r="AT147" i="31"/>
  <c r="AW139" i="31"/>
  <c r="AZ135" i="31"/>
  <c r="AS195" i="31"/>
  <c r="BC183" i="31"/>
  <c r="T175" i="31"/>
  <c r="AA167" i="31"/>
  <c r="AD163" i="31"/>
  <c r="AG159" i="31"/>
  <c r="AJ155" i="31"/>
  <c r="AO147" i="31"/>
  <c r="AR143" i="31"/>
  <c r="AY139" i="31"/>
  <c r="AB203" i="31"/>
  <c r="AO175" i="31"/>
  <c r="X167" i="31"/>
  <c r="AH155" i="31"/>
  <c r="X151" i="31"/>
  <c r="AC143" i="31"/>
  <c r="AF139" i="31"/>
  <c r="BG135" i="31"/>
  <c r="AG131" i="31"/>
  <c r="K131" i="31"/>
  <c r="AJ127" i="31"/>
  <c r="N127" i="31"/>
  <c r="K123" i="31"/>
  <c r="AC116" i="31"/>
  <c r="BA118" i="31"/>
  <c r="Y121" i="31"/>
  <c r="AV208" i="31"/>
  <c r="Y208" i="31"/>
  <c r="O207" i="31"/>
  <c r="AK187" i="31"/>
  <c r="AU179" i="31"/>
  <c r="R171" i="31"/>
  <c r="U167" i="31"/>
  <c r="X163" i="31"/>
  <c r="AE155" i="31"/>
  <c r="AH151" i="31"/>
  <c r="AM147" i="31"/>
  <c r="AP143" i="31"/>
  <c r="AS135" i="31"/>
  <c r="AL135" i="31"/>
  <c r="L131" i="31"/>
  <c r="AO127" i="31"/>
  <c r="S127" i="31"/>
  <c r="L123" i="31"/>
  <c r="Y115" i="31"/>
  <c r="AW117" i="31"/>
  <c r="U120" i="31"/>
  <c r="AS122" i="31"/>
  <c r="AE208" i="31"/>
  <c r="AN211" i="31"/>
  <c r="AH179" i="31"/>
  <c r="AP167" i="31"/>
  <c r="AV159" i="31"/>
  <c r="BD147" i="31"/>
  <c r="O139" i="31"/>
  <c r="AV131" i="31"/>
  <c r="BC127" i="31"/>
  <c r="AO114" i="31"/>
  <c r="AK119" i="31"/>
  <c r="L208" i="31"/>
  <c r="I204" i="31"/>
  <c r="AL204" i="31"/>
  <c r="BA200" i="31"/>
  <c r="AP196" i="31"/>
  <c r="P196" i="31"/>
  <c r="AT192" i="31"/>
  <c r="T192" i="31"/>
  <c r="BD188" i="31"/>
  <c r="Z184" i="31"/>
  <c r="BC184" i="31"/>
  <c r="AC180" i="31"/>
  <c r="BF176" i="31"/>
  <c r="AF176" i="31"/>
  <c r="K172" i="31"/>
  <c r="AJ172" i="31"/>
  <c r="N168" i="31"/>
  <c r="AQ164" i="31"/>
  <c r="Q164" i="31"/>
  <c r="AT160" i="31"/>
  <c r="T160" i="31"/>
  <c r="AW156" i="31"/>
  <c r="AA152" i="31"/>
  <c r="AZ152" i="31"/>
  <c r="AR148" i="31"/>
  <c r="BE144" i="31"/>
  <c r="AI144" i="31"/>
  <c r="I140" i="31"/>
  <c r="AL140" i="31"/>
  <c r="L136" i="31"/>
  <c r="AO132" i="31"/>
  <c r="S132" i="31"/>
  <c r="AR128" i="31"/>
  <c r="AC195" i="31"/>
  <c r="P175" i="31"/>
  <c r="Z163" i="31"/>
  <c r="AF155" i="31"/>
  <c r="AN143" i="31"/>
  <c r="AM135" i="31"/>
  <c r="AP131" i="31"/>
  <c r="AS123" i="31"/>
  <c r="AW116" i="31"/>
  <c r="AS121" i="31"/>
  <c r="AX208" i="31"/>
  <c r="BG204" i="31"/>
  <c r="AF200" i="31"/>
  <c r="X200" i="31"/>
  <c r="AK196" i="31"/>
  <c r="O196" i="31"/>
  <c r="AO192" i="31"/>
  <c r="S188" i="31"/>
  <c r="I188" i="31"/>
  <c r="U184" i="31"/>
  <c r="AX180" i="31"/>
  <c r="X180" i="31"/>
  <c r="BA176" i="31"/>
  <c r="AE176" i="31"/>
  <c r="BE172" i="31"/>
  <c r="AI168" i="31"/>
  <c r="I168" i="31"/>
  <c r="AL164" i="31"/>
  <c r="L164" i="31"/>
  <c r="AO160" i="31"/>
  <c r="S156" i="31"/>
  <c r="AR156" i="31"/>
  <c r="V152" i="31"/>
  <c r="AY148" i="31"/>
  <c r="AI148" i="31"/>
  <c r="AZ144" i="31"/>
  <c r="AD144" i="31"/>
  <c r="BG140" i="31"/>
  <c r="AG136" i="31"/>
  <c r="K136" i="31"/>
  <c r="AJ132" i="31"/>
  <c r="N132" i="31"/>
  <c r="AQ128" i="31"/>
  <c r="W171" i="31"/>
  <c r="AM151" i="31"/>
  <c r="O135" i="31"/>
  <c r="AN123" i="31"/>
  <c r="Q122" i="31"/>
  <c r="AU204" i="31"/>
  <c r="L200" i="31"/>
  <c r="Y196" i="31"/>
  <c r="BC192" i="31"/>
  <c r="AC192" i="31"/>
  <c r="AX188" i="31"/>
  <c r="P188" i="31"/>
  <c r="I184" i="31"/>
  <c r="AL180" i="31"/>
  <c r="L180" i="31"/>
  <c r="AO176" i="31"/>
  <c r="S176" i="31"/>
  <c r="AS172" i="31"/>
  <c r="T191" i="31"/>
  <c r="AP171" i="31"/>
  <c r="AV163" i="31"/>
  <c r="BF151" i="31"/>
  <c r="O143" i="31"/>
  <c r="AX135" i="31"/>
  <c r="BA127" i="31"/>
  <c r="X123" i="31"/>
  <c r="AK117" i="31"/>
  <c r="AG122" i="31"/>
  <c r="BB208" i="31"/>
  <c r="AM204" i="31"/>
  <c r="AQ200" i="31"/>
  <c r="BE200" i="31"/>
  <c r="Q196" i="31"/>
  <c r="AU192" i="31"/>
  <c r="U192" i="31"/>
  <c r="AP188" i="31"/>
  <c r="H188" i="31"/>
  <c r="AZ184" i="31"/>
  <c r="AD180" i="31"/>
  <c r="AP195" i="31"/>
  <c r="Q175" i="31"/>
  <c r="AP163" i="31"/>
  <c r="AV155" i="31"/>
  <c r="BD143" i="31"/>
  <c r="AU135" i="31"/>
  <c r="AX131" i="31"/>
  <c r="BA123" i="31"/>
  <c r="AO116" i="31"/>
  <c r="AK121" i="31"/>
  <c r="M208" i="31"/>
  <c r="H204" i="31"/>
  <c r="AJ200" i="31"/>
  <c r="AB200" i="31"/>
  <c r="AO196" i="31"/>
  <c r="S196" i="31"/>
  <c r="AS192" i="31"/>
  <c r="W188" i="31"/>
  <c r="M188" i="31"/>
  <c r="Y184" i="31"/>
  <c r="BB180" i="31"/>
  <c r="AB180" i="31"/>
  <c r="BE176" i="31"/>
  <c r="AI176" i="31"/>
  <c r="J172" i="31"/>
  <c r="AM168" i="31"/>
  <c r="I203" i="31"/>
  <c r="AX147" i="31"/>
  <c r="AS115" i="31"/>
  <c r="J204" i="31"/>
  <c r="R192" i="31"/>
  <c r="AA184" i="31"/>
  <c r="Q176" i="31"/>
  <c r="U172" i="31"/>
  <c r="BA168" i="31"/>
  <c r="W164" i="31"/>
  <c r="AV164" i="31"/>
  <c r="Z160" i="31"/>
  <c r="BC156" i="31"/>
  <c r="AC156" i="31"/>
  <c r="BF152" i="31"/>
  <c r="AF152" i="31"/>
  <c r="X148" i="31"/>
  <c r="AK144" i="31"/>
  <c r="O144" i="31"/>
  <c r="AN140" i="31"/>
  <c r="R140" i="31"/>
  <c r="AU136" i="31"/>
  <c r="U132" i="31"/>
  <c r="AX132" i="31"/>
  <c r="X128" i="31"/>
  <c r="AL128" i="31"/>
  <c r="Y124" i="31"/>
  <c r="L124" i="31"/>
  <c r="N114" i="31"/>
  <c r="Z115" i="31"/>
  <c r="AL116" i="31"/>
  <c r="AX117" i="31"/>
  <c r="J119" i="31"/>
  <c r="V120" i="31"/>
  <c r="AH121" i="31"/>
  <c r="AT122" i="31"/>
  <c r="AN209" i="31"/>
  <c r="AE209" i="31"/>
  <c r="Q209" i="31"/>
  <c r="BE205" i="31"/>
  <c r="M205" i="31"/>
  <c r="AU205" i="31"/>
  <c r="V205" i="31"/>
  <c r="BD201" i="31"/>
  <c r="AU201" i="31"/>
  <c r="V201" i="31"/>
  <c r="Z197" i="31"/>
  <c r="M197" i="31"/>
  <c r="BC197" i="31"/>
  <c r="AQ193" i="31"/>
  <c r="AD193" i="31"/>
  <c r="Q193" i="31"/>
  <c r="BG189" i="31"/>
  <c r="AT189" i="31"/>
  <c r="AG189" i="31"/>
  <c r="T189" i="31"/>
  <c r="J185" i="31"/>
  <c r="AV185" i="31"/>
  <c r="AM185" i="31"/>
  <c r="Z181" i="31"/>
  <c r="M181" i="31"/>
  <c r="BC181" i="31"/>
  <c r="AP177" i="31"/>
  <c r="AC177" i="31"/>
  <c r="P177" i="31"/>
  <c r="BG173" i="31"/>
  <c r="AT173" i="31"/>
  <c r="AG173" i="31"/>
  <c r="T173" i="31"/>
  <c r="BC171" i="31"/>
  <c r="AE135" i="31"/>
  <c r="BA121" i="31"/>
  <c r="T200" i="31"/>
  <c r="BF188" i="31"/>
  <c r="AJ180" i="31"/>
  <c r="AQ176" i="31"/>
  <c r="H172" i="31"/>
  <c r="BD168" i="31"/>
  <c r="AH164" i="31"/>
  <c r="H164" i="31"/>
  <c r="AK160" i="31"/>
  <c r="O156" i="31"/>
  <c r="AN156" i="31"/>
  <c r="R152" i="31"/>
  <c r="AU148" i="31"/>
  <c r="AE148" i="31"/>
  <c r="AV144" i="31"/>
  <c r="Z144" i="31"/>
  <c r="BC140" i="31"/>
  <c r="AC136" i="31"/>
  <c r="BF136" i="31"/>
  <c r="AF132" i="31"/>
  <c r="J132" i="31"/>
  <c r="AM128" i="31"/>
  <c r="R128" i="31"/>
  <c r="BD124" i="31"/>
  <c r="AU124" i="31"/>
  <c r="AH114" i="31"/>
  <c r="AT115" i="31"/>
  <c r="BF116" i="31"/>
  <c r="R118" i="31"/>
  <c r="AD119" i="31"/>
  <c r="AP120" i="31"/>
  <c r="BB121" i="31"/>
  <c r="AC123" i="31"/>
  <c r="T209" i="31"/>
  <c r="K209" i="31"/>
  <c r="N209" i="31"/>
  <c r="AK205" i="31"/>
  <c r="AQ205" i="31"/>
  <c r="W205" i="31"/>
  <c r="BA201" i="31"/>
  <c r="AY138" i="31"/>
  <c r="Y150" i="31"/>
  <c r="O117" i="31"/>
  <c r="X130" i="31"/>
  <c r="BD117" i="31"/>
  <c r="AY195" i="31"/>
  <c r="N199" i="31"/>
  <c r="AK199" i="31"/>
  <c r="AV211" i="31"/>
  <c r="AL179" i="31"/>
  <c r="O175" i="31"/>
  <c r="V163" i="31"/>
  <c r="AB155" i="31"/>
  <c r="AJ143" i="31"/>
  <c r="AW207" i="31"/>
  <c r="AM179" i="31"/>
  <c r="Q167" i="31"/>
  <c r="AA155" i="31"/>
  <c r="AI147" i="31"/>
  <c r="AO135" i="31"/>
  <c r="BA171" i="31"/>
  <c r="H155" i="31"/>
  <c r="AM143" i="31"/>
  <c r="K135" i="31"/>
  <c r="N131" i="31"/>
  <c r="AJ123" i="31"/>
  <c r="Y117" i="31"/>
  <c r="U122" i="31"/>
  <c r="AP208" i="31"/>
  <c r="BA183" i="31"/>
  <c r="X171" i="31"/>
  <c r="AH159" i="31"/>
  <c r="AN151" i="31"/>
  <c r="AV139" i="31"/>
  <c r="AO131" i="31"/>
  <c r="AR127" i="31"/>
  <c r="S123" i="31"/>
  <c r="AS118" i="31"/>
  <c r="BD208" i="31"/>
  <c r="BC199" i="31"/>
  <c r="BF163" i="31"/>
  <c r="U143" i="31"/>
  <c r="BF131" i="31"/>
  <c r="AG116" i="31"/>
  <c r="U208" i="31"/>
  <c r="AN200" i="31"/>
  <c r="AS196" i="31"/>
  <c r="AW192" i="31"/>
  <c r="Q188" i="31"/>
  <c r="BF180" i="31"/>
  <c r="J176" i="31"/>
  <c r="N172" i="31"/>
  <c r="Q168" i="31"/>
  <c r="T164" i="31"/>
  <c r="AA156" i="31"/>
  <c r="AD152" i="31"/>
  <c r="AQ148" i="31"/>
  <c r="AL144" i="31"/>
  <c r="AO136" i="31"/>
  <c r="AR132" i="31"/>
  <c r="AY128" i="31"/>
  <c r="AF171" i="31"/>
  <c r="AV151" i="31"/>
  <c r="AS131" i="31"/>
  <c r="W123" i="31"/>
  <c r="V125" i="31"/>
  <c r="K204" i="31"/>
  <c r="O200" i="31"/>
  <c r="S192" i="31"/>
  <c r="BA188" i="31"/>
  <c r="X184" i="31"/>
  <c r="AE180" i="31"/>
  <c r="AI172" i="31"/>
  <c r="AL168" i="31"/>
  <c r="AO164" i="31"/>
  <c r="AR160" i="31"/>
  <c r="AY152" i="31"/>
  <c r="U148" i="31"/>
  <c r="BG144" i="31"/>
  <c r="K140" i="31"/>
  <c r="N136" i="31"/>
  <c r="Q128" i="31"/>
  <c r="BC163" i="31"/>
  <c r="AE131" i="31"/>
  <c r="AS208" i="31"/>
  <c r="S200" i="31"/>
  <c r="W192" i="31"/>
  <c r="BE188" i="31"/>
  <c r="AB184" i="31"/>
  <c r="AI180" i="31"/>
  <c r="AM172" i="31"/>
  <c r="AK183" i="31"/>
  <c r="Z159" i="31"/>
  <c r="AN139" i="31"/>
  <c r="AN127" i="31"/>
  <c r="AW118" i="31"/>
  <c r="AC204" i="31"/>
  <c r="Z200" i="31"/>
  <c r="AJ196" i="31"/>
  <c r="AN192" i="31"/>
  <c r="AT184" i="31"/>
  <c r="AW180" i="31"/>
  <c r="J171" i="31"/>
  <c r="Z151" i="31"/>
  <c r="AH135" i="31"/>
  <c r="H123" i="31"/>
  <c r="AX122" i="31"/>
  <c r="AE204" i="31"/>
  <c r="AO200" i="31"/>
  <c r="AM192" i="31"/>
  <c r="AH188" i="31"/>
  <c r="AR184" i="31"/>
  <c r="AY180" i="31"/>
  <c r="BC172" i="31"/>
  <c r="BF168" i="31"/>
  <c r="BD135" i="31"/>
  <c r="M200" i="31"/>
  <c r="AZ180" i="31"/>
  <c r="X172" i="31"/>
  <c r="AP164" i="31"/>
  <c r="AS160" i="31"/>
  <c r="AV156" i="31"/>
  <c r="BC148" i="31"/>
  <c r="BD144" i="31"/>
  <c r="H140" i="31"/>
  <c r="O136" i="31"/>
  <c r="R132" i="31"/>
  <c r="V128" i="31"/>
  <c r="AY124" i="31"/>
  <c r="AP115" i="31"/>
  <c r="N118" i="31"/>
  <c r="AL120" i="31"/>
  <c r="U123" i="31"/>
  <c r="O209" i="31"/>
  <c r="AO205" i="31"/>
  <c r="AA205" i="31"/>
  <c r="AN201" i="31"/>
  <c r="R201" i="31"/>
  <c r="AV197" i="31"/>
  <c r="AA193" i="31"/>
  <c r="AZ193" i="31"/>
  <c r="AD189" i="31"/>
  <c r="BF185" i="31"/>
  <c r="AF185" i="31"/>
  <c r="J181" i="31"/>
  <c r="AM181" i="31"/>
  <c r="M177" i="31"/>
  <c r="AQ173" i="31"/>
  <c r="Q173" i="31"/>
  <c r="J163" i="31"/>
  <c r="R208" i="31"/>
  <c r="AC188" i="31"/>
  <c r="AE172" i="31"/>
  <c r="X168" i="31"/>
  <c r="AE160" i="31"/>
  <c r="AH156" i="31"/>
  <c r="AK152" i="31"/>
  <c r="AP148" i="31"/>
  <c r="AS140" i="31"/>
  <c r="AV136" i="31"/>
  <c r="BC132" i="31"/>
  <c r="O128" i="31"/>
  <c r="AN124" i="31"/>
  <c r="AX114" i="31"/>
  <c r="V117" i="31"/>
  <c r="AT119" i="31"/>
  <c r="R122" i="31"/>
  <c r="AJ209" i="31"/>
  <c r="AS209" i="31"/>
  <c r="AX209" i="31"/>
  <c r="I205" i="31"/>
  <c r="BD205" i="31"/>
  <c r="AC171" i="31"/>
  <c r="R135" i="31"/>
  <c r="Z123" i="31"/>
  <c r="AA200" i="31"/>
  <c r="Z188" i="31"/>
  <c r="T180" i="31"/>
  <c r="AA176" i="31"/>
  <c r="BC168" i="31"/>
  <c r="AV168" i="31"/>
  <c r="Z164" i="31"/>
  <c r="BC160" i="31"/>
  <c r="AC160" i="31"/>
  <c r="BF156" i="31"/>
  <c r="AF156" i="31"/>
  <c r="J152" i="31"/>
  <c r="BB148" i="31"/>
  <c r="W148" i="31"/>
  <c r="AN144" i="31"/>
  <c r="R144" i="31"/>
  <c r="AU140" i="31"/>
  <c r="U136" i="31"/>
  <c r="AX136" i="31"/>
  <c r="X132" i="31"/>
  <c r="BA128" i="31"/>
  <c r="AE128" i="31"/>
  <c r="N128" i="31"/>
  <c r="AZ124" i="31"/>
  <c r="AQ124" i="31"/>
  <c r="AL114" i="31"/>
  <c r="AX115" i="31"/>
  <c r="J117" i="31"/>
  <c r="V118" i="31"/>
  <c r="AH119" i="31"/>
  <c r="AT120" i="31"/>
  <c r="BF121" i="31"/>
  <c r="AK123" i="31"/>
  <c r="P209" i="31"/>
  <c r="BE209" i="31"/>
  <c r="BF209" i="31"/>
  <c r="AG205" i="31"/>
  <c r="AL205" i="31"/>
  <c r="S205" i="31"/>
  <c r="AW201" i="31"/>
  <c r="AF201" i="31"/>
  <c r="W201" i="31"/>
  <c r="AD201" i="31"/>
  <c r="O183" i="31"/>
  <c r="X192" i="31"/>
  <c r="U168" i="31"/>
  <c r="AE156" i="31"/>
  <c r="AV148" i="31"/>
  <c r="AS136" i="31"/>
  <c r="BC128" i="31"/>
  <c r="Z114" i="31"/>
  <c r="V119" i="31"/>
  <c r="AB209" i="31"/>
  <c r="BB205" i="31"/>
  <c r="AJ201" i="31"/>
  <c r="AT201" i="31"/>
  <c r="Q197" i="31"/>
  <c r="AI197" i="31"/>
  <c r="BB193" i="31"/>
  <c r="U193" i="31"/>
  <c r="AM189" i="31"/>
  <c r="BE189" i="31"/>
  <c r="X189" i="31"/>
  <c r="AO185" i="31"/>
  <c r="H185" i="31"/>
  <c r="AD181" i="31"/>
  <c r="AR181" i="31"/>
  <c r="O181" i="31"/>
  <c r="AG177" i="31"/>
  <c r="AY177" i="31"/>
  <c r="S173" i="31"/>
  <c r="AK173" i="31"/>
  <c r="BC169" i="31"/>
  <c r="AL169" i="31"/>
  <c r="Y169" i="31"/>
  <c r="L169" i="31"/>
  <c r="BB165" i="31"/>
  <c r="AO165" i="31"/>
  <c r="AB165" i="31"/>
  <c r="BD131" i="31"/>
  <c r="BG180" i="31"/>
  <c r="R164" i="31"/>
  <c r="X156" i="31"/>
  <c r="AF144" i="31"/>
  <c r="AP136" i="31"/>
  <c r="J128" i="31"/>
  <c r="BB115" i="31"/>
  <c r="AX120" i="31"/>
  <c r="BA209" i="31"/>
  <c r="O205" i="31"/>
  <c r="AY201" i="31"/>
  <c r="AD197" i="31"/>
  <c r="AN197" i="31"/>
  <c r="K197" i="31"/>
  <c r="Z193" i="31"/>
  <c r="AR193" i="31"/>
  <c r="O189" i="31"/>
  <c r="AC189" i="31"/>
  <c r="AX185" i="31"/>
  <c r="AP204" i="31"/>
  <c r="AK172" i="31"/>
  <c r="AH160" i="31"/>
  <c r="AN152" i="31"/>
  <c r="AV140" i="31"/>
  <c r="BF132" i="31"/>
  <c r="P124" i="31"/>
  <c r="AT117" i="31"/>
  <c r="AP122" i="31"/>
  <c r="R209" i="31"/>
  <c r="AC201" i="31"/>
  <c r="AP201" i="31"/>
  <c r="AO197" i="31"/>
  <c r="H197" i="31"/>
  <c r="AE193" i="31"/>
  <c r="AS193" i="31"/>
  <c r="L193" i="31"/>
  <c r="AH189" i="31"/>
  <c r="AV189" i="31"/>
  <c r="R185" i="31"/>
  <c r="AJ185" i="31"/>
  <c r="AD184" i="31"/>
  <c r="AF136" i="31"/>
  <c r="AY209" i="31"/>
  <c r="BD197" i="31"/>
  <c r="AE189" i="31"/>
  <c r="I185" i="31"/>
  <c r="V181" i="31"/>
  <c r="L181" i="31"/>
  <c r="BE177" i="31"/>
  <c r="AU177" i="31"/>
  <c r="AL173" i="31"/>
  <c r="AB173" i="31"/>
  <c r="AH169" i="31"/>
  <c r="AZ169" i="31"/>
  <c r="W165" i="31"/>
  <c r="AK165" i="31"/>
  <c r="BG161" i="31"/>
  <c r="AP161" i="31"/>
  <c r="AC161" i="31"/>
  <c r="P161" i="31"/>
  <c r="BF157" i="31"/>
  <c r="AS157" i="31"/>
  <c r="AF157" i="31"/>
  <c r="W153" i="31"/>
  <c r="J153" i="31"/>
  <c r="AV153" i="31"/>
  <c r="AM149" i="31"/>
  <c r="Z149" i="31"/>
  <c r="M149" i="31"/>
  <c r="BA145" i="31"/>
  <c r="AN145" i="31"/>
  <c r="AE145" i="31"/>
  <c r="R145" i="31"/>
  <c r="BD141" i="31"/>
  <c r="AU141" i="31"/>
  <c r="AH141" i="31"/>
  <c r="U137" i="31"/>
  <c r="H137" i="31"/>
  <c r="AX137" i="31"/>
  <c r="AK133" i="31"/>
  <c r="X133" i="31"/>
  <c r="O133" i="31"/>
  <c r="BA129" i="31"/>
  <c r="AN129" i="31"/>
  <c r="AE129" i="31"/>
  <c r="R129" i="31"/>
  <c r="BD125" i="31"/>
  <c r="AU125" i="31"/>
  <c r="AH125" i="31"/>
  <c r="S115" i="31"/>
  <c r="AE116" i="31"/>
  <c r="AQ117" i="31"/>
  <c r="BC118" i="31"/>
  <c r="O120" i="31"/>
  <c r="AA121" i="31"/>
  <c r="AM122" i="31"/>
  <c r="AV210" i="31"/>
  <c r="AM210" i="31"/>
  <c r="Z210" i="31"/>
  <c r="R210" i="31"/>
  <c r="BC206" i="31"/>
  <c r="AO206" i="31"/>
  <c r="AX206" i="31"/>
  <c r="H127" i="31"/>
  <c r="BC144" i="31"/>
  <c r="N121" i="31"/>
  <c r="V197" i="31"/>
  <c r="AN193" i="31"/>
  <c r="AK185" i="31"/>
  <c r="AT181" i="31"/>
  <c r="AJ181" i="31"/>
  <c r="AD177" i="31"/>
  <c r="L177" i="31"/>
  <c r="BF173" i="31"/>
  <c r="AV173" i="31"/>
  <c r="AX169" i="31"/>
  <c r="Q169" i="31"/>
  <c r="AM165" i="31"/>
  <c r="BA165" i="31"/>
  <c r="T165" i="31"/>
  <c r="BB161" i="31"/>
  <c r="AO161" i="31"/>
  <c r="AB161" i="31"/>
  <c r="S157" i="31"/>
  <c r="BE157" i="31"/>
  <c r="AR157" i="31"/>
  <c r="AI153" i="31"/>
  <c r="V153" i="31"/>
  <c r="I153" i="31"/>
  <c r="AY149" i="31"/>
  <c r="AL149" i="31"/>
  <c r="Y149" i="31"/>
  <c r="L149" i="31"/>
  <c r="AZ145" i="31"/>
  <c r="AQ145" i="31"/>
  <c r="AD145" i="31"/>
  <c r="Q141" i="31"/>
  <c r="BG141" i="31"/>
  <c r="AT141" i="31"/>
  <c r="AG137" i="31"/>
  <c r="T137" i="31"/>
  <c r="K137" i="31"/>
  <c r="T196" i="31"/>
  <c r="BF140" i="31"/>
  <c r="J125" i="31"/>
  <c r="Y197" i="31"/>
  <c r="AY189" i="31"/>
  <c r="Q185" i="31"/>
  <c r="AH181" i="31"/>
  <c r="T181" i="31"/>
  <c r="N177" i="31"/>
  <c r="BG177" i="31"/>
  <c r="AP173" i="31"/>
  <c r="AF173" i="31"/>
  <c r="AP169" i="31"/>
  <c r="BD169" i="31"/>
  <c r="AA165" i="31"/>
  <c r="AS165" i="31"/>
  <c r="H165" i="31"/>
  <c r="AT161" i="31"/>
  <c r="AG161" i="31"/>
  <c r="T161" i="31"/>
  <c r="K157" i="31"/>
  <c r="AW157" i="31"/>
  <c r="AJ157" i="31"/>
  <c r="AA153" i="31"/>
  <c r="N153" i="31"/>
  <c r="AZ153" i="31"/>
  <c r="AQ149" i="31"/>
  <c r="AD149" i="31"/>
  <c r="Q149" i="31"/>
  <c r="BE145" i="31"/>
  <c r="AR145" i="31"/>
  <c r="AI145" i="31"/>
  <c r="V145" i="31"/>
  <c r="I141" i="31"/>
  <c r="AY141" i="31"/>
  <c r="AL141" i="31"/>
  <c r="Y137" i="31"/>
  <c r="L137" i="31"/>
  <c r="BB137" i="31"/>
  <c r="AO133" i="31"/>
  <c r="AB133" i="31"/>
  <c r="S133" i="31"/>
  <c r="BE129" i="31"/>
  <c r="BB122" i="31"/>
  <c r="AJ121" i="31"/>
  <c r="T120" i="31"/>
  <c r="AZ118" i="31"/>
  <c r="AJ117" i="31"/>
  <c r="T116" i="31"/>
  <c r="AZ114" i="31"/>
  <c r="J126" i="31"/>
  <c r="W126" i="31"/>
  <c r="AF126" i="31"/>
  <c r="AS126" i="31"/>
  <c r="BF130" i="31"/>
  <c r="P130" i="31"/>
  <c r="AC130" i="31"/>
  <c r="AP134" i="31"/>
  <c r="BC134" i="31"/>
  <c r="M134" i="31"/>
  <c r="Z138" i="31"/>
  <c r="AM138" i="31"/>
  <c r="AV138" i="31"/>
  <c r="J142" i="31"/>
  <c r="W142" i="31"/>
  <c r="AF142" i="31"/>
  <c r="AS142" i="31"/>
  <c r="BF146" i="31"/>
  <c r="P146" i="31"/>
  <c r="AC146" i="31"/>
  <c r="AN150" i="31"/>
  <c r="BA150" i="31"/>
  <c r="O150" i="31"/>
  <c r="X154" i="31"/>
  <c r="AK154" i="31"/>
  <c r="AX154" i="31"/>
  <c r="H158" i="31"/>
  <c r="U158" i="31"/>
  <c r="AH158" i="31"/>
  <c r="AU158" i="31"/>
  <c r="K162" i="31"/>
  <c r="AS162" i="31"/>
  <c r="AE162" i="31"/>
  <c r="AN166" i="31"/>
  <c r="BA166" i="31"/>
  <c r="O166" i="31"/>
  <c r="X170" i="31"/>
  <c r="AK170" i="31"/>
  <c r="AX170" i="31"/>
  <c r="H174" i="31"/>
  <c r="U174" i="31"/>
  <c r="AH174" i="31"/>
  <c r="AU174" i="31"/>
  <c r="BG178" i="31"/>
  <c r="Q178" i="31"/>
  <c r="AD178" i="31"/>
  <c r="AQ182" i="31"/>
  <c r="AZ182" i="31"/>
  <c r="N182" i="31"/>
  <c r="AA186" i="31"/>
  <c r="AJ186" i="31"/>
  <c r="AW186" i="31"/>
  <c r="H190" i="31"/>
  <c r="U190" i="31"/>
  <c r="AH190" i="31"/>
  <c r="AU190" i="31"/>
  <c r="Q194" i="31"/>
  <c r="AQ194" i="31"/>
  <c r="AW194" i="31"/>
  <c r="AQ198" i="31"/>
  <c r="AZ198" i="31"/>
  <c r="N198" i="31"/>
  <c r="AD202" i="31"/>
  <c r="AM202" i="31"/>
  <c r="AV202" i="31"/>
  <c r="R206" i="31"/>
  <c r="BA206" i="31"/>
  <c r="AJ206" i="31"/>
  <c r="BA210" i="31"/>
  <c r="AY210" i="31"/>
  <c r="AL123" i="31"/>
  <c r="AI121" i="31"/>
  <c r="BC119" i="31"/>
  <c r="S118" i="31"/>
  <c r="AM116" i="31"/>
  <c r="BG114" i="31"/>
  <c r="S125" i="31"/>
  <c r="AV125" i="31"/>
  <c r="AD129" i="31"/>
  <c r="L129" i="31"/>
  <c r="AW129" i="31"/>
  <c r="T133" i="31"/>
  <c r="AM137" i="31"/>
  <c r="AF141" i="31"/>
  <c r="AC145" i="31"/>
  <c r="X153" i="31"/>
  <c r="U157" i="31"/>
  <c r="R161" i="31"/>
  <c r="T169" i="31"/>
  <c r="BC173" i="31"/>
  <c r="AY185" i="31"/>
  <c r="AF124" i="31"/>
  <c r="S150" i="31"/>
  <c r="AB154" i="31"/>
  <c r="AO154" i="31"/>
  <c r="BB154" i="31"/>
  <c r="L158" i="31"/>
  <c r="Y158" i="31"/>
  <c r="AL158" i="31"/>
  <c r="AY158" i="31"/>
  <c r="O162" i="31"/>
  <c r="AW162" i="31"/>
  <c r="AI162" i="31"/>
  <c r="AR166" i="31"/>
  <c r="BE166" i="31"/>
  <c r="S166" i="31"/>
  <c r="AB170" i="31"/>
  <c r="AO170" i="31"/>
  <c r="BB170" i="31"/>
  <c r="L174" i="31"/>
  <c r="Y174" i="31"/>
  <c r="AL174" i="31"/>
  <c r="AY174" i="31"/>
  <c r="H178" i="31"/>
  <c r="U178" i="31"/>
  <c r="AH178" i="31"/>
  <c r="AU182" i="31"/>
  <c r="BD182" i="31"/>
  <c r="R182" i="31"/>
  <c r="AE186" i="31"/>
  <c r="AN186" i="31"/>
  <c r="BA186" i="31"/>
  <c r="L190" i="31"/>
  <c r="Y190" i="31"/>
  <c r="AL190" i="31"/>
  <c r="AY190" i="31"/>
  <c r="U194" i="31"/>
  <c r="AY194" i="31"/>
  <c r="BA194" i="31"/>
  <c r="AU198" i="31"/>
  <c r="BD198" i="31"/>
  <c r="R198" i="31"/>
  <c r="AT202" i="31"/>
  <c r="AQ202" i="31"/>
  <c r="AZ202" i="31"/>
  <c r="AH206" i="31"/>
  <c r="K206" i="31"/>
  <c r="AN206" i="31"/>
  <c r="BE210" i="31"/>
  <c r="BG210" i="31"/>
  <c r="AD123" i="31"/>
  <c r="AE121" i="31"/>
  <c r="AU119" i="31"/>
  <c r="O118" i="31"/>
  <c r="AI116" i="31"/>
  <c r="AY114" i="31"/>
  <c r="W125" i="31"/>
  <c r="AZ125" i="31"/>
  <c r="AL129" i="31"/>
  <c r="P129" i="31"/>
  <c r="J133" i="31"/>
  <c r="AF133" i="31"/>
  <c r="BC137" i="31"/>
  <c r="AV141" i="31"/>
  <c r="AS145" i="31"/>
  <c r="AN153" i="31"/>
  <c r="AK157" i="31"/>
  <c r="AH161" i="31"/>
  <c r="AN169" i="31"/>
  <c r="AI177" i="31"/>
  <c r="AN185" i="31"/>
  <c r="AM132" i="31"/>
  <c r="BC150" i="31"/>
  <c r="M154" i="31"/>
  <c r="Z154" i="31"/>
  <c r="AM154" i="31"/>
  <c r="AV158" i="31"/>
  <c r="J158" i="31"/>
  <c r="W158" i="31"/>
  <c r="Q162" i="31"/>
  <c r="BD162" i="31"/>
  <c r="AX162" i="31"/>
  <c r="P166" i="31"/>
  <c r="AC166" i="31"/>
  <c r="AP166" i="31"/>
  <c r="BC166" i="31"/>
  <c r="M170" i="31"/>
  <c r="Z170" i="31"/>
  <c r="AM170" i="31"/>
  <c r="AV174" i="31"/>
  <c r="J174" i="31"/>
  <c r="W174" i="31"/>
  <c r="AI178" i="31"/>
  <c r="AR178" i="31"/>
  <c r="BE178" i="31"/>
  <c r="S182" i="31"/>
  <c r="AB182" i="31"/>
  <c r="AO182" i="31"/>
  <c r="BB182" i="31"/>
  <c r="L186" i="31"/>
  <c r="Y186" i="31"/>
  <c r="AL186" i="31"/>
  <c r="AV190" i="31"/>
  <c r="J190" i="31"/>
  <c r="W190" i="31"/>
  <c r="AF194" i="31"/>
  <c r="R194" i="31"/>
  <c r="AR194" i="31"/>
  <c r="S198" i="31"/>
  <c r="AB198" i="31"/>
  <c r="AO198" i="31"/>
  <c r="BB198" i="31"/>
  <c r="O202" i="31"/>
  <c r="X202" i="31"/>
  <c r="AO202" i="31"/>
  <c r="U206" i="31"/>
  <c r="BG206" i="31"/>
  <c r="U210" i="31"/>
  <c r="S210" i="31"/>
  <c r="AZ210" i="31"/>
  <c r="O122" i="31"/>
  <c r="AI120" i="31"/>
  <c r="AY118" i="31"/>
  <c r="S117" i="31"/>
  <c r="AM115" i="31"/>
  <c r="AL125" i="31"/>
  <c r="P125" i="31"/>
  <c r="AW125" i="31"/>
  <c r="AI129" i="31"/>
  <c r="M129" i="31"/>
  <c r="AA133" i="31"/>
  <c r="AW133" i="31"/>
  <c r="AP141" i="31"/>
  <c r="AM145" i="31"/>
  <c r="AH149" i="31"/>
  <c r="AE153" i="31"/>
  <c r="X161" i="31"/>
  <c r="AW165" i="31"/>
  <c r="AN173" i="31"/>
  <c r="AB181" i="31"/>
  <c r="AW197" i="31"/>
  <c r="BD181" i="31"/>
  <c r="AN203" i="31"/>
  <c r="U191" i="31"/>
  <c r="I138" i="31"/>
  <c r="I150" i="31"/>
  <c r="AI117" i="31"/>
  <c r="AR130" i="31"/>
  <c r="BF124" i="31"/>
  <c r="AI195" i="31"/>
  <c r="AW199" i="31"/>
  <c r="BD199" i="31"/>
  <c r="P211" i="31"/>
  <c r="V179" i="31"/>
  <c r="N175" i="31"/>
  <c r="BE163" i="31"/>
  <c r="L155" i="31"/>
  <c r="T143" i="31"/>
  <c r="R207" i="31"/>
  <c r="BF175" i="31"/>
  <c r="AZ167" i="31"/>
  <c r="K155" i="31"/>
  <c r="S147" i="31"/>
  <c r="Y135" i="31"/>
  <c r="U171" i="31"/>
  <c r="AX151" i="31"/>
  <c r="BF143" i="31"/>
  <c r="AT135" i="31"/>
  <c r="AW127" i="31"/>
  <c r="T123" i="31"/>
  <c r="AO117" i="31"/>
  <c r="AK122" i="31"/>
  <c r="AL208" i="31"/>
  <c r="AN183" i="31"/>
  <c r="AU167" i="31"/>
  <c r="BA159" i="31"/>
  <c r="H151" i="31"/>
  <c r="P139" i="31"/>
  <c r="Y131" i="31"/>
  <c r="AB127" i="31"/>
  <c r="M114" i="31"/>
  <c r="I119" i="31"/>
  <c r="AN208" i="31"/>
  <c r="BG191" i="31"/>
  <c r="AS163" i="31"/>
  <c r="H143" i="31"/>
  <c r="Z131" i="31"/>
  <c r="M117" i="31"/>
  <c r="AD208" i="31"/>
  <c r="BC200" i="31"/>
  <c r="AC196" i="31"/>
  <c r="AG192" i="31"/>
  <c r="U188" i="31"/>
  <c r="AP180" i="31"/>
  <c r="AS176" i="31"/>
  <c r="AW172" i="31"/>
  <c r="AZ168" i="31"/>
  <c r="BG160" i="31"/>
  <c r="K156" i="31"/>
  <c r="N152" i="31"/>
  <c r="AA148" i="31"/>
  <c r="V144" i="31"/>
  <c r="Y136" i="31"/>
  <c r="AB132" i="31"/>
  <c r="AI128" i="31"/>
  <c r="W167" i="31"/>
  <c r="AK147" i="31"/>
  <c r="M131" i="31"/>
  <c r="Y114" i="31"/>
  <c r="AB208" i="31"/>
  <c r="AT204" i="31"/>
  <c r="AX196" i="31"/>
  <c r="BB192" i="31"/>
  <c r="AK188" i="31"/>
  <c r="H184" i="31"/>
  <c r="O180" i="31"/>
  <c r="S172" i="31"/>
  <c r="V168" i="31"/>
  <c r="Y164" i="31"/>
  <c r="AB160" i="31"/>
  <c r="AI152" i="31"/>
  <c r="BD148" i="31"/>
  <c r="AQ144" i="31"/>
  <c r="AT140" i="31"/>
  <c r="AW132" i="31"/>
  <c r="AZ128" i="31"/>
  <c r="AC163" i="31"/>
  <c r="R131" i="31"/>
  <c r="BF208" i="31"/>
  <c r="AL196" i="31"/>
  <c r="AP192" i="31"/>
  <c r="AZ188" i="31"/>
  <c r="AY184" i="31"/>
  <c r="BB176" i="31"/>
  <c r="BF172" i="31"/>
  <c r="AN179" i="31"/>
  <c r="BC155" i="31"/>
  <c r="R139" i="31"/>
  <c r="AE127" i="31"/>
  <c r="I120" i="31"/>
  <c r="AV204" i="31"/>
  <c r="AC200" i="31"/>
  <c r="BG196" i="31"/>
  <c r="H192" i="31"/>
  <c r="N184" i="31"/>
  <c r="Q180" i="31"/>
  <c r="AM167" i="31"/>
  <c r="BA147" i="31"/>
  <c r="U131" i="31"/>
  <c r="Q114" i="31"/>
  <c r="AJ208" i="31"/>
  <c r="AX204" i="31"/>
  <c r="BB196" i="31"/>
  <c r="BF192" i="31"/>
  <c r="AO188" i="31"/>
  <c r="L184" i="31"/>
  <c r="S180" i="31"/>
  <c r="W172" i="31"/>
  <c r="Z168" i="31"/>
  <c r="AU131" i="31"/>
  <c r="N196" i="31"/>
  <c r="AQ180" i="31"/>
  <c r="AE168" i="31"/>
  <c r="J164" i="31"/>
  <c r="M160" i="31"/>
  <c r="P156" i="31"/>
  <c r="AO148" i="31"/>
  <c r="X144" i="31"/>
  <c r="AE140" i="31"/>
  <c r="AH136" i="31"/>
  <c r="AK128" i="31"/>
  <c r="BE124" i="31"/>
  <c r="AI124" i="31"/>
  <c r="BF115" i="31"/>
  <c r="AD118" i="31"/>
  <c r="BB120" i="31"/>
  <c r="N124" i="31"/>
  <c r="AW209" i="31"/>
  <c r="AX205" i="31"/>
  <c r="K205" i="31"/>
  <c r="X201" i="31"/>
  <c r="BF197" i="31"/>
  <c r="AF197" i="31"/>
  <c r="K193" i="31"/>
  <c r="AJ193" i="31"/>
  <c r="N189" i="31"/>
  <c r="AP185" i="31"/>
  <c r="P185" i="31"/>
  <c r="AS181" i="31"/>
  <c r="W181" i="31"/>
  <c r="AV177" i="31"/>
  <c r="AA173" i="31"/>
  <c r="AZ173" i="31"/>
  <c r="P155" i="31"/>
  <c r="BC204" i="31"/>
  <c r="Q184" i="31"/>
  <c r="R172" i="31"/>
  <c r="AU164" i="31"/>
  <c r="AX160" i="31"/>
  <c r="BA156" i="31"/>
  <c r="BD152" i="31"/>
  <c r="J148" i="31"/>
  <c r="M140" i="31"/>
  <c r="P136" i="31"/>
  <c r="W132" i="31"/>
  <c r="AX128" i="31"/>
  <c r="X124" i="31"/>
  <c r="N115" i="31"/>
  <c r="AL117" i="31"/>
  <c r="J120" i="31"/>
  <c r="AH122" i="31"/>
  <c r="BG209" i="31"/>
  <c r="AC209" i="31"/>
  <c r="BA205" i="31"/>
  <c r="X205" i="31"/>
  <c r="AI205" i="31"/>
  <c r="AM159" i="31"/>
  <c r="U127" i="31"/>
  <c r="AS204" i="31"/>
  <c r="AZ196" i="31"/>
  <c r="K188" i="31"/>
  <c r="K180" i="31"/>
  <c r="O172" i="31"/>
  <c r="O168" i="31"/>
  <c r="P168" i="31"/>
  <c r="AS164" i="31"/>
  <c r="W160" i="31"/>
  <c r="AV160" i="31"/>
  <c r="Z156" i="31"/>
  <c r="BC152" i="31"/>
  <c r="AC152" i="31"/>
  <c r="Y148" i="31"/>
  <c r="AH148" i="31"/>
  <c r="H144" i="31"/>
  <c r="AK140" i="31"/>
  <c r="O140" i="31"/>
  <c r="AN136" i="31"/>
  <c r="R136" i="31"/>
  <c r="AU132" i="31"/>
  <c r="U128" i="31"/>
  <c r="K128" i="31"/>
  <c r="AW124" i="31"/>
  <c r="AJ124" i="31"/>
  <c r="AA124" i="31"/>
  <c r="BB114" i="31"/>
  <c r="N116" i="31"/>
  <c r="Z117" i="31"/>
  <c r="AL118" i="31"/>
  <c r="AX119" i="31"/>
  <c r="J121" i="31"/>
  <c r="V122" i="31"/>
  <c r="AT124" i="31"/>
  <c r="BC209" i="31"/>
  <c r="AO209" i="31"/>
  <c r="BB209" i="31"/>
  <c r="AM205" i="31"/>
  <c r="T205" i="31"/>
  <c r="AY205" i="31"/>
  <c r="AG201" i="31"/>
  <c r="P201" i="31"/>
  <c r="BF201" i="31"/>
  <c r="AX197" i="31"/>
  <c r="AE139" i="31"/>
  <c r="AG180" i="31"/>
  <c r="AX164" i="31"/>
  <c r="BD156" i="31"/>
  <c r="M144" i="31"/>
  <c r="W136" i="31"/>
  <c r="Z128" i="31"/>
  <c r="AL115" i="31"/>
  <c r="AH120" i="31"/>
  <c r="S209" i="31"/>
  <c r="AE205" i="31"/>
  <c r="BG201" i="31"/>
  <c r="AL197" i="31"/>
  <c r="AR197" i="31"/>
  <c r="O197" i="31"/>
  <c r="AH193" i="31"/>
  <c r="AV193" i="31"/>
  <c r="S189" i="31"/>
  <c r="AK189" i="31"/>
  <c r="BB185" i="31"/>
  <c r="U185" i="31"/>
  <c r="AQ185" i="31"/>
  <c r="BE181" i="31"/>
  <c r="X181" i="31"/>
  <c r="AT177" i="31"/>
  <c r="I177" i="31"/>
  <c r="AE177" i="31"/>
  <c r="AX173" i="31"/>
  <c r="M173" i="31"/>
  <c r="AI169" i="31"/>
  <c r="V169" i="31"/>
  <c r="I169" i="31"/>
  <c r="AY165" i="31"/>
  <c r="AL165" i="31"/>
  <c r="Y165" i="31"/>
  <c r="L165" i="31"/>
  <c r="T208" i="31"/>
  <c r="K176" i="31"/>
  <c r="AU160" i="31"/>
  <c r="BA152" i="31"/>
  <c r="J144" i="31"/>
  <c r="P132" i="31"/>
  <c r="AV124" i="31"/>
  <c r="N117" i="31"/>
  <c r="J122" i="31"/>
  <c r="AP209" i="31"/>
  <c r="AS201" i="31"/>
  <c r="S201" i="31"/>
  <c r="BA197" i="31"/>
  <c r="T197" i="31"/>
  <c r="AM193" i="31"/>
  <c r="BE193" i="31"/>
  <c r="X193" i="31"/>
  <c r="AP189" i="31"/>
  <c r="I189" i="31"/>
  <c r="AD185" i="31"/>
  <c r="AX192" i="31"/>
  <c r="J168" i="31"/>
  <c r="H160" i="31"/>
  <c r="AF148" i="31"/>
  <c r="Z140" i="31"/>
  <c r="AF128" i="31"/>
  <c r="J114" i="31"/>
  <c r="BF118" i="31"/>
  <c r="AR209" i="31"/>
  <c r="Q205" i="31"/>
  <c r="AR201" i="31"/>
  <c r="AH201" i="31"/>
  <c r="U197" i="31"/>
  <c r="AQ197" i="31"/>
  <c r="BF193" i="31"/>
  <c r="Y193" i="31"/>
  <c r="AU189" i="31"/>
  <c r="J189" i="31"/>
  <c r="AB189" i="31"/>
  <c r="AW185" i="31"/>
  <c r="L185" i="31"/>
  <c r="H168" i="31"/>
  <c r="BF128" i="31"/>
  <c r="P205" i="31"/>
  <c r="AA197" i="31"/>
  <c r="AS189" i="31"/>
  <c r="T185" i="31"/>
  <c r="AW181" i="31"/>
  <c r="AQ181" i="31"/>
  <c r="Y177" i="31"/>
  <c r="S177" i="31"/>
  <c r="J173" i="31"/>
  <c r="AY169" i="31"/>
  <c r="N169" i="31"/>
  <c r="AF169" i="31"/>
  <c r="AX165" i="31"/>
  <c r="Q165" i="31"/>
  <c r="AM161" i="31"/>
  <c r="Z161" i="31"/>
  <c r="M161" i="31"/>
  <c r="BC157" i="31"/>
  <c r="AP157" i="31"/>
  <c r="AC157" i="31"/>
  <c r="P157" i="31"/>
  <c r="BF153" i="31"/>
  <c r="AS153" i="31"/>
  <c r="AF153" i="31"/>
  <c r="W149" i="31"/>
  <c r="J149" i="31"/>
  <c r="AV149" i="31"/>
  <c r="AK145" i="31"/>
  <c r="X145" i="31"/>
  <c r="O145" i="31"/>
  <c r="BA141" i="31"/>
  <c r="AN141" i="31"/>
  <c r="AE141" i="31"/>
  <c r="R141" i="31"/>
  <c r="BD137" i="31"/>
  <c r="AU137" i="31"/>
  <c r="AH137" i="31"/>
  <c r="U133" i="31"/>
  <c r="H133" i="31"/>
  <c r="AX133" i="31"/>
  <c r="AK129" i="31"/>
  <c r="X129" i="31"/>
  <c r="O129" i="31"/>
  <c r="BA125" i="31"/>
  <c r="AN125" i="31"/>
  <c r="AE125" i="31"/>
  <c r="W114" i="31"/>
  <c r="AI115" i="31"/>
  <c r="AU116" i="31"/>
  <c r="BG117" i="31"/>
  <c r="S119" i="31"/>
  <c r="AE120" i="31"/>
  <c r="AQ121" i="31"/>
  <c r="N123" i="31"/>
  <c r="AF210" i="31"/>
  <c r="W210" i="31"/>
  <c r="AS210" i="31"/>
  <c r="AV206" i="31"/>
  <c r="AM206" i="31"/>
  <c r="Y206" i="31"/>
  <c r="AD206" i="31"/>
  <c r="AT176" i="31"/>
  <c r="J136" i="31"/>
  <c r="AK209" i="31"/>
  <c r="AJ197" i="31"/>
  <c r="BF189" i="31"/>
  <c r="AR185" i="31"/>
  <c r="R181" i="31"/>
  <c r="H181" i="31"/>
  <c r="AW177" i="31"/>
  <c r="AQ177" i="31"/>
  <c r="AH173" i="31"/>
  <c r="P173" i="31"/>
  <c r="AD169" i="31"/>
  <c r="AV169" i="31"/>
  <c r="O165" i="31"/>
  <c r="AG165" i="31"/>
  <c r="BC161" i="31"/>
  <c r="AL161" i="31"/>
  <c r="Y161" i="31"/>
  <c r="L161" i="31"/>
  <c r="BB157" i="31"/>
  <c r="AO157" i="31"/>
  <c r="AB157" i="31"/>
  <c r="S153" i="31"/>
  <c r="BE153" i="31"/>
  <c r="AR153" i="31"/>
  <c r="AI149" i="31"/>
  <c r="V149" i="31"/>
  <c r="I149" i="31"/>
  <c r="AW145" i="31"/>
  <c r="AJ145" i="31"/>
  <c r="AA145" i="31"/>
  <c r="N145" i="31"/>
  <c r="AZ141" i="31"/>
  <c r="AQ141" i="31"/>
  <c r="AD141" i="31"/>
  <c r="Q137" i="31"/>
  <c r="BG137" i="31"/>
  <c r="AT137" i="31"/>
  <c r="AX168" i="31"/>
  <c r="M128" i="31"/>
  <c r="AH205" i="31"/>
  <c r="AU197" i="31"/>
  <c r="R189" i="31"/>
  <c r="X185" i="31"/>
  <c r="BA181" i="31"/>
  <c r="AU181" i="31"/>
  <c r="AK177" i="31"/>
  <c r="AA177" i="31"/>
  <c r="R173" i="31"/>
  <c r="H173" i="31"/>
  <c r="R169" i="31"/>
  <c r="AJ169" i="31"/>
  <c r="BF165" i="31"/>
  <c r="U165" i="31"/>
  <c r="AQ161" i="31"/>
  <c r="AD161" i="31"/>
  <c r="Q161" i="31"/>
  <c r="BG157" i="31"/>
  <c r="AT157" i="31"/>
  <c r="AG157" i="31"/>
  <c r="T157" i="31"/>
  <c r="K153" i="31"/>
  <c r="AW153" i="31"/>
  <c r="AJ153" i="31"/>
  <c r="AA149" i="31"/>
  <c r="N149" i="31"/>
  <c r="AZ149" i="31"/>
  <c r="AO145" i="31"/>
  <c r="AB145" i="31"/>
  <c r="S145" i="31"/>
  <c r="BE141" i="31"/>
  <c r="AR141" i="31"/>
  <c r="AI141" i="31"/>
  <c r="V141" i="31"/>
  <c r="I137" i="31"/>
  <c r="AY137" i="31"/>
  <c r="AL137" i="31"/>
  <c r="Y133" i="31"/>
  <c r="L133" i="31"/>
  <c r="BB133" i="31"/>
  <c r="AO129" i="31"/>
  <c r="AJ122" i="31"/>
  <c r="T121" i="31"/>
  <c r="AZ119" i="31"/>
  <c r="AJ118" i="31"/>
  <c r="T117" i="31"/>
  <c r="AZ115" i="31"/>
  <c r="AJ114" i="31"/>
  <c r="Z126" i="31"/>
  <c r="AM126" i="31"/>
  <c r="AV126" i="31"/>
  <c r="J130" i="31"/>
  <c r="W130" i="31"/>
  <c r="AF130" i="31"/>
  <c r="AS130" i="31"/>
  <c r="BF134" i="31"/>
  <c r="P134" i="31"/>
  <c r="AC134" i="31"/>
  <c r="AP138" i="31"/>
  <c r="BC138" i="31"/>
  <c r="M138" i="31"/>
  <c r="Z142" i="31"/>
  <c r="AM142" i="31"/>
  <c r="AV142" i="31"/>
  <c r="J146" i="31"/>
  <c r="W146" i="31"/>
  <c r="AF146" i="31"/>
  <c r="AS146" i="31"/>
  <c r="BD150" i="31"/>
  <c r="R150" i="31"/>
  <c r="AE150" i="31"/>
  <c r="AN154" i="31"/>
  <c r="BA154" i="31"/>
  <c r="O154" i="31"/>
  <c r="X158" i="31"/>
  <c r="AK158" i="31"/>
  <c r="AX158" i="31"/>
  <c r="H162" i="31"/>
  <c r="AF162" i="31"/>
  <c r="Z162" i="31"/>
  <c r="AU162" i="31"/>
  <c r="BD166" i="31"/>
  <c r="R166" i="31"/>
  <c r="AE166" i="31"/>
  <c r="AN170" i="31"/>
  <c r="BA170" i="31"/>
  <c r="O170" i="31"/>
  <c r="X174" i="31"/>
  <c r="AK174" i="31"/>
  <c r="AX174" i="31"/>
  <c r="K178" i="31"/>
  <c r="T178" i="31"/>
  <c r="AG178" i="31"/>
  <c r="AT178" i="31"/>
  <c r="BG182" i="31"/>
  <c r="Q182" i="31"/>
  <c r="AD182" i="31"/>
  <c r="AQ186" i="31"/>
  <c r="AZ186" i="31"/>
  <c r="N186" i="31"/>
  <c r="X190" i="31"/>
  <c r="AK190" i="31"/>
  <c r="AX190" i="31"/>
  <c r="H194" i="31"/>
  <c r="AG194" i="31"/>
  <c r="S194" i="31"/>
  <c r="AT194" i="31"/>
  <c r="BG198" i="31"/>
  <c r="Q198" i="31"/>
  <c r="AD198" i="31"/>
  <c r="AX202" i="31"/>
  <c r="BC202" i="31"/>
  <c r="M202" i="31"/>
  <c r="BB206" i="31"/>
  <c r="AA206" i="31"/>
  <c r="BD206" i="31"/>
  <c r="AL210" i="31"/>
  <c r="T210" i="31"/>
  <c r="AV122" i="31"/>
  <c r="O121" i="31"/>
  <c r="AE119" i="31"/>
  <c r="AY117" i="31"/>
  <c r="S116" i="31"/>
  <c r="AI114" i="31"/>
  <c r="AM125" i="31"/>
  <c r="Q125" i="31"/>
  <c r="BB129" i="31"/>
  <c r="AF129" i="31"/>
  <c r="AD133" i="31"/>
  <c r="AZ133" i="31"/>
  <c r="AV137" i="31"/>
  <c r="AS141" i="31"/>
  <c r="AN149" i="31"/>
  <c r="AK153" i="31"/>
  <c r="AH157" i="31"/>
  <c r="AE161" i="31"/>
  <c r="BA169" i="31"/>
  <c r="Q177" i="31"/>
  <c r="BD189" i="31"/>
  <c r="O160" i="31"/>
  <c r="AI150" i="31"/>
  <c r="AR154" i="31"/>
  <c r="BE154" i="31"/>
  <c r="S154" i="31"/>
  <c r="AB158" i="31"/>
  <c r="AO158" i="31"/>
  <c r="BB158" i="31"/>
  <c r="L162" i="31"/>
  <c r="AJ162" i="31"/>
  <c r="AD162" i="31"/>
  <c r="AY162" i="31"/>
  <c r="I166" i="31"/>
  <c r="V166" i="31"/>
  <c r="AI166" i="31"/>
  <c r="AR170" i="31"/>
  <c r="BE170" i="31"/>
  <c r="S170" i="31"/>
  <c r="AB174" i="31"/>
  <c r="AO174" i="31"/>
  <c r="BB174" i="31"/>
  <c r="O178" i="31"/>
  <c r="X178" i="31"/>
  <c r="AK178" i="31"/>
  <c r="AX178" i="31"/>
  <c r="H182" i="31"/>
  <c r="U182" i="31"/>
  <c r="AH182" i="31"/>
  <c r="AU186" i="31"/>
  <c r="BD186" i="31"/>
  <c r="R186" i="31"/>
  <c r="AB190" i="31"/>
  <c r="AO190" i="31"/>
  <c r="BB190" i="31"/>
  <c r="L194" i="31"/>
  <c r="AK194" i="31"/>
  <c r="W194" i="31"/>
  <c r="AX194" i="31"/>
  <c r="H198" i="31"/>
  <c r="U198" i="31"/>
  <c r="AH198" i="31"/>
  <c r="V202" i="31"/>
  <c r="BG202" i="31"/>
  <c r="Q202" i="31"/>
  <c r="Z206" i="31"/>
  <c r="AE206" i="31"/>
  <c r="N210" i="31"/>
  <c r="AT210" i="31"/>
  <c r="X210" i="31"/>
  <c r="AQ122" i="31"/>
  <c r="BG120" i="31"/>
  <c r="AA119" i="31"/>
  <c r="AU117" i="31"/>
  <c r="K116" i="31"/>
  <c r="AE114" i="31"/>
  <c r="AQ125" i="31"/>
  <c r="Y125" i="31"/>
  <c r="BF129" i="31"/>
  <c r="AJ129" i="31"/>
  <c r="AP133" i="31"/>
  <c r="M133" i="31"/>
  <c r="M137" i="31"/>
  <c r="J145" i="31"/>
  <c r="BD149" i="31"/>
  <c r="BA153" i="31"/>
  <c r="AX157" i="31"/>
  <c r="AU161" i="31"/>
  <c r="Z169" i="31"/>
  <c r="AO177" i="31"/>
  <c r="AL189" i="31"/>
  <c r="AX172" i="31"/>
  <c r="P154" i="31"/>
  <c r="AC154" i="31"/>
  <c r="AP154" i="31"/>
  <c r="BC154" i="31"/>
  <c r="M158" i="31"/>
  <c r="Z158" i="31"/>
  <c r="AM158" i="31"/>
  <c r="R162" i="31"/>
  <c r="AK162" i="31"/>
  <c r="W162" i="31"/>
  <c r="AF166" i="31"/>
  <c r="AS166" i="31"/>
  <c r="BF166" i="31"/>
  <c r="P170" i="31"/>
  <c r="AC170" i="31"/>
  <c r="AP170" i="31"/>
  <c r="BC170" i="31"/>
  <c r="M174" i="31"/>
  <c r="Z174" i="31"/>
  <c r="AM174" i="31"/>
  <c r="AY178" i="31"/>
  <c r="I178" i="31"/>
  <c r="V178" i="31"/>
  <c r="AI182" i="31"/>
  <c r="AR182" i="31"/>
  <c r="BE182" i="31"/>
  <c r="S186" i="31"/>
  <c r="AB186" i="31"/>
  <c r="AO186" i="31"/>
  <c r="BB186" i="31"/>
  <c r="M190" i="31"/>
  <c r="Z190" i="31"/>
  <c r="AM190" i="31"/>
  <c r="I194" i="31"/>
  <c r="AH194" i="31"/>
  <c r="BD194" i="31"/>
  <c r="AI198" i="31"/>
  <c r="AR198" i="31"/>
  <c r="BE198" i="31"/>
  <c r="AP202" i="31"/>
  <c r="AE202" i="31"/>
  <c r="AN202" i="31"/>
  <c r="N206" i="31"/>
  <c r="AS206" i="31"/>
  <c r="X206" i="31"/>
  <c r="AO210" i="31"/>
  <c r="AQ210" i="31"/>
  <c r="AH124" i="31"/>
  <c r="AU121" i="31"/>
  <c r="K120" i="31"/>
  <c r="AE118" i="31"/>
  <c r="AY116" i="31"/>
  <c r="O115" i="31"/>
  <c r="BF125" i="31"/>
  <c r="AJ125" i="31"/>
  <c r="V129" i="31"/>
  <c r="BC129" i="31"/>
  <c r="AG129" i="31"/>
  <c r="BG133" i="31"/>
  <c r="BF137" i="31"/>
  <c r="BC141" i="31"/>
  <c r="AV145" i="31"/>
  <c r="AU149" i="31"/>
  <c r="AN157" i="31"/>
  <c r="AK161" i="31"/>
  <c r="AE165" i="31"/>
  <c r="BB173" i="31"/>
  <c r="AL181" i="31"/>
  <c r="Z122" i="31"/>
  <c r="AA170" i="31"/>
  <c r="H121" i="31"/>
  <c r="AT166" i="31"/>
  <c r="BE211" i="31"/>
  <c r="AJ174" i="31"/>
  <c r="X203" i="31"/>
  <c r="AG183" i="31"/>
  <c r="AM199" i="31"/>
  <c r="I159" i="31"/>
  <c r="AA139" i="31"/>
  <c r="AW171" i="31"/>
  <c r="N151" i="31"/>
  <c r="AU187" i="31"/>
  <c r="BC147" i="31"/>
  <c r="T131" i="31"/>
  <c r="Q115" i="31"/>
  <c r="AM208" i="31"/>
  <c r="J175" i="31"/>
  <c r="BD155" i="31"/>
  <c r="AY135" i="31"/>
  <c r="BE123" i="31"/>
  <c r="AG121" i="31"/>
  <c r="AM171" i="31"/>
  <c r="W135" i="31"/>
  <c r="I122" i="31"/>
  <c r="P200" i="31"/>
  <c r="BB188" i="31"/>
  <c r="P180" i="31"/>
  <c r="AA168" i="31"/>
  <c r="AG160" i="31"/>
  <c r="BF148" i="31"/>
  <c r="AY140" i="31"/>
  <c r="BE128" i="31"/>
  <c r="AC159" i="31"/>
  <c r="P127" i="31"/>
  <c r="Q204" i="31"/>
  <c r="X196" i="31"/>
  <c r="AH184" i="31"/>
  <c r="AN176" i="31"/>
  <c r="AY164" i="31"/>
  <c r="BE156" i="31"/>
  <c r="N148" i="31"/>
  <c r="T136" i="31"/>
  <c r="AT191" i="31"/>
  <c r="U117" i="31"/>
  <c r="L196" i="31"/>
  <c r="V184" i="31"/>
  <c r="AB176" i="31"/>
  <c r="AS167" i="31"/>
  <c r="X131" i="31"/>
  <c r="AQ208" i="31"/>
  <c r="AD196" i="31"/>
  <c r="AR188" i="31"/>
  <c r="X183" i="31"/>
  <c r="H139" i="31"/>
  <c r="M119" i="31"/>
  <c r="R200" i="31"/>
  <c r="AF192" i="31"/>
  <c r="AO180" i="31"/>
  <c r="AV172" i="31"/>
  <c r="K208" i="31"/>
  <c r="AU172" i="31"/>
  <c r="AM160" i="31"/>
  <c r="AS152" i="31"/>
  <c r="BA140" i="31"/>
  <c r="H132" i="31"/>
  <c r="AR124" i="31"/>
  <c r="R117" i="31"/>
  <c r="N122" i="31"/>
  <c r="Z209" i="31"/>
  <c r="AO201" i="31"/>
  <c r="AS197" i="31"/>
  <c r="AW193" i="31"/>
  <c r="AZ189" i="31"/>
  <c r="BF181" i="31"/>
  <c r="J177" i="31"/>
  <c r="N173" i="31"/>
  <c r="BD123" i="31"/>
  <c r="N176" i="31"/>
  <c r="U164" i="31"/>
  <c r="AE152" i="31"/>
  <c r="AM144" i="31"/>
  <c r="AS132" i="31"/>
  <c r="AK124" i="31"/>
  <c r="Z116" i="31"/>
  <c r="V121" i="31"/>
  <c r="AA209" i="31"/>
  <c r="Y205" i="31"/>
  <c r="H187" i="31"/>
  <c r="Q118" i="31"/>
  <c r="BD192" i="31"/>
  <c r="AJ176" i="31"/>
  <c r="AC168" i="31"/>
  <c r="AF164" i="31"/>
  <c r="AM156" i="31"/>
  <c r="AP152" i="31"/>
  <c r="H148" i="31"/>
  <c r="AX144" i="31"/>
  <c r="BA136" i="31"/>
  <c r="BD132" i="31"/>
  <c r="H128" i="31"/>
  <c r="Q124" i="31"/>
  <c r="V114" i="31"/>
  <c r="AT116" i="31"/>
  <c r="R119" i="31"/>
  <c r="AP121" i="31"/>
  <c r="AF209" i="31"/>
  <c r="I209" i="31"/>
  <c r="BG205" i="31"/>
  <c r="N205" i="31"/>
  <c r="AM201" i="31"/>
  <c r="R197" i="31"/>
  <c r="AF172" i="31"/>
  <c r="H152" i="31"/>
  <c r="Z132" i="31"/>
  <c r="J118" i="31"/>
  <c r="AS205" i="31"/>
  <c r="J201" i="31"/>
  <c r="BG197" i="31"/>
  <c r="AO193" i="31"/>
  <c r="Z189" i="31"/>
  <c r="N185" i="31"/>
  <c r="AX181" i="31"/>
  <c r="AI181" i="31"/>
  <c r="T177" i="31"/>
  <c r="BE173" i="31"/>
  <c r="BB169" i="31"/>
  <c r="AB169" i="31"/>
  <c r="BE165" i="31"/>
  <c r="BF167" i="31"/>
  <c r="AN168" i="31"/>
  <c r="O148" i="31"/>
  <c r="W128" i="31"/>
  <c r="AL119" i="31"/>
  <c r="AF205" i="31"/>
  <c r="N201" i="31"/>
  <c r="AE197" i="31"/>
  <c r="M193" i="31"/>
  <c r="BA189" i="31"/>
  <c r="AG114" i="31"/>
  <c r="BD164" i="31"/>
  <c r="W144" i="31"/>
  <c r="AC124" i="31"/>
  <c r="AD121" i="31"/>
  <c r="Z205" i="31"/>
  <c r="N197" i="31"/>
  <c r="AY193" i="31"/>
  <c r="AF193" i="31"/>
  <c r="U189" i="31"/>
  <c r="BD185" i="31"/>
  <c r="Z148" i="31"/>
  <c r="BB197" i="31"/>
  <c r="BA185" i="31"/>
  <c r="AN181" i="31"/>
  <c r="X177" i="31"/>
  <c r="BD173" i="31"/>
  <c r="U169" i="31"/>
  <c r="J165" i="31"/>
  <c r="BF161" i="31"/>
  <c r="AF161" i="31"/>
  <c r="J157" i="31"/>
  <c r="AM153" i="31"/>
  <c r="M153" i="31"/>
  <c r="AP149" i="31"/>
  <c r="P149" i="31"/>
  <c r="AU145" i="31"/>
  <c r="U141" i="31"/>
  <c r="AX141" i="31"/>
  <c r="X137" i="31"/>
  <c r="BA133" i="31"/>
  <c r="AE133" i="31"/>
  <c r="BD129" i="31"/>
  <c r="AH129" i="31"/>
  <c r="H125" i="31"/>
  <c r="BC114" i="31"/>
  <c r="AA117" i="31"/>
  <c r="AY119" i="31"/>
  <c r="W122" i="31"/>
  <c r="BC210" i="31"/>
  <c r="M210" i="31"/>
  <c r="BE206" i="31"/>
  <c r="AG202" i="31"/>
  <c r="R116" i="31"/>
  <c r="V193" i="31"/>
  <c r="AA185" i="31"/>
  <c r="BB177" i="31"/>
  <c r="AI173" i="31"/>
  <c r="W169" i="31"/>
  <c r="BG165" i="31"/>
  <c r="AN165" i="31"/>
  <c r="BE161" i="31"/>
  <c r="AI157" i="31"/>
  <c r="I157" i="31"/>
  <c r="AL153" i="31"/>
  <c r="L153" i="31"/>
  <c r="AO149" i="31"/>
  <c r="Q145" i="31"/>
  <c r="AT145" i="31"/>
  <c r="T141" i="31"/>
  <c r="AW137" i="31"/>
  <c r="AA137" i="31"/>
  <c r="Q148" i="31"/>
  <c r="I201" i="31"/>
  <c r="BE185" i="31"/>
  <c r="AZ181" i="31"/>
  <c r="AB177" i="31"/>
  <c r="I173" i="31"/>
  <c r="AC169" i="31"/>
  <c r="N165" i="31"/>
  <c r="K161" i="31"/>
  <c r="AJ161" i="31"/>
  <c r="N157" i="31"/>
  <c r="AQ153" i="31"/>
  <c r="Q153" i="31"/>
  <c r="AT149" i="31"/>
  <c r="T149" i="31"/>
  <c r="AY145" i="31"/>
  <c r="Y141" i="31"/>
  <c r="BB141" i="31"/>
  <c r="AB137" i="31"/>
  <c r="BE133" i="31"/>
  <c r="AI133" i="31"/>
  <c r="AG123" i="31"/>
  <c r="AJ120" i="31"/>
  <c r="AZ117" i="31"/>
  <c r="T115" i="31"/>
  <c r="BF126" i="31"/>
  <c r="AC126" i="31"/>
  <c r="BC130" i="31"/>
  <c r="Z134" i="31"/>
  <c r="AV134" i="31"/>
  <c r="W138" i="31"/>
  <c r="AS138" i="31"/>
  <c r="P142" i="31"/>
  <c r="AP146" i="31"/>
  <c r="M146" i="31"/>
  <c r="AK150" i="31"/>
  <c r="H154" i="31"/>
  <c r="AH154" i="31"/>
  <c r="BD158" i="31"/>
  <c r="AE158" i="31"/>
  <c r="AC162" i="31"/>
  <c r="X166" i="31"/>
  <c r="AX166" i="31"/>
  <c r="U170" i="31"/>
  <c r="AU170" i="31"/>
  <c r="R174" i="31"/>
  <c r="AQ178" i="31"/>
  <c r="N178" i="31"/>
  <c r="AJ182" i="31"/>
  <c r="K186" i="31"/>
  <c r="AG186" i="31"/>
  <c r="BD190" i="31"/>
  <c r="AE190" i="31"/>
  <c r="Z194" i="31"/>
  <c r="AA198" i="31"/>
  <c r="AW198" i="31"/>
  <c r="W202" i="31"/>
  <c r="BA202" i="31"/>
  <c r="L206" i="31"/>
  <c r="AE210" i="31"/>
  <c r="BC121" i="31"/>
  <c r="AQ118" i="31"/>
  <c r="AA115" i="31"/>
  <c r="AB125" i="31"/>
  <c r="AQ129" i="31"/>
  <c r="AQ133" i="31"/>
  <c r="W141" i="31"/>
  <c r="O149" i="31"/>
  <c r="BD161" i="31"/>
  <c r="AS173" i="31"/>
  <c r="AK201" i="31"/>
  <c r="L154" i="31"/>
  <c r="AL154" i="31"/>
  <c r="I158" i="31"/>
  <c r="AI158" i="31"/>
  <c r="AG162" i="31"/>
  <c r="AB166" i="31"/>
  <c r="BB166" i="31"/>
  <c r="Y170" i="31"/>
  <c r="AY170" i="31"/>
  <c r="V174" i="31"/>
  <c r="AU178" i="31"/>
  <c r="R178" i="31"/>
  <c r="AN182" i="31"/>
  <c r="O186" i="31"/>
  <c r="AK186" i="31"/>
  <c r="I190" i="31"/>
  <c r="AI190" i="31"/>
  <c r="AD194" i="31"/>
  <c r="AE198" i="31"/>
  <c r="BA198" i="31"/>
  <c r="AA202" i="31"/>
  <c r="BE202" i="31"/>
  <c r="T206" i="31"/>
  <c r="AI210" i="31"/>
  <c r="AY121" i="31"/>
  <c r="AI118" i="31"/>
  <c r="W115" i="31"/>
  <c r="AF125" i="31"/>
  <c r="AY129" i="31"/>
  <c r="BC133" i="31"/>
  <c r="AM141" i="31"/>
  <c r="AE149" i="31"/>
  <c r="U161" i="31"/>
  <c r="V173" i="31"/>
  <c r="AL209" i="31"/>
  <c r="AV154" i="31"/>
  <c r="W154" i="31"/>
  <c r="AS158" i="31"/>
  <c r="P162" i="31"/>
  <c r="AH162" i="31"/>
  <c r="M166" i="31"/>
  <c r="AM166" i="31"/>
  <c r="J170" i="31"/>
  <c r="AF174" i="31"/>
  <c r="BF174" i="31"/>
  <c r="AB178" i="31"/>
  <c r="BB178" i="31"/>
  <c r="Y182" i="31"/>
  <c r="AY186" i="31"/>
  <c r="V186" i="31"/>
  <c r="AS190" i="31"/>
  <c r="P194" i="31"/>
  <c r="AA194" i="31"/>
  <c r="L198" i="31"/>
  <c r="AL198" i="31"/>
  <c r="H202" i="31"/>
  <c r="AP206" i="31"/>
  <c r="V210" i="31"/>
  <c r="AB210" i="31"/>
  <c r="BC120" i="31"/>
  <c r="AM117" i="31"/>
  <c r="AA114" i="31"/>
  <c r="AC125" i="31"/>
  <c r="AR129" i="31"/>
  <c r="Q133" i="31"/>
  <c r="Z145" i="31"/>
  <c r="R153" i="31"/>
  <c r="P165" i="31"/>
  <c r="R177" i="31"/>
  <c r="M204" i="31"/>
  <c r="V182" i="31"/>
  <c r="BD202" i="31"/>
  <c r="AD210" i="31"/>
  <c r="AQ119" i="31"/>
  <c r="AA125" i="31"/>
  <c r="N133" i="31"/>
  <c r="P137" i="31"/>
  <c r="BA157" i="31"/>
  <c r="AG185" i="31"/>
  <c r="AF120" i="31"/>
  <c r="AI191" i="31"/>
  <c r="BB167" i="31"/>
  <c r="Q147" i="31"/>
  <c r="AV187" i="31"/>
  <c r="V143" i="31"/>
  <c r="J139" i="31"/>
  <c r="M120" i="31"/>
  <c r="W199" i="31"/>
  <c r="M143" i="31"/>
  <c r="AK116" i="31"/>
  <c r="AV123" i="31"/>
  <c r="AY204" i="31"/>
  <c r="M184" i="31"/>
  <c r="AD164" i="31"/>
  <c r="AR144" i="31"/>
  <c r="AU183" i="31"/>
  <c r="U119" i="31"/>
  <c r="AB192" i="31"/>
  <c r="AR172" i="31"/>
  <c r="I152" i="31"/>
  <c r="AA132" i="31"/>
  <c r="AY200" i="31"/>
  <c r="Y180" i="31"/>
  <c r="H147" i="31"/>
  <c r="Z204" i="31"/>
  <c r="AH192" i="31"/>
  <c r="X127" i="31"/>
  <c r="U204" i="31"/>
  <c r="AL184" i="31"/>
  <c r="AF167" i="31"/>
  <c r="AF168" i="31"/>
  <c r="AZ148" i="31"/>
  <c r="S128" i="31"/>
  <c r="AP119" i="31"/>
  <c r="AB205" i="31"/>
  <c r="O201" i="31"/>
  <c r="AA189" i="31"/>
  <c r="AF181" i="31"/>
  <c r="AQ169" i="31"/>
  <c r="AH168" i="31"/>
  <c r="AW148" i="31"/>
  <c r="AV128" i="31"/>
  <c r="AX118" i="31"/>
  <c r="J209" i="31"/>
  <c r="BA139" i="31"/>
  <c r="BB200" i="31"/>
  <c r="AN172" i="31"/>
  <c r="J160" i="31"/>
  <c r="P152" i="31"/>
  <c r="X140" i="31"/>
  <c r="AH132" i="31"/>
  <c r="BG124" i="31"/>
  <c r="BF117" i="31"/>
  <c r="BE122" i="31"/>
  <c r="W209" i="31"/>
  <c r="AV201" i="31"/>
  <c r="J200" i="31"/>
  <c r="P140" i="31"/>
  <c r="M123" i="31"/>
  <c r="AK197" i="31"/>
  <c r="W193" i="31"/>
  <c r="AB185" i="31"/>
  <c r="BA177" i="31"/>
  <c r="X173" i="31"/>
  <c r="S165" i="31"/>
  <c r="AR165" i="31"/>
  <c r="AX156" i="31"/>
  <c r="AP114" i="31"/>
  <c r="AB201" i="31"/>
  <c r="AX193" i="31"/>
  <c r="P189" i="31"/>
  <c r="O152" i="31"/>
  <c r="AH116" i="31"/>
  <c r="U209" i="31"/>
  <c r="AB197" i="31"/>
  <c r="BB189" i="31"/>
  <c r="M159" i="31"/>
  <c r="I193" i="31"/>
  <c r="AH177" i="31"/>
  <c r="BF169" i="31"/>
  <c r="X165" i="31"/>
  <c r="W157" i="31"/>
  <c r="Z153" i="31"/>
  <c r="AC149" i="31"/>
  <c r="BD145" i="31"/>
  <c r="H141" i="31"/>
  <c r="O137" i="31"/>
  <c r="R133" i="31"/>
  <c r="U125" i="31"/>
  <c r="O116" i="31"/>
  <c r="K121" i="31"/>
  <c r="AP210" i="31"/>
  <c r="J206" i="31"/>
  <c r="AQ201" i="31"/>
  <c r="I181" i="31"/>
  <c r="Y173" i="31"/>
  <c r="Z165" i="31"/>
  <c r="AR161" i="31"/>
  <c r="AY153" i="31"/>
  <c r="BB149" i="31"/>
  <c r="BG145" i="31"/>
  <c r="K141" i="31"/>
  <c r="AJ137" i="31"/>
  <c r="AP118" i="31"/>
  <c r="K185" i="31"/>
  <c r="K169" i="31"/>
  <c r="AF165" i="31"/>
  <c r="AZ157" i="31"/>
  <c r="AG149" i="31"/>
  <c r="AL145" i="31"/>
  <c r="S137" i="31"/>
  <c r="AZ121" i="31"/>
  <c r="AJ116" i="31"/>
  <c r="AP130" i="31"/>
  <c r="AM134" i="31"/>
  <c r="BF142" i="31"/>
  <c r="BC146" i="31"/>
  <c r="U154" i="31"/>
  <c r="J162" i="31"/>
  <c r="AK166" i="31"/>
  <c r="BD174" i="31"/>
  <c r="AE174" i="31"/>
  <c r="AZ178" i="31"/>
  <c r="AA182" i="31"/>
  <c r="AW182" i="31"/>
  <c r="T186" i="31"/>
  <c r="AT186" i="31"/>
  <c r="R190" i="31"/>
  <c r="AN194" i="31"/>
  <c r="BG194" i="31"/>
  <c r="AJ198" i="31"/>
  <c r="J202" i="31"/>
  <c r="AF202" i="31"/>
  <c r="AG206" i="31"/>
  <c r="AG210" i="31"/>
  <c r="AD125" i="31"/>
  <c r="W120" i="31"/>
  <c r="BG116" i="31"/>
  <c r="AT125" i="31"/>
  <c r="J129" i="31"/>
  <c r="Y129" i="31"/>
  <c r="Z137" i="31"/>
  <c r="P145" i="31"/>
  <c r="H157" i="31"/>
  <c r="AP165" i="31"/>
  <c r="AG181" i="31"/>
  <c r="BB150" i="31"/>
  <c r="Y154" i="31"/>
  <c r="AY154" i="31"/>
  <c r="V158" i="31"/>
  <c r="N162" i="31"/>
  <c r="S162" i="31"/>
  <c r="AO166" i="31"/>
  <c r="L170" i="31"/>
  <c r="AL170" i="31"/>
  <c r="I174" i="31"/>
  <c r="AI174" i="31"/>
  <c r="AE182" i="31"/>
  <c r="BA182" i="31"/>
  <c r="X186" i="31"/>
  <c r="AX186" i="31"/>
  <c r="V190" i="31"/>
  <c r="AU194" i="31"/>
  <c r="AZ194" i="31"/>
  <c r="Z202" i="31"/>
  <c r="AK206" i="31"/>
  <c r="AX124" i="31"/>
  <c r="BC116" i="31"/>
  <c r="N129" i="31"/>
  <c r="AP137" i="31"/>
  <c r="X157" i="31"/>
  <c r="K165" i="31"/>
  <c r="AM150" i="31"/>
  <c r="AF158" i="31"/>
  <c r="AN162" i="31"/>
  <c r="AV170" i="31"/>
  <c r="AS174" i="31"/>
  <c r="AO178" i="31"/>
  <c r="AL182" i="31"/>
  <c r="AF190" i="31"/>
  <c r="AO194" i="31"/>
  <c r="Y198" i="31"/>
  <c r="U202" i="31"/>
  <c r="AX210" i="31"/>
  <c r="W119" i="31"/>
  <c r="AY125" i="31"/>
  <c r="AT133" i="31"/>
  <c r="AC137" i="31"/>
  <c r="O157" i="31"/>
  <c r="P193" i="31"/>
  <c r="AW183" i="31"/>
  <c r="AD151" i="31"/>
  <c r="AF147" i="31"/>
  <c r="AJ131" i="31"/>
  <c r="BC208" i="31"/>
  <c r="AK155" i="31"/>
  <c r="V127" i="31"/>
  <c r="R175" i="31"/>
  <c r="AC121" i="31"/>
  <c r="AA188" i="31"/>
  <c r="AQ168" i="31"/>
  <c r="AW160" i="31"/>
  <c r="V132" i="31"/>
  <c r="AP159" i="31"/>
  <c r="AG204" i="31"/>
  <c r="BD176" i="31"/>
  <c r="V156" i="31"/>
  <c r="AJ136" i="31"/>
  <c r="I116" i="31"/>
  <c r="BB184" i="31"/>
  <c r="P171" i="31"/>
  <c r="AZ208" i="31"/>
  <c r="K200" i="31"/>
  <c r="AH143" i="31"/>
  <c r="AI200" i="31"/>
  <c r="M192" i="31"/>
  <c r="AO120" i="31"/>
  <c r="BG176" i="31"/>
  <c r="Z152" i="31"/>
  <c r="AN132" i="31"/>
  <c r="BB116" i="31"/>
  <c r="AD209" i="31"/>
  <c r="J197" i="31"/>
  <c r="Q189" i="31"/>
  <c r="W185" i="31"/>
  <c r="AD173" i="31"/>
  <c r="AA180" i="31"/>
  <c r="H156" i="31"/>
  <c r="Z136" i="31"/>
  <c r="J116" i="31"/>
  <c r="AQ209" i="31"/>
  <c r="R205" i="31"/>
  <c r="AE192" i="31"/>
  <c r="R168" i="31"/>
  <c r="P160" i="31"/>
  <c r="AN148" i="31"/>
  <c r="AH140" i="31"/>
  <c r="AN128" i="31"/>
  <c r="K124" i="31"/>
  <c r="BB118" i="31"/>
  <c r="AV209" i="31"/>
  <c r="U205" i="31"/>
  <c r="BC201" i="31"/>
  <c r="T176" i="31"/>
  <c r="AV132" i="31"/>
  <c r="AX116" i="31"/>
  <c r="AA201" i="31"/>
  <c r="J193" i="31"/>
  <c r="S185" i="31"/>
  <c r="AN177" i="31"/>
  <c r="S169" i="31"/>
  <c r="AR169" i="31"/>
  <c r="AY161" i="31"/>
  <c r="AX148" i="31"/>
  <c r="Z118" i="31"/>
  <c r="AL201" i="31"/>
  <c r="AK193" i="31"/>
  <c r="U147" i="31"/>
  <c r="AS144" i="31"/>
  <c r="AP128" i="31"/>
  <c r="AZ205" i="31"/>
  <c r="S197" i="31"/>
  <c r="AO189" i="31"/>
  <c r="R156" i="31"/>
  <c r="L189" i="31"/>
  <c r="AZ177" i="31"/>
  <c r="AS169" i="31"/>
  <c r="W161" i="31"/>
  <c r="AV161" i="31"/>
  <c r="BC153" i="31"/>
  <c r="BF149" i="31"/>
  <c r="H145" i="31"/>
  <c r="O141" i="31"/>
  <c r="R137" i="31"/>
  <c r="U129" i="31"/>
  <c r="X125" i="31"/>
  <c r="K117" i="31"/>
  <c r="BG121" i="31"/>
  <c r="P210" i="31"/>
  <c r="W206" i="31"/>
  <c r="AS124" i="31"/>
  <c r="BG185" i="31"/>
  <c r="O177" i="31"/>
  <c r="X169" i="31"/>
  <c r="V161" i="31"/>
  <c r="Y157" i="31"/>
  <c r="AB153" i="31"/>
  <c r="K145" i="31"/>
  <c r="N141" i="31"/>
  <c r="AN160" i="31"/>
  <c r="AF189" i="31"/>
  <c r="Y181" i="31"/>
  <c r="AO173" i="31"/>
  <c r="AH165" i="31"/>
  <c r="AZ161" i="31"/>
  <c r="BG153" i="31"/>
  <c r="K149" i="31"/>
  <c r="L145" i="31"/>
  <c r="S141" i="31"/>
  <c r="V137" i="31"/>
  <c r="AL124" i="31"/>
  <c r="T118" i="31"/>
  <c r="AJ115" i="31"/>
  <c r="M126" i="31"/>
  <c r="J134" i="31"/>
  <c r="BF138" i="31"/>
  <c r="BC142" i="31"/>
  <c r="AV146" i="31"/>
  <c r="AU150" i="31"/>
  <c r="AN158" i="31"/>
  <c r="AV162" i="31"/>
  <c r="AH166" i="31"/>
  <c r="AE170" i="31"/>
  <c r="AA178" i="31"/>
  <c r="T182" i="31"/>
  <c r="Q186" i="31"/>
  <c r="O190" i="31"/>
  <c r="K198" i="31"/>
  <c r="BF202" i="31"/>
  <c r="AU206" i="31"/>
  <c r="AA122" i="31"/>
  <c r="AU115" i="31"/>
  <c r="BG125" i="31"/>
  <c r="K133" i="31"/>
  <c r="BA149" i="31"/>
  <c r="AM169" i="31"/>
  <c r="AY150" i="31"/>
  <c r="AR158" i="31"/>
  <c r="AZ162" i="31"/>
  <c r="AL166" i="31"/>
  <c r="AI170" i="31"/>
  <c r="AE178" i="31"/>
  <c r="X182" i="31"/>
  <c r="AX182" i="31"/>
  <c r="AX177" i="31"/>
  <c r="AO211" i="31"/>
  <c r="O195" i="31"/>
  <c r="S167" i="31"/>
  <c r="AG147" i="31"/>
  <c r="AC187" i="31"/>
  <c r="T163" i="31"/>
  <c r="AL143" i="31"/>
  <c r="H163" i="31"/>
  <c r="AP139" i="31"/>
  <c r="AQ127" i="31"/>
  <c r="AW119" i="31"/>
  <c r="AS199" i="31"/>
  <c r="AE163" i="31"/>
  <c r="AS143" i="31"/>
  <c r="S131" i="31"/>
  <c r="U116" i="31"/>
  <c r="AG208" i="31"/>
  <c r="M155" i="31"/>
  <c r="J127" i="31"/>
  <c r="L204" i="31"/>
  <c r="W196" i="31"/>
  <c r="AC184" i="31"/>
  <c r="AM176" i="31"/>
  <c r="AT164" i="31"/>
  <c r="AZ156" i="31"/>
  <c r="I144" i="31"/>
  <c r="S136" i="31"/>
  <c r="R183" i="31"/>
  <c r="BD139" i="31"/>
  <c r="AO118" i="31"/>
  <c r="AD200" i="31"/>
  <c r="AR192" i="31"/>
  <c r="BA180" i="31"/>
  <c r="I172" i="31"/>
  <c r="S160" i="31"/>
  <c r="Y152" i="31"/>
  <c r="AG140" i="31"/>
  <c r="AQ132" i="31"/>
  <c r="R147" i="31"/>
  <c r="AZ200" i="31"/>
  <c r="AV192" i="31"/>
  <c r="BE180" i="31"/>
  <c r="M172" i="31"/>
  <c r="AF151" i="31"/>
  <c r="O123" i="31"/>
  <c r="BF204" i="31"/>
  <c r="O192" i="31"/>
  <c r="T184" i="31"/>
  <c r="P163" i="31"/>
  <c r="AK127" i="31"/>
  <c r="BE204" i="31"/>
  <c r="I196" i="31"/>
  <c r="T188" i="31"/>
  <c r="Y176" i="31"/>
  <c r="BE175" i="31"/>
  <c r="AU188" i="31"/>
  <c r="M168" i="31"/>
  <c r="W156" i="31"/>
  <c r="AM148" i="31"/>
  <c r="AK136" i="31"/>
  <c r="AU128" i="31"/>
  <c r="AD114" i="31"/>
  <c r="Z119" i="31"/>
  <c r="X209" i="31"/>
  <c r="AV205" i="31"/>
  <c r="AE201" i="31"/>
  <c r="AM197" i="31"/>
  <c r="AQ189" i="31"/>
  <c r="AS185" i="31"/>
  <c r="AV181" i="31"/>
  <c r="BC177" i="31"/>
  <c r="BG169" i="31"/>
  <c r="AG196" i="31"/>
  <c r="W168" i="31"/>
  <c r="BD160" i="31"/>
  <c r="AG148" i="31"/>
  <c r="W140" i="31"/>
  <c r="AC128" i="31"/>
  <c r="AE124" i="31"/>
  <c r="AH118" i="31"/>
  <c r="AD124" i="31"/>
  <c r="M209" i="31"/>
  <c r="H205" i="31"/>
  <c r="AS151" i="31"/>
  <c r="W204" i="31"/>
  <c r="AJ184" i="31"/>
  <c r="BA172" i="31"/>
  <c r="AM164" i="31"/>
  <c r="AP160" i="31"/>
  <c r="AS156" i="31"/>
  <c r="AV152" i="31"/>
  <c r="BA144" i="31"/>
  <c r="BD140" i="31"/>
  <c r="H136" i="31"/>
  <c r="O132" i="31"/>
  <c r="AT128" i="31"/>
  <c r="T124" i="31"/>
  <c r="R115" i="31"/>
  <c r="AP117" i="31"/>
  <c r="N120" i="31"/>
  <c r="AL122" i="31"/>
  <c r="AM209" i="31"/>
  <c r="AH209" i="31"/>
  <c r="BF205" i="31"/>
  <c r="Q201" i="31"/>
  <c r="BB201" i="31"/>
  <c r="AC119" i="31"/>
  <c r="X164" i="31"/>
  <c r="AP144" i="31"/>
  <c r="M124" i="31"/>
  <c r="AT121" i="31"/>
  <c r="J205" i="31"/>
  <c r="BE197" i="31"/>
  <c r="AU193" i="31"/>
  <c r="AB193" i="31"/>
  <c r="M189" i="31"/>
  <c r="AZ185" i="31"/>
  <c r="AK181" i="31"/>
  <c r="V177" i="31"/>
  <c r="K177" i="31"/>
  <c r="AR173" i="31"/>
  <c r="BE169" i="31"/>
  <c r="AI165" i="31"/>
  <c r="I165" i="31"/>
  <c r="AT196" i="31"/>
  <c r="U160" i="31"/>
  <c r="AM140" i="31"/>
  <c r="AM124" i="31"/>
  <c r="AX123" i="31"/>
  <c r="M201" i="31"/>
  <c r="AG197" i="31"/>
  <c r="S193" i="31"/>
  <c r="BC189" i="31"/>
  <c r="AN189" i="31"/>
  <c r="BG184" i="31"/>
  <c r="AK156" i="31"/>
  <c r="BC136" i="31"/>
  <c r="V115" i="31"/>
  <c r="AI209" i="31"/>
  <c r="L201" i="31"/>
  <c r="AZ197" i="31"/>
  <c r="AL193" i="31"/>
  <c r="W189" i="31"/>
  <c r="H189" i="31"/>
  <c r="AU185" i="31"/>
  <c r="BF114" i="31"/>
  <c r="AP193" i="31"/>
  <c r="AE185" i="31"/>
  <c r="K181" i="31"/>
  <c r="AU173" i="31"/>
  <c r="AA169" i="31"/>
  <c r="H169" i="31"/>
  <c r="AV165" i="31"/>
  <c r="J161" i="31"/>
  <c r="AM157" i="31"/>
  <c r="M157" i="31"/>
  <c r="AP153" i="31"/>
  <c r="P153" i="31"/>
  <c r="AS149" i="31"/>
  <c r="U145" i="31"/>
  <c r="AX145" i="31"/>
  <c r="X141" i="31"/>
  <c r="BA137" i="31"/>
  <c r="AE137" i="31"/>
  <c r="BD133" i="31"/>
  <c r="AH133" i="31"/>
  <c r="H129" i="31"/>
  <c r="AK125" i="31"/>
  <c r="O125" i="31"/>
  <c r="AY115" i="31"/>
  <c r="W118" i="31"/>
  <c r="AU120" i="31"/>
  <c r="BB123" i="31"/>
  <c r="BF210" i="31"/>
  <c r="AF206" i="31"/>
  <c r="I206" i="31"/>
  <c r="AK164" i="31"/>
  <c r="AT205" i="31"/>
  <c r="Y189" i="31"/>
  <c r="AO181" i="31"/>
  <c r="U177" i="31"/>
  <c r="BA173" i="31"/>
  <c r="J169" i="31"/>
  <c r="AT165" i="31"/>
  <c r="AI161" i="31"/>
  <c r="I161" i="31"/>
  <c r="AL157" i="31"/>
  <c r="L157" i="31"/>
  <c r="AO153" i="31"/>
  <c r="S149" i="31"/>
  <c r="AR149" i="31"/>
  <c r="T145" i="31"/>
  <c r="AW141" i="31"/>
  <c r="AA141" i="31"/>
  <c r="AZ137" i="31"/>
  <c r="AD137" i="31"/>
  <c r="W124" i="31"/>
  <c r="O193" i="31"/>
  <c r="AI185" i="31"/>
  <c r="S181" i="31"/>
  <c r="AY173" i="31"/>
  <c r="AE169" i="31"/>
  <c r="P169" i="31"/>
  <c r="AZ165" i="31"/>
  <c r="N161" i="31"/>
  <c r="AQ157" i="31"/>
  <c r="Q157" i="31"/>
  <c r="AT153" i="31"/>
  <c r="T153" i="31"/>
  <c r="AW149" i="31"/>
  <c r="Y145" i="31"/>
  <c r="BB145" i="31"/>
  <c r="AB141" i="31"/>
  <c r="BE137" i="31"/>
  <c r="AI137" i="31"/>
  <c r="I133" i="31"/>
  <c r="AL133" i="31"/>
  <c r="T122" i="31"/>
  <c r="AJ119" i="31"/>
  <c r="AZ116" i="31"/>
  <c r="T114" i="31"/>
  <c r="BC126" i="31"/>
  <c r="Z130" i="31"/>
  <c r="AV130" i="31"/>
  <c r="W134" i="31"/>
  <c r="AS134" i="31"/>
  <c r="P138" i="31"/>
  <c r="AP142" i="31"/>
  <c r="M142" i="31"/>
  <c r="AM146" i="31"/>
  <c r="H150" i="31"/>
  <c r="AH150" i="31"/>
  <c r="BD154" i="31"/>
  <c r="AE154" i="31"/>
  <c r="BA158" i="31"/>
  <c r="I162" i="31"/>
  <c r="AP162" i="31"/>
  <c r="U166" i="31"/>
  <c r="AU166" i="31"/>
  <c r="R170" i="31"/>
  <c r="AN174" i="31"/>
  <c r="O174" i="31"/>
  <c r="AJ178" i="31"/>
  <c r="K182" i="31"/>
  <c r="AG182" i="31"/>
  <c r="BG186" i="31"/>
  <c r="AD186" i="31"/>
  <c r="BA190" i="31"/>
  <c r="X194" i="31"/>
  <c r="AI194" i="31"/>
  <c r="T198" i="31"/>
  <c r="AT198" i="31"/>
  <c r="P202" i="31"/>
  <c r="M206" i="31"/>
  <c r="I210" i="31"/>
  <c r="AN210" i="31"/>
  <c r="AQ120" i="31"/>
  <c r="AE117" i="31"/>
  <c r="O114" i="31"/>
  <c r="AO125" i="31"/>
  <c r="AZ129" i="31"/>
  <c r="AG133" i="31"/>
  <c r="BF145" i="31"/>
  <c r="AX153" i="31"/>
  <c r="BD165" i="31"/>
  <c r="AA181" i="31"/>
  <c r="AL150" i="31"/>
  <c r="I154" i="31"/>
  <c r="AI154" i="31"/>
  <c r="BE158" i="31"/>
  <c r="M162" i="31"/>
  <c r="AT162" i="31"/>
  <c r="Y166" i="31"/>
  <c r="AY166" i="31"/>
  <c r="V170" i="31"/>
  <c r="AR174" i="31"/>
  <c r="S174" i="31"/>
  <c r="AN178" i="31"/>
  <c r="O182" i="31"/>
  <c r="AK182" i="31"/>
  <c r="H186" i="31"/>
  <c r="AH186" i="31"/>
  <c r="BE190" i="31"/>
  <c r="AB194" i="31"/>
  <c r="AM194" i="31"/>
  <c r="X198" i="31"/>
  <c r="AX198" i="31"/>
  <c r="T202" i="31"/>
  <c r="Q206" i="31"/>
  <c r="Q210" i="31"/>
  <c r="AR210" i="31"/>
  <c r="AM120" i="31"/>
  <c r="W117" i="31"/>
  <c r="K114" i="31"/>
  <c r="AS125" i="31"/>
  <c r="I129" i="31"/>
  <c r="AS133" i="31"/>
  <c r="W145" i="31"/>
  <c r="O153" i="31"/>
  <c r="AC165" i="31"/>
  <c r="AY181" i="31"/>
  <c r="W150" i="31"/>
  <c r="AS154" i="31"/>
  <c r="P158" i="31"/>
  <c r="AP158" i="31"/>
  <c r="T162" i="31"/>
  <c r="AM162" i="31"/>
  <c r="J166" i="31"/>
  <c r="AF170" i="31"/>
  <c r="BF170" i="31"/>
  <c r="AC174" i="31"/>
  <c r="BC174" i="31"/>
  <c r="Y178" i="31"/>
  <c r="AY182" i="31"/>
  <c r="AR186" i="31"/>
  <c r="P190" i="31"/>
  <c r="AP190" i="31"/>
  <c r="Y194" i="31"/>
  <c r="BE194" i="31"/>
  <c r="I198" i="31"/>
  <c r="R202" i="31"/>
  <c r="O206" i="31"/>
  <c r="V123" i="31"/>
  <c r="AA116" i="31"/>
  <c r="AP129" i="31"/>
  <c r="H149" i="31"/>
  <c r="M169" i="31"/>
  <c r="BD191" i="31"/>
  <c r="BG159" i="31"/>
  <c r="AE159" i="31"/>
  <c r="AA127" i="31"/>
  <c r="AX163" i="31"/>
  <c r="BB131" i="31"/>
  <c r="Q208" i="31"/>
  <c r="BC151" i="31"/>
  <c r="BG192" i="31"/>
  <c r="W176" i="31"/>
  <c r="AJ156" i="31"/>
  <c r="BB136" i="31"/>
  <c r="AU139" i="31"/>
  <c r="N200" i="31"/>
  <c r="AK180" i="31"/>
  <c r="BB160" i="31"/>
  <c r="Q140" i="31"/>
  <c r="AU143" i="31"/>
  <c r="P192" i="31"/>
  <c r="BD207" i="31"/>
  <c r="M115" i="31"/>
  <c r="AQ184" i="31"/>
  <c r="AS159" i="31"/>
  <c r="AB196" i="31"/>
  <c r="AR176" i="31"/>
  <c r="R188" i="31"/>
  <c r="AP156" i="31"/>
  <c r="BD136" i="31"/>
  <c r="AT114" i="31"/>
  <c r="H209" i="31"/>
  <c r="W197" i="31"/>
  <c r="AC185" i="31"/>
  <c r="AM177" i="31"/>
  <c r="K196" i="31"/>
  <c r="X160" i="31"/>
  <c r="AP140" i="31"/>
  <c r="O124" i="31"/>
  <c r="AZ209" i="31"/>
  <c r="AP205" i="31"/>
  <c r="N180" i="31"/>
  <c r="BF164" i="31"/>
  <c r="M156" i="31"/>
  <c r="U144" i="31"/>
  <c r="AE136" i="31"/>
  <c r="AD128" i="31"/>
  <c r="AH115" i="31"/>
  <c r="AD120" i="31"/>
  <c r="AW205" i="31"/>
  <c r="AJ205" i="31"/>
  <c r="AX201" i="31"/>
  <c r="BA160" i="31"/>
  <c r="BC124" i="31"/>
  <c r="U201" i="31"/>
  <c r="H193" i="31"/>
  <c r="AR189" i="31"/>
  <c r="Q181" i="31"/>
  <c r="AM173" i="31"/>
  <c r="AO169" i="31"/>
  <c r="AG188" i="31"/>
  <c r="M136" i="31"/>
  <c r="L209" i="31"/>
  <c r="I197" i="31"/>
  <c r="AI189" i="31"/>
  <c r="AG176" i="31"/>
  <c r="AC132" i="31"/>
  <c r="AI201" i="31"/>
  <c r="R193" i="31"/>
  <c r="AL185" i="31"/>
  <c r="BB119" i="31"/>
  <c r="BB181" i="31"/>
  <c r="O173" i="31"/>
  <c r="AQ165" i="31"/>
  <c r="AS161" i="31"/>
  <c r="AV157" i="31"/>
  <c r="BC149" i="31"/>
  <c r="AH145" i="31"/>
  <c r="AK137" i="31"/>
  <c r="AN133" i="31"/>
  <c r="AU129" i="31"/>
  <c r="AX125" i="31"/>
  <c r="AM118" i="31"/>
  <c r="N125" i="31"/>
  <c r="P206" i="31"/>
  <c r="AU152" i="31"/>
  <c r="AT185" i="31"/>
  <c r="AR177" i="31"/>
  <c r="AK169" i="31"/>
  <c r="S161" i="31"/>
  <c r="V157" i="31"/>
  <c r="Y153" i="31"/>
  <c r="AB149" i="31"/>
  <c r="AG141" i="31"/>
  <c r="N137" i="31"/>
  <c r="AC193" i="31"/>
  <c r="AL177" i="31"/>
  <c r="W173" i="31"/>
  <c r="AU165" i="31"/>
  <c r="AW161" i="31"/>
  <c r="AA157" i="31"/>
  <c r="AD153" i="31"/>
  <c r="BG149" i="31"/>
  <c r="I145" i="31"/>
  <c r="L141" i="31"/>
  <c r="AO137" i="31"/>
  <c r="AR133" i="31"/>
  <c r="V133" i="31"/>
  <c r="T119" i="31"/>
  <c r="AU122" i="31"/>
  <c r="P126" i="31"/>
  <c r="M130" i="31"/>
  <c r="J138" i="31"/>
  <c r="AF138" i="31"/>
  <c r="AC142" i="31"/>
  <c r="X150" i="31"/>
  <c r="AX150" i="31"/>
  <c r="AU154" i="31"/>
  <c r="R158" i="31"/>
  <c r="BF162" i="31"/>
  <c r="H170" i="31"/>
  <c r="AH170" i="31"/>
  <c r="BD178" i="31"/>
  <c r="AN198" i="31"/>
  <c r="AJ202" i="31"/>
  <c r="AK210" i="31"/>
  <c r="S120" i="31"/>
  <c r="BB125" i="31"/>
  <c r="AC129" i="31"/>
  <c r="AF145" i="31"/>
  <c r="N181" i="31"/>
  <c r="J154" i="31"/>
  <c r="BF158" i="31"/>
  <c r="BC162" i="31"/>
  <c r="Z166" i="31"/>
  <c r="W170" i="31"/>
  <c r="S178" i="31"/>
  <c r="L182" i="31"/>
  <c r="I186" i="31"/>
  <c r="BF190" i="31"/>
  <c r="BB194" i="31"/>
  <c r="AL202" i="31"/>
  <c r="AI206" i="31"/>
  <c r="AI122" i="31"/>
  <c r="BG115" i="31"/>
  <c r="K129" i="31"/>
  <c r="U149" i="31"/>
  <c r="AT169" i="31"/>
  <c r="BG166" i="31"/>
  <c r="AV199" i="31"/>
  <c r="Y159" i="31"/>
  <c r="AQ139" i="31"/>
  <c r="N171" i="31"/>
  <c r="BD187" i="31"/>
  <c r="BA114" i="31"/>
  <c r="AE175" i="31"/>
  <c r="L135" i="31"/>
  <c r="Q121" i="31"/>
  <c r="BC135" i="31"/>
  <c r="AH200" i="31"/>
  <c r="AF180" i="31"/>
  <c r="BG148" i="31"/>
  <c r="L140" i="31"/>
  <c r="AV127" i="31"/>
  <c r="AN196" i="31"/>
  <c r="AX184" i="31"/>
  <c r="L168" i="31"/>
  <c r="AD148" i="31"/>
  <c r="AL203" i="31"/>
  <c r="AR196" i="31"/>
  <c r="I176" i="31"/>
  <c r="AK131" i="31"/>
  <c r="AW188" i="31"/>
  <c r="U187" i="31"/>
  <c r="BA117" i="31"/>
  <c r="V180" i="31"/>
  <c r="AC172" i="31"/>
  <c r="P164" i="31"/>
  <c r="AH144" i="31"/>
  <c r="I124" i="31"/>
  <c r="AX121" i="31"/>
  <c r="BE201" i="31"/>
  <c r="N193" i="31"/>
  <c r="Z177" i="31"/>
  <c r="AH131" i="31"/>
  <c r="BA164" i="31"/>
  <c r="P144" i="31"/>
  <c r="BA124" i="31"/>
  <c r="BF120" i="31"/>
  <c r="AR205" i="31"/>
  <c r="AU123" i="31"/>
  <c r="AW176" i="31"/>
  <c r="M164" i="31"/>
  <c r="W152" i="31"/>
  <c r="AE144" i="31"/>
  <c r="AK132" i="31"/>
  <c r="AG124" i="31"/>
  <c r="AD116" i="31"/>
  <c r="Z121" i="31"/>
  <c r="Y209" i="31"/>
  <c r="AD205" i="31"/>
  <c r="AH197" i="31"/>
  <c r="AH152" i="31"/>
  <c r="AT209" i="31"/>
  <c r="X197" i="31"/>
  <c r="AX189" i="31"/>
  <c r="AH185" i="31"/>
  <c r="BG181" i="31"/>
  <c r="Z173" i="31"/>
  <c r="V165" i="31"/>
  <c r="AU168" i="31"/>
  <c r="AS128" i="31"/>
  <c r="BC205" i="31"/>
  <c r="AY197" i="31"/>
  <c r="V189" i="31"/>
  <c r="AE164" i="31"/>
  <c r="R120" i="31"/>
  <c r="AT197" i="31"/>
  <c r="BD193" i="31"/>
  <c r="Y185" i="31"/>
  <c r="T201" i="31"/>
  <c r="U181" i="31"/>
  <c r="AC173" i="31"/>
  <c r="AD165" i="31"/>
  <c r="Z157" i="31"/>
  <c r="AC153" i="31"/>
  <c r="AF149" i="31"/>
  <c r="AK141" i="31"/>
  <c r="AN137" i="31"/>
  <c r="AU133" i="31"/>
  <c r="AX129" i="31"/>
  <c r="AM114" i="31"/>
  <c r="AI119" i="31"/>
  <c r="AC210" i="31"/>
  <c r="AW202" i="31"/>
  <c r="BC193" i="31"/>
  <c r="AE181" i="31"/>
  <c r="AU169" i="31"/>
  <c r="M165" i="31"/>
  <c r="AY157" i="31"/>
  <c r="BB153" i="31"/>
  <c r="BE149" i="31"/>
  <c r="AG145" i="31"/>
  <c r="AJ141" i="31"/>
  <c r="AQ137" i="31"/>
  <c r="AZ201" i="31"/>
  <c r="BD177" i="31"/>
  <c r="AW169" i="31"/>
  <c r="AA161" i="31"/>
  <c r="AD157" i="31"/>
  <c r="AG153" i="31"/>
  <c r="AJ149" i="31"/>
  <c r="AO141" i="31"/>
  <c r="AR137" i="31"/>
  <c r="AY133" i="31"/>
  <c r="AZ120" i="31"/>
  <c r="AP126" i="31"/>
  <c r="AM130" i="31"/>
  <c r="AF134" i="31"/>
  <c r="AC138" i="31"/>
  <c r="Z146" i="31"/>
  <c r="U150" i="31"/>
  <c r="R154" i="31"/>
  <c r="O158" i="31"/>
  <c r="H166" i="31"/>
  <c r="BD170" i="31"/>
  <c r="BA174" i="31"/>
  <c r="AW178" i="31"/>
  <c r="AT182" i="31"/>
  <c r="AN190" i="31"/>
  <c r="J194" i="31"/>
  <c r="AG198" i="31"/>
  <c r="AC202" i="31"/>
  <c r="K210" i="31"/>
  <c r="K119" i="31"/>
  <c r="W129" i="31"/>
  <c r="J141" i="31"/>
  <c r="AU157" i="31"/>
  <c r="AI193" i="31"/>
  <c r="V154" i="31"/>
  <c r="S158" i="31"/>
  <c r="L166" i="31"/>
  <c r="I170" i="31"/>
  <c r="BE174" i="31"/>
  <c r="BA178" i="31"/>
  <c r="U186" i="31"/>
  <c r="AR190" i="31"/>
  <c r="AK198" i="31"/>
  <c r="O210" i="31"/>
  <c r="L125" i="31"/>
  <c r="R149" i="31"/>
  <c r="AF154" i="31"/>
  <c r="BA162" i="31"/>
  <c r="P174" i="31"/>
  <c r="I182" i="31"/>
  <c r="BC190" i="31"/>
  <c r="AU202" i="31"/>
  <c r="W121" i="31"/>
  <c r="T129" i="31"/>
  <c r="AX161" i="31"/>
  <c r="N194" i="31"/>
  <c r="BG118" i="31"/>
  <c r="L173" i="31"/>
  <c r="L178" i="31"/>
  <c r="AY198" i="31"/>
  <c r="AU114" i="31"/>
  <c r="AC140" i="31"/>
  <c r="O198" i="31"/>
  <c r="Z141" i="31"/>
  <c r="BC158" i="31"/>
  <c r="AL178" i="31"/>
  <c r="AC190" i="31"/>
  <c r="H210" i="31"/>
  <c r="BD153" i="31"/>
  <c r="S190" i="31"/>
  <c r="K202" i="31"/>
  <c r="S122" i="31"/>
  <c r="AA129" i="31"/>
  <c r="H161" i="31"/>
  <c r="BF154" i="31"/>
  <c r="AV166" i="31"/>
  <c r="AP174" i="31"/>
  <c r="AI186" i="31"/>
  <c r="K194" i="31"/>
  <c r="V206" i="31"/>
  <c r="K118" i="31"/>
  <c r="AJ133" i="31"/>
  <c r="H177" i="31"/>
  <c r="AK202" i="31"/>
  <c r="W133" i="31"/>
  <c r="AC158" i="31"/>
  <c r="W166" i="31"/>
  <c r="BE186" i="31"/>
  <c r="AR206" i="31"/>
  <c r="M141" i="31"/>
  <c r="AY206" i="31"/>
  <c r="AQ115" i="31"/>
  <c r="L197" i="31"/>
  <c r="AS170" i="31"/>
  <c r="V198" i="31"/>
  <c r="I125" i="31"/>
  <c r="D9" i="30"/>
  <c r="E9" i="30"/>
  <c r="B10" i="30"/>
  <c r="A10" i="30" s="1"/>
  <c r="C15" i="17"/>
  <c r="J13" i="39" s="1"/>
  <c r="B15" i="17"/>
  <c r="I13" i="39" s="1"/>
  <c r="A56" i="26"/>
  <c r="A55" i="26"/>
  <c r="A57" i="26"/>
  <c r="E4" i="17"/>
  <c r="A69" i="26"/>
  <c r="A70" i="26"/>
  <c r="A71" i="26"/>
  <c r="A72" i="26"/>
  <c r="A73" i="26"/>
  <c r="A74" i="26"/>
  <c r="A75" i="26"/>
  <c r="A76" i="26"/>
  <c r="A77" i="26"/>
  <c r="A68" i="26"/>
  <c r="E27" i="24" l="1"/>
  <c r="B16" i="17"/>
  <c r="I14" i="39" s="1"/>
  <c r="C16" i="17"/>
  <c r="J14" i="39" s="1"/>
  <c r="E134" i="24"/>
  <c r="E128" i="24"/>
  <c r="E135" i="24"/>
  <c r="E132" i="24"/>
  <c r="E129" i="24"/>
  <c r="E130" i="24"/>
  <c r="E131" i="24"/>
  <c r="E133" i="24"/>
  <c r="E26" i="24"/>
  <c r="F10" i="30"/>
  <c r="BO3" i="31" s="1"/>
  <c r="BO110" i="31" s="1"/>
  <c r="K13" i="39"/>
  <c r="A17" i="17"/>
  <c r="H15" i="39" s="1"/>
  <c r="D16" i="17"/>
  <c r="K14" i="39" s="1"/>
  <c r="D10" i="30"/>
  <c r="E10" i="30"/>
  <c r="B11" i="30"/>
  <c r="C55" i="26"/>
  <c r="C56" i="26"/>
  <c r="C57" i="26"/>
  <c r="B55" i="26"/>
  <c r="L55" i="26" s="1"/>
  <c r="B56" i="26"/>
  <c r="L56" i="26" s="1"/>
  <c r="B57" i="26"/>
  <c r="L57" i="26" s="1"/>
  <c r="A8" i="28"/>
  <c r="A7" i="28"/>
  <c r="A6" i="28"/>
  <c r="C20" i="25"/>
  <c r="F11" i="30" l="1"/>
  <c r="BP3" i="31" s="1"/>
  <c r="BP110" i="31" s="1"/>
  <c r="A11" i="30"/>
  <c r="M55" i="26"/>
  <c r="A18" i="17"/>
  <c r="H16" i="39" s="1"/>
  <c r="D17" i="17"/>
  <c r="B17" i="17"/>
  <c r="I15" i="39" s="1"/>
  <c r="C17" i="17"/>
  <c r="J15" i="39" s="1"/>
  <c r="M56" i="26"/>
  <c r="M57" i="26"/>
  <c r="D11" i="30"/>
  <c r="E11" i="30"/>
  <c r="B12" i="30"/>
  <c r="A12" i="30" s="1"/>
  <c r="A27" i="11"/>
  <c r="A10" i="11"/>
  <c r="F12" i="30" l="1"/>
  <c r="BQ3" i="31" s="1"/>
  <c r="BQ110" i="31" s="1"/>
  <c r="K15" i="39"/>
  <c r="A19" i="17"/>
  <c r="H17" i="39" s="1"/>
  <c r="D18" i="17"/>
  <c r="B18" i="17"/>
  <c r="I16" i="39" s="1"/>
  <c r="C18" i="17"/>
  <c r="J16" i="39" s="1"/>
  <c r="D12" i="30"/>
  <c r="E12" i="30"/>
  <c r="B13" i="30"/>
  <c r="B6" i="26"/>
  <c r="B7" i="26"/>
  <c r="B8" i="26"/>
  <c r="B9" i="26"/>
  <c r="B10" i="26"/>
  <c r="B11" i="26"/>
  <c r="B12" i="26"/>
  <c r="B13" i="26"/>
  <c r="B14" i="26"/>
  <c r="B5" i="26"/>
  <c r="F13" i="30" l="1"/>
  <c r="BR3" i="31" s="1"/>
  <c r="BR110" i="31" s="1"/>
  <c r="A13" i="30"/>
  <c r="K16" i="39"/>
  <c r="A20" i="17"/>
  <c r="H18" i="39" s="1"/>
  <c r="D19" i="17"/>
  <c r="B19" i="17"/>
  <c r="I17" i="39" s="1"/>
  <c r="C19" i="17"/>
  <c r="J17" i="39" s="1"/>
  <c r="D13" i="30"/>
  <c r="E13" i="30"/>
  <c r="B14" i="30"/>
  <c r="D5" i="26"/>
  <c r="H6" i="26"/>
  <c r="H7" i="26"/>
  <c r="H8" i="26"/>
  <c r="H9" i="26"/>
  <c r="H10" i="26"/>
  <c r="H11" i="26"/>
  <c r="H12" i="26"/>
  <c r="H13" i="26"/>
  <c r="H14" i="26"/>
  <c r="H5" i="26"/>
  <c r="F6" i="26"/>
  <c r="F7" i="26"/>
  <c r="F8" i="26"/>
  <c r="F9" i="26"/>
  <c r="F10" i="26"/>
  <c r="F11" i="26"/>
  <c r="F12" i="26"/>
  <c r="F13" i="26"/>
  <c r="F14" i="26"/>
  <c r="F5" i="26"/>
  <c r="D6" i="26"/>
  <c r="D7" i="26"/>
  <c r="D8" i="26"/>
  <c r="D9" i="26"/>
  <c r="D10" i="26"/>
  <c r="D11" i="26"/>
  <c r="D12" i="26"/>
  <c r="D13" i="26"/>
  <c r="D14" i="26"/>
  <c r="A25" i="25"/>
  <c r="A10" i="25"/>
  <c r="A11" i="25"/>
  <c r="A12" i="25"/>
  <c r="A13" i="25"/>
  <c r="A14" i="25"/>
  <c r="A15" i="25"/>
  <c r="A16" i="25"/>
  <c r="A17" i="25"/>
  <c r="A18" i="25"/>
  <c r="A9" i="25"/>
  <c r="F14" i="30" l="1"/>
  <c r="BS3" i="31" s="1"/>
  <c r="BS110" i="31" s="1"/>
  <c r="A14" i="30"/>
  <c r="K17" i="39"/>
  <c r="A21" i="17"/>
  <c r="H19" i="39" s="1"/>
  <c r="D20" i="17"/>
  <c r="B20" i="17"/>
  <c r="I18" i="39" s="1"/>
  <c r="C20" i="17"/>
  <c r="J18" i="39" s="1"/>
  <c r="D14" i="30"/>
  <c r="E14" i="30"/>
  <c r="B15" i="30"/>
  <c r="A15" i="30" s="1"/>
  <c r="K18" i="39" l="1"/>
  <c r="F15" i="30"/>
  <c r="BT3" i="31" s="1"/>
  <c r="BT110" i="31" s="1"/>
  <c r="A22" i="17"/>
  <c r="H20" i="39" s="1"/>
  <c r="D21" i="17"/>
  <c r="K19" i="39" s="1"/>
  <c r="C21" i="17"/>
  <c r="J19" i="39" s="1"/>
  <c r="B21" i="17"/>
  <c r="I19" i="39" s="1"/>
  <c r="D15" i="30"/>
  <c r="E15" i="30"/>
  <c r="B16" i="30"/>
  <c r="A16" i="30" s="1"/>
  <c r="F16" i="30" l="1"/>
  <c r="BU3" i="31" s="1"/>
  <c r="BU110" i="31" s="1"/>
  <c r="A23" i="17"/>
  <c r="H21" i="39" s="1"/>
  <c r="D22" i="17"/>
  <c r="K20" i="39" s="1"/>
  <c r="C22" i="17"/>
  <c r="J20" i="39" s="1"/>
  <c r="B22" i="17"/>
  <c r="I20" i="39" s="1"/>
  <c r="D16" i="30"/>
  <c r="E16" i="30"/>
  <c r="B17" i="30"/>
  <c r="A17" i="30" s="1"/>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F17" i="30" l="1"/>
  <c r="BV3" i="31" s="1"/>
  <c r="BV110" i="31" s="1"/>
  <c r="A24" i="17"/>
  <c r="H22" i="39" s="1"/>
  <c r="D23" i="17"/>
  <c r="K21" i="39" s="1"/>
  <c r="C23" i="17"/>
  <c r="J21" i="39" s="1"/>
  <c r="B23" i="17"/>
  <c r="I21" i="39" s="1"/>
  <c r="D17" i="30"/>
  <c r="E17" i="30"/>
  <c r="B18" i="30"/>
  <c r="A18" i="30" s="1"/>
  <c r="F18" i="30" l="1"/>
  <c r="BW3" i="31" s="1"/>
  <c r="BW110" i="31" s="1"/>
  <c r="A25" i="17"/>
  <c r="H23" i="39" s="1"/>
  <c r="D24" i="17"/>
  <c r="K22" i="39" s="1"/>
  <c r="C24" i="17"/>
  <c r="J22" i="39" s="1"/>
  <c r="B24" i="17"/>
  <c r="I22" i="39" s="1"/>
  <c r="D18" i="30"/>
  <c r="E18" i="30"/>
  <c r="B19" i="30"/>
  <c r="A19" i="30" s="1"/>
  <c r="F19" i="30" l="1"/>
  <c r="BX3" i="31" s="1"/>
  <c r="BX110" i="31" s="1"/>
  <c r="A26" i="17"/>
  <c r="H24" i="39" s="1"/>
  <c r="D25" i="17"/>
  <c r="K23" i="39" s="1"/>
  <c r="C25" i="17"/>
  <c r="J23" i="39" s="1"/>
  <c r="B25" i="17"/>
  <c r="I23" i="39" s="1"/>
  <c r="M16" i="20"/>
  <c r="D19" i="30"/>
  <c r="E19" i="30"/>
  <c r="B20" i="30"/>
  <c r="A20" i="30" s="1"/>
  <c r="G123" i="32" l="1"/>
  <c r="G131" i="32"/>
  <c r="G139" i="32"/>
  <c r="G147" i="32"/>
  <c r="G155" i="32"/>
  <c r="G163" i="32"/>
  <c r="G171" i="32"/>
  <c r="G179" i="32"/>
  <c r="G187" i="32"/>
  <c r="G195" i="32"/>
  <c r="G203" i="32"/>
  <c r="G211" i="32"/>
  <c r="G125" i="32"/>
  <c r="G141" i="32"/>
  <c r="G165" i="32"/>
  <c r="G181" i="32"/>
  <c r="G197" i="32"/>
  <c r="G213" i="32"/>
  <c r="G183" i="32"/>
  <c r="G199" i="32"/>
  <c r="G152" i="32"/>
  <c r="G168" i="32"/>
  <c r="G192" i="32"/>
  <c r="G216" i="32"/>
  <c r="G137" i="32"/>
  <c r="G153" i="32"/>
  <c r="G177" i="32"/>
  <c r="G201" i="32"/>
  <c r="G217" i="32"/>
  <c r="G138" i="32"/>
  <c r="G170" i="32"/>
  <c r="G186" i="32"/>
  <c r="G210" i="32"/>
  <c r="G124" i="32"/>
  <c r="G132" i="32"/>
  <c r="G140" i="32"/>
  <c r="G148" i="32"/>
  <c r="G156" i="32"/>
  <c r="G164" i="32"/>
  <c r="G172" i="32"/>
  <c r="G180" i="32"/>
  <c r="G188" i="32"/>
  <c r="G196" i="32"/>
  <c r="G204" i="32"/>
  <c r="G212" i="32"/>
  <c r="G133" i="32"/>
  <c r="G149" i="32"/>
  <c r="G157" i="32"/>
  <c r="G173" i="32"/>
  <c r="G189" i="32"/>
  <c r="G205" i="32"/>
  <c r="G175" i="32"/>
  <c r="G207" i="32"/>
  <c r="G136" i="32"/>
  <c r="G160" i="32"/>
  <c r="G184" i="32"/>
  <c r="G208" i="32"/>
  <c r="G129" i="32"/>
  <c r="G161" i="32"/>
  <c r="G185" i="32"/>
  <c r="G209" i="32"/>
  <c r="G130" i="32"/>
  <c r="G162" i="32"/>
  <c r="G194" i="32"/>
  <c r="G126" i="32"/>
  <c r="G134" i="32"/>
  <c r="G142" i="32"/>
  <c r="G150" i="32"/>
  <c r="G158" i="32"/>
  <c r="G166" i="32"/>
  <c r="G174" i="32"/>
  <c r="G182" i="32"/>
  <c r="G190" i="32"/>
  <c r="G198" i="32"/>
  <c r="G206" i="32"/>
  <c r="G214" i="32"/>
  <c r="G127" i="32"/>
  <c r="G135" i="32"/>
  <c r="G143" i="32"/>
  <c r="G151" i="32"/>
  <c r="G159" i="32"/>
  <c r="G167" i="32"/>
  <c r="G191" i="32"/>
  <c r="G215" i="32"/>
  <c r="G128" i="32"/>
  <c r="G144" i="32"/>
  <c r="G176" i="32"/>
  <c r="G200" i="32"/>
  <c r="G145" i="32"/>
  <c r="G169" i="32"/>
  <c r="G193" i="32"/>
  <c r="G122" i="32"/>
  <c r="G146" i="32"/>
  <c r="G154" i="32"/>
  <c r="G178" i="32"/>
  <c r="G202" i="32"/>
  <c r="F20" i="30"/>
  <c r="BY3" i="31" s="1"/>
  <c r="BY110" i="31" s="1"/>
  <c r="BH116" i="31"/>
  <c r="BI116" i="31" s="1"/>
  <c r="BH124" i="31"/>
  <c r="BI124" i="31" s="1"/>
  <c r="BH132" i="31"/>
  <c r="BI132" i="31" s="1"/>
  <c r="BH140" i="31"/>
  <c r="BI140" i="31" s="1"/>
  <c r="BH148" i="31"/>
  <c r="BI148" i="31" s="1"/>
  <c r="BH156" i="31"/>
  <c r="BI156" i="31" s="1"/>
  <c r="BH164" i="31"/>
  <c r="BI164" i="31" s="1"/>
  <c r="BH172" i="31"/>
  <c r="BI172" i="31" s="1"/>
  <c r="BH180" i="31"/>
  <c r="BI180" i="31" s="1"/>
  <c r="BH188" i="31"/>
  <c r="BI188" i="31" s="1"/>
  <c r="BH196" i="31"/>
  <c r="BI196" i="31" s="1"/>
  <c r="BH204" i="31"/>
  <c r="BI204" i="31" s="1"/>
  <c r="BH149" i="31"/>
  <c r="BI149" i="31" s="1"/>
  <c r="BH181" i="31"/>
  <c r="BI181" i="31" s="1"/>
  <c r="BH205" i="31"/>
  <c r="BI205" i="31" s="1"/>
  <c r="BH131" i="31"/>
  <c r="BI131" i="31" s="1"/>
  <c r="BH171" i="31"/>
  <c r="BI171" i="31" s="1"/>
  <c r="BH195" i="31"/>
  <c r="BI195" i="31" s="1"/>
  <c r="BH117" i="31"/>
  <c r="BI117" i="31" s="1"/>
  <c r="BH125" i="31"/>
  <c r="BI125" i="31" s="1"/>
  <c r="BH133" i="31"/>
  <c r="BI133" i="31" s="1"/>
  <c r="BH141" i="31"/>
  <c r="BI141" i="31" s="1"/>
  <c r="BH157" i="31"/>
  <c r="BI157" i="31" s="1"/>
  <c r="BH165" i="31"/>
  <c r="BI165" i="31" s="1"/>
  <c r="BH173" i="31"/>
  <c r="BI173" i="31" s="1"/>
  <c r="BH189" i="31"/>
  <c r="BI189" i="31" s="1"/>
  <c r="BH197" i="31"/>
  <c r="BI197" i="31" s="1"/>
  <c r="BH120" i="31"/>
  <c r="BI120" i="31" s="1"/>
  <c r="BH128" i="31"/>
  <c r="BI128" i="31" s="1"/>
  <c r="BH136" i="31"/>
  <c r="BI136" i="31" s="1"/>
  <c r="BH144" i="31"/>
  <c r="BI144" i="31" s="1"/>
  <c r="BH152" i="31"/>
  <c r="BI152" i="31" s="1"/>
  <c r="BH160" i="31"/>
  <c r="BI160" i="31" s="1"/>
  <c r="BH168" i="31"/>
  <c r="BI168" i="31" s="1"/>
  <c r="BH176" i="31"/>
  <c r="BI176" i="31" s="1"/>
  <c r="BH184" i="31"/>
  <c r="BI184" i="31" s="1"/>
  <c r="BH192" i="31"/>
  <c r="BI192" i="31" s="1"/>
  <c r="BH200" i="31"/>
  <c r="BI200" i="31" s="1"/>
  <c r="BH208" i="31"/>
  <c r="BI208" i="31" s="1"/>
  <c r="BH118" i="31"/>
  <c r="BI118" i="31" s="1"/>
  <c r="BH126" i="31"/>
  <c r="BI126" i="31" s="1"/>
  <c r="BH134" i="31"/>
  <c r="BI134" i="31" s="1"/>
  <c r="BH142" i="31"/>
  <c r="BI142" i="31" s="1"/>
  <c r="BH150" i="31"/>
  <c r="BI150" i="31" s="1"/>
  <c r="BH158" i="31"/>
  <c r="BI158" i="31" s="1"/>
  <c r="BH166" i="31"/>
  <c r="BI166" i="31" s="1"/>
  <c r="BH174" i="31"/>
  <c r="BI174" i="31" s="1"/>
  <c r="BH182" i="31"/>
  <c r="BI182" i="31" s="1"/>
  <c r="BH190" i="31"/>
  <c r="BI190" i="31" s="1"/>
  <c r="BH198" i="31"/>
  <c r="BI198" i="31" s="1"/>
  <c r="BH206" i="31"/>
  <c r="BI206" i="31" s="1"/>
  <c r="BH119" i="31"/>
  <c r="BI119" i="31" s="1"/>
  <c r="BH127" i="31"/>
  <c r="BI127" i="31" s="1"/>
  <c r="BH135" i="31"/>
  <c r="BI135" i="31" s="1"/>
  <c r="BH143" i="31"/>
  <c r="BI143" i="31" s="1"/>
  <c r="BH151" i="31"/>
  <c r="BI151" i="31" s="1"/>
  <c r="BH159" i="31"/>
  <c r="BI159" i="31" s="1"/>
  <c r="BH167" i="31"/>
  <c r="BI167" i="31" s="1"/>
  <c r="BH175" i="31"/>
  <c r="BI175" i="31" s="1"/>
  <c r="BH183" i="31"/>
  <c r="BI183" i="31" s="1"/>
  <c r="BH191" i="31"/>
  <c r="BI191" i="31" s="1"/>
  <c r="BH199" i="31"/>
  <c r="BI199" i="31" s="1"/>
  <c r="BH207" i="31"/>
  <c r="BI207" i="31" s="1"/>
  <c r="BH139" i="31"/>
  <c r="BI139" i="31" s="1"/>
  <c r="BH179" i="31"/>
  <c r="BI179" i="31" s="1"/>
  <c r="BH203" i="31"/>
  <c r="BI203" i="31" s="1"/>
  <c r="BH121" i="31"/>
  <c r="BI121" i="31" s="1"/>
  <c r="BH129" i="31"/>
  <c r="BI129" i="31" s="1"/>
  <c r="BH137" i="31"/>
  <c r="BI137" i="31" s="1"/>
  <c r="BH145" i="31"/>
  <c r="BI145" i="31" s="1"/>
  <c r="BH153" i="31"/>
  <c r="BI153" i="31" s="1"/>
  <c r="BH161" i="31"/>
  <c r="BI161" i="31" s="1"/>
  <c r="BH169" i="31"/>
  <c r="BI169" i="31" s="1"/>
  <c r="BH177" i="31"/>
  <c r="BI177" i="31" s="1"/>
  <c r="BH185" i="31"/>
  <c r="BI185" i="31" s="1"/>
  <c r="BH193" i="31"/>
  <c r="BI193" i="31" s="1"/>
  <c r="BH201" i="31"/>
  <c r="BI201" i="31" s="1"/>
  <c r="BH209" i="31"/>
  <c r="BI209" i="31" s="1"/>
  <c r="BH162" i="31"/>
  <c r="BI162" i="31" s="1"/>
  <c r="BH186" i="31"/>
  <c r="BI186" i="31" s="1"/>
  <c r="BH202" i="31"/>
  <c r="BI202" i="31" s="1"/>
  <c r="BH115" i="31"/>
  <c r="BH123" i="31"/>
  <c r="BI123" i="31" s="1"/>
  <c r="BH147" i="31"/>
  <c r="BI147" i="31" s="1"/>
  <c r="BH155" i="31"/>
  <c r="BI155" i="31" s="1"/>
  <c r="BH163" i="31"/>
  <c r="BI163" i="31" s="1"/>
  <c r="BH187" i="31"/>
  <c r="BI187" i="31" s="1"/>
  <c r="BH211" i="31"/>
  <c r="BI211" i="31" s="1"/>
  <c r="BH114" i="31"/>
  <c r="G120" i="32" s="1"/>
  <c r="BH122" i="31"/>
  <c r="BI122" i="31" s="1"/>
  <c r="BH130" i="31"/>
  <c r="BI130" i="31" s="1"/>
  <c r="BH138" i="31"/>
  <c r="BI138" i="31" s="1"/>
  <c r="BH146" i="31"/>
  <c r="BI146" i="31" s="1"/>
  <c r="BH154" i="31"/>
  <c r="BI154" i="31" s="1"/>
  <c r="BH170" i="31"/>
  <c r="BI170" i="31" s="1"/>
  <c r="BH178" i="31"/>
  <c r="BI178" i="31" s="1"/>
  <c r="BH194" i="31"/>
  <c r="BI194" i="31" s="1"/>
  <c r="BH210" i="31"/>
  <c r="BI210" i="31" s="1"/>
  <c r="A27" i="17"/>
  <c r="H25" i="39" s="1"/>
  <c r="D26" i="17"/>
  <c r="K24" i="39" s="1"/>
  <c r="C26" i="17"/>
  <c r="J24" i="39" s="1"/>
  <c r="B26" i="17"/>
  <c r="I24" i="39" s="1"/>
  <c r="H123" i="32"/>
  <c r="H127" i="32"/>
  <c r="H131" i="32"/>
  <c r="H135" i="32"/>
  <c r="H139" i="32"/>
  <c r="H143" i="32"/>
  <c r="H147" i="32"/>
  <c r="H151" i="32"/>
  <c r="H155" i="32"/>
  <c r="H159" i="32"/>
  <c r="H163" i="32"/>
  <c r="H167" i="32"/>
  <c r="H171" i="32"/>
  <c r="H175" i="32"/>
  <c r="H179" i="32"/>
  <c r="H183" i="32"/>
  <c r="H187" i="32"/>
  <c r="H191" i="32"/>
  <c r="H195" i="32"/>
  <c r="H199" i="32"/>
  <c r="H203" i="32"/>
  <c r="H207" i="32"/>
  <c r="H211" i="32"/>
  <c r="H215" i="32"/>
  <c r="H129" i="32"/>
  <c r="H141" i="32"/>
  <c r="H153" i="32"/>
  <c r="H169" i="32"/>
  <c r="H181" i="32"/>
  <c r="H197" i="32"/>
  <c r="H205" i="32"/>
  <c r="H217" i="32"/>
  <c r="H124" i="32"/>
  <c r="H128" i="32"/>
  <c r="H132" i="32"/>
  <c r="H136" i="32"/>
  <c r="H140" i="32"/>
  <c r="H144" i="32"/>
  <c r="H148" i="32"/>
  <c r="H152" i="32"/>
  <c r="H156" i="32"/>
  <c r="H160" i="32"/>
  <c r="H164" i="32"/>
  <c r="H168" i="32"/>
  <c r="H172" i="32"/>
  <c r="H176" i="32"/>
  <c r="H180" i="32"/>
  <c r="H184" i="32"/>
  <c r="H188" i="32"/>
  <c r="H192" i="32"/>
  <c r="H196" i="32"/>
  <c r="H200" i="32"/>
  <c r="H204" i="32"/>
  <c r="H208" i="32"/>
  <c r="H212" i="32"/>
  <c r="H216" i="32"/>
  <c r="H137" i="32"/>
  <c r="H149" i="32"/>
  <c r="H161" i="32"/>
  <c r="H173" i="32"/>
  <c r="H185" i="32"/>
  <c r="H193" i="32"/>
  <c r="H209" i="32"/>
  <c r="H122" i="32"/>
  <c r="H126" i="32"/>
  <c r="H130" i="32"/>
  <c r="H134" i="32"/>
  <c r="H138" i="32"/>
  <c r="H142" i="32"/>
  <c r="H146" i="32"/>
  <c r="H150" i="32"/>
  <c r="H154" i="32"/>
  <c r="H158" i="32"/>
  <c r="H162" i="32"/>
  <c r="H166" i="32"/>
  <c r="H170" i="32"/>
  <c r="H174" i="32"/>
  <c r="H178" i="32"/>
  <c r="H182" i="32"/>
  <c r="H186" i="32"/>
  <c r="H190" i="32"/>
  <c r="H194" i="32"/>
  <c r="H198" i="32"/>
  <c r="H202" i="32"/>
  <c r="H206" i="32"/>
  <c r="H210" i="32"/>
  <c r="H214" i="32"/>
  <c r="H125" i="32"/>
  <c r="H133" i="32"/>
  <c r="H145" i="32"/>
  <c r="H157" i="32"/>
  <c r="H165" i="32"/>
  <c r="H177" i="32"/>
  <c r="H189" i="32"/>
  <c r="H201" i="32"/>
  <c r="H213" i="32"/>
  <c r="T21" i="20"/>
  <c r="U21" i="20" s="1"/>
  <c r="T25" i="20"/>
  <c r="U25" i="20" s="1"/>
  <c r="T29" i="20"/>
  <c r="U29" i="20" s="1"/>
  <c r="T33" i="20"/>
  <c r="U33" i="20" s="1"/>
  <c r="T37" i="20"/>
  <c r="U37" i="20" s="1"/>
  <c r="T41" i="20"/>
  <c r="U41" i="20" s="1"/>
  <c r="T45" i="20"/>
  <c r="U45" i="20" s="1"/>
  <c r="T49" i="20"/>
  <c r="U49" i="20" s="1"/>
  <c r="T53" i="20"/>
  <c r="U53" i="20" s="1"/>
  <c r="T57" i="20"/>
  <c r="U57" i="20" s="1"/>
  <c r="T61" i="20"/>
  <c r="U61" i="20" s="1"/>
  <c r="T65" i="20"/>
  <c r="U65" i="20" s="1"/>
  <c r="T69" i="20"/>
  <c r="U69" i="20" s="1"/>
  <c r="T73" i="20"/>
  <c r="U73" i="20" s="1"/>
  <c r="T77" i="20"/>
  <c r="U77" i="20" s="1"/>
  <c r="T81" i="20"/>
  <c r="U81" i="20" s="1"/>
  <c r="T85" i="20"/>
  <c r="U85" i="20" s="1"/>
  <c r="T89" i="20"/>
  <c r="U89" i="20" s="1"/>
  <c r="T93" i="20"/>
  <c r="U93" i="20" s="1"/>
  <c r="T97" i="20"/>
  <c r="U97" i="20" s="1"/>
  <c r="T101" i="20"/>
  <c r="U101" i="20" s="1"/>
  <c r="T105" i="20"/>
  <c r="U105" i="20" s="1"/>
  <c r="T109" i="20"/>
  <c r="U109" i="20" s="1"/>
  <c r="T113" i="20"/>
  <c r="U113" i="20" s="1"/>
  <c r="T17" i="20"/>
  <c r="H118" i="32" s="1"/>
  <c r="T18" i="20"/>
  <c r="U18" i="20" s="1"/>
  <c r="T22" i="20"/>
  <c r="U22" i="20" s="1"/>
  <c r="T26" i="20"/>
  <c r="U26" i="20" s="1"/>
  <c r="T30" i="20"/>
  <c r="U30" i="20" s="1"/>
  <c r="T34" i="20"/>
  <c r="U34" i="20" s="1"/>
  <c r="T38" i="20"/>
  <c r="U38" i="20" s="1"/>
  <c r="T42" i="20"/>
  <c r="U42" i="20" s="1"/>
  <c r="T46" i="20"/>
  <c r="U46" i="20" s="1"/>
  <c r="T50" i="20"/>
  <c r="U50" i="20" s="1"/>
  <c r="T54" i="20"/>
  <c r="U54" i="20" s="1"/>
  <c r="T58" i="20"/>
  <c r="U58" i="20" s="1"/>
  <c r="T62" i="20"/>
  <c r="U62" i="20" s="1"/>
  <c r="T66" i="20"/>
  <c r="U66" i="20" s="1"/>
  <c r="T70" i="20"/>
  <c r="U70" i="20" s="1"/>
  <c r="T74" i="20"/>
  <c r="U74" i="20" s="1"/>
  <c r="T78" i="20"/>
  <c r="U78" i="20" s="1"/>
  <c r="T82" i="20"/>
  <c r="U82" i="20" s="1"/>
  <c r="T86" i="20"/>
  <c r="U86" i="20" s="1"/>
  <c r="T90" i="20"/>
  <c r="U90" i="20" s="1"/>
  <c r="T94" i="20"/>
  <c r="U94" i="20" s="1"/>
  <c r="T98" i="20"/>
  <c r="U98" i="20" s="1"/>
  <c r="T102" i="20"/>
  <c r="U102" i="20" s="1"/>
  <c r="T106" i="20"/>
  <c r="U106" i="20" s="1"/>
  <c r="T110" i="20"/>
  <c r="U110" i="20" s="1"/>
  <c r="T114" i="20"/>
  <c r="U114" i="20" s="1"/>
  <c r="T19" i="20"/>
  <c r="U19" i="20" s="1"/>
  <c r="T23" i="20"/>
  <c r="U23" i="20" s="1"/>
  <c r="T27" i="20"/>
  <c r="U27" i="20" s="1"/>
  <c r="T31" i="20"/>
  <c r="U31" i="20" s="1"/>
  <c r="T35" i="20"/>
  <c r="U35" i="20" s="1"/>
  <c r="T39" i="20"/>
  <c r="U39" i="20" s="1"/>
  <c r="T43" i="20"/>
  <c r="U43" i="20" s="1"/>
  <c r="T47" i="20"/>
  <c r="U47" i="20" s="1"/>
  <c r="T51" i="20"/>
  <c r="U51" i="20" s="1"/>
  <c r="T55" i="20"/>
  <c r="U55" i="20" s="1"/>
  <c r="T59" i="20"/>
  <c r="U59" i="20" s="1"/>
  <c r="T63" i="20"/>
  <c r="U63" i="20" s="1"/>
  <c r="T67" i="20"/>
  <c r="U67" i="20" s="1"/>
  <c r="T71" i="20"/>
  <c r="U71" i="20" s="1"/>
  <c r="T75" i="20"/>
  <c r="U75" i="20" s="1"/>
  <c r="T79" i="20"/>
  <c r="U79" i="20" s="1"/>
  <c r="T83" i="20"/>
  <c r="U83" i="20" s="1"/>
  <c r="T87" i="20"/>
  <c r="U87" i="20" s="1"/>
  <c r="T91" i="20"/>
  <c r="U91" i="20" s="1"/>
  <c r="T95" i="20"/>
  <c r="U95" i="20" s="1"/>
  <c r="T99" i="20"/>
  <c r="U99" i="20" s="1"/>
  <c r="T103" i="20"/>
  <c r="U103" i="20" s="1"/>
  <c r="T107" i="20"/>
  <c r="U107" i="20" s="1"/>
  <c r="T111" i="20"/>
  <c r="U111" i="20" s="1"/>
  <c r="T115" i="20"/>
  <c r="U115" i="20" s="1"/>
  <c r="T20" i="20"/>
  <c r="U20" i="20" s="1"/>
  <c r="T24" i="20"/>
  <c r="U24" i="20" s="1"/>
  <c r="T28" i="20"/>
  <c r="U28" i="20" s="1"/>
  <c r="T32" i="20"/>
  <c r="U32" i="20" s="1"/>
  <c r="T36" i="20"/>
  <c r="U36" i="20" s="1"/>
  <c r="T40" i="20"/>
  <c r="U40" i="20" s="1"/>
  <c r="T44" i="20"/>
  <c r="U44" i="20" s="1"/>
  <c r="T48" i="20"/>
  <c r="U48" i="20" s="1"/>
  <c r="T52" i="20"/>
  <c r="U52" i="20" s="1"/>
  <c r="T56" i="20"/>
  <c r="U56" i="20" s="1"/>
  <c r="T60" i="20"/>
  <c r="U60" i="20" s="1"/>
  <c r="T64" i="20"/>
  <c r="U64" i="20" s="1"/>
  <c r="T68" i="20"/>
  <c r="U68" i="20" s="1"/>
  <c r="T72" i="20"/>
  <c r="U72" i="20" s="1"/>
  <c r="T76" i="20"/>
  <c r="U76" i="20" s="1"/>
  <c r="T80" i="20"/>
  <c r="U80" i="20" s="1"/>
  <c r="T84" i="20"/>
  <c r="U84" i="20" s="1"/>
  <c r="T88" i="20"/>
  <c r="U88" i="20" s="1"/>
  <c r="T92" i="20"/>
  <c r="U92" i="20" s="1"/>
  <c r="T96" i="20"/>
  <c r="U96" i="20" s="1"/>
  <c r="T100" i="20"/>
  <c r="U100" i="20" s="1"/>
  <c r="T104" i="20"/>
  <c r="U104" i="20" s="1"/>
  <c r="T108" i="20"/>
  <c r="U108" i="20" s="1"/>
  <c r="T112" i="20"/>
  <c r="U112" i="20" s="1"/>
  <c r="T116" i="20"/>
  <c r="U116" i="20" s="1"/>
  <c r="I124" i="32"/>
  <c r="I128" i="32"/>
  <c r="I132" i="32"/>
  <c r="I136" i="32"/>
  <c r="I140" i="32"/>
  <c r="I144" i="32"/>
  <c r="I148" i="32"/>
  <c r="I152" i="32"/>
  <c r="I156" i="32"/>
  <c r="I160" i="32"/>
  <c r="I164" i="32"/>
  <c r="I168" i="32"/>
  <c r="I172" i="32"/>
  <c r="I176" i="32"/>
  <c r="I180" i="32"/>
  <c r="I184" i="32"/>
  <c r="I188" i="32"/>
  <c r="I192" i="32"/>
  <c r="I196" i="32"/>
  <c r="I200" i="32"/>
  <c r="I204" i="32"/>
  <c r="I208" i="32"/>
  <c r="I212" i="32"/>
  <c r="I216" i="32"/>
  <c r="F122" i="32"/>
  <c r="F126" i="32"/>
  <c r="F130" i="32"/>
  <c r="F134" i="32"/>
  <c r="F138" i="32"/>
  <c r="F142" i="32"/>
  <c r="F146" i="32"/>
  <c r="F150" i="32"/>
  <c r="F154" i="32"/>
  <c r="F158" i="32"/>
  <c r="F162" i="32"/>
  <c r="F166" i="32"/>
  <c r="F170" i="32"/>
  <c r="F174" i="32"/>
  <c r="F178" i="32"/>
  <c r="F182" i="32"/>
  <c r="F186" i="32"/>
  <c r="F190" i="32"/>
  <c r="F194" i="32"/>
  <c r="F198" i="32"/>
  <c r="F202" i="32"/>
  <c r="F206" i="32"/>
  <c r="F210" i="32"/>
  <c r="F214" i="32"/>
  <c r="F118" i="32"/>
  <c r="I126" i="32"/>
  <c r="I131" i="32"/>
  <c r="I137" i="32"/>
  <c r="I142" i="32"/>
  <c r="I147" i="32"/>
  <c r="I153" i="32"/>
  <c r="I158" i="32"/>
  <c r="I163" i="32"/>
  <c r="I169" i="32"/>
  <c r="I174" i="32"/>
  <c r="I179" i="32"/>
  <c r="I185" i="32"/>
  <c r="I190" i="32"/>
  <c r="I195" i="32"/>
  <c r="I201" i="32"/>
  <c r="I206" i="32"/>
  <c r="I211" i="32"/>
  <c r="I217" i="32"/>
  <c r="F121" i="32"/>
  <c r="F127" i="32"/>
  <c r="F132" i="32"/>
  <c r="F137" i="32"/>
  <c r="F143" i="32"/>
  <c r="F148" i="32"/>
  <c r="F153" i="32"/>
  <c r="F159" i="32"/>
  <c r="F164" i="32"/>
  <c r="F169" i="32"/>
  <c r="I123" i="32"/>
  <c r="I145" i="32"/>
  <c r="I159" i="32"/>
  <c r="I173" i="32"/>
  <c r="I187" i="32"/>
  <c r="I202" i="32"/>
  <c r="I215" i="32"/>
  <c r="F131" i="32"/>
  <c r="F145" i="32"/>
  <c r="F160" i="32"/>
  <c r="F173" i="32"/>
  <c r="F184" i="32"/>
  <c r="F195" i="32"/>
  <c r="F205" i="32"/>
  <c r="F216" i="32"/>
  <c r="I125" i="32"/>
  <c r="I139" i="32"/>
  <c r="I154" i="32"/>
  <c r="I127" i="32"/>
  <c r="I134" i="32"/>
  <c r="I141" i="32"/>
  <c r="I149" i="32"/>
  <c r="I155" i="32"/>
  <c r="I162" i="32"/>
  <c r="I170" i="32"/>
  <c r="I177" i="32"/>
  <c r="I183" i="32"/>
  <c r="I191" i="32"/>
  <c r="I198" i="32"/>
  <c r="I205" i="32"/>
  <c r="I213" i="32"/>
  <c r="F120" i="32"/>
  <c r="F128" i="32"/>
  <c r="F135" i="32"/>
  <c r="F141" i="32"/>
  <c r="F149" i="32"/>
  <c r="F156" i="32"/>
  <c r="F163" i="32"/>
  <c r="F171" i="32"/>
  <c r="F176" i="32"/>
  <c r="F181" i="32"/>
  <c r="F187" i="32"/>
  <c r="F192" i="32"/>
  <c r="F197" i="32"/>
  <c r="F203" i="32"/>
  <c r="F208" i="32"/>
  <c r="F213" i="32"/>
  <c r="I122" i="32"/>
  <c r="I129" i="32"/>
  <c r="I135" i="32"/>
  <c r="I143" i="32"/>
  <c r="I150" i="32"/>
  <c r="I157" i="32"/>
  <c r="I165" i="32"/>
  <c r="I171" i="32"/>
  <c r="I178" i="32"/>
  <c r="I186" i="32"/>
  <c r="I193" i="32"/>
  <c r="I199" i="32"/>
  <c r="I207" i="32"/>
  <c r="I214" i="32"/>
  <c r="F123" i="32"/>
  <c r="F129" i="32"/>
  <c r="F136" i="32"/>
  <c r="F144" i="32"/>
  <c r="F151" i="32"/>
  <c r="F157" i="32"/>
  <c r="F165" i="32"/>
  <c r="F172" i="32"/>
  <c r="F177" i="32"/>
  <c r="F183" i="32"/>
  <c r="F188" i="32"/>
  <c r="F193" i="32"/>
  <c r="F199" i="32"/>
  <c r="F204" i="32"/>
  <c r="F209" i="32"/>
  <c r="F215" i="32"/>
  <c r="I130" i="32"/>
  <c r="I138" i="32"/>
  <c r="I151" i="32"/>
  <c r="I166" i="32"/>
  <c r="I181" i="32"/>
  <c r="I194" i="32"/>
  <c r="I209" i="32"/>
  <c r="F124" i="32"/>
  <c r="F139" i="32"/>
  <c r="F152" i="32"/>
  <c r="F167" i="32"/>
  <c r="F179" i="32"/>
  <c r="F189" i="32"/>
  <c r="F200" i="32"/>
  <c r="F211" i="32"/>
  <c r="I133" i="32"/>
  <c r="I146" i="32"/>
  <c r="I182" i="32"/>
  <c r="I210" i="32"/>
  <c r="F140" i="32"/>
  <c r="F168" i="32"/>
  <c r="F191" i="32"/>
  <c r="F212" i="32"/>
  <c r="I197" i="32"/>
  <c r="F180" i="32"/>
  <c r="I175" i="32"/>
  <c r="F161" i="32"/>
  <c r="F207" i="32"/>
  <c r="I161" i="32"/>
  <c r="I189" i="32"/>
  <c r="F119" i="32"/>
  <c r="F147" i="32"/>
  <c r="F175" i="32"/>
  <c r="F196" i="32"/>
  <c r="F217" i="32"/>
  <c r="I167" i="32"/>
  <c r="F125" i="32"/>
  <c r="F155" i="32"/>
  <c r="F201" i="32"/>
  <c r="I203" i="32"/>
  <c r="F133" i="32"/>
  <c r="F185" i="32"/>
  <c r="D20" i="30"/>
  <c r="E20" i="30"/>
  <c r="B21" i="30"/>
  <c r="A21" i="30" s="1"/>
  <c r="BI115" i="31" l="1"/>
  <c r="H121" i="32"/>
  <c r="G121" i="32"/>
  <c r="H120" i="32"/>
  <c r="BI114" i="31"/>
  <c r="DD114" i="31" s="1"/>
  <c r="F21" i="30"/>
  <c r="BZ3" i="31" s="1"/>
  <c r="BZ110" i="31" s="1"/>
  <c r="BZ143" i="31"/>
  <c r="DF143" i="31"/>
  <c r="F55" i="24"/>
  <c r="DD143" i="31"/>
  <c r="BX143" i="31"/>
  <c r="CO143" i="31"/>
  <c r="BW143" i="31"/>
  <c r="BN143" i="31"/>
  <c r="CZ143" i="31"/>
  <c r="BR143" i="31"/>
  <c r="DG143" i="31"/>
  <c r="CG143" i="31"/>
  <c r="BO143" i="31"/>
  <c r="DI143" i="31"/>
  <c r="CJ143" i="31"/>
  <c r="CV143" i="31"/>
  <c r="CQ143" i="31"/>
  <c r="CN143" i="31"/>
  <c r="CU143" i="31"/>
  <c r="CL143" i="31"/>
  <c r="CC143" i="31"/>
  <c r="BS143" i="31"/>
  <c r="CR143" i="31"/>
  <c r="DE143" i="31"/>
  <c r="CM143" i="31"/>
  <c r="CD143" i="31"/>
  <c r="BU143" i="31"/>
  <c r="CX143" i="31"/>
  <c r="CB143" i="31"/>
  <c r="DB143" i="31"/>
  <c r="CY143" i="31"/>
  <c r="BK143" i="31"/>
  <c r="CW143" i="31"/>
  <c r="CT143" i="31"/>
  <c r="CI143" i="31"/>
  <c r="BV143" i="31"/>
  <c r="BQ143" i="31"/>
  <c r="CH143" i="31"/>
  <c r="BP143" i="31"/>
  <c r="BY143" i="31"/>
  <c r="DA143" i="31"/>
  <c r="CF143" i="31"/>
  <c r="CS143" i="31"/>
  <c r="DC143" i="31"/>
  <c r="CK143" i="31"/>
  <c r="DH143" i="31"/>
  <c r="CP143" i="31"/>
  <c r="DJ143" i="31"/>
  <c r="CA143" i="31"/>
  <c r="CE143" i="31"/>
  <c r="BM143" i="31"/>
  <c r="BL143" i="31"/>
  <c r="BT143" i="31"/>
  <c r="F86" i="24"/>
  <c r="CD174" i="31"/>
  <c r="BT174" i="31"/>
  <c r="BK174" i="31"/>
  <c r="CM174" i="31"/>
  <c r="CV174" i="31"/>
  <c r="CC174" i="31"/>
  <c r="BV174" i="31"/>
  <c r="BL174" i="31"/>
  <c r="DF174" i="31"/>
  <c r="BW174" i="31"/>
  <c r="CF174" i="31"/>
  <c r="BM174" i="31"/>
  <c r="BN174" i="31"/>
  <c r="DG174" i="31"/>
  <c r="CX174" i="31"/>
  <c r="DA174" i="31"/>
  <c r="BP174" i="31"/>
  <c r="DE174" i="31"/>
  <c r="DH174" i="31"/>
  <c r="CY174" i="31"/>
  <c r="CP174" i="31"/>
  <c r="CK174" i="31"/>
  <c r="CU174" i="31"/>
  <c r="DD174" i="31"/>
  <c r="DJ174" i="31"/>
  <c r="CZ174" i="31"/>
  <c r="CQ174" i="31"/>
  <c r="CH174" i="31"/>
  <c r="BU174" i="31"/>
  <c r="CE174" i="31"/>
  <c r="CO174" i="31"/>
  <c r="DB174" i="31"/>
  <c r="CR174" i="31"/>
  <c r="CI174" i="31"/>
  <c r="BZ174" i="31"/>
  <c r="CW174" i="31"/>
  <c r="BO174" i="31"/>
  <c r="CN174" i="31"/>
  <c r="CT174" i="31"/>
  <c r="CJ174" i="31"/>
  <c r="CA174" i="31"/>
  <c r="BR174" i="31"/>
  <c r="CG174" i="31"/>
  <c r="DI174" i="31"/>
  <c r="BY174" i="31"/>
  <c r="CS174" i="31"/>
  <c r="BX174" i="31"/>
  <c r="CL174" i="31"/>
  <c r="CB174" i="31"/>
  <c r="BS174" i="31"/>
  <c r="DC174" i="31"/>
  <c r="BQ174" i="31"/>
  <c r="CB135" i="31"/>
  <c r="F47" i="24"/>
  <c r="CA135" i="31"/>
  <c r="DJ135" i="31"/>
  <c r="CQ135" i="31"/>
  <c r="BW135" i="31"/>
  <c r="DF135" i="31"/>
  <c r="CL135" i="31"/>
  <c r="DA135" i="31"/>
  <c r="CH135" i="31"/>
  <c r="BO135" i="31"/>
  <c r="CV135" i="31"/>
  <c r="CC135" i="31"/>
  <c r="CR135" i="31"/>
  <c r="BX135" i="31"/>
  <c r="DG135" i="31"/>
  <c r="CM135" i="31"/>
  <c r="BT135" i="31"/>
  <c r="DE135" i="31"/>
  <c r="CI135" i="31"/>
  <c r="BP135" i="31"/>
  <c r="CX135" i="31"/>
  <c r="CD135" i="31"/>
  <c r="BL135" i="31"/>
  <c r="CW135" i="31"/>
  <c r="BZ135" i="31"/>
  <c r="DH135" i="31"/>
  <c r="CN135" i="31"/>
  <c r="BU135" i="31"/>
  <c r="CO135" i="31"/>
  <c r="BQ135" i="31"/>
  <c r="CY135" i="31"/>
  <c r="CE135" i="31"/>
  <c r="BM135" i="31"/>
  <c r="CG135" i="31"/>
  <c r="DI135" i="31"/>
  <c r="CP135" i="31"/>
  <c r="BV135" i="31"/>
  <c r="DD135" i="31"/>
  <c r="CJ135" i="31"/>
  <c r="CK135" i="31"/>
  <c r="BY135" i="31"/>
  <c r="CZ135" i="31"/>
  <c r="CS135" i="31"/>
  <c r="CF135" i="31"/>
  <c r="BN135" i="31"/>
  <c r="CU135" i="31"/>
  <c r="CT135" i="31"/>
  <c r="BK135" i="31"/>
  <c r="BR135" i="31"/>
  <c r="DB135" i="31"/>
  <c r="BS135" i="31"/>
  <c r="DC135" i="31"/>
  <c r="F90" i="24"/>
  <c r="CH178" i="31"/>
  <c r="BQ178" i="31"/>
  <c r="CU178" i="31"/>
  <c r="BK178" i="31"/>
  <c r="CI178" i="31"/>
  <c r="CS178" i="31"/>
  <c r="CC178" i="31"/>
  <c r="BZ178" i="31"/>
  <c r="DD178" i="31"/>
  <c r="CM178" i="31"/>
  <c r="DA178" i="31"/>
  <c r="BS178" i="31"/>
  <c r="BM178" i="31"/>
  <c r="BR178" i="31"/>
  <c r="CV178" i="31"/>
  <c r="CE178" i="31"/>
  <c r="CK178" i="31"/>
  <c r="DH178" i="31"/>
  <c r="CR178" i="31"/>
  <c r="DE178" i="31"/>
  <c r="CN178" i="31"/>
  <c r="BW178" i="31"/>
  <c r="BU178" i="31"/>
  <c r="CB178" i="31"/>
  <c r="BL178" i="31"/>
  <c r="CW178" i="31"/>
  <c r="CF178" i="31"/>
  <c r="BO178" i="31"/>
  <c r="CZ178" i="31"/>
  <c r="DB178" i="31"/>
  <c r="CL178" i="31"/>
  <c r="DF178" i="31"/>
  <c r="CO178" i="31"/>
  <c r="BX178" i="31"/>
  <c r="DG178" i="31"/>
  <c r="CJ178" i="31"/>
  <c r="BV178" i="31"/>
  <c r="DJ178" i="31"/>
  <c r="CX178" i="31"/>
  <c r="CG178" i="31"/>
  <c r="BP178" i="31"/>
  <c r="CQ178" i="31"/>
  <c r="BT178" i="31"/>
  <c r="CT178" i="31"/>
  <c r="DI178" i="31"/>
  <c r="BY178" i="31"/>
  <c r="DC178" i="31"/>
  <c r="CA178" i="31"/>
  <c r="CY178" i="31"/>
  <c r="BN178" i="31"/>
  <c r="CD178" i="31"/>
  <c r="CP178" i="31"/>
  <c r="F123" i="24"/>
  <c r="CT211" i="31"/>
  <c r="CH211" i="31"/>
  <c r="BP211" i="31"/>
  <c r="CI211" i="31"/>
  <c r="CE211" i="31"/>
  <c r="BY211" i="31"/>
  <c r="BO211" i="31"/>
  <c r="CL211" i="31"/>
  <c r="BZ211" i="31"/>
  <c r="DI211" i="31"/>
  <c r="BU211" i="31"/>
  <c r="BS211" i="31"/>
  <c r="BL211" i="31"/>
  <c r="BM211" i="31"/>
  <c r="CD211" i="31"/>
  <c r="BR211" i="31"/>
  <c r="CW211" i="31"/>
  <c r="DG211" i="31"/>
  <c r="DC211" i="31"/>
  <c r="CZ211" i="31"/>
  <c r="BV211" i="31"/>
  <c r="DD211" i="31"/>
  <c r="CJ211" i="31"/>
  <c r="CS211" i="31"/>
  <c r="CQ211" i="31"/>
  <c r="CO211" i="31"/>
  <c r="BN211" i="31"/>
  <c r="CV211" i="31"/>
  <c r="BW211" i="31"/>
  <c r="CG211" i="31"/>
  <c r="CC211" i="31"/>
  <c r="CM211" i="31"/>
  <c r="DF211" i="31"/>
  <c r="CN211" i="31"/>
  <c r="BK211" i="31"/>
  <c r="BT211" i="31"/>
  <c r="BQ211" i="31"/>
  <c r="CB211" i="31"/>
  <c r="DJ211" i="31"/>
  <c r="CX211" i="31"/>
  <c r="CF211" i="31"/>
  <c r="DH211" i="31"/>
  <c r="DE211" i="31"/>
  <c r="CY211" i="31"/>
  <c r="CA211" i="31"/>
  <c r="DB211" i="31"/>
  <c r="CP211" i="31"/>
  <c r="BX211" i="31"/>
  <c r="CU211" i="31"/>
  <c r="CK211" i="31"/>
  <c r="DA211" i="31"/>
  <c r="CR211" i="31"/>
  <c r="F98" i="24"/>
  <c r="DJ186" i="31"/>
  <c r="CZ186" i="31"/>
  <c r="CQ186" i="31"/>
  <c r="CH186" i="31"/>
  <c r="BU186" i="31"/>
  <c r="DI186" i="31"/>
  <c r="BO186" i="31"/>
  <c r="DB186" i="31"/>
  <c r="CR186" i="31"/>
  <c r="CI186" i="31"/>
  <c r="BZ186" i="31"/>
  <c r="CW186" i="31"/>
  <c r="CC186" i="31"/>
  <c r="BM186" i="31"/>
  <c r="CT186" i="31"/>
  <c r="CJ186" i="31"/>
  <c r="CA186" i="31"/>
  <c r="BR186" i="31"/>
  <c r="CG186" i="31"/>
  <c r="DE186" i="31"/>
  <c r="CU186" i="31"/>
  <c r="CL186" i="31"/>
  <c r="CB186" i="31"/>
  <c r="BS186" i="31"/>
  <c r="DC186" i="31"/>
  <c r="BQ186" i="31"/>
  <c r="BY186" i="31"/>
  <c r="CS186" i="31"/>
  <c r="BV186" i="31"/>
  <c r="BL186" i="31"/>
  <c r="DF186" i="31"/>
  <c r="BW186" i="31"/>
  <c r="CF186" i="31"/>
  <c r="BX186" i="31"/>
  <c r="BN186" i="31"/>
  <c r="DG186" i="31"/>
  <c r="CX186" i="31"/>
  <c r="DA186" i="31"/>
  <c r="BP186" i="31"/>
  <c r="CO186" i="31"/>
  <c r="CD186" i="31"/>
  <c r="CV186" i="31"/>
  <c r="DH186" i="31"/>
  <c r="CN186" i="31"/>
  <c r="BK186" i="31"/>
  <c r="BT186" i="31"/>
  <c r="DD186" i="31"/>
  <c r="CY186" i="31"/>
  <c r="CE186" i="31"/>
  <c r="CP186" i="31"/>
  <c r="CM186" i="31"/>
  <c r="CK186" i="31"/>
  <c r="BN161" i="31"/>
  <c r="F73" i="24"/>
  <c r="BK161" i="31"/>
  <c r="CW161" i="31"/>
  <c r="CF161" i="31"/>
  <c r="CR161" i="31"/>
  <c r="BV161" i="31"/>
  <c r="CU161" i="31"/>
  <c r="DF161" i="31"/>
  <c r="CO161" i="31"/>
  <c r="BX161" i="31"/>
  <c r="CB161" i="31"/>
  <c r="DA161" i="31"/>
  <c r="CT161" i="31"/>
  <c r="DG161" i="31"/>
  <c r="CX161" i="31"/>
  <c r="CG161" i="31"/>
  <c r="BP161" i="31"/>
  <c r="BL161" i="31"/>
  <c r="CK161" i="31"/>
  <c r="CE161" i="31"/>
  <c r="CY161" i="31"/>
  <c r="CP161" i="31"/>
  <c r="BY161" i="31"/>
  <c r="DI161" i="31"/>
  <c r="DC161" i="31"/>
  <c r="BU161" i="31"/>
  <c r="CD161" i="31"/>
  <c r="CQ161" i="31"/>
  <c r="CH161" i="31"/>
  <c r="BQ161" i="31"/>
  <c r="CS161" i="31"/>
  <c r="CM161" i="31"/>
  <c r="CZ161" i="31"/>
  <c r="BO161" i="31"/>
  <c r="CI161" i="31"/>
  <c r="BZ161" i="31"/>
  <c r="DD161" i="31"/>
  <c r="CC161" i="31"/>
  <c r="BW161" i="31"/>
  <c r="CJ161" i="31"/>
  <c r="CA161" i="31"/>
  <c r="BR161" i="31"/>
  <c r="CV161" i="31"/>
  <c r="BM161" i="31"/>
  <c r="DB161" i="31"/>
  <c r="BT161" i="31"/>
  <c r="CN161" i="31"/>
  <c r="DH161" i="31"/>
  <c r="CL161" i="31"/>
  <c r="DJ161" i="31"/>
  <c r="BS161" i="31"/>
  <c r="DE161" i="31"/>
  <c r="CF139" i="31"/>
  <c r="BT139" i="31"/>
  <c r="F51" i="24"/>
  <c r="BV139" i="31"/>
  <c r="CE139" i="31"/>
  <c r="DC139" i="31"/>
  <c r="CC139" i="31"/>
  <c r="CM139" i="31"/>
  <c r="CJ139" i="31"/>
  <c r="DG139" i="31"/>
  <c r="CU139" i="31"/>
  <c r="BU139" i="31"/>
  <c r="CB139" i="31"/>
  <c r="BZ139" i="31"/>
  <c r="CR139" i="31"/>
  <c r="DE139" i="31"/>
  <c r="DJ139" i="31"/>
  <c r="BM139" i="31"/>
  <c r="BR139" i="31"/>
  <c r="BO139" i="31"/>
  <c r="CH139" i="31"/>
  <c r="CW139" i="31"/>
  <c r="DB139" i="31"/>
  <c r="CZ139" i="31"/>
  <c r="CX139" i="31"/>
  <c r="DH139" i="31"/>
  <c r="BW139" i="31"/>
  <c r="CO139" i="31"/>
  <c r="DI139" i="31"/>
  <c r="CN139" i="31"/>
  <c r="CL139" i="31"/>
  <c r="CT139" i="31"/>
  <c r="BL139" i="31"/>
  <c r="CG139" i="31"/>
  <c r="DA139" i="31"/>
  <c r="CD139" i="31"/>
  <c r="CA139" i="31"/>
  <c r="CI139" i="31"/>
  <c r="BY139" i="31"/>
  <c r="CS139" i="31"/>
  <c r="BS139" i="31"/>
  <c r="BP139" i="31"/>
  <c r="BX139" i="31"/>
  <c r="CK139" i="31"/>
  <c r="CY139" i="31"/>
  <c r="CV139" i="31"/>
  <c r="BN139" i="31"/>
  <c r="CQ139" i="31"/>
  <c r="BK139" i="31"/>
  <c r="CP139" i="31"/>
  <c r="DF139" i="31"/>
  <c r="BQ139" i="31"/>
  <c r="DD139" i="31"/>
  <c r="F63" i="24"/>
  <c r="BS151" i="31"/>
  <c r="BP151" i="31"/>
  <c r="CE151" i="31"/>
  <c r="CM151" i="31"/>
  <c r="DH151" i="31"/>
  <c r="BN151" i="31"/>
  <c r="BK151" i="31"/>
  <c r="DB151" i="31"/>
  <c r="BU151" i="31"/>
  <c r="CC151" i="31"/>
  <c r="CU151" i="31"/>
  <c r="DC151" i="31"/>
  <c r="DF151" i="31"/>
  <c r="CR151" i="31"/>
  <c r="CZ151" i="31"/>
  <c r="BR151" i="31"/>
  <c r="CK151" i="31"/>
  <c r="BM151" i="31"/>
  <c r="DG151" i="31"/>
  <c r="DD151" i="31"/>
  <c r="CG151" i="31"/>
  <c r="CO151" i="31"/>
  <c r="DI151" i="31"/>
  <c r="BZ151" i="31"/>
  <c r="CT151" i="31"/>
  <c r="CY151" i="31"/>
  <c r="CV151" i="31"/>
  <c r="BV151" i="31"/>
  <c r="CD151" i="31"/>
  <c r="CW151" i="31"/>
  <c r="BO151" i="31"/>
  <c r="CS151" i="31"/>
  <c r="CQ151" i="31"/>
  <c r="CN151" i="31"/>
  <c r="BL151" i="31"/>
  <c r="BT151" i="31"/>
  <c r="CL151" i="31"/>
  <c r="BY151" i="31"/>
  <c r="CI151" i="31"/>
  <c r="CF151" i="31"/>
  <c r="DA151" i="31"/>
  <c r="DJ151" i="31"/>
  <c r="CB151" i="31"/>
  <c r="BW151" i="31"/>
  <c r="CP151" i="31"/>
  <c r="CX151" i="31"/>
  <c r="BQ151" i="31"/>
  <c r="CJ151" i="31"/>
  <c r="DE151" i="31"/>
  <c r="CH151" i="31"/>
  <c r="CA151" i="31"/>
  <c r="BX151" i="31"/>
  <c r="F94" i="24"/>
  <c r="DJ182" i="31"/>
  <c r="CR182" i="31"/>
  <c r="BY182" i="31"/>
  <c r="DG182" i="31"/>
  <c r="BR182" i="31"/>
  <c r="DD182" i="31"/>
  <c r="DF182" i="31"/>
  <c r="DB182" i="31"/>
  <c r="CI182" i="31"/>
  <c r="BP182" i="31"/>
  <c r="CX182" i="31"/>
  <c r="CV182" i="31"/>
  <c r="BS182" i="31"/>
  <c r="DE182" i="31"/>
  <c r="CT182" i="31"/>
  <c r="BZ182" i="31"/>
  <c r="DH182" i="31"/>
  <c r="CO182" i="31"/>
  <c r="CC182" i="31"/>
  <c r="CW182" i="31"/>
  <c r="BU182" i="31"/>
  <c r="CL182" i="31"/>
  <c r="BQ182" i="31"/>
  <c r="CY182" i="31"/>
  <c r="CF182" i="31"/>
  <c r="BK182" i="31"/>
  <c r="BL182" i="31"/>
  <c r="BT182" i="31"/>
  <c r="CD182" i="31"/>
  <c r="DI182" i="31"/>
  <c r="CP182" i="31"/>
  <c r="BW182" i="31"/>
  <c r="CU182" i="31"/>
  <c r="CN182" i="31"/>
  <c r="BV182" i="31"/>
  <c r="CZ182" i="31"/>
  <c r="CG182" i="31"/>
  <c r="BM182" i="31"/>
  <c r="CB182" i="31"/>
  <c r="CM182" i="31"/>
  <c r="BN182" i="31"/>
  <c r="CQ182" i="31"/>
  <c r="BX182" i="31"/>
  <c r="DC182" i="31"/>
  <c r="CS182" i="31"/>
  <c r="CK182" i="31"/>
  <c r="CH182" i="31"/>
  <c r="BO182" i="31"/>
  <c r="CJ182" i="31"/>
  <c r="CA182" i="31"/>
  <c r="CE182" i="31"/>
  <c r="DA182" i="31"/>
  <c r="F30" i="24"/>
  <c r="DC118" i="31"/>
  <c r="DJ118" i="31"/>
  <c r="BQ118" i="31"/>
  <c r="BM118" i="31"/>
  <c r="BT118" i="31"/>
  <c r="BK118" i="31"/>
  <c r="BR118" i="31"/>
  <c r="CU118" i="31"/>
  <c r="DB118" i="31"/>
  <c r="CN118" i="31"/>
  <c r="CG118" i="31"/>
  <c r="BL118" i="31"/>
  <c r="CW118" i="31"/>
  <c r="CO118" i="31"/>
  <c r="CM118" i="31"/>
  <c r="CT118" i="31"/>
  <c r="DI118" i="31"/>
  <c r="CF118" i="31"/>
  <c r="DG118" i="31"/>
  <c r="BP118" i="31"/>
  <c r="DD118" i="31"/>
  <c r="CE118" i="31"/>
  <c r="CL118" i="31"/>
  <c r="DA118" i="31"/>
  <c r="DH118" i="31"/>
  <c r="CY118" i="31"/>
  <c r="DF118" i="31"/>
  <c r="BX118" i="31"/>
  <c r="BW118" i="31"/>
  <c r="CD118" i="31"/>
  <c r="CS118" i="31"/>
  <c r="CZ118" i="31"/>
  <c r="CQ118" i="31"/>
  <c r="CX118" i="31"/>
  <c r="BO118" i="31"/>
  <c r="BV118" i="31"/>
  <c r="CK118" i="31"/>
  <c r="CR118" i="31"/>
  <c r="CI118" i="31"/>
  <c r="CP118" i="31"/>
  <c r="BY118" i="31"/>
  <c r="BN118" i="31"/>
  <c r="CC118" i="31"/>
  <c r="CJ118" i="31"/>
  <c r="CA118" i="31"/>
  <c r="CH118" i="31"/>
  <c r="CB118" i="31"/>
  <c r="BS118" i="31"/>
  <c r="BZ118" i="31"/>
  <c r="CV118" i="31"/>
  <c r="DE118" i="31"/>
  <c r="BU118" i="31"/>
  <c r="F64" i="24"/>
  <c r="CI152" i="31"/>
  <c r="CH152" i="31"/>
  <c r="DB152" i="31"/>
  <c r="CS152" i="31"/>
  <c r="CJ152" i="31"/>
  <c r="CF152" i="31"/>
  <c r="BZ152" i="31"/>
  <c r="BR152" i="31"/>
  <c r="DC152" i="31"/>
  <c r="CT152" i="31"/>
  <c r="CK152" i="31"/>
  <c r="CB152" i="31"/>
  <c r="BP152" i="31"/>
  <c r="DE152" i="31"/>
  <c r="CY152" i="31"/>
  <c r="CU152" i="31"/>
  <c r="CL152" i="31"/>
  <c r="CC152" i="31"/>
  <c r="BT152" i="31"/>
  <c r="DG152" i="31"/>
  <c r="CO152" i="31"/>
  <c r="CX152" i="31"/>
  <c r="CM152" i="31"/>
  <c r="CD152" i="31"/>
  <c r="BU152" i="31"/>
  <c r="BL152" i="31"/>
  <c r="CQ152" i="31"/>
  <c r="BY152" i="31"/>
  <c r="BW152" i="31"/>
  <c r="BN152" i="31"/>
  <c r="DH152" i="31"/>
  <c r="CG152" i="31"/>
  <c r="BK152" i="31"/>
  <c r="CN152" i="31"/>
  <c r="BO152" i="31"/>
  <c r="DI152" i="31"/>
  <c r="CZ152" i="31"/>
  <c r="BQ152" i="31"/>
  <c r="DF152" i="31"/>
  <c r="BX152" i="31"/>
  <c r="CW152" i="31"/>
  <c r="CV152" i="31"/>
  <c r="CA152" i="31"/>
  <c r="CE152" i="31"/>
  <c r="DD152" i="31"/>
  <c r="DJ152" i="31"/>
  <c r="CP152" i="31"/>
  <c r="BV152" i="31"/>
  <c r="DA152" i="31"/>
  <c r="BS152" i="31"/>
  <c r="CR152" i="31"/>
  <c r="BM152" i="31"/>
  <c r="DJ165" i="31"/>
  <c r="F77" i="24"/>
  <c r="CC165" i="31"/>
  <c r="BT165" i="31"/>
  <c r="BK165" i="31"/>
  <c r="CW165" i="31"/>
  <c r="CF165" i="31"/>
  <c r="BO165" i="31"/>
  <c r="BU165" i="31"/>
  <c r="BL165" i="31"/>
  <c r="DF165" i="31"/>
  <c r="CO165" i="31"/>
  <c r="BX165" i="31"/>
  <c r="CT165" i="31"/>
  <c r="BM165" i="31"/>
  <c r="DG165" i="31"/>
  <c r="CX165" i="31"/>
  <c r="CG165" i="31"/>
  <c r="BP165" i="31"/>
  <c r="BN165" i="31"/>
  <c r="DH165" i="31"/>
  <c r="CY165" i="31"/>
  <c r="CP165" i="31"/>
  <c r="BY165" i="31"/>
  <c r="DC165" i="31"/>
  <c r="CM165" i="31"/>
  <c r="DA165" i="31"/>
  <c r="CR165" i="31"/>
  <c r="CI165" i="31"/>
  <c r="BZ165" i="31"/>
  <c r="DD165" i="31"/>
  <c r="DB165" i="31"/>
  <c r="CE165" i="31"/>
  <c r="CS165" i="31"/>
  <c r="CJ165" i="31"/>
  <c r="CA165" i="31"/>
  <c r="BR165" i="31"/>
  <c r="CV165" i="31"/>
  <c r="BV165" i="31"/>
  <c r="CD165" i="31"/>
  <c r="CZ165" i="31"/>
  <c r="BW165" i="31"/>
  <c r="CB165" i="31"/>
  <c r="CU165" i="31"/>
  <c r="CH165" i="31"/>
  <c r="CQ165" i="31"/>
  <c r="CL165" i="31"/>
  <c r="BS165" i="31"/>
  <c r="DE165" i="31"/>
  <c r="CK165" i="31"/>
  <c r="DI165" i="31"/>
  <c r="BQ165" i="31"/>
  <c r="CN165" i="31"/>
  <c r="CV131" i="31"/>
  <c r="BP131" i="31"/>
  <c r="F43" i="24"/>
  <c r="CF131" i="31"/>
  <c r="CQ131" i="31"/>
  <c r="DC131" i="31"/>
  <c r="CU131" i="31"/>
  <c r="CM131" i="31"/>
  <c r="CL131" i="31"/>
  <c r="CC131" i="31"/>
  <c r="BT131" i="31"/>
  <c r="CX131" i="31"/>
  <c r="CD131" i="31"/>
  <c r="BU131" i="31"/>
  <c r="BL131" i="31"/>
  <c r="CE131" i="31"/>
  <c r="BV131" i="31"/>
  <c r="BM131" i="31"/>
  <c r="BW131" i="31"/>
  <c r="BN131" i="31"/>
  <c r="DH131" i="31"/>
  <c r="BQ131" i="31"/>
  <c r="BO131" i="31"/>
  <c r="DI131" i="31"/>
  <c r="CZ131" i="31"/>
  <c r="CG131" i="31"/>
  <c r="DF131" i="31"/>
  <c r="DJ131" i="31"/>
  <c r="DA131" i="31"/>
  <c r="CR131" i="31"/>
  <c r="BK131" i="31"/>
  <c r="CW131" i="31"/>
  <c r="CA131" i="31"/>
  <c r="DB131" i="31"/>
  <c r="CS131" i="31"/>
  <c r="CJ131" i="31"/>
  <c r="BR131" i="31"/>
  <c r="DG131" i="31"/>
  <c r="CK131" i="31"/>
  <c r="BS131" i="31"/>
  <c r="CB131" i="31"/>
  <c r="CI131" i="31"/>
  <c r="CY131" i="31"/>
  <c r="BZ131" i="31"/>
  <c r="BX131" i="31"/>
  <c r="CH131" i="31"/>
  <c r="CN131" i="31"/>
  <c r="CO131" i="31"/>
  <c r="DD131" i="31"/>
  <c r="CP131" i="31"/>
  <c r="DE131" i="31"/>
  <c r="CT131" i="31"/>
  <c r="BY131" i="31"/>
  <c r="F84" i="24"/>
  <c r="DJ172" i="31"/>
  <c r="CZ172" i="31"/>
  <c r="CQ172" i="31"/>
  <c r="CH172" i="31"/>
  <c r="CC172" i="31"/>
  <c r="DC172" i="31"/>
  <c r="CG172" i="31"/>
  <c r="DB172" i="31"/>
  <c r="CR172" i="31"/>
  <c r="CI172" i="31"/>
  <c r="BZ172" i="31"/>
  <c r="BM172" i="31"/>
  <c r="CM172" i="31"/>
  <c r="CF172" i="31"/>
  <c r="CT172" i="31"/>
  <c r="CJ172" i="31"/>
  <c r="CA172" i="31"/>
  <c r="BR172" i="31"/>
  <c r="DE172" i="31"/>
  <c r="BW172" i="31"/>
  <c r="BQ172" i="31"/>
  <c r="CL172" i="31"/>
  <c r="CB172" i="31"/>
  <c r="BS172" i="31"/>
  <c r="CU172" i="31"/>
  <c r="CO172" i="31"/>
  <c r="DA172" i="31"/>
  <c r="BP172" i="31"/>
  <c r="CD172" i="31"/>
  <c r="BT172" i="31"/>
  <c r="BK172" i="31"/>
  <c r="CE172" i="31"/>
  <c r="BY172" i="31"/>
  <c r="CK172" i="31"/>
  <c r="BV172" i="31"/>
  <c r="BL172" i="31"/>
  <c r="DF172" i="31"/>
  <c r="BO172" i="31"/>
  <c r="DD172" i="31"/>
  <c r="BU172" i="31"/>
  <c r="BN172" i="31"/>
  <c r="DG172" i="31"/>
  <c r="CX172" i="31"/>
  <c r="DI172" i="31"/>
  <c r="CN172" i="31"/>
  <c r="CW172" i="31"/>
  <c r="DH172" i="31"/>
  <c r="CY172" i="31"/>
  <c r="CP172" i="31"/>
  <c r="CS172" i="31"/>
  <c r="BX172" i="31"/>
  <c r="CV172" i="31"/>
  <c r="F99" i="24"/>
  <c r="CP187" i="31"/>
  <c r="BX187" i="31"/>
  <c r="DJ187" i="31"/>
  <c r="CI187" i="31"/>
  <c r="BM187" i="31"/>
  <c r="CK187" i="31"/>
  <c r="DG187" i="31"/>
  <c r="CH187" i="31"/>
  <c r="BP187" i="31"/>
  <c r="DB187" i="31"/>
  <c r="BS187" i="31"/>
  <c r="DH187" i="31"/>
  <c r="CJ187" i="31"/>
  <c r="DE187" i="31"/>
  <c r="BZ187" i="31"/>
  <c r="DC187" i="31"/>
  <c r="CT187" i="31"/>
  <c r="CW187" i="31"/>
  <c r="CR187" i="31"/>
  <c r="DA187" i="31"/>
  <c r="BR187" i="31"/>
  <c r="CU187" i="31"/>
  <c r="CL187" i="31"/>
  <c r="CG187" i="31"/>
  <c r="CB187" i="31"/>
  <c r="CQ187" i="31"/>
  <c r="DD187" i="31"/>
  <c r="CM187" i="31"/>
  <c r="CD187" i="31"/>
  <c r="BQ187" i="31"/>
  <c r="BL187" i="31"/>
  <c r="CA187" i="31"/>
  <c r="CV187" i="31"/>
  <c r="CE187" i="31"/>
  <c r="BV187" i="31"/>
  <c r="DI187" i="31"/>
  <c r="CZ187" i="31"/>
  <c r="BY187" i="31"/>
  <c r="DF187" i="31"/>
  <c r="CN187" i="31"/>
  <c r="BW187" i="31"/>
  <c r="BN187" i="31"/>
  <c r="CS187" i="31"/>
  <c r="BT187" i="31"/>
  <c r="BU187" i="31"/>
  <c r="CO187" i="31"/>
  <c r="BK187" i="31"/>
  <c r="CX187" i="31"/>
  <c r="BO187" i="31"/>
  <c r="CY187" i="31"/>
  <c r="CF187" i="31"/>
  <c r="CC187" i="31"/>
  <c r="F117" i="24"/>
  <c r="CF205" i="31"/>
  <c r="BO205" i="31"/>
  <c r="CW205" i="31"/>
  <c r="CA205" i="31"/>
  <c r="CP205" i="31"/>
  <c r="CG205" i="31"/>
  <c r="BK205" i="31"/>
  <c r="BP205" i="31"/>
  <c r="CX205" i="31"/>
  <c r="CD205" i="31"/>
  <c r="CT205" i="31"/>
  <c r="DE205" i="31"/>
  <c r="DC205" i="31"/>
  <c r="DI205" i="31"/>
  <c r="CO205" i="31"/>
  <c r="BU205" i="31"/>
  <c r="CB205" i="31"/>
  <c r="CL205" i="31"/>
  <c r="BS205" i="31"/>
  <c r="CZ205" i="31"/>
  <c r="CE205" i="31"/>
  <c r="BL205" i="31"/>
  <c r="DJ205" i="31"/>
  <c r="BT205" i="31"/>
  <c r="DA205" i="31"/>
  <c r="DD205" i="31"/>
  <c r="CQ205" i="31"/>
  <c r="BV205" i="31"/>
  <c r="DB205" i="31"/>
  <c r="CR205" i="31"/>
  <c r="CU205" i="31"/>
  <c r="CY205" i="31"/>
  <c r="CV205" i="31"/>
  <c r="CH205" i="31"/>
  <c r="BM205" i="31"/>
  <c r="CS205" i="31"/>
  <c r="BZ205" i="31"/>
  <c r="CK205" i="31"/>
  <c r="BQ205" i="31"/>
  <c r="BR205" i="31"/>
  <c r="CN205" i="31"/>
  <c r="DH205" i="31"/>
  <c r="BX205" i="31"/>
  <c r="BW205" i="31"/>
  <c r="BY205" i="31"/>
  <c r="CI205" i="31"/>
  <c r="DF205" i="31"/>
  <c r="BN205" i="31"/>
  <c r="CM205" i="31"/>
  <c r="DG205" i="31"/>
  <c r="CJ205" i="31"/>
  <c r="CC205" i="31"/>
  <c r="F121" i="24"/>
  <c r="CV209" i="31"/>
  <c r="CB209" i="31"/>
  <c r="CR209" i="31"/>
  <c r="BY209" i="31"/>
  <c r="DE209" i="31"/>
  <c r="CW209" i="31"/>
  <c r="BU209" i="31"/>
  <c r="CN209" i="31"/>
  <c r="BS209" i="31"/>
  <c r="CI209" i="31"/>
  <c r="BO209" i="31"/>
  <c r="CU209" i="31"/>
  <c r="BL209" i="31"/>
  <c r="DH209" i="31"/>
  <c r="CF209" i="31"/>
  <c r="DB209" i="31"/>
  <c r="BZ209" i="31"/>
  <c r="DI209" i="31"/>
  <c r="CL209" i="31"/>
  <c r="CO209" i="31"/>
  <c r="BX209" i="31"/>
  <c r="CS209" i="31"/>
  <c r="BQ209" i="31"/>
  <c r="CY209" i="31"/>
  <c r="CC209" i="31"/>
  <c r="CM209" i="31"/>
  <c r="BP209" i="31"/>
  <c r="CJ209" i="31"/>
  <c r="DJ209" i="31"/>
  <c r="CP209" i="31"/>
  <c r="BT209" i="31"/>
  <c r="DG209" i="31"/>
  <c r="DC209" i="31"/>
  <c r="CA209" i="31"/>
  <c r="CZ209" i="31"/>
  <c r="CG209" i="31"/>
  <c r="BK209" i="31"/>
  <c r="CE209" i="31"/>
  <c r="DF209" i="31"/>
  <c r="CT209" i="31"/>
  <c r="BR209" i="31"/>
  <c r="CQ209" i="31"/>
  <c r="BW209" i="31"/>
  <c r="CX209" i="31"/>
  <c r="CD209" i="31"/>
  <c r="BV209" i="31"/>
  <c r="DD209" i="31"/>
  <c r="CK209" i="31"/>
  <c r="CH209" i="31"/>
  <c r="BN209" i="31"/>
  <c r="DA209" i="31"/>
  <c r="BM209" i="31"/>
  <c r="F112" i="24"/>
  <c r="DH200" i="31"/>
  <c r="CU200" i="31"/>
  <c r="BQ200" i="31"/>
  <c r="CW200" i="31"/>
  <c r="CV200" i="31"/>
  <c r="CO200" i="31"/>
  <c r="CY200" i="31"/>
  <c r="CZ200" i="31"/>
  <c r="CL200" i="31"/>
  <c r="DJ200" i="31"/>
  <c r="CN200" i="31"/>
  <c r="CD200" i="31"/>
  <c r="CK200" i="31"/>
  <c r="CM200" i="31"/>
  <c r="CR200" i="31"/>
  <c r="CC200" i="31"/>
  <c r="DA200" i="31"/>
  <c r="CE200" i="31"/>
  <c r="BK200" i="31"/>
  <c r="CG200" i="31"/>
  <c r="BU200" i="31"/>
  <c r="CJ200" i="31"/>
  <c r="BS200" i="31"/>
  <c r="CQ200" i="31"/>
  <c r="BV200" i="31"/>
  <c r="CT200" i="31"/>
  <c r="DG200" i="31"/>
  <c r="BR200" i="31"/>
  <c r="CB200" i="31"/>
  <c r="DB200" i="31"/>
  <c r="CH200" i="31"/>
  <c r="BM200" i="31"/>
  <c r="CA200" i="31"/>
  <c r="BW200" i="31"/>
  <c r="BT200" i="31"/>
  <c r="CS200" i="31"/>
  <c r="BY200" i="31"/>
  <c r="CX200" i="31"/>
  <c r="DI200" i="31"/>
  <c r="BO200" i="31"/>
  <c r="BL200" i="31"/>
  <c r="CI200" i="31"/>
  <c r="BP200" i="31"/>
  <c r="CF200" i="31"/>
  <c r="CP200" i="31"/>
  <c r="DE200" i="31"/>
  <c r="BX200" i="31"/>
  <c r="DC200" i="31"/>
  <c r="DD200" i="31"/>
  <c r="BZ200" i="31"/>
  <c r="DF200" i="31"/>
  <c r="BN200" i="31"/>
  <c r="F93" i="24"/>
  <c r="BZ181" i="31"/>
  <c r="DG181" i="31"/>
  <c r="CM181" i="31"/>
  <c r="BT181" i="31"/>
  <c r="CR181" i="31"/>
  <c r="BS181" i="31"/>
  <c r="BR181" i="31"/>
  <c r="CW181" i="31"/>
  <c r="CD181" i="31"/>
  <c r="BK181" i="31"/>
  <c r="BY181" i="31"/>
  <c r="DB181" i="31"/>
  <c r="DH181" i="31"/>
  <c r="CN181" i="31"/>
  <c r="BU181" i="31"/>
  <c r="CZ181" i="31"/>
  <c r="DI181" i="31"/>
  <c r="BQ181" i="31"/>
  <c r="CY181" i="31"/>
  <c r="CE181" i="31"/>
  <c r="BL181" i="31"/>
  <c r="CG181" i="31"/>
  <c r="CQ181" i="31"/>
  <c r="DA181" i="31"/>
  <c r="CX181" i="31"/>
  <c r="CF181" i="31"/>
  <c r="BM181" i="31"/>
  <c r="CU181" i="31"/>
  <c r="CS181" i="31"/>
  <c r="CI181" i="31"/>
  <c r="CT181" i="31"/>
  <c r="CP181" i="31"/>
  <c r="BW181" i="31"/>
  <c r="DE181" i="31"/>
  <c r="CL181" i="31"/>
  <c r="CA181" i="31"/>
  <c r="CB181" i="31"/>
  <c r="CK181" i="31"/>
  <c r="BV181" i="31"/>
  <c r="BP181" i="31"/>
  <c r="CV181" i="31"/>
  <c r="CJ181" i="31"/>
  <c r="DD181" i="31"/>
  <c r="DF181" i="31"/>
  <c r="CC181" i="31"/>
  <c r="BO181" i="31"/>
  <c r="CH181" i="31"/>
  <c r="DJ181" i="31"/>
  <c r="BN181" i="31"/>
  <c r="CO181" i="31"/>
  <c r="BX181" i="31"/>
  <c r="DC181" i="31"/>
  <c r="F58" i="24"/>
  <c r="DH146" i="31"/>
  <c r="CB146" i="31"/>
  <c r="CR146" i="31"/>
  <c r="CT146" i="31"/>
  <c r="DG146" i="31"/>
  <c r="CX146" i="31"/>
  <c r="CG146" i="31"/>
  <c r="BW146" i="31"/>
  <c r="CF146" i="31"/>
  <c r="DA146" i="31"/>
  <c r="CQ146" i="31"/>
  <c r="CH146" i="31"/>
  <c r="BQ146" i="31"/>
  <c r="CL146" i="31"/>
  <c r="CU146" i="31"/>
  <c r="CS146" i="31"/>
  <c r="CI146" i="31"/>
  <c r="BZ146" i="31"/>
  <c r="DD146" i="31"/>
  <c r="BV146" i="31"/>
  <c r="CE146" i="31"/>
  <c r="CK146" i="31"/>
  <c r="CA146" i="31"/>
  <c r="BR146" i="31"/>
  <c r="CN146" i="31"/>
  <c r="CZ146" i="31"/>
  <c r="BO146" i="31"/>
  <c r="CC146" i="31"/>
  <c r="DE146" i="31"/>
  <c r="CJ146" i="31"/>
  <c r="DJ146" i="31"/>
  <c r="BU146" i="31"/>
  <c r="CW146" i="31"/>
  <c r="BT146" i="31"/>
  <c r="BM146" i="31"/>
  <c r="CO146" i="31"/>
  <c r="CV146" i="31"/>
  <c r="CY146" i="31"/>
  <c r="BY146" i="31"/>
  <c r="BP146" i="31"/>
  <c r="BK146" i="31"/>
  <c r="DC146" i="31"/>
  <c r="DF146" i="31"/>
  <c r="CM146" i="31"/>
  <c r="BS146" i="31"/>
  <c r="CP146" i="31"/>
  <c r="CD146" i="31"/>
  <c r="BX146" i="31"/>
  <c r="DB146" i="31"/>
  <c r="BL146" i="31"/>
  <c r="BN146" i="31"/>
  <c r="DI146" i="31"/>
  <c r="F67" i="24"/>
  <c r="CQ155" i="31"/>
  <c r="CH155" i="31"/>
  <c r="BQ155" i="31"/>
  <c r="CK155" i="31"/>
  <c r="DJ155" i="31"/>
  <c r="DH155" i="31"/>
  <c r="BW155" i="31"/>
  <c r="CI155" i="31"/>
  <c r="BZ155" i="31"/>
  <c r="DD155" i="31"/>
  <c r="BU155" i="31"/>
  <c r="CT155" i="31"/>
  <c r="CR155" i="31"/>
  <c r="BV155" i="31"/>
  <c r="CA155" i="31"/>
  <c r="BR155" i="31"/>
  <c r="CV155" i="31"/>
  <c r="CZ155" i="31"/>
  <c r="CD155" i="31"/>
  <c r="CB155" i="31"/>
  <c r="BS155" i="31"/>
  <c r="DE155" i="31"/>
  <c r="CN155" i="31"/>
  <c r="CJ155" i="31"/>
  <c r="BN155" i="31"/>
  <c r="BL155" i="31"/>
  <c r="BK155" i="31"/>
  <c r="CW155" i="31"/>
  <c r="CF155" i="31"/>
  <c r="BT155" i="31"/>
  <c r="DI155" i="31"/>
  <c r="DC155" i="31"/>
  <c r="DF155" i="31"/>
  <c r="CO155" i="31"/>
  <c r="BX155" i="31"/>
  <c r="CU155" i="31"/>
  <c r="CS155" i="31"/>
  <c r="DB155" i="31"/>
  <c r="DG155" i="31"/>
  <c r="CX155" i="31"/>
  <c r="CG155" i="31"/>
  <c r="BP155" i="31"/>
  <c r="CE155" i="31"/>
  <c r="CC155" i="31"/>
  <c r="CM155" i="31"/>
  <c r="CY155" i="31"/>
  <c r="CP155" i="31"/>
  <c r="BY155" i="31"/>
  <c r="DA155" i="31"/>
  <c r="BM155" i="31"/>
  <c r="CL155" i="31"/>
  <c r="BO155" i="31"/>
  <c r="F113" i="24"/>
  <c r="CF201" i="31"/>
  <c r="BM201" i="31"/>
  <c r="CT201" i="31"/>
  <c r="BY201" i="31"/>
  <c r="CW201" i="31"/>
  <c r="BU201" i="31"/>
  <c r="DH201" i="31"/>
  <c r="CB201" i="31"/>
  <c r="BX201" i="31"/>
  <c r="DE201" i="31"/>
  <c r="CK201" i="31"/>
  <c r="BO201" i="31"/>
  <c r="CD201" i="31"/>
  <c r="DB201" i="31"/>
  <c r="CU201" i="31"/>
  <c r="BL201" i="31"/>
  <c r="BR201" i="31"/>
  <c r="BQ201" i="31"/>
  <c r="BP201" i="31"/>
  <c r="DA201" i="31"/>
  <c r="DI201" i="31"/>
  <c r="DG201" i="31"/>
  <c r="CL201" i="31"/>
  <c r="BS201" i="31"/>
  <c r="CI201" i="31"/>
  <c r="CS201" i="31"/>
  <c r="CR201" i="31"/>
  <c r="CX201" i="31"/>
  <c r="CA201" i="31"/>
  <c r="DD201" i="31"/>
  <c r="CO201" i="31"/>
  <c r="BT201" i="31"/>
  <c r="CZ201" i="31"/>
  <c r="CY201" i="31"/>
  <c r="DJ201" i="31"/>
  <c r="BW201" i="31"/>
  <c r="BV201" i="31"/>
  <c r="CH201" i="31"/>
  <c r="DF201" i="31"/>
  <c r="CC201" i="31"/>
  <c r="CJ201" i="31"/>
  <c r="CV201" i="31"/>
  <c r="CE201" i="31"/>
  <c r="BK201" i="31"/>
  <c r="CQ201" i="31"/>
  <c r="CG201" i="31"/>
  <c r="BZ201" i="31"/>
  <c r="CP201" i="31"/>
  <c r="CN201" i="31"/>
  <c r="DC201" i="31"/>
  <c r="BN201" i="31"/>
  <c r="CM201" i="31"/>
  <c r="CB137" i="31"/>
  <c r="F49" i="24"/>
  <c r="CM137" i="31"/>
  <c r="CN137" i="31"/>
  <c r="CX137" i="31"/>
  <c r="CY137" i="31"/>
  <c r="BR137" i="31"/>
  <c r="DH137" i="31"/>
  <c r="BS137" i="31"/>
  <c r="DJ137" i="31"/>
  <c r="BQ137" i="31"/>
  <c r="DG137" i="31"/>
  <c r="BZ137" i="31"/>
  <c r="CR137" i="31"/>
  <c r="BK137" i="31"/>
  <c r="CD137" i="31"/>
  <c r="DA137" i="31"/>
  <c r="BW137" i="31"/>
  <c r="CT137" i="31"/>
  <c r="CK137" i="31"/>
  <c r="DI137" i="31"/>
  <c r="CV137" i="31"/>
  <c r="BO137" i="31"/>
  <c r="CH137" i="31"/>
  <c r="CZ137" i="31"/>
  <c r="CL137" i="31"/>
  <c r="CP137" i="31"/>
  <c r="DE137" i="31"/>
  <c r="CA137" i="31"/>
  <c r="CW137" i="31"/>
  <c r="BT137" i="31"/>
  <c r="DD137" i="31"/>
  <c r="BL137" i="31"/>
  <c r="CI137" i="31"/>
  <c r="CS137" i="31"/>
  <c r="CE137" i="31"/>
  <c r="BP137" i="31"/>
  <c r="CO137" i="31"/>
  <c r="CC137" i="31"/>
  <c r="DF137" i="31"/>
  <c r="BX137" i="31"/>
  <c r="CQ137" i="31"/>
  <c r="CG137" i="31"/>
  <c r="BU137" i="31"/>
  <c r="BN137" i="31"/>
  <c r="BM137" i="31"/>
  <c r="DC137" i="31"/>
  <c r="DB137" i="31"/>
  <c r="CU137" i="31"/>
  <c r="CF137" i="31"/>
  <c r="BY137" i="31"/>
  <c r="CJ137" i="31"/>
  <c r="BV137" i="31"/>
  <c r="F103" i="24"/>
  <c r="CC191" i="31"/>
  <c r="BT191" i="31"/>
  <c r="BO191" i="31"/>
  <c r="CF191" i="31"/>
  <c r="BP191" i="31"/>
  <c r="BQ191" i="31"/>
  <c r="BU191" i="31"/>
  <c r="BL191" i="31"/>
  <c r="DC191" i="31"/>
  <c r="BV191" i="31"/>
  <c r="DD191" i="31"/>
  <c r="CT191" i="31"/>
  <c r="BM191" i="31"/>
  <c r="DG191" i="31"/>
  <c r="CQ191" i="31"/>
  <c r="CY191" i="31"/>
  <c r="CH191" i="31"/>
  <c r="CN191" i="31"/>
  <c r="DH191" i="31"/>
  <c r="DF191" i="31"/>
  <c r="CG191" i="31"/>
  <c r="CO191" i="31"/>
  <c r="BN191" i="31"/>
  <c r="CM191" i="31"/>
  <c r="DA191" i="31"/>
  <c r="CR191" i="31"/>
  <c r="CU191" i="31"/>
  <c r="BK191" i="31"/>
  <c r="BS191" i="31"/>
  <c r="CD191" i="31"/>
  <c r="BZ191" i="31"/>
  <c r="CS191" i="31"/>
  <c r="CJ191" i="31"/>
  <c r="CI191" i="31"/>
  <c r="DB191" i="31"/>
  <c r="DJ191" i="31"/>
  <c r="CW191" i="31"/>
  <c r="BX191" i="31"/>
  <c r="DE191" i="31"/>
  <c r="CV191" i="31"/>
  <c r="BY191" i="31"/>
  <c r="BR191" i="31"/>
  <c r="BW191" i="31"/>
  <c r="DI191" i="31"/>
  <c r="CP191" i="31"/>
  <c r="CE191" i="31"/>
  <c r="CK191" i="31"/>
  <c r="CL191" i="31"/>
  <c r="CA191" i="31"/>
  <c r="CZ191" i="31"/>
  <c r="CX191" i="31"/>
  <c r="CB191" i="31"/>
  <c r="CY127" i="31"/>
  <c r="DF127" i="31"/>
  <c r="CP127" i="31"/>
  <c r="F39" i="24"/>
  <c r="BK127" i="31"/>
  <c r="CQ127" i="31"/>
  <c r="BZ127" i="31"/>
  <c r="DG127" i="31"/>
  <c r="CA127" i="31"/>
  <c r="BP127" i="31"/>
  <c r="CF127" i="31"/>
  <c r="CV127" i="31"/>
  <c r="BQ127" i="31"/>
  <c r="CG127" i="31"/>
  <c r="CW127" i="31"/>
  <c r="BR127" i="31"/>
  <c r="CH127" i="31"/>
  <c r="CI127" i="31"/>
  <c r="BW127" i="31"/>
  <c r="BN127" i="31"/>
  <c r="DH127" i="31"/>
  <c r="BO127" i="31"/>
  <c r="DI127" i="31"/>
  <c r="CZ127" i="31"/>
  <c r="CX127" i="31"/>
  <c r="CU127" i="31"/>
  <c r="CL127" i="31"/>
  <c r="CC127" i="31"/>
  <c r="BT127" i="31"/>
  <c r="DD127" i="31"/>
  <c r="CM127" i="31"/>
  <c r="CD127" i="31"/>
  <c r="BU127" i="31"/>
  <c r="BL127" i="31"/>
  <c r="CS127" i="31"/>
  <c r="CJ127" i="31"/>
  <c r="DC127" i="31"/>
  <c r="CK127" i="31"/>
  <c r="CE127" i="31"/>
  <c r="BM127" i="31"/>
  <c r="DB127" i="31"/>
  <c r="BX127" i="31"/>
  <c r="DJ127" i="31"/>
  <c r="CR127" i="31"/>
  <c r="BS127" i="31"/>
  <c r="CT127" i="31"/>
  <c r="CB127" i="31"/>
  <c r="CN127" i="31"/>
  <c r="BY127" i="31"/>
  <c r="CO127" i="31"/>
  <c r="DE127" i="31"/>
  <c r="BV127" i="31"/>
  <c r="DA127" i="31"/>
  <c r="F70" i="24"/>
  <c r="DC158" i="31"/>
  <c r="CT158" i="31"/>
  <c r="CK158" i="31"/>
  <c r="CB158" i="31"/>
  <c r="BX158" i="31"/>
  <c r="CG158" i="31"/>
  <c r="DG158" i="31"/>
  <c r="CU158" i="31"/>
  <c r="CL158" i="31"/>
  <c r="CC158" i="31"/>
  <c r="BT158" i="31"/>
  <c r="CY158" i="31"/>
  <c r="BQ158" i="31"/>
  <c r="DF158" i="31"/>
  <c r="CM158" i="31"/>
  <c r="CD158" i="31"/>
  <c r="BU158" i="31"/>
  <c r="BL158" i="31"/>
  <c r="CI158" i="31"/>
  <c r="CV158" i="31"/>
  <c r="CQ158" i="31"/>
  <c r="CE158" i="31"/>
  <c r="BV158" i="31"/>
  <c r="BM158" i="31"/>
  <c r="DE158" i="31"/>
  <c r="BS158" i="31"/>
  <c r="CF158" i="31"/>
  <c r="CP158" i="31"/>
  <c r="BW158" i="31"/>
  <c r="BN158" i="31"/>
  <c r="DH158" i="31"/>
  <c r="CO158" i="31"/>
  <c r="CX158" i="31"/>
  <c r="BP158" i="31"/>
  <c r="BO158" i="31"/>
  <c r="DI158" i="31"/>
  <c r="CZ158" i="31"/>
  <c r="BY158" i="31"/>
  <c r="CH158" i="31"/>
  <c r="CA158" i="31"/>
  <c r="DJ158" i="31"/>
  <c r="DA158" i="31"/>
  <c r="CR158" i="31"/>
  <c r="DD158" i="31"/>
  <c r="BR158" i="31"/>
  <c r="BZ158" i="31"/>
  <c r="CN158" i="31"/>
  <c r="CW158" i="31"/>
  <c r="BK158" i="31"/>
  <c r="DB158" i="31"/>
  <c r="CS158" i="31"/>
  <c r="CJ158" i="31"/>
  <c r="F104" i="24"/>
  <c r="BY192" i="31"/>
  <c r="DC192" i="31"/>
  <c r="CT192" i="31"/>
  <c r="CY192" i="31"/>
  <c r="CC192" i="31"/>
  <c r="BK192" i="31"/>
  <c r="BQ192" i="31"/>
  <c r="CU192" i="31"/>
  <c r="CL192" i="31"/>
  <c r="CI192" i="31"/>
  <c r="BM192" i="31"/>
  <c r="CZ192" i="31"/>
  <c r="DD192" i="31"/>
  <c r="CM192" i="31"/>
  <c r="CD192" i="31"/>
  <c r="BS192" i="31"/>
  <c r="CP192" i="31"/>
  <c r="CR192" i="31"/>
  <c r="CV192" i="31"/>
  <c r="CE192" i="31"/>
  <c r="BV192" i="31"/>
  <c r="CX192" i="31"/>
  <c r="CJ192" i="31"/>
  <c r="CQ192" i="31"/>
  <c r="DE192" i="31"/>
  <c r="CN192" i="31"/>
  <c r="BW192" i="31"/>
  <c r="BN192" i="31"/>
  <c r="CH192" i="31"/>
  <c r="DH192" i="31"/>
  <c r="BL192" i="31"/>
  <c r="CW192" i="31"/>
  <c r="CF192" i="31"/>
  <c r="BO192" i="31"/>
  <c r="DA192" i="31"/>
  <c r="BR192" i="31"/>
  <c r="CB192" i="31"/>
  <c r="DF192" i="31"/>
  <c r="CO192" i="31"/>
  <c r="BX192" i="31"/>
  <c r="DJ192" i="31"/>
  <c r="CK192" i="31"/>
  <c r="DI192" i="31"/>
  <c r="DG192" i="31"/>
  <c r="BZ192" i="31"/>
  <c r="CS192" i="31"/>
  <c r="CA192" i="31"/>
  <c r="BT192" i="31"/>
  <c r="CG192" i="31"/>
  <c r="BP192" i="31"/>
  <c r="DB192" i="31"/>
  <c r="BU192" i="31"/>
  <c r="F40" i="24"/>
  <c r="DG128" i="31"/>
  <c r="CX128" i="31"/>
  <c r="CG128" i="31"/>
  <c r="BP128" i="31"/>
  <c r="BT128" i="31"/>
  <c r="BN128" i="31"/>
  <c r="CR128" i="31"/>
  <c r="CY128" i="31"/>
  <c r="CP128" i="31"/>
  <c r="BY128" i="31"/>
  <c r="DA128" i="31"/>
  <c r="CM128" i="31"/>
  <c r="BV128" i="31"/>
  <c r="CB128" i="31"/>
  <c r="CQ128" i="31"/>
  <c r="CH128" i="31"/>
  <c r="BQ128" i="31"/>
  <c r="CK128" i="31"/>
  <c r="CU128" i="31"/>
  <c r="DI128" i="31"/>
  <c r="BL128" i="31"/>
  <c r="CI128" i="31"/>
  <c r="BZ128" i="31"/>
  <c r="DD128" i="31"/>
  <c r="BU128" i="31"/>
  <c r="CE128" i="31"/>
  <c r="CS128" i="31"/>
  <c r="BW128" i="31"/>
  <c r="CA128" i="31"/>
  <c r="BR128" i="31"/>
  <c r="CV128" i="31"/>
  <c r="DC128" i="31"/>
  <c r="BO128" i="31"/>
  <c r="CC128" i="31"/>
  <c r="BS128" i="31"/>
  <c r="DE128" i="31"/>
  <c r="CN128" i="31"/>
  <c r="DB128" i="31"/>
  <c r="DJ128" i="31"/>
  <c r="BM128" i="31"/>
  <c r="BK128" i="31"/>
  <c r="CW128" i="31"/>
  <c r="CF128" i="31"/>
  <c r="CZ128" i="31"/>
  <c r="CT128" i="31"/>
  <c r="CL128" i="31"/>
  <c r="CD128" i="31"/>
  <c r="DH128" i="31"/>
  <c r="DF128" i="31"/>
  <c r="CO128" i="31"/>
  <c r="BX128" i="31"/>
  <c r="CJ128" i="31"/>
  <c r="DF133" i="31"/>
  <c r="CH133" i="31"/>
  <c r="CI133" i="31"/>
  <c r="CX133" i="31"/>
  <c r="CY133" i="31"/>
  <c r="BR133" i="31"/>
  <c r="F45" i="24"/>
  <c r="BS133" i="31"/>
  <c r="BX133" i="31"/>
  <c r="CN133" i="31"/>
  <c r="DD133" i="31"/>
  <c r="DE133" i="31"/>
  <c r="BZ133" i="31"/>
  <c r="CP133" i="31"/>
  <c r="BY133" i="31"/>
  <c r="BW133" i="31"/>
  <c r="BN133" i="31"/>
  <c r="DH133" i="31"/>
  <c r="BP133" i="31"/>
  <c r="BO133" i="31"/>
  <c r="DI133" i="31"/>
  <c r="CZ133" i="31"/>
  <c r="CF133" i="31"/>
  <c r="DJ133" i="31"/>
  <c r="DA133" i="31"/>
  <c r="CR133" i="31"/>
  <c r="DB133" i="31"/>
  <c r="CS133" i="31"/>
  <c r="CJ133" i="31"/>
  <c r="BK133" i="31"/>
  <c r="CU133" i="31"/>
  <c r="CL133" i="31"/>
  <c r="CC133" i="31"/>
  <c r="BT133" i="31"/>
  <c r="CQ133" i="31"/>
  <c r="CM133" i="31"/>
  <c r="CD133" i="31"/>
  <c r="BU133" i="31"/>
  <c r="BL133" i="31"/>
  <c r="DG133" i="31"/>
  <c r="CT133" i="31"/>
  <c r="CA133" i="31"/>
  <c r="BV133" i="31"/>
  <c r="CK133" i="31"/>
  <c r="BQ133" i="31"/>
  <c r="CG133" i="31"/>
  <c r="CB133" i="31"/>
  <c r="CW133" i="31"/>
  <c r="BM133" i="31"/>
  <c r="CV133" i="31"/>
  <c r="CO133" i="31"/>
  <c r="DC133" i="31"/>
  <c r="CE133" i="31"/>
  <c r="BS149" i="31"/>
  <c r="F61" i="24"/>
  <c r="CH149" i="31"/>
  <c r="BQ149" i="31"/>
  <c r="CU149" i="31"/>
  <c r="CD149" i="31"/>
  <c r="BM149" i="31"/>
  <c r="CA149" i="31"/>
  <c r="DG149" i="31"/>
  <c r="BZ149" i="31"/>
  <c r="DH149" i="31"/>
  <c r="CM149" i="31"/>
  <c r="BV149" i="31"/>
  <c r="CR149" i="31"/>
  <c r="BT149" i="31"/>
  <c r="CY149" i="31"/>
  <c r="BR149" i="31"/>
  <c r="CW149" i="31"/>
  <c r="CE149" i="31"/>
  <c r="BN149" i="31"/>
  <c r="BL149" i="31"/>
  <c r="DD149" i="31"/>
  <c r="DI149" i="31"/>
  <c r="CN149" i="31"/>
  <c r="BW149" i="31"/>
  <c r="DC149" i="31"/>
  <c r="CQ149" i="31"/>
  <c r="DJ149" i="31"/>
  <c r="CO149" i="31"/>
  <c r="BX149" i="31"/>
  <c r="DE149" i="31"/>
  <c r="CK149" i="31"/>
  <c r="CJ149" i="31"/>
  <c r="CZ149" i="31"/>
  <c r="CG149" i="31"/>
  <c r="BP149" i="31"/>
  <c r="CT149" i="31"/>
  <c r="CC149" i="31"/>
  <c r="CI149" i="31"/>
  <c r="CV149" i="31"/>
  <c r="CS149" i="31"/>
  <c r="DB149" i="31"/>
  <c r="CP149" i="31"/>
  <c r="BU149" i="31"/>
  <c r="DA149" i="31"/>
  <c r="CX149" i="31"/>
  <c r="BK149" i="31"/>
  <c r="CF149" i="31"/>
  <c r="BY149" i="31"/>
  <c r="CB149" i="31"/>
  <c r="DF149" i="31"/>
  <c r="BO149" i="31"/>
  <c r="CL149" i="31"/>
  <c r="F60" i="24"/>
  <c r="DJ148" i="31"/>
  <c r="DA148" i="31"/>
  <c r="CR148" i="31"/>
  <c r="CI148" i="31"/>
  <c r="BZ148" i="31"/>
  <c r="CF148" i="31"/>
  <c r="CU148" i="31"/>
  <c r="DB148" i="31"/>
  <c r="CS148" i="31"/>
  <c r="CJ148" i="31"/>
  <c r="CA148" i="31"/>
  <c r="BR148" i="31"/>
  <c r="CE148" i="31"/>
  <c r="BO148" i="31"/>
  <c r="CT148" i="31"/>
  <c r="CK148" i="31"/>
  <c r="CB148" i="31"/>
  <c r="BS148" i="31"/>
  <c r="DE148" i="31"/>
  <c r="DD148" i="31"/>
  <c r="CN148" i="31"/>
  <c r="CL148" i="31"/>
  <c r="CC148" i="31"/>
  <c r="BT148" i="31"/>
  <c r="BK148" i="31"/>
  <c r="CW148" i="31"/>
  <c r="BX148" i="31"/>
  <c r="CM148" i="31"/>
  <c r="CD148" i="31"/>
  <c r="BU148" i="31"/>
  <c r="BL148" i="31"/>
  <c r="DF148" i="31"/>
  <c r="CO148" i="31"/>
  <c r="DC148" i="31"/>
  <c r="BV148" i="31"/>
  <c r="BM148" i="31"/>
  <c r="DG148" i="31"/>
  <c r="CX148" i="31"/>
  <c r="CG148" i="31"/>
  <c r="BW148" i="31"/>
  <c r="BN148" i="31"/>
  <c r="DH148" i="31"/>
  <c r="CY148" i="31"/>
  <c r="CP148" i="31"/>
  <c r="BY148" i="31"/>
  <c r="CV148" i="31"/>
  <c r="DI148" i="31"/>
  <c r="CZ148" i="31"/>
  <c r="CQ148" i="31"/>
  <c r="CH148" i="31"/>
  <c r="BQ148" i="31"/>
  <c r="BP148" i="31"/>
  <c r="F119" i="24"/>
  <c r="DD207" i="31"/>
  <c r="CM207" i="31"/>
  <c r="BS207" i="31"/>
  <c r="CP207" i="31"/>
  <c r="CE207" i="31"/>
  <c r="DA207" i="31"/>
  <c r="DG207" i="31"/>
  <c r="CV207" i="31"/>
  <c r="CD207" i="31"/>
  <c r="DB207" i="31"/>
  <c r="CG207" i="31"/>
  <c r="BM207" i="31"/>
  <c r="BQ207" i="31"/>
  <c r="DE207" i="31"/>
  <c r="CN207" i="31"/>
  <c r="BU207" i="31"/>
  <c r="CS207" i="31"/>
  <c r="BW207" i="31"/>
  <c r="CU207" i="31"/>
  <c r="CQ207" i="31"/>
  <c r="BV207" i="31"/>
  <c r="CF207" i="31"/>
  <c r="BL207" i="31"/>
  <c r="CJ207" i="31"/>
  <c r="BN207" i="31"/>
  <c r="CC207" i="31"/>
  <c r="CO207" i="31"/>
  <c r="BT207" i="31"/>
  <c r="BP207" i="31"/>
  <c r="CT207" i="31"/>
  <c r="BR207" i="31"/>
  <c r="CH207" i="31"/>
  <c r="DJ207" i="31"/>
  <c r="CI207" i="31"/>
  <c r="DF207" i="31"/>
  <c r="CK207" i="31"/>
  <c r="DH207" i="31"/>
  <c r="BO207" i="31"/>
  <c r="CR207" i="31"/>
  <c r="DI207" i="31"/>
  <c r="BX207" i="31"/>
  <c r="BK207" i="31"/>
  <c r="CW207" i="31"/>
  <c r="BZ207" i="31"/>
  <c r="DC207" i="31"/>
  <c r="CL207" i="31"/>
  <c r="CB207" i="31"/>
  <c r="BY207" i="31"/>
  <c r="CY207" i="31"/>
  <c r="CX207" i="31"/>
  <c r="CA207" i="31"/>
  <c r="CZ207" i="31"/>
  <c r="F76" i="24"/>
  <c r="DE164" i="31"/>
  <c r="CN164" i="31"/>
  <c r="BW164" i="31"/>
  <c r="BN164" i="31"/>
  <c r="DH164" i="31"/>
  <c r="BK164" i="31"/>
  <c r="CY164" i="31"/>
  <c r="CW164" i="31"/>
  <c r="CF164" i="31"/>
  <c r="BO164" i="31"/>
  <c r="DI164" i="31"/>
  <c r="CZ164" i="31"/>
  <c r="CP164" i="31"/>
  <c r="CX164" i="31"/>
  <c r="CO164" i="31"/>
  <c r="BX164" i="31"/>
  <c r="DJ164" i="31"/>
  <c r="DA164" i="31"/>
  <c r="CR164" i="31"/>
  <c r="CI164" i="31"/>
  <c r="BS164" i="31"/>
  <c r="CG164" i="31"/>
  <c r="BP164" i="31"/>
  <c r="DB164" i="31"/>
  <c r="CS164" i="31"/>
  <c r="CJ164" i="31"/>
  <c r="CH164" i="31"/>
  <c r="BR164" i="31"/>
  <c r="BY164" i="31"/>
  <c r="DC164" i="31"/>
  <c r="CT164" i="31"/>
  <c r="CK164" i="31"/>
  <c r="CB164" i="31"/>
  <c r="DG164" i="31"/>
  <c r="BQ164" i="31"/>
  <c r="CU164" i="31"/>
  <c r="CL164" i="31"/>
  <c r="CC164" i="31"/>
  <c r="BT164" i="31"/>
  <c r="CA164" i="31"/>
  <c r="DD164" i="31"/>
  <c r="CM164" i="31"/>
  <c r="CD164" i="31"/>
  <c r="BU164" i="31"/>
  <c r="BL164" i="31"/>
  <c r="DF164" i="31"/>
  <c r="CV164" i="31"/>
  <c r="CE164" i="31"/>
  <c r="BV164" i="31"/>
  <c r="BM164" i="31"/>
  <c r="CQ164" i="31"/>
  <c r="BZ164" i="31"/>
  <c r="F75" i="24"/>
  <c r="CZ163" i="31"/>
  <c r="BK163" i="31"/>
  <c r="CW163" i="31"/>
  <c r="CF163" i="31"/>
  <c r="DC163" i="31"/>
  <c r="BM163" i="31"/>
  <c r="CR163" i="31"/>
  <c r="DF163" i="31"/>
  <c r="CO163" i="31"/>
  <c r="BX163" i="31"/>
  <c r="CE163" i="31"/>
  <c r="CT163" i="31"/>
  <c r="DG163" i="31"/>
  <c r="CX163" i="31"/>
  <c r="CG163" i="31"/>
  <c r="BP163" i="31"/>
  <c r="BO163" i="31"/>
  <c r="CB163" i="31"/>
  <c r="CY163" i="31"/>
  <c r="CP163" i="31"/>
  <c r="BY163" i="31"/>
  <c r="CK163" i="31"/>
  <c r="DB163" i="31"/>
  <c r="BL163" i="31"/>
  <c r="DI163" i="31"/>
  <c r="CQ163" i="31"/>
  <c r="CH163" i="31"/>
  <c r="BQ163" i="31"/>
  <c r="BU163" i="31"/>
  <c r="CD163" i="31"/>
  <c r="BW163" i="31"/>
  <c r="DA163" i="31"/>
  <c r="CI163" i="31"/>
  <c r="BZ163" i="31"/>
  <c r="DD163" i="31"/>
  <c r="DJ163" i="31"/>
  <c r="BN163" i="31"/>
  <c r="BV163" i="31"/>
  <c r="CS163" i="31"/>
  <c r="CA163" i="31"/>
  <c r="BR163" i="31"/>
  <c r="CV163" i="31"/>
  <c r="CJ163" i="31"/>
  <c r="CU163" i="31"/>
  <c r="DH163" i="31"/>
  <c r="BS163" i="31"/>
  <c r="DE163" i="31"/>
  <c r="CN163" i="31"/>
  <c r="BT163" i="31"/>
  <c r="CL163" i="31"/>
  <c r="CM163" i="31"/>
  <c r="CC163" i="31"/>
  <c r="F78" i="24"/>
  <c r="CO166" i="31"/>
  <c r="BX166" i="31"/>
  <c r="DC166" i="31"/>
  <c r="CK166" i="31"/>
  <c r="CB166" i="31"/>
  <c r="BZ166" i="31"/>
  <c r="CG166" i="31"/>
  <c r="BP166" i="31"/>
  <c r="CT166" i="31"/>
  <c r="CC166" i="31"/>
  <c r="BT166" i="31"/>
  <c r="CY166" i="31"/>
  <c r="BY166" i="31"/>
  <c r="DD166" i="31"/>
  <c r="CL166" i="31"/>
  <c r="BU166" i="31"/>
  <c r="BL166" i="31"/>
  <c r="BS166" i="31"/>
  <c r="BQ166" i="31"/>
  <c r="CU166" i="31"/>
  <c r="CD166" i="31"/>
  <c r="BM166" i="31"/>
  <c r="CI166" i="31"/>
  <c r="CX166" i="31"/>
  <c r="DJ166" i="31"/>
  <c r="DE166" i="31"/>
  <c r="CM166" i="31"/>
  <c r="BV166" i="31"/>
  <c r="DI166" i="31"/>
  <c r="CH166" i="31"/>
  <c r="BR166" i="31"/>
  <c r="DB166" i="31"/>
  <c r="CV166" i="31"/>
  <c r="CE166" i="31"/>
  <c r="BN166" i="31"/>
  <c r="CZ166" i="31"/>
  <c r="DH166" i="31"/>
  <c r="CQ166" i="31"/>
  <c r="DF166" i="31"/>
  <c r="CN166" i="31"/>
  <c r="BW166" i="31"/>
  <c r="DA166" i="31"/>
  <c r="CR166" i="31"/>
  <c r="CA166" i="31"/>
  <c r="CP166" i="31"/>
  <c r="CF166" i="31"/>
  <c r="BO166" i="31"/>
  <c r="CS166" i="31"/>
  <c r="CJ166" i="31"/>
  <c r="DG166" i="31"/>
  <c r="BK166" i="31"/>
  <c r="CW166" i="31"/>
  <c r="CM136" i="31"/>
  <c r="F48" i="24"/>
  <c r="DG136" i="31"/>
  <c r="BL136" i="31"/>
  <c r="BT136" i="31"/>
  <c r="BV136" i="31"/>
  <c r="BK136" i="31"/>
  <c r="DH136" i="31"/>
  <c r="CD136" i="31"/>
  <c r="CX136" i="31"/>
  <c r="CE136" i="31"/>
  <c r="DA136" i="31"/>
  <c r="CS136" i="31"/>
  <c r="CU136" i="31"/>
  <c r="BR136" i="31"/>
  <c r="CH136" i="31"/>
  <c r="DJ136" i="31"/>
  <c r="CR136" i="31"/>
  <c r="CO136" i="31"/>
  <c r="BZ136" i="31"/>
  <c r="CK136" i="31"/>
  <c r="CL136" i="31"/>
  <c r="DC136" i="31"/>
  <c r="BY136" i="31"/>
  <c r="CY136" i="31"/>
  <c r="CB136" i="31"/>
  <c r="BP136" i="31"/>
  <c r="CV136" i="31"/>
  <c r="DD136" i="31"/>
  <c r="CP136" i="31"/>
  <c r="CC136" i="31"/>
  <c r="BU136" i="31"/>
  <c r="BS136" i="31"/>
  <c r="CI136" i="31"/>
  <c r="CZ136" i="31"/>
  <c r="CF136" i="31"/>
  <c r="BM136" i="31"/>
  <c r="BW136" i="31"/>
  <c r="DE136" i="31"/>
  <c r="CT136" i="31"/>
  <c r="BQ136" i="31"/>
  <c r="CG136" i="31"/>
  <c r="BN136" i="31"/>
  <c r="DI136" i="31"/>
  <c r="CA136" i="31"/>
  <c r="CQ136" i="31"/>
  <c r="CN136" i="31"/>
  <c r="CW136" i="31"/>
  <c r="CJ136" i="31"/>
  <c r="DB136" i="31"/>
  <c r="BX136" i="31"/>
  <c r="DF136" i="31"/>
  <c r="BO136" i="31"/>
  <c r="F68" i="24"/>
  <c r="DB156" i="31"/>
  <c r="CS156" i="31"/>
  <c r="CJ156" i="31"/>
  <c r="CF156" i="31"/>
  <c r="BZ156" i="31"/>
  <c r="CX156" i="31"/>
  <c r="BR156" i="31"/>
  <c r="DC156" i="31"/>
  <c r="CT156" i="31"/>
  <c r="CK156" i="31"/>
  <c r="CB156" i="31"/>
  <c r="BP156" i="31"/>
  <c r="DE156" i="31"/>
  <c r="CI156" i="31"/>
  <c r="CU156" i="31"/>
  <c r="CL156" i="31"/>
  <c r="CC156" i="31"/>
  <c r="BT156" i="31"/>
  <c r="DG156" i="31"/>
  <c r="CO156" i="31"/>
  <c r="CH156" i="31"/>
  <c r="CM156" i="31"/>
  <c r="CD156" i="31"/>
  <c r="BU156" i="31"/>
  <c r="BL156" i="31"/>
  <c r="CQ156" i="31"/>
  <c r="BY156" i="31"/>
  <c r="CE156" i="31"/>
  <c r="BV156" i="31"/>
  <c r="BM156" i="31"/>
  <c r="CW156" i="31"/>
  <c r="CA156" i="31"/>
  <c r="DD156" i="31"/>
  <c r="BW156" i="31"/>
  <c r="BN156" i="31"/>
  <c r="DH156" i="31"/>
  <c r="CG156" i="31"/>
  <c r="BK156" i="31"/>
  <c r="CN156" i="31"/>
  <c r="BO156" i="31"/>
  <c r="DI156" i="31"/>
  <c r="CZ156" i="31"/>
  <c r="BQ156" i="31"/>
  <c r="DF156" i="31"/>
  <c r="BX156" i="31"/>
  <c r="DJ156" i="31"/>
  <c r="DA156" i="31"/>
  <c r="CR156" i="31"/>
  <c r="CV156" i="31"/>
  <c r="BS156" i="31"/>
  <c r="CP156" i="31"/>
  <c r="CY156" i="31"/>
  <c r="F50" i="24"/>
  <c r="CE138" i="31"/>
  <c r="CY138" i="31"/>
  <c r="CN138" i="31"/>
  <c r="CD138" i="31"/>
  <c r="CP138" i="31"/>
  <c r="DE138" i="31"/>
  <c r="CM138" i="31"/>
  <c r="DF138" i="31"/>
  <c r="BX138" i="31"/>
  <c r="CQ138" i="31"/>
  <c r="DI138" i="31"/>
  <c r="CW138" i="31"/>
  <c r="CB138" i="31"/>
  <c r="CU138" i="31"/>
  <c r="BN138" i="31"/>
  <c r="CF138" i="31"/>
  <c r="DA138" i="31"/>
  <c r="CO138" i="31"/>
  <c r="BR138" i="31"/>
  <c r="CJ138" i="31"/>
  <c r="DC138" i="31"/>
  <c r="BV138" i="31"/>
  <c r="CS138" i="31"/>
  <c r="CG138" i="31"/>
  <c r="DG138" i="31"/>
  <c r="BZ138" i="31"/>
  <c r="CR138" i="31"/>
  <c r="BK138" i="31"/>
  <c r="CC138" i="31"/>
  <c r="BQ138" i="31"/>
  <c r="CL138" i="31"/>
  <c r="DD138" i="31"/>
  <c r="BW138" i="31"/>
  <c r="BS138" i="31"/>
  <c r="BU138" i="31"/>
  <c r="DH138" i="31"/>
  <c r="CA138" i="31"/>
  <c r="CT138" i="31"/>
  <c r="BL138" i="31"/>
  <c r="DJ138" i="31"/>
  <c r="CV138" i="31"/>
  <c r="BP138" i="31"/>
  <c r="BT138" i="31"/>
  <c r="CH138" i="31"/>
  <c r="BO138" i="31"/>
  <c r="CZ138" i="31"/>
  <c r="CI138" i="31"/>
  <c r="CK138" i="31"/>
  <c r="BM138" i="31"/>
  <c r="DB138" i="31"/>
  <c r="CX138" i="31"/>
  <c r="BY138" i="31"/>
  <c r="DG147" i="31"/>
  <c r="F59" i="24"/>
  <c r="CW147" i="31"/>
  <c r="CF147" i="31"/>
  <c r="DJ147" i="31"/>
  <c r="DA147" i="31"/>
  <c r="CY147" i="31"/>
  <c r="CI147" i="31"/>
  <c r="CO147" i="31"/>
  <c r="BX147" i="31"/>
  <c r="DF147" i="31"/>
  <c r="CG147" i="31"/>
  <c r="DC147" i="31"/>
  <c r="CT147" i="31"/>
  <c r="CK147" i="31"/>
  <c r="CR147" i="31"/>
  <c r="CX147" i="31"/>
  <c r="BY147" i="31"/>
  <c r="CU147" i="31"/>
  <c r="CL147" i="31"/>
  <c r="CC147" i="31"/>
  <c r="BR147" i="31"/>
  <c r="CP147" i="31"/>
  <c r="BQ147" i="31"/>
  <c r="CM147" i="31"/>
  <c r="CD147" i="31"/>
  <c r="BU147" i="31"/>
  <c r="CQ147" i="31"/>
  <c r="CH147" i="31"/>
  <c r="DD147" i="31"/>
  <c r="CE147" i="31"/>
  <c r="BV147" i="31"/>
  <c r="BM147" i="31"/>
  <c r="BP147" i="31"/>
  <c r="BZ147" i="31"/>
  <c r="CV147" i="31"/>
  <c r="BW147" i="31"/>
  <c r="BN147" i="31"/>
  <c r="CZ147" i="31"/>
  <c r="CJ147" i="31"/>
  <c r="CN147" i="31"/>
  <c r="BK147" i="31"/>
  <c r="BO147" i="31"/>
  <c r="DH147" i="31"/>
  <c r="DB147" i="31"/>
  <c r="DI147" i="31"/>
  <c r="BT147" i="31"/>
  <c r="BS147" i="31"/>
  <c r="CA147" i="31"/>
  <c r="DE147" i="31"/>
  <c r="BL147" i="31"/>
  <c r="CS147" i="31"/>
  <c r="CB147" i="31"/>
  <c r="F105" i="24"/>
  <c r="BM193" i="31"/>
  <c r="DG193" i="31"/>
  <c r="CX193" i="31"/>
  <c r="CU193" i="31"/>
  <c r="CO193" i="31"/>
  <c r="BW193" i="31"/>
  <c r="DH193" i="31"/>
  <c r="CY193" i="31"/>
  <c r="CP193" i="31"/>
  <c r="CE193" i="31"/>
  <c r="BY193" i="31"/>
  <c r="DD193" i="31"/>
  <c r="DI193" i="31"/>
  <c r="CZ193" i="31"/>
  <c r="CQ193" i="31"/>
  <c r="CH193" i="31"/>
  <c r="BO193" i="31"/>
  <c r="DB193" i="31"/>
  <c r="DC193" i="31"/>
  <c r="DA193" i="31"/>
  <c r="CR193" i="31"/>
  <c r="CI193" i="31"/>
  <c r="BZ193" i="31"/>
  <c r="DJ193" i="31"/>
  <c r="BV193" i="31"/>
  <c r="CL193" i="31"/>
  <c r="CS193" i="31"/>
  <c r="CJ193" i="31"/>
  <c r="CA193" i="31"/>
  <c r="BR193" i="31"/>
  <c r="CT193" i="31"/>
  <c r="CV193" i="31"/>
  <c r="CF193" i="31"/>
  <c r="CK193" i="31"/>
  <c r="CB193" i="31"/>
  <c r="BS193" i="31"/>
  <c r="CW193" i="31"/>
  <c r="CD193" i="31"/>
  <c r="BP193" i="31"/>
  <c r="BX193" i="31"/>
  <c r="CC193" i="31"/>
  <c r="BT193" i="31"/>
  <c r="BK193" i="31"/>
  <c r="CG193" i="31"/>
  <c r="BN193" i="31"/>
  <c r="CN193" i="31"/>
  <c r="BU193" i="31"/>
  <c r="BL193" i="31"/>
  <c r="DF193" i="31"/>
  <c r="DE193" i="31"/>
  <c r="CM193" i="31"/>
  <c r="BQ193" i="31"/>
  <c r="DD129" i="31"/>
  <c r="F41" i="24"/>
  <c r="BS129" i="31"/>
  <c r="CH129" i="31"/>
  <c r="CX129" i="31"/>
  <c r="CI129" i="31"/>
  <c r="BR129" i="31"/>
  <c r="BX129" i="31"/>
  <c r="CY129" i="31"/>
  <c r="CN129" i="31"/>
  <c r="DJ129" i="31"/>
  <c r="DA129" i="31"/>
  <c r="CR129" i="31"/>
  <c r="BZ129" i="31"/>
  <c r="DB129" i="31"/>
  <c r="CS129" i="31"/>
  <c r="CJ129" i="31"/>
  <c r="CP129" i="31"/>
  <c r="DC129" i="31"/>
  <c r="CT129" i="31"/>
  <c r="CK129" i="31"/>
  <c r="CB129" i="31"/>
  <c r="DF129" i="31"/>
  <c r="CU129" i="31"/>
  <c r="CL129" i="31"/>
  <c r="CC129" i="31"/>
  <c r="BT129" i="31"/>
  <c r="CM129" i="31"/>
  <c r="CD129" i="31"/>
  <c r="BU129" i="31"/>
  <c r="BL129" i="31"/>
  <c r="CE129" i="31"/>
  <c r="BV129" i="31"/>
  <c r="BM129" i="31"/>
  <c r="BY129" i="31"/>
  <c r="BW129" i="31"/>
  <c r="BN129" i="31"/>
  <c r="DH129" i="31"/>
  <c r="CO129" i="31"/>
  <c r="CV129" i="31"/>
  <c r="BK129" i="31"/>
  <c r="BO129" i="31"/>
  <c r="CA129" i="31"/>
  <c r="DI129" i="31"/>
  <c r="DE129" i="31"/>
  <c r="CQ129" i="31"/>
  <c r="BP129" i="31"/>
  <c r="BQ129" i="31"/>
  <c r="CW129" i="31"/>
  <c r="CG129" i="31"/>
  <c r="CZ129" i="31"/>
  <c r="DG129" i="31"/>
  <c r="CF129" i="31"/>
  <c r="F95" i="24"/>
  <c r="DD183" i="31"/>
  <c r="CK183" i="31"/>
  <c r="DA183" i="31"/>
  <c r="CY183" i="31"/>
  <c r="BL183" i="31"/>
  <c r="BV183" i="31"/>
  <c r="DF183" i="31"/>
  <c r="CU183" i="31"/>
  <c r="CB183" i="31"/>
  <c r="CR183" i="31"/>
  <c r="CF183" i="31"/>
  <c r="CN183" i="31"/>
  <c r="CZ183" i="31"/>
  <c r="CX183" i="31"/>
  <c r="CL183" i="31"/>
  <c r="BS183" i="31"/>
  <c r="CI183" i="31"/>
  <c r="BN183" i="31"/>
  <c r="CG183" i="31"/>
  <c r="BO183" i="31"/>
  <c r="CP183" i="31"/>
  <c r="CC183" i="31"/>
  <c r="DB183" i="31"/>
  <c r="BY183" i="31"/>
  <c r="CW183" i="31"/>
  <c r="DI183" i="31"/>
  <c r="CQ183" i="31"/>
  <c r="CH183" i="31"/>
  <c r="BT183" i="31"/>
  <c r="CS183" i="31"/>
  <c r="BP183" i="31"/>
  <c r="CE183" i="31"/>
  <c r="BX183" i="31"/>
  <c r="CO183" i="31"/>
  <c r="BZ183" i="31"/>
  <c r="BK183" i="31"/>
  <c r="CJ183" i="31"/>
  <c r="DE183" i="31"/>
  <c r="BM183" i="31"/>
  <c r="DH183" i="31"/>
  <c r="BR183" i="31"/>
  <c r="DC183" i="31"/>
  <c r="CA183" i="31"/>
  <c r="CM183" i="31"/>
  <c r="CV183" i="31"/>
  <c r="BW183" i="31"/>
  <c r="DG183" i="31"/>
  <c r="DJ183" i="31"/>
  <c r="CT183" i="31"/>
  <c r="BQ183" i="31"/>
  <c r="BU183" i="31"/>
  <c r="CD183" i="31"/>
  <c r="DF119" i="31"/>
  <c r="CS119" i="31"/>
  <c r="CA119" i="31"/>
  <c r="F31" i="24"/>
  <c r="BK119" i="31"/>
  <c r="CG119" i="31"/>
  <c r="BU119" i="31"/>
  <c r="DA119" i="31"/>
  <c r="CK119" i="31"/>
  <c r="BS119" i="31"/>
  <c r="CB119" i="31"/>
  <c r="CP119" i="31"/>
  <c r="BL119" i="31"/>
  <c r="CI119" i="31"/>
  <c r="BM119" i="31"/>
  <c r="DD119" i="31"/>
  <c r="BT119" i="31"/>
  <c r="BY119" i="31"/>
  <c r="CC119" i="31"/>
  <c r="CJ119" i="31"/>
  <c r="CV119" i="31"/>
  <c r="DE119" i="31"/>
  <c r="BQ119" i="31"/>
  <c r="DH119" i="31"/>
  <c r="BV119" i="31"/>
  <c r="CT119" i="31"/>
  <c r="CZ119" i="31"/>
  <c r="CD119" i="31"/>
  <c r="CR119" i="31"/>
  <c r="CL119" i="31"/>
  <c r="CW119" i="31"/>
  <c r="DG119" i="31"/>
  <c r="DC119" i="31"/>
  <c r="CU119" i="31"/>
  <c r="BO119" i="31"/>
  <c r="DJ119" i="31"/>
  <c r="BW119" i="31"/>
  <c r="CM119" i="31"/>
  <c r="CE119" i="31"/>
  <c r="CN119" i="31"/>
  <c r="BP119" i="31"/>
  <c r="CX119" i="31"/>
  <c r="BX119" i="31"/>
  <c r="BN119" i="31"/>
  <c r="DI119" i="31"/>
  <c r="CF119" i="31"/>
  <c r="CO119" i="31"/>
  <c r="CY119" i="31"/>
  <c r="CQ119" i="31"/>
  <c r="DB119" i="31"/>
  <c r="BZ119" i="31"/>
  <c r="CH119" i="31"/>
  <c r="BR119" i="31"/>
  <c r="F62" i="24"/>
  <c r="BW150" i="31"/>
  <c r="BL150" i="31"/>
  <c r="CD150" i="31"/>
  <c r="CW150" i="31"/>
  <c r="BP150" i="31"/>
  <c r="BX150" i="31"/>
  <c r="BO150" i="31"/>
  <c r="DA150" i="31"/>
  <c r="BS150" i="31"/>
  <c r="CL150" i="31"/>
  <c r="DE150" i="31"/>
  <c r="BV150" i="31"/>
  <c r="DH150" i="31"/>
  <c r="CP150" i="31"/>
  <c r="DI150" i="31"/>
  <c r="CA150" i="31"/>
  <c r="CT150" i="31"/>
  <c r="DD150" i="31"/>
  <c r="CZ150" i="31"/>
  <c r="CF150" i="31"/>
  <c r="CX150" i="31"/>
  <c r="BQ150" i="31"/>
  <c r="CI150" i="31"/>
  <c r="BM150" i="31"/>
  <c r="DC150" i="31"/>
  <c r="CR150" i="31"/>
  <c r="BU150" i="31"/>
  <c r="CN150" i="31"/>
  <c r="DF150" i="31"/>
  <c r="BY150" i="31"/>
  <c r="DB150" i="31"/>
  <c r="CU150" i="31"/>
  <c r="CJ150" i="31"/>
  <c r="DJ150" i="31"/>
  <c r="CC150" i="31"/>
  <c r="CV150" i="31"/>
  <c r="BN150" i="31"/>
  <c r="BK150" i="31"/>
  <c r="CM150" i="31"/>
  <c r="CB150" i="31"/>
  <c r="CY150" i="31"/>
  <c r="BR150" i="31"/>
  <c r="CK150" i="31"/>
  <c r="CH150" i="31"/>
  <c r="CQ150" i="31"/>
  <c r="CO150" i="31"/>
  <c r="DG150" i="31"/>
  <c r="BZ150" i="31"/>
  <c r="CG150" i="31"/>
  <c r="CS150" i="31"/>
  <c r="CE150" i="31"/>
  <c r="BT150" i="31"/>
  <c r="F96" i="24"/>
  <c r="CL184" i="31"/>
  <c r="DF184" i="31"/>
  <c r="BY184" i="31"/>
  <c r="CR184" i="31"/>
  <c r="BK184" i="31"/>
  <c r="BP184" i="31"/>
  <c r="CC184" i="31"/>
  <c r="CD184" i="31"/>
  <c r="CX184" i="31"/>
  <c r="BO184" i="31"/>
  <c r="CG184" i="31"/>
  <c r="CV184" i="31"/>
  <c r="CB184" i="31"/>
  <c r="BV184" i="31"/>
  <c r="CP184" i="31"/>
  <c r="DI184" i="31"/>
  <c r="BW184" i="31"/>
  <c r="CA184" i="31"/>
  <c r="BT184" i="31"/>
  <c r="BN184" i="31"/>
  <c r="CH184" i="31"/>
  <c r="CS184" i="31"/>
  <c r="BL184" i="31"/>
  <c r="CN184" i="31"/>
  <c r="DC184" i="31"/>
  <c r="DJ184" i="31"/>
  <c r="CZ184" i="31"/>
  <c r="BR184" i="31"/>
  <c r="BX184" i="31"/>
  <c r="CQ184" i="31"/>
  <c r="CM184" i="31"/>
  <c r="CW184" i="31"/>
  <c r="DB184" i="31"/>
  <c r="DG184" i="31"/>
  <c r="CU184" i="31"/>
  <c r="BM184" i="31"/>
  <c r="CF184" i="31"/>
  <c r="BQ184" i="31"/>
  <c r="CO184" i="31"/>
  <c r="BZ184" i="31"/>
  <c r="DA184" i="31"/>
  <c r="CJ184" i="31"/>
  <c r="CE184" i="31"/>
  <c r="CI184" i="31"/>
  <c r="DD184" i="31"/>
  <c r="DE184" i="31"/>
  <c r="CT184" i="31"/>
  <c r="BU184" i="31"/>
  <c r="CK184" i="31"/>
  <c r="DH184" i="31"/>
  <c r="BS184" i="31"/>
  <c r="CY184" i="31"/>
  <c r="F32" i="24"/>
  <c r="DB120" i="31"/>
  <c r="DF120" i="31"/>
  <c r="CX120" i="31"/>
  <c r="DI120" i="31"/>
  <c r="CW120" i="31"/>
  <c r="BR120" i="31"/>
  <c r="CC120" i="31"/>
  <c r="CK120" i="31"/>
  <c r="CO120" i="31"/>
  <c r="CZ120" i="31"/>
  <c r="BU120" i="31"/>
  <c r="DJ120" i="31"/>
  <c r="CE120" i="31"/>
  <c r="BQ120" i="31"/>
  <c r="CP120" i="31"/>
  <c r="BO120" i="31"/>
  <c r="CL120" i="31"/>
  <c r="DA120" i="31"/>
  <c r="CM120" i="31"/>
  <c r="BT120" i="31"/>
  <c r="CD120" i="31"/>
  <c r="BS120" i="31"/>
  <c r="CB120" i="31"/>
  <c r="BW120" i="31"/>
  <c r="BK120" i="31"/>
  <c r="BZ120" i="31"/>
  <c r="CH120" i="31"/>
  <c r="DD120" i="31"/>
  <c r="BL120" i="31"/>
  <c r="DG120" i="31"/>
  <c r="CV120" i="31"/>
  <c r="CG120" i="31"/>
  <c r="CQ120" i="31"/>
  <c r="CF120" i="31"/>
  <c r="CR120" i="31"/>
  <c r="CI120" i="31"/>
  <c r="BX120" i="31"/>
  <c r="BV120" i="31"/>
  <c r="CN120" i="31"/>
  <c r="CU120" i="31"/>
  <c r="BN120" i="31"/>
  <c r="BM120" i="31"/>
  <c r="BP120" i="31"/>
  <c r="BY120" i="31"/>
  <c r="CT120" i="31"/>
  <c r="CJ120" i="31"/>
  <c r="DC120" i="31"/>
  <c r="CS120" i="31"/>
  <c r="DH120" i="31"/>
  <c r="DE120" i="31"/>
  <c r="CY120" i="31"/>
  <c r="CA120" i="31"/>
  <c r="DG125" i="31"/>
  <c r="CH125" i="31"/>
  <c r="F37" i="24"/>
  <c r="BR125" i="31"/>
  <c r="CX125" i="31"/>
  <c r="CN125" i="31"/>
  <c r="DD125" i="31"/>
  <c r="BX125" i="31"/>
  <c r="CO125" i="31"/>
  <c r="DE125" i="31"/>
  <c r="BZ125" i="31"/>
  <c r="CP125" i="31"/>
  <c r="DF125" i="31"/>
  <c r="CI125" i="31"/>
  <c r="BO125" i="31"/>
  <c r="DI125" i="31"/>
  <c r="CZ125" i="31"/>
  <c r="BP125" i="31"/>
  <c r="DJ125" i="31"/>
  <c r="DA125" i="31"/>
  <c r="CR125" i="31"/>
  <c r="BS125" i="31"/>
  <c r="CF125" i="31"/>
  <c r="BY125" i="31"/>
  <c r="DB125" i="31"/>
  <c r="CS125" i="31"/>
  <c r="CJ125" i="31"/>
  <c r="DC125" i="31"/>
  <c r="CT125" i="31"/>
  <c r="CK125" i="31"/>
  <c r="CB125" i="31"/>
  <c r="CA125" i="31"/>
  <c r="CM125" i="31"/>
  <c r="CD125" i="31"/>
  <c r="BU125" i="31"/>
  <c r="BL125" i="31"/>
  <c r="CQ125" i="31"/>
  <c r="CE125" i="31"/>
  <c r="BV125" i="31"/>
  <c r="BM125" i="31"/>
  <c r="BT125" i="31"/>
  <c r="CG125" i="31"/>
  <c r="BK125" i="31"/>
  <c r="CU125" i="31"/>
  <c r="CY125" i="31"/>
  <c r="BQ125" i="31"/>
  <c r="CL125" i="31"/>
  <c r="BW125" i="31"/>
  <c r="CV125" i="31"/>
  <c r="CW125" i="31"/>
  <c r="BN125" i="31"/>
  <c r="DH125" i="31"/>
  <c r="CC125" i="31"/>
  <c r="F116" i="24"/>
  <c r="CB204" i="31"/>
  <c r="BM204" i="31"/>
  <c r="CK204" i="31"/>
  <c r="BO204" i="31"/>
  <c r="CM204" i="31"/>
  <c r="BK204" i="31"/>
  <c r="BT204" i="31"/>
  <c r="DD204" i="31"/>
  <c r="CA204" i="31"/>
  <c r="DJ204" i="31"/>
  <c r="BU204" i="31"/>
  <c r="CS204" i="31"/>
  <c r="BL204" i="31"/>
  <c r="CU204" i="31"/>
  <c r="BR204" i="31"/>
  <c r="CQ204" i="31"/>
  <c r="DB204" i="31"/>
  <c r="CH204" i="31"/>
  <c r="DF204" i="31"/>
  <c r="CL204" i="31"/>
  <c r="DI204" i="31"/>
  <c r="BY204" i="31"/>
  <c r="CI204" i="31"/>
  <c r="CF204" i="31"/>
  <c r="DH204" i="31"/>
  <c r="CW204" i="31"/>
  <c r="CC204" i="31"/>
  <c r="CY204" i="31"/>
  <c r="DG204" i="31"/>
  <c r="BQ204" i="31"/>
  <c r="CD204" i="31"/>
  <c r="CZ204" i="31"/>
  <c r="CN204" i="31"/>
  <c r="BS204" i="31"/>
  <c r="CP204" i="31"/>
  <c r="CO204" i="31"/>
  <c r="DA204" i="31"/>
  <c r="BZ204" i="31"/>
  <c r="CR204" i="31"/>
  <c r="CE204" i="31"/>
  <c r="DC204" i="31"/>
  <c r="CG204" i="31"/>
  <c r="BW204" i="31"/>
  <c r="BP204" i="31"/>
  <c r="BN204" i="31"/>
  <c r="CV204" i="31"/>
  <c r="CX204" i="31"/>
  <c r="CJ204" i="31"/>
  <c r="BV204" i="31"/>
  <c r="CT204" i="31"/>
  <c r="BX204" i="31"/>
  <c r="DE204" i="31"/>
  <c r="BV140" i="31"/>
  <c r="F52" i="24"/>
  <c r="CK140" i="31"/>
  <c r="CA140" i="31"/>
  <c r="BR140" i="31"/>
  <c r="CF140" i="31"/>
  <c r="BN140" i="31"/>
  <c r="DC140" i="31"/>
  <c r="BT140" i="31"/>
  <c r="CC140" i="31"/>
  <c r="BS140" i="31"/>
  <c r="DE140" i="31"/>
  <c r="BP140" i="31"/>
  <c r="DH140" i="31"/>
  <c r="CM140" i="31"/>
  <c r="BU140" i="31"/>
  <c r="BK140" i="31"/>
  <c r="CW140" i="31"/>
  <c r="CU140" i="31"/>
  <c r="CR140" i="31"/>
  <c r="BW140" i="31"/>
  <c r="BM140" i="31"/>
  <c r="DF140" i="31"/>
  <c r="CO140" i="31"/>
  <c r="CE140" i="31"/>
  <c r="CB140" i="31"/>
  <c r="DG140" i="31"/>
  <c r="CX140" i="31"/>
  <c r="CG140" i="31"/>
  <c r="BO140" i="31"/>
  <c r="BL140" i="31"/>
  <c r="CJ140" i="31"/>
  <c r="DI140" i="31"/>
  <c r="CY140" i="31"/>
  <c r="CP140" i="31"/>
  <c r="BY140" i="31"/>
  <c r="DJ140" i="31"/>
  <c r="DD140" i="31"/>
  <c r="DA140" i="31"/>
  <c r="CQ140" i="31"/>
  <c r="CH140" i="31"/>
  <c r="BQ140" i="31"/>
  <c r="CT140" i="31"/>
  <c r="CN140" i="31"/>
  <c r="CD140" i="31"/>
  <c r="CZ140" i="31"/>
  <c r="BX140" i="31"/>
  <c r="CS140" i="31"/>
  <c r="CI140" i="31"/>
  <c r="BZ140" i="31"/>
  <c r="CL140" i="31"/>
  <c r="CV140" i="31"/>
  <c r="DB140" i="31"/>
  <c r="CT153" i="31"/>
  <c r="F65" i="24"/>
  <c r="DF153" i="31"/>
  <c r="CO153" i="31"/>
  <c r="BX153" i="31"/>
  <c r="CB153" i="31"/>
  <c r="DA153" i="31"/>
  <c r="BO153" i="31"/>
  <c r="CP153" i="31"/>
  <c r="DC153" i="31"/>
  <c r="CQ153" i="31"/>
  <c r="CM153" i="31"/>
  <c r="DG153" i="31"/>
  <c r="CX153" i="31"/>
  <c r="CG153" i="31"/>
  <c r="BP153" i="31"/>
  <c r="BL153" i="31"/>
  <c r="CK153" i="31"/>
  <c r="BN153" i="31"/>
  <c r="CU153" i="31"/>
  <c r="CY153" i="31"/>
  <c r="DI153" i="31"/>
  <c r="BU153" i="31"/>
  <c r="CS153" i="31"/>
  <c r="BZ153" i="31"/>
  <c r="BY153" i="31"/>
  <c r="DJ153" i="31"/>
  <c r="BQ153" i="31"/>
  <c r="CZ153" i="31"/>
  <c r="CC153" i="31"/>
  <c r="CH153" i="31"/>
  <c r="BW153" i="31"/>
  <c r="CA153" i="31"/>
  <c r="BR153" i="31"/>
  <c r="CV153" i="31"/>
  <c r="BM153" i="31"/>
  <c r="DB153" i="31"/>
  <c r="BT153" i="31"/>
  <c r="BS153" i="31"/>
  <c r="DH153" i="31"/>
  <c r="BK153" i="31"/>
  <c r="CF153" i="31"/>
  <c r="BV153" i="31"/>
  <c r="CI153" i="31"/>
  <c r="CJ153" i="31"/>
  <c r="DE153" i="31"/>
  <c r="CN153" i="31"/>
  <c r="CL153" i="31"/>
  <c r="CE153" i="31"/>
  <c r="CW153" i="31"/>
  <c r="CR153" i="31"/>
  <c r="CD153" i="31"/>
  <c r="DD153" i="31"/>
  <c r="F69" i="24"/>
  <c r="CQ157" i="31"/>
  <c r="CH157" i="31"/>
  <c r="BQ157" i="31"/>
  <c r="CS157" i="31"/>
  <c r="CM157" i="31"/>
  <c r="CZ157" i="31"/>
  <c r="CI157" i="31"/>
  <c r="BZ157" i="31"/>
  <c r="DD157" i="31"/>
  <c r="CC157" i="31"/>
  <c r="BW157" i="31"/>
  <c r="CJ157" i="31"/>
  <c r="CA157" i="31"/>
  <c r="BR157" i="31"/>
  <c r="CV157" i="31"/>
  <c r="BM157" i="31"/>
  <c r="DB157" i="31"/>
  <c r="BT157" i="31"/>
  <c r="BS157" i="31"/>
  <c r="DE157" i="31"/>
  <c r="CN157" i="31"/>
  <c r="DH157" i="31"/>
  <c r="CL157" i="31"/>
  <c r="BO157" i="31"/>
  <c r="BK157" i="31"/>
  <c r="CW157" i="31"/>
  <c r="CF157" i="31"/>
  <c r="CR157" i="31"/>
  <c r="BV157" i="31"/>
  <c r="BN157" i="31"/>
  <c r="CD157" i="31"/>
  <c r="DF157" i="31"/>
  <c r="CO157" i="31"/>
  <c r="BX157" i="31"/>
  <c r="CB157" i="31"/>
  <c r="DA157" i="31"/>
  <c r="DJ157" i="31"/>
  <c r="DG157" i="31"/>
  <c r="CX157" i="31"/>
  <c r="CG157" i="31"/>
  <c r="BP157" i="31"/>
  <c r="BL157" i="31"/>
  <c r="CK157" i="31"/>
  <c r="CU157" i="31"/>
  <c r="BY157" i="31"/>
  <c r="DI157" i="31"/>
  <c r="DC157" i="31"/>
  <c r="CE157" i="31"/>
  <c r="BU157" i="31"/>
  <c r="CY157" i="31"/>
  <c r="CT157" i="31"/>
  <c r="CP157" i="31"/>
  <c r="F42" i="24"/>
  <c r="CZ130" i="31"/>
  <c r="BN130" i="31"/>
  <c r="DJ130" i="31"/>
  <c r="CT130" i="31"/>
  <c r="CD130" i="31"/>
  <c r="CJ130" i="31"/>
  <c r="BK130" i="31"/>
  <c r="CW130" i="31"/>
  <c r="CF130" i="31"/>
  <c r="BU130" i="31"/>
  <c r="BT130" i="31"/>
  <c r="DF130" i="31"/>
  <c r="CO130" i="31"/>
  <c r="BX130" i="31"/>
  <c r="CK130" i="31"/>
  <c r="BO130" i="31"/>
  <c r="DG130" i="31"/>
  <c r="CX130" i="31"/>
  <c r="CG130" i="31"/>
  <c r="BP130" i="31"/>
  <c r="DA130" i="31"/>
  <c r="CY130" i="31"/>
  <c r="CP130" i="31"/>
  <c r="BY130" i="31"/>
  <c r="BV130" i="31"/>
  <c r="CQ130" i="31"/>
  <c r="CH130" i="31"/>
  <c r="BQ130" i="31"/>
  <c r="CL130" i="31"/>
  <c r="CI130" i="31"/>
  <c r="BZ130" i="31"/>
  <c r="DD130" i="31"/>
  <c r="DB130" i="31"/>
  <c r="CA130" i="31"/>
  <c r="BR130" i="31"/>
  <c r="CV130" i="31"/>
  <c r="DE130" i="31"/>
  <c r="CN130" i="31"/>
  <c r="BL130" i="31"/>
  <c r="CE130" i="31"/>
  <c r="BW130" i="31"/>
  <c r="CM130" i="31"/>
  <c r="CR130" i="31"/>
  <c r="DH130" i="31"/>
  <c r="CC130" i="31"/>
  <c r="BM130" i="31"/>
  <c r="BS130" i="31"/>
  <c r="CU130" i="31"/>
  <c r="CS130" i="31"/>
  <c r="DC130" i="31"/>
  <c r="DI130" i="31"/>
  <c r="CB130" i="31"/>
  <c r="CW123" i="31"/>
  <c r="DF123" i="31"/>
  <c r="DG123" i="31"/>
  <c r="CA123" i="31"/>
  <c r="CP123" i="31"/>
  <c r="F35" i="24"/>
  <c r="CQ123" i="31"/>
  <c r="BK123" i="31"/>
  <c r="BP123" i="31"/>
  <c r="CF123" i="31"/>
  <c r="CV123" i="31"/>
  <c r="BZ123" i="31"/>
  <c r="CE123" i="31"/>
  <c r="BV123" i="31"/>
  <c r="BM123" i="31"/>
  <c r="BQ123" i="31"/>
  <c r="BW123" i="31"/>
  <c r="BN123" i="31"/>
  <c r="DH123" i="31"/>
  <c r="CG123" i="31"/>
  <c r="BO123" i="31"/>
  <c r="DI123" i="31"/>
  <c r="CZ123" i="31"/>
  <c r="DJ123" i="31"/>
  <c r="DA123" i="31"/>
  <c r="CR123" i="31"/>
  <c r="BR123" i="31"/>
  <c r="DB123" i="31"/>
  <c r="CS123" i="31"/>
  <c r="CJ123" i="31"/>
  <c r="CH123" i="31"/>
  <c r="DC123" i="31"/>
  <c r="CT123" i="31"/>
  <c r="CK123" i="31"/>
  <c r="CB123" i="31"/>
  <c r="CX123" i="31"/>
  <c r="CU123" i="31"/>
  <c r="CL123" i="31"/>
  <c r="CC123" i="31"/>
  <c r="BT123" i="31"/>
  <c r="CY123" i="31"/>
  <c r="CD123" i="31"/>
  <c r="BU123" i="31"/>
  <c r="BS123" i="31"/>
  <c r="CM123" i="31"/>
  <c r="CN123" i="31"/>
  <c r="BY123" i="31"/>
  <c r="BL123" i="31"/>
  <c r="DD123" i="31"/>
  <c r="CI123" i="31"/>
  <c r="CO123" i="31"/>
  <c r="BX123" i="31"/>
  <c r="DE123" i="31"/>
  <c r="F97" i="24"/>
  <c r="CV185" i="31"/>
  <c r="CE185" i="31"/>
  <c r="BV185" i="31"/>
  <c r="BY185" i="31"/>
  <c r="CB185" i="31"/>
  <c r="BS185" i="31"/>
  <c r="CF185" i="31"/>
  <c r="BQ185" i="31"/>
  <c r="CS185" i="31"/>
  <c r="CH185" i="31"/>
  <c r="DF185" i="31"/>
  <c r="CN185" i="31"/>
  <c r="BW185" i="31"/>
  <c r="BN185" i="31"/>
  <c r="DA185" i="31"/>
  <c r="CW185" i="31"/>
  <c r="DI185" i="31"/>
  <c r="BO185" i="31"/>
  <c r="CK185" i="31"/>
  <c r="CY185" i="31"/>
  <c r="CQ185" i="31"/>
  <c r="BM185" i="31"/>
  <c r="CX185" i="31"/>
  <c r="DG185" i="31"/>
  <c r="BP185" i="31"/>
  <c r="CG185" i="31"/>
  <c r="CP185" i="31"/>
  <c r="BX185" i="31"/>
  <c r="DJ185" i="31"/>
  <c r="BU185" i="31"/>
  <c r="CI185" i="31"/>
  <c r="CA185" i="31"/>
  <c r="BZ185" i="31"/>
  <c r="DC185" i="31"/>
  <c r="CT185" i="31"/>
  <c r="BK185" i="31"/>
  <c r="CJ185" i="31"/>
  <c r="CR185" i="31"/>
  <c r="DD185" i="31"/>
  <c r="CD185" i="31"/>
  <c r="DH185" i="31"/>
  <c r="CC185" i="31"/>
  <c r="CZ185" i="31"/>
  <c r="BR185" i="31"/>
  <c r="CU185" i="31"/>
  <c r="CL185" i="31"/>
  <c r="DE185" i="31"/>
  <c r="BT185" i="31"/>
  <c r="BL185" i="31"/>
  <c r="CM185" i="31"/>
  <c r="CO185" i="31"/>
  <c r="DB185" i="31"/>
  <c r="CV121" i="31"/>
  <c r="F33" i="24"/>
  <c r="CH121" i="31"/>
  <c r="BR121" i="31"/>
  <c r="CX121" i="31"/>
  <c r="BS121" i="31"/>
  <c r="CY121" i="31"/>
  <c r="BX121" i="31"/>
  <c r="CN121" i="31"/>
  <c r="DD121" i="31"/>
  <c r="DF121" i="31"/>
  <c r="BY121" i="31"/>
  <c r="CO121" i="31"/>
  <c r="CI121" i="31"/>
  <c r="DE121" i="31"/>
  <c r="BK121" i="31"/>
  <c r="BZ121" i="31"/>
  <c r="CA121" i="31"/>
  <c r="CQ121" i="31"/>
  <c r="DG121" i="31"/>
  <c r="CP121" i="31"/>
  <c r="CF121" i="31"/>
  <c r="CE121" i="31"/>
  <c r="BV121" i="31"/>
  <c r="DH121" i="31"/>
  <c r="DI121" i="31"/>
  <c r="CJ121" i="31"/>
  <c r="BM121" i="31"/>
  <c r="BW121" i="31"/>
  <c r="BN121" i="31"/>
  <c r="CZ121" i="31"/>
  <c r="CR121" i="31"/>
  <c r="DA121" i="31"/>
  <c r="BO121" i="31"/>
  <c r="DJ121" i="31"/>
  <c r="CB121" i="31"/>
  <c r="BP121" i="31"/>
  <c r="DC121" i="31"/>
  <c r="CT121" i="31"/>
  <c r="CK121" i="31"/>
  <c r="BT121" i="31"/>
  <c r="BQ121" i="31"/>
  <c r="CU121" i="31"/>
  <c r="CC121" i="31"/>
  <c r="CD121" i="31"/>
  <c r="CW121" i="31"/>
  <c r="CS121" i="31"/>
  <c r="CL121" i="31"/>
  <c r="BL121" i="31"/>
  <c r="CG121" i="31"/>
  <c r="CM121" i="31"/>
  <c r="BU121" i="31"/>
  <c r="DB121" i="31"/>
  <c r="F87" i="24"/>
  <c r="DJ175" i="31"/>
  <c r="CU175" i="31"/>
  <c r="BQ175" i="31"/>
  <c r="CY175" i="31"/>
  <c r="DC175" i="31"/>
  <c r="BL175" i="31"/>
  <c r="DG175" i="31"/>
  <c r="DB175" i="31"/>
  <c r="CK175" i="31"/>
  <c r="DI175" i="31"/>
  <c r="CP175" i="31"/>
  <c r="CJ175" i="31"/>
  <c r="CV175" i="31"/>
  <c r="DF175" i="31"/>
  <c r="CT175" i="31"/>
  <c r="CB175" i="31"/>
  <c r="CL175" i="31"/>
  <c r="BV175" i="31"/>
  <c r="CR175" i="31"/>
  <c r="BY175" i="31"/>
  <c r="DE175" i="31"/>
  <c r="BM175" i="31"/>
  <c r="CA175" i="31"/>
  <c r="BN175" i="31"/>
  <c r="CI175" i="31"/>
  <c r="BP175" i="31"/>
  <c r="CM175" i="31"/>
  <c r="CW175" i="31"/>
  <c r="BW175" i="31"/>
  <c r="CQ175" i="31"/>
  <c r="CX175" i="31"/>
  <c r="CN175" i="31"/>
  <c r="CH175" i="31"/>
  <c r="CF175" i="31"/>
  <c r="DH175" i="31"/>
  <c r="BK175" i="31"/>
  <c r="CD175" i="31"/>
  <c r="CE175" i="31"/>
  <c r="BS175" i="31"/>
  <c r="DD175" i="31"/>
  <c r="CG175" i="31"/>
  <c r="CC175" i="31"/>
  <c r="DA175" i="31"/>
  <c r="BO175" i="31"/>
  <c r="CS175" i="31"/>
  <c r="CZ175" i="31"/>
  <c r="BR175" i="31"/>
  <c r="BZ175" i="31"/>
  <c r="BT175" i="31"/>
  <c r="BU175" i="31"/>
  <c r="CO175" i="31"/>
  <c r="BX175" i="31"/>
  <c r="F118" i="24"/>
  <c r="CB206" i="31"/>
  <c r="DJ206" i="31"/>
  <c r="CP206" i="31"/>
  <c r="BU206" i="31"/>
  <c r="BZ206" i="31"/>
  <c r="BS206" i="31"/>
  <c r="BT206" i="31"/>
  <c r="DA206" i="31"/>
  <c r="CG206" i="31"/>
  <c r="BK206" i="31"/>
  <c r="DG206" i="31"/>
  <c r="DB206" i="31"/>
  <c r="BL206" i="31"/>
  <c r="CQ206" i="31"/>
  <c r="BX206" i="31"/>
  <c r="CW206" i="31"/>
  <c r="CO206" i="31"/>
  <c r="BQ206" i="31"/>
  <c r="DC206" i="31"/>
  <c r="CH206" i="31"/>
  <c r="BO206" i="31"/>
  <c r="CE206" i="31"/>
  <c r="BW206" i="31"/>
  <c r="CX206" i="31"/>
  <c r="DH206" i="31"/>
  <c r="CT206" i="31"/>
  <c r="BY206" i="31"/>
  <c r="DE206" i="31"/>
  <c r="BM206" i="31"/>
  <c r="CF206" i="31"/>
  <c r="BN206" i="31"/>
  <c r="CZ206" i="31"/>
  <c r="CK206" i="31"/>
  <c r="BP206" i="31"/>
  <c r="CV206" i="31"/>
  <c r="CU206" i="31"/>
  <c r="DF206" i="31"/>
  <c r="CN206" i="31"/>
  <c r="CR206" i="31"/>
  <c r="CA206" i="31"/>
  <c r="DI206" i="31"/>
  <c r="CM206" i="31"/>
  <c r="CC206" i="31"/>
  <c r="BV206" i="31"/>
  <c r="CL206" i="31"/>
  <c r="CI206" i="31"/>
  <c r="CJ206" i="31"/>
  <c r="BR206" i="31"/>
  <c r="CY206" i="31"/>
  <c r="CD206" i="31"/>
  <c r="CS206" i="31"/>
  <c r="DD206" i="31"/>
  <c r="F54" i="24"/>
  <c r="CC142" i="31"/>
  <c r="BS142" i="31"/>
  <c r="DE142" i="31"/>
  <c r="BX142" i="31"/>
  <c r="CJ142" i="31"/>
  <c r="CD142" i="31"/>
  <c r="BU142" i="31"/>
  <c r="BK142" i="31"/>
  <c r="CW142" i="31"/>
  <c r="DC142" i="31"/>
  <c r="BT142" i="31"/>
  <c r="CB142" i="31"/>
  <c r="BM142" i="31"/>
  <c r="DF142" i="31"/>
  <c r="CO142" i="31"/>
  <c r="CM142" i="31"/>
  <c r="CV142" i="31"/>
  <c r="BN142" i="31"/>
  <c r="DG142" i="31"/>
  <c r="CX142" i="31"/>
  <c r="CG142" i="31"/>
  <c r="BW142" i="31"/>
  <c r="CF142" i="31"/>
  <c r="BL142" i="31"/>
  <c r="DI142" i="31"/>
  <c r="CY142" i="31"/>
  <c r="CP142" i="31"/>
  <c r="BY142" i="31"/>
  <c r="DB142" i="31"/>
  <c r="BP142" i="31"/>
  <c r="DJ142" i="31"/>
  <c r="DA142" i="31"/>
  <c r="CQ142" i="31"/>
  <c r="CH142" i="31"/>
  <c r="BQ142" i="31"/>
  <c r="CL142" i="31"/>
  <c r="CU142" i="31"/>
  <c r="DH142" i="31"/>
  <c r="CS142" i="31"/>
  <c r="CI142" i="31"/>
  <c r="BZ142" i="31"/>
  <c r="DD142" i="31"/>
  <c r="BV142" i="31"/>
  <c r="CE142" i="31"/>
  <c r="CT142" i="31"/>
  <c r="CN142" i="31"/>
  <c r="CZ142" i="31"/>
  <c r="BO142" i="31"/>
  <c r="CR142" i="31"/>
  <c r="CK142" i="31"/>
  <c r="CA142" i="31"/>
  <c r="BR142" i="31"/>
  <c r="F88" i="24"/>
  <c r="DF176" i="31"/>
  <c r="CM176" i="31"/>
  <c r="CX176" i="31"/>
  <c r="CE176" i="31"/>
  <c r="CP176" i="31"/>
  <c r="BW176" i="31"/>
  <c r="BR176" i="31"/>
  <c r="CG176" i="31"/>
  <c r="DC176" i="31"/>
  <c r="DJ176" i="31"/>
  <c r="CN176" i="31"/>
  <c r="CS176" i="31"/>
  <c r="CJ176" i="31"/>
  <c r="CV176" i="31"/>
  <c r="CH176" i="31"/>
  <c r="CZ176" i="31"/>
  <c r="CC176" i="31"/>
  <c r="BX176" i="31"/>
  <c r="BO176" i="31"/>
  <c r="CT176" i="31"/>
  <c r="BZ176" i="31"/>
  <c r="CO176" i="31"/>
  <c r="BS176" i="31"/>
  <c r="CQ176" i="31"/>
  <c r="DD176" i="31"/>
  <c r="CA176" i="31"/>
  <c r="CU176" i="31"/>
  <c r="CD176" i="31"/>
  <c r="DH176" i="31"/>
  <c r="BU176" i="31"/>
  <c r="CI176" i="31"/>
  <c r="BY176" i="31"/>
  <c r="DB176" i="31"/>
  <c r="BT176" i="31"/>
  <c r="CW176" i="31"/>
  <c r="DG176" i="31"/>
  <c r="BN176" i="31"/>
  <c r="CR176" i="31"/>
  <c r="BK176" i="31"/>
  <c r="CL176" i="31"/>
  <c r="CK176" i="31"/>
  <c r="DA176" i="31"/>
  <c r="BV176" i="31"/>
  <c r="DI176" i="31"/>
  <c r="CB176" i="31"/>
  <c r="BP176" i="31"/>
  <c r="CF176" i="31"/>
  <c r="BM176" i="31"/>
  <c r="CY176" i="31"/>
  <c r="BQ176" i="31"/>
  <c r="DE176" i="31"/>
  <c r="BL176" i="31"/>
  <c r="F109" i="24"/>
  <c r="CU197" i="31"/>
  <c r="CJ197" i="31"/>
  <c r="BN197" i="31"/>
  <c r="CG197" i="31"/>
  <c r="CE197" i="31"/>
  <c r="BT197" i="31"/>
  <c r="CS197" i="31"/>
  <c r="BL197" i="31"/>
  <c r="BW197" i="31"/>
  <c r="DE197" i="31"/>
  <c r="CH197" i="31"/>
  <c r="BO197" i="31"/>
  <c r="DF197" i="31"/>
  <c r="BX197" i="31"/>
  <c r="CT197" i="31"/>
  <c r="DA197" i="31"/>
  <c r="CL197" i="31"/>
  <c r="CN197" i="31"/>
  <c r="CI197" i="31"/>
  <c r="CP197" i="31"/>
  <c r="BQ197" i="31"/>
  <c r="CC197" i="31"/>
  <c r="DC197" i="31"/>
  <c r="BY197" i="31"/>
  <c r="CF197" i="31"/>
  <c r="DG197" i="31"/>
  <c r="CA197" i="31"/>
  <c r="CM197" i="31"/>
  <c r="DD197" i="31"/>
  <c r="BU197" i="31"/>
  <c r="CK197" i="31"/>
  <c r="DJ197" i="31"/>
  <c r="CZ197" i="31"/>
  <c r="DB197" i="31"/>
  <c r="CO197" i="31"/>
  <c r="CY197" i="31"/>
  <c r="CW197" i="31"/>
  <c r="CR197" i="31"/>
  <c r="CQ197" i="31"/>
  <c r="BS197" i="31"/>
  <c r="CD197" i="31"/>
  <c r="BZ197" i="31"/>
  <c r="BM197" i="31"/>
  <c r="BV197" i="31"/>
  <c r="BK197" i="31"/>
  <c r="DI197" i="31"/>
  <c r="BP197" i="31"/>
  <c r="CV197" i="31"/>
  <c r="CB197" i="31"/>
  <c r="BR197" i="31"/>
  <c r="DH197" i="31"/>
  <c r="CX197" i="31"/>
  <c r="DG117" i="31"/>
  <c r="CK117" i="31"/>
  <c r="F29" i="24"/>
  <c r="BT117" i="31"/>
  <c r="CC117" i="31"/>
  <c r="CZ117" i="31"/>
  <c r="DI117" i="31"/>
  <c r="BL117" i="31"/>
  <c r="BU117" i="31"/>
  <c r="CR117" i="31"/>
  <c r="DA117" i="31"/>
  <c r="CJ117" i="31"/>
  <c r="BM117" i="31"/>
  <c r="CS117" i="31"/>
  <c r="CB117" i="31"/>
  <c r="BN117" i="31"/>
  <c r="BV117" i="31"/>
  <c r="CD117" i="31"/>
  <c r="CL117" i="31"/>
  <c r="DH117" i="31"/>
  <c r="CT117" i="31"/>
  <c r="DB117" i="31"/>
  <c r="DJ117" i="31"/>
  <c r="CN117" i="31"/>
  <c r="CV117" i="31"/>
  <c r="BO117" i="31"/>
  <c r="DD117" i="31"/>
  <c r="BW117" i="31"/>
  <c r="CE117" i="31"/>
  <c r="CM117" i="31"/>
  <c r="BP117" i="31"/>
  <c r="CU117" i="31"/>
  <c r="BX117" i="31"/>
  <c r="CO117" i="31"/>
  <c r="CX117" i="31"/>
  <c r="CF117" i="31"/>
  <c r="CW117" i="31"/>
  <c r="DF117" i="31"/>
  <c r="DE117" i="31"/>
  <c r="BQ117" i="31"/>
  <c r="BZ117" i="31"/>
  <c r="BY117" i="31"/>
  <c r="CH117" i="31"/>
  <c r="BK117" i="31"/>
  <c r="CA117" i="31"/>
  <c r="BS117" i="31"/>
  <c r="DC117" i="31"/>
  <c r="BR117" i="31"/>
  <c r="CI117" i="31"/>
  <c r="CQ117" i="31"/>
  <c r="CG117" i="31"/>
  <c r="CP117" i="31"/>
  <c r="CY117" i="31"/>
  <c r="F108" i="24"/>
  <c r="CG196" i="31"/>
  <c r="BP196" i="31"/>
  <c r="CT196" i="31"/>
  <c r="CY196" i="31"/>
  <c r="CC196" i="31"/>
  <c r="CQ196" i="31"/>
  <c r="BY196" i="31"/>
  <c r="DC196" i="31"/>
  <c r="CL196" i="31"/>
  <c r="CI196" i="31"/>
  <c r="BM196" i="31"/>
  <c r="BK196" i="31"/>
  <c r="BQ196" i="31"/>
  <c r="CU196" i="31"/>
  <c r="CD196" i="31"/>
  <c r="BS196" i="31"/>
  <c r="DF196" i="31"/>
  <c r="DH196" i="31"/>
  <c r="DE196" i="31"/>
  <c r="CN196" i="31"/>
  <c r="BW196" i="31"/>
  <c r="DA196" i="31"/>
  <c r="BR196" i="31"/>
  <c r="BT196" i="31"/>
  <c r="CA196" i="31"/>
  <c r="CW196" i="31"/>
  <c r="CF196" i="31"/>
  <c r="BO196" i="31"/>
  <c r="CK196" i="31"/>
  <c r="DJ196" i="31"/>
  <c r="CR196" i="31"/>
  <c r="DI196" i="31"/>
  <c r="CV196" i="31"/>
  <c r="CX196" i="31"/>
  <c r="CP196" i="31"/>
  <c r="BX196" i="31"/>
  <c r="CH196" i="31"/>
  <c r="CM196" i="31"/>
  <c r="CS196" i="31"/>
  <c r="CE196" i="31"/>
  <c r="BZ196" i="31"/>
  <c r="DB196" i="31"/>
  <c r="CZ196" i="31"/>
  <c r="DG196" i="31"/>
  <c r="BV196" i="31"/>
  <c r="BL196" i="31"/>
  <c r="CO196" i="31"/>
  <c r="BN196" i="31"/>
  <c r="CJ196" i="31"/>
  <c r="CB196" i="31"/>
  <c r="DD196" i="31"/>
  <c r="BU196" i="31"/>
  <c r="F44" i="24"/>
  <c r="CA132" i="31"/>
  <c r="BR132" i="31"/>
  <c r="CV132" i="31"/>
  <c r="CZ132" i="31"/>
  <c r="DB132" i="31"/>
  <c r="CC132" i="31"/>
  <c r="BS132" i="31"/>
  <c r="DE132" i="31"/>
  <c r="CN132" i="31"/>
  <c r="CJ132" i="31"/>
  <c r="DJ132" i="31"/>
  <c r="BM132" i="31"/>
  <c r="BK132" i="31"/>
  <c r="CW132" i="31"/>
  <c r="CF132" i="31"/>
  <c r="BT132" i="31"/>
  <c r="CT132" i="31"/>
  <c r="DC132" i="31"/>
  <c r="DF132" i="31"/>
  <c r="CO132" i="31"/>
  <c r="BX132" i="31"/>
  <c r="BW132" i="31"/>
  <c r="CD132" i="31"/>
  <c r="CL132" i="31"/>
  <c r="DG132" i="31"/>
  <c r="CX132" i="31"/>
  <c r="CG132" i="31"/>
  <c r="BP132" i="31"/>
  <c r="CU132" i="31"/>
  <c r="BN132" i="31"/>
  <c r="DH132" i="31"/>
  <c r="CY132" i="31"/>
  <c r="CP132" i="31"/>
  <c r="BY132" i="31"/>
  <c r="DA132" i="31"/>
  <c r="CE132" i="31"/>
  <c r="BV132" i="31"/>
  <c r="CR132" i="31"/>
  <c r="CQ132" i="31"/>
  <c r="CH132" i="31"/>
  <c r="BQ132" i="31"/>
  <c r="CK132" i="31"/>
  <c r="BO132" i="31"/>
  <c r="DI132" i="31"/>
  <c r="CB132" i="31"/>
  <c r="CI132" i="31"/>
  <c r="BZ132" i="31"/>
  <c r="DD132" i="31"/>
  <c r="BU132" i="31"/>
  <c r="CM132" i="31"/>
  <c r="CS132" i="31"/>
  <c r="BL132" i="31"/>
  <c r="F74" i="24"/>
  <c r="DC162" i="31"/>
  <c r="CT162" i="31"/>
  <c r="CK162" i="31"/>
  <c r="CB162" i="31"/>
  <c r="BX162" i="31"/>
  <c r="CG162" i="31"/>
  <c r="CQ162" i="31"/>
  <c r="CU162" i="31"/>
  <c r="CL162" i="31"/>
  <c r="CC162" i="31"/>
  <c r="BT162" i="31"/>
  <c r="CY162" i="31"/>
  <c r="BQ162" i="31"/>
  <c r="CP162" i="31"/>
  <c r="CM162" i="31"/>
  <c r="CD162" i="31"/>
  <c r="BU162" i="31"/>
  <c r="BL162" i="31"/>
  <c r="CI162" i="31"/>
  <c r="CV162" i="31"/>
  <c r="CE162" i="31"/>
  <c r="BV162" i="31"/>
  <c r="BM162" i="31"/>
  <c r="DE162" i="31"/>
  <c r="BS162" i="31"/>
  <c r="CF162" i="31"/>
  <c r="BW162" i="31"/>
  <c r="BN162" i="31"/>
  <c r="DH162" i="31"/>
  <c r="CO162" i="31"/>
  <c r="CX162" i="31"/>
  <c r="BP162" i="31"/>
  <c r="BO162" i="31"/>
  <c r="DI162" i="31"/>
  <c r="CZ162" i="31"/>
  <c r="BY162" i="31"/>
  <c r="CH162" i="31"/>
  <c r="BK162" i="31"/>
  <c r="BZ162" i="31"/>
  <c r="DJ162" i="31"/>
  <c r="DA162" i="31"/>
  <c r="CR162" i="31"/>
  <c r="DD162" i="31"/>
  <c r="BR162" i="31"/>
  <c r="DG162" i="31"/>
  <c r="DB162" i="31"/>
  <c r="CS162" i="31"/>
  <c r="CJ162" i="31"/>
  <c r="CA162" i="31"/>
  <c r="CW162" i="31"/>
  <c r="DF162" i="31"/>
  <c r="CN162" i="31"/>
  <c r="F56" i="24"/>
  <c r="DI144" i="31"/>
  <c r="CY144" i="31"/>
  <c r="CP144" i="31"/>
  <c r="BY144" i="31"/>
  <c r="DJ144" i="31"/>
  <c r="DD144" i="31"/>
  <c r="CL144" i="31"/>
  <c r="DA144" i="31"/>
  <c r="CQ144" i="31"/>
  <c r="CH144" i="31"/>
  <c r="BQ144" i="31"/>
  <c r="CT144" i="31"/>
  <c r="CN144" i="31"/>
  <c r="CJ144" i="31"/>
  <c r="CS144" i="31"/>
  <c r="CI144" i="31"/>
  <c r="BZ144" i="31"/>
  <c r="CV144" i="31"/>
  <c r="CD144" i="31"/>
  <c r="BX144" i="31"/>
  <c r="BV144" i="31"/>
  <c r="CK144" i="31"/>
  <c r="CA144" i="31"/>
  <c r="CC144" i="31"/>
  <c r="BU144" i="31"/>
  <c r="BK144" i="31"/>
  <c r="CW144" i="31"/>
  <c r="CU144" i="31"/>
  <c r="CR144" i="31"/>
  <c r="BW144" i="31"/>
  <c r="BM144" i="31"/>
  <c r="DF144" i="31"/>
  <c r="CO144" i="31"/>
  <c r="CE144" i="31"/>
  <c r="CB144" i="31"/>
  <c r="DB144" i="31"/>
  <c r="BR144" i="31"/>
  <c r="BL144" i="31"/>
  <c r="DE144" i="31"/>
  <c r="DC144" i="31"/>
  <c r="CG144" i="31"/>
  <c r="CM144" i="31"/>
  <c r="CF144" i="31"/>
  <c r="CZ144" i="31"/>
  <c r="BP144" i="31"/>
  <c r="BT144" i="31"/>
  <c r="DG144" i="31"/>
  <c r="BO144" i="31"/>
  <c r="BS144" i="31"/>
  <c r="BN144" i="31"/>
  <c r="CX144" i="31"/>
  <c r="DH144" i="31"/>
  <c r="F66" i="24"/>
  <c r="DG154" i="31"/>
  <c r="DF154" i="31"/>
  <c r="CU154" i="31"/>
  <c r="CL154" i="31"/>
  <c r="CC154" i="31"/>
  <c r="BT154" i="31"/>
  <c r="CY154" i="31"/>
  <c r="BQ154" i="31"/>
  <c r="BK154" i="31"/>
  <c r="CM154" i="31"/>
  <c r="CD154" i="31"/>
  <c r="BU154" i="31"/>
  <c r="BL154" i="31"/>
  <c r="CI154" i="31"/>
  <c r="CV154" i="31"/>
  <c r="CE154" i="31"/>
  <c r="BV154" i="31"/>
  <c r="BM154" i="31"/>
  <c r="DE154" i="31"/>
  <c r="BS154" i="31"/>
  <c r="CF154" i="31"/>
  <c r="BW154" i="31"/>
  <c r="BN154" i="31"/>
  <c r="DH154" i="31"/>
  <c r="CO154" i="31"/>
  <c r="CX154" i="31"/>
  <c r="BP154" i="31"/>
  <c r="DJ154" i="31"/>
  <c r="DA154" i="31"/>
  <c r="CR154" i="31"/>
  <c r="DD154" i="31"/>
  <c r="BR154" i="31"/>
  <c r="CP154" i="31"/>
  <c r="DB154" i="31"/>
  <c r="CS154" i="31"/>
  <c r="CJ154" i="31"/>
  <c r="CN154" i="31"/>
  <c r="CW154" i="31"/>
  <c r="CA154" i="31"/>
  <c r="CZ154" i="31"/>
  <c r="BY154" i="31"/>
  <c r="CB154" i="31"/>
  <c r="CH154" i="31"/>
  <c r="DC154" i="31"/>
  <c r="BX154" i="31"/>
  <c r="BO154" i="31"/>
  <c r="CT154" i="31"/>
  <c r="CG154" i="31"/>
  <c r="DI154" i="31"/>
  <c r="CQ154" i="31"/>
  <c r="CK154" i="31"/>
  <c r="BZ154" i="31"/>
  <c r="F111" i="24"/>
  <c r="CF199" i="31"/>
  <c r="BQ199" i="31"/>
  <c r="CX199" i="31"/>
  <c r="CB199" i="31"/>
  <c r="CQ199" i="31"/>
  <c r="BO199" i="31"/>
  <c r="BR199" i="31"/>
  <c r="BX199" i="31"/>
  <c r="DH199" i="31"/>
  <c r="CO199" i="31"/>
  <c r="BS199" i="31"/>
  <c r="BY199" i="31"/>
  <c r="CW199" i="31"/>
  <c r="BP199" i="31"/>
  <c r="CY199" i="31"/>
  <c r="CE199" i="31"/>
  <c r="CU199" i="31"/>
  <c r="DF199" i="31"/>
  <c r="BL199" i="31"/>
  <c r="DJ199" i="31"/>
  <c r="CP199" i="31"/>
  <c r="BV199" i="31"/>
  <c r="CC199" i="31"/>
  <c r="CM199" i="31"/>
  <c r="CL199" i="31"/>
  <c r="DA199" i="31"/>
  <c r="CG199" i="31"/>
  <c r="BM199" i="31"/>
  <c r="BK199" i="31"/>
  <c r="BU199" i="31"/>
  <c r="DB199" i="31"/>
  <c r="DD199" i="31"/>
  <c r="CR199" i="31"/>
  <c r="BW199" i="31"/>
  <c r="DC199" i="31"/>
  <c r="CS199" i="31"/>
  <c r="DE199" i="31"/>
  <c r="CJ199" i="31"/>
  <c r="CV199" i="31"/>
  <c r="CI199" i="31"/>
  <c r="BN199" i="31"/>
  <c r="CT199" i="31"/>
  <c r="CA199" i="31"/>
  <c r="BT199" i="31"/>
  <c r="CH199" i="31"/>
  <c r="DI199" i="31"/>
  <c r="CZ199" i="31"/>
  <c r="CD199" i="31"/>
  <c r="CN199" i="31"/>
  <c r="BZ199" i="31"/>
  <c r="DG199" i="31"/>
  <c r="CK199" i="31"/>
  <c r="CF141" i="31"/>
  <c r="F53" i="24"/>
  <c r="CU141" i="31"/>
  <c r="CL141" i="31"/>
  <c r="CC141" i="31"/>
  <c r="CQ141" i="31"/>
  <c r="BX141" i="31"/>
  <c r="DE141" i="31"/>
  <c r="CM141" i="31"/>
  <c r="CD141" i="31"/>
  <c r="BU141" i="31"/>
  <c r="CA141" i="31"/>
  <c r="CZ141" i="31"/>
  <c r="CW141" i="31"/>
  <c r="CE141" i="31"/>
  <c r="BV141" i="31"/>
  <c r="BM141" i="31"/>
  <c r="BK141" i="31"/>
  <c r="CJ141" i="31"/>
  <c r="CO141" i="31"/>
  <c r="BW141" i="31"/>
  <c r="BN141" i="31"/>
  <c r="DH141" i="31"/>
  <c r="DF141" i="31"/>
  <c r="BT141" i="31"/>
  <c r="CG141" i="31"/>
  <c r="BO141" i="31"/>
  <c r="DI141" i="31"/>
  <c r="CR141" i="31"/>
  <c r="CP141" i="31"/>
  <c r="CY141" i="31"/>
  <c r="BY141" i="31"/>
  <c r="DJ141" i="31"/>
  <c r="DA141" i="31"/>
  <c r="CB141" i="31"/>
  <c r="BZ141" i="31"/>
  <c r="CI141" i="31"/>
  <c r="CV141" i="31"/>
  <c r="BQ141" i="31"/>
  <c r="DB141" i="31"/>
  <c r="CS141" i="31"/>
  <c r="BL141" i="31"/>
  <c r="DD141" i="31"/>
  <c r="BS141" i="31"/>
  <c r="CK141" i="31"/>
  <c r="DG141" i="31"/>
  <c r="CN141" i="31"/>
  <c r="DC141" i="31"/>
  <c r="BP141" i="31"/>
  <c r="CH141" i="31"/>
  <c r="CX141" i="31"/>
  <c r="CT141" i="31"/>
  <c r="BR141" i="31"/>
  <c r="F122" i="24"/>
  <c r="CL210" i="31"/>
  <c r="CB210" i="31"/>
  <c r="CV210" i="31"/>
  <c r="BK210" i="31"/>
  <c r="BS210" i="31"/>
  <c r="CA210" i="31"/>
  <c r="DF210" i="31"/>
  <c r="CD210" i="31"/>
  <c r="BT210" i="31"/>
  <c r="CI210" i="31"/>
  <c r="DE210" i="31"/>
  <c r="CY210" i="31"/>
  <c r="DC210" i="31"/>
  <c r="CX210" i="31"/>
  <c r="BV210" i="31"/>
  <c r="BL210" i="31"/>
  <c r="BX210" i="31"/>
  <c r="CS210" i="31"/>
  <c r="CM210" i="31"/>
  <c r="DA210" i="31"/>
  <c r="CP210" i="31"/>
  <c r="BN210" i="31"/>
  <c r="CW210" i="31"/>
  <c r="BM210" i="31"/>
  <c r="CF210" i="31"/>
  <c r="BZ210" i="31"/>
  <c r="BR210" i="31"/>
  <c r="CH210" i="31"/>
  <c r="DH210" i="31"/>
  <c r="CK210" i="31"/>
  <c r="DG210" i="31"/>
  <c r="BU210" i="31"/>
  <c r="BP210" i="31"/>
  <c r="BQ210" i="31"/>
  <c r="DJ210" i="31"/>
  <c r="CZ210" i="31"/>
  <c r="BY210" i="31"/>
  <c r="CU210" i="31"/>
  <c r="DD210" i="31"/>
  <c r="CO210" i="31"/>
  <c r="DB210" i="31"/>
  <c r="CR210" i="31"/>
  <c r="BO210" i="31"/>
  <c r="CG210" i="31"/>
  <c r="CQ210" i="31"/>
  <c r="CN210" i="31"/>
  <c r="CT210" i="31"/>
  <c r="CJ210" i="31"/>
  <c r="DI210" i="31"/>
  <c r="BW210" i="31"/>
  <c r="CE210" i="31"/>
  <c r="CC210" i="31"/>
  <c r="F34" i="24"/>
  <c r="BO122" i="31"/>
  <c r="BN122" i="31"/>
  <c r="CT122" i="31"/>
  <c r="DJ122" i="31"/>
  <c r="CU122" i="31"/>
  <c r="CE122" i="31"/>
  <c r="DB122" i="31"/>
  <c r="CD122" i="31"/>
  <c r="BT122" i="31"/>
  <c r="CJ122" i="31"/>
  <c r="DA122" i="31"/>
  <c r="BV122" i="31"/>
  <c r="CL122" i="31"/>
  <c r="BU122" i="31"/>
  <c r="CY122" i="31"/>
  <c r="CP122" i="31"/>
  <c r="BY122" i="31"/>
  <c r="CR122" i="31"/>
  <c r="CK122" i="31"/>
  <c r="CQ122" i="31"/>
  <c r="CH122" i="31"/>
  <c r="BQ122" i="31"/>
  <c r="DH122" i="31"/>
  <c r="CI122" i="31"/>
  <c r="BZ122" i="31"/>
  <c r="DD122" i="31"/>
  <c r="CA122" i="31"/>
  <c r="BR122" i="31"/>
  <c r="CV122" i="31"/>
  <c r="BW122" i="31"/>
  <c r="CZ122" i="31"/>
  <c r="BK122" i="31"/>
  <c r="CW122" i="31"/>
  <c r="CF122" i="31"/>
  <c r="DC122" i="31"/>
  <c r="DF122" i="31"/>
  <c r="CO122" i="31"/>
  <c r="BX122" i="31"/>
  <c r="BL122" i="31"/>
  <c r="DE122" i="31"/>
  <c r="BM122" i="31"/>
  <c r="CS122" i="31"/>
  <c r="CG122" i="31"/>
  <c r="CC122" i="31"/>
  <c r="CM122" i="31"/>
  <c r="CN122" i="31"/>
  <c r="BP122" i="31"/>
  <c r="DI122" i="31"/>
  <c r="DG122" i="31"/>
  <c r="CX122" i="31"/>
  <c r="BS122" i="31"/>
  <c r="CB122" i="31"/>
  <c r="DG115" i="31"/>
  <c r="F27" i="24"/>
  <c r="CS115" i="31"/>
  <c r="BN115" i="31"/>
  <c r="BV115" i="31"/>
  <c r="CD115" i="31"/>
  <c r="CL115" i="31"/>
  <c r="CT115" i="31"/>
  <c r="CB115" i="31"/>
  <c r="DB115" i="31"/>
  <c r="CU115" i="31"/>
  <c r="BM115" i="31"/>
  <c r="BX115" i="31"/>
  <c r="DC115" i="31"/>
  <c r="CF115" i="31"/>
  <c r="CR115" i="31"/>
  <c r="CN115" i="31"/>
  <c r="BT115" i="31"/>
  <c r="CV115" i="31"/>
  <c r="DJ115" i="31"/>
  <c r="BO115" i="31"/>
  <c r="DD115" i="31"/>
  <c r="BW115" i="31"/>
  <c r="DH115" i="31"/>
  <c r="CE115" i="31"/>
  <c r="BP115" i="31"/>
  <c r="BY115" i="31"/>
  <c r="CJ115" i="31"/>
  <c r="CH115" i="31"/>
  <c r="CG115" i="31"/>
  <c r="CP115" i="31"/>
  <c r="CO115" i="31"/>
  <c r="CW115" i="31"/>
  <c r="BU115" i="31"/>
  <c r="CM115" i="31"/>
  <c r="DA115" i="31"/>
  <c r="BR115" i="31"/>
  <c r="CC115" i="31"/>
  <c r="CQ115" i="31"/>
  <c r="CK115" i="31"/>
  <c r="DI115" i="31"/>
  <c r="CY115" i="31"/>
  <c r="BZ115" i="31"/>
  <c r="BK115" i="31"/>
  <c r="CX115" i="31"/>
  <c r="DF115" i="31"/>
  <c r="BQ115" i="31"/>
  <c r="BS115" i="31"/>
  <c r="CZ115" i="31"/>
  <c r="DE115" i="31"/>
  <c r="BL115" i="31"/>
  <c r="CA115" i="31"/>
  <c r="CI115" i="31"/>
  <c r="F89" i="24"/>
  <c r="CT177" i="31"/>
  <c r="CK177" i="31"/>
  <c r="CB177" i="31"/>
  <c r="BK177" i="31"/>
  <c r="CN177" i="31"/>
  <c r="BL177" i="31"/>
  <c r="BR177" i="31"/>
  <c r="CL177" i="31"/>
  <c r="CC177" i="31"/>
  <c r="BT177" i="31"/>
  <c r="CU177" i="31"/>
  <c r="BX177" i="31"/>
  <c r="CH177" i="31"/>
  <c r="BQ177" i="31"/>
  <c r="CD177" i="31"/>
  <c r="BU177" i="31"/>
  <c r="DG177" i="31"/>
  <c r="CE177" i="31"/>
  <c r="DC177" i="31"/>
  <c r="CG177" i="31"/>
  <c r="BV177" i="31"/>
  <c r="BM177" i="31"/>
  <c r="CY177" i="31"/>
  <c r="BO177" i="31"/>
  <c r="CM177" i="31"/>
  <c r="CF177" i="31"/>
  <c r="BN177" i="31"/>
  <c r="DH177" i="31"/>
  <c r="CQ177" i="31"/>
  <c r="DE177" i="31"/>
  <c r="BW177" i="31"/>
  <c r="DF177" i="31"/>
  <c r="DI177" i="31"/>
  <c r="CZ177" i="31"/>
  <c r="CI177" i="31"/>
  <c r="CO177" i="31"/>
  <c r="CV177" i="31"/>
  <c r="BZ177" i="31"/>
  <c r="DJ177" i="31"/>
  <c r="DA177" i="31"/>
  <c r="CR177" i="31"/>
  <c r="CA177" i="31"/>
  <c r="BY177" i="31"/>
  <c r="BP177" i="31"/>
  <c r="CX177" i="31"/>
  <c r="CS177" i="31"/>
  <c r="CJ177" i="31"/>
  <c r="BS177" i="31"/>
  <c r="DD177" i="31"/>
  <c r="CW177" i="31"/>
  <c r="CP177" i="31"/>
  <c r="DB177" i="31"/>
  <c r="F115" i="24"/>
  <c r="DC203" i="31"/>
  <c r="CI203" i="31"/>
  <c r="BO203" i="31"/>
  <c r="CO203" i="31"/>
  <c r="CY203" i="31"/>
  <c r="BM203" i="31"/>
  <c r="CT203" i="31"/>
  <c r="BZ203" i="31"/>
  <c r="DF203" i="31"/>
  <c r="BV203" i="31"/>
  <c r="CG203" i="31"/>
  <c r="BK203" i="31"/>
  <c r="DD203" i="31"/>
  <c r="CK203" i="31"/>
  <c r="BQ203" i="31"/>
  <c r="CW203" i="31"/>
  <c r="DE203" i="31"/>
  <c r="BN203" i="31"/>
  <c r="CU203" i="31"/>
  <c r="CV203" i="31"/>
  <c r="CB203" i="31"/>
  <c r="DI203" i="31"/>
  <c r="CM203" i="31"/>
  <c r="CL203" i="31"/>
  <c r="CE203" i="31"/>
  <c r="CS203" i="31"/>
  <c r="CN203" i="31"/>
  <c r="BS203" i="31"/>
  <c r="CZ203" i="31"/>
  <c r="CD203" i="31"/>
  <c r="BT203" i="31"/>
  <c r="CA203" i="31"/>
  <c r="CP203" i="31"/>
  <c r="CF203" i="31"/>
  <c r="DJ203" i="31"/>
  <c r="CQ203" i="31"/>
  <c r="BU203" i="31"/>
  <c r="DB203" i="31"/>
  <c r="DH203" i="31"/>
  <c r="CC203" i="31"/>
  <c r="BX203" i="31"/>
  <c r="DA203" i="31"/>
  <c r="CH203" i="31"/>
  <c r="BL203" i="31"/>
  <c r="CJ203" i="31"/>
  <c r="BW203" i="31"/>
  <c r="DG203" i="31"/>
  <c r="BR203" i="31"/>
  <c r="CX203" i="31"/>
  <c r="BP203" i="31"/>
  <c r="CR203" i="31"/>
  <c r="BY203" i="31"/>
  <c r="F79" i="24"/>
  <c r="CH167" i="31"/>
  <c r="BO167" i="31"/>
  <c r="CW167" i="31"/>
  <c r="CD167" i="31"/>
  <c r="BK167" i="31"/>
  <c r="DA167" i="31"/>
  <c r="BY167" i="31"/>
  <c r="BZ167" i="31"/>
  <c r="DH167" i="31"/>
  <c r="CN167" i="31"/>
  <c r="BU167" i="31"/>
  <c r="DC167" i="31"/>
  <c r="BP167" i="31"/>
  <c r="BR167" i="31"/>
  <c r="CY167" i="31"/>
  <c r="CE167" i="31"/>
  <c r="BL167" i="31"/>
  <c r="CT167" i="31"/>
  <c r="CS167" i="31"/>
  <c r="DI167" i="31"/>
  <c r="CO167" i="31"/>
  <c r="BV167" i="31"/>
  <c r="DD167" i="31"/>
  <c r="CK167" i="31"/>
  <c r="CR167" i="31"/>
  <c r="CZ167" i="31"/>
  <c r="CF167" i="31"/>
  <c r="BM167" i="31"/>
  <c r="CU167" i="31"/>
  <c r="CB167" i="31"/>
  <c r="CJ167" i="31"/>
  <c r="DF167" i="31"/>
  <c r="CQ167" i="31"/>
  <c r="BW167" i="31"/>
  <c r="DE167" i="31"/>
  <c r="CL167" i="31"/>
  <c r="BS167" i="31"/>
  <c r="CI167" i="31"/>
  <c r="CX167" i="31"/>
  <c r="CG167" i="31"/>
  <c r="BN167" i="31"/>
  <c r="CV167" i="31"/>
  <c r="CC167" i="31"/>
  <c r="DB167" i="31"/>
  <c r="DJ167" i="31"/>
  <c r="CP167" i="31"/>
  <c r="BX167" i="31"/>
  <c r="DG167" i="31"/>
  <c r="CM167" i="31"/>
  <c r="BT167" i="31"/>
  <c r="BQ167" i="31"/>
  <c r="CA167" i="31"/>
  <c r="F110" i="24"/>
  <c r="DH198" i="31"/>
  <c r="DE198" i="31"/>
  <c r="BP198" i="31"/>
  <c r="CT198" i="31"/>
  <c r="CP198" i="31"/>
  <c r="BL198" i="31"/>
  <c r="BV198" i="31"/>
  <c r="DG198" i="31"/>
  <c r="CW198" i="31"/>
  <c r="DJ198" i="31"/>
  <c r="CE198" i="31"/>
  <c r="CB198" i="31"/>
  <c r="CH198" i="31"/>
  <c r="CX198" i="31"/>
  <c r="CY198" i="31"/>
  <c r="CO198" i="31"/>
  <c r="DA198" i="31"/>
  <c r="BR198" i="31"/>
  <c r="BO198" i="31"/>
  <c r="CG198" i="31"/>
  <c r="CZ198" i="31"/>
  <c r="CQ198" i="31"/>
  <c r="DD198" i="31"/>
  <c r="CS198" i="31"/>
  <c r="DI198" i="31"/>
  <c r="DC198" i="31"/>
  <c r="DB198" i="31"/>
  <c r="BT198" i="31"/>
  <c r="CI198" i="31"/>
  <c r="CV198" i="31"/>
  <c r="CK198" i="31"/>
  <c r="CR198" i="31"/>
  <c r="CM198" i="31"/>
  <c r="BY198" i="31"/>
  <c r="CA198" i="31"/>
  <c r="CN198" i="31"/>
  <c r="CC198" i="31"/>
  <c r="CD198" i="31"/>
  <c r="BZ198" i="31"/>
  <c r="CU198" i="31"/>
  <c r="BS198" i="31"/>
  <c r="CF198" i="31"/>
  <c r="BU198" i="31"/>
  <c r="BQ198" i="31"/>
  <c r="BN198" i="31"/>
  <c r="CJ198" i="31"/>
  <c r="BK198" i="31"/>
  <c r="BX198" i="31"/>
  <c r="BM198" i="31"/>
  <c r="DF198" i="31"/>
  <c r="CL198" i="31"/>
  <c r="BW198" i="31"/>
  <c r="F46" i="24"/>
  <c r="DI134" i="31"/>
  <c r="CA134" i="31"/>
  <c r="BR134" i="31"/>
  <c r="CV134" i="31"/>
  <c r="CT134" i="31"/>
  <c r="BN134" i="31"/>
  <c r="DB134" i="31"/>
  <c r="DA134" i="31"/>
  <c r="BS134" i="31"/>
  <c r="DE134" i="31"/>
  <c r="CN134" i="31"/>
  <c r="CR134" i="31"/>
  <c r="DJ134" i="31"/>
  <c r="CJ134" i="31"/>
  <c r="DH134" i="31"/>
  <c r="BK134" i="31"/>
  <c r="CW134" i="31"/>
  <c r="CF134" i="31"/>
  <c r="CB134" i="31"/>
  <c r="CL134" i="31"/>
  <c r="BT134" i="31"/>
  <c r="CZ134" i="31"/>
  <c r="DF134" i="31"/>
  <c r="CO134" i="31"/>
  <c r="BX134" i="31"/>
  <c r="BL134" i="31"/>
  <c r="BV134" i="31"/>
  <c r="CE134" i="31"/>
  <c r="DG134" i="31"/>
  <c r="CX134" i="31"/>
  <c r="CG134" i="31"/>
  <c r="BP134" i="31"/>
  <c r="CD134" i="31"/>
  <c r="CU134" i="31"/>
  <c r="CY134" i="31"/>
  <c r="CP134" i="31"/>
  <c r="BY134" i="31"/>
  <c r="CS134" i="31"/>
  <c r="CM134" i="31"/>
  <c r="DC134" i="31"/>
  <c r="CQ134" i="31"/>
  <c r="CH134" i="31"/>
  <c r="BQ134" i="31"/>
  <c r="CC134" i="31"/>
  <c r="BW134" i="31"/>
  <c r="CK134" i="31"/>
  <c r="DD134" i="31"/>
  <c r="BM134" i="31"/>
  <c r="BO134" i="31"/>
  <c r="BU134" i="31"/>
  <c r="CI134" i="31"/>
  <c r="BZ134" i="31"/>
  <c r="CV168" i="31"/>
  <c r="F80" i="24"/>
  <c r="CU168" i="31"/>
  <c r="BV168" i="31"/>
  <c r="BR168" i="31"/>
  <c r="CH168" i="31"/>
  <c r="DI168" i="31"/>
  <c r="CN168" i="31"/>
  <c r="DG168" i="31"/>
  <c r="BN168" i="31"/>
  <c r="DC168" i="31"/>
  <c r="BY168" i="31"/>
  <c r="CY168" i="31"/>
  <c r="CE168" i="31"/>
  <c r="BT168" i="31"/>
  <c r="CT168" i="31"/>
  <c r="CS168" i="31"/>
  <c r="BQ168" i="31"/>
  <c r="CG168" i="31"/>
  <c r="BM168" i="31"/>
  <c r="CL168" i="31"/>
  <c r="CJ168" i="31"/>
  <c r="DA168" i="31"/>
  <c r="BX168" i="31"/>
  <c r="DH168" i="31"/>
  <c r="CC168" i="31"/>
  <c r="CX168" i="31"/>
  <c r="CZ168" i="31"/>
  <c r="BL168" i="31"/>
  <c r="CA168" i="31"/>
  <c r="CK168" i="31"/>
  <c r="DD168" i="31"/>
  <c r="CP168" i="31"/>
  <c r="CM168" i="31"/>
  <c r="BO168" i="31"/>
  <c r="CF168" i="31"/>
  <c r="DE168" i="31"/>
  <c r="CR168" i="31"/>
  <c r="CO168" i="31"/>
  <c r="CB168" i="31"/>
  <c r="DJ168" i="31"/>
  <c r="DB168" i="31"/>
  <c r="BZ168" i="31"/>
  <c r="BW168" i="31"/>
  <c r="BS168" i="31"/>
  <c r="BP168" i="31"/>
  <c r="CI168" i="31"/>
  <c r="CD168" i="31"/>
  <c r="CQ168" i="31"/>
  <c r="CW168" i="31"/>
  <c r="BK168" i="31"/>
  <c r="DF168" i="31"/>
  <c r="BU168" i="31"/>
  <c r="F101" i="24"/>
  <c r="BR189" i="31"/>
  <c r="CU189" i="31"/>
  <c r="CL189" i="31"/>
  <c r="DE189" i="31"/>
  <c r="BT189" i="31"/>
  <c r="BM189" i="31"/>
  <c r="CV189" i="31"/>
  <c r="BY189" i="31"/>
  <c r="CW189" i="31"/>
  <c r="CI189" i="31"/>
  <c r="DD189" i="31"/>
  <c r="CM189" i="31"/>
  <c r="CD189" i="31"/>
  <c r="CO189" i="31"/>
  <c r="CR189" i="31"/>
  <c r="CY189" i="31"/>
  <c r="BV189" i="31"/>
  <c r="BL189" i="31"/>
  <c r="DG189" i="31"/>
  <c r="CE189" i="31"/>
  <c r="CX189" i="31"/>
  <c r="CK189" i="31"/>
  <c r="DF189" i="31"/>
  <c r="CN189" i="31"/>
  <c r="BW189" i="31"/>
  <c r="BN189" i="31"/>
  <c r="DA189" i="31"/>
  <c r="CG189" i="31"/>
  <c r="CS189" i="31"/>
  <c r="DI189" i="31"/>
  <c r="CP189" i="31"/>
  <c r="BX189" i="31"/>
  <c r="DJ189" i="31"/>
  <c r="CQ189" i="31"/>
  <c r="BU189" i="31"/>
  <c r="CC189" i="31"/>
  <c r="BS189" i="31"/>
  <c r="DC189" i="31"/>
  <c r="BK189" i="31"/>
  <c r="CB189" i="31"/>
  <c r="BO189" i="31"/>
  <c r="CH189" i="31"/>
  <c r="BP189" i="31"/>
  <c r="DB189" i="31"/>
  <c r="CA189" i="31"/>
  <c r="CZ189" i="31"/>
  <c r="DH189" i="31"/>
  <c r="BQ189" i="31"/>
  <c r="BZ189" i="31"/>
  <c r="CT189" i="31"/>
  <c r="CJ189" i="31"/>
  <c r="CF189" i="31"/>
  <c r="F107" i="24"/>
  <c r="DA195" i="31"/>
  <c r="CR195" i="31"/>
  <c r="CI195" i="31"/>
  <c r="BZ195" i="31"/>
  <c r="DB195" i="31"/>
  <c r="CN195" i="31"/>
  <c r="DD195" i="31"/>
  <c r="CS195" i="31"/>
  <c r="CJ195" i="31"/>
  <c r="CA195" i="31"/>
  <c r="BR195" i="31"/>
  <c r="CL195" i="31"/>
  <c r="CF195" i="31"/>
  <c r="CV195" i="31"/>
  <c r="BM195" i="31"/>
  <c r="DG195" i="31"/>
  <c r="CX195" i="31"/>
  <c r="DC195" i="31"/>
  <c r="BQ195" i="31"/>
  <c r="BP195" i="31"/>
  <c r="DH195" i="31"/>
  <c r="CY195" i="31"/>
  <c r="CP195" i="31"/>
  <c r="CM195" i="31"/>
  <c r="CT195" i="31"/>
  <c r="BO195" i="31"/>
  <c r="BT195" i="31"/>
  <c r="CO195" i="31"/>
  <c r="CU195" i="31"/>
  <c r="BW195" i="31"/>
  <c r="CC195" i="31"/>
  <c r="BL195" i="31"/>
  <c r="BY195" i="31"/>
  <c r="BX195" i="31"/>
  <c r="DI195" i="31"/>
  <c r="DJ195" i="31"/>
  <c r="CW195" i="31"/>
  <c r="CQ195" i="31"/>
  <c r="BK195" i="31"/>
  <c r="CK195" i="31"/>
  <c r="BS195" i="31"/>
  <c r="BV195" i="31"/>
  <c r="CD195" i="31"/>
  <c r="BU195" i="31"/>
  <c r="DF195" i="31"/>
  <c r="CG195" i="31"/>
  <c r="CE195" i="31"/>
  <c r="CZ195" i="31"/>
  <c r="CH195" i="31"/>
  <c r="BN195" i="31"/>
  <c r="CB195" i="31"/>
  <c r="DE195" i="31"/>
  <c r="F100" i="24"/>
  <c r="CD188" i="31"/>
  <c r="BT188" i="31"/>
  <c r="BK188" i="31"/>
  <c r="CE188" i="31"/>
  <c r="BY188" i="31"/>
  <c r="BQ188" i="31"/>
  <c r="BV188" i="31"/>
  <c r="BL188" i="31"/>
  <c r="DF188" i="31"/>
  <c r="BO188" i="31"/>
  <c r="DD188" i="31"/>
  <c r="CV188" i="31"/>
  <c r="BN188" i="31"/>
  <c r="DG188" i="31"/>
  <c r="CX188" i="31"/>
  <c r="DI188" i="31"/>
  <c r="CN188" i="31"/>
  <c r="BP188" i="31"/>
  <c r="DH188" i="31"/>
  <c r="CY188" i="31"/>
  <c r="CP188" i="31"/>
  <c r="CS188" i="31"/>
  <c r="BX188" i="31"/>
  <c r="DC188" i="31"/>
  <c r="DJ188" i="31"/>
  <c r="CZ188" i="31"/>
  <c r="CQ188" i="31"/>
  <c r="CH188" i="31"/>
  <c r="CC188" i="31"/>
  <c r="CF188" i="31"/>
  <c r="CM188" i="31"/>
  <c r="DB188" i="31"/>
  <c r="CR188" i="31"/>
  <c r="CI188" i="31"/>
  <c r="BZ188" i="31"/>
  <c r="BM188" i="31"/>
  <c r="DA188" i="31"/>
  <c r="CK188" i="31"/>
  <c r="CT188" i="31"/>
  <c r="CJ188" i="31"/>
  <c r="CA188" i="31"/>
  <c r="BR188" i="31"/>
  <c r="DE188" i="31"/>
  <c r="BU188" i="31"/>
  <c r="CG188" i="31"/>
  <c r="CL188" i="31"/>
  <c r="CB188" i="31"/>
  <c r="BS188" i="31"/>
  <c r="CU188" i="31"/>
  <c r="CO188" i="31"/>
  <c r="CW188" i="31"/>
  <c r="BW188" i="31"/>
  <c r="DB124" i="31"/>
  <c r="DC124" i="31"/>
  <c r="F36" i="24"/>
  <c r="CL124" i="31"/>
  <c r="BV124" i="31"/>
  <c r="CM124" i="31"/>
  <c r="CA124" i="31"/>
  <c r="BR124" i="31"/>
  <c r="CV124" i="31"/>
  <c r="BS124" i="31"/>
  <c r="DE124" i="31"/>
  <c r="CN124" i="31"/>
  <c r="BW124" i="31"/>
  <c r="BK124" i="31"/>
  <c r="CW124" i="31"/>
  <c r="CF124" i="31"/>
  <c r="DF124" i="31"/>
  <c r="CO124" i="31"/>
  <c r="BX124" i="31"/>
  <c r="BL124" i="31"/>
  <c r="DG124" i="31"/>
  <c r="CX124" i="31"/>
  <c r="CG124" i="31"/>
  <c r="BP124" i="31"/>
  <c r="CB124" i="31"/>
  <c r="CY124" i="31"/>
  <c r="CP124" i="31"/>
  <c r="BY124" i="31"/>
  <c r="CR124" i="31"/>
  <c r="CQ124" i="31"/>
  <c r="CH124" i="31"/>
  <c r="BQ124" i="31"/>
  <c r="DH124" i="31"/>
  <c r="BZ124" i="31"/>
  <c r="CT124" i="31"/>
  <c r="DD124" i="31"/>
  <c r="DJ124" i="31"/>
  <c r="BM124" i="31"/>
  <c r="CC124" i="31"/>
  <c r="CS124" i="31"/>
  <c r="DI124" i="31"/>
  <c r="BN124" i="31"/>
  <c r="BO124" i="31"/>
  <c r="CE124" i="31"/>
  <c r="CU124" i="31"/>
  <c r="BT124" i="31"/>
  <c r="CJ124" i="31"/>
  <c r="CK124" i="31"/>
  <c r="DA124" i="31"/>
  <c r="CZ124" i="31"/>
  <c r="CD124" i="31"/>
  <c r="CI124" i="31"/>
  <c r="BU124" i="31"/>
  <c r="F82" i="24"/>
  <c r="DJ170" i="31"/>
  <c r="CZ170" i="31"/>
  <c r="CQ170" i="31"/>
  <c r="CH170" i="31"/>
  <c r="BU170" i="31"/>
  <c r="CE170" i="31"/>
  <c r="DE170" i="31"/>
  <c r="DB170" i="31"/>
  <c r="CR170" i="31"/>
  <c r="CI170" i="31"/>
  <c r="BZ170" i="31"/>
  <c r="CW170" i="31"/>
  <c r="BO170" i="31"/>
  <c r="DD170" i="31"/>
  <c r="CT170" i="31"/>
  <c r="CJ170" i="31"/>
  <c r="CA170" i="31"/>
  <c r="BR170" i="31"/>
  <c r="CG170" i="31"/>
  <c r="DI170" i="31"/>
  <c r="CO170" i="31"/>
  <c r="CL170" i="31"/>
  <c r="CB170" i="31"/>
  <c r="BS170" i="31"/>
  <c r="DC170" i="31"/>
  <c r="BQ170" i="31"/>
  <c r="CS170" i="31"/>
  <c r="CN170" i="31"/>
  <c r="BV170" i="31"/>
  <c r="BL170" i="31"/>
  <c r="DF170" i="31"/>
  <c r="BW170" i="31"/>
  <c r="CF170" i="31"/>
  <c r="BM170" i="31"/>
  <c r="BN170" i="31"/>
  <c r="DG170" i="31"/>
  <c r="CX170" i="31"/>
  <c r="DA170" i="31"/>
  <c r="BP170" i="31"/>
  <c r="BY170" i="31"/>
  <c r="CM170" i="31"/>
  <c r="CK170" i="31"/>
  <c r="BT170" i="31"/>
  <c r="CD170" i="31"/>
  <c r="CV170" i="31"/>
  <c r="CC170" i="31"/>
  <c r="DH170" i="31"/>
  <c r="CU170" i="31"/>
  <c r="CY170" i="31"/>
  <c r="BX170" i="31"/>
  <c r="BK170" i="31"/>
  <c r="CP170" i="31"/>
  <c r="F120" i="24"/>
  <c r="CB208" i="31"/>
  <c r="BX208" i="31"/>
  <c r="CN208" i="31"/>
  <c r="BU208" i="31"/>
  <c r="BR208" i="31"/>
  <c r="CQ208" i="31"/>
  <c r="BT208" i="31"/>
  <c r="BO208" i="31"/>
  <c r="CE208" i="31"/>
  <c r="BK208" i="31"/>
  <c r="CK208" i="31"/>
  <c r="CA208" i="31"/>
  <c r="BL208" i="31"/>
  <c r="DG208" i="31"/>
  <c r="BV208" i="31"/>
  <c r="DB208" i="31"/>
  <c r="BP208" i="31"/>
  <c r="BY208" i="31"/>
  <c r="DJ208" i="31"/>
  <c r="CX208" i="31"/>
  <c r="BM208" i="31"/>
  <c r="CS208" i="31"/>
  <c r="DD208" i="31"/>
  <c r="BW208" i="31"/>
  <c r="DH208" i="31"/>
  <c r="DI208" i="31"/>
  <c r="CO208" i="31"/>
  <c r="DE208" i="31"/>
  <c r="CI208" i="31"/>
  <c r="CH208" i="31"/>
  <c r="BS208" i="31"/>
  <c r="CZ208" i="31"/>
  <c r="CY208" i="31"/>
  <c r="CF208" i="31"/>
  <c r="CV208" i="31"/>
  <c r="BZ208" i="31"/>
  <c r="BN208" i="31"/>
  <c r="DA208" i="31"/>
  <c r="CR208" i="31"/>
  <c r="CP208" i="31"/>
  <c r="DF208" i="31"/>
  <c r="CM208" i="31"/>
  <c r="BQ208" i="31"/>
  <c r="DC208" i="31"/>
  <c r="CU208" i="31"/>
  <c r="CW208" i="31"/>
  <c r="CD208" i="31"/>
  <c r="CL208" i="31"/>
  <c r="CC208" i="31"/>
  <c r="CT208" i="31"/>
  <c r="CJ208" i="31"/>
  <c r="CG208" i="31"/>
  <c r="CF145" i="31"/>
  <c r="BR145" i="31"/>
  <c r="F57" i="24"/>
  <c r="BP145" i="31"/>
  <c r="BY145" i="31"/>
  <c r="DJ145" i="31"/>
  <c r="DA145" i="31"/>
  <c r="CB145" i="31"/>
  <c r="BZ145" i="31"/>
  <c r="CI145" i="31"/>
  <c r="CH145" i="31"/>
  <c r="BQ145" i="31"/>
  <c r="DB145" i="31"/>
  <c r="CS145" i="31"/>
  <c r="BL145" i="31"/>
  <c r="DD145" i="31"/>
  <c r="BS145" i="31"/>
  <c r="DC145" i="31"/>
  <c r="CT145" i="31"/>
  <c r="CK145" i="31"/>
  <c r="DG145" i="31"/>
  <c r="CN145" i="31"/>
  <c r="CV145" i="31"/>
  <c r="CU145" i="31"/>
  <c r="CL145" i="31"/>
  <c r="CC145" i="31"/>
  <c r="CQ145" i="31"/>
  <c r="BX145" i="31"/>
  <c r="DE145" i="31"/>
  <c r="CM145" i="31"/>
  <c r="CD145" i="31"/>
  <c r="BU145" i="31"/>
  <c r="CA145" i="31"/>
  <c r="CZ145" i="31"/>
  <c r="CW145" i="31"/>
  <c r="CE145" i="31"/>
  <c r="BV145" i="31"/>
  <c r="BM145" i="31"/>
  <c r="BK145" i="31"/>
  <c r="CJ145" i="31"/>
  <c r="CO145" i="31"/>
  <c r="BW145" i="31"/>
  <c r="BN145" i="31"/>
  <c r="DH145" i="31"/>
  <c r="DF145" i="31"/>
  <c r="BT145" i="31"/>
  <c r="CP145" i="31"/>
  <c r="CY145" i="31"/>
  <c r="BO145" i="31"/>
  <c r="DI145" i="31"/>
  <c r="CG145" i="31"/>
  <c r="CR145" i="31"/>
  <c r="CX145" i="31"/>
  <c r="F106" i="24"/>
  <c r="BY194" i="31"/>
  <c r="DC194" i="31"/>
  <c r="CT194" i="31"/>
  <c r="BM194" i="31"/>
  <c r="DA194" i="31"/>
  <c r="CY194" i="31"/>
  <c r="BQ194" i="31"/>
  <c r="CU194" i="31"/>
  <c r="CL194" i="31"/>
  <c r="DG194" i="31"/>
  <c r="CK194" i="31"/>
  <c r="BS194" i="31"/>
  <c r="DD194" i="31"/>
  <c r="CM194" i="31"/>
  <c r="CD194" i="31"/>
  <c r="CQ194" i="31"/>
  <c r="BU194" i="31"/>
  <c r="CI194" i="31"/>
  <c r="CV194" i="31"/>
  <c r="CE194" i="31"/>
  <c r="BV194" i="31"/>
  <c r="CA194" i="31"/>
  <c r="CH194" i="31"/>
  <c r="BL194" i="31"/>
  <c r="DE194" i="31"/>
  <c r="CN194" i="31"/>
  <c r="BW194" i="31"/>
  <c r="BN194" i="31"/>
  <c r="BK194" i="31"/>
  <c r="DH194" i="31"/>
  <c r="CJ194" i="31"/>
  <c r="CW194" i="31"/>
  <c r="CF194" i="31"/>
  <c r="BO194" i="31"/>
  <c r="DI194" i="31"/>
  <c r="DF194" i="31"/>
  <c r="CB194" i="31"/>
  <c r="BR194" i="31"/>
  <c r="CO194" i="31"/>
  <c r="BX194" i="31"/>
  <c r="DJ194" i="31"/>
  <c r="CS194" i="31"/>
  <c r="CP194" i="31"/>
  <c r="CZ194" i="31"/>
  <c r="CX194" i="31"/>
  <c r="CR194" i="31"/>
  <c r="CG194" i="31"/>
  <c r="BP194" i="31"/>
  <c r="CC194" i="31"/>
  <c r="BZ194" i="31"/>
  <c r="DB194" i="31"/>
  <c r="BT194" i="31"/>
  <c r="F26" i="24"/>
  <c r="CF114" i="31"/>
  <c r="BX114" i="31"/>
  <c r="BP114" i="31"/>
  <c r="DF114" i="31"/>
  <c r="BR114" i="31"/>
  <c r="BZ114" i="31"/>
  <c r="CN114" i="31"/>
  <c r="CQ114" i="31"/>
  <c r="BT114" i="31"/>
  <c r="CY114" i="31"/>
  <c r="CB114" i="31"/>
  <c r="CJ114" i="31"/>
  <c r="CR114" i="31"/>
  <c r="BK114" i="31"/>
  <c r="CZ114" i="31"/>
  <c r="BU114" i="31"/>
  <c r="CD114" i="31"/>
  <c r="CC114" i="31"/>
  <c r="CK114" i="31"/>
  <c r="CO114" i="31"/>
  <c r="CT114" i="31"/>
  <c r="BW114" i="31"/>
  <c r="CM114" i="31"/>
  <c r="CS114" i="31"/>
  <c r="CL114" i="31"/>
  <c r="CG114" i="31"/>
  <c r="BO114" i="31"/>
  <c r="F114" i="24"/>
  <c r="CB202" i="31"/>
  <c r="BP202" i="31"/>
  <c r="CW202" i="31"/>
  <c r="CA202" i="31"/>
  <c r="CY202" i="31"/>
  <c r="CM202" i="31"/>
  <c r="BT202" i="31"/>
  <c r="DG202" i="31"/>
  <c r="CN202" i="31"/>
  <c r="BR202" i="31"/>
  <c r="CG202" i="31"/>
  <c r="CC202" i="31"/>
  <c r="BL202" i="31"/>
  <c r="CX202" i="31"/>
  <c r="CE202" i="31"/>
  <c r="DD202" i="31"/>
  <c r="BO202" i="31"/>
  <c r="DI202" i="31"/>
  <c r="DJ202" i="31"/>
  <c r="CO202" i="31"/>
  <c r="BV202" i="31"/>
  <c r="CL202" i="31"/>
  <c r="CV202" i="31"/>
  <c r="DE202" i="31"/>
  <c r="CZ202" i="31"/>
  <c r="CQ202" i="31"/>
  <c r="BW202" i="31"/>
  <c r="DC202" i="31"/>
  <c r="DB202" i="31"/>
  <c r="BK202" i="31"/>
  <c r="BZ202" i="31"/>
  <c r="CR202" i="31"/>
  <c r="CH202" i="31"/>
  <c r="BN202" i="31"/>
  <c r="CT202" i="31"/>
  <c r="CI202" i="31"/>
  <c r="CU202" i="31"/>
  <c r="BX202" i="31"/>
  <c r="BM202" i="31"/>
  <c r="CK202" i="31"/>
  <c r="BS202" i="31"/>
  <c r="DH202" i="31"/>
  <c r="CD202" i="31"/>
  <c r="CJ202" i="31"/>
  <c r="BQ202" i="31"/>
  <c r="DA202" i="31"/>
  <c r="BY202" i="31"/>
  <c r="CP202" i="31"/>
  <c r="BU202" i="31"/>
  <c r="CF202" i="31"/>
  <c r="CS202" i="31"/>
  <c r="DF202" i="31"/>
  <c r="F81" i="24"/>
  <c r="CH169" i="31"/>
  <c r="CD169" i="31"/>
  <c r="DE169" i="31"/>
  <c r="BW169" i="31"/>
  <c r="CO169" i="31"/>
  <c r="CA169" i="31"/>
  <c r="CK169" i="31"/>
  <c r="BN169" i="31"/>
  <c r="BT169" i="31"/>
  <c r="BM169" i="31"/>
  <c r="BZ169" i="31"/>
  <c r="BV169" i="31"/>
  <c r="CS169" i="31"/>
  <c r="BL169" i="31"/>
  <c r="CE169" i="31"/>
  <c r="DI169" i="31"/>
  <c r="CI169" i="31"/>
  <c r="BQ169" i="31"/>
  <c r="BX169" i="31"/>
  <c r="DH169" i="31"/>
  <c r="CF169" i="31"/>
  <c r="BR169" i="31"/>
  <c r="DA169" i="31"/>
  <c r="DD169" i="31"/>
  <c r="CY169" i="31"/>
  <c r="CN169" i="31"/>
  <c r="DG169" i="31"/>
  <c r="CQ169" i="31"/>
  <c r="DJ169" i="31"/>
  <c r="BP169" i="31"/>
  <c r="DF169" i="31"/>
  <c r="DB169" i="31"/>
  <c r="CJ169" i="31"/>
  <c r="DC169" i="31"/>
  <c r="BU169" i="31"/>
  <c r="CC169" i="31"/>
  <c r="CW169" i="31"/>
  <c r="CL169" i="31"/>
  <c r="CG169" i="31"/>
  <c r="CM169" i="31"/>
  <c r="CU169" i="31"/>
  <c r="CX169" i="31"/>
  <c r="CT169" i="31"/>
  <c r="BY169" i="31"/>
  <c r="CR169" i="31"/>
  <c r="BK169" i="31"/>
  <c r="BS169" i="31"/>
  <c r="CV169" i="31"/>
  <c r="CP169" i="31"/>
  <c r="BO169" i="31"/>
  <c r="CZ169" i="31"/>
  <c r="CB169" i="31"/>
  <c r="F91" i="24"/>
  <c r="BN179" i="31"/>
  <c r="DH179" i="31"/>
  <c r="CY179" i="31"/>
  <c r="BW179" i="31"/>
  <c r="CE179" i="31"/>
  <c r="DD179" i="31"/>
  <c r="DI179" i="31"/>
  <c r="CZ179" i="31"/>
  <c r="CQ179" i="31"/>
  <c r="CW179" i="31"/>
  <c r="BO179" i="31"/>
  <c r="BX179" i="31"/>
  <c r="DJ179" i="31"/>
  <c r="DA179" i="31"/>
  <c r="CR179" i="31"/>
  <c r="CI179" i="31"/>
  <c r="CG179" i="31"/>
  <c r="CN179" i="31"/>
  <c r="CX179" i="31"/>
  <c r="DB179" i="31"/>
  <c r="CS179" i="31"/>
  <c r="CJ179" i="31"/>
  <c r="CA179" i="31"/>
  <c r="BQ179" i="31"/>
  <c r="CH179" i="31"/>
  <c r="BR179" i="31"/>
  <c r="CT179" i="31"/>
  <c r="CK179" i="31"/>
  <c r="CB179" i="31"/>
  <c r="BS179" i="31"/>
  <c r="CV179" i="31"/>
  <c r="DF179" i="31"/>
  <c r="CL179" i="31"/>
  <c r="CC179" i="31"/>
  <c r="BT179" i="31"/>
  <c r="BK179" i="31"/>
  <c r="CF179" i="31"/>
  <c r="BZ179" i="31"/>
  <c r="CD179" i="31"/>
  <c r="BU179" i="31"/>
  <c r="BL179" i="31"/>
  <c r="DC179" i="31"/>
  <c r="BP179" i="31"/>
  <c r="DE179" i="31"/>
  <c r="CU179" i="31"/>
  <c r="BY179" i="31"/>
  <c r="BV179" i="31"/>
  <c r="BM179" i="31"/>
  <c r="DG179" i="31"/>
  <c r="CM179" i="31"/>
  <c r="CO179" i="31"/>
  <c r="CP179" i="31"/>
  <c r="DC159" i="31"/>
  <c r="F71" i="24"/>
  <c r="DB159" i="31"/>
  <c r="CA159" i="31"/>
  <c r="BR159" i="31"/>
  <c r="CV159" i="31"/>
  <c r="CZ159" i="31"/>
  <c r="CD159" i="31"/>
  <c r="CB159" i="31"/>
  <c r="BS159" i="31"/>
  <c r="DE159" i="31"/>
  <c r="CN159" i="31"/>
  <c r="CJ159" i="31"/>
  <c r="BN159" i="31"/>
  <c r="BL159" i="31"/>
  <c r="CY159" i="31"/>
  <c r="CP159" i="31"/>
  <c r="BY159" i="31"/>
  <c r="DA159" i="31"/>
  <c r="BO159" i="31"/>
  <c r="BM159" i="31"/>
  <c r="BV159" i="31"/>
  <c r="CQ159" i="31"/>
  <c r="CH159" i="31"/>
  <c r="BQ159" i="31"/>
  <c r="CK159" i="31"/>
  <c r="DJ159" i="31"/>
  <c r="DH159" i="31"/>
  <c r="CO159" i="31"/>
  <c r="CU159" i="31"/>
  <c r="CL159" i="31"/>
  <c r="DF159" i="31"/>
  <c r="DG159" i="31"/>
  <c r="CG159" i="31"/>
  <c r="CE159" i="31"/>
  <c r="BW159" i="31"/>
  <c r="CI159" i="31"/>
  <c r="CT159" i="31"/>
  <c r="DD159" i="31"/>
  <c r="BX159" i="31"/>
  <c r="BK159" i="31"/>
  <c r="CF159" i="31"/>
  <c r="DI159" i="31"/>
  <c r="CS159" i="31"/>
  <c r="CX159" i="31"/>
  <c r="BP159" i="31"/>
  <c r="CC159" i="31"/>
  <c r="CW159" i="31"/>
  <c r="CM159" i="31"/>
  <c r="BZ159" i="31"/>
  <c r="BU159" i="31"/>
  <c r="CR159" i="31"/>
  <c r="BT159" i="31"/>
  <c r="F102" i="24"/>
  <c r="BY190" i="31"/>
  <c r="CS190" i="31"/>
  <c r="BL190" i="31"/>
  <c r="CY190" i="31"/>
  <c r="DH190" i="31"/>
  <c r="BM190" i="31"/>
  <c r="BQ190" i="31"/>
  <c r="CI190" i="31"/>
  <c r="DJ190" i="31"/>
  <c r="CM190" i="31"/>
  <c r="CL190" i="31"/>
  <c r="CX190" i="31"/>
  <c r="DD190" i="31"/>
  <c r="BW190" i="31"/>
  <c r="CZ190" i="31"/>
  <c r="CC190" i="31"/>
  <c r="BR190" i="31"/>
  <c r="CU190" i="31"/>
  <c r="CV190" i="31"/>
  <c r="BN190" i="31"/>
  <c r="CP190" i="31"/>
  <c r="BS190" i="31"/>
  <c r="DG190" i="31"/>
  <c r="CB190" i="31"/>
  <c r="DE190" i="31"/>
  <c r="CN190" i="31"/>
  <c r="DA190" i="31"/>
  <c r="CD190" i="31"/>
  <c r="CT190" i="31"/>
  <c r="CK190" i="31"/>
  <c r="BO190" i="31"/>
  <c r="CW190" i="31"/>
  <c r="CF190" i="31"/>
  <c r="CQ190" i="31"/>
  <c r="BT190" i="31"/>
  <c r="BZ190" i="31"/>
  <c r="BP190" i="31"/>
  <c r="DF190" i="31"/>
  <c r="CO190" i="31"/>
  <c r="BX190" i="31"/>
  <c r="CE190" i="31"/>
  <c r="BK190" i="31"/>
  <c r="CR190" i="31"/>
  <c r="CA190" i="31"/>
  <c r="CJ190" i="31"/>
  <c r="BU190" i="31"/>
  <c r="DI190" i="31"/>
  <c r="BV190" i="31"/>
  <c r="DB190" i="31"/>
  <c r="CH190" i="31"/>
  <c r="CG190" i="31"/>
  <c r="DC190" i="31"/>
  <c r="F38" i="24"/>
  <c r="DG126" i="31"/>
  <c r="CX126" i="31"/>
  <c r="CG126" i="31"/>
  <c r="BP126" i="31"/>
  <c r="CB126" i="31"/>
  <c r="CL126" i="31"/>
  <c r="CJ126" i="31"/>
  <c r="CY126" i="31"/>
  <c r="CP126" i="31"/>
  <c r="BY126" i="31"/>
  <c r="DI126" i="31"/>
  <c r="BL126" i="31"/>
  <c r="BV126" i="31"/>
  <c r="BT126" i="31"/>
  <c r="CQ126" i="31"/>
  <c r="CH126" i="31"/>
  <c r="BQ126" i="31"/>
  <c r="CS126" i="31"/>
  <c r="BO126" i="31"/>
  <c r="CU126" i="31"/>
  <c r="CE126" i="31"/>
  <c r="CI126" i="31"/>
  <c r="BZ126" i="31"/>
  <c r="DD126" i="31"/>
  <c r="CC126" i="31"/>
  <c r="CT126" i="31"/>
  <c r="DA126" i="31"/>
  <c r="CD126" i="31"/>
  <c r="CA126" i="31"/>
  <c r="BR126" i="31"/>
  <c r="CV126" i="31"/>
  <c r="BM126" i="31"/>
  <c r="DC126" i="31"/>
  <c r="CK126" i="31"/>
  <c r="BS126" i="31"/>
  <c r="DE126" i="31"/>
  <c r="CN126" i="31"/>
  <c r="DJ126" i="31"/>
  <c r="CM126" i="31"/>
  <c r="BU126" i="31"/>
  <c r="BK126" i="31"/>
  <c r="CW126" i="31"/>
  <c r="CF126" i="31"/>
  <c r="DH126" i="31"/>
  <c r="BW126" i="31"/>
  <c r="BN126" i="31"/>
  <c r="CZ126" i="31"/>
  <c r="DF126" i="31"/>
  <c r="CO126" i="31"/>
  <c r="BX126" i="31"/>
  <c r="CR126" i="31"/>
  <c r="DB126" i="31"/>
  <c r="F72" i="24"/>
  <c r="BW160" i="31"/>
  <c r="BN160" i="31"/>
  <c r="DH160" i="31"/>
  <c r="CG160" i="31"/>
  <c r="BK160" i="31"/>
  <c r="CN160" i="31"/>
  <c r="BO160" i="31"/>
  <c r="DI160" i="31"/>
  <c r="CZ160" i="31"/>
  <c r="BQ160" i="31"/>
  <c r="DF160" i="31"/>
  <c r="BX160" i="31"/>
  <c r="DJ160" i="31"/>
  <c r="DA160" i="31"/>
  <c r="CR160" i="31"/>
  <c r="CV160" i="31"/>
  <c r="CP160" i="31"/>
  <c r="CY160" i="31"/>
  <c r="DB160" i="31"/>
  <c r="CS160" i="31"/>
  <c r="CJ160" i="31"/>
  <c r="CF160" i="31"/>
  <c r="BZ160" i="31"/>
  <c r="CX160" i="31"/>
  <c r="DC160" i="31"/>
  <c r="CT160" i="31"/>
  <c r="CK160" i="31"/>
  <c r="CB160" i="31"/>
  <c r="BP160" i="31"/>
  <c r="DE160" i="31"/>
  <c r="CI160" i="31"/>
  <c r="CU160" i="31"/>
  <c r="CL160" i="31"/>
  <c r="CC160" i="31"/>
  <c r="BT160" i="31"/>
  <c r="DG160" i="31"/>
  <c r="CO160" i="31"/>
  <c r="CH160" i="31"/>
  <c r="CM160" i="31"/>
  <c r="CD160" i="31"/>
  <c r="BU160" i="31"/>
  <c r="BL160" i="31"/>
  <c r="CQ160" i="31"/>
  <c r="BY160" i="31"/>
  <c r="BS160" i="31"/>
  <c r="CW160" i="31"/>
  <c r="CA160" i="31"/>
  <c r="DD160" i="31"/>
  <c r="BR160" i="31"/>
  <c r="CE160" i="31"/>
  <c r="BV160" i="31"/>
  <c r="BM160" i="31"/>
  <c r="BL173" i="31"/>
  <c r="F85" i="24"/>
  <c r="CV173" i="31"/>
  <c r="CE173" i="31"/>
  <c r="BV173" i="31"/>
  <c r="BY173" i="31"/>
  <c r="CX173" i="31"/>
  <c r="CF173" i="31"/>
  <c r="BO173" i="31"/>
  <c r="DG173" i="31"/>
  <c r="CK173" i="31"/>
  <c r="CW173" i="31"/>
  <c r="CB173" i="31"/>
  <c r="CP173" i="31"/>
  <c r="BX173" i="31"/>
  <c r="DJ173" i="31"/>
  <c r="CQ173" i="31"/>
  <c r="CH173" i="31"/>
  <c r="BP173" i="31"/>
  <c r="DB173" i="31"/>
  <c r="CA173" i="31"/>
  <c r="CZ173" i="31"/>
  <c r="BQ173" i="31"/>
  <c r="BZ173" i="31"/>
  <c r="DC173" i="31"/>
  <c r="CT173" i="31"/>
  <c r="BK173" i="31"/>
  <c r="CJ173" i="31"/>
  <c r="DI173" i="31"/>
  <c r="BR173" i="31"/>
  <c r="CU173" i="31"/>
  <c r="CL173" i="31"/>
  <c r="DE173" i="31"/>
  <c r="BT173" i="31"/>
  <c r="DH173" i="31"/>
  <c r="CN173" i="31"/>
  <c r="CY173" i="31"/>
  <c r="CM173" i="31"/>
  <c r="CI173" i="31"/>
  <c r="BW173" i="31"/>
  <c r="BS173" i="31"/>
  <c r="CD173" i="31"/>
  <c r="CG173" i="31"/>
  <c r="CO173" i="31"/>
  <c r="CR173" i="31"/>
  <c r="DF173" i="31"/>
  <c r="DA173" i="31"/>
  <c r="CC173" i="31"/>
  <c r="BN173" i="31"/>
  <c r="BM173" i="31"/>
  <c r="DD173" i="31"/>
  <c r="BU173" i="31"/>
  <c r="CS173" i="31"/>
  <c r="F83" i="24"/>
  <c r="DD171" i="31"/>
  <c r="CM171" i="31"/>
  <c r="CD171" i="31"/>
  <c r="BQ171" i="31"/>
  <c r="BL171" i="31"/>
  <c r="CK171" i="31"/>
  <c r="CV171" i="31"/>
  <c r="CE171" i="31"/>
  <c r="BV171" i="31"/>
  <c r="DI171" i="31"/>
  <c r="DG171" i="31"/>
  <c r="CJ171" i="31"/>
  <c r="DF171" i="31"/>
  <c r="CN171" i="31"/>
  <c r="BW171" i="31"/>
  <c r="BN171" i="31"/>
  <c r="CS171" i="31"/>
  <c r="CQ171" i="31"/>
  <c r="BU171" i="31"/>
  <c r="CX171" i="31"/>
  <c r="CF171" i="31"/>
  <c r="BO171" i="31"/>
  <c r="CY171" i="31"/>
  <c r="CC171" i="31"/>
  <c r="CA171" i="31"/>
  <c r="BT171" i="31"/>
  <c r="CP171" i="31"/>
  <c r="BX171" i="31"/>
  <c r="DJ171" i="31"/>
  <c r="CI171" i="31"/>
  <c r="BM171" i="31"/>
  <c r="BK171" i="31"/>
  <c r="DA171" i="31"/>
  <c r="CH171" i="31"/>
  <c r="BP171" i="31"/>
  <c r="DB171" i="31"/>
  <c r="BS171" i="31"/>
  <c r="DH171" i="31"/>
  <c r="DE171" i="31"/>
  <c r="CZ171" i="31"/>
  <c r="BZ171" i="31"/>
  <c r="DC171" i="31"/>
  <c r="CT171" i="31"/>
  <c r="CW171" i="31"/>
  <c r="CR171" i="31"/>
  <c r="CO171" i="31"/>
  <c r="BR171" i="31"/>
  <c r="CU171" i="31"/>
  <c r="CG171" i="31"/>
  <c r="CB171" i="31"/>
  <c r="CL171" i="31"/>
  <c r="BY171" i="31"/>
  <c r="F92" i="24"/>
  <c r="DF180" i="31"/>
  <c r="CO180" i="31"/>
  <c r="BX180" i="31"/>
  <c r="CY180" i="31"/>
  <c r="CR180" i="31"/>
  <c r="BT180" i="31"/>
  <c r="DB180" i="31"/>
  <c r="CX180" i="31"/>
  <c r="CG180" i="31"/>
  <c r="BP180" i="31"/>
  <c r="CI180" i="31"/>
  <c r="CB180" i="31"/>
  <c r="CT180" i="31"/>
  <c r="DA180" i="31"/>
  <c r="CP180" i="31"/>
  <c r="BY180" i="31"/>
  <c r="DC180" i="31"/>
  <c r="BS180" i="31"/>
  <c r="BL180" i="31"/>
  <c r="BN180" i="31"/>
  <c r="BV180" i="31"/>
  <c r="CH180" i="31"/>
  <c r="BQ180" i="31"/>
  <c r="CU180" i="31"/>
  <c r="DI180" i="31"/>
  <c r="DG180" i="31"/>
  <c r="CL180" i="31"/>
  <c r="BU180" i="31"/>
  <c r="BZ180" i="31"/>
  <c r="DD180" i="31"/>
  <c r="CM180" i="31"/>
  <c r="CS180" i="31"/>
  <c r="CQ180" i="31"/>
  <c r="CK180" i="31"/>
  <c r="BR180" i="31"/>
  <c r="CV180" i="31"/>
  <c r="CE180" i="31"/>
  <c r="CC180" i="31"/>
  <c r="CA180" i="31"/>
  <c r="CJ180" i="31"/>
  <c r="DE180" i="31"/>
  <c r="CN180" i="31"/>
  <c r="BW180" i="31"/>
  <c r="BM180" i="31"/>
  <c r="BK180" i="31"/>
  <c r="DJ180" i="31"/>
  <c r="CF180" i="31"/>
  <c r="BO180" i="31"/>
  <c r="DH180" i="31"/>
  <c r="CZ180" i="31"/>
  <c r="CD180" i="31"/>
  <c r="CW180" i="31"/>
  <c r="F28" i="24"/>
  <c r="BW116" i="31"/>
  <c r="BV116" i="31"/>
  <c r="CK116" i="31"/>
  <c r="CZ116" i="31"/>
  <c r="CY116" i="31"/>
  <c r="CX116" i="31"/>
  <c r="BO116" i="31"/>
  <c r="BN116" i="31"/>
  <c r="CC116" i="31"/>
  <c r="CR116" i="31"/>
  <c r="CQ116" i="31"/>
  <c r="CP116" i="31"/>
  <c r="CW116" i="31"/>
  <c r="BY116" i="31"/>
  <c r="BU116" i="31"/>
  <c r="CJ116" i="31"/>
  <c r="CI116" i="31"/>
  <c r="CH116" i="31"/>
  <c r="DJ116" i="31"/>
  <c r="DD116" i="31"/>
  <c r="BM116" i="31"/>
  <c r="CB116" i="31"/>
  <c r="CA116" i="31"/>
  <c r="BZ116" i="31"/>
  <c r="DC116" i="31"/>
  <c r="DB116" i="31"/>
  <c r="BX116" i="31"/>
  <c r="DE116" i="31"/>
  <c r="BT116" i="31"/>
  <c r="BS116" i="31"/>
  <c r="BR116" i="31"/>
  <c r="CU116" i="31"/>
  <c r="CT116" i="31"/>
  <c r="DI116" i="31"/>
  <c r="CV116" i="31"/>
  <c r="BL116" i="31"/>
  <c r="BK116" i="31"/>
  <c r="BQ116" i="31"/>
  <c r="CM116" i="31"/>
  <c r="CL116" i="31"/>
  <c r="DA116" i="31"/>
  <c r="BP116" i="31"/>
  <c r="CG116" i="31"/>
  <c r="CO116" i="31"/>
  <c r="CN116" i="31"/>
  <c r="CE116" i="31"/>
  <c r="CD116" i="31"/>
  <c r="CS116" i="31"/>
  <c r="DH116" i="31"/>
  <c r="DG116" i="31"/>
  <c r="DF116" i="31"/>
  <c r="CF116" i="31"/>
  <c r="J197" i="32"/>
  <c r="A28" i="17"/>
  <c r="H26" i="39" s="1"/>
  <c r="D27" i="17"/>
  <c r="K25" i="39" s="1"/>
  <c r="C27" i="17"/>
  <c r="J25" i="39" s="1"/>
  <c r="B27" i="17"/>
  <c r="I25" i="39" s="1"/>
  <c r="H119" i="32"/>
  <c r="J153" i="32"/>
  <c r="J203" i="32"/>
  <c r="J188" i="32"/>
  <c r="J121" i="32"/>
  <c r="J169" i="32"/>
  <c r="J127" i="32"/>
  <c r="J160" i="32"/>
  <c r="J143" i="32"/>
  <c r="U17" i="20"/>
  <c r="U15" i="20" s="1"/>
  <c r="T15" i="20"/>
  <c r="J132" i="32"/>
  <c r="J204" i="32"/>
  <c r="J183" i="32"/>
  <c r="J124" i="32"/>
  <c r="J208" i="32"/>
  <c r="J180" i="32"/>
  <c r="J151" i="32"/>
  <c r="J123" i="32"/>
  <c r="J192" i="32"/>
  <c r="J164" i="32"/>
  <c r="J135" i="32"/>
  <c r="J167" i="32"/>
  <c r="J216" i="32"/>
  <c r="J195" i="32"/>
  <c r="J173" i="32"/>
  <c r="J152" i="32"/>
  <c r="J202" i="32"/>
  <c r="J170" i="32"/>
  <c r="J161" i="32"/>
  <c r="J193" i="32"/>
  <c r="J145" i="32"/>
  <c r="J210" i="32"/>
  <c r="J194" i="32"/>
  <c r="J178" i="32"/>
  <c r="J162" i="32"/>
  <c r="J146" i="32"/>
  <c r="J130" i="32"/>
  <c r="J148" i="32"/>
  <c r="J172" i="32"/>
  <c r="J144" i="32"/>
  <c r="J156" i="32"/>
  <c r="J128" i="32"/>
  <c r="J198" i="32"/>
  <c r="J166" i="32"/>
  <c r="J134" i="32"/>
  <c r="J176" i="32"/>
  <c r="J191" i="32"/>
  <c r="J155" i="32"/>
  <c r="J175" i="32"/>
  <c r="J201" i="32"/>
  <c r="J213" i="32"/>
  <c r="J185" i="32"/>
  <c r="J217" i="32"/>
  <c r="J211" i="32"/>
  <c r="J189" i="32"/>
  <c r="J168" i="32"/>
  <c r="J147" i="32"/>
  <c r="J125" i="32"/>
  <c r="J186" i="32"/>
  <c r="J154" i="32"/>
  <c r="J138" i="32"/>
  <c r="J122" i="32"/>
  <c r="J209" i="32"/>
  <c r="J165" i="32"/>
  <c r="J137" i="32"/>
  <c r="J207" i="32"/>
  <c r="J177" i="32"/>
  <c r="J149" i="32"/>
  <c r="J196" i="32"/>
  <c r="J205" i="32"/>
  <c r="J184" i="32"/>
  <c r="J163" i="32"/>
  <c r="J141" i="32"/>
  <c r="J214" i="32"/>
  <c r="J182" i="32"/>
  <c r="J150" i="32"/>
  <c r="J131" i="32"/>
  <c r="J133" i="32"/>
  <c r="J140" i="32"/>
  <c r="J212" i="32"/>
  <c r="J215" i="32"/>
  <c r="J187" i="32"/>
  <c r="J159" i="32"/>
  <c r="J129" i="32"/>
  <c r="J199" i="32"/>
  <c r="J171" i="32"/>
  <c r="J181" i="32"/>
  <c r="J139" i="32"/>
  <c r="J200" i="32"/>
  <c r="J179" i="32"/>
  <c r="J157" i="32"/>
  <c r="J136" i="32"/>
  <c r="J206" i="32"/>
  <c r="J190" i="32"/>
  <c r="J174" i="32"/>
  <c r="J158" i="32"/>
  <c r="J142" i="32"/>
  <c r="J126" i="32"/>
  <c r="D21" i="30"/>
  <c r="E21" i="30"/>
  <c r="B22" i="30"/>
  <c r="A22" i="30" s="1"/>
  <c r="BY114" i="31" l="1"/>
  <c r="DI114" i="31"/>
  <c r="BV114" i="31"/>
  <c r="DG114" i="31"/>
  <c r="BL114" i="31"/>
  <c r="CW114" i="31"/>
  <c r="CU114" i="31"/>
  <c r="DJ114" i="31"/>
  <c r="BM114" i="31"/>
  <c r="DE114" i="31"/>
  <c r="CI114" i="31"/>
  <c r="DC114" i="31"/>
  <c r="CE114" i="31"/>
  <c r="DA114" i="31"/>
  <c r="DH114" i="31"/>
  <c r="CX114" i="31"/>
  <c r="CP114" i="31"/>
  <c r="CV114" i="31"/>
  <c r="BN114" i="31"/>
  <c r="DB114" i="31"/>
  <c r="CA114" i="31"/>
  <c r="BS114" i="31"/>
  <c r="BQ114" i="31"/>
  <c r="CH114" i="31"/>
  <c r="F22" i="30"/>
  <c r="CA3" i="31" s="1"/>
  <c r="CA110" i="31" s="1"/>
  <c r="A29" i="17"/>
  <c r="H27" i="39" s="1"/>
  <c r="D28" i="17"/>
  <c r="K26" i="39" s="1"/>
  <c r="C28" i="17"/>
  <c r="J26" i="39" s="1"/>
  <c r="B28" i="17"/>
  <c r="I26" i="39" s="1"/>
  <c r="D22" i="30"/>
  <c r="E22" i="30"/>
  <c r="B23" i="30"/>
  <c r="A23" i="30" s="1"/>
  <c r="F23" i="30" l="1"/>
  <c r="CB3" i="31" s="1"/>
  <c r="CB110" i="31" s="1"/>
  <c r="A30" i="17"/>
  <c r="H28" i="39" s="1"/>
  <c r="D29" i="17"/>
  <c r="K27" i="39" s="1"/>
  <c r="B29" i="17"/>
  <c r="I27" i="39" s="1"/>
  <c r="C29" i="17"/>
  <c r="J27" i="39" s="1"/>
  <c r="DK203" i="31"/>
  <c r="DK204" i="31"/>
  <c r="DK141" i="31"/>
  <c r="DK131" i="31"/>
  <c r="DK132" i="31"/>
  <c r="DK197" i="31"/>
  <c r="DK133" i="31"/>
  <c r="DK169" i="31"/>
  <c r="DK184" i="31"/>
  <c r="DK117" i="31"/>
  <c r="DK211" i="31"/>
  <c r="DK196" i="31"/>
  <c r="DK124" i="31"/>
  <c r="DK150" i="31"/>
  <c r="DK129" i="31"/>
  <c r="DK210" i="31"/>
  <c r="DK189" i="31"/>
  <c r="DK190" i="31"/>
  <c r="DK155" i="31"/>
  <c r="DK116" i="31"/>
  <c r="DK194" i="31"/>
  <c r="DK146" i="31"/>
  <c r="DK138" i="31"/>
  <c r="DK205" i="31"/>
  <c r="DK160" i="31"/>
  <c r="DK193" i="31"/>
  <c r="DK125" i="31"/>
  <c r="DK186" i="31"/>
  <c r="DK171" i="31"/>
  <c r="DK159" i="31"/>
  <c r="DK157" i="31"/>
  <c r="DK199" i="31"/>
  <c r="DK170" i="31"/>
  <c r="DK126" i="31"/>
  <c r="DK156" i="31"/>
  <c r="DK208" i="31"/>
  <c r="DK176" i="31"/>
  <c r="DK180" i="31"/>
  <c r="DK181" i="31"/>
  <c r="DK191" i="31"/>
  <c r="DK195" i="31"/>
  <c r="DK174" i="31"/>
  <c r="DK183" i="31"/>
  <c r="DK207" i="31"/>
  <c r="DK209" i="31"/>
  <c r="DK143" i="31"/>
  <c r="DK166" i="31"/>
  <c r="DK136" i="31"/>
  <c r="DK173" i="31"/>
  <c r="DK119" i="31"/>
  <c r="DK164" i="31"/>
  <c r="DK127" i="31"/>
  <c r="DK130" i="31"/>
  <c r="DK137" i="31"/>
  <c r="DK121" i="31"/>
  <c r="DK172" i="31"/>
  <c r="DK114" i="31"/>
  <c r="I121" i="32" s="1"/>
  <c r="DK123" i="31"/>
  <c r="DK152" i="31"/>
  <c r="DK198" i="31"/>
  <c r="DK140" i="31"/>
  <c r="DK178" i="31"/>
  <c r="DK148" i="31"/>
  <c r="DK144" i="31"/>
  <c r="DK147" i="31"/>
  <c r="DK161" i="31"/>
  <c r="DK185" i="31"/>
  <c r="DK202" i="31"/>
  <c r="D23" i="30"/>
  <c r="E23" i="30"/>
  <c r="B24" i="30"/>
  <c r="A24" i="30" s="1"/>
  <c r="F24" i="30" l="1"/>
  <c r="CC3" i="31" s="1"/>
  <c r="CC110" i="31" s="1"/>
  <c r="A31" i="17"/>
  <c r="H29" i="39" s="1"/>
  <c r="D30" i="17"/>
  <c r="K28" i="39" s="1"/>
  <c r="B30" i="17"/>
  <c r="I28" i="39" s="1"/>
  <c r="C30" i="17"/>
  <c r="J28" i="39" s="1"/>
  <c r="DK165" i="31"/>
  <c r="DK122" i="31"/>
  <c r="DK192" i="31"/>
  <c r="DK145" i="31"/>
  <c r="DK182" i="31"/>
  <c r="DK177" i="31"/>
  <c r="DK200" i="31"/>
  <c r="DK115" i="31"/>
  <c r="DK154" i="31"/>
  <c r="DK162" i="31"/>
  <c r="DK179" i="31"/>
  <c r="DK128" i="31"/>
  <c r="DK168" i="31"/>
  <c r="DK139" i="31"/>
  <c r="DK149" i="31"/>
  <c r="DK163" i="31"/>
  <c r="DK134" i="31"/>
  <c r="DK151" i="31"/>
  <c r="DK118" i="31"/>
  <c r="DK206" i="31"/>
  <c r="D24" i="30"/>
  <c r="E24" i="30"/>
  <c r="B25" i="30"/>
  <c r="A25" i="30" s="1"/>
  <c r="F25" i="30" l="1"/>
  <c r="CD3" i="31" s="1"/>
  <c r="CD110" i="31" s="1"/>
  <c r="A32" i="17"/>
  <c r="H30" i="39" s="1"/>
  <c r="D31" i="17"/>
  <c r="K29" i="39" s="1"/>
  <c r="B31" i="17"/>
  <c r="I29" i="39" s="1"/>
  <c r="C31" i="17"/>
  <c r="J29" i="39" s="1"/>
  <c r="DK135" i="31"/>
  <c r="DK142" i="31"/>
  <c r="DK187" i="31"/>
  <c r="DK153" i="31"/>
  <c r="DK120" i="31"/>
  <c r="DK201" i="31"/>
  <c r="DK188" i="31"/>
  <c r="DK158" i="31"/>
  <c r="DK167" i="31"/>
  <c r="D25" i="30"/>
  <c r="E25" i="30"/>
  <c r="B26" i="30"/>
  <c r="A26" i="30" s="1"/>
  <c r="F26" i="30" l="1"/>
  <c r="CE3" i="31" s="1"/>
  <c r="CE110" i="31" s="1"/>
  <c r="A33" i="17"/>
  <c r="H31" i="39" s="1"/>
  <c r="D32" i="17"/>
  <c r="K30" i="39" s="1"/>
  <c r="B32" i="17"/>
  <c r="I30" i="39" s="1"/>
  <c r="C32" i="17"/>
  <c r="J30" i="39" s="1"/>
  <c r="DK175" i="31"/>
  <c r="D26" i="30"/>
  <c r="E26" i="30"/>
  <c r="B27" i="30"/>
  <c r="A27" i="30" s="1"/>
  <c r="F27" i="30" l="1"/>
  <c r="CF3" i="31" s="1"/>
  <c r="CF110" i="31" s="1"/>
  <c r="A34" i="17"/>
  <c r="H32" i="39" s="1"/>
  <c r="D33" i="17"/>
  <c r="K31" i="39" s="1"/>
  <c r="B33" i="17"/>
  <c r="I31" i="39" s="1"/>
  <c r="C33" i="17"/>
  <c r="J31" i="39" s="1"/>
  <c r="D27" i="30"/>
  <c r="E27" i="30"/>
  <c r="B28" i="30"/>
  <c r="A28" i="30" s="1"/>
  <c r="F28" i="30" l="1"/>
  <c r="CG3" i="31" s="1"/>
  <c r="CG110" i="31" s="1"/>
  <c r="A35" i="17"/>
  <c r="H33" i="39" s="1"/>
  <c r="D34" i="17"/>
  <c r="K32" i="39" s="1"/>
  <c r="B34" i="17"/>
  <c r="I32" i="39" s="1"/>
  <c r="C34" i="17"/>
  <c r="J32" i="39" s="1"/>
  <c r="D28" i="30"/>
  <c r="E28" i="30"/>
  <c r="B29" i="30"/>
  <c r="A29" i="30" s="1"/>
  <c r="F29" i="30" l="1"/>
  <c r="CH3" i="31" s="1"/>
  <c r="CH110" i="31" s="1"/>
  <c r="A36" i="17"/>
  <c r="H34" i="39" s="1"/>
  <c r="D35" i="17"/>
  <c r="K33" i="39" s="1"/>
  <c r="B35" i="17"/>
  <c r="I33" i="39" s="1"/>
  <c r="C35" i="17"/>
  <c r="J33" i="39" s="1"/>
  <c r="D29" i="30"/>
  <c r="E29" i="30"/>
  <c r="B30" i="30"/>
  <c r="A30" i="30" s="1"/>
  <c r="F30" i="30" l="1"/>
  <c r="CI3" i="31" s="1"/>
  <c r="CI110" i="31" s="1"/>
  <c r="A37" i="17"/>
  <c r="H35" i="39" s="1"/>
  <c r="D36" i="17"/>
  <c r="K34" i="39" s="1"/>
  <c r="B36" i="17"/>
  <c r="I34" i="39" s="1"/>
  <c r="C36" i="17"/>
  <c r="J34" i="39" s="1"/>
  <c r="D30" i="30"/>
  <c r="E30" i="30"/>
  <c r="B31" i="30"/>
  <c r="A31" i="30" s="1"/>
  <c r="F31" i="30" l="1"/>
  <c r="CJ3" i="31" s="1"/>
  <c r="CJ110" i="31" s="1"/>
  <c r="A38" i="17"/>
  <c r="H36" i="39" s="1"/>
  <c r="D37" i="17"/>
  <c r="K35" i="39" s="1"/>
  <c r="B37" i="17"/>
  <c r="I35" i="39" s="1"/>
  <c r="C37" i="17"/>
  <c r="J35" i="39" s="1"/>
  <c r="D31" i="30"/>
  <c r="E31" i="30"/>
  <c r="B32" i="30"/>
  <c r="A32" i="30" s="1"/>
  <c r="F32" i="30" l="1"/>
  <c r="CK3" i="31" s="1"/>
  <c r="CK110" i="31" s="1"/>
  <c r="A39" i="17"/>
  <c r="H37" i="39" s="1"/>
  <c r="D38" i="17"/>
  <c r="K36" i="39" s="1"/>
  <c r="C38" i="17"/>
  <c r="J36" i="39" s="1"/>
  <c r="B38" i="17"/>
  <c r="I36" i="39" s="1"/>
  <c r="D32" i="30"/>
  <c r="E32" i="30"/>
  <c r="B33" i="30"/>
  <c r="A33" i="30" s="1"/>
  <c r="F33" i="30" l="1"/>
  <c r="CL3" i="31" s="1"/>
  <c r="CL110" i="31" s="1"/>
  <c r="A40" i="17"/>
  <c r="H38" i="39" s="1"/>
  <c r="D39" i="17"/>
  <c r="K37" i="39" s="1"/>
  <c r="C39" i="17"/>
  <c r="J37" i="39" s="1"/>
  <c r="B39" i="17"/>
  <c r="I37" i="39" s="1"/>
  <c r="D33" i="30"/>
  <c r="E33" i="30"/>
  <c r="B34" i="30"/>
  <c r="A34" i="30" s="1"/>
  <c r="F34" i="30" l="1"/>
  <c r="CM3" i="31" s="1"/>
  <c r="CM110" i="31" s="1"/>
  <c r="A41" i="17"/>
  <c r="H39" i="39" s="1"/>
  <c r="D40" i="17"/>
  <c r="K38" i="39" s="1"/>
  <c r="C40" i="17"/>
  <c r="J38" i="39" s="1"/>
  <c r="B40" i="17"/>
  <c r="I38" i="39" s="1"/>
  <c r="D34" i="30"/>
  <c r="E34" i="30"/>
  <c r="B35" i="30"/>
  <c r="A35" i="30" s="1"/>
  <c r="F35" i="30" l="1"/>
  <c r="CN3" i="31" s="1"/>
  <c r="CN110" i="31" s="1"/>
  <c r="A42" i="17"/>
  <c r="H40" i="39" s="1"/>
  <c r="D41" i="17"/>
  <c r="K39" i="39" s="1"/>
  <c r="B41" i="17"/>
  <c r="I39" i="39" s="1"/>
  <c r="C41" i="17"/>
  <c r="J39" i="39" s="1"/>
  <c r="D35" i="30"/>
  <c r="E35" i="30"/>
  <c r="B36" i="30"/>
  <c r="A36" i="30" s="1"/>
  <c r="F36" i="30" l="1"/>
  <c r="CO3" i="31" s="1"/>
  <c r="CO110" i="31" s="1"/>
  <c r="A43" i="17"/>
  <c r="H41" i="39" s="1"/>
  <c r="D42" i="17"/>
  <c r="K40" i="39" s="1"/>
  <c r="C42" i="17"/>
  <c r="J40" i="39" s="1"/>
  <c r="B42" i="17"/>
  <c r="I40" i="39" s="1"/>
  <c r="D36" i="30"/>
  <c r="E36" i="30"/>
  <c r="B37" i="30"/>
  <c r="A37" i="30" s="1"/>
  <c r="F37" i="30" l="1"/>
  <c r="CP3" i="31" s="1"/>
  <c r="CP110" i="31" s="1"/>
  <c r="A44" i="17"/>
  <c r="H42" i="39" s="1"/>
  <c r="D43" i="17"/>
  <c r="K41" i="39" s="1"/>
  <c r="C43" i="17"/>
  <c r="J41" i="39" s="1"/>
  <c r="B43" i="17"/>
  <c r="I41" i="39" s="1"/>
  <c r="D37" i="30"/>
  <c r="E37" i="30"/>
  <c r="B38" i="30"/>
  <c r="A38" i="30" s="1"/>
  <c r="F38" i="30" l="1"/>
  <c r="CQ3" i="31" s="1"/>
  <c r="CQ110" i="31" s="1"/>
  <c r="A45" i="17"/>
  <c r="H43" i="39" s="1"/>
  <c r="D44" i="17"/>
  <c r="K42" i="39" s="1"/>
  <c r="C44" i="17"/>
  <c r="J42" i="39" s="1"/>
  <c r="B44" i="17"/>
  <c r="I42" i="39" s="1"/>
  <c r="D38" i="30"/>
  <c r="E38" i="30"/>
  <c r="B39" i="30"/>
  <c r="A39" i="30" s="1"/>
  <c r="F39" i="30" l="1"/>
  <c r="CR3" i="31" s="1"/>
  <c r="CR110" i="31" s="1"/>
  <c r="A46" i="17"/>
  <c r="H44" i="39" s="1"/>
  <c r="D45" i="17"/>
  <c r="K43" i="39" s="1"/>
  <c r="B45" i="17"/>
  <c r="I43" i="39" s="1"/>
  <c r="C45" i="17"/>
  <c r="J43" i="39" s="1"/>
  <c r="D39" i="30"/>
  <c r="E39" i="30"/>
  <c r="B40" i="30"/>
  <c r="A40" i="30" s="1"/>
  <c r="F40" i="30" l="1"/>
  <c r="CS3" i="31" s="1"/>
  <c r="CS110" i="31" s="1"/>
  <c r="A47" i="17"/>
  <c r="H45" i="39" s="1"/>
  <c r="D46" i="17"/>
  <c r="K44" i="39" s="1"/>
  <c r="B46" i="17"/>
  <c r="I44" i="39" s="1"/>
  <c r="C46" i="17"/>
  <c r="J44" i="39" s="1"/>
  <c r="D40" i="30"/>
  <c r="E40" i="30"/>
  <c r="B41" i="30"/>
  <c r="A41" i="30" s="1"/>
  <c r="F41" i="30" l="1"/>
  <c r="CT3" i="31" s="1"/>
  <c r="CT110" i="31" s="1"/>
  <c r="A48" i="17"/>
  <c r="H46" i="39" s="1"/>
  <c r="D47" i="17"/>
  <c r="K45" i="39" s="1"/>
  <c r="C47" i="17"/>
  <c r="J45" i="39" s="1"/>
  <c r="B47" i="17"/>
  <c r="I45" i="39" s="1"/>
  <c r="D41" i="30"/>
  <c r="E41" i="30"/>
  <c r="B42" i="30"/>
  <c r="A42" i="30" s="1"/>
  <c r="F42" i="30" l="1"/>
  <c r="CU3" i="31" s="1"/>
  <c r="CU110" i="31" s="1"/>
  <c r="A49" i="17"/>
  <c r="D48" i="17"/>
  <c r="K46" i="39" s="1"/>
  <c r="B48" i="17"/>
  <c r="I46" i="39" s="1"/>
  <c r="C48" i="17"/>
  <c r="J46" i="39" s="1"/>
  <c r="D42" i="30"/>
  <c r="E42" i="30"/>
  <c r="B43" i="30"/>
  <c r="A43" i="30" s="1"/>
  <c r="F43" i="30" l="1"/>
  <c r="CV3" i="31" s="1"/>
  <c r="CV110" i="31" s="1"/>
  <c r="D49" i="17"/>
  <c r="K47" i="39" s="1"/>
  <c r="H47" i="39"/>
  <c r="A50" i="17"/>
  <c r="H48" i="39" s="1"/>
  <c r="B49" i="17"/>
  <c r="I47" i="39" s="1"/>
  <c r="C49" i="17"/>
  <c r="J47" i="39" s="1"/>
  <c r="D43" i="30"/>
  <c r="E43" i="30"/>
  <c r="B44" i="30"/>
  <c r="A44" i="30" s="1"/>
  <c r="F44" i="30" l="1"/>
  <c r="CW3" i="31" s="1"/>
  <c r="CW110" i="31" s="1"/>
  <c r="A51" i="17"/>
  <c r="H49" i="39" s="1"/>
  <c r="D50" i="17"/>
  <c r="K48" i="39" s="1"/>
  <c r="B50" i="17"/>
  <c r="I48" i="39" s="1"/>
  <c r="C50" i="17"/>
  <c r="J48" i="39" s="1"/>
  <c r="D44" i="30"/>
  <c r="E44" i="30"/>
  <c r="B45" i="30"/>
  <c r="A45" i="30" s="1"/>
  <c r="F45" i="30" l="1"/>
  <c r="CX3" i="31" s="1"/>
  <c r="CX110" i="31" s="1"/>
  <c r="A52" i="17"/>
  <c r="H50" i="39" s="1"/>
  <c r="D51" i="17"/>
  <c r="K49" i="39" s="1"/>
  <c r="B51" i="17"/>
  <c r="I49" i="39" s="1"/>
  <c r="C51" i="17"/>
  <c r="J49" i="39" s="1"/>
  <c r="D45" i="30"/>
  <c r="E45" i="30"/>
  <c r="B46" i="30"/>
  <c r="A46" i="30" s="1"/>
  <c r="F46" i="30" l="1"/>
  <c r="CY3" i="31" s="1"/>
  <c r="CY110" i="31" s="1"/>
  <c r="A53" i="17"/>
  <c r="H51" i="39" s="1"/>
  <c r="D52" i="17"/>
  <c r="K50" i="39" s="1"/>
  <c r="B52" i="17"/>
  <c r="I50" i="39" s="1"/>
  <c r="C52" i="17"/>
  <c r="J50" i="39" s="1"/>
  <c r="D46" i="30"/>
  <c r="E46" i="30"/>
  <c r="B47" i="30"/>
  <c r="A47" i="30" s="1"/>
  <c r="F47" i="30" l="1"/>
  <c r="CZ3" i="31" s="1"/>
  <c r="CZ110" i="31" s="1"/>
  <c r="A54" i="17"/>
  <c r="H52" i="39" s="1"/>
  <c r="D53" i="17"/>
  <c r="K51" i="39" s="1"/>
  <c r="B53" i="17"/>
  <c r="I51" i="39" s="1"/>
  <c r="C53" i="17"/>
  <c r="J51" i="39" s="1"/>
  <c r="D47" i="30"/>
  <c r="E47" i="30"/>
  <c r="B48" i="30"/>
  <c r="A48" i="30" s="1"/>
  <c r="F48" i="30" l="1"/>
  <c r="DA3" i="31" s="1"/>
  <c r="DA110" i="31" s="1"/>
  <c r="A55" i="17"/>
  <c r="H53" i="39" s="1"/>
  <c r="D54" i="17"/>
  <c r="K52" i="39" s="1"/>
  <c r="C54" i="17"/>
  <c r="J52" i="39" s="1"/>
  <c r="B54" i="17"/>
  <c r="I52" i="39" s="1"/>
  <c r="D48" i="30"/>
  <c r="E48" i="30"/>
  <c r="B49" i="30"/>
  <c r="A49" i="30" s="1"/>
  <c r="F49" i="30" l="1"/>
  <c r="DB3" i="31" s="1"/>
  <c r="DB110" i="31" s="1"/>
  <c r="A56" i="17"/>
  <c r="H54" i="39" s="1"/>
  <c r="D55" i="17"/>
  <c r="K53" i="39" s="1"/>
  <c r="C55" i="17"/>
  <c r="J53" i="39" s="1"/>
  <c r="B55" i="17"/>
  <c r="I53" i="39" s="1"/>
  <c r="D49" i="30"/>
  <c r="E49" i="30"/>
  <c r="B50" i="30"/>
  <c r="A50" i="30" s="1"/>
  <c r="F50" i="30" l="1"/>
  <c r="DC3" i="31" s="1"/>
  <c r="DC110" i="31" s="1"/>
  <c r="A57" i="17"/>
  <c r="H55" i="39" s="1"/>
  <c r="D56" i="17"/>
  <c r="K54" i="39" s="1"/>
  <c r="C56" i="17"/>
  <c r="J54" i="39" s="1"/>
  <c r="B56" i="17"/>
  <c r="I54" i="39" s="1"/>
  <c r="D50" i="30"/>
  <c r="E50" i="30"/>
  <c r="B51" i="30"/>
  <c r="A51" i="30" s="1"/>
  <c r="F51" i="30" l="1"/>
  <c r="DD3" i="31" s="1"/>
  <c r="DD110" i="31" s="1"/>
  <c r="A58" i="17"/>
  <c r="H56" i="39" s="1"/>
  <c r="D57" i="17"/>
  <c r="K55" i="39" s="1"/>
  <c r="B57" i="17"/>
  <c r="I55" i="39" s="1"/>
  <c r="C57" i="17"/>
  <c r="J55" i="39" s="1"/>
  <c r="D51" i="30"/>
  <c r="E51" i="30"/>
  <c r="B52" i="30"/>
  <c r="A52" i="30" s="1"/>
  <c r="F52" i="30" l="1"/>
  <c r="DE3" i="31" s="1"/>
  <c r="DE110" i="31" s="1"/>
  <c r="A59" i="17"/>
  <c r="H57" i="39" s="1"/>
  <c r="D58" i="17"/>
  <c r="K56" i="39" s="1"/>
  <c r="C58" i="17"/>
  <c r="J56" i="39" s="1"/>
  <c r="B58" i="17"/>
  <c r="I56" i="39" s="1"/>
  <c r="D52" i="30"/>
  <c r="E52" i="30"/>
  <c r="B53" i="30"/>
  <c r="A53" i="30" s="1"/>
  <c r="F53" i="30" l="1"/>
  <c r="DF3" i="31" s="1"/>
  <c r="DF110" i="31" s="1"/>
  <c r="A60" i="17"/>
  <c r="H58" i="39" s="1"/>
  <c r="D59" i="17"/>
  <c r="K57" i="39" s="1"/>
  <c r="B59" i="17"/>
  <c r="I57" i="39" s="1"/>
  <c r="C59" i="17"/>
  <c r="J57" i="39" s="1"/>
  <c r="D53" i="30"/>
  <c r="E53" i="30"/>
  <c r="B54" i="30"/>
  <c r="A54" i="30" s="1"/>
  <c r="F54" i="30" l="1"/>
  <c r="DG3" i="31" s="1"/>
  <c r="DG110" i="31" s="1"/>
  <c r="A61" i="17"/>
  <c r="H59" i="39" s="1"/>
  <c r="D60" i="17"/>
  <c r="K58" i="39" s="1"/>
  <c r="C60" i="17"/>
  <c r="J58" i="39" s="1"/>
  <c r="B60" i="17"/>
  <c r="I58" i="39" s="1"/>
  <c r="D54" i="30"/>
  <c r="E54" i="30"/>
  <c r="B55" i="30"/>
  <c r="A55" i="30" s="1"/>
  <c r="F55" i="30" l="1"/>
  <c r="DH3" i="31" s="1"/>
  <c r="DH110" i="31" s="1"/>
  <c r="A62" i="17"/>
  <c r="H60" i="39" s="1"/>
  <c r="D61" i="17"/>
  <c r="K59" i="39" s="1"/>
  <c r="B61" i="17"/>
  <c r="I59" i="39" s="1"/>
  <c r="C61" i="17"/>
  <c r="J59" i="39" s="1"/>
  <c r="D55" i="30"/>
  <c r="E55" i="30"/>
  <c r="B56" i="30"/>
  <c r="A56" i="30" s="1"/>
  <c r="F56" i="30" l="1"/>
  <c r="DI3" i="31" s="1"/>
  <c r="DI110" i="31" s="1"/>
  <c r="A63" i="17"/>
  <c r="H61" i="39" s="1"/>
  <c r="D62" i="17"/>
  <c r="K60" i="39" s="1"/>
  <c r="B62" i="17"/>
  <c r="I60" i="39" s="1"/>
  <c r="C62" i="17"/>
  <c r="J60" i="39" s="1"/>
  <c r="E56" i="30"/>
  <c r="D56" i="30"/>
  <c r="B57" i="30"/>
  <c r="F57" i="30" l="1"/>
  <c r="DJ3" i="31" s="1"/>
  <c r="DJ110" i="31" s="1"/>
  <c r="A57" i="30"/>
  <c r="I63" i="30" s="1"/>
  <c r="A64" i="17"/>
  <c r="H62" i="39" s="1"/>
  <c r="D63" i="17"/>
  <c r="K61" i="39" s="1"/>
  <c r="B63" i="17"/>
  <c r="I61" i="39" s="1"/>
  <c r="C63" i="17"/>
  <c r="J61" i="39" s="1"/>
  <c r="H6" i="30"/>
  <c r="L95" i="30"/>
  <c r="H64" i="30"/>
  <c r="N33" i="30"/>
  <c r="N54" i="30"/>
  <c r="H105" i="30"/>
  <c r="P23" i="30"/>
  <c r="H82" i="30"/>
  <c r="K36" i="30"/>
  <c r="J58" i="30"/>
  <c r="P46" i="30"/>
  <c r="N47" i="30"/>
  <c r="J91" i="30"/>
  <c r="K37" i="30"/>
  <c r="P98" i="30"/>
  <c r="H36" i="30"/>
  <c r="N81" i="30"/>
  <c r="K34" i="30"/>
  <c r="H53" i="30"/>
  <c r="N12" i="30"/>
  <c r="J99" i="30"/>
  <c r="K76" i="30"/>
  <c r="P83" i="30"/>
  <c r="J20" i="30"/>
  <c r="K9" i="30"/>
  <c r="K57" i="30"/>
  <c r="K28" i="30"/>
  <c r="N79" i="30"/>
  <c r="H26" i="30"/>
  <c r="P14" i="30"/>
  <c r="J24" i="30"/>
  <c r="N29" i="30"/>
  <c r="P77" i="30"/>
  <c r="J32" i="30"/>
  <c r="K69" i="30"/>
  <c r="J45" i="30"/>
  <c r="N32" i="30"/>
  <c r="L7" i="30"/>
  <c r="N102" i="30"/>
  <c r="P54" i="30"/>
  <c r="J42" i="30"/>
  <c r="K35" i="30"/>
  <c r="J18" i="30"/>
  <c r="N28" i="30"/>
  <c r="P66" i="30"/>
  <c r="N64" i="30"/>
  <c r="L86" i="30"/>
  <c r="P42" i="30"/>
  <c r="N37" i="30"/>
  <c r="N65" i="30"/>
  <c r="N36" i="30"/>
  <c r="L13" i="30"/>
  <c r="L83" i="30"/>
  <c r="K75" i="30"/>
  <c r="L30" i="30"/>
  <c r="N95" i="30"/>
  <c r="N76" i="30"/>
  <c r="P20" i="30"/>
  <c r="N83" i="30"/>
  <c r="L51" i="30"/>
  <c r="J69" i="30"/>
  <c r="J38" i="30"/>
  <c r="L32" i="30"/>
  <c r="K20" i="30"/>
  <c r="J90" i="30"/>
  <c r="H25" i="30"/>
  <c r="N72" i="30"/>
  <c r="K11" i="30"/>
  <c r="N9" i="30"/>
  <c r="H92" i="30"/>
  <c r="H45" i="30"/>
  <c r="P94" i="30"/>
  <c r="L96" i="30"/>
  <c r="K45" i="30"/>
  <c r="K78" i="30"/>
  <c r="N67" i="30"/>
  <c r="P8" i="30"/>
  <c r="N92" i="30"/>
  <c r="L33" i="30"/>
  <c r="K104" i="30"/>
  <c r="L16" i="30"/>
  <c r="N104" i="30"/>
  <c r="P48" i="30"/>
  <c r="L68" i="30"/>
  <c r="P75" i="30"/>
  <c r="K52" i="30"/>
  <c r="J39" i="30"/>
  <c r="H104" i="30"/>
  <c r="L75" i="30"/>
  <c r="H78" i="30"/>
  <c r="L39" i="30"/>
  <c r="K46" i="30"/>
  <c r="H80" i="30"/>
  <c r="L101" i="30"/>
  <c r="N55" i="30"/>
  <c r="K26" i="30"/>
  <c r="P88" i="30"/>
  <c r="K33" i="30"/>
  <c r="J79" i="30"/>
  <c r="J56" i="30"/>
  <c r="N34" i="30"/>
  <c r="L36" i="30"/>
  <c r="J10" i="30"/>
  <c r="L38" i="30"/>
  <c r="P61" i="30"/>
  <c r="N25" i="30"/>
  <c r="H94" i="30"/>
  <c r="P79" i="30"/>
  <c r="J60" i="30"/>
  <c r="J67" i="30"/>
  <c r="K65" i="30"/>
  <c r="H48" i="30"/>
  <c r="L93" i="30"/>
  <c r="L61" i="30"/>
  <c r="H42" i="30"/>
  <c r="N103" i="30"/>
  <c r="H79" i="30"/>
  <c r="J54" i="30"/>
  <c r="H41" i="30"/>
  <c r="P70" i="30"/>
  <c r="L48" i="30"/>
  <c r="J81" i="30"/>
  <c r="L105" i="30"/>
  <c r="H39" i="30"/>
  <c r="K41" i="30"/>
  <c r="N20" i="30"/>
  <c r="H84" i="30"/>
  <c r="H101" i="30"/>
  <c r="L71" i="30"/>
  <c r="N62" i="30"/>
  <c r="P26" i="30"/>
  <c r="P27" i="30"/>
  <c r="K23" i="30"/>
  <c r="J25" i="30"/>
  <c r="N101" i="30"/>
  <c r="J19" i="30"/>
  <c r="P86" i="30"/>
  <c r="P17" i="30"/>
  <c r="H62" i="30"/>
  <c r="P39" i="30"/>
  <c r="N14" i="30"/>
  <c r="P52" i="30"/>
  <c r="H87" i="30"/>
  <c r="K70" i="30"/>
  <c r="H9" i="30"/>
  <c r="H15" i="30"/>
  <c r="H77" i="30"/>
  <c r="H63" i="30"/>
  <c r="K89" i="30"/>
  <c r="K25" i="30"/>
  <c r="P21" i="30"/>
  <c r="K64" i="30"/>
  <c r="K85" i="30"/>
  <c r="P89" i="30"/>
  <c r="L28" i="30"/>
  <c r="L80" i="30"/>
  <c r="P58" i="30"/>
  <c r="J82" i="30"/>
  <c r="J52" i="30"/>
  <c r="L49" i="30"/>
  <c r="P68" i="30"/>
  <c r="P24" i="30"/>
  <c r="K19" i="30"/>
  <c r="J8" i="30"/>
  <c r="L88" i="30"/>
  <c r="P90" i="30"/>
  <c r="J51" i="30"/>
  <c r="L14" i="30"/>
  <c r="L19" i="30"/>
  <c r="K53" i="30"/>
  <c r="P93" i="30"/>
  <c r="H24" i="30"/>
  <c r="L15" i="30"/>
  <c r="N87" i="30"/>
  <c r="N86" i="30"/>
  <c r="H43" i="30"/>
  <c r="P15" i="30"/>
  <c r="K12" i="30"/>
  <c r="P10" i="30"/>
  <c r="P84" i="30"/>
  <c r="J36" i="30"/>
  <c r="P31" i="30"/>
  <c r="J101" i="30"/>
  <c r="J28" i="30"/>
  <c r="L21" i="30"/>
  <c r="K87" i="30"/>
  <c r="K15" i="30"/>
  <c r="H58" i="30"/>
  <c r="H27" i="30"/>
  <c r="P51" i="30"/>
  <c r="K14" i="30"/>
  <c r="H95" i="30"/>
  <c r="L54" i="30"/>
  <c r="K27" i="30"/>
  <c r="K60" i="30"/>
  <c r="N44" i="30"/>
  <c r="H13" i="30"/>
  <c r="L20" i="30"/>
  <c r="K58" i="30"/>
  <c r="L82" i="30"/>
  <c r="H47" i="30"/>
  <c r="J105" i="30"/>
  <c r="L57" i="30"/>
  <c r="K72" i="30"/>
  <c r="P72" i="30"/>
  <c r="H16" i="30"/>
  <c r="K105" i="30"/>
  <c r="P32" i="30"/>
  <c r="H19" i="30"/>
  <c r="L90" i="30"/>
  <c r="N77" i="30"/>
  <c r="H22" i="30"/>
  <c r="H33" i="30"/>
  <c r="P55" i="30"/>
  <c r="K42" i="30"/>
  <c r="N31" i="30"/>
  <c r="N99" i="30"/>
  <c r="J48" i="30"/>
  <c r="N21" i="30"/>
  <c r="L92" i="30"/>
  <c r="H83" i="30"/>
  <c r="J46" i="30"/>
  <c r="L98" i="30"/>
  <c r="H40" i="30"/>
  <c r="N24" i="30"/>
  <c r="K83" i="30"/>
  <c r="J29" i="30"/>
  <c r="P13" i="30"/>
  <c r="J76" i="30"/>
  <c r="N50" i="30"/>
  <c r="J73" i="30"/>
  <c r="L27" i="30"/>
  <c r="J55" i="30"/>
  <c r="P16" i="30"/>
  <c r="J104" i="30"/>
  <c r="N43" i="30"/>
  <c r="K22" i="30"/>
  <c r="L34" i="30"/>
  <c r="H69" i="30"/>
  <c r="J17" i="30"/>
  <c r="J26" i="30"/>
  <c r="H55" i="30"/>
  <c r="J75" i="30"/>
  <c r="H12" i="30"/>
  <c r="N41" i="30"/>
  <c r="K84" i="30"/>
  <c r="J59" i="30"/>
  <c r="P81" i="30"/>
  <c r="J9" i="30"/>
  <c r="K80" i="30"/>
  <c r="L77" i="30"/>
  <c r="L42" i="30"/>
  <c r="H14" i="30"/>
  <c r="L31" i="30"/>
  <c r="P59" i="30"/>
  <c r="H7" i="30"/>
  <c r="J88" i="30"/>
  <c r="P12" i="30"/>
  <c r="J89" i="30"/>
  <c r="L89" i="30"/>
  <c r="K18" i="30"/>
  <c r="K99" i="30"/>
  <c r="K17" i="30"/>
  <c r="H44" i="30"/>
  <c r="K97" i="30"/>
  <c r="N80" i="30"/>
  <c r="J66" i="30"/>
  <c r="J31" i="30"/>
  <c r="J40" i="30"/>
  <c r="H29" i="30"/>
  <c r="J65" i="30"/>
  <c r="N69" i="30"/>
  <c r="H11" i="30"/>
  <c r="L87" i="30"/>
  <c r="K54" i="30"/>
  <c r="J61" i="30"/>
  <c r="H72" i="30"/>
  <c r="L69" i="30"/>
  <c r="N98" i="30"/>
  <c r="K102" i="30"/>
  <c r="P30" i="30"/>
  <c r="N51" i="30"/>
  <c r="P50" i="30"/>
  <c r="P43" i="30"/>
  <c r="J77" i="30"/>
  <c r="L63" i="30"/>
  <c r="H91" i="30"/>
  <c r="L79" i="30"/>
  <c r="P92" i="30"/>
  <c r="N71" i="30"/>
  <c r="H46" i="30"/>
  <c r="H18" i="30"/>
  <c r="L37" i="30"/>
  <c r="H34" i="30"/>
  <c r="L17" i="30"/>
  <c r="J37" i="30"/>
  <c r="H100" i="30"/>
  <c r="N93" i="30"/>
  <c r="N89" i="30"/>
  <c r="J83" i="30"/>
  <c r="K16" i="30"/>
  <c r="J14" i="30"/>
  <c r="P60" i="30"/>
  <c r="H32" i="30"/>
  <c r="J57" i="30"/>
  <c r="N22" i="30"/>
  <c r="K50" i="30"/>
  <c r="L58" i="30"/>
  <c r="H103" i="30"/>
  <c r="P91" i="30"/>
  <c r="P63" i="30"/>
  <c r="H102" i="30"/>
  <c r="N42" i="30"/>
  <c r="J86" i="30"/>
  <c r="K67" i="30"/>
  <c r="H89" i="30"/>
  <c r="J11" i="30"/>
  <c r="J13" i="30"/>
  <c r="H99" i="30"/>
  <c r="H23" i="30"/>
  <c r="H81" i="30"/>
  <c r="P69" i="30"/>
  <c r="N13" i="30"/>
  <c r="L50" i="30"/>
  <c r="K74" i="30"/>
  <c r="L8" i="30"/>
  <c r="J16" i="30"/>
  <c r="P18" i="30"/>
  <c r="H17" i="30"/>
  <c r="P99" i="30"/>
  <c r="L29" i="30"/>
  <c r="N23" i="30"/>
  <c r="L94" i="30"/>
  <c r="J15" i="30"/>
  <c r="L12" i="30"/>
  <c r="K40" i="30"/>
  <c r="H66" i="30"/>
  <c r="N57" i="30"/>
  <c r="N88" i="30"/>
  <c r="J70" i="30"/>
  <c r="N27" i="30"/>
  <c r="N58" i="30"/>
  <c r="K7" i="30"/>
  <c r="P38" i="30"/>
  <c r="K62" i="30"/>
  <c r="H71" i="30"/>
  <c r="L102" i="30"/>
  <c r="P56" i="30"/>
  <c r="N66" i="30"/>
  <c r="N56" i="30"/>
  <c r="K103" i="30"/>
  <c r="H21" i="30"/>
  <c r="N90" i="30"/>
  <c r="N17" i="30"/>
  <c r="L24" i="30"/>
  <c r="N10" i="30"/>
  <c r="H35" i="30"/>
  <c r="K63" i="30"/>
  <c r="N19" i="30"/>
  <c r="L11" i="30"/>
  <c r="N61" i="30"/>
  <c r="N78" i="30"/>
  <c r="J94" i="30"/>
  <c r="L59" i="30"/>
  <c r="K49" i="30"/>
  <c r="N75" i="30"/>
  <c r="L55" i="30"/>
  <c r="J95" i="30"/>
  <c r="H61" i="30"/>
  <c r="J21" i="30"/>
  <c r="P40" i="30"/>
  <c r="K13" i="30"/>
  <c r="N7" i="30"/>
  <c r="H51" i="30"/>
  <c r="P47" i="30"/>
  <c r="N40" i="30"/>
  <c r="K44" i="30"/>
  <c r="H93" i="30"/>
  <c r="P96" i="30"/>
  <c r="J103" i="30"/>
  <c r="J71" i="30"/>
  <c r="P73" i="30"/>
  <c r="J41" i="30"/>
  <c r="N15" i="30"/>
  <c r="N82" i="30"/>
  <c r="J96" i="30"/>
  <c r="K48" i="30"/>
  <c r="N63" i="30"/>
  <c r="L78" i="30"/>
  <c r="H28" i="30"/>
  <c r="P36" i="30"/>
  <c r="J47" i="30"/>
  <c r="N60" i="30"/>
  <c r="K101" i="30"/>
  <c r="J12" i="30"/>
  <c r="J7" i="30"/>
  <c r="P64" i="30"/>
  <c r="H30" i="30"/>
  <c r="K30" i="30"/>
  <c r="H31" i="30"/>
  <c r="N30" i="30"/>
  <c r="H54" i="30"/>
  <c r="H70" i="30"/>
  <c r="N59" i="30"/>
  <c r="L43" i="30"/>
  <c r="J53" i="30"/>
  <c r="H73" i="30"/>
  <c r="H85" i="30"/>
  <c r="L97" i="30"/>
  <c r="J100" i="30"/>
  <c r="P19" i="30"/>
  <c r="J80" i="30"/>
  <c r="J63" i="30"/>
  <c r="H57" i="30"/>
  <c r="N94" i="30"/>
  <c r="N18" i="30"/>
  <c r="N16" i="30"/>
  <c r="P41" i="30"/>
  <c r="N26" i="30"/>
  <c r="L44" i="30"/>
  <c r="K66" i="30"/>
  <c r="K82" i="30"/>
  <c r="J22" i="30"/>
  <c r="H52" i="30"/>
  <c r="L41" i="30"/>
  <c r="H56" i="30"/>
  <c r="L103" i="30"/>
  <c r="N74" i="30"/>
  <c r="L60" i="30"/>
  <c r="H76" i="30"/>
  <c r="H68" i="30"/>
  <c r="P62" i="30"/>
  <c r="N48" i="30"/>
  <c r="N73" i="30"/>
  <c r="P67" i="30"/>
  <c r="L66" i="30"/>
  <c r="N35" i="30"/>
  <c r="L56" i="30"/>
  <c r="J43" i="30"/>
  <c r="J49" i="30"/>
  <c r="J35" i="30"/>
  <c r="P25" i="30"/>
  <c r="K100" i="30"/>
  <c r="J34" i="30"/>
  <c r="J97" i="30"/>
  <c r="L46" i="30"/>
  <c r="H86" i="30"/>
  <c r="H74" i="30"/>
  <c r="P97" i="30"/>
  <c r="H10" i="30"/>
  <c r="P95" i="30"/>
  <c r="H20" i="30"/>
  <c r="P28" i="30"/>
  <c r="P82" i="30"/>
  <c r="K81" i="30"/>
  <c r="K96" i="30"/>
  <c r="N105" i="30"/>
  <c r="L53" i="30"/>
  <c r="J23" i="30"/>
  <c r="H49" i="30"/>
  <c r="L9" i="30"/>
  <c r="P7" i="30"/>
  <c r="N38" i="30"/>
  <c r="L64" i="30"/>
  <c r="K51" i="30"/>
  <c r="N52" i="30"/>
  <c r="L25" i="30"/>
  <c r="H38" i="30"/>
  <c r="K68" i="30"/>
  <c r="P34" i="30"/>
  <c r="J30" i="30"/>
  <c r="L23" i="30"/>
  <c r="J84" i="30"/>
  <c r="J74" i="30"/>
  <c r="K94" i="30"/>
  <c r="P103" i="30"/>
  <c r="J78" i="30"/>
  <c r="P105" i="30"/>
  <c r="K95" i="30"/>
  <c r="P9" i="30"/>
  <c r="J102" i="30"/>
  <c r="K31" i="30"/>
  <c r="H67" i="30"/>
  <c r="K47" i="30"/>
  <c r="H90" i="30"/>
  <c r="K43" i="30"/>
  <c r="L104" i="30"/>
  <c r="L35" i="30"/>
  <c r="N96" i="30"/>
  <c r="L85" i="30"/>
  <c r="L100" i="30"/>
  <c r="H88" i="30"/>
  <c r="N8" i="30"/>
  <c r="J68" i="30"/>
  <c r="L10" i="30"/>
  <c r="K92" i="30"/>
  <c r="K73" i="30"/>
  <c r="H8" i="30"/>
  <c r="P37" i="30"/>
  <c r="J44" i="30"/>
  <c r="H50" i="30"/>
  <c r="J98" i="30"/>
  <c r="L76" i="30"/>
  <c r="L73" i="30"/>
  <c r="K56" i="30"/>
  <c r="P102" i="30"/>
  <c r="L26" i="30"/>
  <c r="K86" i="30"/>
  <c r="L22" i="30"/>
  <c r="H37" i="30"/>
  <c r="P100" i="30"/>
  <c r="K8" i="30"/>
  <c r="P45" i="30"/>
  <c r="N70" i="30"/>
  <c r="L18" i="30"/>
  <c r="P29" i="30"/>
  <c r="L40" i="30"/>
  <c r="P22" i="30"/>
  <c r="L52" i="30"/>
  <c r="N46" i="30"/>
  <c r="J93" i="30"/>
  <c r="K90" i="30"/>
  <c r="K10" i="30"/>
  <c r="P35" i="30"/>
  <c r="K93" i="30"/>
  <c r="L74" i="30"/>
  <c r="L72" i="30"/>
  <c r="H96" i="30"/>
  <c r="N68" i="30"/>
  <c r="N45" i="30"/>
  <c r="N84" i="30"/>
  <c r="P74" i="30"/>
  <c r="J85" i="30"/>
  <c r="N97" i="30"/>
  <c r="N49" i="30"/>
  <c r="J92" i="30"/>
  <c r="P76" i="30"/>
  <c r="N53" i="30"/>
  <c r="K24" i="30"/>
  <c r="N85" i="30"/>
  <c r="P49" i="30"/>
  <c r="L91" i="30"/>
  <c r="K71" i="30"/>
  <c r="P57" i="30"/>
  <c r="L45" i="30"/>
  <c r="L84" i="30"/>
  <c r="J27" i="30"/>
  <c r="L67" i="30"/>
  <c r="J33" i="30"/>
  <c r="K79" i="30"/>
  <c r="K88" i="30"/>
  <c r="J62" i="30"/>
  <c r="H75" i="30"/>
  <c r="K39" i="30"/>
  <c r="N100" i="30"/>
  <c r="L65" i="30"/>
  <c r="P87" i="30"/>
  <c r="K61" i="30"/>
  <c r="K91" i="30"/>
  <c r="K77" i="30"/>
  <c r="P44" i="30"/>
  <c r="J64" i="30"/>
  <c r="P101" i="30"/>
  <c r="K32" i="30"/>
  <c r="P80" i="30"/>
  <c r="K21" i="30"/>
  <c r="P65" i="30"/>
  <c r="P78" i="30"/>
  <c r="K55" i="30"/>
  <c r="N39" i="30"/>
  <c r="P11" i="30"/>
  <c r="P33" i="30"/>
  <c r="H98" i="30"/>
  <c r="P104" i="30"/>
  <c r="L47" i="30"/>
  <c r="K38" i="30"/>
  <c r="N91" i="30"/>
  <c r="H59" i="30"/>
  <c r="P71" i="30"/>
  <c r="L99" i="30"/>
  <c r="J87" i="30"/>
  <c r="L81" i="30"/>
  <c r="K29" i="30"/>
  <c r="H97" i="30"/>
  <c r="J72" i="30"/>
  <c r="H65" i="30"/>
  <c r="K98" i="30"/>
  <c r="L62" i="30"/>
  <c r="J50" i="30"/>
  <c r="K59" i="30"/>
  <c r="P53" i="30"/>
  <c r="L70" i="30"/>
  <c r="N11" i="30"/>
  <c r="P85" i="30"/>
  <c r="H60" i="30"/>
  <c r="P6" i="30"/>
  <c r="N6" i="30"/>
  <c r="L6" i="30"/>
  <c r="E57" i="30"/>
  <c r="J6" i="30"/>
  <c r="D57" i="30"/>
  <c r="M6" i="30" l="1"/>
  <c r="O6" i="30"/>
  <c r="I7" i="30"/>
  <c r="I6" i="30"/>
  <c r="I8" i="30"/>
  <c r="Q46" i="30"/>
  <c r="Q73" i="30"/>
  <c r="Q97" i="30"/>
  <c r="Q44" i="30"/>
  <c r="Q31" i="30"/>
  <c r="Q89" i="30"/>
  <c r="Q22" i="30"/>
  <c r="Q61" i="30"/>
  <c r="O79" i="30"/>
  <c r="Q20" i="30"/>
  <c r="Q84" i="30"/>
  <c r="O13" i="30"/>
  <c r="Q23" i="30"/>
  <c r="Q47" i="30"/>
  <c r="O85" i="30"/>
  <c r="Q19" i="30"/>
  <c r="Q38" i="30"/>
  <c r="Q104" i="30"/>
  <c r="Q80" i="30"/>
  <c r="Q11" i="30"/>
  <c r="Q56" i="30"/>
  <c r="Q95" i="30"/>
  <c r="Q76" i="30"/>
  <c r="Q103" i="30"/>
  <c r="Q50" i="30"/>
  <c r="Q12" i="30"/>
  <c r="Q72" i="30"/>
  <c r="Q15" i="30"/>
  <c r="Q67" i="30"/>
  <c r="Q101" i="30"/>
  <c r="Q18" i="30"/>
  <c r="O97" i="30"/>
  <c r="Q87" i="30"/>
  <c r="Q81" i="30"/>
  <c r="Q85" i="30"/>
  <c r="Q57" i="30"/>
  <c r="Q59" i="30"/>
  <c r="Q53" i="30"/>
  <c r="Q64" i="30"/>
  <c r="Q42" i="30"/>
  <c r="Q26" i="30"/>
  <c r="Q13" i="30"/>
  <c r="Q48" i="30"/>
  <c r="Q28" i="30"/>
  <c r="Q78" i="30"/>
  <c r="Q60" i="30"/>
  <c r="Q30" i="30"/>
  <c r="Q91" i="30"/>
  <c r="Q74" i="30"/>
  <c r="Q43" i="30"/>
  <c r="Q24" i="30"/>
  <c r="Q86" i="30"/>
  <c r="Q37" i="30"/>
  <c r="Q92" i="30"/>
  <c r="Q16" i="30"/>
  <c r="Q17" i="30"/>
  <c r="Q75" i="30"/>
  <c r="Q34" i="30"/>
  <c r="Q21" i="30"/>
  <c r="Q66" i="30"/>
  <c r="Q68" i="30"/>
  <c r="Q14" i="30"/>
  <c r="Q63" i="30"/>
  <c r="Q93" i="30"/>
  <c r="Q71" i="30"/>
  <c r="Q62" i="30"/>
  <c r="Q79" i="30"/>
  <c r="Q49" i="30"/>
  <c r="Q10" i="30"/>
  <c r="Q90" i="30"/>
  <c r="Q36" i="30"/>
  <c r="Q58" i="30"/>
  <c r="Q45" i="30"/>
  <c r="Q55" i="30"/>
  <c r="Q41" i="30"/>
  <c r="Q82" i="30"/>
  <c r="Q39" i="30"/>
  <c r="Q102" i="30"/>
  <c r="Q100" i="30"/>
  <c r="Q54" i="30"/>
  <c r="Q83" i="30"/>
  <c r="Q27" i="30"/>
  <c r="Q51" i="30"/>
  <c r="Q96" i="30"/>
  <c r="Q33" i="30"/>
  <c r="Q98" i="30"/>
  <c r="Q77" i="30"/>
  <c r="Q105" i="30"/>
  <c r="Q9" i="30"/>
  <c r="Q88" i="30"/>
  <c r="O43" i="30"/>
  <c r="Q32" i="30"/>
  <c r="Q40" i="30"/>
  <c r="Q25" i="30"/>
  <c r="Q99" i="30"/>
  <c r="Q52" i="30"/>
  <c r="Q29" i="30"/>
  <c r="Q94" i="30"/>
  <c r="Q70" i="30"/>
  <c r="Q65" i="30"/>
  <c r="Q35" i="30"/>
  <c r="Q7" i="30"/>
  <c r="Q69" i="30"/>
  <c r="Q8" i="30"/>
  <c r="O31" i="30"/>
  <c r="O89" i="30"/>
  <c r="O74" i="30"/>
  <c r="O48" i="30"/>
  <c r="O33" i="30"/>
  <c r="O15" i="30"/>
  <c r="O32" i="30"/>
  <c r="O21" i="30"/>
  <c r="O51" i="30"/>
  <c r="O29" i="30"/>
  <c r="O61" i="30"/>
  <c r="O42" i="30"/>
  <c r="O45" i="30"/>
  <c r="O66" i="30"/>
  <c r="O40" i="30"/>
  <c r="O39" i="30"/>
  <c r="O71" i="30"/>
  <c r="O90" i="30"/>
  <c r="O16" i="30"/>
  <c r="O54" i="30"/>
  <c r="O28" i="30"/>
  <c r="O96" i="30"/>
  <c r="O82" i="30"/>
  <c r="O73" i="30"/>
  <c r="Q6" i="30"/>
  <c r="O99" i="30"/>
  <c r="O91" i="30"/>
  <c r="O83" i="30"/>
  <c r="O19" i="30"/>
  <c r="O88" i="30"/>
  <c r="O76" i="30"/>
  <c r="O37" i="30"/>
  <c r="O10" i="30"/>
  <c r="O22" i="30"/>
  <c r="O75" i="30"/>
  <c r="O12" i="30"/>
  <c r="O87" i="30"/>
  <c r="O57" i="30"/>
  <c r="O81" i="30"/>
  <c r="O36" i="30"/>
  <c r="O24" i="30"/>
  <c r="O70" i="30"/>
  <c r="O25" i="30"/>
  <c r="O84" i="30"/>
  <c r="O38" i="30"/>
  <c r="O50" i="30"/>
  <c r="O41" i="30"/>
  <c r="O94" i="30"/>
  <c r="O95" i="30"/>
  <c r="O46" i="30"/>
  <c r="O101" i="30"/>
  <c r="O9" i="30"/>
  <c r="O67" i="30"/>
  <c r="O105" i="30"/>
  <c r="O100" i="30"/>
  <c r="O58" i="30"/>
  <c r="O60" i="30"/>
  <c r="O7" i="30"/>
  <c r="O14" i="30"/>
  <c r="O77" i="30"/>
  <c r="O93" i="30"/>
  <c r="O65" i="30"/>
  <c r="O52" i="30"/>
  <c r="O27" i="30"/>
  <c r="O64" i="30"/>
  <c r="O102" i="30"/>
  <c r="O35" i="30"/>
  <c r="O68" i="30"/>
  <c r="O56" i="30"/>
  <c r="O34" i="30"/>
  <c r="O98" i="30"/>
  <c r="O49" i="30"/>
  <c r="O86" i="30"/>
  <c r="O20" i="30"/>
  <c r="O23" i="30"/>
  <c r="O59" i="30"/>
  <c r="O26" i="30"/>
  <c r="O55" i="30"/>
  <c r="O47" i="30"/>
  <c r="O63" i="30"/>
  <c r="O103" i="30"/>
  <c r="O72" i="30"/>
  <c r="O80" i="30"/>
  <c r="O104" i="30"/>
  <c r="O17" i="30"/>
  <c r="O18" i="30"/>
  <c r="O62" i="30"/>
  <c r="O69" i="30"/>
  <c r="O44" i="30"/>
  <c r="O8" i="30"/>
  <c r="O53" i="30"/>
  <c r="O92" i="30"/>
  <c r="O30" i="30"/>
  <c r="O11" i="30"/>
  <c r="O78" i="30"/>
  <c r="M8" i="30"/>
  <c r="M91" i="30"/>
  <c r="M79" i="30"/>
  <c r="M21" i="30"/>
  <c r="M37" i="30"/>
  <c r="M49" i="30"/>
  <c r="M103" i="30"/>
  <c r="M50" i="30"/>
  <c r="M20" i="30"/>
  <c r="M101" i="30"/>
  <c r="M77" i="30"/>
  <c r="M68" i="30"/>
  <c r="M100" i="30"/>
  <c r="M60" i="30"/>
  <c r="M98" i="30"/>
  <c r="M29" i="30"/>
  <c r="M42" i="30"/>
  <c r="M63" i="30"/>
  <c r="M59" i="30"/>
  <c r="M33" i="30"/>
  <c r="M35" i="30"/>
  <c r="M82" i="30"/>
  <c r="M94" i="30"/>
  <c r="M32" i="30"/>
  <c r="M26" i="30"/>
  <c r="M34" i="30"/>
  <c r="M16" i="30"/>
  <c r="M84" i="30"/>
  <c r="M57" i="30"/>
  <c r="M31" i="30"/>
  <c r="M89" i="30"/>
  <c r="M28" i="30"/>
  <c r="M96" i="30"/>
  <c r="M92" i="30"/>
  <c r="M65" i="30"/>
  <c r="M71" i="30"/>
  <c r="M56" i="30"/>
  <c r="M15" i="30"/>
  <c r="M9" i="30"/>
  <c r="M81" i="30"/>
  <c r="M52" i="30"/>
  <c r="M36" i="30"/>
  <c r="M38" i="30"/>
  <c r="M45" i="30"/>
  <c r="M73" i="30"/>
  <c r="M95" i="30"/>
  <c r="M87" i="30"/>
  <c r="M51" i="30"/>
  <c r="M97" i="30"/>
  <c r="M80" i="30"/>
  <c r="M19" i="30"/>
  <c r="M12" i="30"/>
  <c r="M76" i="30"/>
  <c r="M53" i="30"/>
  <c r="M44" i="30"/>
  <c r="M25" i="30"/>
  <c r="M27" i="30"/>
  <c r="M102" i="30"/>
  <c r="M90" i="30"/>
  <c r="M11" i="30"/>
  <c r="M72" i="30"/>
  <c r="M13" i="30"/>
  <c r="M43" i="30"/>
  <c r="M99" i="30"/>
  <c r="M58" i="30"/>
  <c r="M47" i="30"/>
  <c r="M46" i="30"/>
  <c r="M62" i="30"/>
  <c r="M24" i="30"/>
  <c r="M14" i="30"/>
  <c r="M66" i="30"/>
  <c r="M86" i="30"/>
  <c r="M30" i="30"/>
  <c r="M93" i="30"/>
  <c r="M22" i="30"/>
  <c r="M61" i="30"/>
  <c r="M88" i="30"/>
  <c r="M23" i="30"/>
  <c r="M39" i="30"/>
  <c r="M41" i="30"/>
  <c r="M67" i="30"/>
  <c r="M18" i="30"/>
  <c r="M10" i="30"/>
  <c r="M104" i="30"/>
  <c r="M55" i="30"/>
  <c r="M64" i="30"/>
  <c r="M7" i="30"/>
  <c r="M75" i="30"/>
  <c r="M54" i="30"/>
  <c r="M69" i="30"/>
  <c r="M17" i="30"/>
  <c r="M70" i="30"/>
  <c r="M40" i="30"/>
  <c r="M78" i="30"/>
  <c r="M83" i="30"/>
  <c r="M105" i="30"/>
  <c r="M85" i="30"/>
  <c r="M74" i="30"/>
  <c r="M48" i="30"/>
  <c r="K6" i="30"/>
  <c r="I55" i="30"/>
  <c r="I79" i="30"/>
  <c r="I97" i="30"/>
  <c r="I67" i="30"/>
  <c r="I64" i="30"/>
  <c r="I72" i="30"/>
  <c r="I37" i="30"/>
  <c r="I58" i="30"/>
  <c r="I40" i="30"/>
  <c r="I48" i="30"/>
  <c r="I62" i="30"/>
  <c r="I81" i="30"/>
  <c r="I82" i="30"/>
  <c r="I12" i="30"/>
  <c r="I19" i="30"/>
  <c r="I85" i="30"/>
  <c r="I46" i="30"/>
  <c r="I43" i="30"/>
  <c r="I54" i="30"/>
  <c r="I33" i="30"/>
  <c r="I34" i="30"/>
  <c r="I84" i="30"/>
  <c r="I16" i="30"/>
  <c r="I14" i="30"/>
  <c r="I77" i="30"/>
  <c r="I21" i="30"/>
  <c r="I56" i="30"/>
  <c r="I9" i="30"/>
  <c r="I32" i="30"/>
  <c r="I90" i="30"/>
  <c r="I53" i="30"/>
  <c r="I23" i="30"/>
  <c r="I91" i="30"/>
  <c r="I15" i="30"/>
  <c r="I68" i="30"/>
  <c r="I35" i="30"/>
  <c r="I80" i="30"/>
  <c r="I28" i="30"/>
  <c r="I102" i="30"/>
  <c r="I93" i="30"/>
  <c r="I70" i="30"/>
  <c r="I99" i="30"/>
  <c r="I59" i="30"/>
  <c r="I13" i="30"/>
  <c r="I76" i="30"/>
  <c r="I41" i="30"/>
  <c r="I96" i="30"/>
  <c r="I57" i="30"/>
  <c r="I29" i="30"/>
  <c r="I71" i="30"/>
  <c r="I22" i="30"/>
  <c r="I17" i="30"/>
  <c r="I95" i="30"/>
  <c r="I27" i="30"/>
  <c r="I44" i="30"/>
  <c r="I94" i="30"/>
  <c r="I61" i="30"/>
  <c r="I20" i="30"/>
  <c r="I89" i="30"/>
  <c r="I10" i="30"/>
  <c r="I98" i="30"/>
  <c r="I88" i="30"/>
  <c r="I38" i="30"/>
  <c r="I65" i="30"/>
  <c r="I18" i="30"/>
  <c r="I26" i="30"/>
  <c r="I83" i="30"/>
  <c r="I25" i="30"/>
  <c r="I24" i="30"/>
  <c r="I78" i="30"/>
  <c r="I75" i="30"/>
  <c r="I104" i="30"/>
  <c r="I86" i="30"/>
  <c r="I103" i="30"/>
  <c r="I60" i="30"/>
  <c r="I100" i="30"/>
  <c r="I74" i="30"/>
  <c r="I36" i="30"/>
  <c r="I51" i="30"/>
  <c r="I87" i="30"/>
  <c r="I47" i="30"/>
  <c r="I92" i="30"/>
  <c r="I73" i="30"/>
  <c r="I45" i="30"/>
  <c r="I11" i="30"/>
  <c r="I101" i="30"/>
  <c r="I52" i="30"/>
  <c r="I69" i="30"/>
  <c r="I66" i="30"/>
  <c r="I42" i="30"/>
  <c r="I105" i="30"/>
  <c r="I31" i="30"/>
  <c r="I39" i="30"/>
  <c r="I30" i="30"/>
  <c r="I49" i="30"/>
  <c r="I50" i="30"/>
  <c r="A65" i="17"/>
  <c r="H63" i="39" s="1"/>
  <c r="D64" i="17"/>
  <c r="K62" i="39" s="1"/>
  <c r="B64" i="17"/>
  <c r="I62" i="39" s="1"/>
  <c r="C64" i="17"/>
  <c r="J62" i="39" s="1"/>
  <c r="I2" i="30" l="1" a="1"/>
  <c r="I2" i="30" s="1"/>
  <c r="AK6" i="30"/>
  <c r="X5" i="31" s="1"/>
  <c r="BE81" i="30"/>
  <c r="AR89" i="30"/>
  <c r="AY70" i="30"/>
  <c r="AF46" i="30"/>
  <c r="BE6" i="30"/>
  <c r="AR5" i="31" s="1"/>
  <c r="BM72" i="30"/>
  <c r="AA104" i="30"/>
  <c r="Y84" i="30"/>
  <c r="BJ6" i="30"/>
  <c r="AI6" i="30"/>
  <c r="V5" i="31" s="1"/>
  <c r="BR6" i="30"/>
  <c r="BE5" i="31" s="1"/>
  <c r="BH6" i="30"/>
  <c r="Z6" i="30"/>
  <c r="M5" i="31" s="1"/>
  <c r="AU6" i="30"/>
  <c r="AH5" i="31" s="1"/>
  <c r="BP6" i="30"/>
  <c r="BC5" i="31" s="1"/>
  <c r="AB6" i="30"/>
  <c r="O5" i="31" s="1"/>
  <c r="AX6" i="30"/>
  <c r="AK5" i="31" s="1"/>
  <c r="AN104" i="30"/>
  <c r="BQ6" i="30"/>
  <c r="BD5" i="31" s="1"/>
  <c r="BT6" i="30"/>
  <c r="BG5" i="31" s="1"/>
  <c r="AY6" i="30"/>
  <c r="AL5" i="31" s="1"/>
  <c r="BB6" i="30"/>
  <c r="AO5" i="31" s="1"/>
  <c r="AR6" i="30"/>
  <c r="AE5" i="31" s="1"/>
  <c r="AS6" i="30"/>
  <c r="AF5" i="31" s="1"/>
  <c r="U6" i="30"/>
  <c r="H5" i="31" s="1"/>
  <c r="AD6" i="30"/>
  <c r="Q5" i="31" s="1"/>
  <c r="BS6" i="30"/>
  <c r="BF5" i="31" s="1"/>
  <c r="AM6" i="30"/>
  <c r="Z5" i="31" s="1"/>
  <c r="BA6" i="30"/>
  <c r="BO6" i="30"/>
  <c r="BB5" i="31" s="1"/>
  <c r="AF6" i="30"/>
  <c r="S5" i="31" s="1"/>
  <c r="AH6" i="30"/>
  <c r="U5" i="31" s="1"/>
  <c r="BF6" i="30"/>
  <c r="AS5" i="31" s="1"/>
  <c r="AE6" i="30"/>
  <c r="R5" i="31" s="1"/>
  <c r="BH71" i="30"/>
  <c r="AQ79" i="30"/>
  <c r="Y6" i="30"/>
  <c r="L5" i="31" s="1"/>
  <c r="AV6" i="30"/>
  <c r="AI5" i="31" s="1"/>
  <c r="AC6" i="30"/>
  <c r="P5" i="31" s="1"/>
  <c r="BG6" i="30"/>
  <c r="AT5" i="31" s="1"/>
  <c r="BD6" i="30"/>
  <c r="AQ5" i="31" s="1"/>
  <c r="AQ72" i="30"/>
  <c r="AN6" i="30"/>
  <c r="AA5" i="31" s="1"/>
  <c r="BC6" i="30"/>
  <c r="AP5" i="31" s="1"/>
  <c r="BK6" i="30"/>
  <c r="AX5" i="31" s="1"/>
  <c r="BM6" i="30"/>
  <c r="AZ5" i="31" s="1"/>
  <c r="AP6" i="30"/>
  <c r="AC5" i="31" s="1"/>
  <c r="AA6" i="30"/>
  <c r="N5" i="31" s="1"/>
  <c r="AZ6" i="30"/>
  <c r="AM5" i="31" s="1"/>
  <c r="BL6" i="30"/>
  <c r="AY5" i="31" s="1"/>
  <c r="AT6" i="30"/>
  <c r="AG5" i="31" s="1"/>
  <c r="AQ6" i="30"/>
  <c r="AD5" i="31" s="1"/>
  <c r="X6" i="30"/>
  <c r="K5" i="31" s="1"/>
  <c r="BH84" i="30"/>
  <c r="AX70" i="30"/>
  <c r="AP72" i="30"/>
  <c r="AO104" i="30"/>
  <c r="BO84" i="30"/>
  <c r="AX72" i="30"/>
  <c r="BG104" i="30"/>
  <c r="AL72" i="30"/>
  <c r="BP72" i="30"/>
  <c r="BI84" i="30"/>
  <c r="BN84" i="30"/>
  <c r="AW104" i="30"/>
  <c r="AB104" i="30"/>
  <c r="BB84" i="30"/>
  <c r="BM46" i="30"/>
  <c r="AY104" i="30"/>
  <c r="V72" i="30"/>
  <c r="AC84" i="30"/>
  <c r="AQ70" i="30"/>
  <c r="AZ84" i="30"/>
  <c r="BH72" i="30"/>
  <c r="AA72" i="30"/>
  <c r="AC72" i="30"/>
  <c r="BF72" i="30"/>
  <c r="AT72" i="30"/>
  <c r="AZ104" i="30"/>
  <c r="AJ104" i="30"/>
  <c r="BQ104" i="30"/>
  <c r="Y104" i="30"/>
  <c r="AH104" i="30"/>
  <c r="AQ104" i="30"/>
  <c r="AA48" i="30"/>
  <c r="AB84" i="30"/>
  <c r="AM72" i="30"/>
  <c r="BC84" i="30"/>
  <c r="AH84" i="30"/>
  <c r="Z46" i="30"/>
  <c r="AG72" i="30"/>
  <c r="BG72" i="30"/>
  <c r="BT72" i="30"/>
  <c r="U72" i="30"/>
  <c r="AI72" i="30"/>
  <c r="BK104" i="30"/>
  <c r="BP104" i="30"/>
  <c r="BO104" i="30"/>
  <c r="BE104" i="30"/>
  <c r="AP104" i="30"/>
  <c r="AN72" i="30"/>
  <c r="AI84" i="30"/>
  <c r="AS104" i="30"/>
  <c r="AP84" i="30"/>
  <c r="BI72" i="30"/>
  <c r="AM84" i="30"/>
  <c r="BD84" i="30"/>
  <c r="AI46" i="30"/>
  <c r="X72" i="30"/>
  <c r="Z72" i="30"/>
  <c r="AO72" i="30"/>
  <c r="BL72" i="30"/>
  <c r="BO72" i="30"/>
  <c r="AL104" i="30"/>
  <c r="BL104" i="30"/>
  <c r="BN104" i="30"/>
  <c r="W104" i="30"/>
  <c r="AD104" i="30"/>
  <c r="AW72" i="30"/>
  <c r="AR84" i="30"/>
  <c r="BC72" i="30"/>
  <c r="AQ84" i="30"/>
  <c r="BL84" i="30"/>
  <c r="AF72" i="30"/>
  <c r="W84" i="30"/>
  <c r="X84" i="30"/>
  <c r="AZ46" i="30"/>
  <c r="AS72" i="30"/>
  <c r="AB72" i="30"/>
  <c r="BJ72" i="30"/>
  <c r="BB72" i="30"/>
  <c r="BD104" i="30"/>
  <c r="BM104" i="30"/>
  <c r="AT104" i="30"/>
  <c r="BF104" i="30"/>
  <c r="AM104" i="30"/>
  <c r="BJ104" i="30"/>
  <c r="BF84" i="30"/>
  <c r="BG84" i="30"/>
  <c r="AD72" i="30"/>
  <c r="AA84" i="30"/>
  <c r="AF84" i="30"/>
  <c r="AL46" i="30"/>
  <c r="BE84" i="30"/>
  <c r="V84" i="30"/>
  <c r="AV46" i="30"/>
  <c r="BN72" i="30"/>
  <c r="BR72" i="30"/>
  <c r="AE72" i="30"/>
  <c r="AH72" i="30"/>
  <c r="AG104" i="30"/>
  <c r="AV104" i="30"/>
  <c r="U104" i="30"/>
  <c r="Z104" i="30"/>
  <c r="BC104" i="30"/>
  <c r="AC104" i="30"/>
  <c r="AV84" i="30"/>
  <c r="AL84" i="30"/>
  <c r="AO84" i="30"/>
  <c r="BQ72" i="30"/>
  <c r="BA72" i="30"/>
  <c r="BD72" i="30"/>
  <c r="BR104" i="30"/>
  <c r="BS104" i="30"/>
  <c r="BT70" i="30"/>
  <c r="BS70" i="30"/>
  <c r="AJ72" i="30"/>
  <c r="AU72" i="30"/>
  <c r="AU104" i="30"/>
  <c r="AK104" i="30"/>
  <c r="AF104" i="30"/>
  <c r="BI104" i="30"/>
  <c r="AS84" i="30"/>
  <c r="BR84" i="30"/>
  <c r="U70" i="30"/>
  <c r="AV72" i="30"/>
  <c r="BE72" i="30"/>
  <c r="AR72" i="30"/>
  <c r="BK72" i="30"/>
  <c r="Y72" i="30"/>
  <c r="BT104" i="30"/>
  <c r="AE104" i="30"/>
  <c r="BA104" i="30"/>
  <c r="V104" i="30"/>
  <c r="X104" i="30"/>
  <c r="BE83" i="30"/>
  <c r="BQ38" i="30"/>
  <c r="AX104" i="30"/>
  <c r="BH104" i="30"/>
  <c r="AI104" i="30"/>
  <c r="BB104" i="30"/>
  <c r="AR104" i="30"/>
  <c r="AZ12" i="30"/>
  <c r="BS72" i="30"/>
  <c r="AP23" i="30"/>
  <c r="BE38" i="30"/>
  <c r="BR38" i="30"/>
  <c r="BO71" i="30"/>
  <c r="AT79" i="30"/>
  <c r="BB23" i="30"/>
  <c r="V38" i="30"/>
  <c r="AH71" i="30"/>
  <c r="U79" i="30"/>
  <c r="AS79" i="30"/>
  <c r="AE48" i="30"/>
  <c r="AH38" i="30"/>
  <c r="AT71" i="30"/>
  <c r="Y79" i="30"/>
  <c r="BI23" i="30"/>
  <c r="BE56" i="30"/>
  <c r="BL38" i="30"/>
  <c r="AY71" i="30"/>
  <c r="AB79" i="30"/>
  <c r="AB23" i="30"/>
  <c r="AR38" i="30"/>
  <c r="BL71" i="30"/>
  <c r="AW79" i="30"/>
  <c r="AW71" i="30"/>
  <c r="U71" i="30"/>
  <c r="BH79" i="30"/>
  <c r="AM79" i="30"/>
  <c r="AY48" i="30"/>
  <c r="AB71" i="30"/>
  <c r="AO79" i="30"/>
  <c r="BC79" i="30"/>
  <c r="BJ48" i="30"/>
  <c r="AL38" i="30"/>
  <c r="BD71" i="30"/>
  <c r="AE79" i="30"/>
  <c r="X79" i="30"/>
  <c r="BI48" i="30"/>
  <c r="AQ23" i="30"/>
  <c r="BM38" i="30"/>
  <c r="BR71" i="30"/>
  <c r="AX38" i="30"/>
  <c r="X38" i="30"/>
  <c r="W71" i="30"/>
  <c r="AV71" i="30"/>
  <c r="AW38" i="30"/>
  <c r="AL71" i="30"/>
  <c r="AK79" i="30"/>
  <c r="AX79" i="30"/>
  <c r="BD79" i="30"/>
  <c r="BQ79" i="30"/>
  <c r="W79" i="30"/>
  <c r="BB79" i="30"/>
  <c r="BG79" i="30"/>
  <c r="BN23" i="30"/>
  <c r="BK48" i="30"/>
  <c r="AV48" i="30"/>
  <c r="BG71" i="30"/>
  <c r="AE31" i="30"/>
  <c r="BD45" i="30"/>
  <c r="BA13" i="30"/>
  <c r="AP71" i="30"/>
  <c r="BA38" i="30"/>
  <c r="BM71" i="30"/>
  <c r="AQ38" i="30"/>
  <c r="AJ38" i="30"/>
  <c r="AI71" i="30"/>
  <c r="AD71" i="30"/>
  <c r="BK79" i="30"/>
  <c r="AV79" i="30"/>
  <c r="BP79" i="30"/>
  <c r="BR79" i="30"/>
  <c r="BS79" i="30"/>
  <c r="BN79" i="30"/>
  <c r="AV23" i="30"/>
  <c r="BR23" i="30"/>
  <c r="BS48" i="30"/>
  <c r="AL48" i="30"/>
  <c r="BK38" i="30"/>
  <c r="AK38" i="30"/>
  <c r="AR71" i="30"/>
  <c r="AA38" i="30"/>
  <c r="BT71" i="30"/>
  <c r="AK71" i="30"/>
  <c r="Z79" i="30"/>
  <c r="V79" i="30"/>
  <c r="AI79" i="30"/>
  <c r="AN79" i="30"/>
  <c r="BF79" i="30"/>
  <c r="AJ79" i="30"/>
  <c r="BK23" i="30"/>
  <c r="AF23" i="30"/>
  <c r="AQ48" i="30"/>
  <c r="AS48" i="30"/>
  <c r="BJ71" i="30"/>
  <c r="AA23" i="30"/>
  <c r="Y38" i="30"/>
  <c r="AI38" i="30"/>
  <c r="AF38" i="30"/>
  <c r="AA71" i="30"/>
  <c r="BF71" i="30"/>
  <c r="AU38" i="30"/>
  <c r="U38" i="30"/>
  <c r="BS71" i="30"/>
  <c r="V71" i="30"/>
  <c r="BJ38" i="30"/>
  <c r="AX71" i="30"/>
  <c r="BP71" i="30"/>
  <c r="AL79" i="30"/>
  <c r="AC79" i="30"/>
  <c r="AR79" i="30"/>
  <c r="AY79" i="30"/>
  <c r="BI79" i="30"/>
  <c r="BL79" i="30"/>
  <c r="BE79" i="30"/>
  <c r="AR23" i="30"/>
  <c r="AW23" i="30"/>
  <c r="BL48" i="30"/>
  <c r="BO48" i="30"/>
  <c r="AS38" i="30"/>
  <c r="AO38" i="30"/>
  <c r="AY38" i="30"/>
  <c r="AQ71" i="30"/>
  <c r="AZ71" i="30"/>
  <c r="BS38" i="30"/>
  <c r="BP38" i="30"/>
  <c r="BI71" i="30"/>
  <c r="BE71" i="30"/>
  <c r="AC48" i="30"/>
  <c r="AE38" i="30"/>
  <c r="BH38" i="30"/>
  <c r="BC71" i="30"/>
  <c r="AF71" i="30"/>
  <c r="AD38" i="30"/>
  <c r="AC71" i="30"/>
  <c r="BT79" i="30"/>
  <c r="BJ79" i="30"/>
  <c r="BM79" i="30"/>
  <c r="BO79" i="30"/>
  <c r="AD79" i="30"/>
  <c r="AF79" i="30"/>
  <c r="AA79" i="30"/>
  <c r="AM23" i="30"/>
  <c r="AD23" i="30"/>
  <c r="Y48" i="30"/>
  <c r="AP48" i="30"/>
  <c r="BC23" i="30"/>
  <c r="BB38" i="30"/>
  <c r="AN38" i="30"/>
  <c r="AN71" i="30"/>
  <c r="AJ71" i="30"/>
  <c r="AC23" i="30"/>
  <c r="BN38" i="30"/>
  <c r="AZ38" i="30"/>
  <c r="AM71" i="30"/>
  <c r="AO71" i="30"/>
  <c r="AU79" i="30"/>
  <c r="BA79" i="30"/>
  <c r="AH79" i="30"/>
  <c r="AP79" i="30"/>
  <c r="AZ79" i="30"/>
  <c r="AG79" i="30"/>
  <c r="AH23" i="30"/>
  <c r="AR48" i="30"/>
  <c r="BK12" i="30"/>
  <c r="BI6" i="30"/>
  <c r="AV5" i="31" s="1"/>
  <c r="AY84" i="30"/>
  <c r="Z84" i="30"/>
  <c r="BT84" i="30"/>
  <c r="BG12" i="30"/>
  <c r="BQ24" i="30"/>
  <c r="BQ84" i="30"/>
  <c r="BJ84" i="30"/>
  <c r="BS84" i="30"/>
  <c r="AW84" i="30"/>
  <c r="BO60" i="30"/>
  <c r="AX59" i="30"/>
  <c r="BK7" i="30"/>
  <c r="AY72" i="30"/>
  <c r="BA84" i="30"/>
  <c r="AT84" i="30"/>
  <c r="AD48" i="30"/>
  <c r="AU48" i="30"/>
  <c r="BB48" i="30"/>
  <c r="AG6" i="30"/>
  <c r="T5" i="31" s="1"/>
  <c r="BP84" i="30"/>
  <c r="BJ12" i="30"/>
  <c r="AK84" i="30"/>
  <c r="AT48" i="30"/>
  <c r="AX48" i="30"/>
  <c r="BC48" i="30"/>
  <c r="AZ72" i="30"/>
  <c r="AN12" i="30"/>
  <c r="U84" i="30"/>
  <c r="AW48" i="30"/>
  <c r="BN48" i="30"/>
  <c r="AA12" i="30"/>
  <c r="AW6" i="30"/>
  <c r="AJ5" i="31" s="1"/>
  <c r="AU43" i="30"/>
  <c r="BT89" i="30"/>
  <c r="BI60" i="30"/>
  <c r="BS12" i="30"/>
  <c r="Z71" i="30"/>
  <c r="AJ84" i="30"/>
  <c r="AE23" i="30"/>
  <c r="BA23" i="30"/>
  <c r="V23" i="30"/>
  <c r="AG23" i="30"/>
  <c r="W6" i="30"/>
  <c r="J5" i="31" s="1"/>
  <c r="AO12" i="30"/>
  <c r="BD12" i="30"/>
  <c r="BC12" i="30"/>
  <c r="AI80" i="30"/>
  <c r="AF49" i="30"/>
  <c r="BQ91" i="30"/>
  <c r="AB68" i="30"/>
  <c r="BD23" i="30"/>
  <c r="AS23" i="30"/>
  <c r="AZ23" i="30"/>
  <c r="AI23" i="30"/>
  <c r="AT23" i="30"/>
  <c r="AL6" i="30"/>
  <c r="BP12" i="30"/>
  <c r="BL12" i="30"/>
  <c r="AJ23" i="30"/>
  <c r="Z23" i="30"/>
  <c r="AN23" i="30"/>
  <c r="BO23" i="30"/>
  <c r="BJ23" i="30"/>
  <c r="AO6" i="30"/>
  <c r="AB5" i="31" s="1"/>
  <c r="BR12" i="30"/>
  <c r="AY12" i="30"/>
  <c r="AK23" i="30"/>
  <c r="BS23" i="30"/>
  <c r="AO23" i="30"/>
  <c r="BL23" i="30"/>
  <c r="BG23" i="30"/>
  <c r="AJ6" i="30"/>
  <c r="W5" i="31" s="1"/>
  <c r="AE12" i="30"/>
  <c r="BF12" i="30"/>
  <c r="AX23" i="30"/>
  <c r="X23" i="30"/>
  <c r="BE23" i="30"/>
  <c r="BH23" i="30"/>
  <c r="BN6" i="30"/>
  <c r="BA5" i="31" s="1"/>
  <c r="BQ12" i="30"/>
  <c r="AJ48" i="30"/>
  <c r="BA46" i="30"/>
  <c r="BT48" i="30"/>
  <c r="U48" i="30"/>
  <c r="AH48" i="30"/>
  <c r="AN48" i="30"/>
  <c r="AB48" i="30"/>
  <c r="Z48" i="30"/>
  <c r="BH58" i="30"/>
  <c r="BB27" i="30"/>
  <c r="AI8" i="30"/>
  <c r="V8" i="31" s="1"/>
  <c r="AT38" i="30"/>
  <c r="W23" i="30"/>
  <c r="BP23" i="30"/>
  <c r="U23" i="30"/>
  <c r="Y23" i="30"/>
  <c r="AY23" i="30"/>
  <c r="BM23" i="30"/>
  <c r="AM48" i="30"/>
  <c r="BG48" i="30"/>
  <c r="AI48" i="30"/>
  <c r="AG48" i="30"/>
  <c r="AZ48" i="30"/>
  <c r="BA48" i="30"/>
  <c r="AV38" i="30"/>
  <c r="BQ71" i="30"/>
  <c r="BM48" i="30"/>
  <c r="AO48" i="30"/>
  <c r="BD48" i="30"/>
  <c r="W48" i="30"/>
  <c r="V48" i="30"/>
  <c r="X48" i="30"/>
  <c r="V70" i="30"/>
  <c r="BG38" i="30"/>
  <c r="AG38" i="30"/>
  <c r="BQ23" i="30"/>
  <c r="BF23" i="30"/>
  <c r="AU23" i="30"/>
  <c r="AL23" i="30"/>
  <c r="BT23" i="30"/>
  <c r="AK48" i="30"/>
  <c r="BH48" i="30"/>
  <c r="BP48" i="30"/>
  <c r="BQ48" i="30"/>
  <c r="BR48" i="30"/>
  <c r="BO38" i="30"/>
  <c r="V6" i="30"/>
  <c r="I5" i="31" s="1"/>
  <c r="BI38" i="30"/>
  <c r="BM84" i="30"/>
  <c r="AG12" i="30"/>
  <c r="W72" i="30"/>
  <c r="AO87" i="30"/>
  <c r="AR34" i="30"/>
  <c r="BT90" i="30"/>
  <c r="BN60" i="30"/>
  <c r="AH89" i="30"/>
  <c r="BA7" i="30"/>
  <c r="BL42" i="30"/>
  <c r="BP20" i="30"/>
  <c r="BB49" i="30"/>
  <c r="V37" i="30"/>
  <c r="BI21" i="30"/>
  <c r="AC19" i="30"/>
  <c r="AI58" i="30"/>
  <c r="AW42" i="30"/>
  <c r="AF80" i="30"/>
  <c r="BF80" i="30"/>
  <c r="BA8" i="30"/>
  <c r="AN8" i="31" s="1"/>
  <c r="AG42" i="30"/>
  <c r="AW24" i="30"/>
  <c r="BI24" i="30"/>
  <c r="AX58" i="30"/>
  <c r="AN27" i="30"/>
  <c r="AM20" i="30"/>
  <c r="AH42" i="30"/>
  <c r="AT20" i="30"/>
  <c r="AN37" i="30"/>
  <c r="AC37" i="30"/>
  <c r="AA37" i="30"/>
  <c r="AX37" i="30"/>
  <c r="W26" i="30"/>
  <c r="BP43" i="30"/>
  <c r="AF44" i="30"/>
  <c r="BM87" i="30"/>
  <c r="U55" i="30"/>
  <c r="Z34" i="30"/>
  <c r="AV88" i="30"/>
  <c r="AH15" i="30"/>
  <c r="BI102" i="30"/>
  <c r="BG101" i="30"/>
  <c r="BK71" i="30"/>
  <c r="AS71" i="30"/>
  <c r="Y71" i="30"/>
  <c r="BD15" i="30"/>
  <c r="BS60" i="30"/>
  <c r="AL87" i="30"/>
  <c r="AN20" i="30"/>
  <c r="X44" i="30"/>
  <c r="AK7" i="30"/>
  <c r="BE89" i="30"/>
  <c r="AA68" i="30"/>
  <c r="BA44" i="30"/>
  <c r="AG88" i="30"/>
  <c r="AQ59" i="30"/>
  <c r="AE55" i="30"/>
  <c r="AC88" i="30"/>
  <c r="AJ66" i="30"/>
  <c r="BA43" i="30"/>
  <c r="AV44" i="30"/>
  <c r="BN87" i="30"/>
  <c r="V55" i="30"/>
  <c r="BH65" i="30"/>
  <c r="AI57" i="30"/>
  <c r="BB88" i="30"/>
  <c r="BR102" i="30"/>
  <c r="AK90" i="30"/>
  <c r="BN14" i="30"/>
  <c r="AL92" i="30"/>
  <c r="V53" i="30"/>
  <c r="BF101" i="30"/>
  <c r="BT43" i="30"/>
  <c r="AT88" i="30"/>
  <c r="AA88" i="30"/>
  <c r="AX60" i="30"/>
  <c r="AW87" i="30"/>
  <c r="AC89" i="30"/>
  <c r="AJ89" i="30"/>
  <c r="AJ59" i="30"/>
  <c r="BS39" i="30"/>
  <c r="AP34" i="30"/>
  <c r="AN54" i="30"/>
  <c r="AC97" i="30"/>
  <c r="AK96" i="30"/>
  <c r="AC42" i="30"/>
  <c r="AN49" i="30"/>
  <c r="V94" i="30"/>
  <c r="AO37" i="30"/>
  <c r="Z21" i="30"/>
  <c r="AW93" i="30"/>
  <c r="BM91" i="30"/>
  <c r="BR19" i="30"/>
  <c r="BE68" i="30"/>
  <c r="V43" i="30"/>
  <c r="BA14" i="30"/>
  <c r="V7" i="30"/>
  <c r="AY88" i="30"/>
  <c r="AC60" i="30"/>
  <c r="AE60" i="30"/>
  <c r="BR87" i="30"/>
  <c r="AX89" i="30"/>
  <c r="AH14" i="30"/>
  <c r="AS65" i="30"/>
  <c r="BB68" i="30"/>
  <c r="Y87" i="30"/>
  <c r="W68" i="30"/>
  <c r="AK14" i="30"/>
  <c r="BP7" i="30"/>
  <c r="AM88" i="30"/>
  <c r="AT60" i="30"/>
  <c r="AW60" i="30"/>
  <c r="AF87" i="30"/>
  <c r="AY87" i="30"/>
  <c r="AM89" i="30"/>
  <c r="AI14" i="30"/>
  <c r="AT87" i="30"/>
  <c r="AP68" i="30"/>
  <c r="BP87" i="30"/>
  <c r="AZ68" i="30"/>
  <c r="BB43" i="30"/>
  <c r="BS14" i="30"/>
  <c r="AE88" i="30"/>
  <c r="AR60" i="30"/>
  <c r="AM60" i="30"/>
  <c r="BL87" i="30"/>
  <c r="BO87" i="30"/>
  <c r="BH89" i="30"/>
  <c r="AJ87" i="30"/>
  <c r="AQ43" i="30"/>
  <c r="X57" i="30"/>
  <c r="AW55" i="30"/>
  <c r="AL55" i="30"/>
  <c r="AR68" i="30"/>
  <c r="BS43" i="30"/>
  <c r="BO14" i="30"/>
  <c r="Y88" i="30"/>
  <c r="AL88" i="30"/>
  <c r="AQ60" i="30"/>
  <c r="BE60" i="30"/>
  <c r="AX87" i="30"/>
  <c r="AQ89" i="30"/>
  <c r="BD89" i="30"/>
  <c r="AV14" i="30"/>
  <c r="BK56" i="30"/>
  <c r="AB55" i="30"/>
  <c r="AF68" i="30"/>
  <c r="AF88" i="30"/>
  <c r="BL60" i="30"/>
  <c r="Z60" i="30"/>
  <c r="AO89" i="30"/>
  <c r="AS89" i="30"/>
  <c r="BA20" i="30"/>
  <c r="BT42" i="30"/>
  <c r="AJ34" i="30"/>
  <c r="BR94" i="30"/>
  <c r="BL20" i="30"/>
  <c r="AF42" i="30"/>
  <c r="BQ80" i="30"/>
  <c r="Z80" i="30"/>
  <c r="AS24" i="30"/>
  <c r="AS21" i="30"/>
  <c r="AV37" i="30"/>
  <c r="BG37" i="30"/>
  <c r="BN37" i="30"/>
  <c r="AL37" i="30"/>
  <c r="BM94" i="30"/>
  <c r="W27" i="30"/>
  <c r="AX19" i="30"/>
  <c r="BT80" i="30"/>
  <c r="BT24" i="30"/>
  <c r="AT39" i="30"/>
  <c r="V58" i="30"/>
  <c r="BA94" i="30"/>
  <c r="AE20" i="30"/>
  <c r="BG42" i="30"/>
  <c r="BB42" i="30"/>
  <c r="BA80" i="30"/>
  <c r="AO80" i="30"/>
  <c r="BS24" i="30"/>
  <c r="BD24" i="30"/>
  <c r="BJ39" i="30"/>
  <c r="BC21" i="30"/>
  <c r="AC21" i="30"/>
  <c r="BC54" i="30"/>
  <c r="AG37" i="30"/>
  <c r="AR37" i="30"/>
  <c r="AU37" i="30"/>
  <c r="BR37" i="30"/>
  <c r="AN94" i="30"/>
  <c r="AI54" i="30"/>
  <c r="AH97" i="30"/>
  <c r="U20" i="30"/>
  <c r="AS37" i="30"/>
  <c r="Z20" i="30"/>
  <c r="BJ42" i="30"/>
  <c r="BD80" i="30"/>
  <c r="AH80" i="30"/>
  <c r="AA24" i="30"/>
  <c r="BP24" i="30"/>
  <c r="X39" i="30"/>
  <c r="U93" i="30"/>
  <c r="AQ58" i="30"/>
  <c r="BG20" i="30"/>
  <c r="AQ42" i="30"/>
  <c r="V42" i="30"/>
  <c r="BP80" i="30"/>
  <c r="BN80" i="30"/>
  <c r="AM24" i="30"/>
  <c r="AZ24" i="30"/>
  <c r="AM21" i="30"/>
  <c r="AZ21" i="30"/>
  <c r="AG54" i="30"/>
  <c r="AW37" i="30"/>
  <c r="BD37" i="30"/>
  <c r="BK37" i="30"/>
  <c r="AI37" i="30"/>
  <c r="BS42" i="30"/>
  <c r="AS20" i="30"/>
  <c r="AQ24" i="30"/>
  <c r="X37" i="30"/>
  <c r="W20" i="30"/>
  <c r="AU42" i="30"/>
  <c r="AD42" i="30"/>
  <c r="BS80" i="30"/>
  <c r="V80" i="30"/>
  <c r="BJ24" i="30"/>
  <c r="AR24" i="30"/>
  <c r="AL49" i="30"/>
  <c r="AJ58" i="30"/>
  <c r="BN20" i="30"/>
  <c r="AA42" i="30"/>
  <c r="AR42" i="30"/>
  <c r="AZ80" i="30"/>
  <c r="AC80" i="30"/>
  <c r="W24" i="30"/>
  <c r="BL24" i="30"/>
  <c r="W21" i="30"/>
  <c r="AV21" i="30"/>
  <c r="BC97" i="30"/>
  <c r="BM37" i="30"/>
  <c r="U37" i="30"/>
  <c r="BH37" i="30"/>
  <c r="AY37" i="30"/>
  <c r="BE42" i="30"/>
  <c r="AW49" i="30"/>
  <c r="BB80" i="30"/>
  <c r="AG24" i="30"/>
  <c r="AN42" i="30"/>
  <c r="Y80" i="30"/>
  <c r="AL58" i="30"/>
  <c r="V20" i="30"/>
  <c r="AE42" i="30"/>
  <c r="AZ42" i="30"/>
  <c r="BC80" i="30"/>
  <c r="AB80" i="30"/>
  <c r="AT24" i="30"/>
  <c r="AB24" i="30"/>
  <c r="AP54" i="30"/>
  <c r="BK49" i="30"/>
  <c r="AH20" i="30"/>
  <c r="BI42" i="30"/>
  <c r="BF42" i="30"/>
  <c r="BO80" i="30"/>
  <c r="AL80" i="30"/>
  <c r="BF24" i="30"/>
  <c r="BF21" i="30"/>
  <c r="AR21" i="30"/>
  <c r="AM97" i="30"/>
  <c r="AD37" i="30"/>
  <c r="AK37" i="30"/>
  <c r="BT37" i="30"/>
  <c r="BO37" i="30"/>
  <c r="AS93" i="30"/>
  <c r="BS37" i="30"/>
  <c r="BF37" i="30"/>
  <c r="AE93" i="30"/>
  <c r="BL58" i="30"/>
  <c r="BS20" i="30"/>
  <c r="BM42" i="30"/>
  <c r="BN42" i="30"/>
  <c r="AA34" i="30"/>
  <c r="AM80" i="30"/>
  <c r="AD24" i="30"/>
  <c r="BI54" i="30"/>
  <c r="AB49" i="30"/>
  <c r="BC37" i="30"/>
  <c r="AO20" i="30"/>
  <c r="AS42" i="30"/>
  <c r="Z42" i="30"/>
  <c r="AY80" i="30"/>
  <c r="AP24" i="30"/>
  <c r="AP21" i="30"/>
  <c r="X97" i="30"/>
  <c r="AT37" i="30"/>
  <c r="BA37" i="30"/>
  <c r="AJ37" i="30"/>
  <c r="AA58" i="30"/>
  <c r="BJ34" i="30"/>
  <c r="W80" i="30"/>
  <c r="BM24" i="30"/>
  <c r="AP37" i="30"/>
  <c r="Z24" i="30"/>
  <c r="AB37" i="30"/>
  <c r="BJ37" i="30"/>
  <c r="BQ37" i="30"/>
  <c r="AN84" i="30"/>
  <c r="AD84" i="30"/>
  <c r="Y12" i="30"/>
  <c r="AV12" i="30"/>
  <c r="AI12" i="30"/>
  <c r="AJ12" i="30"/>
  <c r="AX12" i="30"/>
  <c r="BJ74" i="30"/>
  <c r="AQ80" i="30"/>
  <c r="AG71" i="30"/>
  <c r="BA71" i="30"/>
  <c r="AU71" i="30"/>
  <c r="AU84" i="30"/>
  <c r="BN12" i="30"/>
  <c r="BA12" i="30"/>
  <c r="AQ12" i="30"/>
  <c r="AU12" i="30"/>
  <c r="BK84" i="30"/>
  <c r="AR12" i="30"/>
  <c r="AK12" i="30"/>
  <c r="V12" i="30"/>
  <c r="AC12" i="30"/>
  <c r="AG84" i="30"/>
  <c r="AE84" i="30"/>
  <c r="W12" i="30"/>
  <c r="U12" i="30"/>
  <c r="AZ39" i="30"/>
  <c r="Y43" i="30"/>
  <c r="BH44" i="30"/>
  <c r="BQ87" i="30"/>
  <c r="AI94" i="30"/>
  <c r="AB103" i="30"/>
  <c r="AP11" i="30"/>
  <c r="W55" i="30"/>
  <c r="AB34" i="30"/>
  <c r="BC65" i="30"/>
  <c r="BA57" i="30"/>
  <c r="AP88" i="30"/>
  <c r="V15" i="30"/>
  <c r="BB102" i="30"/>
  <c r="AW90" i="30"/>
  <c r="BK14" i="30"/>
  <c r="AE92" i="30"/>
  <c r="AO53" i="30"/>
  <c r="BT101" i="30"/>
  <c r="AR59" i="30"/>
  <c r="AX103" i="30"/>
  <c r="BK11" i="30"/>
  <c r="AN55" i="30"/>
  <c r="AW89" i="30"/>
  <c r="AF102" i="30"/>
  <c r="BC87" i="30"/>
  <c r="AO57" i="30"/>
  <c r="AI44" i="30"/>
  <c r="BS55" i="30"/>
  <c r="AQ34" i="30"/>
  <c r="BL34" i="30"/>
  <c r="AQ68" i="30"/>
  <c r="AV68" i="30"/>
  <c r="BO39" i="30"/>
  <c r="AI43" i="30"/>
  <c r="BG43" i="30"/>
  <c r="AA54" i="30"/>
  <c r="AM87" i="30"/>
  <c r="BS57" i="30"/>
  <c r="BD44" i="30"/>
  <c r="AB44" i="30"/>
  <c r="BB55" i="30"/>
  <c r="AZ55" i="30"/>
  <c r="BF34" i="30"/>
  <c r="BT34" i="30"/>
  <c r="AM68" i="30"/>
  <c r="AK68" i="30"/>
  <c r="AE39" i="30"/>
  <c r="AS43" i="30"/>
  <c r="V54" i="30"/>
  <c r="AE54" i="30"/>
  <c r="AZ97" i="30"/>
  <c r="BC15" i="30"/>
  <c r="Z15" i="30"/>
  <c r="AP14" i="30"/>
  <c r="BG90" i="30"/>
  <c r="BP90" i="30"/>
  <c r="AQ7" i="30"/>
  <c r="BM88" i="30"/>
  <c r="X88" i="30"/>
  <c r="BG88" i="30"/>
  <c r="AU88" i="30"/>
  <c r="V88" i="30"/>
  <c r="AO88" i="30"/>
  <c r="BF88" i="30"/>
  <c r="BT60" i="30"/>
  <c r="U60" i="30"/>
  <c r="AH60" i="30"/>
  <c r="AN60" i="30"/>
  <c r="W60" i="30"/>
  <c r="AJ60" i="30"/>
  <c r="BB87" i="30"/>
  <c r="BG87" i="30"/>
  <c r="AG87" i="30"/>
  <c r="BH87" i="30"/>
  <c r="AI87" i="30"/>
  <c r="X89" i="30"/>
  <c r="AK89" i="30"/>
  <c r="BP89" i="30"/>
  <c r="BL89" i="30"/>
  <c r="BR89" i="30"/>
  <c r="BM89" i="30"/>
  <c r="AB94" i="30"/>
  <c r="BD87" i="30"/>
  <c r="BR14" i="30"/>
  <c r="AV59" i="30"/>
  <c r="AC102" i="30"/>
  <c r="BN92" i="30"/>
  <c r="X101" i="30"/>
  <c r="AB11" i="30"/>
  <c r="BA95" i="30"/>
  <c r="BB59" i="30"/>
  <c r="BR92" i="30"/>
  <c r="AS94" i="30"/>
  <c r="BE44" i="30"/>
  <c r="BE55" i="30"/>
  <c r="AT34" i="30"/>
  <c r="X34" i="30"/>
  <c r="AJ68" i="30"/>
  <c r="U68" i="30"/>
  <c r="BC39" i="30"/>
  <c r="AC43" i="30"/>
  <c r="Z54" i="30"/>
  <c r="AZ54" i="30"/>
  <c r="V59" i="30"/>
  <c r="BB92" i="30"/>
  <c r="X94" i="30"/>
  <c r="AA44" i="30"/>
  <c r="BD55" i="30"/>
  <c r="AF55" i="30"/>
  <c r="BI34" i="30"/>
  <c r="AD68" i="30"/>
  <c r="BQ39" i="30"/>
  <c r="AX39" i="30"/>
  <c r="AW43" i="30"/>
  <c r="AF43" i="30"/>
  <c r="BL54" i="30"/>
  <c r="W97" i="30"/>
  <c r="Y97" i="30"/>
  <c r="BR15" i="30"/>
  <c r="U14" i="30"/>
  <c r="AT14" i="30"/>
  <c r="AY90" i="30"/>
  <c r="U7" i="30"/>
  <c r="AU7" i="30"/>
  <c r="BO88" i="30"/>
  <c r="AJ88" i="30"/>
  <c r="BT88" i="30"/>
  <c r="U88" i="30"/>
  <c r="BR88" i="30"/>
  <c r="BQ88" i="30"/>
  <c r="BK60" i="30"/>
  <c r="BG60" i="30"/>
  <c r="AI60" i="30"/>
  <c r="AB60" i="30"/>
  <c r="AZ60" i="30"/>
  <c r="AF60" i="30"/>
  <c r="AP60" i="30"/>
  <c r="AC87" i="30"/>
  <c r="AZ87" i="30"/>
  <c r="AE87" i="30"/>
  <c r="AV87" i="30"/>
  <c r="AD89" i="30"/>
  <c r="BJ89" i="30"/>
  <c r="BA89" i="30"/>
  <c r="BN89" i="30"/>
  <c r="AE89" i="30"/>
  <c r="BG89" i="30"/>
  <c r="Z89" i="30"/>
  <c r="AY94" i="30"/>
  <c r="BN94" i="30"/>
  <c r="BE11" i="30"/>
  <c r="BM92" i="30"/>
  <c r="BI43" i="30"/>
  <c r="BN90" i="30"/>
  <c r="AL59" i="30"/>
  <c r="AG102" i="30"/>
  <c r="U57" i="30"/>
  <c r="BT53" i="30"/>
  <c r="AJ55" i="30"/>
  <c r="BN68" i="30"/>
  <c r="AO39" i="30"/>
  <c r="AH39" i="30"/>
  <c r="BD43" i="30"/>
  <c r="BH54" i="30"/>
  <c r="Y54" i="30"/>
  <c r="W59" i="30"/>
  <c r="AI92" i="30"/>
  <c r="BS94" i="30"/>
  <c r="AU44" i="30"/>
  <c r="AI55" i="30"/>
  <c r="BS34" i="30"/>
  <c r="AS34" i="30"/>
  <c r="BI68" i="30"/>
  <c r="BA39" i="30"/>
  <c r="AB39" i="30"/>
  <c r="AE43" i="30"/>
  <c r="AV43" i="30"/>
  <c r="AQ54" i="30"/>
  <c r="BA97" i="30"/>
  <c r="V97" i="30"/>
  <c r="AV15" i="30"/>
  <c r="BB14" i="30"/>
  <c r="X14" i="30"/>
  <c r="AC90" i="30"/>
  <c r="BC7" i="30"/>
  <c r="Z7" i="30"/>
  <c r="BP88" i="30"/>
  <c r="AB88" i="30"/>
  <c r="AH88" i="30"/>
  <c r="AQ88" i="30"/>
  <c r="W88" i="30"/>
  <c r="AN88" i="30"/>
  <c r="BH60" i="30"/>
  <c r="AO60" i="30"/>
  <c r="BD60" i="30"/>
  <c r="BC60" i="30"/>
  <c r="V60" i="30"/>
  <c r="BA60" i="30"/>
  <c r="BF60" i="30"/>
  <c r="AP87" i="30"/>
  <c r="AS87" i="30"/>
  <c r="AD87" i="30"/>
  <c r="AU87" i="30"/>
  <c r="U87" i="30"/>
  <c r="BQ89" i="30"/>
  <c r="AA89" i="30"/>
  <c r="AG89" i="30"/>
  <c r="AI89" i="30"/>
  <c r="AZ89" i="30"/>
  <c r="AY89" i="30"/>
  <c r="AP89" i="30"/>
  <c r="BT94" i="30"/>
  <c r="AM102" i="30"/>
  <c r="AW57" i="30"/>
  <c r="BH55" i="30"/>
  <c r="BM15" i="30"/>
  <c r="X90" i="30"/>
  <c r="AH59" i="30"/>
  <c r="AB102" i="30"/>
  <c r="BL57" i="30"/>
  <c r="BD92" i="30"/>
  <c r="AP55" i="30"/>
  <c r="AD34" i="30"/>
  <c r="AA59" i="30"/>
  <c r="AF92" i="30"/>
  <c r="W44" i="30"/>
  <c r="Z55" i="30"/>
  <c r="AQ55" i="30"/>
  <c r="BM34" i="30"/>
  <c r="AS68" i="30"/>
  <c r="Y39" i="30"/>
  <c r="AF39" i="30"/>
  <c r="BL43" i="30"/>
  <c r="AM54" i="30"/>
  <c r="AJ54" i="30"/>
  <c r="X83" i="30"/>
  <c r="BG59" i="30"/>
  <c r="U11" i="30"/>
  <c r="AW92" i="30"/>
  <c r="BR44" i="30"/>
  <c r="BC44" i="30"/>
  <c r="BM55" i="30"/>
  <c r="BC34" i="30"/>
  <c r="AC34" i="30"/>
  <c r="AN68" i="30"/>
  <c r="AK39" i="30"/>
  <c r="BR39" i="30"/>
  <c r="BK43" i="30"/>
  <c r="BR54" i="30"/>
  <c r="U54" i="30"/>
  <c r="AF97" i="30"/>
  <c r="BA15" i="30"/>
  <c r="AA15" i="30"/>
  <c r="AF14" i="30"/>
  <c r="BB90" i="30"/>
  <c r="AR90" i="30"/>
  <c r="AH7" i="30"/>
  <c r="BA88" i="30"/>
  <c r="BS88" i="30"/>
  <c r="AX88" i="30"/>
  <c r="BL88" i="30"/>
  <c r="BC88" i="30"/>
  <c r="BI88" i="30"/>
  <c r="AY60" i="30"/>
  <c r="BJ60" i="30"/>
  <c r="Y60" i="30"/>
  <c r="AA60" i="30"/>
  <c r="AL60" i="30"/>
  <c r="X60" i="30"/>
  <c r="AH87" i="30"/>
  <c r="BI87" i="30"/>
  <c r="BJ87" i="30"/>
  <c r="BK87" i="30"/>
  <c r="AK87" i="30"/>
  <c r="BI89" i="30"/>
  <c r="AB89" i="30"/>
  <c r="BC89" i="30"/>
  <c r="AV89" i="30"/>
  <c r="V89" i="30"/>
  <c r="AF89" i="30"/>
  <c r="BF89" i="30"/>
  <c r="Z94" i="30"/>
  <c r="BD53" i="30"/>
  <c r="AS44" i="30"/>
  <c r="AM55" i="30"/>
  <c r="AW15" i="30"/>
  <c r="AG90" i="30"/>
  <c r="BT102" i="30"/>
  <c r="BL101" i="30"/>
  <c r="AK11" i="30"/>
  <c r="BB44" i="30"/>
  <c r="BD11" i="30"/>
  <c r="AU92" i="30"/>
  <c r="AD44" i="30"/>
  <c r="AE44" i="30"/>
  <c r="BI55" i="30"/>
  <c r="BA55" i="30"/>
  <c r="AW34" i="30"/>
  <c r="X68" i="30"/>
  <c r="BF39" i="30"/>
  <c r="BG39" i="30"/>
  <c r="AP43" i="30"/>
  <c r="Z43" i="30"/>
  <c r="BQ54" i="30"/>
  <c r="AQ97" i="30"/>
  <c r="BL11" i="30"/>
  <c r="BR57" i="30"/>
  <c r="AT44" i="30"/>
  <c r="BK44" i="30"/>
  <c r="AR55" i="30"/>
  <c r="AM34" i="30"/>
  <c r="AV34" i="30"/>
  <c r="BS68" i="30"/>
  <c r="BR68" i="30"/>
  <c r="U39" i="30"/>
  <c r="AL39" i="30"/>
  <c r="AO43" i="30"/>
  <c r="BB54" i="30"/>
  <c r="BD54" i="30"/>
  <c r="BJ97" i="30"/>
  <c r="AK15" i="30"/>
  <c r="BP15" i="30"/>
  <c r="AX14" i="30"/>
  <c r="AL90" i="30"/>
  <c r="AZ90" i="30"/>
  <c r="AY7" i="30"/>
  <c r="AS88" i="30"/>
  <c r="AD88" i="30"/>
  <c r="BK88" i="30"/>
  <c r="BN88" i="30"/>
  <c r="AI88" i="30"/>
  <c r="BE88" i="30"/>
  <c r="Z88" i="30"/>
  <c r="AD60" i="30"/>
  <c r="BM60" i="30"/>
  <c r="AU60" i="30"/>
  <c r="AV60" i="30"/>
  <c r="BB60" i="30"/>
  <c r="AS60" i="30"/>
  <c r="AR87" i="30"/>
  <c r="AA87" i="30"/>
  <c r="AN87" i="30"/>
  <c r="Z87" i="30"/>
  <c r="BA87" i="30"/>
  <c r="BS89" i="30"/>
  <c r="BK89" i="30"/>
  <c r="Y89" i="30"/>
  <c r="AN89" i="30"/>
  <c r="AL89" i="30"/>
  <c r="W89" i="30"/>
  <c r="BP94" i="30"/>
  <c r="BQ44" i="30"/>
  <c r="AQ15" i="30"/>
  <c r="AG7" i="30"/>
  <c r="X102" i="30"/>
  <c r="AR92" i="30"/>
  <c r="AH101" i="30"/>
  <c r="AU94" i="30"/>
  <c r="BM44" i="30"/>
  <c r="V57" i="30"/>
  <c r="BI44" i="30"/>
  <c r="AM44" i="30"/>
  <c r="AA55" i="30"/>
  <c r="AG34" i="30"/>
  <c r="AL68" i="30"/>
  <c r="AJ39" i="30"/>
  <c r="V39" i="30"/>
  <c r="BC43" i="30"/>
  <c r="AN43" i="30"/>
  <c r="AV54" i="30"/>
  <c r="AZ88" i="30"/>
  <c r="Z44" i="30"/>
  <c r="BS44" i="30"/>
  <c r="BR55" i="30"/>
  <c r="W34" i="30"/>
  <c r="BC68" i="30"/>
  <c r="AL54" i="30"/>
  <c r="U15" i="30"/>
  <c r="AU15" i="30"/>
  <c r="V90" i="30"/>
  <c r="BL7" i="30"/>
  <c r="BJ88" i="30"/>
  <c r="BH88" i="30"/>
  <c r="AK88" i="30"/>
  <c r="AR88" i="30"/>
  <c r="BD88" i="30"/>
  <c r="AW88" i="30"/>
  <c r="AK60" i="30"/>
  <c r="AG60" i="30"/>
  <c r="BP60" i="30"/>
  <c r="BQ60" i="30"/>
  <c r="BR60" i="30"/>
  <c r="V87" i="30"/>
  <c r="AQ87" i="30"/>
  <c r="BT87" i="30"/>
  <c r="AB87" i="30"/>
  <c r="AT89" i="30"/>
  <c r="BO89" i="30"/>
  <c r="AU89" i="30"/>
  <c r="U89" i="30"/>
  <c r="BB89" i="30"/>
  <c r="BF48" i="30"/>
  <c r="BC38" i="30"/>
  <c r="AN39" i="30"/>
  <c r="AF48" i="30"/>
  <c r="W38" i="30"/>
  <c r="BE48" i="30"/>
  <c r="AP38" i="30"/>
  <c r="BT38" i="30"/>
  <c r="BH26" i="30"/>
  <c r="AC38" i="30"/>
  <c r="AB38" i="30"/>
  <c r="BD38" i="30"/>
  <c r="BN71" i="30"/>
  <c r="X71" i="30"/>
  <c r="BB71" i="30"/>
  <c r="BE20" i="30"/>
  <c r="AE71" i="30"/>
  <c r="BF38" i="30"/>
  <c r="BB10" i="30"/>
  <c r="Z38" i="30"/>
  <c r="AM38" i="30"/>
  <c r="AK72" i="30"/>
  <c r="BG11" i="30"/>
  <c r="AC11" i="30"/>
  <c r="AZ11" i="30"/>
  <c r="BT11" i="30"/>
  <c r="BO11" i="30"/>
  <c r="BM11" i="30"/>
  <c r="AL11" i="30"/>
  <c r="BN11" i="30"/>
  <c r="AE11" i="30"/>
  <c r="BR11" i="30"/>
  <c r="AW11" i="30"/>
  <c r="BJ11" i="30"/>
  <c r="AR11" i="30"/>
  <c r="AI11" i="30"/>
  <c r="AV11" i="30"/>
  <c r="BS11" i="30"/>
  <c r="AJ11" i="30"/>
  <c r="AD11" i="30"/>
  <c r="AO11" i="30"/>
  <c r="BP11" i="30"/>
  <c r="AX11" i="30"/>
  <c r="AY11" i="30"/>
  <c r="BB11" i="30"/>
  <c r="Y11" i="30"/>
  <c r="AU11" i="30"/>
  <c r="BH74" i="30"/>
  <c r="BT74" i="30"/>
  <c r="BL74" i="30"/>
  <c r="AY74" i="30"/>
  <c r="Y74" i="30"/>
  <c r="BA74" i="30"/>
  <c r="AL74" i="30"/>
  <c r="AX74" i="30"/>
  <c r="AP74" i="30"/>
  <c r="AI74" i="30"/>
  <c r="AH74" i="30"/>
  <c r="X74" i="30"/>
  <c r="BQ74" i="30"/>
  <c r="BS74" i="30"/>
  <c r="U74" i="30"/>
  <c r="BR74" i="30"/>
  <c r="AO74" i="30"/>
  <c r="BM74" i="30"/>
  <c r="AV74" i="30"/>
  <c r="BC74" i="30"/>
  <c r="AJ74" i="30"/>
  <c r="AW74" i="30"/>
  <c r="BI74" i="30"/>
  <c r="AF74" i="30"/>
  <c r="Z74" i="30"/>
  <c r="AM74" i="30"/>
  <c r="AS74" i="30"/>
  <c r="AB74" i="30"/>
  <c r="AU74" i="30"/>
  <c r="AD74" i="30"/>
  <c r="BG74" i="30"/>
  <c r="AT74" i="30"/>
  <c r="W74" i="30"/>
  <c r="AZ74" i="30"/>
  <c r="BF74" i="30"/>
  <c r="V74" i="30"/>
  <c r="AR74" i="30"/>
  <c r="BK74" i="30"/>
  <c r="AQ74" i="30"/>
  <c r="BD74" i="30"/>
  <c r="BB74" i="30"/>
  <c r="AC74" i="30"/>
  <c r="AK74" i="30"/>
  <c r="BN74" i="30"/>
  <c r="BE74" i="30"/>
  <c r="BG24" i="30"/>
  <c r="AE24" i="30"/>
  <c r="AN24" i="30"/>
  <c r="AI24" i="30"/>
  <c r="Y24" i="30"/>
  <c r="AY24" i="30"/>
  <c r="AO24" i="30"/>
  <c r="BO24" i="30"/>
  <c r="BE24" i="30"/>
  <c r="BH24" i="30"/>
  <c r="V24" i="30"/>
  <c r="BA24" i="30"/>
  <c r="U24" i="30"/>
  <c r="AL24" i="30"/>
  <c r="BN24" i="30"/>
  <c r="X24" i="30"/>
  <c r="AH24" i="30"/>
  <c r="AV24" i="30"/>
  <c r="BB24" i="30"/>
  <c r="AD80" i="30"/>
  <c r="AN80" i="30"/>
  <c r="AT80" i="30"/>
  <c r="AP80" i="30"/>
  <c r="AR80" i="30"/>
  <c r="AE80" i="30"/>
  <c r="BI80" i="30"/>
  <c r="AU80" i="30"/>
  <c r="BG80" i="30"/>
  <c r="AG80" i="30"/>
  <c r="BK80" i="30"/>
  <c r="BR80" i="30"/>
  <c r="X80" i="30"/>
  <c r="AV80" i="30"/>
  <c r="BJ80" i="30"/>
  <c r="AX80" i="30"/>
  <c r="BL80" i="30"/>
  <c r="AS80" i="30"/>
  <c r="BH80" i="30"/>
  <c r="AJ80" i="30"/>
  <c r="AW80" i="30"/>
  <c r="AF34" i="30"/>
  <c r="Y34" i="30"/>
  <c r="AI34" i="30"/>
  <c r="AY34" i="30"/>
  <c r="AO54" i="30"/>
  <c r="AB54" i="30"/>
  <c r="BD58" i="30"/>
  <c r="AH58" i="30"/>
  <c r="AC58" i="30"/>
  <c r="W58" i="30"/>
  <c r="BF58" i="30"/>
  <c r="BI58" i="30"/>
  <c r="BB58" i="30"/>
  <c r="AG58" i="30"/>
  <c r="AU58" i="30"/>
  <c r="BS58" i="30"/>
  <c r="AZ58" i="30"/>
  <c r="BA58" i="30"/>
  <c r="AP58" i="30"/>
  <c r="AN58" i="30"/>
  <c r="U58" i="30"/>
  <c r="AW58" i="30"/>
  <c r="Y58" i="30"/>
  <c r="AF58" i="30"/>
  <c r="Z58" i="30"/>
  <c r="BE58" i="30"/>
  <c r="BG58" i="30"/>
  <c r="AT58" i="30"/>
  <c r="AS58" i="30"/>
  <c r="AM58" i="30"/>
  <c r="AO58" i="30"/>
  <c r="AK58" i="30"/>
  <c r="AD58" i="30"/>
  <c r="X58" i="30"/>
  <c r="BQ58" i="30"/>
  <c r="BN58" i="30"/>
  <c r="BT58" i="30"/>
  <c r="BM58" i="30"/>
  <c r="AE58" i="30"/>
  <c r="AV58" i="30"/>
  <c r="AL27" i="30"/>
  <c r="BK27" i="30"/>
  <c r="AK27" i="30"/>
  <c r="BJ27" i="30"/>
  <c r="AV27" i="30"/>
  <c r="AC27" i="30"/>
  <c r="V27" i="30"/>
  <c r="AU27" i="30"/>
  <c r="U27" i="30"/>
  <c r="AT27" i="30"/>
  <c r="AJ27" i="30"/>
  <c r="AM27" i="30"/>
  <c r="BE27" i="30"/>
  <c r="AE27" i="30"/>
  <c r="BT27" i="30"/>
  <c r="AD27" i="30"/>
  <c r="BS27" i="30"/>
  <c r="Z27" i="30"/>
  <c r="BO27" i="30"/>
  <c r="AO27" i="30"/>
  <c r="BN27" i="30"/>
  <c r="BL27" i="30"/>
  <c r="BM27" i="30"/>
  <c r="BF27" i="30"/>
  <c r="AR27" i="30"/>
  <c r="AY27" i="30"/>
  <c r="Y27" i="30"/>
  <c r="AX27" i="30"/>
  <c r="AZ27" i="30"/>
  <c r="AW27" i="30"/>
  <c r="AS27" i="30"/>
  <c r="AI27" i="30"/>
  <c r="AB27" i="30"/>
  <c r="AH27" i="30"/>
  <c r="BG27" i="30"/>
  <c r="AG27" i="30"/>
  <c r="AF27" i="30"/>
  <c r="BR27" i="30"/>
  <c r="X27" i="30"/>
  <c r="BQ27" i="30"/>
  <c r="AQ27" i="30"/>
  <c r="BH27" i="30"/>
  <c r="BC27" i="30"/>
  <c r="AH96" i="30"/>
  <c r="AY96" i="30"/>
  <c r="BQ96" i="30"/>
  <c r="AE96" i="30"/>
  <c r="BO26" i="30"/>
  <c r="AO26" i="30"/>
  <c r="BN26" i="30"/>
  <c r="AZ26" i="30"/>
  <c r="BM26" i="30"/>
  <c r="BF26" i="30"/>
  <c r="AV26" i="30"/>
  <c r="AY26" i="30"/>
  <c r="Y26" i="30"/>
  <c r="AX26" i="30"/>
  <c r="AN26" i="30"/>
  <c r="AW26" i="30"/>
  <c r="AS26" i="30"/>
  <c r="AI26" i="30"/>
  <c r="AF26" i="30"/>
  <c r="AH26" i="30"/>
  <c r="BG26" i="30"/>
  <c r="AG26" i="30"/>
  <c r="BT26" i="30"/>
  <c r="BR26" i="30"/>
  <c r="BP26" i="30"/>
  <c r="BQ26" i="30"/>
  <c r="AQ26" i="30"/>
  <c r="BL26" i="30"/>
  <c r="BC26" i="30"/>
  <c r="BB26" i="30"/>
  <c r="BD26" i="30"/>
  <c r="BA26" i="30"/>
  <c r="AA26" i="30"/>
  <c r="AR26" i="30"/>
  <c r="AP26" i="30"/>
  <c r="AL26" i="30"/>
  <c r="BK26" i="30"/>
  <c r="AK26" i="30"/>
  <c r="BJ26" i="30"/>
  <c r="AJ26" i="30"/>
  <c r="AC26" i="30"/>
  <c r="AB26" i="30"/>
  <c r="V26" i="30"/>
  <c r="AU26" i="30"/>
  <c r="U26" i="30"/>
  <c r="AT26" i="30"/>
  <c r="X26" i="30"/>
  <c r="AM26" i="30"/>
  <c r="BR42" i="30"/>
  <c r="BD42" i="30"/>
  <c r="AP42" i="30"/>
  <c r="AB42" i="30"/>
  <c r="Y42" i="30"/>
  <c r="AI42" i="30"/>
  <c r="BQ42" i="30"/>
  <c r="AO42" i="30"/>
  <c r="U42" i="30"/>
  <c r="AL42" i="30"/>
  <c r="BK42" i="30"/>
  <c r="BH42" i="30"/>
  <c r="AY42" i="30"/>
  <c r="AV42" i="30"/>
  <c r="AJ42" i="30"/>
  <c r="W42" i="30"/>
  <c r="BP42" i="30"/>
  <c r="AM42" i="30"/>
  <c r="BO42" i="30"/>
  <c r="AT42" i="30"/>
  <c r="BC42" i="30"/>
  <c r="AF20" i="30"/>
  <c r="AP20" i="30"/>
  <c r="AA20" i="30"/>
  <c r="AC20" i="30"/>
  <c r="AV20" i="30"/>
  <c r="AQ20" i="30"/>
  <c r="BM20" i="30"/>
  <c r="BK20" i="30"/>
  <c r="BD20" i="30"/>
  <c r="AJ20" i="30"/>
  <c r="AR20" i="30"/>
  <c r="AW20" i="30"/>
  <c r="AU20" i="30"/>
  <c r="AD20" i="30"/>
  <c r="AG20" i="30"/>
  <c r="BR20" i="30"/>
  <c r="BO20" i="30"/>
  <c r="BT20" i="30"/>
  <c r="BB20" i="30"/>
  <c r="BQ20" i="30"/>
  <c r="AY20" i="30"/>
  <c r="X20" i="30"/>
  <c r="AL20" i="30"/>
  <c r="BJ20" i="30"/>
  <c r="AI20" i="30"/>
  <c r="AZ20" i="30"/>
  <c r="BI20" i="30"/>
  <c r="BC20" i="30"/>
  <c r="AU8" i="30"/>
  <c r="AH8" i="31" s="1"/>
  <c r="AS8" i="30"/>
  <c r="AF8" i="31" s="1"/>
  <c r="AJ8" i="30"/>
  <c r="W8" i="31" s="1"/>
  <c r="AN8" i="30"/>
  <c r="AA8" i="31" s="1"/>
  <c r="Z8" i="30"/>
  <c r="M8" i="31" s="1"/>
  <c r="BD8" i="30"/>
  <c r="AQ8" i="31" s="1"/>
  <c r="BH8" i="30"/>
  <c r="AU8" i="31" s="1"/>
  <c r="AC8" i="30"/>
  <c r="P8" i="31" s="1"/>
  <c r="BB8" i="30"/>
  <c r="AO8" i="31" s="1"/>
  <c r="BP8" i="30"/>
  <c r="BC8" i="31" s="1"/>
  <c r="AK8" i="30"/>
  <c r="X8" i="31" s="1"/>
  <c r="AR8" i="30"/>
  <c r="AE8" i="31" s="1"/>
  <c r="BM8" i="30"/>
  <c r="AZ8" i="31" s="1"/>
  <c r="AM8" i="30"/>
  <c r="Z8" i="31" s="1"/>
  <c r="BO8" i="30"/>
  <c r="BB8" i="31" s="1"/>
  <c r="AF8" i="30"/>
  <c r="S8" i="31" s="1"/>
  <c r="BS8" i="30"/>
  <c r="BF8" i="31" s="1"/>
  <c r="AZ8" i="30"/>
  <c r="AM8" i="31" s="1"/>
  <c r="V8" i="30"/>
  <c r="I8" i="31" s="1"/>
  <c r="W8" i="30"/>
  <c r="J8" i="31" s="1"/>
  <c r="AW8" i="30"/>
  <c r="AJ8" i="31" s="1"/>
  <c r="BK8" i="30"/>
  <c r="AX8" i="31" s="1"/>
  <c r="AT8" i="30"/>
  <c r="AG8" i="31" s="1"/>
  <c r="AP8" i="30"/>
  <c r="AC8" i="31" s="1"/>
  <c r="AX8" i="30"/>
  <c r="AK8" i="31" s="1"/>
  <c r="BL8" i="30"/>
  <c r="AY8" i="31" s="1"/>
  <c r="AG8" i="30"/>
  <c r="T8" i="31" s="1"/>
  <c r="BG8" i="30"/>
  <c r="AT8" i="31" s="1"/>
  <c r="X8" i="30"/>
  <c r="K8" i="31" s="1"/>
  <c r="BE8" i="30"/>
  <c r="AR8" i="31" s="1"/>
  <c r="AB8" i="30"/>
  <c r="O8" i="31" s="1"/>
  <c r="U8" i="30"/>
  <c r="H8" i="31" s="1"/>
  <c r="BT8" i="30"/>
  <c r="BG8" i="31" s="1"/>
  <c r="AL8" i="30"/>
  <c r="Y8" i="31" s="1"/>
  <c r="AE8" i="30"/>
  <c r="R8" i="31" s="1"/>
  <c r="AO8" i="30"/>
  <c r="AB8" i="31" s="1"/>
  <c r="BR8" i="30"/>
  <c r="BE8" i="31" s="1"/>
  <c r="BN8" i="30"/>
  <c r="BA8" i="31" s="1"/>
  <c r="AY8" i="30"/>
  <c r="AL8" i="31" s="1"/>
  <c r="BF8" i="30"/>
  <c r="AS8" i="31" s="1"/>
  <c r="BC8" i="30"/>
  <c r="AP8" i="31" s="1"/>
  <c r="Y8" i="30"/>
  <c r="L8" i="31" s="1"/>
  <c r="AV8" i="30"/>
  <c r="AI8" i="31" s="1"/>
  <c r="AQ8" i="30"/>
  <c r="AD8" i="31" s="1"/>
  <c r="AJ49" i="30"/>
  <c r="AD49" i="30"/>
  <c r="BD49" i="30"/>
  <c r="BP49" i="30"/>
  <c r="BN49" i="30"/>
  <c r="BM49" i="30"/>
  <c r="BL49" i="30"/>
  <c r="AC49" i="30"/>
  <c r="AU49" i="30"/>
  <c r="AX49" i="30"/>
  <c r="AR49" i="30"/>
  <c r="AQ49" i="30"/>
  <c r="BI49" i="30"/>
  <c r="Y49" i="30"/>
  <c r="BT49" i="30"/>
  <c r="AH49" i="30"/>
  <c r="W49" i="30"/>
  <c r="U49" i="30"/>
  <c r="BF49" i="30"/>
  <c r="BC49" i="30"/>
  <c r="BR49" i="30"/>
  <c r="BQ49" i="30"/>
  <c r="AY49" i="30"/>
  <c r="AZ49" i="30"/>
  <c r="AP49" i="30"/>
  <c r="AG49" i="30"/>
  <c r="V49" i="30"/>
  <c r="AV49" i="30"/>
  <c r="X49" i="30"/>
  <c r="AE49" i="30"/>
  <c r="Z49" i="30"/>
  <c r="AI49" i="30"/>
  <c r="BA49" i="30"/>
  <c r="AA49" i="30"/>
  <c r="BJ49" i="30"/>
  <c r="BH49" i="30"/>
  <c r="BG49" i="30"/>
  <c r="BO49" i="30"/>
  <c r="AX94" i="30"/>
  <c r="W94" i="30"/>
  <c r="AQ94" i="30"/>
  <c r="BH94" i="30"/>
  <c r="AC94" i="30"/>
  <c r="AH94" i="30"/>
  <c r="AE94" i="30"/>
  <c r="U94" i="30"/>
  <c r="BF94" i="30"/>
  <c r="AR94" i="30"/>
  <c r="BQ94" i="30"/>
  <c r="AJ94" i="30"/>
  <c r="BD94" i="30"/>
  <c r="AP94" i="30"/>
  <c r="AA94" i="30"/>
  <c r="BJ94" i="30"/>
  <c r="BC94" i="30"/>
  <c r="BG94" i="30"/>
  <c r="AM94" i="30"/>
  <c r="BI94" i="30"/>
  <c r="AT94" i="30"/>
  <c r="BK94" i="30"/>
  <c r="AK94" i="30"/>
  <c r="AW94" i="30"/>
  <c r="AF37" i="30"/>
  <c r="Z37" i="30"/>
  <c r="BB37" i="30"/>
  <c r="AM37" i="30"/>
  <c r="BE37" i="30"/>
  <c r="AE37" i="30"/>
  <c r="BL37" i="30"/>
  <c r="BI37" i="30"/>
  <c r="AT21" i="30"/>
  <c r="X21" i="30"/>
  <c r="AN21" i="30"/>
  <c r="Y21" i="30"/>
  <c r="AY21" i="30"/>
  <c r="AK21" i="30"/>
  <c r="BP21" i="30"/>
  <c r="AO21" i="30"/>
  <c r="BO21" i="30"/>
  <c r="BL21" i="30"/>
  <c r="BQ21" i="30"/>
  <c r="AD21" i="30"/>
  <c r="BE21" i="30"/>
  <c r="BG21" i="30"/>
  <c r="AU21" i="30"/>
  <c r="AA21" i="30"/>
  <c r="AX21" i="30"/>
  <c r="BH21" i="30"/>
  <c r="BT21" i="30"/>
  <c r="V21" i="30"/>
  <c r="AG21" i="30"/>
  <c r="AE21" i="30"/>
  <c r="AW21" i="30"/>
  <c r="U21" i="30"/>
  <c r="BS21" i="30"/>
  <c r="AL21" i="30"/>
  <c r="BM21" i="30"/>
  <c r="BK21" i="30"/>
  <c r="BJ21" i="30"/>
  <c r="BA21" i="30"/>
  <c r="AB21" i="30"/>
  <c r="BB21" i="30"/>
  <c r="AQ21" i="30"/>
  <c r="AH21" i="30"/>
  <c r="AF21" i="30"/>
  <c r="BR21" i="30"/>
  <c r="BP93" i="30"/>
  <c r="AI93" i="30"/>
  <c r="AB93" i="30"/>
  <c r="BE93" i="30"/>
  <c r="AV93" i="30"/>
  <c r="AZ93" i="30"/>
  <c r="BF93" i="30"/>
  <c r="AU93" i="30"/>
  <c r="BQ93" i="30"/>
  <c r="AQ93" i="30"/>
  <c r="AJ93" i="30"/>
  <c r="BG93" i="30"/>
  <c r="BL93" i="30"/>
  <c r="AP93" i="30"/>
  <c r="Y93" i="30"/>
  <c r="BR93" i="30"/>
  <c r="BI93" i="30"/>
  <c r="BM93" i="30"/>
  <c r="BB93" i="30"/>
  <c r="AK93" i="30"/>
  <c r="Z93" i="30"/>
  <c r="BC93" i="30"/>
  <c r="AL93" i="30"/>
  <c r="BO93" i="30"/>
  <c r="AR93" i="30"/>
  <c r="BH93" i="30"/>
  <c r="BN93" i="30"/>
  <c r="AG93" i="30"/>
  <c r="BK93" i="30"/>
  <c r="X93" i="30"/>
  <c r="W93" i="30"/>
  <c r="AN93" i="30"/>
  <c r="AX93" i="30"/>
  <c r="BA93" i="30"/>
  <c r="AO93" i="30"/>
  <c r="AA93" i="30"/>
  <c r="AF93" i="30"/>
  <c r="V93" i="30"/>
  <c r="AH93" i="30"/>
  <c r="BT93" i="30"/>
  <c r="BS93" i="30"/>
  <c r="BJ93" i="30"/>
  <c r="AY93" i="30"/>
  <c r="AM93" i="30"/>
  <c r="BF91" i="30"/>
  <c r="BE91" i="30"/>
  <c r="AV19" i="30"/>
  <c r="AK19" i="30"/>
  <c r="BP19" i="30"/>
  <c r="AB19" i="30"/>
  <c r="BI19" i="30"/>
  <c r="X19" i="30"/>
  <c r="BE19" i="30"/>
  <c r="AA19" i="30"/>
  <c r="U19" i="30"/>
  <c r="AU19" i="30"/>
  <c r="AN19" i="30"/>
  <c r="AR19" i="30"/>
  <c r="BF19" i="30"/>
  <c r="AO19" i="30"/>
  <c r="AD19" i="30"/>
  <c r="BC19" i="30"/>
  <c r="Z19" i="30"/>
  <c r="BG19" i="30"/>
  <c r="AF19" i="30"/>
  <c r="BN19" i="30"/>
  <c r="Y19" i="30"/>
  <c r="AZ19" i="30"/>
  <c r="AH19" i="30"/>
  <c r="BM19" i="30"/>
  <c r="AL19" i="30"/>
  <c r="AY19" i="30"/>
  <c r="BB19" i="30"/>
  <c r="BH19" i="30"/>
  <c r="AE19" i="30"/>
  <c r="AT19" i="30"/>
  <c r="AW19" i="30"/>
  <c r="BT19" i="30"/>
  <c r="AS19" i="30"/>
  <c r="AJ19" i="30"/>
  <c r="AM19" i="30"/>
  <c r="AI19" i="30"/>
  <c r="BL19" i="30"/>
  <c r="AG19" i="30"/>
  <c r="BK19" i="30"/>
  <c r="W19" i="30"/>
  <c r="BJ19" i="30"/>
  <c r="BQ19" i="30"/>
  <c r="AQ19" i="30"/>
  <c r="BS19" i="30"/>
  <c r="AP19" i="30"/>
  <c r="BD19" i="30"/>
  <c r="BE61" i="30"/>
  <c r="AT61" i="30"/>
  <c r="AM61" i="30"/>
  <c r="AK61" i="30"/>
  <c r="AI61" i="30"/>
  <c r="BB61" i="30"/>
  <c r="AN11" i="30"/>
  <c r="AG11" i="30"/>
  <c r="BK58" i="30"/>
  <c r="X42" i="30"/>
  <c r="BH20" i="30"/>
  <c r="AK49" i="30"/>
  <c r="AE26" i="30"/>
  <c r="AA74" i="30"/>
  <c r="BN21" i="30"/>
  <c r="Y94" i="30"/>
  <c r="AV94" i="30"/>
  <c r="AF11" i="30"/>
  <c r="BO58" i="30"/>
  <c r="AX42" i="30"/>
  <c r="BM80" i="30"/>
  <c r="AI21" i="30"/>
  <c r="BQ8" i="30"/>
  <c r="BD8" i="31" s="1"/>
  <c r="BF20" i="30"/>
  <c r="BD93" i="30"/>
  <c r="AM49" i="30"/>
  <c r="BE26" i="30"/>
  <c r="BE80" i="30"/>
  <c r="AA80" i="30"/>
  <c r="X11" i="30"/>
  <c r="W11" i="30"/>
  <c r="AR58" i="30"/>
  <c r="BI26" i="30"/>
  <c r="U80" i="30"/>
  <c r="AJ21" i="30"/>
  <c r="AL96" i="30"/>
  <c r="AA8" i="30"/>
  <c r="N8" i="31" s="1"/>
  <c r="AP27" i="30"/>
  <c r="AD93" i="30"/>
  <c r="AT49" i="30"/>
  <c r="AN74" i="30"/>
  <c r="BO19" i="30"/>
  <c r="BR58" i="30"/>
  <c r="Z11" i="30"/>
  <c r="AS11" i="30"/>
  <c r="BJ58" i="30"/>
  <c r="BC58" i="30"/>
  <c r="BR24" i="30"/>
  <c r="BJ8" i="30"/>
  <c r="AW8" i="31" s="1"/>
  <c r="BD27" i="30"/>
  <c r="BE49" i="30"/>
  <c r="AE74" i="30"/>
  <c r="AU24" i="30"/>
  <c r="BD21" i="30"/>
  <c r="W37" i="30"/>
  <c r="BE94" i="30"/>
  <c r="BL94" i="30"/>
  <c r="AA11" i="30"/>
  <c r="BI11" i="30"/>
  <c r="AY58" i="30"/>
  <c r="AZ37" i="30"/>
  <c r="AJ24" i="30"/>
  <c r="AH8" i="30"/>
  <c r="U8" i="31" s="1"/>
  <c r="AA27" i="30"/>
  <c r="AC93" i="30"/>
  <c r="Z26" i="30"/>
  <c r="BP74" i="30"/>
  <c r="V19" i="30"/>
  <c r="AH91" i="30"/>
  <c r="AK80" i="30"/>
  <c r="BC24" i="30"/>
  <c r="AC24" i="30"/>
  <c r="BK54" i="30"/>
  <c r="BP37" i="30"/>
  <c r="AQ37" i="30"/>
  <c r="AH37" i="30"/>
  <c r="Y37" i="30"/>
  <c r="AZ94" i="30"/>
  <c r="AD94" i="30"/>
  <c r="AM11" i="30"/>
  <c r="BF11" i="30"/>
  <c r="BP58" i="30"/>
  <c r="AB58" i="30"/>
  <c r="AO49" i="30"/>
  <c r="AK20" i="30"/>
  <c r="BI8" i="30"/>
  <c r="AV8" i="31" s="1"/>
  <c r="BA27" i="30"/>
  <c r="AT93" i="30"/>
  <c r="BS26" i="30"/>
  <c r="BO74" i="30"/>
  <c r="BA19" i="30"/>
  <c r="BH11" i="30"/>
  <c r="AT11" i="30"/>
  <c r="AD8" i="30"/>
  <c r="Q8" i="31" s="1"/>
  <c r="BP27" i="30"/>
  <c r="AD26" i="30"/>
  <c r="AG74" i="30"/>
  <c r="AB20" i="30"/>
  <c r="BA42" i="30"/>
  <c r="AH100" i="30"/>
  <c r="AM17" i="30"/>
  <c r="AP35" i="30"/>
  <c r="BG70" i="30"/>
  <c r="AT59" i="30"/>
  <c r="AU56" i="30"/>
  <c r="AS97" i="30"/>
  <c r="AY91" i="30"/>
  <c r="X91" i="30"/>
  <c r="AS49" i="30"/>
  <c r="Y91" i="30"/>
  <c r="AF70" i="30"/>
  <c r="BD9" i="30"/>
  <c r="AB57" i="30"/>
  <c r="BT67" i="30"/>
  <c r="BS49" i="30"/>
  <c r="BI46" i="30"/>
  <c r="BR64" i="30"/>
  <c r="BP75" i="30"/>
  <c r="BC41" i="30"/>
  <c r="BA99" i="30"/>
  <c r="AQ51" i="30"/>
  <c r="Z28" i="30"/>
  <c r="Z32" i="30"/>
  <c r="AR78" i="30"/>
  <c r="BL62" i="30"/>
  <c r="BQ52" i="30"/>
  <c r="AV77" i="30"/>
  <c r="AP36" i="30"/>
  <c r="BS63" i="30"/>
  <c r="BN16" i="30"/>
  <c r="AA30" i="30"/>
  <c r="BA64" i="30"/>
  <c r="AO18" i="30"/>
  <c r="AW22" i="30"/>
  <c r="BD32" i="30"/>
  <c r="AQ64" i="30"/>
  <c r="X100" i="30"/>
  <c r="BJ67" i="30"/>
  <c r="AO75" i="30"/>
  <c r="BM70" i="30"/>
  <c r="BA30" i="30"/>
  <c r="AI81" i="30"/>
  <c r="AG62" i="30"/>
  <c r="AC30" i="30"/>
  <c r="BJ76" i="30"/>
  <c r="BR9" i="30"/>
  <c r="AR31" i="30"/>
  <c r="BT63" i="30"/>
  <c r="BL76" i="30"/>
  <c r="AH36" i="30"/>
  <c r="U9" i="30"/>
  <c r="AZ13" i="30"/>
  <c r="BN10" i="30"/>
  <c r="BL50" i="30"/>
  <c r="AG50" i="30"/>
  <c r="AL50" i="30"/>
  <c r="BB50" i="30"/>
  <c r="BD50" i="30"/>
  <c r="AM75" i="30"/>
  <c r="BD28" i="30"/>
  <c r="AS100" i="30"/>
  <c r="BQ13" i="30"/>
  <c r="BE50" i="30"/>
  <c r="AP30" i="30"/>
  <c r="AG31" i="30"/>
  <c r="BG10" i="30"/>
  <c r="AN64" i="30"/>
  <c r="AV99" i="30"/>
  <c r="AX100" i="30"/>
  <c r="BQ9" i="30"/>
  <c r="AR99" i="30"/>
  <c r="BC75" i="30"/>
  <c r="AC81" i="30"/>
  <c r="V100" i="30"/>
  <c r="BS100" i="30"/>
  <c r="BB100" i="30"/>
  <c r="BJ100" i="30"/>
  <c r="Y100" i="30"/>
  <c r="AC100" i="30"/>
  <c r="AO100" i="30"/>
  <c r="AF100" i="30"/>
  <c r="BE100" i="30"/>
  <c r="BH100" i="30"/>
  <c r="BI100" i="30"/>
  <c r="AB100" i="30"/>
  <c r="W100" i="30"/>
  <c r="AP100" i="30"/>
  <c r="AA100" i="30"/>
  <c r="AJ100" i="30"/>
  <c r="BC100" i="30"/>
  <c r="AV100" i="30"/>
  <c r="BL17" i="30"/>
  <c r="AN17" i="30"/>
  <c r="AZ17" i="30"/>
  <c r="AM62" i="30"/>
  <c r="BM62" i="30"/>
  <c r="AA62" i="30"/>
  <c r="AT62" i="30"/>
  <c r="AE62" i="30"/>
  <c r="W62" i="30"/>
  <c r="BE62" i="30"/>
  <c r="BQ62" i="30"/>
  <c r="AS62" i="30"/>
  <c r="AD62" i="30"/>
  <c r="BD62" i="30"/>
  <c r="BT62" i="30"/>
  <c r="BR62" i="30"/>
  <c r="AF62" i="30"/>
  <c r="BP62" i="30"/>
  <c r="X62" i="30"/>
  <c r="AW62" i="30"/>
  <c r="Z62" i="30"/>
  <c r="AP62" i="30"/>
  <c r="AZ62" i="30"/>
  <c r="AY62" i="30"/>
  <c r="AX62" i="30"/>
  <c r="BA62" i="30"/>
  <c r="AB62" i="30"/>
  <c r="BN62" i="30"/>
  <c r="AK62" i="30"/>
  <c r="BC62" i="30"/>
  <c r="AC62" i="30"/>
  <c r="AH62" i="30"/>
  <c r="BO62" i="30"/>
  <c r="AQ62" i="30"/>
  <c r="BG62" i="30"/>
  <c r="AU62" i="30"/>
  <c r="BB62" i="30"/>
  <c r="AJ62" i="30"/>
  <c r="BI62" i="30"/>
  <c r="BH62" i="30"/>
  <c r="U62" i="30"/>
  <c r="AR62" i="30"/>
  <c r="V62" i="30"/>
  <c r="BS62" i="30"/>
  <c r="AV62" i="30"/>
  <c r="BJ62" i="30"/>
  <c r="AO62" i="30"/>
  <c r="BF62" i="30"/>
  <c r="BG52" i="30"/>
  <c r="AK52" i="30"/>
  <c r="BH52" i="30"/>
  <c r="AA52" i="30"/>
  <c r="BM52" i="30"/>
  <c r="AI76" i="30"/>
  <c r="AK76" i="30"/>
  <c r="BH76" i="30"/>
  <c r="AJ76" i="30"/>
  <c r="BD76" i="30"/>
  <c r="V76" i="30"/>
  <c r="BN76" i="30"/>
  <c r="AH76" i="30"/>
  <c r="BC76" i="30"/>
  <c r="AS76" i="30"/>
  <c r="AL76" i="30"/>
  <c r="AX76" i="30"/>
  <c r="X76" i="30"/>
  <c r="AW76" i="30"/>
  <c r="BB76" i="30"/>
  <c r="BG76" i="30"/>
  <c r="AR76" i="30"/>
  <c r="AU76" i="30"/>
  <c r="AY76" i="30"/>
  <c r="AA76" i="30"/>
  <c r="BI76" i="30"/>
  <c r="U76" i="30"/>
  <c r="AQ69" i="30"/>
  <c r="AS69" i="30"/>
  <c r="BM69" i="30"/>
  <c r="AB63" i="30"/>
  <c r="AM63" i="30"/>
  <c r="AF63" i="30"/>
  <c r="AC63" i="30"/>
  <c r="AE63" i="30"/>
  <c r="BL63" i="30"/>
  <c r="BG63" i="30"/>
  <c r="BF63" i="30"/>
  <c r="W63" i="30"/>
  <c r="AD63" i="30"/>
  <c r="BH63" i="30"/>
  <c r="BB63" i="30"/>
  <c r="AO63" i="30"/>
  <c r="AQ63" i="30"/>
  <c r="AK63" i="30"/>
  <c r="BD63" i="30"/>
  <c r="BE63" i="30"/>
  <c r="AL63" i="30"/>
  <c r="U63" i="30"/>
  <c r="X63" i="30"/>
  <c r="AA63" i="30"/>
  <c r="AZ63" i="30"/>
  <c r="AH63" i="30"/>
  <c r="BO63" i="30"/>
  <c r="BQ63" i="30"/>
  <c r="BN63" i="30"/>
  <c r="AP63" i="30"/>
  <c r="BI63" i="30"/>
  <c r="Y63" i="30"/>
  <c r="BM63" i="30"/>
  <c r="AY63" i="30"/>
  <c r="AV63" i="30"/>
  <c r="AG63" i="30"/>
  <c r="AN63" i="30"/>
  <c r="BJ63" i="30"/>
  <c r="AR63" i="30"/>
  <c r="AI63" i="30"/>
  <c r="Z63" i="30"/>
  <c r="AT63" i="30"/>
  <c r="AW63" i="30"/>
  <c r="BC63" i="30"/>
  <c r="BA63" i="30"/>
  <c r="AX63" i="30"/>
  <c r="AJ63" i="30"/>
  <c r="AS63" i="30"/>
  <c r="V30" i="30"/>
  <c r="AU30" i="30"/>
  <c r="U30" i="30"/>
  <c r="AT30" i="30"/>
  <c r="X30" i="30"/>
  <c r="BE30" i="30"/>
  <c r="AE30" i="30"/>
  <c r="AJ30" i="30"/>
  <c r="AD30" i="30"/>
  <c r="BO30" i="30"/>
  <c r="AO30" i="30"/>
  <c r="BN30" i="30"/>
  <c r="BP30" i="30"/>
  <c r="BM30" i="30"/>
  <c r="AY30" i="30"/>
  <c r="Y30" i="30"/>
  <c r="AX30" i="30"/>
  <c r="AN30" i="30"/>
  <c r="AW30" i="30"/>
  <c r="AI30" i="30"/>
  <c r="AF30" i="30"/>
  <c r="AH30" i="30"/>
  <c r="BG30" i="30"/>
  <c r="AG30" i="30"/>
  <c r="BR30" i="30"/>
  <c r="AB30" i="30"/>
  <c r="BQ30" i="30"/>
  <c r="AQ30" i="30"/>
  <c r="BL30" i="30"/>
  <c r="AV30" i="30"/>
  <c r="AL30" i="30"/>
  <c r="BK30" i="30"/>
  <c r="AK30" i="30"/>
  <c r="BJ30" i="30"/>
  <c r="AZ30" i="30"/>
  <c r="AM30" i="30"/>
  <c r="AZ64" i="30"/>
  <c r="AH64" i="30"/>
  <c r="AX64" i="30"/>
  <c r="BF64" i="30"/>
  <c r="BD64" i="30"/>
  <c r="AP64" i="30"/>
  <c r="BT64" i="30"/>
  <c r="Y64" i="30"/>
  <c r="W64" i="30"/>
  <c r="AG64" i="30"/>
  <c r="BC64" i="30"/>
  <c r="AR64" i="30"/>
  <c r="BI64" i="30"/>
  <c r="BJ64" i="30"/>
  <c r="BS64" i="30"/>
  <c r="AD64" i="30"/>
  <c r="BL64" i="30"/>
  <c r="AO64" i="30"/>
  <c r="AR18" i="30"/>
  <c r="BA18" i="30"/>
  <c r="BR18" i="30"/>
  <c r="BO18" i="30"/>
  <c r="AB85" i="30"/>
  <c r="AT85" i="30"/>
  <c r="BC85" i="30"/>
  <c r="BH85" i="30"/>
  <c r="X85" i="30"/>
  <c r="BQ85" i="30"/>
  <c r="BD85" i="30"/>
  <c r="AI85" i="30"/>
  <c r="Y85" i="30"/>
  <c r="AO85" i="30"/>
  <c r="AH85" i="30"/>
  <c r="BE85" i="30"/>
  <c r="BP85" i="30"/>
  <c r="AM85" i="30"/>
  <c r="AQ22" i="30"/>
  <c r="BL22" i="30"/>
  <c r="BB22" i="30"/>
  <c r="AN22" i="30"/>
  <c r="BC22" i="30"/>
  <c r="AH22" i="30"/>
  <c r="AV22" i="30"/>
  <c r="AA22" i="30"/>
  <c r="BH22" i="30"/>
  <c r="AL22" i="30"/>
  <c r="BK22" i="30"/>
  <c r="W22" i="30"/>
  <c r="BA22" i="30"/>
  <c r="BJ22" i="30"/>
  <c r="BT22" i="30"/>
  <c r="V22" i="30"/>
  <c r="AE22" i="30"/>
  <c r="AP22" i="30"/>
  <c r="U22" i="30"/>
  <c r="AT22" i="30"/>
  <c r="AZ22" i="30"/>
  <c r="BE22" i="30"/>
  <c r="AX22" i="30"/>
  <c r="BI22" i="30"/>
  <c r="BP22" i="30"/>
  <c r="AD22" i="30"/>
  <c r="BO22" i="30"/>
  <c r="AO22" i="30"/>
  <c r="BQ22" i="30"/>
  <c r="AC22" i="30"/>
  <c r="Z22" i="30"/>
  <c r="BM22" i="30"/>
  <c r="AY22" i="30"/>
  <c r="Y22" i="30"/>
  <c r="AK22" i="30"/>
  <c r="AR22" i="30"/>
  <c r="BS22" i="30"/>
  <c r="BG22" i="30"/>
  <c r="AG22" i="30"/>
  <c r="BR22" i="30"/>
  <c r="AB22" i="30"/>
  <c r="X22" i="30"/>
  <c r="BN22" i="30"/>
  <c r="AM22" i="30"/>
  <c r="AP69" i="30"/>
  <c r="AI13" i="30"/>
  <c r="BG31" i="30"/>
  <c r="BL31" i="30"/>
  <c r="BP10" i="30"/>
  <c r="BQ64" i="30"/>
  <c r="BQ99" i="30"/>
  <c r="BT76" i="30"/>
  <c r="Z30" i="30"/>
  <c r="AP67" i="30"/>
  <c r="BD30" i="30"/>
  <c r="AN75" i="30"/>
  <c r="Y62" i="30"/>
  <c r="AB35" i="30"/>
  <c r="AZ76" i="30"/>
  <c r="AP25" i="30"/>
  <c r="X25" i="30"/>
  <c r="BF25" i="30"/>
  <c r="AF25" i="30"/>
  <c r="W25" i="30"/>
  <c r="AZ25" i="30"/>
  <c r="AM25" i="30"/>
  <c r="AC25" i="30"/>
  <c r="BC25" i="30"/>
  <c r="AS25" i="30"/>
  <c r="AL25" i="30"/>
  <c r="Z25" i="30"/>
  <c r="AV13" i="30"/>
  <c r="AE13" i="30"/>
  <c r="AI9" i="30"/>
  <c r="AZ9" i="30"/>
  <c r="BO81" i="30"/>
  <c r="BH81" i="30"/>
  <c r="AZ81" i="30"/>
  <c r="AH81" i="30"/>
  <c r="AN81" i="30"/>
  <c r="Y81" i="30"/>
  <c r="BI81" i="30"/>
  <c r="AM81" i="30"/>
  <c r="AG81" i="30"/>
  <c r="AQ81" i="30"/>
  <c r="X81" i="30"/>
  <c r="AR81" i="30"/>
  <c r="AS81" i="30"/>
  <c r="W81" i="30"/>
  <c r="BR81" i="30"/>
  <c r="BQ81" i="30"/>
  <c r="AX81" i="30"/>
  <c r="AW81" i="30"/>
  <c r="BF81" i="30"/>
  <c r="BB81" i="30"/>
  <c r="AT81" i="30"/>
  <c r="BA81" i="30"/>
  <c r="AE81" i="30"/>
  <c r="BD81" i="30"/>
  <c r="AK81" i="30"/>
  <c r="BN81" i="30"/>
  <c r="AB81" i="30"/>
  <c r="BT81" i="30"/>
  <c r="AL81" i="30"/>
  <c r="AA81" i="30"/>
  <c r="U81" i="30"/>
  <c r="BK81" i="30"/>
  <c r="BC81" i="30"/>
  <c r="AU81" i="30"/>
  <c r="AV81" i="30"/>
  <c r="BL81" i="30"/>
  <c r="AF81" i="30"/>
  <c r="AO81" i="30"/>
  <c r="BG81" i="30"/>
  <c r="BJ81" i="30"/>
  <c r="BM81" i="30"/>
  <c r="V81" i="30"/>
  <c r="AO86" i="30"/>
  <c r="BO86" i="30"/>
  <c r="BF86" i="30"/>
  <c r="BK86" i="30"/>
  <c r="AZ32" i="30"/>
  <c r="W32" i="30"/>
  <c r="BE16" i="30"/>
  <c r="W16" i="30"/>
  <c r="U16" i="30"/>
  <c r="AQ16" i="30"/>
  <c r="AJ16" i="30"/>
  <c r="AT16" i="30"/>
  <c r="BB16" i="30"/>
  <c r="AO16" i="30"/>
  <c r="BR16" i="30"/>
  <c r="BD16" i="30"/>
  <c r="V16" i="30"/>
  <c r="BC16" i="30"/>
  <c r="AB16" i="30"/>
  <c r="AX16" i="30"/>
  <c r="Y16" i="30"/>
  <c r="AV16" i="30"/>
  <c r="AI16" i="30"/>
  <c r="BM16" i="30"/>
  <c r="AH16" i="30"/>
  <c r="AP16" i="30"/>
  <c r="AF16" i="30"/>
  <c r="BJ16" i="30"/>
  <c r="AA16" i="30"/>
  <c r="AZ16" i="30"/>
  <c r="AW16" i="30"/>
  <c r="AU16" i="30"/>
  <c r="AS16" i="30"/>
  <c r="AN16" i="30"/>
  <c r="Z16" i="30"/>
  <c r="BH16" i="30"/>
  <c r="AG16" i="30"/>
  <c r="BG16" i="30"/>
  <c r="X16" i="30"/>
  <c r="BK16" i="30"/>
  <c r="BQ16" i="30"/>
  <c r="AM16" i="30"/>
  <c r="BT16" i="30"/>
  <c r="AL16" i="30"/>
  <c r="AE16" i="30"/>
  <c r="AR16" i="30"/>
  <c r="AK16" i="30"/>
  <c r="BL16" i="30"/>
  <c r="AD16" i="30"/>
  <c r="BI16" i="30"/>
  <c r="BS16" i="30"/>
  <c r="BR13" i="30"/>
  <c r="AM9" i="30"/>
  <c r="AM31" i="30"/>
  <c r="AJ31" i="30"/>
  <c r="AU77" i="30"/>
  <c r="Z10" i="30"/>
  <c r="BH64" i="30"/>
  <c r="BQ17" i="30"/>
  <c r="BB30" i="30"/>
  <c r="AC16" i="30"/>
  <c r="AY81" i="30"/>
  <c r="AS22" i="30"/>
  <c r="AL62" i="30"/>
  <c r="AQ76" i="30"/>
  <c r="AO31" i="30"/>
  <c r="BO31" i="30"/>
  <c r="BQ31" i="30"/>
  <c r="AY31" i="30"/>
  <c r="AP31" i="30"/>
  <c r="BR31" i="30"/>
  <c r="BJ31" i="30"/>
  <c r="BM31" i="30"/>
  <c r="BB31" i="30"/>
  <c r="X31" i="30"/>
  <c r="AV31" i="30"/>
  <c r="BC31" i="30"/>
  <c r="BP31" i="30"/>
  <c r="BT31" i="30"/>
  <c r="AW31" i="30"/>
  <c r="BM10" i="30"/>
  <c r="BO10" i="30"/>
  <c r="AK10" i="30"/>
  <c r="BS10" i="30"/>
  <c r="BA10" i="30"/>
  <c r="AY10" i="30"/>
  <c r="AP10" i="30"/>
  <c r="BQ10" i="30"/>
  <c r="AJ10" i="30"/>
  <c r="AW10" i="30"/>
  <c r="BC10" i="30"/>
  <c r="AU10" i="30"/>
  <c r="AF10" i="30"/>
  <c r="AT10" i="30"/>
  <c r="U10" i="30"/>
  <c r="AB10" i="30"/>
  <c r="AL10" i="30"/>
  <c r="AQ35" i="30"/>
  <c r="AD35" i="30"/>
  <c r="AN35" i="30"/>
  <c r="BK35" i="30"/>
  <c r="AG35" i="30"/>
  <c r="BO35" i="30"/>
  <c r="AK35" i="30"/>
  <c r="BH35" i="30"/>
  <c r="AY35" i="30"/>
  <c r="AZ35" i="30"/>
  <c r="BS35" i="30"/>
  <c r="V35" i="30"/>
  <c r="BT35" i="30"/>
  <c r="BC35" i="30"/>
  <c r="BE35" i="30"/>
  <c r="BF35" i="30"/>
  <c r="Y35" i="30"/>
  <c r="AT35" i="30"/>
  <c r="AC35" i="30"/>
  <c r="BL35" i="30"/>
  <c r="Y67" i="30"/>
  <c r="AB67" i="30"/>
  <c r="AM67" i="30"/>
  <c r="AT67" i="30"/>
  <c r="AC67" i="30"/>
  <c r="BN67" i="30"/>
  <c r="X67" i="30"/>
  <c r="BG67" i="30"/>
  <c r="AV67" i="30"/>
  <c r="W67" i="30"/>
  <c r="BA67" i="30"/>
  <c r="BH67" i="30"/>
  <c r="AG67" i="30"/>
  <c r="BP67" i="30"/>
  <c r="AQ67" i="30"/>
  <c r="BE67" i="30"/>
  <c r="BD67" i="30"/>
  <c r="AZ67" i="30"/>
  <c r="AL67" i="30"/>
  <c r="AF67" i="30"/>
  <c r="AE67" i="30"/>
  <c r="AA67" i="30"/>
  <c r="BL67" i="30"/>
  <c r="AH67" i="30"/>
  <c r="BO67" i="30"/>
  <c r="BQ67" i="30"/>
  <c r="BK67" i="30"/>
  <c r="BB67" i="30"/>
  <c r="BI67" i="30"/>
  <c r="U67" i="30"/>
  <c r="BM67" i="30"/>
  <c r="AY67" i="30"/>
  <c r="Z67" i="30"/>
  <c r="AS67" i="30"/>
  <c r="AN67" i="30"/>
  <c r="AD67" i="30"/>
  <c r="AR67" i="30"/>
  <c r="AI67" i="30"/>
  <c r="AJ67" i="30"/>
  <c r="BF67" i="30"/>
  <c r="AW67" i="30"/>
  <c r="BC67" i="30"/>
  <c r="AK67" i="30"/>
  <c r="AX67" i="30"/>
  <c r="AO67" i="30"/>
  <c r="AU67" i="30"/>
  <c r="BO75" i="30"/>
  <c r="BQ75" i="30"/>
  <c r="BN75" i="30"/>
  <c r="AF75" i="30"/>
  <c r="AW75" i="30"/>
  <c r="AR75" i="30"/>
  <c r="AK75" i="30"/>
  <c r="AY75" i="30"/>
  <c r="Z75" i="30"/>
  <c r="AS75" i="30"/>
  <c r="AD75" i="30"/>
  <c r="AB75" i="30"/>
  <c r="BA75" i="30"/>
  <c r="BM75" i="30"/>
  <c r="AI75" i="30"/>
  <c r="AJ75" i="30"/>
  <c r="X75" i="30"/>
  <c r="BG75" i="30"/>
  <c r="AV75" i="30"/>
  <c r="BS75" i="30"/>
  <c r="BT75" i="30"/>
  <c r="AP75" i="30"/>
  <c r="BB75" i="30"/>
  <c r="AQ75" i="30"/>
  <c r="BE75" i="30"/>
  <c r="BD75" i="30"/>
  <c r="AX75" i="30"/>
  <c r="AZ75" i="30"/>
  <c r="AG75" i="30"/>
  <c r="AA75" i="30"/>
  <c r="BL75" i="30"/>
  <c r="V75" i="30"/>
  <c r="AC75" i="30"/>
  <c r="BK75" i="30"/>
  <c r="BF75" i="30"/>
  <c r="BI75" i="30"/>
  <c r="U75" i="30"/>
  <c r="BJ75" i="30"/>
  <c r="AL75" i="30"/>
  <c r="AE75" i="30"/>
  <c r="Y75" i="30"/>
  <c r="BR75" i="30"/>
  <c r="W75" i="30"/>
  <c r="AH75" i="30"/>
  <c r="BB99" i="30"/>
  <c r="AW99" i="30"/>
  <c r="AY99" i="30"/>
  <c r="Z99" i="30"/>
  <c r="BM99" i="30"/>
  <c r="AH99" i="30"/>
  <c r="BL99" i="30"/>
  <c r="BC99" i="30"/>
  <c r="AC99" i="30"/>
  <c r="BR99" i="30"/>
  <c r="BF99" i="30"/>
  <c r="BD99" i="30"/>
  <c r="Y99" i="30"/>
  <c r="AP99" i="30"/>
  <c r="AX99" i="30"/>
  <c r="V99" i="30"/>
  <c r="AH78" i="30"/>
  <c r="AD78" i="30"/>
  <c r="BD78" i="30"/>
  <c r="AO78" i="30"/>
  <c r="W78" i="30"/>
  <c r="BH78" i="30"/>
  <c r="AF78" i="30"/>
  <c r="AM78" i="30"/>
  <c r="AX78" i="30"/>
  <c r="BA78" i="30"/>
  <c r="BC78" i="30"/>
  <c r="V78" i="30"/>
  <c r="BM78" i="30"/>
  <c r="BL36" i="30"/>
  <c r="AV36" i="30"/>
  <c r="AU36" i="30"/>
  <c r="AD36" i="30"/>
  <c r="BM36" i="30"/>
  <c r="W36" i="30"/>
  <c r="AY36" i="30"/>
  <c r="U17" i="30"/>
  <c r="AM28" i="30"/>
  <c r="BN31" i="30"/>
  <c r="AO77" i="30"/>
  <c r="BT10" i="30"/>
  <c r="AF64" i="30"/>
  <c r="AI99" i="30"/>
  <c r="BI32" i="30"/>
  <c r="AC31" i="30"/>
  <c r="BK10" i="30"/>
  <c r="W85" i="30"/>
  <c r="V67" i="30"/>
  <c r="BF16" i="30"/>
  <c r="AU75" i="30"/>
  <c r="AU22" i="30"/>
  <c r="BK63" i="30"/>
  <c r="BG35" i="30"/>
  <c r="BO76" i="30"/>
  <c r="AH52" i="30"/>
  <c r="AD81" i="30"/>
  <c r="BJ17" i="30"/>
  <c r="BR50" i="30"/>
  <c r="AT31" i="30"/>
  <c r="AD10" i="30"/>
  <c r="AK64" i="30"/>
  <c r="BP99" i="30"/>
  <c r="AQ100" i="30"/>
  <c r="X10" i="30"/>
  <c r="AJ85" i="30"/>
  <c r="BS67" i="30"/>
  <c r="AY16" i="30"/>
  <c r="BH75" i="30"/>
  <c r="AJ22" i="30"/>
  <c r="BP63" i="30"/>
  <c r="AZ28" i="30"/>
  <c r="BI28" i="30"/>
  <c r="W28" i="30"/>
  <c r="AS28" i="30"/>
  <c r="BS28" i="30"/>
  <c r="Z31" i="30"/>
  <c r="BS81" i="30"/>
  <c r="AM64" i="30"/>
  <c r="BS99" i="30"/>
  <c r="BI25" i="30"/>
  <c r="BR67" i="30"/>
  <c r="BP16" i="30"/>
  <c r="AJ81" i="30"/>
  <c r="AF22" i="30"/>
  <c r="BR63" i="30"/>
  <c r="AI62" i="30"/>
  <c r="BC50" i="30"/>
  <c r="AO10" i="30"/>
  <c r="BH99" i="30"/>
  <c r="AM32" i="30"/>
  <c r="U50" i="30"/>
  <c r="BC30" i="30"/>
  <c r="BA31" i="30"/>
  <c r="Y10" i="30"/>
  <c r="AA64" i="30"/>
  <c r="AG99" i="30"/>
  <c r="AD100" i="30"/>
  <c r="AJ64" i="30"/>
  <c r="AE99" i="30"/>
  <c r="AM100" i="30"/>
  <c r="BH30" i="30"/>
  <c r="BA16" i="30"/>
  <c r="Z81" i="30"/>
  <c r="AI22" i="30"/>
  <c r="V63" i="30"/>
  <c r="AN62" i="30"/>
  <c r="AO41" i="30"/>
  <c r="BP86" i="30"/>
  <c r="BJ99" i="30"/>
  <c r="AB28" i="30"/>
  <c r="BF32" i="30"/>
  <c r="BP70" i="30"/>
  <c r="AD12" i="30"/>
  <c r="U29" i="30"/>
  <c r="AS52" i="30"/>
  <c r="AU40" i="30"/>
  <c r="U69" i="30"/>
  <c r="BN39" i="30"/>
  <c r="W66" i="30"/>
  <c r="BM43" i="30"/>
  <c r="AI18" i="30"/>
  <c r="AC55" i="30"/>
  <c r="AO34" i="30"/>
  <c r="AZ57" i="30"/>
  <c r="AP96" i="30"/>
  <c r="BL15" i="30"/>
  <c r="BO102" i="30"/>
  <c r="AA90" i="30"/>
  <c r="AN14" i="30"/>
  <c r="BA92" i="30"/>
  <c r="Z101" i="30"/>
  <c r="AH12" i="30"/>
  <c r="BN61" i="30"/>
  <c r="AZ70" i="30"/>
  <c r="BH12" i="30"/>
  <c r="BI12" i="30"/>
  <c r="BT12" i="30"/>
  <c r="AM12" i="30"/>
  <c r="BE12" i="30"/>
  <c r="AT12" i="30"/>
  <c r="AX84" i="30"/>
  <c r="X12" i="30"/>
  <c r="AU35" i="30"/>
  <c r="X35" i="30"/>
  <c r="AI35" i="30"/>
  <c r="Z35" i="30"/>
  <c r="BD35" i="30"/>
  <c r="AA31" i="30"/>
  <c r="AL31" i="30"/>
  <c r="AF31" i="30"/>
  <c r="AU31" i="30"/>
  <c r="V31" i="30"/>
  <c r="BD31" i="30"/>
  <c r="BE31" i="30"/>
  <c r="U31" i="30"/>
  <c r="BF31" i="30"/>
  <c r="AO45" i="30"/>
  <c r="AY45" i="30"/>
  <c r="BN100" i="30"/>
  <c r="BQ100" i="30"/>
  <c r="BT100" i="30"/>
  <c r="AI100" i="30"/>
  <c r="Z100" i="30"/>
  <c r="AY100" i="30"/>
  <c r="BP100" i="30"/>
  <c r="BO100" i="30"/>
  <c r="AT100" i="30"/>
  <c r="AR100" i="30"/>
  <c r="BA100" i="30"/>
  <c r="AV25" i="30"/>
  <c r="U25" i="30"/>
  <c r="BT25" i="30"/>
  <c r="BR25" i="30"/>
  <c r="AJ25" i="30"/>
  <c r="AI25" i="30"/>
  <c r="Y25" i="30"/>
  <c r="AY25" i="30"/>
  <c r="AO25" i="30"/>
  <c r="BO25" i="30"/>
  <c r="BE25" i="30"/>
  <c r="BH25" i="30"/>
  <c r="BB25" i="30"/>
  <c r="AR10" i="30"/>
  <c r="AM10" i="30"/>
  <c r="AA10" i="30"/>
  <c r="BH10" i="30"/>
  <c r="AV10" i="30"/>
  <c r="AN10" i="30"/>
  <c r="BR10" i="30"/>
  <c r="BJ10" i="30"/>
  <c r="AG10" i="30"/>
  <c r="BF10" i="30"/>
  <c r="BA17" i="30"/>
  <c r="AE17" i="30"/>
  <c r="AY13" i="30"/>
  <c r="BT13" i="30"/>
  <c r="AN13" i="30"/>
  <c r="BH13" i="30"/>
  <c r="AC13" i="30"/>
  <c r="AA13" i="30"/>
  <c r="AB13" i="30"/>
  <c r="AK13" i="30"/>
  <c r="AE35" i="30"/>
  <c r="AW35" i="30"/>
  <c r="AM35" i="30"/>
  <c r="AR35" i="30"/>
  <c r="AL35" i="30"/>
  <c r="BN35" i="30"/>
  <c r="AH35" i="30"/>
  <c r="AV9" i="30"/>
  <c r="AE9" i="30"/>
  <c r="BA9" i="30"/>
  <c r="BE33" i="30"/>
  <c r="BA33" i="30"/>
  <c r="BN33" i="30"/>
  <c r="AV41" i="30"/>
  <c r="BH41" i="30"/>
  <c r="X41" i="30"/>
  <c r="X99" i="30"/>
  <c r="AT99" i="30"/>
  <c r="AA99" i="30"/>
  <c r="AB99" i="30"/>
  <c r="AQ99" i="30"/>
  <c r="AJ99" i="30"/>
  <c r="AS99" i="30"/>
  <c r="AK99" i="30"/>
  <c r="BO99" i="30"/>
  <c r="BI51" i="30"/>
  <c r="U51" i="30"/>
  <c r="AZ51" i="30"/>
  <c r="AC51" i="30"/>
  <c r="AT51" i="30"/>
  <c r="BQ51" i="30"/>
  <c r="AV32" i="30"/>
  <c r="AB32" i="30"/>
  <c r="AS32" i="30"/>
  <c r="BP50" i="30"/>
  <c r="AW50" i="30"/>
  <c r="Z50" i="30"/>
  <c r="AJ50" i="30"/>
  <c r="AF50" i="30"/>
  <c r="AC78" i="30"/>
  <c r="BE78" i="30"/>
  <c r="AI78" i="30"/>
  <c r="Z78" i="30"/>
  <c r="AY78" i="30"/>
  <c r="AV78" i="30"/>
  <c r="BO78" i="30"/>
  <c r="BQ78" i="30"/>
  <c r="AL78" i="30"/>
  <c r="BP78" i="30"/>
  <c r="BT78" i="30"/>
  <c r="AI52" i="30"/>
  <c r="AD52" i="30"/>
  <c r="BS52" i="30"/>
  <c r="BO52" i="30"/>
  <c r="BB52" i="30"/>
  <c r="AB52" i="30"/>
  <c r="AX52" i="30"/>
  <c r="AQ52" i="30"/>
  <c r="AO52" i="30"/>
  <c r="BC52" i="30"/>
  <c r="X52" i="30"/>
  <c r="AV52" i="30"/>
  <c r="AU52" i="30"/>
  <c r="AT52" i="30"/>
  <c r="BF52" i="30"/>
  <c r="AW52" i="30"/>
  <c r="AN52" i="30"/>
  <c r="Y52" i="30"/>
  <c r="BK52" i="30"/>
  <c r="AP52" i="30"/>
  <c r="W52" i="30"/>
  <c r="BR52" i="30"/>
  <c r="BD52" i="30"/>
  <c r="BT52" i="30"/>
  <c r="Z52" i="30"/>
  <c r="AG52" i="30"/>
  <c r="BL52" i="30"/>
  <c r="AY52" i="30"/>
  <c r="BE52" i="30"/>
  <c r="AE52" i="30"/>
  <c r="U52" i="30"/>
  <c r="AC52" i="30"/>
  <c r="AJ52" i="30"/>
  <c r="AL52" i="30"/>
  <c r="BP52" i="30"/>
  <c r="BJ52" i="30"/>
  <c r="AR52" i="30"/>
  <c r="AF52" i="30"/>
  <c r="V52" i="30"/>
  <c r="AC76" i="30"/>
  <c r="BQ76" i="30"/>
  <c r="AG76" i="30"/>
  <c r="BP76" i="30"/>
  <c r="BS76" i="30"/>
  <c r="W76" i="30"/>
  <c r="AD76" i="30"/>
  <c r="AV76" i="30"/>
  <c r="BM76" i="30"/>
  <c r="AT76" i="30"/>
  <c r="AE76" i="30"/>
  <c r="AF76" i="30"/>
  <c r="AN76" i="30"/>
  <c r="Z76" i="30"/>
  <c r="BK76" i="30"/>
  <c r="Y76" i="30"/>
  <c r="AP76" i="30"/>
  <c r="AO76" i="30"/>
  <c r="BR76" i="30"/>
  <c r="AA69" i="30"/>
  <c r="BD69" i="30"/>
  <c r="AF69" i="30"/>
  <c r="BO69" i="30"/>
  <c r="BI69" i="30"/>
  <c r="AE69" i="30"/>
  <c r="BK69" i="30"/>
  <c r="BF69" i="30"/>
  <c r="AG69" i="30"/>
  <c r="BJ69" i="30"/>
  <c r="AY69" i="30"/>
  <c r="AK69" i="30"/>
  <c r="BB69" i="30"/>
  <c r="AO69" i="30"/>
  <c r="AI69" i="30"/>
  <c r="AB69" i="30"/>
  <c r="BN69" i="30"/>
  <c r="BP69" i="30"/>
  <c r="BS69" i="30"/>
  <c r="BT69" i="30"/>
  <c r="BQ69" i="30"/>
  <c r="AH69" i="30"/>
  <c r="AT69" i="30"/>
  <c r="BC69" i="30"/>
  <c r="AC69" i="30"/>
  <c r="AV69" i="30"/>
  <c r="AW69" i="30"/>
  <c r="BE69" i="30"/>
  <c r="BL69" i="30"/>
  <c r="AM69" i="30"/>
  <c r="AJ69" i="30"/>
  <c r="AD69" i="30"/>
  <c r="W69" i="30"/>
  <c r="BR69" i="30"/>
  <c r="X69" i="30"/>
  <c r="BA69" i="30"/>
  <c r="V69" i="30"/>
  <c r="AX69" i="30"/>
  <c r="BG69" i="30"/>
  <c r="AL69" i="30"/>
  <c r="AU69" i="30"/>
  <c r="AR69" i="30"/>
  <c r="AN69" i="30"/>
  <c r="Z69" i="30"/>
  <c r="AZ69" i="30"/>
  <c r="BC77" i="30"/>
  <c r="AZ77" i="30"/>
  <c r="AW36" i="30"/>
  <c r="AM36" i="30"/>
  <c r="BD36" i="30"/>
  <c r="AL36" i="30"/>
  <c r="AE36" i="30"/>
  <c r="AK36" i="30"/>
  <c r="AQ36" i="30"/>
  <c r="BT36" i="30"/>
  <c r="BF36" i="30"/>
  <c r="AB36" i="30"/>
  <c r="BE36" i="30"/>
  <c r="X36" i="30"/>
  <c r="U36" i="30"/>
  <c r="BP36" i="30"/>
  <c r="BI36" i="30"/>
  <c r="BB36" i="30"/>
  <c r="BN36" i="30"/>
  <c r="BG36" i="30"/>
  <c r="AR36" i="30"/>
  <c r="AS36" i="30"/>
  <c r="V36" i="30"/>
  <c r="BA36" i="30"/>
  <c r="AA36" i="30"/>
  <c r="AF36" i="30"/>
  <c r="AC36" i="30"/>
  <c r="AO36" i="30"/>
  <c r="BH36" i="30"/>
  <c r="BJ36" i="30"/>
  <c r="BS36" i="30"/>
  <c r="AZ36" i="30"/>
  <c r="Y36" i="30"/>
  <c r="BK36" i="30"/>
  <c r="AT36" i="30"/>
  <c r="BC36" i="30"/>
  <c r="BO36" i="30"/>
  <c r="AN36" i="30"/>
  <c r="AX36" i="30"/>
  <c r="AG36" i="30"/>
  <c r="Z36" i="30"/>
  <c r="BR36" i="30"/>
  <c r="BQ36" i="30"/>
  <c r="AR30" i="30"/>
  <c r="BI30" i="30"/>
  <c r="Z64" i="30"/>
  <c r="AY64" i="30"/>
  <c r="BB64" i="30"/>
  <c r="BO64" i="30"/>
  <c r="AB64" i="30"/>
  <c r="BE64" i="30"/>
  <c r="AC64" i="30"/>
  <c r="AT64" i="30"/>
  <c r="AI64" i="30"/>
  <c r="BR85" i="30"/>
  <c r="BO85" i="30"/>
  <c r="AV85" i="30"/>
  <c r="U85" i="30"/>
  <c r="AK85" i="30"/>
  <c r="BF85" i="30"/>
  <c r="BA85" i="30"/>
  <c r="AL85" i="30"/>
  <c r="AY85" i="30"/>
  <c r="AA73" i="30"/>
  <c r="BI73" i="30"/>
  <c r="AF73" i="30"/>
  <c r="BO73" i="30"/>
  <c r="BD73" i="30"/>
  <c r="AW73" i="30"/>
  <c r="AD73" i="30"/>
  <c r="BF73" i="30"/>
  <c r="AL73" i="30"/>
  <c r="BJ73" i="30"/>
  <c r="AY73" i="30"/>
  <c r="BM73" i="30"/>
  <c r="AU73" i="30"/>
  <c r="AK73" i="30"/>
  <c r="BH73" i="30"/>
  <c r="AO73" i="30"/>
  <c r="AI73" i="30"/>
  <c r="V73" i="30"/>
  <c r="U73" i="30"/>
  <c r="BP73" i="30"/>
  <c r="BS73" i="30"/>
  <c r="BN73" i="30"/>
  <c r="BQ73" i="30"/>
  <c r="AN73" i="30"/>
  <c r="BB73" i="30"/>
  <c r="AT73" i="30"/>
  <c r="BC73" i="30"/>
  <c r="X73" i="30"/>
  <c r="AV73" i="30"/>
  <c r="AB73" i="30"/>
  <c r="AE73" i="30"/>
  <c r="AQ73" i="30"/>
  <c r="AR73" i="30"/>
  <c r="BA73" i="30"/>
  <c r="BR73" i="30"/>
  <c r="AJ73" i="30"/>
  <c r="AS73" i="30"/>
  <c r="BL73" i="30"/>
  <c r="BG73" i="30"/>
  <c r="BE73" i="30"/>
  <c r="Y73" i="30"/>
  <c r="BK73" i="30"/>
  <c r="AH73" i="30"/>
  <c r="AP73" i="30"/>
  <c r="AM73" i="30"/>
  <c r="AZ73" i="30"/>
  <c r="W73" i="30"/>
  <c r="BT73" i="30"/>
  <c r="Z73" i="30"/>
  <c r="AG73" i="30"/>
  <c r="AX73" i="30"/>
  <c r="AC73" i="30"/>
  <c r="BQ83" i="30"/>
  <c r="AB83" i="30"/>
  <c r="BT83" i="30"/>
  <c r="AQ83" i="30"/>
  <c r="V83" i="30"/>
  <c r="Y83" i="30"/>
  <c r="BS83" i="30"/>
  <c r="BA83" i="30"/>
  <c r="AH83" i="30"/>
  <c r="AN83" i="30"/>
  <c r="AA83" i="30"/>
  <c r="AR83" i="30"/>
  <c r="BP83" i="30"/>
  <c r="AK83" i="30"/>
  <c r="BK83" i="30"/>
  <c r="BJ83" i="30"/>
  <c r="BI83" i="30"/>
  <c r="AP83" i="30"/>
  <c r="W83" i="30"/>
  <c r="U83" i="30"/>
  <c r="AU83" i="30"/>
  <c r="AD83" i="30"/>
  <c r="AS83" i="30"/>
  <c r="Z83" i="30"/>
  <c r="BD83" i="30"/>
  <c r="AV83" i="30"/>
  <c r="AE83" i="30"/>
  <c r="AZ83" i="30"/>
  <c r="AC83" i="30"/>
  <c r="BC83" i="30"/>
  <c r="AJ83" i="30"/>
  <c r="AI83" i="30"/>
  <c r="BH83" i="30"/>
  <c r="AG83" i="30"/>
  <c r="BG83" i="30"/>
  <c r="BB83" i="30"/>
  <c r="AM83" i="30"/>
  <c r="AW83" i="30"/>
  <c r="AX83" i="30"/>
  <c r="BF83" i="30"/>
  <c r="BO83" i="30"/>
  <c r="BL83" i="30"/>
  <c r="AY83" i="30"/>
  <c r="AF83" i="30"/>
  <c r="BM83" i="30"/>
  <c r="AT83" i="30"/>
  <c r="AO83" i="30"/>
  <c r="BM59" i="30"/>
  <c r="BT59" i="30"/>
  <c r="BO59" i="30"/>
  <c r="AK59" i="30"/>
  <c r="AO59" i="30"/>
  <c r="AW59" i="30"/>
  <c r="BF59" i="30"/>
  <c r="AM59" i="30"/>
  <c r="X59" i="30"/>
  <c r="AD59" i="30"/>
  <c r="AF59" i="30"/>
  <c r="AE59" i="30"/>
  <c r="AP59" i="30"/>
  <c r="BP59" i="30"/>
  <c r="BC59" i="30"/>
  <c r="AS59" i="30"/>
  <c r="Z59" i="30"/>
  <c r="AU59" i="30"/>
  <c r="AG59" i="30"/>
  <c r="BS59" i="30"/>
  <c r="BI59" i="30"/>
  <c r="Y59" i="30"/>
  <c r="BK59" i="30"/>
  <c r="AB59" i="30"/>
  <c r="BN59" i="30"/>
  <c r="AN59" i="30"/>
  <c r="BL59" i="30"/>
  <c r="BQ59" i="30"/>
  <c r="BE59" i="30"/>
  <c r="AY59" i="30"/>
  <c r="BH59" i="30"/>
  <c r="BD59" i="30"/>
  <c r="BJ59" i="30"/>
  <c r="U59" i="30"/>
  <c r="AI59" i="30"/>
  <c r="AE68" i="30"/>
  <c r="AC68" i="30"/>
  <c r="AX68" i="30"/>
  <c r="BG68" i="30"/>
  <c r="BM68" i="30"/>
  <c r="BK68" i="30"/>
  <c r="BT68" i="30"/>
  <c r="AO68" i="30"/>
  <c r="V68" i="30"/>
  <c r="AW68" i="30"/>
  <c r="BL68" i="30"/>
  <c r="BJ68" i="30"/>
  <c r="BF68" i="30"/>
  <c r="AU68" i="30"/>
  <c r="AG68" i="30"/>
  <c r="BP68" i="30"/>
  <c r="Z68" i="30"/>
  <c r="AI68" i="30"/>
  <c r="BQ68" i="30"/>
  <c r="AY68" i="30"/>
  <c r="BH68" i="30"/>
  <c r="BO68" i="30"/>
  <c r="AH68" i="30"/>
  <c r="BA68" i="30"/>
  <c r="AT68" i="30"/>
  <c r="BF56" i="30"/>
  <c r="BA56" i="30"/>
  <c r="V56" i="30"/>
  <c r="BS56" i="30"/>
  <c r="BD56" i="30"/>
  <c r="AO56" i="30"/>
  <c r="BC56" i="30"/>
  <c r="AP56" i="30"/>
  <c r="AF56" i="30"/>
  <c r="AZ56" i="30"/>
  <c r="AR56" i="30"/>
  <c r="AI56" i="30"/>
  <c r="BG56" i="30"/>
  <c r="AC56" i="30"/>
  <c r="AJ56" i="30"/>
  <c r="AM56" i="30"/>
  <c r="AN56" i="30"/>
  <c r="AH56" i="30"/>
  <c r="U56" i="30"/>
  <c r="BT56" i="30"/>
  <c r="X56" i="30"/>
  <c r="BQ56" i="30"/>
  <c r="BL56" i="30"/>
  <c r="AD56" i="30"/>
  <c r="AG56" i="30"/>
  <c r="AV56" i="30"/>
  <c r="AQ56" i="30"/>
  <c r="AY56" i="30"/>
  <c r="BM56" i="30"/>
  <c r="AA56" i="30"/>
  <c r="AW56" i="30"/>
  <c r="AB56" i="30"/>
  <c r="BR56" i="30"/>
  <c r="BN56" i="30"/>
  <c r="W56" i="30"/>
  <c r="Z56" i="30"/>
  <c r="BB56" i="30"/>
  <c r="AX56" i="30"/>
  <c r="BJ56" i="30"/>
  <c r="AS56" i="30"/>
  <c r="AT56" i="30"/>
  <c r="AL56" i="30"/>
  <c r="AK56" i="30"/>
  <c r="AE56" i="30"/>
  <c r="BI56" i="30"/>
  <c r="BP56" i="30"/>
  <c r="BO56" i="30"/>
  <c r="BH56" i="30"/>
  <c r="AR54" i="30"/>
  <c r="AU54" i="30"/>
  <c r="AS54" i="30"/>
  <c r="BO54" i="30"/>
  <c r="BJ54" i="30"/>
  <c r="AF54" i="30"/>
  <c r="W54" i="30"/>
  <c r="AT54" i="30"/>
  <c r="BF54" i="30"/>
  <c r="BE54" i="30"/>
  <c r="AC54" i="30"/>
  <c r="AH54" i="30"/>
  <c r="AY54" i="30"/>
  <c r="AX54" i="30"/>
  <c r="BT54" i="30"/>
  <c r="BN54" i="30"/>
  <c r="AK54" i="30"/>
  <c r="BG54" i="30"/>
  <c r="BP54" i="30"/>
  <c r="BS54" i="30"/>
  <c r="BK97" i="30"/>
  <c r="AK97" i="30"/>
  <c r="AT97" i="30"/>
  <c r="AJ97" i="30"/>
  <c r="AX97" i="30"/>
  <c r="BS97" i="30"/>
  <c r="BE97" i="30"/>
  <c r="AD97" i="30"/>
  <c r="BB97" i="30"/>
  <c r="AU97" i="30"/>
  <c r="BL97" i="30"/>
  <c r="AN97" i="30"/>
  <c r="AP97" i="30"/>
  <c r="AA97" i="30"/>
  <c r="AL97" i="30"/>
  <c r="BG97" i="30"/>
  <c r="BN97" i="30"/>
  <c r="AW97" i="30"/>
  <c r="U97" i="30"/>
  <c r="AO97" i="30"/>
  <c r="Z97" i="30"/>
  <c r="BM97" i="30"/>
  <c r="AV97" i="30"/>
  <c r="BI97" i="30"/>
  <c r="BQ97" i="30"/>
  <c r="BP97" i="30"/>
  <c r="AI97" i="30"/>
  <c r="BT97" i="30"/>
  <c r="AY97" i="30"/>
  <c r="BD97" i="30"/>
  <c r="AZ7" i="30"/>
  <c r="AM6" i="31" s="1"/>
  <c r="AA7" i="30"/>
  <c r="BF7" i="30"/>
  <c r="BO7" i="30"/>
  <c r="BB7" i="30"/>
  <c r="BR7" i="30"/>
  <c r="Y7" i="30"/>
  <c r="BE7" i="30"/>
  <c r="AF7" i="30"/>
  <c r="BH7" i="30"/>
  <c r="W7" i="30"/>
  <c r="X7" i="30"/>
  <c r="AE7" i="30"/>
  <c r="BN7" i="30"/>
  <c r="BA6" i="31" s="1"/>
  <c r="AR7" i="30"/>
  <c r="AV7" i="30"/>
  <c r="AI113" i="31" s="1"/>
  <c r="AC7" i="30"/>
  <c r="AO7" i="30"/>
  <c r="AD7" i="30"/>
  <c r="AS7" i="30"/>
  <c r="AF6" i="31" s="1"/>
  <c r="AT7" i="30"/>
  <c r="AI7" i="30"/>
  <c r="V6" i="31" s="1"/>
  <c r="BD7" i="30"/>
  <c r="AL7" i="30"/>
  <c r="BM7" i="30"/>
  <c r="BQ7" i="30"/>
  <c r="BI7" i="30"/>
  <c r="AJ7" i="30"/>
  <c r="AM7" i="30"/>
  <c r="BG7" i="30"/>
  <c r="AN7" i="30"/>
  <c r="AA6" i="31" s="1"/>
  <c r="AB7" i="30"/>
  <c r="O6" i="31" s="1"/>
  <c r="AX7" i="30"/>
  <c r="AK6" i="31" s="1"/>
  <c r="BJ7" i="30"/>
  <c r="BS7" i="30"/>
  <c r="BT7" i="30"/>
  <c r="BE39" i="30"/>
  <c r="AQ39" i="30"/>
  <c r="AA39" i="30"/>
  <c r="AC39" i="30"/>
  <c r="BH39" i="30"/>
  <c r="AD39" i="30"/>
  <c r="BI39" i="30"/>
  <c r="BK39" i="30"/>
  <c r="BB39" i="30"/>
  <c r="AY39" i="30"/>
  <c r="Z39" i="30"/>
  <c r="BL39" i="30"/>
  <c r="AU39" i="30"/>
  <c r="AV39" i="30"/>
  <c r="BP39" i="30"/>
  <c r="W39" i="30"/>
  <c r="AG39" i="30"/>
  <c r="AR39" i="30"/>
  <c r="AW39" i="30"/>
  <c r="BD39" i="30"/>
  <c r="AH66" i="30"/>
  <c r="AI66" i="30"/>
  <c r="V66" i="30"/>
  <c r="BG66" i="30"/>
  <c r="AT66" i="30"/>
  <c r="BQ43" i="30"/>
  <c r="AH43" i="30"/>
  <c r="AZ43" i="30"/>
  <c r="AD43" i="30"/>
  <c r="BR43" i="30"/>
  <c r="BO43" i="30"/>
  <c r="AT43" i="30"/>
  <c r="AB43" i="30"/>
  <c r="BJ43" i="30"/>
  <c r="AY43" i="30"/>
  <c r="W43" i="30"/>
  <c r="AM43" i="30"/>
  <c r="AG43" i="30"/>
  <c r="BH43" i="30"/>
  <c r="BF43" i="30"/>
  <c r="U43" i="30"/>
  <c r="AK43" i="30"/>
  <c r="BE43" i="30"/>
  <c r="AL43" i="30"/>
  <c r="AA43" i="30"/>
  <c r="X43" i="30"/>
  <c r="AR43" i="30"/>
  <c r="AJ43" i="30"/>
  <c r="BN43" i="30"/>
  <c r="AK44" i="30"/>
  <c r="AW44" i="30"/>
  <c r="AO44" i="30"/>
  <c r="BL44" i="30"/>
  <c r="AN44" i="30"/>
  <c r="Y44" i="30"/>
  <c r="AG44" i="30"/>
  <c r="BO44" i="30"/>
  <c r="AL44" i="30"/>
  <c r="BP44" i="30"/>
  <c r="BT44" i="30"/>
  <c r="AH44" i="30"/>
  <c r="AR44" i="30"/>
  <c r="BJ44" i="30"/>
  <c r="AY44" i="30"/>
  <c r="AJ44" i="30"/>
  <c r="AC44" i="30"/>
  <c r="U44" i="30"/>
  <c r="BG44" i="30"/>
  <c r="AQ44" i="30"/>
  <c r="AX44" i="30"/>
  <c r="AZ44" i="30"/>
  <c r="AP44" i="30"/>
  <c r="BS87" i="30"/>
  <c r="X87" i="30"/>
  <c r="W87" i="30"/>
  <c r="BE87" i="30"/>
  <c r="BF87" i="30"/>
  <c r="BO94" i="30"/>
  <c r="AL94" i="30"/>
  <c r="AO94" i="30"/>
  <c r="BB94" i="30"/>
  <c r="AF94" i="30"/>
  <c r="AG94" i="30"/>
  <c r="AB98" i="30"/>
  <c r="AI103" i="30"/>
  <c r="BR103" i="30"/>
  <c r="AG103" i="30"/>
  <c r="BG103" i="30"/>
  <c r="AN103" i="30"/>
  <c r="BH103" i="30"/>
  <c r="BQ103" i="30"/>
  <c r="BB103" i="30"/>
  <c r="BN103" i="30"/>
  <c r="AQ103" i="30"/>
  <c r="AJ103" i="30"/>
  <c r="BC103" i="30"/>
  <c r="BA103" i="30"/>
  <c r="AF103" i="30"/>
  <c r="AH103" i="30"/>
  <c r="AA103" i="30"/>
  <c r="AR103" i="30"/>
  <c r="AO103" i="30"/>
  <c r="AK103" i="30"/>
  <c r="BK103" i="30"/>
  <c r="AZ103" i="30"/>
  <c r="BI103" i="30"/>
  <c r="AT103" i="30"/>
  <c r="AD103" i="30"/>
  <c r="U103" i="30"/>
  <c r="AU103" i="30"/>
  <c r="AV103" i="30"/>
  <c r="AS103" i="30"/>
  <c r="BP103" i="30"/>
  <c r="AM103" i="30"/>
  <c r="AY103" i="30"/>
  <c r="BL103" i="30"/>
  <c r="AW103" i="30"/>
  <c r="AL103" i="30"/>
  <c r="Z103" i="30"/>
  <c r="BT103" i="30"/>
  <c r="BO103" i="30"/>
  <c r="BF103" i="30"/>
  <c r="AP103" i="30"/>
  <c r="BS103" i="30"/>
  <c r="BJ103" i="30"/>
  <c r="BE103" i="30"/>
  <c r="AE103" i="30"/>
  <c r="Y103" i="30"/>
  <c r="BM103" i="30"/>
  <c r="V103" i="30"/>
  <c r="AC103" i="30"/>
  <c r="X103" i="30"/>
  <c r="BD103" i="30"/>
  <c r="AH11" i="30"/>
  <c r="BA11" i="30"/>
  <c r="V11" i="30"/>
  <c r="BQ11" i="30"/>
  <c r="BC11" i="30"/>
  <c r="AQ11" i="30"/>
  <c r="AX35" i="30"/>
  <c r="AO35" i="30"/>
  <c r="AF35" i="30"/>
  <c r="W35" i="30"/>
  <c r="BM35" i="30"/>
  <c r="AI31" i="30"/>
  <c r="AZ59" i="30"/>
  <c r="BF28" i="30"/>
  <c r="AX10" i="30"/>
  <c r="AW54" i="30"/>
  <c r="AW7" i="30"/>
  <c r="AJ7" i="31" s="1"/>
  <c r="BA59" i="30"/>
  <c r="AM52" i="30"/>
  <c r="Y69" i="30"/>
  <c r="AH31" i="30"/>
  <c r="BF44" i="30"/>
  <c r="AL83" i="30"/>
  <c r="BQ35" i="30"/>
  <c r="BA35" i="30"/>
  <c r="BB35" i="30"/>
  <c r="AS35" i="30"/>
  <c r="AJ35" i="30"/>
  <c r="BJ35" i="30"/>
  <c r="AF86" i="30"/>
  <c r="AB31" i="30"/>
  <c r="BF76" i="30"/>
  <c r="BE76" i="30"/>
  <c r="BN83" i="30"/>
  <c r="BG17" i="30"/>
  <c r="AI50" i="30"/>
  <c r="AS31" i="30"/>
  <c r="Y68" i="30"/>
  <c r="BI99" i="30"/>
  <c r="BM39" i="30"/>
  <c r="AK100" i="30"/>
  <c r="BO97" i="30"/>
  <c r="V25" i="30"/>
  <c r="AP7" i="30"/>
  <c r="AC113" i="31" s="1"/>
  <c r="BR59" i="30"/>
  <c r="AJ36" i="30"/>
  <c r="BI52" i="30"/>
  <c r="BN52" i="30"/>
  <c r="BR83" i="30"/>
  <c r="U35" i="30"/>
  <c r="BP35" i="30"/>
  <c r="BR35" i="30"/>
  <c r="BI35" i="30"/>
  <c r="AV35" i="30"/>
  <c r="AA35" i="30"/>
  <c r="AA86" i="30"/>
  <c r="Y31" i="30"/>
  <c r="BS32" i="30"/>
  <c r="V44" i="30"/>
  <c r="BD68" i="30"/>
  <c r="AZ99" i="30"/>
  <c r="AI39" i="30"/>
  <c r="U100" i="30"/>
  <c r="AX43" i="30"/>
  <c r="AB97" i="30"/>
  <c r="BN44" i="30"/>
  <c r="AC59" i="30"/>
  <c r="AI36" i="30"/>
  <c r="BA52" i="30"/>
  <c r="BH69" i="30"/>
  <c r="Y56" i="30"/>
  <c r="AF57" i="30"/>
  <c r="BO34" i="30"/>
  <c r="AG14" i="30"/>
  <c r="AS90" i="30"/>
  <c r="BS102" i="30"/>
  <c r="BJ102" i="30"/>
  <c r="BH102" i="30"/>
  <c r="BN102" i="30"/>
  <c r="BE92" i="30"/>
  <c r="AN96" i="30"/>
  <c r="BK101" i="30"/>
  <c r="BA101" i="30"/>
  <c r="BF55" i="30"/>
  <c r="AG55" i="30"/>
  <c r="BO55" i="30"/>
  <c r="AD55" i="30"/>
  <c r="BC55" i="30"/>
  <c r="AK55" i="30"/>
  <c r="BL55" i="30"/>
  <c r="X55" i="30"/>
  <c r="AT55" i="30"/>
  <c r="BJ55" i="30"/>
  <c r="AO55" i="30"/>
  <c r="AV55" i="30"/>
  <c r="AS55" i="30"/>
  <c r="BK55" i="30"/>
  <c r="AK34" i="30"/>
  <c r="BK34" i="30"/>
  <c r="BG34" i="30"/>
  <c r="AH34" i="30"/>
  <c r="AE34" i="30"/>
  <c r="AX34" i="30"/>
  <c r="U34" i="30"/>
  <c r="BN34" i="30"/>
  <c r="BH34" i="30"/>
  <c r="AN34" i="30"/>
  <c r="BO65" i="30"/>
  <c r="AH65" i="30"/>
  <c r="BL65" i="30"/>
  <c r="BR65" i="30"/>
  <c r="AJ65" i="30"/>
  <c r="AF65" i="30"/>
  <c r="AY65" i="30"/>
  <c r="AR65" i="30"/>
  <c r="AP65" i="30"/>
  <c r="AL65" i="30"/>
  <c r="BD65" i="30"/>
  <c r="BB65" i="30"/>
  <c r="AI65" i="30"/>
  <c r="BI65" i="30"/>
  <c r="BJ65" i="30"/>
  <c r="BG65" i="30"/>
  <c r="BM65" i="30"/>
  <c r="BQ65" i="30"/>
  <c r="V65" i="30"/>
  <c r="AO65" i="30"/>
  <c r="AQ65" i="30"/>
  <c r="X65" i="30"/>
  <c r="AZ65" i="30"/>
  <c r="AV65" i="30"/>
  <c r="U65" i="30"/>
  <c r="BN65" i="30"/>
  <c r="AA65" i="30"/>
  <c r="AN65" i="30"/>
  <c r="BT65" i="30"/>
  <c r="BA65" i="30"/>
  <c r="AG65" i="30"/>
  <c r="AM65" i="30"/>
  <c r="BP65" i="30"/>
  <c r="AX65" i="30"/>
  <c r="W65" i="30"/>
  <c r="AT65" i="30"/>
  <c r="BF65" i="30"/>
  <c r="AD65" i="30"/>
  <c r="Y65" i="30"/>
  <c r="AK65" i="30"/>
  <c r="AC65" i="30"/>
  <c r="BK65" i="30"/>
  <c r="BE65" i="30"/>
  <c r="AA57" i="30"/>
  <c r="BJ57" i="30"/>
  <c r="BH57" i="30"/>
  <c r="BG57" i="30"/>
  <c r="BE57" i="30"/>
  <c r="AT57" i="30"/>
  <c r="AM57" i="30"/>
  <c r="AK57" i="30"/>
  <c r="BK57" i="30"/>
  <c r="AX57" i="30"/>
  <c r="AR57" i="30"/>
  <c r="AQ57" i="30"/>
  <c r="BM57" i="30"/>
  <c r="AE57" i="30"/>
  <c r="AU57" i="30"/>
  <c r="W57" i="30"/>
  <c r="BO57" i="30"/>
  <c r="Y57" i="30"/>
  <c r="AL57" i="30"/>
  <c r="BI57" i="30"/>
  <c r="AN57" i="30"/>
  <c r="BC57" i="30"/>
  <c r="BN57" i="30"/>
  <c r="BT57" i="30"/>
  <c r="AY57" i="30"/>
  <c r="AG57" i="30"/>
  <c r="AH57" i="30"/>
  <c r="AD57" i="30"/>
  <c r="BF57" i="30"/>
  <c r="AS57" i="30"/>
  <c r="Z96" i="30"/>
  <c r="AF96" i="30"/>
  <c r="X96" i="30"/>
  <c r="AI96" i="30"/>
  <c r="BL96" i="30"/>
  <c r="AG96" i="30"/>
  <c r="BF96" i="30"/>
  <c r="BS96" i="30"/>
  <c r="AV96" i="30"/>
  <c r="BE96" i="30"/>
  <c r="BR96" i="30"/>
  <c r="AS96" i="30"/>
  <c r="AC96" i="30"/>
  <c r="BC96" i="30"/>
  <c r="U96" i="30"/>
  <c r="AJ96" i="30"/>
  <c r="BH96" i="30"/>
  <c r="AU96" i="30"/>
  <c r="BB96" i="30"/>
  <c r="AM96" i="30"/>
  <c r="Y96" i="30"/>
  <c r="BT96" i="30"/>
  <c r="AZ96" i="30"/>
  <c r="BM96" i="30"/>
  <c r="BG96" i="30"/>
  <c r="AA96" i="30"/>
  <c r="BJ96" i="30"/>
  <c r="W96" i="30"/>
  <c r="AR96" i="30"/>
  <c r="BI96" i="30"/>
  <c r="BA96" i="30"/>
  <c r="BE15" i="30"/>
  <c r="AC15" i="30"/>
  <c r="BG15" i="30"/>
  <c r="BI15" i="30"/>
  <c r="AE15" i="30"/>
  <c r="W15" i="30"/>
  <c r="AS15" i="30"/>
  <c r="BB15" i="30"/>
  <c r="BN15" i="30"/>
  <c r="AT15" i="30"/>
  <c r="AN15" i="30"/>
  <c r="AF15" i="30"/>
  <c r="BF15" i="30"/>
  <c r="BT15" i="30"/>
  <c r="AR15" i="30"/>
  <c r="BJ15" i="30"/>
  <c r="Y15" i="30"/>
  <c r="AI15" i="30"/>
  <c r="BH15" i="30"/>
  <c r="AO15" i="30"/>
  <c r="BQ15" i="30"/>
  <c r="AD15" i="30"/>
  <c r="AM15" i="30"/>
  <c r="AZ15" i="30"/>
  <c r="AL15" i="30"/>
  <c r="AJ15" i="30"/>
  <c r="Y102" i="30"/>
  <c r="BA102" i="30"/>
  <c r="Z102" i="30"/>
  <c r="AL102" i="30"/>
  <c r="AA102" i="30"/>
  <c r="AJ102" i="30"/>
  <c r="V102" i="30"/>
  <c r="U102" i="30"/>
  <c r="AU102" i="30"/>
  <c r="BF102" i="30"/>
  <c r="AS102" i="30"/>
  <c r="AH102" i="30"/>
  <c r="BC102" i="30"/>
  <c r="BM90" i="30"/>
  <c r="BI90" i="30"/>
  <c r="AU90" i="30"/>
  <c r="BH90" i="30"/>
  <c r="BC90" i="30"/>
  <c r="AV90" i="30"/>
  <c r="BK90" i="30"/>
  <c r="BR90" i="30"/>
  <c r="AQ90" i="30"/>
  <c r="Z90" i="30"/>
  <c r="BF90" i="30"/>
  <c r="AD90" i="30"/>
  <c r="AI90" i="30"/>
  <c r="AB90" i="30"/>
  <c r="BD90" i="30"/>
  <c r="BJ90" i="30"/>
  <c r="BL90" i="30"/>
  <c r="W90" i="30"/>
  <c r="AE90" i="30"/>
  <c r="AP90" i="30"/>
  <c r="BQ90" i="30"/>
  <c r="U90" i="30"/>
  <c r="AO90" i="30"/>
  <c r="AH90" i="30"/>
  <c r="AT90" i="30"/>
  <c r="BE90" i="30"/>
  <c r="AN90" i="30"/>
  <c r="AJ90" i="30"/>
  <c r="BI14" i="30"/>
  <c r="V14" i="30"/>
  <c r="Z14" i="30"/>
  <c r="Y14" i="30"/>
  <c r="AR14" i="30"/>
  <c r="AD14" i="30"/>
  <c r="BL14" i="30"/>
  <c r="AL14" i="30"/>
  <c r="BD14" i="30"/>
  <c r="AS14" i="30"/>
  <c r="BE14" i="30"/>
  <c r="AE14" i="30"/>
  <c r="W14" i="30"/>
  <c r="BT14" i="30"/>
  <c r="AU14" i="30"/>
  <c r="BH14" i="30"/>
  <c r="AQ14" i="30"/>
  <c r="AZ14" i="30"/>
  <c r="BP14" i="30"/>
  <c r="BQ14" i="30"/>
  <c r="BF14" i="30"/>
  <c r="AO14" i="30"/>
  <c r="AX92" i="30"/>
  <c r="AM92" i="30"/>
  <c r="AS92" i="30"/>
  <c r="BP92" i="30"/>
  <c r="AO92" i="30"/>
  <c r="AK92" i="30"/>
  <c r="AH92" i="30"/>
  <c r="BC92" i="30"/>
  <c r="BQ92" i="30"/>
  <c r="BF92" i="30"/>
  <c r="BH92" i="30"/>
  <c r="BT92" i="30"/>
  <c r="U92" i="30"/>
  <c r="AV92" i="30"/>
  <c r="AP92" i="30"/>
  <c r="X92" i="30"/>
  <c r="V92" i="30"/>
  <c r="AY92" i="30"/>
  <c r="AJ92" i="30"/>
  <c r="AZ92" i="30"/>
  <c r="Z92" i="30"/>
  <c r="AG92" i="30"/>
  <c r="AA92" i="30"/>
  <c r="AC92" i="30"/>
  <c r="BJ92" i="30"/>
  <c r="BS92" i="30"/>
  <c r="BI92" i="30"/>
  <c r="W92" i="30"/>
  <c r="AH53" i="30"/>
  <c r="W53" i="30"/>
  <c r="U53" i="30"/>
  <c r="BF53" i="30"/>
  <c r="BC53" i="30"/>
  <c r="AC53" i="30"/>
  <c r="BQ53" i="30"/>
  <c r="AI53" i="30"/>
  <c r="AZ53" i="30"/>
  <c r="AP53" i="30"/>
  <c r="AG53" i="30"/>
  <c r="BB53" i="30"/>
  <c r="AV53" i="30"/>
  <c r="BO53" i="30"/>
  <c r="AE53" i="30"/>
  <c r="Z53" i="30"/>
  <c r="AN53" i="30"/>
  <c r="AF53" i="30"/>
  <c r="AA53" i="30"/>
  <c r="BJ53" i="30"/>
  <c r="BH53" i="30"/>
  <c r="BG53" i="30"/>
  <c r="AY53" i="30"/>
  <c r="AW53" i="30"/>
  <c r="BE53" i="30"/>
  <c r="AT53" i="30"/>
  <c r="AM53" i="30"/>
  <c r="AK53" i="30"/>
  <c r="X53" i="30"/>
  <c r="AL53" i="30"/>
  <c r="AX53" i="30"/>
  <c r="AR53" i="30"/>
  <c r="AQ53" i="30"/>
  <c r="AS53" i="30"/>
  <c r="Y53" i="30"/>
  <c r="BS53" i="30"/>
  <c r="BN53" i="30"/>
  <c r="AU53" i="30"/>
  <c r="AJ53" i="30"/>
  <c r="BR53" i="30"/>
  <c r="BM53" i="30"/>
  <c r="BA53" i="30"/>
  <c r="AD53" i="30"/>
  <c r="BK53" i="30"/>
  <c r="BL53" i="30"/>
  <c r="AB53" i="30"/>
  <c r="BP53" i="30"/>
  <c r="AD101" i="30"/>
  <c r="AQ101" i="30"/>
  <c r="AN101" i="30"/>
  <c r="BE101" i="30"/>
  <c r="AZ101" i="30"/>
  <c r="AP101" i="30"/>
  <c r="BB101" i="30"/>
  <c r="AW101" i="30"/>
  <c r="AA101" i="30"/>
  <c r="AF101" i="30"/>
  <c r="AO101" i="30"/>
  <c r="BO101" i="30"/>
  <c r="BH101" i="30"/>
  <c r="AE101" i="30"/>
  <c r="AV101" i="30"/>
  <c r="BI101" i="30"/>
  <c r="AJ101" i="30"/>
  <c r="Y101" i="30"/>
  <c r="AY101" i="30"/>
  <c r="BP101" i="30"/>
  <c r="BN101" i="30"/>
  <c r="AS101" i="30"/>
  <c r="BD101" i="30"/>
  <c r="AX101" i="30"/>
  <c r="AI101" i="30"/>
  <c r="BJ101" i="30"/>
  <c r="AT101" i="30"/>
  <c r="AC101" i="30"/>
  <c r="BS101" i="30"/>
  <c r="BR101" i="30"/>
  <c r="BQ101" i="30"/>
  <c r="AR101" i="30"/>
  <c r="BM101" i="30"/>
  <c r="AU95" i="30"/>
  <c r="BB95" i="30"/>
  <c r="X95" i="30"/>
  <c r="AW95" i="30"/>
  <c r="BI95" i="30"/>
  <c r="AR95" i="30"/>
  <c r="Y95" i="30"/>
  <c r="AL95" i="30"/>
  <c r="AF95" i="30"/>
  <c r="AB95" i="30"/>
  <c r="AD95" i="30"/>
  <c r="AS95" i="30"/>
  <c r="BF95" i="30"/>
  <c r="AI95" i="30"/>
  <c r="V95" i="30"/>
  <c r="AV95" i="30"/>
  <c r="BE95" i="30"/>
  <c r="AZ95" i="30"/>
  <c r="AY95" i="30"/>
  <c r="AP95" i="30"/>
  <c r="AQ95" i="30"/>
  <c r="BC95" i="30"/>
  <c r="AC95" i="30"/>
  <c r="AJ95" i="30"/>
  <c r="BQ95" i="30"/>
  <c r="AT95" i="30"/>
  <c r="Z95" i="30"/>
  <c r="BG95" i="30"/>
  <c r="AG95" i="30"/>
  <c r="BN95" i="30"/>
  <c r="BD95" i="30"/>
  <c r="BM95" i="30"/>
  <c r="W95" i="30"/>
  <c r="BP95" i="30"/>
  <c r="BR95" i="30"/>
  <c r="BO95" i="30"/>
  <c r="BS95" i="30"/>
  <c r="AK95" i="30"/>
  <c r="BJ95" i="30"/>
  <c r="AM95" i="30"/>
  <c r="U95" i="30"/>
  <c r="BT95" i="30"/>
  <c r="AE95" i="30"/>
  <c r="AN95" i="30"/>
  <c r="AA95" i="30"/>
  <c r="BK95" i="30"/>
  <c r="AO95" i="30"/>
  <c r="BH95" i="30"/>
  <c r="BL95" i="30"/>
  <c r="BN55" i="30"/>
  <c r="BP55" i="30"/>
  <c r="BR34" i="30"/>
  <c r="BP34" i="30"/>
  <c r="AG15" i="30"/>
  <c r="BK15" i="30"/>
  <c r="AA14" i="30"/>
  <c r="AX90" i="30"/>
  <c r="AM90" i="30"/>
  <c r="W102" i="30"/>
  <c r="AQ102" i="30"/>
  <c r="AW102" i="30"/>
  <c r="AT102" i="30"/>
  <c r="BO92" i="30"/>
  <c r="AW96" i="30"/>
  <c r="BO96" i="30"/>
  <c r="AT96" i="30"/>
  <c r="AG101" i="30"/>
  <c r="AB101" i="30"/>
  <c r="AC57" i="30"/>
  <c r="AJ57" i="30"/>
  <c r="AW65" i="30"/>
  <c r="BI53" i="30"/>
  <c r="AH95" i="30"/>
  <c r="AY14" i="30"/>
  <c r="BG14" i="30"/>
  <c r="AX55" i="30"/>
  <c r="AU55" i="30"/>
  <c r="BB34" i="30"/>
  <c r="BD34" i="30"/>
  <c r="BS15" i="30"/>
  <c r="AP15" i="30"/>
  <c r="AM14" i="30"/>
  <c r="BS90" i="30"/>
  <c r="Y90" i="30"/>
  <c r="AN102" i="30"/>
  <c r="AP102" i="30"/>
  <c r="BG102" i="30"/>
  <c r="BM102" i="30"/>
  <c r="AK102" i="30"/>
  <c r="AB92" i="30"/>
  <c r="AD92" i="30"/>
  <c r="AD96" i="30"/>
  <c r="AB96" i="30"/>
  <c r="BP96" i="30"/>
  <c r="AU101" i="30"/>
  <c r="W101" i="30"/>
  <c r="BD57" i="30"/>
  <c r="AV57" i="30"/>
  <c r="AB65" i="30"/>
  <c r="AX95" i="30"/>
  <c r="AB14" i="30"/>
  <c r="BG92" i="30"/>
  <c r="AH55" i="30"/>
  <c r="Y55" i="30"/>
  <c r="AL34" i="30"/>
  <c r="AX15" i="30"/>
  <c r="BO15" i="30"/>
  <c r="AJ14" i="30"/>
  <c r="BA90" i="30"/>
  <c r="AO102" i="30"/>
  <c r="AR102" i="30"/>
  <c r="BL102" i="30"/>
  <c r="AE102" i="30"/>
  <c r="BQ102" i="30"/>
  <c r="AQ92" i="30"/>
  <c r="AT92" i="30"/>
  <c r="BK96" i="30"/>
  <c r="AX96" i="30"/>
  <c r="AQ96" i="30"/>
  <c r="V101" i="30"/>
  <c r="AM101" i="30"/>
  <c r="BP57" i="30"/>
  <c r="BQ57" i="30"/>
  <c r="Z65" i="30"/>
  <c r="BS65" i="30"/>
  <c r="BT55" i="30"/>
  <c r="BG55" i="30"/>
  <c r="V34" i="30"/>
  <c r="AB15" i="30"/>
  <c r="BM14" i="30"/>
  <c r="BC14" i="30"/>
  <c r="AF90" i="30"/>
  <c r="BD102" i="30"/>
  <c r="AX102" i="30"/>
  <c r="BP102" i="30"/>
  <c r="BK102" i="30"/>
  <c r="AI102" i="30"/>
  <c r="BL92" i="30"/>
  <c r="Y92" i="30"/>
  <c r="BD96" i="30"/>
  <c r="V96" i="30"/>
  <c r="U101" i="30"/>
  <c r="BC101" i="30"/>
  <c r="Z57" i="30"/>
  <c r="AE65" i="30"/>
  <c r="X15" i="30"/>
  <c r="BB57" i="30"/>
  <c r="AY55" i="30"/>
  <c r="BQ55" i="30"/>
  <c r="BE34" i="30"/>
  <c r="AY15" i="30"/>
  <c r="AW14" i="30"/>
  <c r="BJ14" i="30"/>
  <c r="BO90" i="30"/>
  <c r="BE102" i="30"/>
  <c r="AD102" i="30"/>
  <c r="AZ102" i="30"/>
  <c r="AV102" i="30"/>
  <c r="AY102" i="30"/>
  <c r="AN92" i="30"/>
  <c r="BK92" i="30"/>
  <c r="BN96" i="30"/>
  <c r="AO96" i="30"/>
  <c r="AK101" i="30"/>
  <c r="AL101" i="30"/>
  <c r="AP57" i="30"/>
  <c r="AU65" i="30"/>
  <c r="AC14" i="30"/>
  <c r="AS39" i="30"/>
  <c r="BA34" i="30"/>
  <c r="W103" i="30"/>
  <c r="AW66" i="30"/>
  <c r="AT75" i="30"/>
  <c r="AL41" i="30"/>
  <c r="AN51" i="30"/>
  <c r="AW32" i="30"/>
  <c r="BD29" i="30"/>
  <c r="AB50" i="30"/>
  <c r="BK62" i="30"/>
  <c r="BM98" i="30"/>
  <c r="AZ52" i="30"/>
  <c r="BQ82" i="30"/>
  <c r="X40" i="30"/>
  <c r="BO16" i="30"/>
  <c r="AU18" i="30"/>
  <c r="BL85" i="30"/>
  <c r="AO50" i="30"/>
  <c r="BH50" i="30"/>
  <c r="BO50" i="30"/>
  <c r="BJ50" i="30"/>
  <c r="AT29" i="30"/>
  <c r="AK40" i="30"/>
  <c r="BJ51" i="30"/>
  <c r="X51" i="30"/>
  <c r="BH51" i="30"/>
  <c r="AE51" i="30"/>
  <c r="BB51" i="30"/>
  <c r="BL13" i="30"/>
  <c r="AL13" i="30"/>
  <c r="BK13" i="30"/>
  <c r="BN41" i="30"/>
  <c r="AB41" i="30"/>
  <c r="BT85" i="30"/>
  <c r="BK31" i="30"/>
  <c r="BI31" i="30"/>
  <c r="AZ31" i="30"/>
  <c r="AD31" i="30"/>
  <c r="AX31" i="30"/>
  <c r="AQ31" i="30"/>
  <c r="BS31" i="30"/>
  <c r="BF45" i="30"/>
  <c r="AK45" i="30"/>
  <c r="V45" i="30"/>
  <c r="AQ45" i="30"/>
  <c r="BC45" i="30"/>
  <c r="AW45" i="30"/>
  <c r="AN45" i="30"/>
  <c r="AP45" i="30"/>
  <c r="AS45" i="30"/>
  <c r="AZ45" i="30"/>
  <c r="BI45" i="30"/>
  <c r="AG45" i="30"/>
  <c r="BL45" i="30"/>
  <c r="AT45" i="30"/>
  <c r="Z45" i="30"/>
  <c r="BA45" i="30"/>
  <c r="AE45" i="30"/>
  <c r="BN45" i="30"/>
  <c r="BG45" i="30"/>
  <c r="BK45" i="30"/>
  <c r="BS45" i="30"/>
  <c r="BE45" i="30"/>
  <c r="BT45" i="30"/>
  <c r="BH45" i="30"/>
  <c r="AX45" i="30"/>
  <c r="BO45" i="30"/>
  <c r="AB45" i="30"/>
  <c r="AJ45" i="30"/>
  <c r="AC45" i="30"/>
  <c r="AM45" i="30"/>
  <c r="AH45" i="30"/>
  <c r="X45" i="30"/>
  <c r="U45" i="30"/>
  <c r="BM45" i="30"/>
  <c r="BR45" i="30"/>
  <c r="BQ45" i="30"/>
  <c r="BP45" i="30"/>
  <c r="AF45" i="30"/>
  <c r="BJ45" i="30"/>
  <c r="W45" i="30"/>
  <c r="AL45" i="30"/>
  <c r="AI45" i="30"/>
  <c r="Y45" i="30"/>
  <c r="AD45" i="30"/>
  <c r="AV45" i="30"/>
  <c r="BM100" i="30"/>
  <c r="AE100" i="30"/>
  <c r="AL100" i="30"/>
  <c r="AN100" i="30"/>
  <c r="BK100" i="30"/>
  <c r="BL100" i="30"/>
  <c r="AG100" i="30"/>
  <c r="AZ100" i="30"/>
  <c r="BR100" i="30"/>
  <c r="AW100" i="30"/>
  <c r="AH25" i="30"/>
  <c r="AA25" i="30"/>
  <c r="BG25" i="30"/>
  <c r="BN25" i="30"/>
  <c r="AU25" i="30"/>
  <c r="AR25" i="30"/>
  <c r="AW25" i="30"/>
  <c r="BL25" i="30"/>
  <c r="BS25" i="30"/>
  <c r="AD25" i="30"/>
  <c r="AN25" i="30"/>
  <c r="BP25" i="30"/>
  <c r="AK25" i="30"/>
  <c r="BJ25" i="30"/>
  <c r="AQ25" i="30"/>
  <c r="BD25" i="30"/>
  <c r="AB25" i="30"/>
  <c r="BQ25" i="30"/>
  <c r="BA25" i="30"/>
  <c r="BM25" i="30"/>
  <c r="AT25" i="30"/>
  <c r="AE25" i="30"/>
  <c r="AC10" i="30"/>
  <c r="AH10" i="30"/>
  <c r="BL10" i="30"/>
  <c r="AE10" i="30"/>
  <c r="W10" i="30"/>
  <c r="AZ10" i="30"/>
  <c r="BI10" i="30"/>
  <c r="AI10" i="30"/>
  <c r="BD10" i="30"/>
  <c r="BE10" i="30"/>
  <c r="V10" i="30"/>
  <c r="AQ10" i="30"/>
  <c r="BP17" i="30"/>
  <c r="AH17" i="30"/>
  <c r="BT17" i="30"/>
  <c r="AO17" i="30"/>
  <c r="BN17" i="30"/>
  <c r="AU17" i="30"/>
  <c r="AV17" i="30"/>
  <c r="AY17" i="30"/>
  <c r="Y17" i="30"/>
  <c r="AR17" i="30"/>
  <c r="Z17" i="30"/>
  <c r="BI17" i="30"/>
  <c r="AD17" i="30"/>
  <c r="BF17" i="30"/>
  <c r="W17" i="30"/>
  <c r="AA17" i="30"/>
  <c r="AS17" i="30"/>
  <c r="BS17" i="30"/>
  <c r="AJ17" i="30"/>
  <c r="V17" i="30"/>
  <c r="BD17" i="30"/>
  <c r="AC17" i="30"/>
  <c r="AX17" i="30"/>
  <c r="BB17" i="30"/>
  <c r="AK17" i="30"/>
  <c r="BH17" i="30"/>
  <c r="BM17" i="30"/>
  <c r="AI17" i="30"/>
  <c r="BK17" i="30"/>
  <c r="AB17" i="30"/>
  <c r="BO17" i="30"/>
  <c r="AQ17" i="30"/>
  <c r="AG17" i="30"/>
  <c r="BC17" i="30"/>
  <c r="BR17" i="30"/>
  <c r="BE17" i="30"/>
  <c r="X17" i="30"/>
  <c r="AU13" i="30"/>
  <c r="BB13" i="30"/>
  <c r="AT13" i="30"/>
  <c r="Y13" i="30"/>
  <c r="AR13" i="30"/>
  <c r="BD13" i="30"/>
  <c r="U13" i="30"/>
  <c r="AM13" i="30"/>
  <c r="AY9" i="30"/>
  <c r="AC9" i="30"/>
  <c r="AX9" i="30"/>
  <c r="AQ9" i="30"/>
  <c r="BM9" i="30"/>
  <c r="AD9" i="30"/>
  <c r="BK9" i="30"/>
  <c r="AB9" i="30"/>
  <c r="BJ9" i="30"/>
  <c r="BH9" i="30"/>
  <c r="AW9" i="30"/>
  <c r="AA9" i="30"/>
  <c r="AP9" i="30"/>
  <c r="AL9" i="30"/>
  <c r="AN9" i="30"/>
  <c r="AK9" i="30"/>
  <c r="AG9" i="30"/>
  <c r="BC9" i="30"/>
  <c r="BG9" i="30"/>
  <c r="BE9" i="30"/>
  <c r="BL9" i="30"/>
  <c r="AF9" i="30"/>
  <c r="BP9" i="30"/>
  <c r="AH9" i="30"/>
  <c r="BO9" i="30"/>
  <c r="AO9" i="30"/>
  <c r="BN9" i="30"/>
  <c r="AU9" i="30"/>
  <c r="BB9" i="30"/>
  <c r="AT9" i="30"/>
  <c r="Y9" i="30"/>
  <c r="AR9" i="30"/>
  <c r="BT9" i="30"/>
  <c r="AS9" i="30"/>
  <c r="BS9" i="30"/>
  <c r="AJ9" i="30"/>
  <c r="V9" i="30"/>
  <c r="BQ33" i="30"/>
  <c r="AF33" i="30"/>
  <c r="AS33" i="30"/>
  <c r="AN33" i="30"/>
  <c r="BJ33" i="30"/>
  <c r="AL33" i="30"/>
  <c r="AE33" i="30"/>
  <c r="AC33" i="30"/>
  <c r="Z33" i="30"/>
  <c r="AV33" i="30"/>
  <c r="AA33" i="30"/>
  <c r="BH33" i="30"/>
  <c r="BB33" i="30"/>
  <c r="AK33" i="30"/>
  <c r="BI33" i="30"/>
  <c r="BF33" i="30"/>
  <c r="BP33" i="30"/>
  <c r="AQ33" i="30"/>
  <c r="BT33" i="30"/>
  <c r="BR33" i="30"/>
  <c r="AR33" i="30"/>
  <c r="AU33" i="30"/>
  <c r="BO33" i="30"/>
  <c r="AP33" i="30"/>
  <c r="AM33" i="30"/>
  <c r="AG33" i="30"/>
  <c r="BG33" i="30"/>
  <c r="AJ33" i="30"/>
  <c r="AI33" i="30"/>
  <c r="W33" i="30"/>
  <c r="BS33" i="30"/>
  <c r="AW33" i="30"/>
  <c r="Y33" i="30"/>
  <c r="AY33" i="30"/>
  <c r="BD33" i="30"/>
  <c r="U33" i="30"/>
  <c r="BC33" i="30"/>
  <c r="BM33" i="30"/>
  <c r="AO33" i="30"/>
  <c r="AX33" i="30"/>
  <c r="BL33" i="30"/>
  <c r="AZ33" i="30"/>
  <c r="AB33" i="30"/>
  <c r="AT33" i="30"/>
  <c r="V33" i="30"/>
  <c r="BP81" i="30"/>
  <c r="AP81" i="30"/>
  <c r="BL105" i="30"/>
  <c r="BO105" i="30"/>
  <c r="AC105" i="30"/>
  <c r="BJ105" i="30"/>
  <c r="BQ105" i="30"/>
  <c r="AZ105" i="30"/>
  <c r="AW105" i="30"/>
  <c r="X105" i="30"/>
  <c r="AB105" i="30"/>
  <c r="AS105" i="30"/>
  <c r="AD105" i="30"/>
  <c r="AI105" i="30"/>
  <c r="AH105" i="30"/>
  <c r="V105" i="30"/>
  <c r="AR105" i="30"/>
  <c r="AT105" i="30"/>
  <c r="BD105" i="30"/>
  <c r="BI105" i="30"/>
  <c r="AF105" i="30"/>
  <c r="AY105" i="30"/>
  <c r="AG105" i="30"/>
  <c r="AX105" i="30"/>
  <c r="BR105" i="30"/>
  <c r="AL105" i="30"/>
  <c r="AA105" i="30"/>
  <c r="BP105" i="30"/>
  <c r="BK105" i="30"/>
  <c r="AU105" i="30"/>
  <c r="AO105" i="30"/>
  <c r="Y105" i="30"/>
  <c r="BH105" i="30"/>
  <c r="AQ105" i="30"/>
  <c r="AP105" i="30"/>
  <c r="AE105" i="30"/>
  <c r="BS105" i="30"/>
  <c r="W105" i="30"/>
  <c r="BE105" i="30"/>
  <c r="BB105" i="30"/>
  <c r="BG105" i="30"/>
  <c r="U105" i="30"/>
  <c r="AJ105" i="30"/>
  <c r="BM105" i="30"/>
  <c r="AV105" i="30"/>
  <c r="BF105" i="30"/>
  <c r="AN105" i="30"/>
  <c r="BA105" i="30"/>
  <c r="AH41" i="30"/>
  <c r="AK41" i="30"/>
  <c r="BK41" i="30"/>
  <c r="AX41" i="30"/>
  <c r="BI41" i="30"/>
  <c r="BB41" i="30"/>
  <c r="BS41" i="30"/>
  <c r="U41" i="30"/>
  <c r="AU41" i="30"/>
  <c r="BT41" i="30"/>
  <c r="AS41" i="30"/>
  <c r="V41" i="30"/>
  <c r="BE41" i="30"/>
  <c r="AR41" i="30"/>
  <c r="AE41" i="30"/>
  <c r="AN41" i="30"/>
  <c r="AC41" i="30"/>
  <c r="BO41" i="30"/>
  <c r="BF41" i="30"/>
  <c r="BM41" i="30"/>
  <c r="AY41" i="30"/>
  <c r="Z41" i="30"/>
  <c r="AW41" i="30"/>
  <c r="BQ41" i="30"/>
  <c r="BR41" i="30"/>
  <c r="BP41" i="30"/>
  <c r="AQ41" i="30"/>
  <c r="BL41" i="30"/>
  <c r="AZ41" i="30"/>
  <c r="AM99" i="30"/>
  <c r="AO99" i="30"/>
  <c r="BK99" i="30"/>
  <c r="BT99" i="30"/>
  <c r="BN99" i="30"/>
  <c r="AL99" i="30"/>
  <c r="W99" i="30"/>
  <c r="U99" i="30"/>
  <c r="AN99" i="30"/>
  <c r="AU99" i="30"/>
  <c r="BE99" i="30"/>
  <c r="BG99" i="30"/>
  <c r="AD99" i="30"/>
  <c r="BS51" i="30"/>
  <c r="BR51" i="30"/>
  <c r="W51" i="30"/>
  <c r="BT51" i="30"/>
  <c r="AL28" i="30"/>
  <c r="BK28" i="30"/>
  <c r="AK28" i="30"/>
  <c r="BJ28" i="30"/>
  <c r="AR28" i="30"/>
  <c r="V28" i="30"/>
  <c r="AU28" i="30"/>
  <c r="U28" i="30"/>
  <c r="AT28" i="30"/>
  <c r="AF28" i="30"/>
  <c r="BE28" i="30"/>
  <c r="AE28" i="30"/>
  <c r="X28" i="30"/>
  <c r="AD28" i="30"/>
  <c r="BO28" i="30"/>
  <c r="AO28" i="30"/>
  <c r="BN28" i="30"/>
  <c r="BH28" i="30"/>
  <c r="BM28" i="30"/>
  <c r="AY28" i="30"/>
  <c r="Y28" i="30"/>
  <c r="AX28" i="30"/>
  <c r="AV28" i="30"/>
  <c r="AW28" i="30"/>
  <c r="AI28" i="30"/>
  <c r="AN28" i="30"/>
  <c r="AH28" i="30"/>
  <c r="BG28" i="30"/>
  <c r="AG28" i="30"/>
  <c r="AP28" i="30"/>
  <c r="BC28" i="30"/>
  <c r="BB28" i="30"/>
  <c r="BL28" i="30"/>
  <c r="BA28" i="30"/>
  <c r="AA28" i="30"/>
  <c r="BP28" i="30"/>
  <c r="BR32" i="30"/>
  <c r="AJ32" i="30"/>
  <c r="BQ32" i="30"/>
  <c r="AQ32" i="30"/>
  <c r="BT32" i="30"/>
  <c r="BB32" i="30"/>
  <c r="BL32" i="30"/>
  <c r="BA32" i="30"/>
  <c r="AA32" i="30"/>
  <c r="BP32" i="30"/>
  <c r="AL32" i="30"/>
  <c r="BK32" i="30"/>
  <c r="AK32" i="30"/>
  <c r="BJ32" i="30"/>
  <c r="AR32" i="30"/>
  <c r="V32" i="30"/>
  <c r="AU32" i="30"/>
  <c r="U32" i="30"/>
  <c r="AT32" i="30"/>
  <c r="AF32" i="30"/>
  <c r="BC32" i="30"/>
  <c r="BE32" i="30"/>
  <c r="AE32" i="30"/>
  <c r="X32" i="30"/>
  <c r="AD32" i="30"/>
  <c r="AC32" i="30"/>
  <c r="BO32" i="30"/>
  <c r="AO32" i="30"/>
  <c r="BN32" i="30"/>
  <c r="BH32" i="30"/>
  <c r="BM32" i="30"/>
  <c r="AI32" i="30"/>
  <c r="AN32" i="30"/>
  <c r="AH32" i="30"/>
  <c r="BG32" i="30"/>
  <c r="AG32" i="30"/>
  <c r="V50" i="30"/>
  <c r="AU50" i="30"/>
  <c r="AU78" i="30"/>
  <c r="Y78" i="30"/>
  <c r="AS78" i="30"/>
  <c r="BJ78" i="30"/>
  <c r="BF78" i="30"/>
  <c r="AE78" i="30"/>
  <c r="AW78" i="30"/>
  <c r="AN78" i="30"/>
  <c r="BK78" i="30"/>
  <c r="AJ78" i="30"/>
  <c r="AA78" i="30"/>
  <c r="BG78" i="30"/>
  <c r="AZ78" i="30"/>
  <c r="AP78" i="30"/>
  <c r="AT78" i="30"/>
  <c r="AK78" i="30"/>
  <c r="BI78" i="30"/>
  <c r="AG78" i="30"/>
  <c r="U78" i="30"/>
  <c r="BN78" i="30"/>
  <c r="BB78" i="30"/>
  <c r="BS78" i="30"/>
  <c r="Y47" i="30"/>
  <c r="BG47" i="30"/>
  <c r="AX47" i="30"/>
  <c r="BA47" i="30"/>
  <c r="BS47" i="30"/>
  <c r="AZ47" i="30"/>
  <c r="AQ98" i="30"/>
  <c r="AV98" i="30"/>
  <c r="BB98" i="30"/>
  <c r="Z98" i="30"/>
  <c r="Y98" i="30"/>
  <c r="AK98" i="30"/>
  <c r="AE98" i="30"/>
  <c r="AA98" i="30"/>
  <c r="AD98" i="30"/>
  <c r="AG98" i="30"/>
  <c r="BO98" i="30"/>
  <c r="AX98" i="30"/>
  <c r="BK98" i="30"/>
  <c r="AT98" i="30"/>
  <c r="BH98" i="30"/>
  <c r="X98" i="30"/>
  <c r="BI98" i="30"/>
  <c r="AY98" i="30"/>
  <c r="U98" i="30"/>
  <c r="AR98" i="30"/>
  <c r="AS98" i="30"/>
  <c r="AL98" i="30"/>
  <c r="AO98" i="30"/>
  <c r="AF98" i="30"/>
  <c r="AI98" i="30"/>
  <c r="BF98" i="30"/>
  <c r="AP98" i="30"/>
  <c r="BP98" i="30"/>
  <c r="BS98" i="30"/>
  <c r="BE98" i="30"/>
  <c r="BR98" i="30"/>
  <c r="AZ98" i="30"/>
  <c r="BD98" i="30"/>
  <c r="AN98" i="30"/>
  <c r="BC98" i="30"/>
  <c r="AC98" i="30"/>
  <c r="AW98" i="30"/>
  <c r="BQ98" i="30"/>
  <c r="AU98" i="30"/>
  <c r="BG98" i="30"/>
  <c r="AJ98" i="30"/>
  <c r="W98" i="30"/>
  <c r="BN98" i="30"/>
  <c r="BA98" i="30"/>
  <c r="BT98" i="30"/>
  <c r="BJ98" i="30"/>
  <c r="AB76" i="30"/>
  <c r="AM76" i="30"/>
  <c r="BA76" i="30"/>
  <c r="BG82" i="30"/>
  <c r="AY82" i="30"/>
  <c r="AB82" i="30"/>
  <c r="AL82" i="30"/>
  <c r="AD82" i="30"/>
  <c r="BC82" i="30"/>
  <c r="AS82" i="30"/>
  <c r="AG82" i="30"/>
  <c r="BI82" i="30"/>
  <c r="BA82" i="30"/>
  <c r="AQ82" i="30"/>
  <c r="AI82" i="30"/>
  <c r="AW77" i="30"/>
  <c r="AT77" i="30"/>
  <c r="BF30" i="30"/>
  <c r="AS30" i="30"/>
  <c r="BT30" i="30"/>
  <c r="BS30" i="30"/>
  <c r="W30" i="30"/>
  <c r="V64" i="30"/>
  <c r="BK64" i="30"/>
  <c r="AU64" i="30"/>
  <c r="AS64" i="30"/>
  <c r="AV64" i="30"/>
  <c r="BM64" i="30"/>
  <c r="AE64" i="30"/>
  <c r="AW64" i="30"/>
  <c r="U64" i="30"/>
  <c r="BP64" i="30"/>
  <c r="BG64" i="30"/>
  <c r="BG85" i="30"/>
  <c r="AE85" i="30"/>
  <c r="AP85" i="30"/>
  <c r="AA85" i="30"/>
  <c r="BK85" i="30"/>
  <c r="BN85" i="30"/>
  <c r="V85" i="30"/>
  <c r="AD85" i="30"/>
  <c r="AF85" i="30"/>
  <c r="AC85" i="30"/>
  <c r="AN85" i="30"/>
  <c r="Z85" i="30"/>
  <c r="AQ85" i="30"/>
  <c r="BI85" i="30"/>
  <c r="AG85" i="30"/>
  <c r="AZ85" i="30"/>
  <c r="BM85" i="30"/>
  <c r="BJ85" i="30"/>
  <c r="BS85" i="30"/>
  <c r="AW85" i="30"/>
  <c r="BF22" i="30"/>
  <c r="BD22" i="30"/>
  <c r="AN50" i="30"/>
  <c r="AP50" i="30"/>
  <c r="BA50" i="30"/>
  <c r="Y50" i="30"/>
  <c r="BS50" i="30"/>
  <c r="AU29" i="30"/>
  <c r="AG51" i="30"/>
  <c r="BL51" i="30"/>
  <c r="AY51" i="30"/>
  <c r="AR51" i="30"/>
  <c r="AV51" i="30"/>
  <c r="Z51" i="30"/>
  <c r="BJ13" i="30"/>
  <c r="AX13" i="30"/>
  <c r="AS13" i="30"/>
  <c r="Z13" i="30"/>
  <c r="W41" i="30"/>
  <c r="AA41" i="30"/>
  <c r="BA41" i="30"/>
  <c r="AU45" i="30"/>
  <c r="AT17" i="30"/>
  <c r="BT28" i="30"/>
  <c r="AH98" i="30"/>
  <c r="AX32" i="30"/>
  <c r="W9" i="30"/>
  <c r="BG100" i="30"/>
  <c r="BK25" i="30"/>
  <c r="BI50" i="30"/>
  <c r="BF50" i="30"/>
  <c r="W50" i="30"/>
  <c r="AC50" i="30"/>
  <c r="AH50" i="30"/>
  <c r="V29" i="30"/>
  <c r="BO51" i="30"/>
  <c r="AF51" i="30"/>
  <c r="AH51" i="30"/>
  <c r="BM51" i="30"/>
  <c r="AK51" i="30"/>
  <c r="AP51" i="30"/>
  <c r="AQ13" i="30"/>
  <c r="BS13" i="30"/>
  <c r="BI13" i="30"/>
  <c r="BP13" i="30"/>
  <c r="BD41" i="30"/>
  <c r="BG41" i="30"/>
  <c r="AI41" i="30"/>
  <c r="AA45" i="30"/>
  <c r="AF17" i="30"/>
  <c r="AQ28" i="30"/>
  <c r="AM98" i="30"/>
  <c r="Y32" i="30"/>
  <c r="BF9" i="30"/>
  <c r="BC105" i="30"/>
  <c r="AK31" i="30"/>
  <c r="W31" i="30"/>
  <c r="BD100" i="30"/>
  <c r="AH33" i="30"/>
  <c r="Z82" i="30"/>
  <c r="AA50" i="30"/>
  <c r="AZ50" i="30"/>
  <c r="AR50" i="30"/>
  <c r="AY50" i="30"/>
  <c r="AX50" i="30"/>
  <c r="AE40" i="30"/>
  <c r="BG51" i="30"/>
  <c r="Y51" i="30"/>
  <c r="AX51" i="30"/>
  <c r="AI51" i="30"/>
  <c r="AJ51" i="30"/>
  <c r="BF51" i="30"/>
  <c r="AJ13" i="30"/>
  <c r="X13" i="30"/>
  <c r="AH13" i="30"/>
  <c r="AG13" i="30"/>
  <c r="Y41" i="30"/>
  <c r="AD41" i="30"/>
  <c r="BB45" i="30"/>
  <c r="AP17" i="30"/>
  <c r="BQ28" i="30"/>
  <c r="BL98" i="30"/>
  <c r="AY32" i="30"/>
  <c r="X9" i="30"/>
  <c r="AA82" i="30"/>
  <c r="BF100" i="30"/>
  <c r="AL64" i="30"/>
  <c r="AB78" i="30"/>
  <c r="AV50" i="30"/>
  <c r="BK50" i="30"/>
  <c r="BM50" i="30"/>
  <c r="BT50" i="30"/>
  <c r="BN50" i="30"/>
  <c r="AS40" i="30"/>
  <c r="BC51" i="30"/>
  <c r="AU51" i="30"/>
  <c r="BN51" i="30"/>
  <c r="BD51" i="30"/>
  <c r="BE51" i="30"/>
  <c r="V13" i="30"/>
  <c r="BF13" i="30"/>
  <c r="BO13" i="30"/>
  <c r="BC13" i="30"/>
  <c r="AW13" i="30"/>
  <c r="AM41" i="30"/>
  <c r="BJ41" i="30"/>
  <c r="AR45" i="30"/>
  <c r="AL17" i="30"/>
  <c r="AJ28" i="30"/>
  <c r="BI9" i="30"/>
  <c r="AK105" i="30"/>
  <c r="AD33" i="30"/>
  <c r="AF99" i="30"/>
  <c r="AX25" i="30"/>
  <c r="AN31" i="30"/>
  <c r="AC28" i="30"/>
  <c r="BQ50" i="30"/>
  <c r="X50" i="30"/>
  <c r="AD50" i="30"/>
  <c r="AK50" i="30"/>
  <c r="BC29" i="30"/>
  <c r="AA40" i="30"/>
  <c r="BK51" i="30"/>
  <c r="AD51" i="30"/>
  <c r="BP51" i="30"/>
  <c r="AA51" i="30"/>
  <c r="V51" i="30"/>
  <c r="AB51" i="30"/>
  <c r="W13" i="30"/>
  <c r="AO13" i="30"/>
  <c r="BG13" i="30"/>
  <c r="AF13" i="30"/>
  <c r="BM13" i="30"/>
  <c r="AF41" i="30"/>
  <c r="AJ41" i="30"/>
  <c r="AW17" i="30"/>
  <c r="BR28" i="30"/>
  <c r="Z9" i="30"/>
  <c r="BT105" i="30"/>
  <c r="BL78" i="30"/>
  <c r="X78" i="30"/>
  <c r="AS10" i="30"/>
  <c r="BR78" i="30"/>
  <c r="BK33" i="30"/>
  <c r="AE50" i="30"/>
  <c r="AM50" i="30"/>
  <c r="AS50" i="30"/>
  <c r="AT50" i="30"/>
  <c r="BG50" i="30"/>
  <c r="AS51" i="30"/>
  <c r="AO51" i="30"/>
  <c r="AM51" i="30"/>
  <c r="BA51" i="30"/>
  <c r="AL51" i="30"/>
  <c r="AW51" i="30"/>
  <c r="BN13" i="30"/>
  <c r="BE13" i="30"/>
  <c r="AP13" i="30"/>
  <c r="AD13" i="30"/>
  <c r="AT41" i="30"/>
  <c r="AP41" i="30"/>
  <c r="AG41" i="30"/>
  <c r="AF47" i="30"/>
  <c r="V98" i="30"/>
  <c r="Z105" i="30"/>
  <c r="AM105" i="30"/>
  <c r="AG25" i="30"/>
  <c r="AQ50" i="30"/>
  <c r="BH31" i="30"/>
  <c r="AU100" i="30"/>
  <c r="X33" i="30"/>
  <c r="BN105" i="30"/>
  <c r="AP32" i="30"/>
  <c r="AX82" i="30"/>
  <c r="X64" i="30"/>
  <c r="BT47" i="30"/>
  <c r="AS86" i="30"/>
  <c r="BO29" i="30"/>
  <c r="BP77" i="30"/>
  <c r="BE40" i="30"/>
  <c r="AQ78" i="30"/>
  <c r="AR85" i="30"/>
  <c r="BA54" i="30"/>
  <c r="BI27" i="30"/>
  <c r="BH97" i="30"/>
  <c r="AK42" i="30"/>
  <c r="AX20" i="30"/>
  <c r="AU63" i="30"/>
  <c r="AX24" i="30"/>
  <c r="BN64" i="30"/>
  <c r="BM54" i="30"/>
  <c r="BT39" i="30"/>
  <c r="BH82" i="30"/>
  <c r="BD82" i="30"/>
  <c r="AR82" i="30"/>
  <c r="BS82" i="30"/>
  <c r="AM82" i="30"/>
  <c r="BK24" i="30"/>
  <c r="BO82" i="30"/>
  <c r="AP82" i="30"/>
  <c r="AO82" i="30"/>
  <c r="BK82" i="30"/>
  <c r="X54" i="30"/>
  <c r="BR82" i="30"/>
  <c r="AN82" i="30"/>
  <c r="BM82" i="30"/>
  <c r="AP39" i="30"/>
  <c r="AU34" i="30"/>
  <c r="AR97" i="30"/>
  <c r="BL82" i="30"/>
  <c r="BN82" i="30"/>
  <c r="U82" i="30"/>
  <c r="AS85" i="30"/>
  <c r="BQ34" i="30"/>
  <c r="AF82" i="30"/>
  <c r="AH82" i="30"/>
  <c r="AJ82" i="30"/>
  <c r="BE82" i="30"/>
  <c r="Y20" i="30"/>
  <c r="AM39" i="30"/>
  <c r="AX85" i="30"/>
  <c r="AD54" i="30"/>
  <c r="AK24" i="30"/>
  <c r="AE97" i="30"/>
  <c r="AE82" i="30"/>
  <c r="BJ82" i="30"/>
  <c r="W82" i="30"/>
  <c r="X82" i="30"/>
  <c r="AV82" i="30"/>
  <c r="BP82" i="30"/>
  <c r="BT82" i="30"/>
  <c r="AZ34" i="30"/>
  <c r="BF97" i="30"/>
  <c r="AU85" i="30"/>
  <c r="BR97" i="30"/>
  <c r="AW82" i="30"/>
  <c r="AT82" i="30"/>
  <c r="Y82" i="30"/>
  <c r="AF24" i="30"/>
  <c r="V82" i="30"/>
  <c r="BB82" i="30"/>
  <c r="AU82" i="30"/>
  <c r="AG97" i="30"/>
  <c r="BB85" i="30"/>
  <c r="AC82" i="30"/>
  <c r="AZ82" i="30"/>
  <c r="AK82" i="30"/>
  <c r="BF82" i="30"/>
  <c r="AB12" i="30"/>
  <c r="AL12" i="30"/>
  <c r="Z12" i="30"/>
  <c r="AW12" i="30"/>
  <c r="AS12" i="30"/>
  <c r="AC18" i="30"/>
  <c r="BO12" i="30"/>
  <c r="BB12" i="30"/>
  <c r="BM12" i="30"/>
  <c r="AF12" i="30"/>
  <c r="AP12" i="30"/>
  <c r="AF77" i="30"/>
  <c r="AP18" i="30"/>
  <c r="Z70" i="30"/>
  <c r="AG66" i="30"/>
  <c r="AE91" i="30"/>
  <c r="BB46" i="30"/>
  <c r="BJ77" i="30"/>
  <c r="BN18" i="30"/>
  <c r="AO70" i="30"/>
  <c r="AR91" i="30"/>
  <c r="BQ77" i="30"/>
  <c r="BQ18" i="30"/>
  <c r="AJ18" i="30"/>
  <c r="AP70" i="30"/>
  <c r="W46" i="30"/>
  <c r="BG46" i="30"/>
  <c r="BH46" i="30"/>
  <c r="BJ46" i="30"/>
  <c r="AA46" i="30"/>
  <c r="AW86" i="30"/>
  <c r="Z86" i="30"/>
  <c r="AY86" i="30"/>
  <c r="Y86" i="30"/>
  <c r="AT86" i="30"/>
  <c r="BI86" i="30"/>
  <c r="BK61" i="30"/>
  <c r="AQ91" i="30"/>
  <c r="BS77" i="30"/>
  <c r="U77" i="30"/>
  <c r="AG18" i="30"/>
  <c r="BD18" i="30"/>
  <c r="BO70" i="30"/>
  <c r="BJ70" i="30"/>
  <c r="AP66" i="30"/>
  <c r="BD66" i="30"/>
  <c r="AQ66" i="30"/>
  <c r="BA66" i="30"/>
  <c r="AO66" i="30"/>
  <c r="BR66" i="30"/>
  <c r="AF61" i="30"/>
  <c r="V61" i="30"/>
  <c r="BP61" i="30"/>
  <c r="BT61" i="30"/>
  <c r="AD61" i="30"/>
  <c r="AJ61" i="30"/>
  <c r="AP29" i="30"/>
  <c r="W29" i="30"/>
  <c r="AD29" i="30"/>
  <c r="BL29" i="30"/>
  <c r="AE29" i="30"/>
  <c r="BE29" i="30"/>
  <c r="AX40" i="30"/>
  <c r="V40" i="30"/>
  <c r="BF40" i="30"/>
  <c r="BH40" i="30"/>
  <c r="U40" i="30"/>
  <c r="Z40" i="30"/>
  <c r="BO40" i="30"/>
  <c r="AL47" i="30"/>
  <c r="AE47" i="30"/>
  <c r="BF47" i="30"/>
  <c r="AW47" i="30"/>
  <c r="AV47" i="30"/>
  <c r="AH47" i="30"/>
  <c r="AJ91" i="30"/>
  <c r="AP91" i="30"/>
  <c r="BC91" i="30"/>
  <c r="AV91" i="30"/>
  <c r="BT91" i="30"/>
  <c r="V46" i="30"/>
  <c r="AH70" i="30"/>
  <c r="AD18" i="30"/>
  <c r="BR77" i="30"/>
  <c r="AY18" i="30"/>
  <c r="AU70" i="30"/>
  <c r="AB61" i="30"/>
  <c r="AM29" i="30"/>
  <c r="BA70" i="30"/>
  <c r="BC66" i="30"/>
  <c r="AE77" i="30"/>
  <c r="BT77" i="30"/>
  <c r="Y18" i="30"/>
  <c r="AT18" i="30"/>
  <c r="AA70" i="30"/>
  <c r="BE70" i="30"/>
  <c r="BO46" i="30"/>
  <c r="Z77" i="30"/>
  <c r="AK18" i="30"/>
  <c r="BJ18" i="30"/>
  <c r="BC70" i="30"/>
  <c r="AD70" i="30"/>
  <c r="BE46" i="30"/>
  <c r="AP46" i="30"/>
  <c r="BD46" i="30"/>
  <c r="AR46" i="30"/>
  <c r="BQ46" i="30"/>
  <c r="AE86" i="30"/>
  <c r="V86" i="30"/>
  <c r="AR86" i="30"/>
  <c r="BR86" i="30"/>
  <c r="BE86" i="30"/>
  <c r="BL86" i="30"/>
  <c r="AQ86" i="30"/>
  <c r="AM77" i="30"/>
  <c r="AD77" i="30"/>
  <c r="AV18" i="30"/>
  <c r="BC18" i="30"/>
  <c r="AI70" i="30"/>
  <c r="AC70" i="30"/>
  <c r="AS66" i="30"/>
  <c r="Z66" i="30"/>
  <c r="AC66" i="30"/>
  <c r="AR66" i="30"/>
  <c r="Y66" i="30"/>
  <c r="AY66" i="30"/>
  <c r="BI61" i="30"/>
  <c r="X61" i="30"/>
  <c r="BG61" i="30"/>
  <c r="BH61" i="30"/>
  <c r="BJ61" i="30"/>
  <c r="AA61" i="30"/>
  <c r="BH29" i="30"/>
  <c r="X29" i="30"/>
  <c r="BJ29" i="30"/>
  <c r="AK29" i="30"/>
  <c r="BK29" i="30"/>
  <c r="AL29" i="30"/>
  <c r="BL40" i="30"/>
  <c r="AH40" i="30"/>
  <c r="AV40" i="30"/>
  <c r="AT40" i="30"/>
  <c r="BA40" i="30"/>
  <c r="BR40" i="30"/>
  <c r="BH47" i="30"/>
  <c r="W47" i="30"/>
  <c r="AI47" i="30"/>
  <c r="BO47" i="30"/>
  <c r="AO47" i="30"/>
  <c r="BN47" i="30"/>
  <c r="AB91" i="30"/>
  <c r="AK91" i="30"/>
  <c r="AS91" i="30"/>
  <c r="AU91" i="30"/>
  <c r="AX91" i="30"/>
  <c r="AQ40" i="30"/>
  <c r="AN77" i="30"/>
  <c r="Y70" i="30"/>
  <c r="BL18" i="30"/>
  <c r="AB77" i="30"/>
  <c r="BK46" i="30"/>
  <c r="BI70" i="30"/>
  <c r="AZ91" i="30"/>
  <c r="AE70" i="30"/>
  <c r="AQ18" i="30"/>
  <c r="Y77" i="30"/>
  <c r="BR47" i="30"/>
  <c r="AM46" i="30"/>
  <c r="BM77" i="30"/>
  <c r="AS77" i="30"/>
  <c r="BG18" i="30"/>
  <c r="X18" i="30"/>
  <c r="BH70" i="30"/>
  <c r="BN70" i="30"/>
  <c r="BD47" i="30"/>
  <c r="AU46" i="30"/>
  <c r="BG77" i="30"/>
  <c r="BE77" i="30"/>
  <c r="U18" i="30"/>
  <c r="AN18" i="30"/>
  <c r="AM70" i="30"/>
  <c r="AN70" i="30"/>
  <c r="AW46" i="30"/>
  <c r="BF46" i="30"/>
  <c r="U46" i="30"/>
  <c r="AJ46" i="30"/>
  <c r="AH46" i="30"/>
  <c r="BT86" i="30"/>
  <c r="AJ86" i="30"/>
  <c r="U86" i="30"/>
  <c r="X86" i="30"/>
  <c r="W86" i="30"/>
  <c r="AP86" i="30"/>
  <c r="BG86" i="30"/>
  <c r="W77" i="30"/>
  <c r="AC77" i="30"/>
  <c r="AA18" i="30"/>
  <c r="BR70" i="30"/>
  <c r="AJ70" i="30"/>
  <c r="AX66" i="30"/>
  <c r="BL66" i="30"/>
  <c r="AV66" i="30"/>
  <c r="AD66" i="30"/>
  <c r="BM66" i="30"/>
  <c r="BP66" i="30"/>
  <c r="BO66" i="30"/>
  <c r="BS61" i="30"/>
  <c r="AY61" i="30"/>
  <c r="Z61" i="30"/>
  <c r="AE61" i="30"/>
  <c r="AN61" i="30"/>
  <c r="AV61" i="30"/>
  <c r="AS29" i="30"/>
  <c r="AV29" i="30"/>
  <c r="AA29" i="30"/>
  <c r="BA29" i="30"/>
  <c r="AR29" i="30"/>
  <c r="BB29" i="30"/>
  <c r="BS40" i="30"/>
  <c r="AM40" i="30"/>
  <c r="BT40" i="30"/>
  <c r="BP40" i="30"/>
  <c r="BQ40" i="30"/>
  <c r="AL40" i="30"/>
  <c r="BL47" i="30"/>
  <c r="BB47" i="30"/>
  <c r="AR47" i="30"/>
  <c r="AK47" i="30"/>
  <c r="AD47" i="30"/>
  <c r="BK47" i="30"/>
  <c r="AW91" i="30"/>
  <c r="AA91" i="30"/>
  <c r="BO91" i="30"/>
  <c r="BP91" i="30"/>
  <c r="BN91" i="30"/>
  <c r="BP18" i="30"/>
  <c r="AY77" i="30"/>
  <c r="BB91" i="30"/>
  <c r="AI77" i="30"/>
  <c r="BO77" i="30"/>
  <c r="Z29" i="30"/>
  <c r="AR77" i="30"/>
  <c r="AH77" i="30"/>
  <c r="AL18" i="30"/>
  <c r="AB18" i="30"/>
  <c r="AL70" i="30"/>
  <c r="AS70" i="30"/>
  <c r="AQ77" i="30"/>
  <c r="AJ77" i="30"/>
  <c r="BB18" i="30"/>
  <c r="BS18" i="30"/>
  <c r="W70" i="30"/>
  <c r="AT70" i="30"/>
  <c r="AC46" i="30"/>
  <c r="AO46" i="30"/>
  <c r="AQ46" i="30"/>
  <c r="AB46" i="30"/>
  <c r="AX46" i="30"/>
  <c r="AG86" i="30"/>
  <c r="BM86" i="30"/>
  <c r="AK86" i="30"/>
  <c r="BD86" i="30"/>
  <c r="AM86" i="30"/>
  <c r="AB86" i="30"/>
  <c r="AS46" i="30"/>
  <c r="BB77" i="30"/>
  <c r="BI77" i="30"/>
  <c r="AH18" i="30"/>
  <c r="AW70" i="30"/>
  <c r="BD70" i="30"/>
  <c r="U66" i="30"/>
  <c r="AM66" i="30"/>
  <c r="BQ66" i="30"/>
  <c r="X66" i="30"/>
  <c r="AE66" i="30"/>
  <c r="AK66" i="30"/>
  <c r="BA61" i="30"/>
  <c r="AG61" i="30"/>
  <c r="AP61" i="30"/>
  <c r="AZ61" i="30"/>
  <c r="BO61" i="30"/>
  <c r="BQ61" i="30"/>
  <c r="BF29" i="30"/>
  <c r="BP29" i="30"/>
  <c r="AQ29" i="30"/>
  <c r="BQ29" i="30"/>
  <c r="BT29" i="30"/>
  <c r="BR29" i="30"/>
  <c r="AR40" i="30"/>
  <c r="BN40" i="30"/>
  <c r="AG40" i="30"/>
  <c r="AP40" i="30"/>
  <c r="AB40" i="30"/>
  <c r="BG40" i="30"/>
  <c r="BP47" i="30"/>
  <c r="U47" i="30"/>
  <c r="BM47" i="30"/>
  <c r="AN47" i="30"/>
  <c r="AT47" i="30"/>
  <c r="AG47" i="30"/>
  <c r="BS91" i="30"/>
  <c r="BA91" i="30"/>
  <c r="AD91" i="30"/>
  <c r="AM91" i="30"/>
  <c r="AI91" i="30"/>
  <c r="BF77" i="30"/>
  <c r="Z18" i="30"/>
  <c r="X46" i="30"/>
  <c r="AM18" i="30"/>
  <c r="BD40" i="30"/>
  <c r="V77" i="30"/>
  <c r="BH18" i="30"/>
  <c r="BQ70" i="30"/>
  <c r="AZ29" i="30"/>
  <c r="AA77" i="30"/>
  <c r="AX77" i="30"/>
  <c r="AF18" i="30"/>
  <c r="BB70" i="30"/>
  <c r="X70" i="30"/>
  <c r="AY46" i="30"/>
  <c r="AG46" i="30"/>
  <c r="BL46" i="30"/>
  <c r="BS46" i="30"/>
  <c r="BN46" i="30"/>
  <c r="AU86" i="30"/>
  <c r="AL86" i="30"/>
  <c r="BA86" i="30"/>
  <c r="AH86" i="30"/>
  <c r="BC86" i="30"/>
  <c r="BH86" i="30"/>
  <c r="AU47" i="30"/>
  <c r="BR91" i="30"/>
  <c r="BC46" i="30"/>
  <c r="AG77" i="30"/>
  <c r="AZ18" i="30"/>
  <c r="AB70" i="30"/>
  <c r="BB66" i="30"/>
  <c r="AN66" i="30"/>
  <c r="AL66" i="30"/>
  <c r="BN66" i="30"/>
  <c r="AU66" i="30"/>
  <c r="BF66" i="30"/>
  <c r="BR61" i="30"/>
  <c r="BC61" i="30"/>
  <c r="BF61" i="30"/>
  <c r="U61" i="30"/>
  <c r="W61" i="30"/>
  <c r="AH61" i="30"/>
  <c r="BS29" i="30"/>
  <c r="AG29" i="30"/>
  <c r="BG29" i="30"/>
  <c r="AH29" i="30"/>
  <c r="AJ29" i="30"/>
  <c r="AI29" i="30"/>
  <c r="AZ40" i="30"/>
  <c r="AN40" i="30"/>
  <c r="AW40" i="30"/>
  <c r="BK40" i="30"/>
  <c r="W40" i="30"/>
  <c r="Y40" i="30"/>
  <c r="V47" i="30"/>
  <c r="X47" i="30"/>
  <c r="BI47" i="30"/>
  <c r="AJ47" i="30"/>
  <c r="BJ47" i="30"/>
  <c r="BC47" i="30"/>
  <c r="BG91" i="30"/>
  <c r="AN91" i="30"/>
  <c r="AO91" i="30"/>
  <c r="AT91" i="30"/>
  <c r="BH91" i="30"/>
  <c r="BT18" i="30"/>
  <c r="BK70" i="30"/>
  <c r="AL91" i="30"/>
  <c r="BA77" i="30"/>
  <c r="BK18" i="30"/>
  <c r="AV70" i="30"/>
  <c r="AN86" i="30"/>
  <c r="AL61" i="30"/>
  <c r="BH77" i="30"/>
  <c r="X77" i="30"/>
  <c r="AX18" i="30"/>
  <c r="AG70" i="30"/>
  <c r="BT46" i="30"/>
  <c r="Y46" i="30"/>
  <c r="AD46" i="30"/>
  <c r="AN46" i="30"/>
  <c r="BJ86" i="30"/>
  <c r="BB86" i="30"/>
  <c r="BQ86" i="30"/>
  <c r="BN86" i="30"/>
  <c r="BS86" i="30"/>
  <c r="AC86" i="30"/>
  <c r="BD91" i="30"/>
  <c r="BL77" i="30"/>
  <c r="BM18" i="30"/>
  <c r="AE18" i="30"/>
  <c r="BF70" i="30"/>
  <c r="BS66" i="30"/>
  <c r="BI66" i="30"/>
  <c r="BH66" i="30"/>
  <c r="BE66" i="30"/>
  <c r="BK66" i="30"/>
  <c r="AB66" i="30"/>
  <c r="AC61" i="30"/>
  <c r="Y61" i="30"/>
  <c r="BD61" i="30"/>
  <c r="AQ61" i="30"/>
  <c r="AR61" i="30"/>
  <c r="AX61" i="30"/>
  <c r="AF29" i="30"/>
  <c r="AW29" i="30"/>
  <c r="AB29" i="30"/>
  <c r="AX29" i="30"/>
  <c r="Y29" i="30"/>
  <c r="AY29" i="30"/>
  <c r="AC40" i="30"/>
  <c r="BJ40" i="30"/>
  <c r="BM40" i="30"/>
  <c r="AF40" i="30"/>
  <c r="AD40" i="30"/>
  <c r="AO40" i="30"/>
  <c r="BQ47" i="30"/>
  <c r="AA47" i="30"/>
  <c r="Z47" i="30"/>
  <c r="BE47" i="30"/>
  <c r="AQ47" i="30"/>
  <c r="AY47" i="30"/>
  <c r="BL91" i="30"/>
  <c r="BI91" i="30"/>
  <c r="BK91" i="30"/>
  <c r="BJ91" i="30"/>
  <c r="AC91" i="30"/>
  <c r="BK77" i="30"/>
  <c r="V18" i="30"/>
  <c r="BR46" i="30"/>
  <c r="AR70" i="30"/>
  <c r="BN77" i="30"/>
  <c r="BI18" i="30"/>
  <c r="V91" i="30"/>
  <c r="AL77" i="30"/>
  <c r="BD77" i="30"/>
  <c r="BF18" i="30"/>
  <c r="BL70" i="30"/>
  <c r="AE46" i="30"/>
  <c r="AK46" i="30"/>
  <c r="BP46" i="30"/>
  <c r="AT46" i="30"/>
  <c r="AX86" i="30"/>
  <c r="AV86" i="30"/>
  <c r="AI86" i="30"/>
  <c r="AZ86" i="30"/>
  <c r="AD86" i="30"/>
  <c r="BI40" i="30"/>
  <c r="W91" i="30"/>
  <c r="AP77" i="30"/>
  <c r="AW18" i="30"/>
  <c r="W18" i="30"/>
  <c r="AK70" i="30"/>
  <c r="AZ66" i="30"/>
  <c r="BJ66" i="30"/>
  <c r="AA66" i="30"/>
  <c r="AF66" i="30"/>
  <c r="BT66" i="30"/>
  <c r="AW61" i="30"/>
  <c r="AO61" i="30"/>
  <c r="AU61" i="30"/>
  <c r="AS61" i="30"/>
  <c r="BL61" i="30"/>
  <c r="BM61" i="30"/>
  <c r="AC29" i="30"/>
  <c r="BI29" i="30"/>
  <c r="BM29" i="30"/>
  <c r="AN29" i="30"/>
  <c r="BN29" i="30"/>
  <c r="AO29" i="30"/>
  <c r="AI40" i="30"/>
  <c r="AJ40" i="30"/>
  <c r="BC40" i="30"/>
  <c r="BB40" i="30"/>
  <c r="AY40" i="30"/>
  <c r="AM47" i="30"/>
  <c r="AC47" i="30"/>
  <c r="AP47" i="30"/>
  <c r="AB47" i="30"/>
  <c r="AS47" i="30"/>
  <c r="AF91" i="30"/>
  <c r="Z91" i="30"/>
  <c r="AG91" i="30"/>
  <c r="U91" i="30"/>
  <c r="BE18" i="30"/>
  <c r="AS18" i="30"/>
  <c r="AK77" i="30"/>
  <c r="I7" i="31"/>
  <c r="AW5" i="31"/>
  <c r="AN5" i="31"/>
  <c r="AU5" i="31"/>
  <c r="A66" i="17"/>
  <c r="H64" i="39" s="1"/>
  <c r="D65" i="17"/>
  <c r="K63" i="39" s="1"/>
  <c r="B65" i="17"/>
  <c r="I63" i="39" s="1"/>
  <c r="C65" i="17"/>
  <c r="J63" i="39" s="1"/>
  <c r="AU6" i="31" l="1"/>
  <c r="S112" i="31"/>
  <c r="AS6" i="31"/>
  <c r="H6" i="31"/>
  <c r="AG112" i="31"/>
  <c r="X6" i="31"/>
  <c r="AP6" i="31"/>
  <c r="AD6" i="31"/>
  <c r="BE6" i="31"/>
  <c r="S6" i="31"/>
  <c r="R6" i="31"/>
  <c r="AY6" i="31"/>
  <c r="AV6" i="31"/>
  <c r="M6" i="31"/>
  <c r="K6" i="31"/>
  <c r="AX6" i="31"/>
  <c r="AL6" i="31"/>
  <c r="AR6" i="31"/>
  <c r="AN6" i="31"/>
  <c r="L6" i="31"/>
  <c r="AO6" i="31"/>
  <c r="BB6" i="31"/>
  <c r="AZ6" i="31"/>
  <c r="AH6" i="31"/>
  <c r="BC6" i="31"/>
  <c r="AT6" i="31"/>
  <c r="U6" i="31"/>
  <c r="N6" i="31"/>
  <c r="T112" i="31"/>
  <c r="V112" i="31"/>
  <c r="BE112" i="31"/>
  <c r="T6" i="31"/>
  <c r="AW112" i="31"/>
  <c r="X7" i="31"/>
  <c r="W112" i="31"/>
  <c r="AI112" i="31"/>
  <c r="R112" i="31"/>
  <c r="I112" i="31"/>
  <c r="W7" i="31"/>
  <c r="I113" i="31"/>
  <c r="X113" i="31"/>
  <c r="X112" i="31"/>
  <c r="AW7" i="31"/>
  <c r="AN113" i="31"/>
  <c r="AN7" i="31"/>
  <c r="AN112" i="31"/>
  <c r="O113" i="31"/>
  <c r="AI6" i="31"/>
  <c r="AI7" i="31"/>
  <c r="AC112" i="31"/>
  <c r="P112" i="31"/>
  <c r="Y6" i="31"/>
  <c r="T113" i="31"/>
  <c r="Y5" i="31"/>
  <c r="E124" i="24" s="1"/>
  <c r="AY7" i="31"/>
  <c r="AJ113" i="31"/>
  <c r="AW6" i="31"/>
  <c r="I6" i="31"/>
  <c r="AV112" i="31"/>
  <c r="Q112" i="31"/>
  <c r="AS112" i="31"/>
  <c r="H112" i="31"/>
  <c r="V113" i="31"/>
  <c r="AB112" i="31"/>
  <c r="BB112" i="31"/>
  <c r="O112" i="31"/>
  <c r="AG7" i="31"/>
  <c r="N112" i="31"/>
  <c r="AU112" i="31"/>
  <c r="O7" i="31"/>
  <c r="AL112" i="31"/>
  <c r="AL113" i="31"/>
  <c r="AL7" i="31"/>
  <c r="AG113" i="31"/>
  <c r="P7" i="31"/>
  <c r="BF112" i="31"/>
  <c r="BD112" i="31"/>
  <c r="V7" i="31"/>
  <c r="T7" i="31"/>
  <c r="BG7" i="31"/>
  <c r="U113" i="31"/>
  <c r="AH113" i="31"/>
  <c r="AC6" i="31"/>
  <c r="BF7" i="31"/>
  <c r="AP112" i="31"/>
  <c r="AP7" i="31"/>
  <c r="BD113" i="31"/>
  <c r="AH112" i="31"/>
  <c r="AP113" i="31"/>
  <c r="AK112" i="31"/>
  <c r="AO112" i="31"/>
  <c r="U7" i="31"/>
  <c r="U112" i="31"/>
  <c r="BG112" i="31"/>
  <c r="AH7" i="31"/>
  <c r="L113" i="31"/>
  <c r="Y7" i="31"/>
  <c r="L112" i="31"/>
  <c r="BC112" i="31"/>
  <c r="H7" i="31"/>
  <c r="AF112" i="31"/>
  <c r="BC113" i="31"/>
  <c r="AY112" i="31"/>
  <c r="Y112" i="31"/>
  <c r="BC7" i="31"/>
  <c r="AY113" i="31"/>
  <c r="Y113" i="31"/>
  <c r="AM112" i="31"/>
  <c r="H113" i="31"/>
  <c r="Q7" i="31"/>
  <c r="S113" i="31"/>
  <c r="AT113" i="31"/>
  <c r="AB113" i="31"/>
  <c r="J112" i="31"/>
  <c r="S7" i="31"/>
  <c r="P6" i="31"/>
  <c r="AK7" i="31"/>
  <c r="J113" i="31"/>
  <c r="AA112" i="31"/>
  <c r="AE113" i="31"/>
  <c r="AM113" i="31"/>
  <c r="AM7" i="31"/>
  <c r="AK113" i="31"/>
  <c r="P113" i="31"/>
  <c r="AD7" i="31"/>
  <c r="AT7" i="31"/>
  <c r="AD112" i="31"/>
  <c r="AD113" i="31"/>
  <c r="AT112" i="31"/>
  <c r="AE112" i="31"/>
  <c r="J7" i="31"/>
  <c r="BF113" i="31"/>
  <c r="AV113" i="31"/>
  <c r="BA7" i="31"/>
  <c r="AX7" i="31"/>
  <c r="Q113" i="31"/>
  <c r="AQ112" i="31"/>
  <c r="BA113" i="31"/>
  <c r="AR7" i="31"/>
  <c r="AX112" i="31"/>
  <c r="AR112" i="31"/>
  <c r="BA112" i="31"/>
  <c r="AQ113" i="31"/>
  <c r="Z112" i="31"/>
  <c r="AS113" i="31"/>
  <c r="AX113" i="31"/>
  <c r="AR113" i="31"/>
  <c r="Z7" i="31"/>
  <c r="AJ112" i="31"/>
  <c r="BE7" i="31"/>
  <c r="AJ6" i="31"/>
  <c r="BE113" i="31"/>
  <c r="N7" i="31"/>
  <c r="N113" i="31"/>
  <c r="BD7" i="31"/>
  <c r="AZ7" i="31"/>
  <c r="AB6" i="31"/>
  <c r="AB7" i="31"/>
  <c r="M7" i="31"/>
  <c r="M112" i="31"/>
  <c r="AU113" i="31"/>
  <c r="BD6" i="31"/>
  <c r="AU7" i="31"/>
  <c r="AZ112" i="31"/>
  <c r="AW113" i="31"/>
  <c r="K112" i="31"/>
  <c r="M113" i="31"/>
  <c r="AZ113" i="31"/>
  <c r="Z6" i="31"/>
  <c r="R7" i="31"/>
  <c r="AG6" i="31"/>
  <c r="AO7" i="31"/>
  <c r="Z113" i="31"/>
  <c r="R113" i="31"/>
  <c r="AC7" i="31"/>
  <c r="AO113" i="31"/>
  <c r="J6" i="31"/>
  <c r="BF6" i="31"/>
  <c r="Q6" i="31"/>
  <c r="AV7" i="31"/>
  <c r="AS7" i="31"/>
  <c r="K113" i="31"/>
  <c r="W113" i="31"/>
  <c r="BB7" i="31"/>
  <c r="BG6" i="31"/>
  <c r="W6" i="31"/>
  <c r="BB113" i="31"/>
  <c r="K7" i="31"/>
  <c r="AF113" i="31"/>
  <c r="AF7" i="31"/>
  <c r="BG113" i="31"/>
  <c r="AE7" i="31"/>
  <c r="AQ6" i="31"/>
  <c r="AQ7" i="31"/>
  <c r="AA7" i="31"/>
  <c r="AA113" i="31"/>
  <c r="L7" i="31"/>
  <c r="AE6" i="31"/>
  <c r="E127" i="24"/>
  <c r="B66" i="17"/>
  <c r="I64" i="39" s="1"/>
  <c r="D66" i="17"/>
  <c r="A67" i="17"/>
  <c r="C66" i="17"/>
  <c r="J64" i="39" s="1"/>
  <c r="E24" i="24" l="1"/>
  <c r="BH112" i="31" s="1"/>
  <c r="E25" i="24"/>
  <c r="BH113" i="31" s="1"/>
  <c r="E125" i="24"/>
  <c r="E126" i="24"/>
  <c r="D67" i="17"/>
  <c r="K64" i="39"/>
  <c r="C67" i="17"/>
  <c r="B67" i="17"/>
  <c r="Z19" i="15"/>
  <c r="BI113" i="31" l="1"/>
  <c r="F25" i="24" s="1"/>
  <c r="G119" i="32"/>
  <c r="BI112" i="31"/>
  <c r="F24" i="24" s="1"/>
  <c r="G118" i="32"/>
  <c r="J118" i="32" s="1"/>
  <c r="CJ113" i="31"/>
  <c r="CB113" i="31"/>
  <c r="DB113" i="31"/>
  <c r="BZ113" i="31"/>
  <c r="BM113" i="31"/>
  <c r="CI113" i="31"/>
  <c r="CL113" i="31"/>
  <c r="CF113" i="31"/>
  <c r="CO113" i="31"/>
  <c r="CX113" i="31"/>
  <c r="DJ113" i="31"/>
  <c r="CN113" i="31"/>
  <c r="CW113" i="31"/>
  <c r="DF113" i="31"/>
  <c r="DG113" i="31"/>
  <c r="DE113" i="31"/>
  <c r="BW113" i="31"/>
  <c r="BO113" i="31"/>
  <c r="CK113" i="31"/>
  <c r="BN113" i="31"/>
  <c r="DC113" i="31"/>
  <c r="CS113" i="31"/>
  <c r="BV113" i="31"/>
  <c r="CU113" i="31"/>
  <c r="BR113" i="31"/>
  <c r="CD113" i="31"/>
  <c r="DC214" i="31"/>
  <c r="CO214" i="31"/>
  <c r="BR214" i="31"/>
  <c r="CT214" i="31"/>
  <c r="CU214" i="31"/>
  <c r="CG214" i="31"/>
  <c r="DD214" i="31"/>
  <c r="CZ214" i="31"/>
  <c r="DA214" i="31"/>
  <c r="DJ214" i="31"/>
  <c r="CA214" i="31"/>
  <c r="CW214" i="31"/>
  <c r="BZ214" i="31"/>
  <c r="DH214" i="31"/>
  <c r="DI214" i="31"/>
  <c r="CQ214" i="31"/>
  <c r="BP214" i="31"/>
  <c r="DE214" i="31"/>
  <c r="CH214" i="31"/>
  <c r="CY214" i="31"/>
  <c r="CI214" i="31"/>
  <c r="BN214" i="31"/>
  <c r="BO214" i="31"/>
  <c r="CF214" i="31"/>
  <c r="BL214" i="31"/>
  <c r="BM214" i="31"/>
  <c r="BV214" i="31"/>
  <c r="BW214" i="31"/>
  <c r="CV214" i="31"/>
  <c r="DG214" i="31"/>
  <c r="CX214" i="31"/>
  <c r="BU214" i="31"/>
  <c r="CD214" i="31"/>
  <c r="CE214" i="31"/>
  <c r="BQ214" i="31"/>
  <c r="DF214" i="31"/>
  <c r="CB214" i="31"/>
  <c r="CC214" i="31"/>
  <c r="CL214" i="31"/>
  <c r="CM214" i="31"/>
  <c r="BY214" i="31"/>
  <c r="CN214" i="31"/>
  <c r="BK214" i="31"/>
  <c r="BT214" i="31"/>
  <c r="BS214" i="31"/>
  <c r="CP214" i="31"/>
  <c r="BX214" i="31"/>
  <c r="Y19" i="15"/>
  <c r="AA19" i="15" s="1"/>
  <c r="CM113" i="31" l="1"/>
  <c r="CH113" i="31"/>
  <c r="CT113" i="31"/>
  <c r="DH113" i="31"/>
  <c r="BQ113" i="31"/>
  <c r="DA113" i="31"/>
  <c r="BK113" i="31"/>
  <c r="CV113" i="31"/>
  <c r="CR113" i="31"/>
  <c r="BX113" i="31"/>
  <c r="CG113" i="31"/>
  <c r="BL113" i="31"/>
  <c r="CE113" i="31"/>
  <c r="CZ113" i="31"/>
  <c r="BU113" i="31"/>
  <c r="BT113" i="31"/>
  <c r="DI113" i="31"/>
  <c r="BS113" i="31"/>
  <c r="DD113" i="31"/>
  <c r="CC113" i="31"/>
  <c r="CY113" i="31"/>
  <c r="CP113" i="31"/>
  <c r="BY113" i="31"/>
  <c r="CO112" i="31"/>
  <c r="CN112" i="31"/>
  <c r="BQ112" i="31"/>
  <c r="CI112" i="31"/>
  <c r="DC112" i="31"/>
  <c r="BY112" i="31"/>
  <c r="BM112" i="31"/>
  <c r="BU112" i="31"/>
  <c r="DI112" i="31"/>
  <c r="CM112" i="31"/>
  <c r="CQ112" i="31"/>
  <c r="CS112" i="31"/>
  <c r="CS214" i="31" s="1"/>
  <c r="CC112" i="31"/>
  <c r="CX112" i="31"/>
  <c r="CJ112" i="31"/>
  <c r="CJ214" i="31" s="1"/>
  <c r="CZ112" i="31"/>
  <c r="DB112" i="31"/>
  <c r="DB214" i="31" s="1"/>
  <c r="BN112" i="31"/>
  <c r="DG112" i="31"/>
  <c r="BS112" i="31"/>
  <c r="CT112" i="31"/>
  <c r="CF112" i="31"/>
  <c r="BK112" i="31"/>
  <c r="BT112" i="31"/>
  <c r="DF112" i="31"/>
  <c r="BO112" i="31"/>
  <c r="CW112" i="31"/>
  <c r="CK112" i="31"/>
  <c r="CK214" i="31" s="1"/>
  <c r="CR112" i="31"/>
  <c r="CR214" i="31" s="1"/>
  <c r="CL112" i="31"/>
  <c r="CV112" i="31"/>
  <c r="BX112" i="31"/>
  <c r="BW112" i="31"/>
  <c r="CA112" i="31"/>
  <c r="DD112" i="31"/>
  <c r="CG112" i="31"/>
  <c r="CB112" i="31"/>
  <c r="CE112" i="31"/>
  <c r="BL112" i="31"/>
  <c r="CH112" i="31"/>
  <c r="CY112" i="31"/>
  <c r="BV112" i="31"/>
  <c r="DH112" i="31"/>
  <c r="DJ112" i="31"/>
  <c r="DA112" i="31"/>
  <c r="BR112" i="31"/>
  <c r="CD112" i="31"/>
  <c r="CP112" i="31"/>
  <c r="CU112" i="31"/>
  <c r="DE112" i="31"/>
  <c r="BZ112" i="31"/>
  <c r="CQ113" i="31"/>
  <c r="BP112" i="31"/>
  <c r="CA113" i="31"/>
  <c r="BP113" i="31"/>
  <c r="A8" i="21"/>
  <c r="S1" i="15"/>
  <c r="AB2" i="15" l="1"/>
  <c r="C2" i="15"/>
  <c r="A14" i="14" l="1"/>
  <c r="P15" i="14"/>
  <c r="A15" i="14" s="1"/>
  <c r="P16" i="14"/>
  <c r="A16" i="14" s="1"/>
  <c r="P17" i="14"/>
  <c r="A17" i="14" s="1"/>
  <c r="P18" i="14"/>
  <c r="A18" i="14" s="1"/>
  <c r="P19" i="14"/>
  <c r="A19" i="14" s="1"/>
  <c r="P20" i="14"/>
  <c r="A20" i="14" s="1"/>
  <c r="P21" i="14"/>
  <c r="A21" i="14" s="1"/>
  <c r="P22" i="14"/>
  <c r="A22" i="14" s="1"/>
  <c r="P23" i="14"/>
  <c r="A23" i="14" s="1"/>
  <c r="P24" i="14"/>
  <c r="A24" i="14" s="1"/>
  <c r="P25" i="14"/>
  <c r="A25" i="14" s="1"/>
  <c r="P26" i="14"/>
  <c r="A26" i="14" s="1"/>
  <c r="P27" i="14"/>
  <c r="A27" i="14" s="1"/>
  <c r="P28" i="14"/>
  <c r="A28" i="14" s="1"/>
  <c r="P29" i="14"/>
  <c r="A29" i="14" s="1"/>
  <c r="P30" i="14"/>
  <c r="A30" i="14" s="1"/>
  <c r="P31" i="14"/>
  <c r="A31" i="14" s="1"/>
  <c r="P32" i="14"/>
  <c r="A32" i="14" s="1"/>
  <c r="P33" i="14"/>
  <c r="A33" i="14" s="1"/>
  <c r="P34" i="14"/>
  <c r="A34" i="14" s="1"/>
  <c r="P35" i="14"/>
  <c r="A35" i="14" s="1"/>
  <c r="P36" i="14"/>
  <c r="A36" i="14" s="1"/>
  <c r="P37" i="14"/>
  <c r="A37" i="14" s="1"/>
  <c r="P38" i="14"/>
  <c r="A38" i="14" s="1"/>
  <c r="P39" i="14"/>
  <c r="A39" i="14" s="1"/>
  <c r="P40" i="14"/>
  <c r="A40" i="14" s="1"/>
  <c r="P41" i="14"/>
  <c r="A41" i="14" s="1"/>
  <c r="P42" i="14"/>
  <c r="A42" i="14" s="1"/>
  <c r="P43" i="14"/>
  <c r="A43" i="14" s="1"/>
  <c r="P44" i="14"/>
  <c r="A44" i="14" s="1"/>
  <c r="P45" i="14"/>
  <c r="A45" i="14" s="1"/>
  <c r="P46" i="14"/>
  <c r="A46" i="14" s="1"/>
  <c r="P47" i="14"/>
  <c r="A47" i="14" s="1"/>
  <c r="P48" i="14"/>
  <c r="A48" i="14" s="1"/>
  <c r="P49" i="14"/>
  <c r="A49" i="14" s="1"/>
  <c r="P50" i="14"/>
  <c r="A50" i="14" s="1"/>
  <c r="P51" i="14"/>
  <c r="A51" i="14" s="1"/>
  <c r="P52" i="14"/>
  <c r="A52" i="14" s="1"/>
  <c r="P53" i="14"/>
  <c r="A53" i="14" s="1"/>
  <c r="P54" i="14"/>
  <c r="A54" i="14" s="1"/>
  <c r="P55" i="14"/>
  <c r="A55" i="14" s="1"/>
  <c r="P56" i="14"/>
  <c r="A56" i="14" s="1"/>
  <c r="P57" i="14"/>
  <c r="A57" i="14" s="1"/>
  <c r="P58" i="14"/>
  <c r="A58" i="14" s="1"/>
  <c r="P59" i="14"/>
  <c r="A59" i="14" s="1"/>
  <c r="P60" i="14"/>
  <c r="A60" i="14" s="1"/>
  <c r="P61" i="14"/>
  <c r="A61" i="14" s="1"/>
  <c r="P62" i="14"/>
  <c r="A62" i="14" s="1"/>
  <c r="P63" i="14"/>
  <c r="A63" i="14" s="1"/>
  <c r="P64" i="14"/>
  <c r="A64" i="14" s="1"/>
  <c r="P13" i="14"/>
  <c r="B13" i="14"/>
  <c r="D13" i="14"/>
  <c r="Q10" i="14"/>
  <c r="C3" i="15"/>
  <c r="C4" i="15"/>
  <c r="C5" i="15"/>
  <c r="C6" i="15"/>
  <c r="C7" i="15"/>
  <c r="C8" i="15"/>
  <c r="C9" i="15"/>
  <c r="C10" i="15"/>
  <c r="C11" i="15"/>
  <c r="C12" i="15"/>
  <c r="C13" i="15"/>
  <c r="C14" i="15"/>
  <c r="C15" i="15"/>
  <c r="C16" i="15"/>
  <c r="C17" i="15"/>
  <c r="C18" i="15"/>
  <c r="C19" i="15"/>
  <c r="C20" i="15"/>
  <c r="C21" i="15"/>
  <c r="C22" i="15"/>
  <c r="C23" i="15"/>
  <c r="C24" i="15"/>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F3" i="15"/>
  <c r="G3" i="15" l="1"/>
  <c r="BI3" i="15"/>
  <c r="AC3" i="15" l="1"/>
  <c r="BH3" i="15" s="1"/>
  <c r="G4" i="15"/>
  <c r="F4" i="15" s="1"/>
  <c r="E3" i="15"/>
  <c r="G5" i="15" l="1"/>
  <c r="F5" i="15" s="1"/>
  <c r="AB3" i="15"/>
  <c r="AD3" i="15" s="1"/>
  <c r="E4" i="15"/>
  <c r="E5" i="15" s="1"/>
  <c r="E6" i="15" s="1"/>
  <c r="E7" i="15" s="1"/>
  <c r="E8" i="15" s="1"/>
  <c r="E9" i="15" s="1"/>
  <c r="E10" i="15" s="1"/>
  <c r="E11" i="15" s="1"/>
  <c r="E12" i="15" s="1"/>
  <c r="E13" i="15" s="1"/>
  <c r="E14" i="15" s="1"/>
  <c r="E15" i="15" s="1"/>
  <c r="E16" i="15" s="1"/>
  <c r="E17" i="15" s="1"/>
  <c r="E18" i="15" s="1"/>
  <c r="E19" i="15" s="1"/>
  <c r="E20" i="15" s="1"/>
  <c r="E21" i="15" s="1"/>
  <c r="E22" i="15" s="1"/>
  <c r="E23" i="15" s="1"/>
  <c r="E24" i="15" s="1"/>
  <c r="E25" i="15" s="1"/>
  <c r="E26" i="15" s="1"/>
  <c r="E27" i="15" s="1"/>
  <c r="E28" i="15" s="1"/>
  <c r="E29" i="15" s="1"/>
  <c r="E30" i="15" s="1"/>
  <c r="E31" i="15" s="1"/>
  <c r="E32" i="15" s="1"/>
  <c r="E33" i="15" s="1"/>
  <c r="E34" i="15" s="1"/>
  <c r="E35" i="15" s="1"/>
  <c r="E36" i="15" s="1"/>
  <c r="E37" i="15" s="1"/>
  <c r="E38" i="15" s="1"/>
  <c r="E39" i="15" s="1"/>
  <c r="E40" i="15" s="1"/>
  <c r="E41" i="15" s="1"/>
  <c r="E42" i="15" s="1"/>
  <c r="E43" i="15" s="1"/>
  <c r="E44" i="15" s="1"/>
  <c r="E45" i="15" s="1"/>
  <c r="E46" i="15" s="1"/>
  <c r="E47" i="15" s="1"/>
  <c r="E48" i="15" s="1"/>
  <c r="E49" i="15" s="1"/>
  <c r="E50" i="15" s="1"/>
  <c r="E51" i="15" s="1"/>
  <c r="E52" i="15" s="1"/>
  <c r="E53" i="15" s="1"/>
  <c r="E54" i="15" s="1"/>
  <c r="E55" i="15" s="1"/>
  <c r="AB55" i="15" s="1"/>
  <c r="AD55" i="15" s="1"/>
  <c r="Z4" i="2"/>
  <c r="AA4" i="2" s="1"/>
  <c r="Z5" i="2"/>
  <c r="AA5" i="2" s="1"/>
  <c r="Z6" i="2"/>
  <c r="AA6" i="2" s="1"/>
  <c r="Z7" i="2"/>
  <c r="AA7" i="2" s="1"/>
  <c r="Z8" i="2"/>
  <c r="AA8" i="2" s="1"/>
  <c r="M2" i="15" s="1"/>
  <c r="Z9" i="2"/>
  <c r="AA9" i="2" s="1"/>
  <c r="N2" i="15" s="1"/>
  <c r="Z10" i="2"/>
  <c r="AA10" i="2" s="1"/>
  <c r="I3" i="6" s="1"/>
  <c r="DD3" i="6" s="1"/>
  <c r="Z11" i="2"/>
  <c r="AA11" i="2" s="1"/>
  <c r="Z12" i="2"/>
  <c r="AA12" i="2" s="1"/>
  <c r="Z3" i="2"/>
  <c r="AA3" i="2" s="1"/>
  <c r="CR2" i="6"/>
  <c r="CO2" i="6"/>
  <c r="CL2" i="6"/>
  <c r="CI2" i="6"/>
  <c r="CF2" i="6"/>
  <c r="CC2" i="6"/>
  <c r="BZ2" i="6"/>
  <c r="BW2" i="6"/>
  <c r="BT2" i="6"/>
  <c r="BQ2" i="6"/>
  <c r="A5" i="7"/>
  <c r="A4" i="7"/>
  <c r="G6" i="15" l="1"/>
  <c r="F6" i="15" s="1"/>
  <c r="AB5" i="15"/>
  <c r="AD5" i="15" s="1"/>
  <c r="AB4" i="15"/>
  <c r="AD4" i="15" s="1"/>
  <c r="AB6" i="15"/>
  <c r="AD6" i="15" s="1"/>
  <c r="E10" i="3"/>
  <c r="H2" i="15"/>
  <c r="E10" i="14"/>
  <c r="AI10" i="3"/>
  <c r="P2" i="15"/>
  <c r="K10" i="14"/>
  <c r="O10" i="3"/>
  <c r="J2" i="15"/>
  <c r="G10" i="14"/>
  <c r="AX10" i="3"/>
  <c r="N10" i="14"/>
  <c r="AD10" i="3"/>
  <c r="O2" i="15"/>
  <c r="J10" i="14"/>
  <c r="J10" i="3"/>
  <c r="I2" i="15"/>
  <c r="F10" i="14"/>
  <c r="AS10" i="3"/>
  <c r="M10" i="14"/>
  <c r="Y10" i="3"/>
  <c r="L2" i="15"/>
  <c r="I10" i="14"/>
  <c r="B3" i="6"/>
  <c r="CW3" i="6" s="1"/>
  <c r="AN10" i="3"/>
  <c r="Q2" i="15"/>
  <c r="L10" i="14"/>
  <c r="T10" i="3"/>
  <c r="K2" i="15"/>
  <c r="H10" i="14"/>
  <c r="E3" i="6"/>
  <c r="CZ3" i="6" s="1"/>
  <c r="BB15" i="6"/>
  <c r="BB11" i="6"/>
  <c r="BB7" i="6"/>
  <c r="F3" i="6"/>
  <c r="DA3" i="6" s="1"/>
  <c r="J3" i="6"/>
  <c r="DE3" i="6" s="1"/>
  <c r="BB14" i="6"/>
  <c r="BB10" i="6"/>
  <c r="C3" i="6"/>
  <c r="CX3" i="6" s="1"/>
  <c r="G3" i="6"/>
  <c r="DB3" i="6" s="1"/>
  <c r="K3" i="6"/>
  <c r="DF3" i="6" s="1"/>
  <c r="BB13" i="6"/>
  <c r="BB9" i="6"/>
  <c r="D3" i="6"/>
  <c r="CY3" i="6" s="1"/>
  <c r="H3" i="6"/>
  <c r="DC3" i="6" s="1"/>
  <c r="BB6" i="6"/>
  <c r="BB12" i="6"/>
  <c r="BB8" i="6"/>
  <c r="I4" i="39"/>
  <c r="G7" i="15" l="1"/>
  <c r="F7" i="15" s="1"/>
  <c r="AB7" i="15"/>
  <c r="AD7" i="15" s="1"/>
  <c r="G8" i="15" l="1"/>
  <c r="F8" i="15" s="1"/>
  <c r="AB8" i="15"/>
  <c r="AD8" i="15" s="1"/>
  <c r="I9" i="2"/>
  <c r="I10" i="2"/>
  <c r="G9" i="15" l="1"/>
  <c r="F9" i="15" s="1"/>
  <c r="AB9" i="15"/>
  <c r="AD9" i="15" s="1"/>
  <c r="D13" i="3"/>
  <c r="AZ12" i="3"/>
  <c r="AY12" i="3"/>
  <c r="AX12" i="3"/>
  <c r="AU12" i="3"/>
  <c r="AT12" i="3"/>
  <c r="AS12" i="3"/>
  <c r="AP12" i="3"/>
  <c r="AO12" i="3"/>
  <c r="AN12" i="3"/>
  <c r="AK12" i="3"/>
  <c r="AJ12" i="3"/>
  <c r="AI12" i="3"/>
  <c r="AF12" i="3"/>
  <c r="AE12" i="3"/>
  <c r="AD12" i="3"/>
  <c r="AA12" i="3"/>
  <c r="Z12" i="3"/>
  <c r="Y12" i="3"/>
  <c r="V12" i="3"/>
  <c r="U12" i="3"/>
  <c r="T12" i="3"/>
  <c r="Q12" i="3"/>
  <c r="P12" i="3"/>
  <c r="O12" i="3"/>
  <c r="L12" i="3"/>
  <c r="K12" i="3"/>
  <c r="J12" i="3"/>
  <c r="G12" i="3"/>
  <c r="F12" i="3"/>
  <c r="G10" i="15" l="1"/>
  <c r="F10" i="15" s="1"/>
  <c r="AB10" i="15"/>
  <c r="AD10" i="15" s="1"/>
  <c r="B13" i="3"/>
  <c r="AP4" i="6" s="1"/>
  <c r="AQ4" i="6"/>
  <c r="AN5" i="6"/>
  <c r="H17" i="12" s="1"/>
  <c r="AN6" i="6"/>
  <c r="H18" i="12" s="1"/>
  <c r="AN7" i="6"/>
  <c r="H19" i="12" s="1"/>
  <c r="AN8" i="6"/>
  <c r="H20" i="12" s="1"/>
  <c r="AN9" i="6"/>
  <c r="H21" i="12" s="1"/>
  <c r="AN10" i="6"/>
  <c r="H22" i="12" s="1"/>
  <c r="AN11" i="6"/>
  <c r="H23" i="12" s="1"/>
  <c r="AN12" i="6"/>
  <c r="H24" i="12" s="1"/>
  <c r="AN13" i="6"/>
  <c r="H25" i="12" s="1"/>
  <c r="AN14" i="6"/>
  <c r="H26" i="12" s="1"/>
  <c r="AN15" i="6"/>
  <c r="H27" i="12" s="1"/>
  <c r="AN16" i="6"/>
  <c r="H28" i="12" s="1"/>
  <c r="AN17" i="6"/>
  <c r="H29" i="12" s="1"/>
  <c r="AN18" i="6"/>
  <c r="H30" i="12" s="1"/>
  <c r="AN19" i="6"/>
  <c r="H31" i="12" s="1"/>
  <c r="AN20" i="6"/>
  <c r="H32" i="12" s="1"/>
  <c r="AN21" i="6"/>
  <c r="H33" i="12" s="1"/>
  <c r="AN22" i="6"/>
  <c r="H34" i="12" s="1"/>
  <c r="AN23" i="6"/>
  <c r="H35" i="12" s="1"/>
  <c r="AN24" i="6"/>
  <c r="H36" i="12" s="1"/>
  <c r="AN25" i="6"/>
  <c r="H37" i="12" s="1"/>
  <c r="AN26" i="6"/>
  <c r="H38" i="12" s="1"/>
  <c r="AN27" i="6"/>
  <c r="H39" i="12" s="1"/>
  <c r="AN28" i="6"/>
  <c r="H40" i="12" s="1"/>
  <c r="AN29" i="6"/>
  <c r="H41" i="12" s="1"/>
  <c r="AN30" i="6"/>
  <c r="H42" i="12" s="1"/>
  <c r="AN31" i="6"/>
  <c r="H43" i="12" s="1"/>
  <c r="AN32" i="6"/>
  <c r="H44" i="12" s="1"/>
  <c r="AN33" i="6"/>
  <c r="H45" i="12" s="1"/>
  <c r="AN34" i="6"/>
  <c r="H46" i="12" s="1"/>
  <c r="AN35" i="6"/>
  <c r="H47" i="12" s="1"/>
  <c r="AN36" i="6"/>
  <c r="H48" i="12" s="1"/>
  <c r="AN37" i="6"/>
  <c r="H49" i="12" s="1"/>
  <c r="AN38" i="6"/>
  <c r="H50" i="12" s="1"/>
  <c r="AN39" i="6"/>
  <c r="H51" i="12" s="1"/>
  <c r="AN40" i="6"/>
  <c r="H52" i="12" s="1"/>
  <c r="AN41" i="6"/>
  <c r="H53" i="12" s="1"/>
  <c r="AN42" i="6"/>
  <c r="H54" i="12" s="1"/>
  <c r="AN43" i="6"/>
  <c r="H55" i="12" s="1"/>
  <c r="AN44" i="6"/>
  <c r="H56" i="12" s="1"/>
  <c r="AN45" i="6"/>
  <c r="H57" i="12" s="1"/>
  <c r="AN46" i="6"/>
  <c r="H58" i="12" s="1"/>
  <c r="AN47" i="6"/>
  <c r="H59" i="12" s="1"/>
  <c r="AN48" i="6"/>
  <c r="H60" i="12" s="1"/>
  <c r="AN49" i="6"/>
  <c r="H61" i="12" s="1"/>
  <c r="AN50" i="6"/>
  <c r="H62" i="12" s="1"/>
  <c r="AN51" i="6"/>
  <c r="H63" i="12" s="1"/>
  <c r="AN52" i="6"/>
  <c r="H64" i="12" s="1"/>
  <c r="AN53" i="6"/>
  <c r="H65" i="12" s="1"/>
  <c r="AN54" i="6"/>
  <c r="H66" i="12" s="1"/>
  <c r="AN55" i="6"/>
  <c r="H67" i="12" s="1"/>
  <c r="AN56" i="6"/>
  <c r="H68" i="12" s="1"/>
  <c r="AN57" i="6"/>
  <c r="H69" i="12" s="1"/>
  <c r="AN58" i="6"/>
  <c r="H70" i="12" s="1"/>
  <c r="AN59" i="6"/>
  <c r="H71" i="12" s="1"/>
  <c r="AN60" i="6"/>
  <c r="H72" i="12" s="1"/>
  <c r="AN61" i="6"/>
  <c r="H73" i="12" s="1"/>
  <c r="AN62" i="6"/>
  <c r="H74" i="12" s="1"/>
  <c r="AN63" i="6"/>
  <c r="H75" i="12" s="1"/>
  <c r="AN64" i="6"/>
  <c r="H76" i="12" s="1"/>
  <c r="AN65" i="6"/>
  <c r="H77" i="12" s="1"/>
  <c r="AN66" i="6"/>
  <c r="H78" i="12" s="1"/>
  <c r="AN67" i="6"/>
  <c r="H79" i="12" s="1"/>
  <c r="AN68" i="6"/>
  <c r="H80" i="12" s="1"/>
  <c r="AN69" i="6"/>
  <c r="H81" i="12" s="1"/>
  <c r="AN70" i="6"/>
  <c r="H82" i="12" s="1"/>
  <c r="AN71" i="6"/>
  <c r="H83" i="12" s="1"/>
  <c r="AN72" i="6"/>
  <c r="H84" i="12" s="1"/>
  <c r="AN73" i="6"/>
  <c r="H85" i="12" s="1"/>
  <c r="AN74" i="6"/>
  <c r="H86" i="12" s="1"/>
  <c r="AN75" i="6"/>
  <c r="H87" i="12" s="1"/>
  <c r="AN76" i="6"/>
  <c r="H88" i="12" s="1"/>
  <c r="AN77" i="6"/>
  <c r="H89" i="12" s="1"/>
  <c r="AN78" i="6"/>
  <c r="H90" i="12" s="1"/>
  <c r="AN79" i="6"/>
  <c r="H91" i="12" s="1"/>
  <c r="AN80" i="6"/>
  <c r="H92" i="12" s="1"/>
  <c r="AN81" i="6"/>
  <c r="H93" i="12" s="1"/>
  <c r="AN82" i="6"/>
  <c r="H94" i="12" s="1"/>
  <c r="AN83" i="6"/>
  <c r="H95" i="12" s="1"/>
  <c r="AN84" i="6"/>
  <c r="H96" i="12" s="1"/>
  <c r="AN85" i="6"/>
  <c r="H97" i="12" s="1"/>
  <c r="AN86" i="6"/>
  <c r="H98" i="12" s="1"/>
  <c r="AN87" i="6"/>
  <c r="H99" i="12" s="1"/>
  <c r="AN88" i="6"/>
  <c r="H100" i="12" s="1"/>
  <c r="AN89" i="6"/>
  <c r="H101" i="12" s="1"/>
  <c r="AN90" i="6"/>
  <c r="H102" i="12" s="1"/>
  <c r="AN91" i="6"/>
  <c r="H103" i="12" s="1"/>
  <c r="AN92" i="6"/>
  <c r="H104" i="12" s="1"/>
  <c r="AN93" i="6"/>
  <c r="H105" i="12" s="1"/>
  <c r="AN94" i="6"/>
  <c r="H106" i="12" s="1"/>
  <c r="AN95" i="6"/>
  <c r="H107" i="12" s="1"/>
  <c r="AN96" i="6"/>
  <c r="H108" i="12" s="1"/>
  <c r="AN97" i="6"/>
  <c r="H109" i="12" s="1"/>
  <c r="AN98" i="6"/>
  <c r="H110" i="12" s="1"/>
  <c r="AN99" i="6"/>
  <c r="H111" i="12" s="1"/>
  <c r="AN100" i="6"/>
  <c r="H112" i="12" s="1"/>
  <c r="AN101" i="6"/>
  <c r="H113" i="12" s="1"/>
  <c r="AN102" i="6"/>
  <c r="H114" i="12" s="1"/>
  <c r="AN103" i="6"/>
  <c r="H115" i="12" s="1"/>
  <c r="AN104" i="6"/>
  <c r="H116" i="12" s="1"/>
  <c r="AN105" i="6"/>
  <c r="H117" i="12" s="1"/>
  <c r="AN106" i="6"/>
  <c r="H118" i="12" s="1"/>
  <c r="AN107" i="6"/>
  <c r="H119" i="12" s="1"/>
  <c r="AN108" i="6"/>
  <c r="H120" i="12" s="1"/>
  <c r="AN109" i="6"/>
  <c r="H121" i="12" s="1"/>
  <c r="AN110" i="6"/>
  <c r="H122" i="12" s="1"/>
  <c r="AN111" i="6"/>
  <c r="H123" i="12" s="1"/>
  <c r="AN112" i="6"/>
  <c r="H124" i="12" s="1"/>
  <c r="AN113" i="6"/>
  <c r="H125" i="12" s="1"/>
  <c r="AN114" i="6"/>
  <c r="H126" i="12" s="1"/>
  <c r="AN115" i="6"/>
  <c r="H127" i="12" s="1"/>
  <c r="AN116" i="6"/>
  <c r="H128" i="12" s="1"/>
  <c r="AN117" i="6"/>
  <c r="H129" i="12" s="1"/>
  <c r="AN118" i="6"/>
  <c r="H130" i="12" s="1"/>
  <c r="AN119" i="6"/>
  <c r="H131" i="12" s="1"/>
  <c r="AN120" i="6"/>
  <c r="H132" i="12" s="1"/>
  <c r="AN121" i="6"/>
  <c r="H133" i="12" s="1"/>
  <c r="AN122" i="6"/>
  <c r="H134" i="12" s="1"/>
  <c r="AN123" i="6"/>
  <c r="H135" i="12" s="1"/>
  <c r="AN124" i="6"/>
  <c r="H136" i="12" s="1"/>
  <c r="AN125" i="6"/>
  <c r="H137" i="12" s="1"/>
  <c r="AN126" i="6"/>
  <c r="H138" i="12" s="1"/>
  <c r="AN127" i="6"/>
  <c r="H139" i="12" s="1"/>
  <c r="AN128" i="6"/>
  <c r="H140" i="12" s="1"/>
  <c r="AN129" i="6"/>
  <c r="H141" i="12" s="1"/>
  <c r="AN130" i="6"/>
  <c r="H142" i="12" s="1"/>
  <c r="AN131" i="6"/>
  <c r="H143" i="12" s="1"/>
  <c r="AN132" i="6"/>
  <c r="H144" i="12" s="1"/>
  <c r="AN133" i="6"/>
  <c r="H145" i="12" s="1"/>
  <c r="AN134" i="6"/>
  <c r="H146" i="12" s="1"/>
  <c r="AN135" i="6"/>
  <c r="H147" i="12" s="1"/>
  <c r="AN136" i="6"/>
  <c r="H148" i="12" s="1"/>
  <c r="AN137" i="6"/>
  <c r="H149" i="12" s="1"/>
  <c r="AN138" i="6"/>
  <c r="H150" i="12" s="1"/>
  <c r="AN139" i="6"/>
  <c r="H151" i="12" s="1"/>
  <c r="AN140" i="6"/>
  <c r="H152" i="12" s="1"/>
  <c r="AN141" i="6"/>
  <c r="H153" i="12" s="1"/>
  <c r="AN142" i="6"/>
  <c r="H154" i="12" s="1"/>
  <c r="AN143" i="6"/>
  <c r="H155" i="12" s="1"/>
  <c r="AN144" i="6"/>
  <c r="H156" i="12" s="1"/>
  <c r="AN145" i="6"/>
  <c r="H157" i="12" s="1"/>
  <c r="AN146" i="6"/>
  <c r="H158" i="12" s="1"/>
  <c r="AN147" i="6"/>
  <c r="H159" i="12" s="1"/>
  <c r="AN148" i="6"/>
  <c r="H160" i="12" s="1"/>
  <c r="AN149" i="6"/>
  <c r="H161" i="12" s="1"/>
  <c r="AN150" i="6"/>
  <c r="H162" i="12" s="1"/>
  <c r="AN151" i="6"/>
  <c r="H163" i="12" s="1"/>
  <c r="AN152" i="6"/>
  <c r="H164" i="12" s="1"/>
  <c r="AN153" i="6"/>
  <c r="H165" i="12" s="1"/>
  <c r="AN154" i="6"/>
  <c r="H166" i="12" s="1"/>
  <c r="AN155" i="6"/>
  <c r="H167" i="12" s="1"/>
  <c r="AN156" i="6"/>
  <c r="H168" i="12" s="1"/>
  <c r="AN157" i="6"/>
  <c r="H169" i="12" s="1"/>
  <c r="AN158" i="6"/>
  <c r="H170" i="12" s="1"/>
  <c r="AN159" i="6"/>
  <c r="H171" i="12" s="1"/>
  <c r="AN160" i="6"/>
  <c r="H172" i="12" s="1"/>
  <c r="AN161" i="6"/>
  <c r="H173" i="12" s="1"/>
  <c r="AN162" i="6"/>
  <c r="H174" i="12" s="1"/>
  <c r="AN163" i="6"/>
  <c r="H175" i="12" s="1"/>
  <c r="AN164" i="6"/>
  <c r="H176" i="12" s="1"/>
  <c r="AN165" i="6"/>
  <c r="H177" i="12" s="1"/>
  <c r="AN166" i="6"/>
  <c r="H178" i="12" s="1"/>
  <c r="AN167" i="6"/>
  <c r="H179" i="12" s="1"/>
  <c r="AN168" i="6"/>
  <c r="H180" i="12" s="1"/>
  <c r="AN169" i="6"/>
  <c r="H181" i="12" s="1"/>
  <c r="AN170" i="6"/>
  <c r="H182" i="12" s="1"/>
  <c r="AN171" i="6"/>
  <c r="H183" i="12" s="1"/>
  <c r="AN172" i="6"/>
  <c r="H184" i="12" s="1"/>
  <c r="AN173" i="6"/>
  <c r="H185" i="12" s="1"/>
  <c r="AN174" i="6"/>
  <c r="H186" i="12" s="1"/>
  <c r="AN175" i="6"/>
  <c r="H187" i="12" s="1"/>
  <c r="AN176" i="6"/>
  <c r="H188" i="12" s="1"/>
  <c r="AN177" i="6"/>
  <c r="H189" i="12" s="1"/>
  <c r="AN178" i="6"/>
  <c r="H190" i="12" s="1"/>
  <c r="AN179" i="6"/>
  <c r="H191" i="12" s="1"/>
  <c r="AN180" i="6"/>
  <c r="H192" i="12" s="1"/>
  <c r="AN181" i="6"/>
  <c r="H193" i="12" s="1"/>
  <c r="AN182" i="6"/>
  <c r="H194" i="12" s="1"/>
  <c r="AN183" i="6"/>
  <c r="H195" i="12" s="1"/>
  <c r="AN184" i="6"/>
  <c r="H196" i="12" s="1"/>
  <c r="AN185" i="6"/>
  <c r="H197" i="12" s="1"/>
  <c r="AN186" i="6"/>
  <c r="H198" i="12" s="1"/>
  <c r="AN187" i="6"/>
  <c r="H199" i="12" s="1"/>
  <c r="AN188" i="6"/>
  <c r="H200" i="12" s="1"/>
  <c r="AN189" i="6"/>
  <c r="H201" i="12" s="1"/>
  <c r="AN190" i="6"/>
  <c r="H202" i="12" s="1"/>
  <c r="AN191" i="6"/>
  <c r="H203" i="12" s="1"/>
  <c r="AN192" i="6"/>
  <c r="H204" i="12" s="1"/>
  <c r="AN193" i="6"/>
  <c r="H205" i="12" s="1"/>
  <c r="AN194" i="6"/>
  <c r="H206" i="12" s="1"/>
  <c r="AN195" i="6"/>
  <c r="H207" i="12" s="1"/>
  <c r="AN196" i="6"/>
  <c r="H208" i="12" s="1"/>
  <c r="AN197" i="6"/>
  <c r="H209" i="12" s="1"/>
  <c r="AN198" i="6"/>
  <c r="H210" i="12" s="1"/>
  <c r="AN199" i="6"/>
  <c r="H211" i="12" s="1"/>
  <c r="AN200" i="6"/>
  <c r="H212" i="12" s="1"/>
  <c r="AN201" i="6"/>
  <c r="H213" i="12" s="1"/>
  <c r="AN202" i="6"/>
  <c r="H214" i="12" s="1"/>
  <c r="AN203" i="6"/>
  <c r="H215" i="12" s="1"/>
  <c r="AN204" i="6"/>
  <c r="H216" i="12" s="1"/>
  <c r="AN205" i="6"/>
  <c r="H217" i="12" s="1"/>
  <c r="AN206" i="6"/>
  <c r="H218" i="12" s="1"/>
  <c r="AN207" i="6"/>
  <c r="H219" i="12" s="1"/>
  <c r="AN208" i="6"/>
  <c r="H220" i="12" s="1"/>
  <c r="AN209" i="6"/>
  <c r="H221" i="12" s="1"/>
  <c r="AN210" i="6"/>
  <c r="H222" i="12" s="1"/>
  <c r="AN211" i="6"/>
  <c r="H223" i="12" s="1"/>
  <c r="AN212" i="6"/>
  <c r="H224" i="12" s="1"/>
  <c r="AN213" i="6"/>
  <c r="H225" i="12" s="1"/>
  <c r="AN214" i="6"/>
  <c r="H226" i="12" s="1"/>
  <c r="AN215" i="6"/>
  <c r="H227" i="12" s="1"/>
  <c r="AN216" i="6"/>
  <c r="H228" i="12" s="1"/>
  <c r="AN217" i="6"/>
  <c r="H229" i="12" s="1"/>
  <c r="AN218" i="6"/>
  <c r="H230" i="12" s="1"/>
  <c r="AN219" i="6"/>
  <c r="H231" i="12" s="1"/>
  <c r="AN220" i="6"/>
  <c r="H232" i="12" s="1"/>
  <c r="AN221" i="6"/>
  <c r="H233" i="12" s="1"/>
  <c r="AN222" i="6"/>
  <c r="H234" i="12" s="1"/>
  <c r="AN223" i="6"/>
  <c r="H235" i="12" s="1"/>
  <c r="AN224" i="6"/>
  <c r="H236" i="12" s="1"/>
  <c r="AN225" i="6"/>
  <c r="H237" i="12" s="1"/>
  <c r="AN226" i="6"/>
  <c r="H238" i="12" s="1"/>
  <c r="AN227" i="6"/>
  <c r="H239" i="12" s="1"/>
  <c r="AN228" i="6"/>
  <c r="H240" i="12" s="1"/>
  <c r="AN229" i="6"/>
  <c r="H241" i="12" s="1"/>
  <c r="AN230" i="6"/>
  <c r="H242" i="12" s="1"/>
  <c r="AN231" i="6"/>
  <c r="H243" i="12" s="1"/>
  <c r="AN232" i="6"/>
  <c r="H244" i="12" s="1"/>
  <c r="AN233" i="6"/>
  <c r="H245" i="12" s="1"/>
  <c r="AN234" i="6"/>
  <c r="H246" i="12" s="1"/>
  <c r="AN235" i="6"/>
  <c r="H247" i="12" s="1"/>
  <c r="AN236" i="6"/>
  <c r="H248" i="12" s="1"/>
  <c r="AN237" i="6"/>
  <c r="H249" i="12" s="1"/>
  <c r="AN238" i="6"/>
  <c r="H250" i="12" s="1"/>
  <c r="AN239" i="6"/>
  <c r="H251" i="12" s="1"/>
  <c r="AN240" i="6"/>
  <c r="H252" i="12" s="1"/>
  <c r="AN241" i="6"/>
  <c r="H253" i="12" s="1"/>
  <c r="AN242" i="6"/>
  <c r="H254" i="12" s="1"/>
  <c r="AN243" i="6"/>
  <c r="H255" i="12" s="1"/>
  <c r="AN244" i="6"/>
  <c r="H256" i="12" s="1"/>
  <c r="AN245" i="6"/>
  <c r="H257" i="12" s="1"/>
  <c r="AN246" i="6"/>
  <c r="H258" i="12" s="1"/>
  <c r="AN247" i="6"/>
  <c r="H259" i="12" s="1"/>
  <c r="AN248" i="6"/>
  <c r="H260" i="12" s="1"/>
  <c r="AN249" i="6"/>
  <c r="H261" i="12" s="1"/>
  <c r="AN250" i="6"/>
  <c r="H262" i="12" s="1"/>
  <c r="AN251" i="6"/>
  <c r="H263" i="12" s="1"/>
  <c r="AN252" i="6"/>
  <c r="H264" i="12" s="1"/>
  <c r="AN253" i="6"/>
  <c r="H265" i="12" s="1"/>
  <c r="AN254" i="6"/>
  <c r="H266" i="12" s="1"/>
  <c r="AN255" i="6"/>
  <c r="H267" i="12" s="1"/>
  <c r="AN256" i="6"/>
  <c r="H268" i="12" s="1"/>
  <c r="AN257" i="6"/>
  <c r="H269" i="12" s="1"/>
  <c r="AN258" i="6"/>
  <c r="H270" i="12" s="1"/>
  <c r="AN259" i="6"/>
  <c r="H271" i="12" s="1"/>
  <c r="AN260" i="6"/>
  <c r="H272" i="12" s="1"/>
  <c r="AN261" i="6"/>
  <c r="H273" i="12" s="1"/>
  <c r="AN262" i="6"/>
  <c r="H274" i="12" s="1"/>
  <c r="AN263" i="6"/>
  <c r="H275" i="12" s="1"/>
  <c r="AN4" i="6"/>
  <c r="H16" i="12" s="1"/>
  <c r="G11" i="15" l="1"/>
  <c r="F11" i="15" s="1"/>
  <c r="BT4" i="6"/>
  <c r="BX4" i="6"/>
  <c r="CB4" i="6"/>
  <c r="CF4" i="6"/>
  <c r="CJ4" i="6"/>
  <c r="CN4" i="6"/>
  <c r="CR4" i="6"/>
  <c r="BQ4" i="6"/>
  <c r="BU4" i="6"/>
  <c r="BY4" i="6"/>
  <c r="CC4" i="6"/>
  <c r="CG4" i="6"/>
  <c r="CK4" i="6"/>
  <c r="CO4" i="6"/>
  <c r="CS4" i="6"/>
  <c r="BR4" i="6"/>
  <c r="BV4" i="6"/>
  <c r="BZ4" i="6"/>
  <c r="CD4" i="6"/>
  <c r="CH4" i="6"/>
  <c r="CL4" i="6"/>
  <c r="CP4" i="6"/>
  <c r="CT4" i="6"/>
  <c r="BS4" i="6"/>
  <c r="BW4" i="6"/>
  <c r="CA4" i="6"/>
  <c r="CE4" i="6"/>
  <c r="CI4" i="6"/>
  <c r="CM4" i="6"/>
  <c r="CQ4" i="6"/>
  <c r="BT248" i="6"/>
  <c r="BX248" i="6"/>
  <c r="CB248" i="6"/>
  <c r="CF248" i="6"/>
  <c r="CJ248" i="6"/>
  <c r="CN248" i="6"/>
  <c r="CR248" i="6"/>
  <c r="BQ248" i="6"/>
  <c r="BU248" i="6"/>
  <c r="BY248" i="6"/>
  <c r="CC248" i="6"/>
  <c r="CG248" i="6"/>
  <c r="CK248" i="6"/>
  <c r="CO248" i="6"/>
  <c r="CS248" i="6"/>
  <c r="BR248" i="6"/>
  <c r="BV248" i="6"/>
  <c r="BZ248" i="6"/>
  <c r="CD248" i="6"/>
  <c r="CH248" i="6"/>
  <c r="CL248" i="6"/>
  <c r="CP248" i="6"/>
  <c r="CT248" i="6"/>
  <c r="BS248" i="6"/>
  <c r="BW248" i="6"/>
  <c r="CA248" i="6"/>
  <c r="CE248" i="6"/>
  <c r="CI248" i="6"/>
  <c r="CM248" i="6"/>
  <c r="CQ248" i="6"/>
  <c r="BQ232" i="6"/>
  <c r="BU232" i="6"/>
  <c r="BY232" i="6"/>
  <c r="CC232" i="6"/>
  <c r="CG232" i="6"/>
  <c r="CK232" i="6"/>
  <c r="CO232" i="6"/>
  <c r="CS232" i="6"/>
  <c r="BR232" i="6"/>
  <c r="BV232" i="6"/>
  <c r="BZ232" i="6"/>
  <c r="CD232" i="6"/>
  <c r="CH232" i="6"/>
  <c r="CL232" i="6"/>
  <c r="CP232" i="6"/>
  <c r="CT232" i="6"/>
  <c r="BS232" i="6"/>
  <c r="BW232" i="6"/>
  <c r="CA232" i="6"/>
  <c r="CE232" i="6"/>
  <c r="CI232" i="6"/>
  <c r="CM232" i="6"/>
  <c r="CQ232" i="6"/>
  <c r="BT232" i="6"/>
  <c r="BX232" i="6"/>
  <c r="CB232" i="6"/>
  <c r="CF232" i="6"/>
  <c r="CJ232" i="6"/>
  <c r="CN232" i="6"/>
  <c r="CR232" i="6"/>
  <c r="BT262" i="6"/>
  <c r="BX262" i="6"/>
  <c r="CB262" i="6"/>
  <c r="CF262" i="6"/>
  <c r="CJ262" i="6"/>
  <c r="CN262" i="6"/>
  <c r="CR262" i="6"/>
  <c r="BQ262" i="6"/>
  <c r="BU262" i="6"/>
  <c r="BY262" i="6"/>
  <c r="CC262" i="6"/>
  <c r="CG262" i="6"/>
  <c r="CK262" i="6"/>
  <c r="CO262" i="6"/>
  <c r="CS262" i="6"/>
  <c r="BR262" i="6"/>
  <c r="BV262" i="6"/>
  <c r="BZ262" i="6"/>
  <c r="CD262" i="6"/>
  <c r="CH262" i="6"/>
  <c r="CL262" i="6"/>
  <c r="CP262" i="6"/>
  <c r="CT262" i="6"/>
  <c r="BS262" i="6"/>
  <c r="BW262" i="6"/>
  <c r="CA262" i="6"/>
  <c r="CE262" i="6"/>
  <c r="CI262" i="6"/>
  <c r="CM262" i="6"/>
  <c r="CQ262" i="6"/>
  <c r="BT254" i="6"/>
  <c r="BX254" i="6"/>
  <c r="CB254" i="6"/>
  <c r="CF254" i="6"/>
  <c r="CJ254" i="6"/>
  <c r="CN254" i="6"/>
  <c r="CR254" i="6"/>
  <c r="BQ254" i="6"/>
  <c r="BU254" i="6"/>
  <c r="BY254" i="6"/>
  <c r="CC254" i="6"/>
  <c r="CG254" i="6"/>
  <c r="CK254" i="6"/>
  <c r="CO254" i="6"/>
  <c r="CS254" i="6"/>
  <c r="BR254" i="6"/>
  <c r="BV254" i="6"/>
  <c r="BZ254" i="6"/>
  <c r="CD254" i="6"/>
  <c r="CH254" i="6"/>
  <c r="CL254" i="6"/>
  <c r="CP254" i="6"/>
  <c r="CT254" i="6"/>
  <c r="BS254" i="6"/>
  <c r="BW254" i="6"/>
  <c r="CA254" i="6"/>
  <c r="CE254" i="6"/>
  <c r="CI254" i="6"/>
  <c r="CM254" i="6"/>
  <c r="CQ254" i="6"/>
  <c r="BT250" i="6"/>
  <c r="BX250" i="6"/>
  <c r="CB250" i="6"/>
  <c r="CF250" i="6"/>
  <c r="CJ250" i="6"/>
  <c r="CN250" i="6"/>
  <c r="CR250" i="6"/>
  <c r="BQ250" i="6"/>
  <c r="BU250" i="6"/>
  <c r="BY250" i="6"/>
  <c r="CC250" i="6"/>
  <c r="CG250" i="6"/>
  <c r="CK250" i="6"/>
  <c r="CO250" i="6"/>
  <c r="CS250" i="6"/>
  <c r="BR250" i="6"/>
  <c r="BV250" i="6"/>
  <c r="BZ250" i="6"/>
  <c r="CD250" i="6"/>
  <c r="CH250" i="6"/>
  <c r="CL250" i="6"/>
  <c r="CP250" i="6"/>
  <c r="CT250" i="6"/>
  <c r="BS250" i="6"/>
  <c r="BW250" i="6"/>
  <c r="CA250" i="6"/>
  <c r="CE250" i="6"/>
  <c r="CI250" i="6"/>
  <c r="CM250" i="6"/>
  <c r="CQ250" i="6"/>
  <c r="BT242" i="6"/>
  <c r="BX242" i="6"/>
  <c r="CB242" i="6"/>
  <c r="CF242" i="6"/>
  <c r="CJ242" i="6"/>
  <c r="CN242" i="6"/>
  <c r="CR242" i="6"/>
  <c r="BQ242" i="6"/>
  <c r="BU242" i="6"/>
  <c r="BY242" i="6"/>
  <c r="CC242" i="6"/>
  <c r="CG242" i="6"/>
  <c r="CK242" i="6"/>
  <c r="CO242" i="6"/>
  <c r="CS242" i="6"/>
  <c r="BR242" i="6"/>
  <c r="BV242" i="6"/>
  <c r="BZ242" i="6"/>
  <c r="CD242" i="6"/>
  <c r="CH242" i="6"/>
  <c r="CL242" i="6"/>
  <c r="CP242" i="6"/>
  <c r="CT242" i="6"/>
  <c r="BS242" i="6"/>
  <c r="BW242" i="6"/>
  <c r="CA242" i="6"/>
  <c r="CE242" i="6"/>
  <c r="CI242" i="6"/>
  <c r="CM242" i="6"/>
  <c r="CQ242" i="6"/>
  <c r="BQ234" i="6"/>
  <c r="BU234" i="6"/>
  <c r="BY234" i="6"/>
  <c r="CC234" i="6"/>
  <c r="CG234" i="6"/>
  <c r="CK234" i="6"/>
  <c r="CO234" i="6"/>
  <c r="CS234" i="6"/>
  <c r="BR234" i="6"/>
  <c r="BV234" i="6"/>
  <c r="BZ234" i="6"/>
  <c r="CD234" i="6"/>
  <c r="CH234" i="6"/>
  <c r="CL234" i="6"/>
  <c r="CP234" i="6"/>
  <c r="CT234" i="6"/>
  <c r="BS234" i="6"/>
  <c r="BW234" i="6"/>
  <c r="CA234" i="6"/>
  <c r="CE234" i="6"/>
  <c r="CI234" i="6"/>
  <c r="CM234" i="6"/>
  <c r="CQ234" i="6"/>
  <c r="BT234" i="6"/>
  <c r="BX234" i="6"/>
  <c r="CB234" i="6"/>
  <c r="CF234" i="6"/>
  <c r="CJ234" i="6"/>
  <c r="CN234" i="6"/>
  <c r="CR234" i="6"/>
  <c r="BQ226" i="6"/>
  <c r="BU226" i="6"/>
  <c r="BY226" i="6"/>
  <c r="CC226" i="6"/>
  <c r="CG226" i="6"/>
  <c r="CK226" i="6"/>
  <c r="CO226" i="6"/>
  <c r="CS226" i="6"/>
  <c r="BR226" i="6"/>
  <c r="BV226" i="6"/>
  <c r="BZ226" i="6"/>
  <c r="CD226" i="6"/>
  <c r="CH226" i="6"/>
  <c r="CL226" i="6"/>
  <c r="CP226" i="6"/>
  <c r="CT226" i="6"/>
  <c r="BS226" i="6"/>
  <c r="BW226" i="6"/>
  <c r="CA226" i="6"/>
  <c r="CE226" i="6"/>
  <c r="CI226" i="6"/>
  <c r="CM226" i="6"/>
  <c r="CQ226" i="6"/>
  <c r="BT226" i="6"/>
  <c r="BX226" i="6"/>
  <c r="CB226" i="6"/>
  <c r="CF226" i="6"/>
  <c r="CJ226" i="6"/>
  <c r="CN226" i="6"/>
  <c r="CR226" i="6"/>
  <c r="BQ218" i="6"/>
  <c r="BU218" i="6"/>
  <c r="BY218" i="6"/>
  <c r="CC218" i="6"/>
  <c r="CG218" i="6"/>
  <c r="CK218" i="6"/>
  <c r="CO218" i="6"/>
  <c r="CS218" i="6"/>
  <c r="BR218" i="6"/>
  <c r="BV218" i="6"/>
  <c r="BZ218" i="6"/>
  <c r="CD218" i="6"/>
  <c r="CH218" i="6"/>
  <c r="CL218" i="6"/>
  <c r="CP218" i="6"/>
  <c r="CT218" i="6"/>
  <c r="BS218" i="6"/>
  <c r="BW218" i="6"/>
  <c r="CA218" i="6"/>
  <c r="CE218" i="6"/>
  <c r="CI218" i="6"/>
  <c r="CM218" i="6"/>
  <c r="CQ218" i="6"/>
  <c r="BT218" i="6"/>
  <c r="BX218" i="6"/>
  <c r="CB218" i="6"/>
  <c r="CF218" i="6"/>
  <c r="CJ218" i="6"/>
  <c r="CN218" i="6"/>
  <c r="CR218" i="6"/>
  <c r="BR261" i="6"/>
  <c r="BV261" i="6"/>
  <c r="BZ261" i="6"/>
  <c r="CD261" i="6"/>
  <c r="CH261" i="6"/>
  <c r="CL261" i="6"/>
  <c r="CP261" i="6"/>
  <c r="CT261" i="6"/>
  <c r="BS261" i="6"/>
  <c r="BW261" i="6"/>
  <c r="CA261" i="6"/>
  <c r="CE261" i="6"/>
  <c r="CI261" i="6"/>
  <c r="CM261" i="6"/>
  <c r="CQ261" i="6"/>
  <c r="BT261" i="6"/>
  <c r="BX261" i="6"/>
  <c r="CB261" i="6"/>
  <c r="CF261" i="6"/>
  <c r="CJ261" i="6"/>
  <c r="CN261" i="6"/>
  <c r="CR261" i="6"/>
  <c r="BQ261" i="6"/>
  <c r="BU261" i="6"/>
  <c r="BY261" i="6"/>
  <c r="CC261" i="6"/>
  <c r="CG261" i="6"/>
  <c r="CK261" i="6"/>
  <c r="CO261" i="6"/>
  <c r="CS261" i="6"/>
  <c r="BR257" i="6"/>
  <c r="BV257" i="6"/>
  <c r="BZ257" i="6"/>
  <c r="CD257" i="6"/>
  <c r="CH257" i="6"/>
  <c r="CL257" i="6"/>
  <c r="CP257" i="6"/>
  <c r="CT257" i="6"/>
  <c r="BS257" i="6"/>
  <c r="BW257" i="6"/>
  <c r="CA257" i="6"/>
  <c r="CE257" i="6"/>
  <c r="CI257" i="6"/>
  <c r="CM257" i="6"/>
  <c r="CQ257" i="6"/>
  <c r="BT257" i="6"/>
  <c r="BX257" i="6"/>
  <c r="CB257" i="6"/>
  <c r="CF257" i="6"/>
  <c r="CJ257" i="6"/>
  <c r="CN257" i="6"/>
  <c r="CR257" i="6"/>
  <c r="BQ257" i="6"/>
  <c r="BU257" i="6"/>
  <c r="BY257" i="6"/>
  <c r="CC257" i="6"/>
  <c r="CG257" i="6"/>
  <c r="CK257" i="6"/>
  <c r="CO257" i="6"/>
  <c r="CS257" i="6"/>
  <c r="BR253" i="6"/>
  <c r="BV253" i="6"/>
  <c r="BZ253" i="6"/>
  <c r="CD253" i="6"/>
  <c r="CH253" i="6"/>
  <c r="CL253" i="6"/>
  <c r="CP253" i="6"/>
  <c r="CT253" i="6"/>
  <c r="BS253" i="6"/>
  <c r="BW253" i="6"/>
  <c r="CA253" i="6"/>
  <c r="CE253" i="6"/>
  <c r="CI253" i="6"/>
  <c r="CM253" i="6"/>
  <c r="CQ253" i="6"/>
  <c r="BT253" i="6"/>
  <c r="BX253" i="6"/>
  <c r="CB253" i="6"/>
  <c r="CF253" i="6"/>
  <c r="CJ253" i="6"/>
  <c r="CN253" i="6"/>
  <c r="CR253" i="6"/>
  <c r="BQ253" i="6"/>
  <c r="BU253" i="6"/>
  <c r="BY253" i="6"/>
  <c r="CC253" i="6"/>
  <c r="CG253" i="6"/>
  <c r="CK253" i="6"/>
  <c r="CO253" i="6"/>
  <c r="CS253" i="6"/>
  <c r="BR249" i="6"/>
  <c r="BV249" i="6"/>
  <c r="BZ249" i="6"/>
  <c r="CD249" i="6"/>
  <c r="CH249" i="6"/>
  <c r="CL249" i="6"/>
  <c r="CP249" i="6"/>
  <c r="CT249" i="6"/>
  <c r="BS249" i="6"/>
  <c r="BW249" i="6"/>
  <c r="CA249" i="6"/>
  <c r="CE249" i="6"/>
  <c r="CI249" i="6"/>
  <c r="CM249" i="6"/>
  <c r="CQ249" i="6"/>
  <c r="BT249" i="6"/>
  <c r="BX249" i="6"/>
  <c r="CB249" i="6"/>
  <c r="CF249" i="6"/>
  <c r="CJ249" i="6"/>
  <c r="CN249" i="6"/>
  <c r="CR249" i="6"/>
  <c r="BQ249" i="6"/>
  <c r="BU249" i="6"/>
  <c r="BY249" i="6"/>
  <c r="CC249" i="6"/>
  <c r="CG249" i="6"/>
  <c r="CK249" i="6"/>
  <c r="CO249" i="6"/>
  <c r="CS249" i="6"/>
  <c r="BR245" i="6"/>
  <c r="BV245" i="6"/>
  <c r="BZ245" i="6"/>
  <c r="CD245" i="6"/>
  <c r="CH245" i="6"/>
  <c r="CL245" i="6"/>
  <c r="CP245" i="6"/>
  <c r="CT245" i="6"/>
  <c r="BS245" i="6"/>
  <c r="BW245" i="6"/>
  <c r="CA245" i="6"/>
  <c r="CE245" i="6"/>
  <c r="CI245" i="6"/>
  <c r="CM245" i="6"/>
  <c r="CQ245" i="6"/>
  <c r="BT245" i="6"/>
  <c r="BX245" i="6"/>
  <c r="CB245" i="6"/>
  <c r="CF245" i="6"/>
  <c r="CJ245" i="6"/>
  <c r="CN245" i="6"/>
  <c r="CR245" i="6"/>
  <c r="BQ245" i="6"/>
  <c r="BU245" i="6"/>
  <c r="BY245" i="6"/>
  <c r="CC245" i="6"/>
  <c r="CG245" i="6"/>
  <c r="CK245" i="6"/>
  <c r="CO245" i="6"/>
  <c r="CS245" i="6"/>
  <c r="BR241" i="6"/>
  <c r="BV241" i="6"/>
  <c r="BZ241" i="6"/>
  <c r="CD241" i="6"/>
  <c r="CH241" i="6"/>
  <c r="CL241" i="6"/>
  <c r="CP241" i="6"/>
  <c r="CT241" i="6"/>
  <c r="BS241" i="6"/>
  <c r="BW241" i="6"/>
  <c r="CA241" i="6"/>
  <c r="CE241" i="6"/>
  <c r="CI241" i="6"/>
  <c r="CM241" i="6"/>
  <c r="CQ241" i="6"/>
  <c r="BT241" i="6"/>
  <c r="BX241" i="6"/>
  <c r="CB241" i="6"/>
  <c r="CF241" i="6"/>
  <c r="CJ241" i="6"/>
  <c r="CN241" i="6"/>
  <c r="CR241" i="6"/>
  <c r="BQ241" i="6"/>
  <c r="BU241" i="6"/>
  <c r="BY241" i="6"/>
  <c r="CC241" i="6"/>
  <c r="CG241" i="6"/>
  <c r="CK241" i="6"/>
  <c r="CO241" i="6"/>
  <c r="CS241" i="6"/>
  <c r="BR237" i="6"/>
  <c r="BV237" i="6"/>
  <c r="BZ237" i="6"/>
  <c r="CD237" i="6"/>
  <c r="CH237" i="6"/>
  <c r="CL237" i="6"/>
  <c r="CP237" i="6"/>
  <c r="CT237" i="6"/>
  <c r="BS237" i="6"/>
  <c r="BW237" i="6"/>
  <c r="CA237" i="6"/>
  <c r="CE237" i="6"/>
  <c r="CI237" i="6"/>
  <c r="CM237" i="6"/>
  <c r="CQ237" i="6"/>
  <c r="BT237" i="6"/>
  <c r="BX237" i="6"/>
  <c r="CB237" i="6"/>
  <c r="CF237" i="6"/>
  <c r="CJ237" i="6"/>
  <c r="CN237" i="6"/>
  <c r="CR237" i="6"/>
  <c r="BQ237" i="6"/>
  <c r="BU237" i="6"/>
  <c r="BY237" i="6"/>
  <c r="CC237" i="6"/>
  <c r="CG237" i="6"/>
  <c r="CK237" i="6"/>
  <c r="CO237" i="6"/>
  <c r="CS237" i="6"/>
  <c r="BS233" i="6"/>
  <c r="BW233" i="6"/>
  <c r="CA233" i="6"/>
  <c r="CE233" i="6"/>
  <c r="CI233" i="6"/>
  <c r="CM233" i="6"/>
  <c r="CQ233" i="6"/>
  <c r="BT233" i="6"/>
  <c r="BX233" i="6"/>
  <c r="CB233" i="6"/>
  <c r="CF233" i="6"/>
  <c r="CJ233" i="6"/>
  <c r="CN233" i="6"/>
  <c r="CR233" i="6"/>
  <c r="BQ233" i="6"/>
  <c r="BU233" i="6"/>
  <c r="BY233" i="6"/>
  <c r="CC233" i="6"/>
  <c r="CG233" i="6"/>
  <c r="CK233" i="6"/>
  <c r="CO233" i="6"/>
  <c r="CS233" i="6"/>
  <c r="BR233" i="6"/>
  <c r="BV233" i="6"/>
  <c r="BZ233" i="6"/>
  <c r="CD233" i="6"/>
  <c r="CH233" i="6"/>
  <c r="CL233" i="6"/>
  <c r="CP233" i="6"/>
  <c r="CT233" i="6"/>
  <c r="BS229" i="6"/>
  <c r="BW229" i="6"/>
  <c r="CA229" i="6"/>
  <c r="CE229" i="6"/>
  <c r="CI229" i="6"/>
  <c r="CM229" i="6"/>
  <c r="CQ229" i="6"/>
  <c r="BT229" i="6"/>
  <c r="BX229" i="6"/>
  <c r="CB229" i="6"/>
  <c r="CF229" i="6"/>
  <c r="CJ229" i="6"/>
  <c r="CN229" i="6"/>
  <c r="CR229" i="6"/>
  <c r="BQ229" i="6"/>
  <c r="BU229" i="6"/>
  <c r="BY229" i="6"/>
  <c r="CC229" i="6"/>
  <c r="CG229" i="6"/>
  <c r="CK229" i="6"/>
  <c r="CO229" i="6"/>
  <c r="CS229" i="6"/>
  <c r="BR229" i="6"/>
  <c r="BV229" i="6"/>
  <c r="BZ229" i="6"/>
  <c r="CD229" i="6"/>
  <c r="CH229" i="6"/>
  <c r="CL229" i="6"/>
  <c r="CP229" i="6"/>
  <c r="CT229" i="6"/>
  <c r="BS225" i="6"/>
  <c r="BW225" i="6"/>
  <c r="CA225" i="6"/>
  <c r="CE225" i="6"/>
  <c r="CI225" i="6"/>
  <c r="CM225" i="6"/>
  <c r="CQ225" i="6"/>
  <c r="BT225" i="6"/>
  <c r="BX225" i="6"/>
  <c r="CB225" i="6"/>
  <c r="CF225" i="6"/>
  <c r="CJ225" i="6"/>
  <c r="CN225" i="6"/>
  <c r="CR225" i="6"/>
  <c r="BQ225" i="6"/>
  <c r="BU225" i="6"/>
  <c r="BY225" i="6"/>
  <c r="CC225" i="6"/>
  <c r="CG225" i="6"/>
  <c r="CK225" i="6"/>
  <c r="CO225" i="6"/>
  <c r="CS225" i="6"/>
  <c r="BR225" i="6"/>
  <c r="BV225" i="6"/>
  <c r="BZ225" i="6"/>
  <c r="CD225" i="6"/>
  <c r="CH225" i="6"/>
  <c r="CL225" i="6"/>
  <c r="CP225" i="6"/>
  <c r="CT225" i="6"/>
  <c r="BS221" i="6"/>
  <c r="BW221" i="6"/>
  <c r="CA221" i="6"/>
  <c r="CE221" i="6"/>
  <c r="CI221" i="6"/>
  <c r="CM221" i="6"/>
  <c r="CQ221" i="6"/>
  <c r="BT221" i="6"/>
  <c r="BX221" i="6"/>
  <c r="CB221" i="6"/>
  <c r="CF221" i="6"/>
  <c r="CJ221" i="6"/>
  <c r="CN221" i="6"/>
  <c r="CR221" i="6"/>
  <c r="BQ221" i="6"/>
  <c r="BU221" i="6"/>
  <c r="BY221" i="6"/>
  <c r="CC221" i="6"/>
  <c r="CG221" i="6"/>
  <c r="CK221" i="6"/>
  <c r="CO221" i="6"/>
  <c r="CS221" i="6"/>
  <c r="BR221" i="6"/>
  <c r="BV221" i="6"/>
  <c r="BZ221" i="6"/>
  <c r="CD221" i="6"/>
  <c r="CH221" i="6"/>
  <c r="CL221" i="6"/>
  <c r="CP221" i="6"/>
  <c r="CT221" i="6"/>
  <c r="BS217" i="6"/>
  <c r="BW217" i="6"/>
  <c r="CA217" i="6"/>
  <c r="CE217" i="6"/>
  <c r="CI217" i="6"/>
  <c r="CM217" i="6"/>
  <c r="CQ217" i="6"/>
  <c r="BT217" i="6"/>
  <c r="BX217" i="6"/>
  <c r="CB217" i="6"/>
  <c r="CF217" i="6"/>
  <c r="CJ217" i="6"/>
  <c r="CN217" i="6"/>
  <c r="CR217" i="6"/>
  <c r="BQ217" i="6"/>
  <c r="BU217" i="6"/>
  <c r="BY217" i="6"/>
  <c r="CC217" i="6"/>
  <c r="CG217" i="6"/>
  <c r="CK217" i="6"/>
  <c r="CO217" i="6"/>
  <c r="CS217" i="6"/>
  <c r="BR217" i="6"/>
  <c r="BV217" i="6"/>
  <c r="BZ217" i="6"/>
  <c r="CD217" i="6"/>
  <c r="CH217" i="6"/>
  <c r="CL217" i="6"/>
  <c r="CP217" i="6"/>
  <c r="CT217" i="6"/>
  <c r="BS213" i="6"/>
  <c r="BW213" i="6"/>
  <c r="CA213" i="6"/>
  <c r="CE213" i="6"/>
  <c r="CI213" i="6"/>
  <c r="CM213" i="6"/>
  <c r="CQ213" i="6"/>
  <c r="BT213" i="6"/>
  <c r="BX213" i="6"/>
  <c r="CB213" i="6"/>
  <c r="CF213" i="6"/>
  <c r="CJ213" i="6"/>
  <c r="CN213" i="6"/>
  <c r="CR213" i="6"/>
  <c r="BQ213" i="6"/>
  <c r="BU213" i="6"/>
  <c r="BY213" i="6"/>
  <c r="CC213" i="6"/>
  <c r="CG213" i="6"/>
  <c r="CK213" i="6"/>
  <c r="CO213" i="6"/>
  <c r="CS213" i="6"/>
  <c r="BR213" i="6"/>
  <c r="BV213" i="6"/>
  <c r="BZ213" i="6"/>
  <c r="CD213" i="6"/>
  <c r="CH213" i="6"/>
  <c r="CL213" i="6"/>
  <c r="CP213" i="6"/>
  <c r="CT213" i="6"/>
  <c r="BS209" i="6"/>
  <c r="BW209" i="6"/>
  <c r="CA209" i="6"/>
  <c r="CE209" i="6"/>
  <c r="CI209" i="6"/>
  <c r="CM209" i="6"/>
  <c r="CQ209" i="6"/>
  <c r="BT209" i="6"/>
  <c r="BX209" i="6"/>
  <c r="CB209" i="6"/>
  <c r="CF209" i="6"/>
  <c r="CJ209" i="6"/>
  <c r="CN209" i="6"/>
  <c r="CR209" i="6"/>
  <c r="BQ209" i="6"/>
  <c r="BU209" i="6"/>
  <c r="BY209" i="6"/>
  <c r="CC209" i="6"/>
  <c r="CG209" i="6"/>
  <c r="CK209" i="6"/>
  <c r="CO209" i="6"/>
  <c r="CS209" i="6"/>
  <c r="BR209" i="6"/>
  <c r="BV209" i="6"/>
  <c r="BZ209" i="6"/>
  <c r="CD209" i="6"/>
  <c r="CH209" i="6"/>
  <c r="CL209" i="6"/>
  <c r="CP209" i="6"/>
  <c r="CT209" i="6"/>
  <c r="BS205" i="6"/>
  <c r="BW205" i="6"/>
  <c r="CA205" i="6"/>
  <c r="CE205" i="6"/>
  <c r="CI205" i="6"/>
  <c r="CM205" i="6"/>
  <c r="CQ205" i="6"/>
  <c r="BT205" i="6"/>
  <c r="BX205" i="6"/>
  <c r="CB205" i="6"/>
  <c r="CF205" i="6"/>
  <c r="CJ205" i="6"/>
  <c r="CN205" i="6"/>
  <c r="CR205" i="6"/>
  <c r="BQ205" i="6"/>
  <c r="BU205" i="6"/>
  <c r="BY205" i="6"/>
  <c r="CC205" i="6"/>
  <c r="CG205" i="6"/>
  <c r="CK205" i="6"/>
  <c r="CO205" i="6"/>
  <c r="CS205" i="6"/>
  <c r="BR205" i="6"/>
  <c r="BV205" i="6"/>
  <c r="BZ205" i="6"/>
  <c r="CD205" i="6"/>
  <c r="CH205" i="6"/>
  <c r="CL205" i="6"/>
  <c r="CP205" i="6"/>
  <c r="CT205" i="6"/>
  <c r="BS201" i="6"/>
  <c r="BW201" i="6"/>
  <c r="CA201" i="6"/>
  <c r="CE201" i="6"/>
  <c r="CI201" i="6"/>
  <c r="CM201" i="6"/>
  <c r="CQ201" i="6"/>
  <c r="BT201" i="6"/>
  <c r="BX201" i="6"/>
  <c r="CB201" i="6"/>
  <c r="CF201" i="6"/>
  <c r="CJ201" i="6"/>
  <c r="CN201" i="6"/>
  <c r="CR201" i="6"/>
  <c r="BQ201" i="6"/>
  <c r="BU201" i="6"/>
  <c r="BY201" i="6"/>
  <c r="CC201" i="6"/>
  <c r="CG201" i="6"/>
  <c r="CK201" i="6"/>
  <c r="CO201" i="6"/>
  <c r="CS201" i="6"/>
  <c r="BR201" i="6"/>
  <c r="BV201" i="6"/>
  <c r="BZ201" i="6"/>
  <c r="CD201" i="6"/>
  <c r="CH201" i="6"/>
  <c r="CL201" i="6"/>
  <c r="CP201" i="6"/>
  <c r="CT201" i="6"/>
  <c r="BS197" i="6"/>
  <c r="BW197" i="6"/>
  <c r="CA197" i="6"/>
  <c r="CE197" i="6"/>
  <c r="CI197" i="6"/>
  <c r="CM197" i="6"/>
  <c r="CQ197" i="6"/>
  <c r="BT197" i="6"/>
  <c r="BX197" i="6"/>
  <c r="CB197" i="6"/>
  <c r="CF197" i="6"/>
  <c r="CJ197" i="6"/>
  <c r="CN197" i="6"/>
  <c r="CR197" i="6"/>
  <c r="BQ197" i="6"/>
  <c r="BU197" i="6"/>
  <c r="BY197" i="6"/>
  <c r="CC197" i="6"/>
  <c r="CG197" i="6"/>
  <c r="CK197" i="6"/>
  <c r="CO197" i="6"/>
  <c r="CS197" i="6"/>
  <c r="BR197" i="6"/>
  <c r="BV197" i="6"/>
  <c r="BZ197" i="6"/>
  <c r="CD197" i="6"/>
  <c r="CH197" i="6"/>
  <c r="CL197" i="6"/>
  <c r="CP197" i="6"/>
  <c r="CT197" i="6"/>
  <c r="BS193" i="6"/>
  <c r="BW193" i="6"/>
  <c r="CA193" i="6"/>
  <c r="CE193" i="6"/>
  <c r="CI193" i="6"/>
  <c r="CM193" i="6"/>
  <c r="CQ193" i="6"/>
  <c r="BT193" i="6"/>
  <c r="BX193" i="6"/>
  <c r="CB193" i="6"/>
  <c r="CF193" i="6"/>
  <c r="CJ193" i="6"/>
  <c r="CN193" i="6"/>
  <c r="CR193" i="6"/>
  <c r="BQ193" i="6"/>
  <c r="BU193" i="6"/>
  <c r="BY193" i="6"/>
  <c r="CC193" i="6"/>
  <c r="CG193" i="6"/>
  <c r="CK193" i="6"/>
  <c r="CO193" i="6"/>
  <c r="CS193" i="6"/>
  <c r="BR193" i="6"/>
  <c r="BV193" i="6"/>
  <c r="BZ193" i="6"/>
  <c r="CD193" i="6"/>
  <c r="CH193" i="6"/>
  <c r="CL193" i="6"/>
  <c r="CP193" i="6"/>
  <c r="CT193" i="6"/>
  <c r="BS189" i="6"/>
  <c r="BW189" i="6"/>
  <c r="CA189" i="6"/>
  <c r="CE189" i="6"/>
  <c r="CI189" i="6"/>
  <c r="CM189" i="6"/>
  <c r="CQ189" i="6"/>
  <c r="BT189" i="6"/>
  <c r="BX189" i="6"/>
  <c r="CB189" i="6"/>
  <c r="CF189" i="6"/>
  <c r="CJ189" i="6"/>
  <c r="CN189" i="6"/>
  <c r="CR189" i="6"/>
  <c r="BQ189" i="6"/>
  <c r="BU189" i="6"/>
  <c r="BY189" i="6"/>
  <c r="CC189" i="6"/>
  <c r="CG189" i="6"/>
  <c r="CK189" i="6"/>
  <c r="CO189" i="6"/>
  <c r="CS189" i="6"/>
  <c r="BR189" i="6"/>
  <c r="BV189" i="6"/>
  <c r="BZ189" i="6"/>
  <c r="CD189" i="6"/>
  <c r="CH189" i="6"/>
  <c r="CL189" i="6"/>
  <c r="CP189" i="6"/>
  <c r="CT189" i="6"/>
  <c r="BS185" i="6"/>
  <c r="BW185" i="6"/>
  <c r="CA185" i="6"/>
  <c r="CE185" i="6"/>
  <c r="CI185" i="6"/>
  <c r="CM185" i="6"/>
  <c r="CQ185" i="6"/>
  <c r="BT185" i="6"/>
  <c r="BX185" i="6"/>
  <c r="CB185" i="6"/>
  <c r="CF185" i="6"/>
  <c r="CJ185" i="6"/>
  <c r="CN185" i="6"/>
  <c r="CR185" i="6"/>
  <c r="BQ185" i="6"/>
  <c r="BU185" i="6"/>
  <c r="BY185" i="6"/>
  <c r="CC185" i="6"/>
  <c r="CG185" i="6"/>
  <c r="CK185" i="6"/>
  <c r="CO185" i="6"/>
  <c r="CS185" i="6"/>
  <c r="BR185" i="6"/>
  <c r="BV185" i="6"/>
  <c r="BZ185" i="6"/>
  <c r="CD185" i="6"/>
  <c r="CH185" i="6"/>
  <c r="CL185" i="6"/>
  <c r="CP185" i="6"/>
  <c r="CT185" i="6"/>
  <c r="BS181" i="6"/>
  <c r="BW181" i="6"/>
  <c r="CA181" i="6"/>
  <c r="CE181" i="6"/>
  <c r="CI181" i="6"/>
  <c r="CM181" i="6"/>
  <c r="CQ181" i="6"/>
  <c r="BT181" i="6"/>
  <c r="BX181" i="6"/>
  <c r="CB181" i="6"/>
  <c r="CF181" i="6"/>
  <c r="CJ181" i="6"/>
  <c r="CN181" i="6"/>
  <c r="CR181" i="6"/>
  <c r="BQ181" i="6"/>
  <c r="BU181" i="6"/>
  <c r="BY181" i="6"/>
  <c r="CC181" i="6"/>
  <c r="CG181" i="6"/>
  <c r="CK181" i="6"/>
  <c r="CO181" i="6"/>
  <c r="CS181" i="6"/>
  <c r="BR181" i="6"/>
  <c r="BV181" i="6"/>
  <c r="BZ181" i="6"/>
  <c r="CD181" i="6"/>
  <c r="CH181" i="6"/>
  <c r="CL181" i="6"/>
  <c r="CP181" i="6"/>
  <c r="CT181" i="6"/>
  <c r="BS177" i="6"/>
  <c r="BW177" i="6"/>
  <c r="CA177" i="6"/>
  <c r="CE177" i="6"/>
  <c r="CI177" i="6"/>
  <c r="CM177" i="6"/>
  <c r="CQ177" i="6"/>
  <c r="BT177" i="6"/>
  <c r="BX177" i="6"/>
  <c r="CB177" i="6"/>
  <c r="CF177" i="6"/>
  <c r="CJ177" i="6"/>
  <c r="CN177" i="6"/>
  <c r="CR177" i="6"/>
  <c r="BQ177" i="6"/>
  <c r="BU177" i="6"/>
  <c r="BY177" i="6"/>
  <c r="CC177" i="6"/>
  <c r="CG177" i="6"/>
  <c r="CK177" i="6"/>
  <c r="CO177" i="6"/>
  <c r="CS177" i="6"/>
  <c r="BR177" i="6"/>
  <c r="BV177" i="6"/>
  <c r="BZ177" i="6"/>
  <c r="CD177" i="6"/>
  <c r="CH177" i="6"/>
  <c r="CL177" i="6"/>
  <c r="CP177" i="6"/>
  <c r="CT177" i="6"/>
  <c r="BS173" i="6"/>
  <c r="BW173" i="6"/>
  <c r="CA173" i="6"/>
  <c r="CE173" i="6"/>
  <c r="CI173" i="6"/>
  <c r="CM173" i="6"/>
  <c r="CQ173" i="6"/>
  <c r="BT173" i="6"/>
  <c r="BX173" i="6"/>
  <c r="CB173" i="6"/>
  <c r="CF173" i="6"/>
  <c r="CJ173" i="6"/>
  <c r="CN173" i="6"/>
  <c r="CR173" i="6"/>
  <c r="BQ173" i="6"/>
  <c r="BU173" i="6"/>
  <c r="BY173" i="6"/>
  <c r="CC173" i="6"/>
  <c r="CG173" i="6"/>
  <c r="CK173" i="6"/>
  <c r="CO173" i="6"/>
  <c r="CS173" i="6"/>
  <c r="BR173" i="6"/>
  <c r="BV173" i="6"/>
  <c r="BZ173" i="6"/>
  <c r="CD173" i="6"/>
  <c r="CH173" i="6"/>
  <c r="CL173" i="6"/>
  <c r="CP173" i="6"/>
  <c r="CT173" i="6"/>
  <c r="BS169" i="6"/>
  <c r="BW169" i="6"/>
  <c r="CA169" i="6"/>
  <c r="CE169" i="6"/>
  <c r="CI169" i="6"/>
  <c r="CM169" i="6"/>
  <c r="CQ169" i="6"/>
  <c r="BT169" i="6"/>
  <c r="BX169" i="6"/>
  <c r="CB169" i="6"/>
  <c r="CF169" i="6"/>
  <c r="CJ169" i="6"/>
  <c r="CN169" i="6"/>
  <c r="CR169" i="6"/>
  <c r="BQ169" i="6"/>
  <c r="BU169" i="6"/>
  <c r="BY169" i="6"/>
  <c r="CC169" i="6"/>
  <c r="CG169" i="6"/>
  <c r="CK169" i="6"/>
  <c r="CO169" i="6"/>
  <c r="CS169" i="6"/>
  <c r="BR169" i="6"/>
  <c r="BV169" i="6"/>
  <c r="BZ169" i="6"/>
  <c r="CD169" i="6"/>
  <c r="CH169" i="6"/>
  <c r="CL169" i="6"/>
  <c r="CP169" i="6"/>
  <c r="CT169" i="6"/>
  <c r="BS165" i="6"/>
  <c r="BW165" i="6"/>
  <c r="CA165" i="6"/>
  <c r="CE165" i="6"/>
  <c r="CI165" i="6"/>
  <c r="CM165" i="6"/>
  <c r="CQ165" i="6"/>
  <c r="BT165" i="6"/>
  <c r="BX165" i="6"/>
  <c r="CB165" i="6"/>
  <c r="CF165" i="6"/>
  <c r="CJ165" i="6"/>
  <c r="CN165" i="6"/>
  <c r="CR165" i="6"/>
  <c r="BQ165" i="6"/>
  <c r="BU165" i="6"/>
  <c r="BY165" i="6"/>
  <c r="CC165" i="6"/>
  <c r="CG165" i="6"/>
  <c r="CK165" i="6"/>
  <c r="CO165" i="6"/>
  <c r="CS165" i="6"/>
  <c r="BR165" i="6"/>
  <c r="BV165" i="6"/>
  <c r="BZ165" i="6"/>
  <c r="CD165" i="6"/>
  <c r="CH165" i="6"/>
  <c r="CL165" i="6"/>
  <c r="CP165" i="6"/>
  <c r="CT165" i="6"/>
  <c r="BS161" i="6"/>
  <c r="BW161" i="6"/>
  <c r="CA161" i="6"/>
  <c r="CE161" i="6"/>
  <c r="CI161" i="6"/>
  <c r="CM161" i="6"/>
  <c r="CQ161" i="6"/>
  <c r="BT161" i="6"/>
  <c r="BX161" i="6"/>
  <c r="CB161" i="6"/>
  <c r="CF161" i="6"/>
  <c r="CJ161" i="6"/>
  <c r="CN161" i="6"/>
  <c r="CR161" i="6"/>
  <c r="BQ161" i="6"/>
  <c r="BU161" i="6"/>
  <c r="BY161" i="6"/>
  <c r="CC161" i="6"/>
  <c r="CG161" i="6"/>
  <c r="CK161" i="6"/>
  <c r="CO161" i="6"/>
  <c r="CS161" i="6"/>
  <c r="BR161" i="6"/>
  <c r="BV161" i="6"/>
  <c r="BZ161" i="6"/>
  <c r="CD161" i="6"/>
  <c r="CH161" i="6"/>
  <c r="CL161" i="6"/>
  <c r="CP161" i="6"/>
  <c r="CT161" i="6"/>
  <c r="BS157" i="6"/>
  <c r="BW157" i="6"/>
  <c r="CA157" i="6"/>
  <c r="CE157" i="6"/>
  <c r="CI157" i="6"/>
  <c r="CM157" i="6"/>
  <c r="CQ157" i="6"/>
  <c r="BT157" i="6"/>
  <c r="BX157" i="6"/>
  <c r="CB157" i="6"/>
  <c r="CF157" i="6"/>
  <c r="CJ157" i="6"/>
  <c r="CN157" i="6"/>
  <c r="CR157" i="6"/>
  <c r="BQ157" i="6"/>
  <c r="BU157" i="6"/>
  <c r="BY157" i="6"/>
  <c r="CC157" i="6"/>
  <c r="CG157" i="6"/>
  <c r="CK157" i="6"/>
  <c r="CO157" i="6"/>
  <c r="CS157" i="6"/>
  <c r="BR157" i="6"/>
  <c r="BV157" i="6"/>
  <c r="BZ157" i="6"/>
  <c r="CD157" i="6"/>
  <c r="CH157" i="6"/>
  <c r="CL157" i="6"/>
  <c r="CP157" i="6"/>
  <c r="CT157" i="6"/>
  <c r="BS153" i="6"/>
  <c r="BW153" i="6"/>
  <c r="CA153" i="6"/>
  <c r="CE153" i="6"/>
  <c r="CI153" i="6"/>
  <c r="CM153" i="6"/>
  <c r="CQ153" i="6"/>
  <c r="BT153" i="6"/>
  <c r="BX153" i="6"/>
  <c r="CB153" i="6"/>
  <c r="CF153" i="6"/>
  <c r="CJ153" i="6"/>
  <c r="CN153" i="6"/>
  <c r="CR153" i="6"/>
  <c r="BQ153" i="6"/>
  <c r="BU153" i="6"/>
  <c r="BY153" i="6"/>
  <c r="CC153" i="6"/>
  <c r="CG153" i="6"/>
  <c r="CK153" i="6"/>
  <c r="CO153" i="6"/>
  <c r="CS153" i="6"/>
  <c r="BR153" i="6"/>
  <c r="BV153" i="6"/>
  <c r="BZ153" i="6"/>
  <c r="CD153" i="6"/>
  <c r="CH153" i="6"/>
  <c r="CL153" i="6"/>
  <c r="CP153" i="6"/>
  <c r="CT153" i="6"/>
  <c r="BS149" i="6"/>
  <c r="BW149" i="6"/>
  <c r="CA149" i="6"/>
  <c r="CE149" i="6"/>
  <c r="CI149" i="6"/>
  <c r="CM149" i="6"/>
  <c r="CQ149" i="6"/>
  <c r="BT149" i="6"/>
  <c r="BX149" i="6"/>
  <c r="CB149" i="6"/>
  <c r="CF149" i="6"/>
  <c r="CJ149" i="6"/>
  <c r="CN149" i="6"/>
  <c r="CR149" i="6"/>
  <c r="BQ149" i="6"/>
  <c r="BU149" i="6"/>
  <c r="BY149" i="6"/>
  <c r="CC149" i="6"/>
  <c r="CG149" i="6"/>
  <c r="CK149" i="6"/>
  <c r="CO149" i="6"/>
  <c r="CS149" i="6"/>
  <c r="BR149" i="6"/>
  <c r="BV149" i="6"/>
  <c r="BZ149" i="6"/>
  <c r="CD149" i="6"/>
  <c r="CH149" i="6"/>
  <c r="CL149" i="6"/>
  <c r="CP149" i="6"/>
  <c r="CT149" i="6"/>
  <c r="BS145" i="6"/>
  <c r="BW145" i="6"/>
  <c r="CA145" i="6"/>
  <c r="CE145" i="6"/>
  <c r="CI145" i="6"/>
  <c r="CM145" i="6"/>
  <c r="CQ145" i="6"/>
  <c r="BT145" i="6"/>
  <c r="BX145" i="6"/>
  <c r="CB145" i="6"/>
  <c r="CF145" i="6"/>
  <c r="CJ145" i="6"/>
  <c r="CN145" i="6"/>
  <c r="CR145" i="6"/>
  <c r="BQ145" i="6"/>
  <c r="BU145" i="6"/>
  <c r="BY145" i="6"/>
  <c r="CC145" i="6"/>
  <c r="CG145" i="6"/>
  <c r="CK145" i="6"/>
  <c r="CO145" i="6"/>
  <c r="CS145" i="6"/>
  <c r="BR145" i="6"/>
  <c r="BV145" i="6"/>
  <c r="BZ145" i="6"/>
  <c r="CD145" i="6"/>
  <c r="CH145" i="6"/>
  <c r="CL145" i="6"/>
  <c r="CP145" i="6"/>
  <c r="CT145" i="6"/>
  <c r="BT141" i="6"/>
  <c r="BX141" i="6"/>
  <c r="CB141" i="6"/>
  <c r="CF141" i="6"/>
  <c r="CJ141" i="6"/>
  <c r="CN141" i="6"/>
  <c r="CR141" i="6"/>
  <c r="BQ141" i="6"/>
  <c r="BU141" i="6"/>
  <c r="BY141" i="6"/>
  <c r="CC141" i="6"/>
  <c r="CG141" i="6"/>
  <c r="CK141" i="6"/>
  <c r="CO141" i="6"/>
  <c r="CS141" i="6"/>
  <c r="BR141" i="6"/>
  <c r="BV141" i="6"/>
  <c r="BZ141" i="6"/>
  <c r="CD141" i="6"/>
  <c r="CH141" i="6"/>
  <c r="CL141" i="6"/>
  <c r="CP141" i="6"/>
  <c r="CT141" i="6"/>
  <c r="BS141" i="6"/>
  <c r="BW141" i="6"/>
  <c r="CA141" i="6"/>
  <c r="CE141" i="6"/>
  <c r="CI141" i="6"/>
  <c r="CM141" i="6"/>
  <c r="CQ141" i="6"/>
  <c r="BT137" i="6"/>
  <c r="BX137" i="6"/>
  <c r="CB137" i="6"/>
  <c r="CF137" i="6"/>
  <c r="CJ137" i="6"/>
  <c r="CN137" i="6"/>
  <c r="CR137" i="6"/>
  <c r="BQ137" i="6"/>
  <c r="BU137" i="6"/>
  <c r="BY137" i="6"/>
  <c r="CC137" i="6"/>
  <c r="CG137" i="6"/>
  <c r="CK137" i="6"/>
  <c r="CO137" i="6"/>
  <c r="CS137" i="6"/>
  <c r="BR137" i="6"/>
  <c r="BV137" i="6"/>
  <c r="BZ137" i="6"/>
  <c r="CD137" i="6"/>
  <c r="CH137" i="6"/>
  <c r="CL137" i="6"/>
  <c r="CP137" i="6"/>
  <c r="CT137" i="6"/>
  <c r="BS137" i="6"/>
  <c r="BW137" i="6"/>
  <c r="CA137" i="6"/>
  <c r="CE137" i="6"/>
  <c r="CI137" i="6"/>
  <c r="CM137" i="6"/>
  <c r="CQ137" i="6"/>
  <c r="BT133" i="6"/>
  <c r="BX133" i="6"/>
  <c r="CB133" i="6"/>
  <c r="CF133" i="6"/>
  <c r="CJ133" i="6"/>
  <c r="CN133" i="6"/>
  <c r="CR133" i="6"/>
  <c r="BQ133" i="6"/>
  <c r="BU133" i="6"/>
  <c r="BY133" i="6"/>
  <c r="CC133" i="6"/>
  <c r="CG133" i="6"/>
  <c r="CK133" i="6"/>
  <c r="CO133" i="6"/>
  <c r="CS133" i="6"/>
  <c r="BR133" i="6"/>
  <c r="BV133" i="6"/>
  <c r="BZ133" i="6"/>
  <c r="CD133" i="6"/>
  <c r="CH133" i="6"/>
  <c r="CL133" i="6"/>
  <c r="CP133" i="6"/>
  <c r="CT133" i="6"/>
  <c r="BS133" i="6"/>
  <c r="BW133" i="6"/>
  <c r="CA133" i="6"/>
  <c r="CE133" i="6"/>
  <c r="CI133" i="6"/>
  <c r="CM133" i="6"/>
  <c r="CQ133" i="6"/>
  <c r="BT129" i="6"/>
  <c r="BX129" i="6"/>
  <c r="CB129" i="6"/>
  <c r="CF129" i="6"/>
  <c r="CJ129" i="6"/>
  <c r="CN129" i="6"/>
  <c r="CR129" i="6"/>
  <c r="BQ129" i="6"/>
  <c r="BU129" i="6"/>
  <c r="BY129" i="6"/>
  <c r="CC129" i="6"/>
  <c r="CG129" i="6"/>
  <c r="CK129" i="6"/>
  <c r="CO129" i="6"/>
  <c r="CS129" i="6"/>
  <c r="BR129" i="6"/>
  <c r="BV129" i="6"/>
  <c r="BZ129" i="6"/>
  <c r="CD129" i="6"/>
  <c r="CH129" i="6"/>
  <c r="CL129" i="6"/>
  <c r="CP129" i="6"/>
  <c r="CT129" i="6"/>
  <c r="BS129" i="6"/>
  <c r="BW129" i="6"/>
  <c r="CA129" i="6"/>
  <c r="CE129" i="6"/>
  <c r="CI129" i="6"/>
  <c r="CM129" i="6"/>
  <c r="CQ129" i="6"/>
  <c r="BT125" i="6"/>
  <c r="BX125" i="6"/>
  <c r="CB125" i="6"/>
  <c r="CF125" i="6"/>
  <c r="CJ125" i="6"/>
  <c r="CN125" i="6"/>
  <c r="CR125" i="6"/>
  <c r="BQ125" i="6"/>
  <c r="BU125" i="6"/>
  <c r="BY125" i="6"/>
  <c r="CC125" i="6"/>
  <c r="CG125" i="6"/>
  <c r="CK125" i="6"/>
  <c r="CO125" i="6"/>
  <c r="CS125" i="6"/>
  <c r="BR125" i="6"/>
  <c r="BV125" i="6"/>
  <c r="BZ125" i="6"/>
  <c r="CD125" i="6"/>
  <c r="CH125" i="6"/>
  <c r="CL125" i="6"/>
  <c r="CP125" i="6"/>
  <c r="CT125" i="6"/>
  <c r="BS125" i="6"/>
  <c r="BW125" i="6"/>
  <c r="CA125" i="6"/>
  <c r="CE125" i="6"/>
  <c r="CI125" i="6"/>
  <c r="CM125" i="6"/>
  <c r="CQ125" i="6"/>
  <c r="BT121" i="6"/>
  <c r="BX121" i="6"/>
  <c r="CB121" i="6"/>
  <c r="CF121" i="6"/>
  <c r="CJ121" i="6"/>
  <c r="CN121" i="6"/>
  <c r="CR121" i="6"/>
  <c r="BQ121" i="6"/>
  <c r="BU121" i="6"/>
  <c r="BY121" i="6"/>
  <c r="CC121" i="6"/>
  <c r="CG121" i="6"/>
  <c r="CK121" i="6"/>
  <c r="CO121" i="6"/>
  <c r="CS121" i="6"/>
  <c r="BR121" i="6"/>
  <c r="BV121" i="6"/>
  <c r="BZ121" i="6"/>
  <c r="CD121" i="6"/>
  <c r="CH121" i="6"/>
  <c r="CL121" i="6"/>
  <c r="CP121" i="6"/>
  <c r="CT121" i="6"/>
  <c r="BS121" i="6"/>
  <c r="BW121" i="6"/>
  <c r="CA121" i="6"/>
  <c r="CE121" i="6"/>
  <c r="CI121" i="6"/>
  <c r="CM121" i="6"/>
  <c r="CQ121" i="6"/>
  <c r="BT117" i="6"/>
  <c r="BX117" i="6"/>
  <c r="CB117" i="6"/>
  <c r="CF117" i="6"/>
  <c r="CJ117" i="6"/>
  <c r="CN117" i="6"/>
  <c r="CR117" i="6"/>
  <c r="BQ117" i="6"/>
  <c r="BU117" i="6"/>
  <c r="BY117" i="6"/>
  <c r="CC117" i="6"/>
  <c r="CG117" i="6"/>
  <c r="CK117" i="6"/>
  <c r="CO117" i="6"/>
  <c r="CS117" i="6"/>
  <c r="BR117" i="6"/>
  <c r="BV117" i="6"/>
  <c r="BZ117" i="6"/>
  <c r="CD117" i="6"/>
  <c r="CH117" i="6"/>
  <c r="CL117" i="6"/>
  <c r="CP117" i="6"/>
  <c r="CT117" i="6"/>
  <c r="BS117" i="6"/>
  <c r="BW117" i="6"/>
  <c r="CA117" i="6"/>
  <c r="CE117" i="6"/>
  <c r="CI117" i="6"/>
  <c r="CM117" i="6"/>
  <c r="CQ117" i="6"/>
  <c r="BS113" i="6"/>
  <c r="BW113" i="6"/>
  <c r="CA113" i="6"/>
  <c r="CE113" i="6"/>
  <c r="CI113" i="6"/>
  <c r="CM113" i="6"/>
  <c r="CQ113" i="6"/>
  <c r="BT113" i="6"/>
  <c r="BX113" i="6"/>
  <c r="CB113" i="6"/>
  <c r="CF113" i="6"/>
  <c r="CJ113" i="6"/>
  <c r="CN113" i="6"/>
  <c r="CR113" i="6"/>
  <c r="BQ113" i="6"/>
  <c r="BU113" i="6"/>
  <c r="BY113" i="6"/>
  <c r="CC113" i="6"/>
  <c r="CG113" i="6"/>
  <c r="CK113" i="6"/>
  <c r="CO113" i="6"/>
  <c r="CS113" i="6"/>
  <c r="BR113" i="6"/>
  <c r="BV113" i="6"/>
  <c r="BZ113" i="6"/>
  <c r="CD113" i="6"/>
  <c r="CH113" i="6"/>
  <c r="CL113" i="6"/>
  <c r="CP113" i="6"/>
  <c r="CT113" i="6"/>
  <c r="BS109" i="6"/>
  <c r="BW109" i="6"/>
  <c r="CA109" i="6"/>
  <c r="CE109" i="6"/>
  <c r="CI109" i="6"/>
  <c r="CM109" i="6"/>
  <c r="CQ109" i="6"/>
  <c r="BT109" i="6"/>
  <c r="BX109" i="6"/>
  <c r="CB109" i="6"/>
  <c r="CF109" i="6"/>
  <c r="CJ109" i="6"/>
  <c r="CN109" i="6"/>
  <c r="CR109" i="6"/>
  <c r="BQ109" i="6"/>
  <c r="BU109" i="6"/>
  <c r="BY109" i="6"/>
  <c r="CC109" i="6"/>
  <c r="CG109" i="6"/>
  <c r="CK109" i="6"/>
  <c r="CO109" i="6"/>
  <c r="CS109" i="6"/>
  <c r="BR109" i="6"/>
  <c r="BV109" i="6"/>
  <c r="BZ109" i="6"/>
  <c r="CD109" i="6"/>
  <c r="CH109" i="6"/>
  <c r="CL109" i="6"/>
  <c r="CP109" i="6"/>
  <c r="CT109" i="6"/>
  <c r="BS105" i="6"/>
  <c r="BW105" i="6"/>
  <c r="CA105" i="6"/>
  <c r="CE105" i="6"/>
  <c r="CI105" i="6"/>
  <c r="CM105" i="6"/>
  <c r="CQ105" i="6"/>
  <c r="BT105" i="6"/>
  <c r="BX105" i="6"/>
  <c r="CB105" i="6"/>
  <c r="CF105" i="6"/>
  <c r="CJ105" i="6"/>
  <c r="CN105" i="6"/>
  <c r="CR105" i="6"/>
  <c r="BQ105" i="6"/>
  <c r="BU105" i="6"/>
  <c r="BY105" i="6"/>
  <c r="CC105" i="6"/>
  <c r="CG105" i="6"/>
  <c r="CK105" i="6"/>
  <c r="CO105" i="6"/>
  <c r="CS105" i="6"/>
  <c r="BR105" i="6"/>
  <c r="BV105" i="6"/>
  <c r="BZ105" i="6"/>
  <c r="CD105" i="6"/>
  <c r="CH105" i="6"/>
  <c r="CL105" i="6"/>
  <c r="CP105" i="6"/>
  <c r="CT105" i="6"/>
  <c r="BS101" i="6"/>
  <c r="BW101" i="6"/>
  <c r="CA101" i="6"/>
  <c r="CE101" i="6"/>
  <c r="CI101" i="6"/>
  <c r="CM101" i="6"/>
  <c r="CQ101" i="6"/>
  <c r="BT101" i="6"/>
  <c r="BX101" i="6"/>
  <c r="CB101" i="6"/>
  <c r="CF101" i="6"/>
  <c r="CJ101" i="6"/>
  <c r="CN101" i="6"/>
  <c r="CR101" i="6"/>
  <c r="BQ101" i="6"/>
  <c r="BU101" i="6"/>
  <c r="BY101" i="6"/>
  <c r="CC101" i="6"/>
  <c r="CG101" i="6"/>
  <c r="CK101" i="6"/>
  <c r="CO101" i="6"/>
  <c r="CS101" i="6"/>
  <c r="BR101" i="6"/>
  <c r="BV101" i="6"/>
  <c r="BZ101" i="6"/>
  <c r="CD101" i="6"/>
  <c r="CH101" i="6"/>
  <c r="CL101" i="6"/>
  <c r="CP101" i="6"/>
  <c r="CT101" i="6"/>
  <c r="BS97" i="6"/>
  <c r="BW97" i="6"/>
  <c r="CA97" i="6"/>
  <c r="CE97" i="6"/>
  <c r="CI97" i="6"/>
  <c r="CM97" i="6"/>
  <c r="CQ97" i="6"/>
  <c r="BT97" i="6"/>
  <c r="BX97" i="6"/>
  <c r="CB97" i="6"/>
  <c r="CF97" i="6"/>
  <c r="CJ97" i="6"/>
  <c r="CN97" i="6"/>
  <c r="CR97" i="6"/>
  <c r="BQ97" i="6"/>
  <c r="BU97" i="6"/>
  <c r="BY97" i="6"/>
  <c r="CC97" i="6"/>
  <c r="CG97" i="6"/>
  <c r="CK97" i="6"/>
  <c r="CO97" i="6"/>
  <c r="CS97" i="6"/>
  <c r="BR97" i="6"/>
  <c r="BV97" i="6"/>
  <c r="BZ97" i="6"/>
  <c r="CD97" i="6"/>
  <c r="CH97" i="6"/>
  <c r="CL97" i="6"/>
  <c r="CP97" i="6"/>
  <c r="CT97" i="6"/>
  <c r="BS93" i="6"/>
  <c r="BW93" i="6"/>
  <c r="CA93" i="6"/>
  <c r="CE93" i="6"/>
  <c r="CI93" i="6"/>
  <c r="CM93" i="6"/>
  <c r="CQ93" i="6"/>
  <c r="BT93" i="6"/>
  <c r="BX93" i="6"/>
  <c r="CB93" i="6"/>
  <c r="CF93" i="6"/>
  <c r="CJ93" i="6"/>
  <c r="CN93" i="6"/>
  <c r="CR93" i="6"/>
  <c r="BQ93" i="6"/>
  <c r="BU93" i="6"/>
  <c r="BY93" i="6"/>
  <c r="CC93" i="6"/>
  <c r="CG93" i="6"/>
  <c r="CK93" i="6"/>
  <c r="CO93" i="6"/>
  <c r="CS93" i="6"/>
  <c r="BR93" i="6"/>
  <c r="BV93" i="6"/>
  <c r="BZ93" i="6"/>
  <c r="CD93" i="6"/>
  <c r="CH93" i="6"/>
  <c r="CL93" i="6"/>
  <c r="CP93" i="6"/>
  <c r="CT93" i="6"/>
  <c r="BS89" i="6"/>
  <c r="BW89" i="6"/>
  <c r="CA89" i="6"/>
  <c r="CE89" i="6"/>
  <c r="CI89" i="6"/>
  <c r="CM89" i="6"/>
  <c r="CQ89" i="6"/>
  <c r="BT89" i="6"/>
  <c r="BX89" i="6"/>
  <c r="CB89" i="6"/>
  <c r="CF89" i="6"/>
  <c r="CJ89" i="6"/>
  <c r="CN89" i="6"/>
  <c r="CR89" i="6"/>
  <c r="BQ89" i="6"/>
  <c r="BU89" i="6"/>
  <c r="BY89" i="6"/>
  <c r="CC89" i="6"/>
  <c r="CG89" i="6"/>
  <c r="CK89" i="6"/>
  <c r="CO89" i="6"/>
  <c r="CS89" i="6"/>
  <c r="BR89" i="6"/>
  <c r="BV89" i="6"/>
  <c r="BZ89" i="6"/>
  <c r="CD89" i="6"/>
  <c r="CH89" i="6"/>
  <c r="CL89" i="6"/>
  <c r="CP89" i="6"/>
  <c r="CT89" i="6"/>
  <c r="BS85" i="6"/>
  <c r="BW85" i="6"/>
  <c r="CA85" i="6"/>
  <c r="CE85" i="6"/>
  <c r="CI85" i="6"/>
  <c r="CM85" i="6"/>
  <c r="CQ85" i="6"/>
  <c r="BT85" i="6"/>
  <c r="BX85" i="6"/>
  <c r="CB85" i="6"/>
  <c r="CF85" i="6"/>
  <c r="CJ85" i="6"/>
  <c r="CN85" i="6"/>
  <c r="CR85" i="6"/>
  <c r="BQ85" i="6"/>
  <c r="BU85" i="6"/>
  <c r="BY85" i="6"/>
  <c r="CC85" i="6"/>
  <c r="CG85" i="6"/>
  <c r="CK85" i="6"/>
  <c r="CO85" i="6"/>
  <c r="CS85" i="6"/>
  <c r="BR85" i="6"/>
  <c r="BV85" i="6"/>
  <c r="BZ85" i="6"/>
  <c r="CD85" i="6"/>
  <c r="CH85" i="6"/>
  <c r="CL85" i="6"/>
  <c r="CP85" i="6"/>
  <c r="CT85" i="6"/>
  <c r="BS81" i="6"/>
  <c r="BW81" i="6"/>
  <c r="CA81" i="6"/>
  <c r="CE81" i="6"/>
  <c r="CI81" i="6"/>
  <c r="CM81" i="6"/>
  <c r="CQ81" i="6"/>
  <c r="BT81" i="6"/>
  <c r="BX81" i="6"/>
  <c r="CB81" i="6"/>
  <c r="CF81" i="6"/>
  <c r="CJ81" i="6"/>
  <c r="CN81" i="6"/>
  <c r="CR81" i="6"/>
  <c r="BQ81" i="6"/>
  <c r="BU81" i="6"/>
  <c r="BY81" i="6"/>
  <c r="CC81" i="6"/>
  <c r="CG81" i="6"/>
  <c r="CK81" i="6"/>
  <c r="CO81" i="6"/>
  <c r="CS81" i="6"/>
  <c r="BR81" i="6"/>
  <c r="BV81" i="6"/>
  <c r="BZ81" i="6"/>
  <c r="CD81" i="6"/>
  <c r="CH81" i="6"/>
  <c r="CL81" i="6"/>
  <c r="CP81" i="6"/>
  <c r="CT81" i="6"/>
  <c r="BS77" i="6"/>
  <c r="BW77" i="6"/>
  <c r="CA77" i="6"/>
  <c r="CE77" i="6"/>
  <c r="CI77" i="6"/>
  <c r="CM77" i="6"/>
  <c r="CQ77" i="6"/>
  <c r="BT77" i="6"/>
  <c r="BX77" i="6"/>
  <c r="CB77" i="6"/>
  <c r="CF77" i="6"/>
  <c r="CJ77" i="6"/>
  <c r="CN77" i="6"/>
  <c r="CR77" i="6"/>
  <c r="BQ77" i="6"/>
  <c r="BU77" i="6"/>
  <c r="BY77" i="6"/>
  <c r="CC77" i="6"/>
  <c r="CG77" i="6"/>
  <c r="CK77" i="6"/>
  <c r="CO77" i="6"/>
  <c r="CS77" i="6"/>
  <c r="BR77" i="6"/>
  <c r="BV77" i="6"/>
  <c r="BZ77" i="6"/>
  <c r="CD77" i="6"/>
  <c r="CH77" i="6"/>
  <c r="CL77" i="6"/>
  <c r="CP77" i="6"/>
  <c r="CT77" i="6"/>
  <c r="BS73" i="6"/>
  <c r="BW73" i="6"/>
  <c r="CA73" i="6"/>
  <c r="CE73" i="6"/>
  <c r="CI73" i="6"/>
  <c r="CM73" i="6"/>
  <c r="CQ73" i="6"/>
  <c r="BT73" i="6"/>
  <c r="BX73" i="6"/>
  <c r="CB73" i="6"/>
  <c r="CF73" i="6"/>
  <c r="CJ73" i="6"/>
  <c r="CN73" i="6"/>
  <c r="CR73" i="6"/>
  <c r="BQ73" i="6"/>
  <c r="BU73" i="6"/>
  <c r="BY73" i="6"/>
  <c r="CC73" i="6"/>
  <c r="CG73" i="6"/>
  <c r="CK73" i="6"/>
  <c r="CO73" i="6"/>
  <c r="CS73" i="6"/>
  <c r="BR73" i="6"/>
  <c r="BV73" i="6"/>
  <c r="BZ73" i="6"/>
  <c r="CD73" i="6"/>
  <c r="CH73" i="6"/>
  <c r="CL73" i="6"/>
  <c r="CP73" i="6"/>
  <c r="CT73" i="6"/>
  <c r="BS69" i="6"/>
  <c r="BW69" i="6"/>
  <c r="CA69" i="6"/>
  <c r="CE69" i="6"/>
  <c r="CI69" i="6"/>
  <c r="CM69" i="6"/>
  <c r="CQ69" i="6"/>
  <c r="BT69" i="6"/>
  <c r="BX69" i="6"/>
  <c r="CB69" i="6"/>
  <c r="CF69" i="6"/>
  <c r="CJ69" i="6"/>
  <c r="CN69" i="6"/>
  <c r="CR69" i="6"/>
  <c r="BQ69" i="6"/>
  <c r="BU69" i="6"/>
  <c r="BY69" i="6"/>
  <c r="CC69" i="6"/>
  <c r="CG69" i="6"/>
  <c r="CK69" i="6"/>
  <c r="CO69" i="6"/>
  <c r="CS69" i="6"/>
  <c r="BR69" i="6"/>
  <c r="BV69" i="6"/>
  <c r="BZ69" i="6"/>
  <c r="CD69" i="6"/>
  <c r="CH69" i="6"/>
  <c r="CL69" i="6"/>
  <c r="CP69" i="6"/>
  <c r="CT69" i="6"/>
  <c r="BS65" i="6"/>
  <c r="BW65" i="6"/>
  <c r="CA65" i="6"/>
  <c r="CE65" i="6"/>
  <c r="CI65" i="6"/>
  <c r="CM65" i="6"/>
  <c r="CQ65" i="6"/>
  <c r="BT65" i="6"/>
  <c r="BX65" i="6"/>
  <c r="CB65" i="6"/>
  <c r="CF65" i="6"/>
  <c r="CJ65" i="6"/>
  <c r="CN65" i="6"/>
  <c r="CR65" i="6"/>
  <c r="BQ65" i="6"/>
  <c r="BU65" i="6"/>
  <c r="BY65" i="6"/>
  <c r="CC65" i="6"/>
  <c r="CG65" i="6"/>
  <c r="CK65" i="6"/>
  <c r="CO65" i="6"/>
  <c r="CS65" i="6"/>
  <c r="BR65" i="6"/>
  <c r="BV65" i="6"/>
  <c r="BZ65" i="6"/>
  <c r="CD65" i="6"/>
  <c r="CH65" i="6"/>
  <c r="CL65" i="6"/>
  <c r="CP65" i="6"/>
  <c r="CT65" i="6"/>
  <c r="BS61" i="6"/>
  <c r="BW61" i="6"/>
  <c r="CA61" i="6"/>
  <c r="CE61" i="6"/>
  <c r="CI61" i="6"/>
  <c r="CM61" i="6"/>
  <c r="CQ61" i="6"/>
  <c r="BT61" i="6"/>
  <c r="BX61" i="6"/>
  <c r="CB61" i="6"/>
  <c r="CF61" i="6"/>
  <c r="CJ61" i="6"/>
  <c r="CN61" i="6"/>
  <c r="CR61" i="6"/>
  <c r="BQ61" i="6"/>
  <c r="BU61" i="6"/>
  <c r="BY61" i="6"/>
  <c r="CC61" i="6"/>
  <c r="CG61" i="6"/>
  <c r="CK61" i="6"/>
  <c r="CO61" i="6"/>
  <c r="CS61" i="6"/>
  <c r="BR61" i="6"/>
  <c r="BV61" i="6"/>
  <c r="BZ61" i="6"/>
  <c r="CD61" i="6"/>
  <c r="CH61" i="6"/>
  <c r="CL61" i="6"/>
  <c r="CP61" i="6"/>
  <c r="CT61" i="6"/>
  <c r="BS57" i="6"/>
  <c r="BW57" i="6"/>
  <c r="CA57" i="6"/>
  <c r="CE57" i="6"/>
  <c r="CI57" i="6"/>
  <c r="CM57" i="6"/>
  <c r="CQ57" i="6"/>
  <c r="BT57" i="6"/>
  <c r="BX57" i="6"/>
  <c r="CB57" i="6"/>
  <c r="CF57" i="6"/>
  <c r="CJ57" i="6"/>
  <c r="CN57" i="6"/>
  <c r="CR57" i="6"/>
  <c r="BQ57" i="6"/>
  <c r="BU57" i="6"/>
  <c r="BY57" i="6"/>
  <c r="CC57" i="6"/>
  <c r="CG57" i="6"/>
  <c r="CK57" i="6"/>
  <c r="CO57" i="6"/>
  <c r="CS57" i="6"/>
  <c r="BR57" i="6"/>
  <c r="BV57" i="6"/>
  <c r="BZ57" i="6"/>
  <c r="CD57" i="6"/>
  <c r="CH57" i="6"/>
  <c r="CL57" i="6"/>
  <c r="CP57" i="6"/>
  <c r="CT57" i="6"/>
  <c r="BR53" i="6"/>
  <c r="BV53" i="6"/>
  <c r="BZ53" i="6"/>
  <c r="CD53" i="6"/>
  <c r="BS53" i="6"/>
  <c r="BW53" i="6"/>
  <c r="CA53" i="6"/>
  <c r="CE53" i="6"/>
  <c r="BT53" i="6"/>
  <c r="BX53" i="6"/>
  <c r="CB53" i="6"/>
  <c r="BQ53" i="6"/>
  <c r="BU53" i="6"/>
  <c r="BY53" i="6"/>
  <c r="CC53" i="6"/>
  <c r="CI53" i="6"/>
  <c r="CM53" i="6"/>
  <c r="CQ53" i="6"/>
  <c r="CF53" i="6"/>
  <c r="CJ53" i="6"/>
  <c r="CN53" i="6"/>
  <c r="CR53" i="6"/>
  <c r="CG53" i="6"/>
  <c r="CK53" i="6"/>
  <c r="CO53" i="6"/>
  <c r="CS53" i="6"/>
  <c r="CH53" i="6"/>
  <c r="CL53" i="6"/>
  <c r="CP53" i="6"/>
  <c r="CT53" i="6"/>
  <c r="BR49" i="6"/>
  <c r="BV49" i="6"/>
  <c r="BZ49" i="6"/>
  <c r="CD49" i="6"/>
  <c r="CH49" i="6"/>
  <c r="CL49" i="6"/>
  <c r="CP49" i="6"/>
  <c r="CT49" i="6"/>
  <c r="BS49" i="6"/>
  <c r="BW49" i="6"/>
  <c r="CA49" i="6"/>
  <c r="CE49" i="6"/>
  <c r="CI49" i="6"/>
  <c r="CM49" i="6"/>
  <c r="CQ49" i="6"/>
  <c r="BT49" i="6"/>
  <c r="BX49" i="6"/>
  <c r="CB49" i="6"/>
  <c r="CF49" i="6"/>
  <c r="CJ49" i="6"/>
  <c r="CN49" i="6"/>
  <c r="CR49" i="6"/>
  <c r="BQ49" i="6"/>
  <c r="BU49" i="6"/>
  <c r="BY49" i="6"/>
  <c r="CC49" i="6"/>
  <c r="CG49" i="6"/>
  <c r="CK49" i="6"/>
  <c r="CO49" i="6"/>
  <c r="CS49" i="6"/>
  <c r="BR45" i="6"/>
  <c r="BV45" i="6"/>
  <c r="BZ45" i="6"/>
  <c r="CD45" i="6"/>
  <c r="CH45" i="6"/>
  <c r="CL45" i="6"/>
  <c r="CP45" i="6"/>
  <c r="CT45" i="6"/>
  <c r="BS45" i="6"/>
  <c r="BW45" i="6"/>
  <c r="CA45" i="6"/>
  <c r="CE45" i="6"/>
  <c r="CI45" i="6"/>
  <c r="CM45" i="6"/>
  <c r="CQ45" i="6"/>
  <c r="BT45" i="6"/>
  <c r="BX45" i="6"/>
  <c r="CB45" i="6"/>
  <c r="CF45" i="6"/>
  <c r="CJ45" i="6"/>
  <c r="CN45" i="6"/>
  <c r="CR45" i="6"/>
  <c r="BQ45" i="6"/>
  <c r="BU45" i="6"/>
  <c r="BY45" i="6"/>
  <c r="CC45" i="6"/>
  <c r="CG45" i="6"/>
  <c r="CK45" i="6"/>
  <c r="CO45" i="6"/>
  <c r="CS45" i="6"/>
  <c r="BR41" i="6"/>
  <c r="BV41" i="6"/>
  <c r="BZ41" i="6"/>
  <c r="CD41" i="6"/>
  <c r="CH41" i="6"/>
  <c r="CL41" i="6"/>
  <c r="CP41" i="6"/>
  <c r="CT41" i="6"/>
  <c r="BS41" i="6"/>
  <c r="BW41" i="6"/>
  <c r="CA41" i="6"/>
  <c r="CE41" i="6"/>
  <c r="CI41" i="6"/>
  <c r="CM41" i="6"/>
  <c r="CQ41" i="6"/>
  <c r="BT41" i="6"/>
  <c r="BX41" i="6"/>
  <c r="CB41" i="6"/>
  <c r="CF41" i="6"/>
  <c r="CJ41" i="6"/>
  <c r="CN41" i="6"/>
  <c r="CR41" i="6"/>
  <c r="BQ41" i="6"/>
  <c r="BU41" i="6"/>
  <c r="BY41" i="6"/>
  <c r="CC41" i="6"/>
  <c r="CG41" i="6"/>
  <c r="CK41" i="6"/>
  <c r="CO41" i="6"/>
  <c r="CS41" i="6"/>
  <c r="BR37" i="6"/>
  <c r="BV37" i="6"/>
  <c r="BZ37" i="6"/>
  <c r="CD37" i="6"/>
  <c r="CH37" i="6"/>
  <c r="CL37" i="6"/>
  <c r="CP37" i="6"/>
  <c r="CT37" i="6"/>
  <c r="BS37" i="6"/>
  <c r="BW37" i="6"/>
  <c r="CA37" i="6"/>
  <c r="CE37" i="6"/>
  <c r="CI37" i="6"/>
  <c r="CM37" i="6"/>
  <c r="CQ37" i="6"/>
  <c r="BT37" i="6"/>
  <c r="BX37" i="6"/>
  <c r="CB37" i="6"/>
  <c r="CF37" i="6"/>
  <c r="CJ37" i="6"/>
  <c r="CN37" i="6"/>
  <c r="CR37" i="6"/>
  <c r="BQ37" i="6"/>
  <c r="BU37" i="6"/>
  <c r="BY37" i="6"/>
  <c r="CC37" i="6"/>
  <c r="CG37" i="6"/>
  <c r="CK37" i="6"/>
  <c r="CO37" i="6"/>
  <c r="CS37" i="6"/>
  <c r="BR33" i="6"/>
  <c r="BV33" i="6"/>
  <c r="BZ33" i="6"/>
  <c r="CD33" i="6"/>
  <c r="CH33" i="6"/>
  <c r="CL33" i="6"/>
  <c r="CP33" i="6"/>
  <c r="CT33" i="6"/>
  <c r="BS33" i="6"/>
  <c r="BW33" i="6"/>
  <c r="CA33" i="6"/>
  <c r="CE33" i="6"/>
  <c r="CI33" i="6"/>
  <c r="CM33" i="6"/>
  <c r="CQ33" i="6"/>
  <c r="BT33" i="6"/>
  <c r="BX33" i="6"/>
  <c r="CB33" i="6"/>
  <c r="CF33" i="6"/>
  <c r="CJ33" i="6"/>
  <c r="CN33" i="6"/>
  <c r="CR33" i="6"/>
  <c r="BQ33" i="6"/>
  <c r="BU33" i="6"/>
  <c r="BY33" i="6"/>
  <c r="CC33" i="6"/>
  <c r="CG33" i="6"/>
  <c r="CK33" i="6"/>
  <c r="CO33" i="6"/>
  <c r="CS33" i="6"/>
  <c r="BR29" i="6"/>
  <c r="BV29" i="6"/>
  <c r="BZ29" i="6"/>
  <c r="CD29" i="6"/>
  <c r="CH29" i="6"/>
  <c r="CL29" i="6"/>
  <c r="CP29" i="6"/>
  <c r="CT29" i="6"/>
  <c r="BS29" i="6"/>
  <c r="BW29" i="6"/>
  <c r="CA29" i="6"/>
  <c r="CE29" i="6"/>
  <c r="CI29" i="6"/>
  <c r="CM29" i="6"/>
  <c r="CQ29" i="6"/>
  <c r="BT29" i="6"/>
  <c r="BX29" i="6"/>
  <c r="CB29" i="6"/>
  <c r="CF29" i="6"/>
  <c r="CJ29" i="6"/>
  <c r="CN29" i="6"/>
  <c r="CR29" i="6"/>
  <c r="BQ29" i="6"/>
  <c r="BU29" i="6"/>
  <c r="BY29" i="6"/>
  <c r="CC29" i="6"/>
  <c r="CG29" i="6"/>
  <c r="CK29" i="6"/>
  <c r="CO29" i="6"/>
  <c r="CS29" i="6"/>
  <c r="BR25" i="6"/>
  <c r="BV25" i="6"/>
  <c r="BZ25" i="6"/>
  <c r="CD25" i="6"/>
  <c r="CH25" i="6"/>
  <c r="CL25" i="6"/>
  <c r="CP25" i="6"/>
  <c r="CT25" i="6"/>
  <c r="BS25" i="6"/>
  <c r="BW25" i="6"/>
  <c r="CA25" i="6"/>
  <c r="CE25" i="6"/>
  <c r="CI25" i="6"/>
  <c r="CM25" i="6"/>
  <c r="CQ25" i="6"/>
  <c r="BT25" i="6"/>
  <c r="BX25" i="6"/>
  <c r="CB25" i="6"/>
  <c r="CF25" i="6"/>
  <c r="CJ25" i="6"/>
  <c r="CN25" i="6"/>
  <c r="CR25" i="6"/>
  <c r="BQ25" i="6"/>
  <c r="BU25" i="6"/>
  <c r="BY25" i="6"/>
  <c r="CC25" i="6"/>
  <c r="CG25" i="6"/>
  <c r="CK25" i="6"/>
  <c r="CO25" i="6"/>
  <c r="CS25" i="6"/>
  <c r="BR21" i="6"/>
  <c r="BV21" i="6"/>
  <c r="BZ21" i="6"/>
  <c r="CD21" i="6"/>
  <c r="CH21" i="6"/>
  <c r="CL21" i="6"/>
  <c r="CP21" i="6"/>
  <c r="CT21" i="6"/>
  <c r="BS21" i="6"/>
  <c r="BW21" i="6"/>
  <c r="CA21" i="6"/>
  <c r="CE21" i="6"/>
  <c r="CI21" i="6"/>
  <c r="CM21" i="6"/>
  <c r="CQ21" i="6"/>
  <c r="BT21" i="6"/>
  <c r="BX21" i="6"/>
  <c r="CB21" i="6"/>
  <c r="CF21" i="6"/>
  <c r="CJ21" i="6"/>
  <c r="CN21" i="6"/>
  <c r="CR21" i="6"/>
  <c r="BQ21" i="6"/>
  <c r="BU21" i="6"/>
  <c r="BY21" i="6"/>
  <c r="CC21" i="6"/>
  <c r="CG21" i="6"/>
  <c r="CK21" i="6"/>
  <c r="CO21" i="6"/>
  <c r="CS21" i="6"/>
  <c r="BR17" i="6"/>
  <c r="BV17" i="6"/>
  <c r="BZ17" i="6"/>
  <c r="CD17" i="6"/>
  <c r="CH17" i="6"/>
  <c r="CL17" i="6"/>
  <c r="CP17" i="6"/>
  <c r="CT17" i="6"/>
  <c r="BS17" i="6"/>
  <c r="BW17" i="6"/>
  <c r="CA17" i="6"/>
  <c r="CE17" i="6"/>
  <c r="CI17" i="6"/>
  <c r="CM17" i="6"/>
  <c r="CQ17" i="6"/>
  <c r="BT17" i="6"/>
  <c r="BX17" i="6"/>
  <c r="CB17" i="6"/>
  <c r="CF17" i="6"/>
  <c r="CJ17" i="6"/>
  <c r="CN17" i="6"/>
  <c r="CR17" i="6"/>
  <c r="BQ17" i="6"/>
  <c r="BU17" i="6"/>
  <c r="BY17" i="6"/>
  <c r="CC17" i="6"/>
  <c r="CG17" i="6"/>
  <c r="CK17" i="6"/>
  <c r="CO17" i="6"/>
  <c r="CS17" i="6"/>
  <c r="BR13" i="6"/>
  <c r="BV13" i="6"/>
  <c r="BZ13" i="6"/>
  <c r="CD13" i="6"/>
  <c r="CH13" i="6"/>
  <c r="CL13" i="6"/>
  <c r="CP13" i="6"/>
  <c r="CT13" i="6"/>
  <c r="BS13" i="6"/>
  <c r="BW13" i="6"/>
  <c r="CA13" i="6"/>
  <c r="CE13" i="6"/>
  <c r="CI13" i="6"/>
  <c r="CM13" i="6"/>
  <c r="CQ13" i="6"/>
  <c r="BT13" i="6"/>
  <c r="BX13" i="6"/>
  <c r="CB13" i="6"/>
  <c r="CF13" i="6"/>
  <c r="CJ13" i="6"/>
  <c r="CN13" i="6"/>
  <c r="CR13" i="6"/>
  <c r="BQ13" i="6"/>
  <c r="BU13" i="6"/>
  <c r="BY13" i="6"/>
  <c r="CC13" i="6"/>
  <c r="CG13" i="6"/>
  <c r="CK13" i="6"/>
  <c r="CO13" i="6"/>
  <c r="CS13" i="6"/>
  <c r="BR9" i="6"/>
  <c r="BV9" i="6"/>
  <c r="BZ9" i="6"/>
  <c r="CD9" i="6"/>
  <c r="CH9" i="6"/>
  <c r="CL9" i="6"/>
  <c r="CP9" i="6"/>
  <c r="CT9" i="6"/>
  <c r="BS9" i="6"/>
  <c r="BW9" i="6"/>
  <c r="CA9" i="6"/>
  <c r="CE9" i="6"/>
  <c r="CI9" i="6"/>
  <c r="CM9" i="6"/>
  <c r="CQ9" i="6"/>
  <c r="BT9" i="6"/>
  <c r="BX9" i="6"/>
  <c r="CB9" i="6"/>
  <c r="CF9" i="6"/>
  <c r="CJ9" i="6"/>
  <c r="CN9" i="6"/>
  <c r="CR9" i="6"/>
  <c r="BQ9" i="6"/>
  <c r="BU9" i="6"/>
  <c r="BY9" i="6"/>
  <c r="CC9" i="6"/>
  <c r="CG9" i="6"/>
  <c r="CK9" i="6"/>
  <c r="CO9" i="6"/>
  <c r="CS9" i="6"/>
  <c r="BT260" i="6"/>
  <c r="BX260" i="6"/>
  <c r="CB260" i="6"/>
  <c r="CF260" i="6"/>
  <c r="CJ260" i="6"/>
  <c r="CN260" i="6"/>
  <c r="CR260" i="6"/>
  <c r="BQ260" i="6"/>
  <c r="BU260" i="6"/>
  <c r="BY260" i="6"/>
  <c r="CC260" i="6"/>
  <c r="CG260" i="6"/>
  <c r="CK260" i="6"/>
  <c r="CO260" i="6"/>
  <c r="CS260" i="6"/>
  <c r="BR260" i="6"/>
  <c r="BV260" i="6"/>
  <c r="BZ260" i="6"/>
  <c r="CD260" i="6"/>
  <c r="CH260" i="6"/>
  <c r="CL260" i="6"/>
  <c r="CP260" i="6"/>
  <c r="CT260" i="6"/>
  <c r="BS260" i="6"/>
  <c r="BW260" i="6"/>
  <c r="CA260" i="6"/>
  <c r="CE260" i="6"/>
  <c r="CI260" i="6"/>
  <c r="CM260" i="6"/>
  <c r="CQ260" i="6"/>
  <c r="BT244" i="6"/>
  <c r="BX244" i="6"/>
  <c r="CB244" i="6"/>
  <c r="CF244" i="6"/>
  <c r="CJ244" i="6"/>
  <c r="CN244" i="6"/>
  <c r="CR244" i="6"/>
  <c r="BQ244" i="6"/>
  <c r="BU244" i="6"/>
  <c r="BY244" i="6"/>
  <c r="CC244" i="6"/>
  <c r="CG244" i="6"/>
  <c r="CK244" i="6"/>
  <c r="CO244" i="6"/>
  <c r="CS244" i="6"/>
  <c r="BR244" i="6"/>
  <c r="BV244" i="6"/>
  <c r="BZ244" i="6"/>
  <c r="CD244" i="6"/>
  <c r="CH244" i="6"/>
  <c r="CL244" i="6"/>
  <c r="CP244" i="6"/>
  <c r="CT244" i="6"/>
  <c r="BS244" i="6"/>
  <c r="BW244" i="6"/>
  <c r="CA244" i="6"/>
  <c r="CE244" i="6"/>
  <c r="CI244" i="6"/>
  <c r="CM244" i="6"/>
  <c r="CQ244" i="6"/>
  <c r="BQ228" i="6"/>
  <c r="BU228" i="6"/>
  <c r="BY228" i="6"/>
  <c r="CC228" i="6"/>
  <c r="CG228" i="6"/>
  <c r="CK228" i="6"/>
  <c r="CO228" i="6"/>
  <c r="CS228" i="6"/>
  <c r="BR228" i="6"/>
  <c r="BV228" i="6"/>
  <c r="BZ228" i="6"/>
  <c r="CD228" i="6"/>
  <c r="CH228" i="6"/>
  <c r="CL228" i="6"/>
  <c r="CP228" i="6"/>
  <c r="CT228" i="6"/>
  <c r="BS228" i="6"/>
  <c r="BW228" i="6"/>
  <c r="CA228" i="6"/>
  <c r="CE228" i="6"/>
  <c r="CI228" i="6"/>
  <c r="CM228" i="6"/>
  <c r="CQ228" i="6"/>
  <c r="BT228" i="6"/>
  <c r="BX228" i="6"/>
  <c r="CB228" i="6"/>
  <c r="CF228" i="6"/>
  <c r="CJ228" i="6"/>
  <c r="CN228" i="6"/>
  <c r="CR228" i="6"/>
  <c r="BQ220" i="6"/>
  <c r="BU220" i="6"/>
  <c r="BY220" i="6"/>
  <c r="CC220" i="6"/>
  <c r="CG220" i="6"/>
  <c r="CK220" i="6"/>
  <c r="CO220" i="6"/>
  <c r="CS220" i="6"/>
  <c r="BR220" i="6"/>
  <c r="BV220" i="6"/>
  <c r="BZ220" i="6"/>
  <c r="CD220" i="6"/>
  <c r="CH220" i="6"/>
  <c r="CL220" i="6"/>
  <c r="CP220" i="6"/>
  <c r="CT220" i="6"/>
  <c r="BS220" i="6"/>
  <c r="BW220" i="6"/>
  <c r="CA220" i="6"/>
  <c r="CE220" i="6"/>
  <c r="CI220" i="6"/>
  <c r="CM220" i="6"/>
  <c r="CQ220" i="6"/>
  <c r="BT220" i="6"/>
  <c r="BX220" i="6"/>
  <c r="CB220" i="6"/>
  <c r="CF220" i="6"/>
  <c r="CJ220" i="6"/>
  <c r="CN220" i="6"/>
  <c r="CR220" i="6"/>
  <c r="BQ212" i="6"/>
  <c r="BU212" i="6"/>
  <c r="BY212" i="6"/>
  <c r="CC212" i="6"/>
  <c r="CG212" i="6"/>
  <c r="CK212" i="6"/>
  <c r="CO212" i="6"/>
  <c r="CS212" i="6"/>
  <c r="BR212" i="6"/>
  <c r="BV212" i="6"/>
  <c r="BZ212" i="6"/>
  <c r="CD212" i="6"/>
  <c r="CH212" i="6"/>
  <c r="CL212" i="6"/>
  <c r="CP212" i="6"/>
  <c r="CT212" i="6"/>
  <c r="BS212" i="6"/>
  <c r="BW212" i="6"/>
  <c r="CA212" i="6"/>
  <c r="CE212" i="6"/>
  <c r="CI212" i="6"/>
  <c r="CM212" i="6"/>
  <c r="CQ212" i="6"/>
  <c r="BT212" i="6"/>
  <c r="BX212" i="6"/>
  <c r="CB212" i="6"/>
  <c r="CF212" i="6"/>
  <c r="CJ212" i="6"/>
  <c r="CN212" i="6"/>
  <c r="CR212" i="6"/>
  <c r="BQ204" i="6"/>
  <c r="BU204" i="6"/>
  <c r="BY204" i="6"/>
  <c r="CC204" i="6"/>
  <c r="CG204" i="6"/>
  <c r="CK204" i="6"/>
  <c r="CO204" i="6"/>
  <c r="CS204" i="6"/>
  <c r="BR204" i="6"/>
  <c r="BV204" i="6"/>
  <c r="BZ204" i="6"/>
  <c r="CD204" i="6"/>
  <c r="CH204" i="6"/>
  <c r="CL204" i="6"/>
  <c r="CP204" i="6"/>
  <c r="CT204" i="6"/>
  <c r="BS204" i="6"/>
  <c r="BW204" i="6"/>
  <c r="CA204" i="6"/>
  <c r="CE204" i="6"/>
  <c r="CI204" i="6"/>
  <c r="CM204" i="6"/>
  <c r="CQ204" i="6"/>
  <c r="BT204" i="6"/>
  <c r="BX204" i="6"/>
  <c r="CB204" i="6"/>
  <c r="CF204" i="6"/>
  <c r="CJ204" i="6"/>
  <c r="CN204" i="6"/>
  <c r="CR204" i="6"/>
  <c r="BQ196" i="6"/>
  <c r="BU196" i="6"/>
  <c r="BY196" i="6"/>
  <c r="CC196" i="6"/>
  <c r="CG196" i="6"/>
  <c r="CK196" i="6"/>
  <c r="CO196" i="6"/>
  <c r="CS196" i="6"/>
  <c r="BR196" i="6"/>
  <c r="BV196" i="6"/>
  <c r="BZ196" i="6"/>
  <c r="CD196" i="6"/>
  <c r="CH196" i="6"/>
  <c r="CL196" i="6"/>
  <c r="CP196" i="6"/>
  <c r="CT196" i="6"/>
  <c r="BS196" i="6"/>
  <c r="BW196" i="6"/>
  <c r="CA196" i="6"/>
  <c r="CE196" i="6"/>
  <c r="CI196" i="6"/>
  <c r="CM196" i="6"/>
  <c r="CQ196" i="6"/>
  <c r="BT196" i="6"/>
  <c r="BX196" i="6"/>
  <c r="CB196" i="6"/>
  <c r="CF196" i="6"/>
  <c r="CJ196" i="6"/>
  <c r="CN196" i="6"/>
  <c r="CR196" i="6"/>
  <c r="BQ188" i="6"/>
  <c r="BU188" i="6"/>
  <c r="BY188" i="6"/>
  <c r="CC188" i="6"/>
  <c r="CG188" i="6"/>
  <c r="CK188" i="6"/>
  <c r="CO188" i="6"/>
  <c r="CS188" i="6"/>
  <c r="BR188" i="6"/>
  <c r="BV188" i="6"/>
  <c r="BZ188" i="6"/>
  <c r="CD188" i="6"/>
  <c r="CH188" i="6"/>
  <c r="CL188" i="6"/>
  <c r="CP188" i="6"/>
  <c r="CT188" i="6"/>
  <c r="BS188" i="6"/>
  <c r="BW188" i="6"/>
  <c r="CA188" i="6"/>
  <c r="CE188" i="6"/>
  <c r="CI188" i="6"/>
  <c r="CM188" i="6"/>
  <c r="CQ188" i="6"/>
  <c r="BT188" i="6"/>
  <c r="BX188" i="6"/>
  <c r="CB188" i="6"/>
  <c r="CF188" i="6"/>
  <c r="CJ188" i="6"/>
  <c r="CN188" i="6"/>
  <c r="CR188" i="6"/>
  <c r="BQ180" i="6"/>
  <c r="BU180" i="6"/>
  <c r="BY180" i="6"/>
  <c r="CC180" i="6"/>
  <c r="CG180" i="6"/>
  <c r="CK180" i="6"/>
  <c r="CO180" i="6"/>
  <c r="CS180" i="6"/>
  <c r="BR180" i="6"/>
  <c r="BV180" i="6"/>
  <c r="BZ180" i="6"/>
  <c r="CD180" i="6"/>
  <c r="CH180" i="6"/>
  <c r="CL180" i="6"/>
  <c r="CP180" i="6"/>
  <c r="CT180" i="6"/>
  <c r="BS180" i="6"/>
  <c r="BW180" i="6"/>
  <c r="CA180" i="6"/>
  <c r="CE180" i="6"/>
  <c r="CI180" i="6"/>
  <c r="CM180" i="6"/>
  <c r="CQ180" i="6"/>
  <c r="BT180" i="6"/>
  <c r="BX180" i="6"/>
  <c r="CB180" i="6"/>
  <c r="CF180" i="6"/>
  <c r="CJ180" i="6"/>
  <c r="CN180" i="6"/>
  <c r="CR180" i="6"/>
  <c r="BQ176" i="6"/>
  <c r="BU176" i="6"/>
  <c r="BY176" i="6"/>
  <c r="CC176" i="6"/>
  <c r="CG176" i="6"/>
  <c r="CK176" i="6"/>
  <c r="CO176" i="6"/>
  <c r="CS176" i="6"/>
  <c r="BR176" i="6"/>
  <c r="BV176" i="6"/>
  <c r="BZ176" i="6"/>
  <c r="CD176" i="6"/>
  <c r="CH176" i="6"/>
  <c r="CL176" i="6"/>
  <c r="CP176" i="6"/>
  <c r="CT176" i="6"/>
  <c r="BS176" i="6"/>
  <c r="BW176" i="6"/>
  <c r="CA176" i="6"/>
  <c r="CE176" i="6"/>
  <c r="CI176" i="6"/>
  <c r="CM176" i="6"/>
  <c r="CQ176" i="6"/>
  <c r="BT176" i="6"/>
  <c r="BX176" i="6"/>
  <c r="CB176" i="6"/>
  <c r="CF176" i="6"/>
  <c r="CJ176" i="6"/>
  <c r="CN176" i="6"/>
  <c r="CR176" i="6"/>
  <c r="BQ172" i="6"/>
  <c r="BU172" i="6"/>
  <c r="BY172" i="6"/>
  <c r="CC172" i="6"/>
  <c r="CG172" i="6"/>
  <c r="CK172" i="6"/>
  <c r="CO172" i="6"/>
  <c r="CS172" i="6"/>
  <c r="BR172" i="6"/>
  <c r="BV172" i="6"/>
  <c r="BZ172" i="6"/>
  <c r="CD172" i="6"/>
  <c r="CH172" i="6"/>
  <c r="CL172" i="6"/>
  <c r="CP172" i="6"/>
  <c r="CT172" i="6"/>
  <c r="BS172" i="6"/>
  <c r="BW172" i="6"/>
  <c r="CA172" i="6"/>
  <c r="CE172" i="6"/>
  <c r="CI172" i="6"/>
  <c r="CM172" i="6"/>
  <c r="CQ172" i="6"/>
  <c r="BT172" i="6"/>
  <c r="BX172" i="6"/>
  <c r="CB172" i="6"/>
  <c r="CF172" i="6"/>
  <c r="CJ172" i="6"/>
  <c r="CN172" i="6"/>
  <c r="CR172" i="6"/>
  <c r="BQ168" i="6"/>
  <c r="BU168" i="6"/>
  <c r="BY168" i="6"/>
  <c r="CC168" i="6"/>
  <c r="CG168" i="6"/>
  <c r="CK168" i="6"/>
  <c r="CO168" i="6"/>
  <c r="CS168" i="6"/>
  <c r="BR168" i="6"/>
  <c r="BV168" i="6"/>
  <c r="BZ168" i="6"/>
  <c r="CD168" i="6"/>
  <c r="CH168" i="6"/>
  <c r="CL168" i="6"/>
  <c r="CP168" i="6"/>
  <c r="CT168" i="6"/>
  <c r="BS168" i="6"/>
  <c r="BW168" i="6"/>
  <c r="CA168" i="6"/>
  <c r="CE168" i="6"/>
  <c r="CI168" i="6"/>
  <c r="CM168" i="6"/>
  <c r="CQ168" i="6"/>
  <c r="BT168" i="6"/>
  <c r="BX168" i="6"/>
  <c r="CB168" i="6"/>
  <c r="CF168" i="6"/>
  <c r="CJ168" i="6"/>
  <c r="CN168" i="6"/>
  <c r="CR168" i="6"/>
  <c r="BQ164" i="6"/>
  <c r="BU164" i="6"/>
  <c r="BY164" i="6"/>
  <c r="CC164" i="6"/>
  <c r="CG164" i="6"/>
  <c r="CK164" i="6"/>
  <c r="CO164" i="6"/>
  <c r="CS164" i="6"/>
  <c r="BR164" i="6"/>
  <c r="BV164" i="6"/>
  <c r="BZ164" i="6"/>
  <c r="CD164" i="6"/>
  <c r="CH164" i="6"/>
  <c r="CL164" i="6"/>
  <c r="CP164" i="6"/>
  <c r="CT164" i="6"/>
  <c r="BS164" i="6"/>
  <c r="BW164" i="6"/>
  <c r="CA164" i="6"/>
  <c r="CE164" i="6"/>
  <c r="CI164" i="6"/>
  <c r="CM164" i="6"/>
  <c r="CQ164" i="6"/>
  <c r="BT164" i="6"/>
  <c r="BX164" i="6"/>
  <c r="CB164" i="6"/>
  <c r="CF164" i="6"/>
  <c r="CJ164" i="6"/>
  <c r="CN164" i="6"/>
  <c r="CR164" i="6"/>
  <c r="BQ160" i="6"/>
  <c r="BU160" i="6"/>
  <c r="BY160" i="6"/>
  <c r="CC160" i="6"/>
  <c r="CG160" i="6"/>
  <c r="CK160" i="6"/>
  <c r="CO160" i="6"/>
  <c r="CS160" i="6"/>
  <c r="BR160" i="6"/>
  <c r="BV160" i="6"/>
  <c r="BZ160" i="6"/>
  <c r="CD160" i="6"/>
  <c r="CH160" i="6"/>
  <c r="CL160" i="6"/>
  <c r="CP160" i="6"/>
  <c r="CT160" i="6"/>
  <c r="BS160" i="6"/>
  <c r="BW160" i="6"/>
  <c r="CA160" i="6"/>
  <c r="CE160" i="6"/>
  <c r="CI160" i="6"/>
  <c r="CM160" i="6"/>
  <c r="CQ160" i="6"/>
  <c r="BT160" i="6"/>
  <c r="BX160" i="6"/>
  <c r="CB160" i="6"/>
  <c r="CF160" i="6"/>
  <c r="CJ160" i="6"/>
  <c r="CN160" i="6"/>
  <c r="CR160" i="6"/>
  <c r="BQ156" i="6"/>
  <c r="BU156" i="6"/>
  <c r="BY156" i="6"/>
  <c r="CC156" i="6"/>
  <c r="CG156" i="6"/>
  <c r="CK156" i="6"/>
  <c r="CO156" i="6"/>
  <c r="CS156" i="6"/>
  <c r="BR156" i="6"/>
  <c r="BV156" i="6"/>
  <c r="BZ156" i="6"/>
  <c r="CD156" i="6"/>
  <c r="CH156" i="6"/>
  <c r="CL156" i="6"/>
  <c r="CP156" i="6"/>
  <c r="CT156" i="6"/>
  <c r="BS156" i="6"/>
  <c r="BW156" i="6"/>
  <c r="CA156" i="6"/>
  <c r="CE156" i="6"/>
  <c r="CI156" i="6"/>
  <c r="CM156" i="6"/>
  <c r="CQ156" i="6"/>
  <c r="BT156" i="6"/>
  <c r="BX156" i="6"/>
  <c r="CB156" i="6"/>
  <c r="CF156" i="6"/>
  <c r="CJ156" i="6"/>
  <c r="CN156" i="6"/>
  <c r="CR156" i="6"/>
  <c r="BQ152" i="6"/>
  <c r="BU152" i="6"/>
  <c r="BY152" i="6"/>
  <c r="CC152" i="6"/>
  <c r="CG152" i="6"/>
  <c r="CK152" i="6"/>
  <c r="CO152" i="6"/>
  <c r="CS152" i="6"/>
  <c r="BR152" i="6"/>
  <c r="BV152" i="6"/>
  <c r="BZ152" i="6"/>
  <c r="CD152" i="6"/>
  <c r="CH152" i="6"/>
  <c r="CL152" i="6"/>
  <c r="CP152" i="6"/>
  <c r="CT152" i="6"/>
  <c r="BS152" i="6"/>
  <c r="BW152" i="6"/>
  <c r="CA152" i="6"/>
  <c r="CE152" i="6"/>
  <c r="CI152" i="6"/>
  <c r="CM152" i="6"/>
  <c r="CQ152" i="6"/>
  <c r="BT152" i="6"/>
  <c r="BX152" i="6"/>
  <c r="CB152" i="6"/>
  <c r="CF152" i="6"/>
  <c r="CJ152" i="6"/>
  <c r="CN152" i="6"/>
  <c r="CR152" i="6"/>
  <c r="BQ148" i="6"/>
  <c r="BU148" i="6"/>
  <c r="BY148" i="6"/>
  <c r="CC148" i="6"/>
  <c r="CG148" i="6"/>
  <c r="CK148" i="6"/>
  <c r="CO148" i="6"/>
  <c r="CS148" i="6"/>
  <c r="BR148" i="6"/>
  <c r="BV148" i="6"/>
  <c r="BZ148" i="6"/>
  <c r="CD148" i="6"/>
  <c r="CH148" i="6"/>
  <c r="CL148" i="6"/>
  <c r="CP148" i="6"/>
  <c r="CT148" i="6"/>
  <c r="BS148" i="6"/>
  <c r="BW148" i="6"/>
  <c r="CA148" i="6"/>
  <c r="CE148" i="6"/>
  <c r="CI148" i="6"/>
  <c r="CM148" i="6"/>
  <c r="CQ148" i="6"/>
  <c r="BT148" i="6"/>
  <c r="BX148" i="6"/>
  <c r="CB148" i="6"/>
  <c r="CF148" i="6"/>
  <c r="CJ148" i="6"/>
  <c r="CN148" i="6"/>
  <c r="CR148" i="6"/>
  <c r="BR144" i="6"/>
  <c r="BV144" i="6"/>
  <c r="BZ144" i="6"/>
  <c r="CD144" i="6"/>
  <c r="CH144" i="6"/>
  <c r="BS144" i="6"/>
  <c r="BW144" i="6"/>
  <c r="CA144" i="6"/>
  <c r="CE144" i="6"/>
  <c r="BT144" i="6"/>
  <c r="BX144" i="6"/>
  <c r="CB144" i="6"/>
  <c r="CF144" i="6"/>
  <c r="BQ144" i="6"/>
  <c r="BU144" i="6"/>
  <c r="BY144" i="6"/>
  <c r="CC144" i="6"/>
  <c r="CK144" i="6"/>
  <c r="CO144" i="6"/>
  <c r="CS144" i="6"/>
  <c r="CG144" i="6"/>
  <c r="CL144" i="6"/>
  <c r="CP144" i="6"/>
  <c r="CT144" i="6"/>
  <c r="CI144" i="6"/>
  <c r="CM144" i="6"/>
  <c r="CQ144" i="6"/>
  <c r="CJ144" i="6"/>
  <c r="CN144" i="6"/>
  <c r="CR144" i="6"/>
  <c r="BR140" i="6"/>
  <c r="BV140" i="6"/>
  <c r="BZ140" i="6"/>
  <c r="CD140" i="6"/>
  <c r="CH140" i="6"/>
  <c r="CL140" i="6"/>
  <c r="CP140" i="6"/>
  <c r="CT140" i="6"/>
  <c r="BS140" i="6"/>
  <c r="BW140" i="6"/>
  <c r="CA140" i="6"/>
  <c r="CE140" i="6"/>
  <c r="CI140" i="6"/>
  <c r="CM140" i="6"/>
  <c r="CQ140" i="6"/>
  <c r="BT140" i="6"/>
  <c r="BX140" i="6"/>
  <c r="CB140" i="6"/>
  <c r="CF140" i="6"/>
  <c r="CJ140" i="6"/>
  <c r="CN140" i="6"/>
  <c r="CR140" i="6"/>
  <c r="BQ140" i="6"/>
  <c r="BU140" i="6"/>
  <c r="BY140" i="6"/>
  <c r="CC140" i="6"/>
  <c r="CG140" i="6"/>
  <c r="CK140" i="6"/>
  <c r="CO140" i="6"/>
  <c r="CS140" i="6"/>
  <c r="BR136" i="6"/>
  <c r="BV136" i="6"/>
  <c r="BZ136" i="6"/>
  <c r="CD136" i="6"/>
  <c r="CH136" i="6"/>
  <c r="CL136" i="6"/>
  <c r="CP136" i="6"/>
  <c r="CT136" i="6"/>
  <c r="BS136" i="6"/>
  <c r="BW136" i="6"/>
  <c r="CA136" i="6"/>
  <c r="CE136" i="6"/>
  <c r="CI136" i="6"/>
  <c r="CM136" i="6"/>
  <c r="CQ136" i="6"/>
  <c r="BT136" i="6"/>
  <c r="BX136" i="6"/>
  <c r="CB136" i="6"/>
  <c r="CF136" i="6"/>
  <c r="CJ136" i="6"/>
  <c r="CN136" i="6"/>
  <c r="CR136" i="6"/>
  <c r="BQ136" i="6"/>
  <c r="BU136" i="6"/>
  <c r="BY136" i="6"/>
  <c r="CC136" i="6"/>
  <c r="CG136" i="6"/>
  <c r="CK136" i="6"/>
  <c r="CO136" i="6"/>
  <c r="CS136" i="6"/>
  <c r="BR132" i="6"/>
  <c r="BV132" i="6"/>
  <c r="BZ132" i="6"/>
  <c r="CD132" i="6"/>
  <c r="CH132" i="6"/>
  <c r="CL132" i="6"/>
  <c r="CP132" i="6"/>
  <c r="CT132" i="6"/>
  <c r="BS132" i="6"/>
  <c r="BW132" i="6"/>
  <c r="CA132" i="6"/>
  <c r="CE132" i="6"/>
  <c r="CI132" i="6"/>
  <c r="CM132" i="6"/>
  <c r="CQ132" i="6"/>
  <c r="BT132" i="6"/>
  <c r="BX132" i="6"/>
  <c r="CB132" i="6"/>
  <c r="CF132" i="6"/>
  <c r="CJ132" i="6"/>
  <c r="CN132" i="6"/>
  <c r="CR132" i="6"/>
  <c r="BQ132" i="6"/>
  <c r="BU132" i="6"/>
  <c r="BY132" i="6"/>
  <c r="CC132" i="6"/>
  <c r="CG132" i="6"/>
  <c r="CK132" i="6"/>
  <c r="CO132" i="6"/>
  <c r="CS132" i="6"/>
  <c r="BR128" i="6"/>
  <c r="BV128" i="6"/>
  <c r="BZ128" i="6"/>
  <c r="CD128" i="6"/>
  <c r="CH128" i="6"/>
  <c r="CL128" i="6"/>
  <c r="CP128" i="6"/>
  <c r="CT128" i="6"/>
  <c r="BS128" i="6"/>
  <c r="BW128" i="6"/>
  <c r="CA128" i="6"/>
  <c r="CE128" i="6"/>
  <c r="CI128" i="6"/>
  <c r="CM128" i="6"/>
  <c r="CQ128" i="6"/>
  <c r="BT128" i="6"/>
  <c r="BX128" i="6"/>
  <c r="CB128" i="6"/>
  <c r="CF128" i="6"/>
  <c r="CJ128" i="6"/>
  <c r="CN128" i="6"/>
  <c r="CR128" i="6"/>
  <c r="BQ128" i="6"/>
  <c r="BU128" i="6"/>
  <c r="BY128" i="6"/>
  <c r="CC128" i="6"/>
  <c r="CG128" i="6"/>
  <c r="CK128" i="6"/>
  <c r="CO128" i="6"/>
  <c r="CS128" i="6"/>
  <c r="BR124" i="6"/>
  <c r="BV124" i="6"/>
  <c r="BZ124" i="6"/>
  <c r="CD124" i="6"/>
  <c r="CH124" i="6"/>
  <c r="CL124" i="6"/>
  <c r="CP124" i="6"/>
  <c r="CT124" i="6"/>
  <c r="BS124" i="6"/>
  <c r="BW124" i="6"/>
  <c r="CA124" i="6"/>
  <c r="CE124" i="6"/>
  <c r="CI124" i="6"/>
  <c r="CM124" i="6"/>
  <c r="CQ124" i="6"/>
  <c r="BT124" i="6"/>
  <c r="BX124" i="6"/>
  <c r="CB124" i="6"/>
  <c r="CF124" i="6"/>
  <c r="CJ124" i="6"/>
  <c r="CN124" i="6"/>
  <c r="CR124" i="6"/>
  <c r="BQ124" i="6"/>
  <c r="BU124" i="6"/>
  <c r="BY124" i="6"/>
  <c r="CC124" i="6"/>
  <c r="CG124" i="6"/>
  <c r="CK124" i="6"/>
  <c r="CO124" i="6"/>
  <c r="CS124" i="6"/>
  <c r="BR120" i="6"/>
  <c r="BV120" i="6"/>
  <c r="BZ120" i="6"/>
  <c r="CD120" i="6"/>
  <c r="CH120" i="6"/>
  <c r="CL120" i="6"/>
  <c r="CP120" i="6"/>
  <c r="CT120" i="6"/>
  <c r="BS120" i="6"/>
  <c r="BW120" i="6"/>
  <c r="CA120" i="6"/>
  <c r="CE120" i="6"/>
  <c r="CI120" i="6"/>
  <c r="CM120" i="6"/>
  <c r="CQ120" i="6"/>
  <c r="BT120" i="6"/>
  <c r="BX120" i="6"/>
  <c r="CB120" i="6"/>
  <c r="CF120" i="6"/>
  <c r="CJ120" i="6"/>
  <c r="CN120" i="6"/>
  <c r="CR120" i="6"/>
  <c r="BQ120" i="6"/>
  <c r="BU120" i="6"/>
  <c r="BY120" i="6"/>
  <c r="CC120" i="6"/>
  <c r="CG120" i="6"/>
  <c r="CK120" i="6"/>
  <c r="CO120" i="6"/>
  <c r="CS120" i="6"/>
  <c r="BR116" i="6"/>
  <c r="BV116" i="6"/>
  <c r="BZ116" i="6"/>
  <c r="CD116" i="6"/>
  <c r="CH116" i="6"/>
  <c r="CL116" i="6"/>
  <c r="CP116" i="6"/>
  <c r="CT116" i="6"/>
  <c r="BS116" i="6"/>
  <c r="BW116" i="6"/>
  <c r="CA116" i="6"/>
  <c r="CE116" i="6"/>
  <c r="CI116" i="6"/>
  <c r="CM116" i="6"/>
  <c r="CQ116" i="6"/>
  <c r="BT116" i="6"/>
  <c r="BX116" i="6"/>
  <c r="CB116" i="6"/>
  <c r="CF116" i="6"/>
  <c r="CJ116" i="6"/>
  <c r="CN116" i="6"/>
  <c r="CR116" i="6"/>
  <c r="BQ116" i="6"/>
  <c r="BU116" i="6"/>
  <c r="BY116" i="6"/>
  <c r="CC116" i="6"/>
  <c r="CG116" i="6"/>
  <c r="CK116" i="6"/>
  <c r="CO116" i="6"/>
  <c r="CS116" i="6"/>
  <c r="BQ112" i="6"/>
  <c r="BU112" i="6"/>
  <c r="BY112" i="6"/>
  <c r="CC112" i="6"/>
  <c r="CG112" i="6"/>
  <c r="CK112" i="6"/>
  <c r="CO112" i="6"/>
  <c r="CS112" i="6"/>
  <c r="BR112" i="6"/>
  <c r="BV112" i="6"/>
  <c r="BZ112" i="6"/>
  <c r="CD112" i="6"/>
  <c r="CH112" i="6"/>
  <c r="CL112" i="6"/>
  <c r="CP112" i="6"/>
  <c r="CT112" i="6"/>
  <c r="BS112" i="6"/>
  <c r="BW112" i="6"/>
  <c r="CA112" i="6"/>
  <c r="CE112" i="6"/>
  <c r="CI112" i="6"/>
  <c r="CM112" i="6"/>
  <c r="CQ112" i="6"/>
  <c r="BT112" i="6"/>
  <c r="BX112" i="6"/>
  <c r="CB112" i="6"/>
  <c r="CF112" i="6"/>
  <c r="CJ112" i="6"/>
  <c r="CN112" i="6"/>
  <c r="CR112" i="6"/>
  <c r="BQ108" i="6"/>
  <c r="BU108" i="6"/>
  <c r="BY108" i="6"/>
  <c r="CC108" i="6"/>
  <c r="CG108" i="6"/>
  <c r="CK108" i="6"/>
  <c r="CO108" i="6"/>
  <c r="CS108" i="6"/>
  <c r="BR108" i="6"/>
  <c r="BV108" i="6"/>
  <c r="BZ108" i="6"/>
  <c r="CD108" i="6"/>
  <c r="CH108" i="6"/>
  <c r="CL108" i="6"/>
  <c r="CP108" i="6"/>
  <c r="CT108" i="6"/>
  <c r="BS108" i="6"/>
  <c r="BW108" i="6"/>
  <c r="CA108" i="6"/>
  <c r="CE108" i="6"/>
  <c r="CI108" i="6"/>
  <c r="CM108" i="6"/>
  <c r="CQ108" i="6"/>
  <c r="BT108" i="6"/>
  <c r="BX108" i="6"/>
  <c r="CB108" i="6"/>
  <c r="CF108" i="6"/>
  <c r="CJ108" i="6"/>
  <c r="CN108" i="6"/>
  <c r="CR108" i="6"/>
  <c r="BQ104" i="6"/>
  <c r="BU104" i="6"/>
  <c r="BY104" i="6"/>
  <c r="CC104" i="6"/>
  <c r="CG104" i="6"/>
  <c r="CK104" i="6"/>
  <c r="CO104" i="6"/>
  <c r="CS104" i="6"/>
  <c r="BR104" i="6"/>
  <c r="BV104" i="6"/>
  <c r="BZ104" i="6"/>
  <c r="CD104" i="6"/>
  <c r="CH104" i="6"/>
  <c r="CL104" i="6"/>
  <c r="CP104" i="6"/>
  <c r="CT104" i="6"/>
  <c r="BS104" i="6"/>
  <c r="BW104" i="6"/>
  <c r="CA104" i="6"/>
  <c r="CE104" i="6"/>
  <c r="CI104" i="6"/>
  <c r="CM104" i="6"/>
  <c r="CQ104" i="6"/>
  <c r="BT104" i="6"/>
  <c r="BX104" i="6"/>
  <c r="CB104" i="6"/>
  <c r="CF104" i="6"/>
  <c r="CJ104" i="6"/>
  <c r="CN104" i="6"/>
  <c r="CR104" i="6"/>
  <c r="BQ100" i="6"/>
  <c r="BU100" i="6"/>
  <c r="BY100" i="6"/>
  <c r="CC100" i="6"/>
  <c r="CG100" i="6"/>
  <c r="CK100" i="6"/>
  <c r="CO100" i="6"/>
  <c r="CS100" i="6"/>
  <c r="BR100" i="6"/>
  <c r="BV100" i="6"/>
  <c r="BZ100" i="6"/>
  <c r="CD100" i="6"/>
  <c r="CH100" i="6"/>
  <c r="CL100" i="6"/>
  <c r="CP100" i="6"/>
  <c r="CT100" i="6"/>
  <c r="BS100" i="6"/>
  <c r="BW100" i="6"/>
  <c r="CA100" i="6"/>
  <c r="CE100" i="6"/>
  <c r="CI100" i="6"/>
  <c r="CM100" i="6"/>
  <c r="CQ100" i="6"/>
  <c r="BT100" i="6"/>
  <c r="BX100" i="6"/>
  <c r="CB100" i="6"/>
  <c r="CF100" i="6"/>
  <c r="CJ100" i="6"/>
  <c r="CN100" i="6"/>
  <c r="CR100" i="6"/>
  <c r="BQ96" i="6"/>
  <c r="BU96" i="6"/>
  <c r="BY96" i="6"/>
  <c r="CC96" i="6"/>
  <c r="CG96" i="6"/>
  <c r="CK96" i="6"/>
  <c r="CO96" i="6"/>
  <c r="CS96" i="6"/>
  <c r="BR96" i="6"/>
  <c r="BV96" i="6"/>
  <c r="BZ96" i="6"/>
  <c r="CD96" i="6"/>
  <c r="CH96" i="6"/>
  <c r="CL96" i="6"/>
  <c r="CP96" i="6"/>
  <c r="CT96" i="6"/>
  <c r="BS96" i="6"/>
  <c r="BW96" i="6"/>
  <c r="CA96" i="6"/>
  <c r="CE96" i="6"/>
  <c r="CI96" i="6"/>
  <c r="CM96" i="6"/>
  <c r="CQ96" i="6"/>
  <c r="BT96" i="6"/>
  <c r="BX96" i="6"/>
  <c r="CB96" i="6"/>
  <c r="CF96" i="6"/>
  <c r="CJ96" i="6"/>
  <c r="CN96" i="6"/>
  <c r="CR96" i="6"/>
  <c r="BQ92" i="6"/>
  <c r="BU92" i="6"/>
  <c r="BY92" i="6"/>
  <c r="CC92" i="6"/>
  <c r="CG92" i="6"/>
  <c r="CK92" i="6"/>
  <c r="CO92" i="6"/>
  <c r="CS92" i="6"/>
  <c r="BR92" i="6"/>
  <c r="BV92" i="6"/>
  <c r="BZ92" i="6"/>
  <c r="CD92" i="6"/>
  <c r="CH92" i="6"/>
  <c r="CL92" i="6"/>
  <c r="CP92" i="6"/>
  <c r="CT92" i="6"/>
  <c r="BS92" i="6"/>
  <c r="BW92" i="6"/>
  <c r="CA92" i="6"/>
  <c r="CE92" i="6"/>
  <c r="CI92" i="6"/>
  <c r="CM92" i="6"/>
  <c r="CQ92" i="6"/>
  <c r="BT92" i="6"/>
  <c r="BX92" i="6"/>
  <c r="CB92" i="6"/>
  <c r="CF92" i="6"/>
  <c r="CJ92" i="6"/>
  <c r="CN92" i="6"/>
  <c r="CR92" i="6"/>
  <c r="BQ88" i="6"/>
  <c r="BU88" i="6"/>
  <c r="BY88" i="6"/>
  <c r="CC88" i="6"/>
  <c r="CG88" i="6"/>
  <c r="CK88" i="6"/>
  <c r="CO88" i="6"/>
  <c r="CS88" i="6"/>
  <c r="BR88" i="6"/>
  <c r="BV88" i="6"/>
  <c r="BZ88" i="6"/>
  <c r="CD88" i="6"/>
  <c r="CH88" i="6"/>
  <c r="CL88" i="6"/>
  <c r="CP88" i="6"/>
  <c r="CT88" i="6"/>
  <c r="BS88" i="6"/>
  <c r="BW88" i="6"/>
  <c r="CA88" i="6"/>
  <c r="CE88" i="6"/>
  <c r="CI88" i="6"/>
  <c r="CM88" i="6"/>
  <c r="CQ88" i="6"/>
  <c r="BT88" i="6"/>
  <c r="BX88" i="6"/>
  <c r="CB88" i="6"/>
  <c r="CF88" i="6"/>
  <c r="CJ88" i="6"/>
  <c r="CN88" i="6"/>
  <c r="CR88" i="6"/>
  <c r="BQ84" i="6"/>
  <c r="BU84" i="6"/>
  <c r="BY84" i="6"/>
  <c r="CC84" i="6"/>
  <c r="CG84" i="6"/>
  <c r="CK84" i="6"/>
  <c r="CO84" i="6"/>
  <c r="CS84" i="6"/>
  <c r="BR84" i="6"/>
  <c r="BV84" i="6"/>
  <c r="BZ84" i="6"/>
  <c r="CD84" i="6"/>
  <c r="CH84" i="6"/>
  <c r="CL84" i="6"/>
  <c r="CP84" i="6"/>
  <c r="CT84" i="6"/>
  <c r="BS84" i="6"/>
  <c r="BW84" i="6"/>
  <c r="CA84" i="6"/>
  <c r="CE84" i="6"/>
  <c r="CI84" i="6"/>
  <c r="CM84" i="6"/>
  <c r="CQ84" i="6"/>
  <c r="BT84" i="6"/>
  <c r="BX84" i="6"/>
  <c r="CB84" i="6"/>
  <c r="CF84" i="6"/>
  <c r="CJ84" i="6"/>
  <c r="CN84" i="6"/>
  <c r="CR84" i="6"/>
  <c r="BQ80" i="6"/>
  <c r="BU80" i="6"/>
  <c r="BY80" i="6"/>
  <c r="CC80" i="6"/>
  <c r="CG80" i="6"/>
  <c r="CK80" i="6"/>
  <c r="CO80" i="6"/>
  <c r="CS80" i="6"/>
  <c r="BR80" i="6"/>
  <c r="BV80" i="6"/>
  <c r="BZ80" i="6"/>
  <c r="CD80" i="6"/>
  <c r="CH80" i="6"/>
  <c r="CL80" i="6"/>
  <c r="CP80" i="6"/>
  <c r="CT80" i="6"/>
  <c r="BS80" i="6"/>
  <c r="BW80" i="6"/>
  <c r="CA80" i="6"/>
  <c r="CE80" i="6"/>
  <c r="CI80" i="6"/>
  <c r="CM80" i="6"/>
  <c r="CQ80" i="6"/>
  <c r="BT80" i="6"/>
  <c r="BX80" i="6"/>
  <c r="CB80" i="6"/>
  <c r="CF80" i="6"/>
  <c r="CJ80" i="6"/>
  <c r="CN80" i="6"/>
  <c r="CR80" i="6"/>
  <c r="BQ76" i="6"/>
  <c r="BU76" i="6"/>
  <c r="BY76" i="6"/>
  <c r="CC76" i="6"/>
  <c r="CG76" i="6"/>
  <c r="CK76" i="6"/>
  <c r="CO76" i="6"/>
  <c r="CS76" i="6"/>
  <c r="BR76" i="6"/>
  <c r="BV76" i="6"/>
  <c r="BZ76" i="6"/>
  <c r="CD76" i="6"/>
  <c r="CH76" i="6"/>
  <c r="CL76" i="6"/>
  <c r="CP76" i="6"/>
  <c r="CT76" i="6"/>
  <c r="BS76" i="6"/>
  <c r="BW76" i="6"/>
  <c r="CA76" i="6"/>
  <c r="CE76" i="6"/>
  <c r="CI76" i="6"/>
  <c r="CM76" i="6"/>
  <c r="CQ76" i="6"/>
  <c r="BT76" i="6"/>
  <c r="BX76" i="6"/>
  <c r="CB76" i="6"/>
  <c r="CF76" i="6"/>
  <c r="CJ76" i="6"/>
  <c r="CN76" i="6"/>
  <c r="CR76" i="6"/>
  <c r="BQ72" i="6"/>
  <c r="BU72" i="6"/>
  <c r="BY72" i="6"/>
  <c r="CC72" i="6"/>
  <c r="CG72" i="6"/>
  <c r="CK72" i="6"/>
  <c r="CO72" i="6"/>
  <c r="CS72" i="6"/>
  <c r="BR72" i="6"/>
  <c r="BV72" i="6"/>
  <c r="BZ72" i="6"/>
  <c r="CD72" i="6"/>
  <c r="CH72" i="6"/>
  <c r="CL72" i="6"/>
  <c r="CP72" i="6"/>
  <c r="CT72" i="6"/>
  <c r="BS72" i="6"/>
  <c r="BW72" i="6"/>
  <c r="CA72" i="6"/>
  <c r="CE72" i="6"/>
  <c r="CI72" i="6"/>
  <c r="CM72" i="6"/>
  <c r="CQ72" i="6"/>
  <c r="BT72" i="6"/>
  <c r="BX72" i="6"/>
  <c r="CB72" i="6"/>
  <c r="CF72" i="6"/>
  <c r="CJ72" i="6"/>
  <c r="CN72" i="6"/>
  <c r="CR72" i="6"/>
  <c r="BQ68" i="6"/>
  <c r="BU68" i="6"/>
  <c r="BY68" i="6"/>
  <c r="CC68" i="6"/>
  <c r="CG68" i="6"/>
  <c r="CK68" i="6"/>
  <c r="CO68" i="6"/>
  <c r="CS68" i="6"/>
  <c r="BR68" i="6"/>
  <c r="BV68" i="6"/>
  <c r="BZ68" i="6"/>
  <c r="CD68" i="6"/>
  <c r="CH68" i="6"/>
  <c r="CL68" i="6"/>
  <c r="CP68" i="6"/>
  <c r="CT68" i="6"/>
  <c r="BS68" i="6"/>
  <c r="BW68" i="6"/>
  <c r="CA68" i="6"/>
  <c r="CE68" i="6"/>
  <c r="CI68" i="6"/>
  <c r="CM68" i="6"/>
  <c r="CQ68" i="6"/>
  <c r="BT68" i="6"/>
  <c r="BX68" i="6"/>
  <c r="CB68" i="6"/>
  <c r="CF68" i="6"/>
  <c r="CJ68" i="6"/>
  <c r="CN68" i="6"/>
  <c r="CR68" i="6"/>
  <c r="BQ64" i="6"/>
  <c r="BU64" i="6"/>
  <c r="BY64" i="6"/>
  <c r="CC64" i="6"/>
  <c r="CG64" i="6"/>
  <c r="CK64" i="6"/>
  <c r="CO64" i="6"/>
  <c r="CS64" i="6"/>
  <c r="BR64" i="6"/>
  <c r="BV64" i="6"/>
  <c r="BZ64" i="6"/>
  <c r="CD64" i="6"/>
  <c r="CH64" i="6"/>
  <c r="CL64" i="6"/>
  <c r="CP64" i="6"/>
  <c r="CT64" i="6"/>
  <c r="BS64" i="6"/>
  <c r="BW64" i="6"/>
  <c r="CA64" i="6"/>
  <c r="CE64" i="6"/>
  <c r="CI64" i="6"/>
  <c r="CM64" i="6"/>
  <c r="CQ64" i="6"/>
  <c r="BT64" i="6"/>
  <c r="BX64" i="6"/>
  <c r="CB64" i="6"/>
  <c r="CF64" i="6"/>
  <c r="CJ64" i="6"/>
  <c r="CN64" i="6"/>
  <c r="CR64" i="6"/>
  <c r="BQ60" i="6"/>
  <c r="BU60" i="6"/>
  <c r="BY60" i="6"/>
  <c r="CC60" i="6"/>
  <c r="CG60" i="6"/>
  <c r="CK60" i="6"/>
  <c r="CO60" i="6"/>
  <c r="CS60" i="6"/>
  <c r="BR60" i="6"/>
  <c r="BV60" i="6"/>
  <c r="BZ60" i="6"/>
  <c r="CD60" i="6"/>
  <c r="CH60" i="6"/>
  <c r="CL60" i="6"/>
  <c r="CP60" i="6"/>
  <c r="CT60" i="6"/>
  <c r="BS60" i="6"/>
  <c r="BW60" i="6"/>
  <c r="CA60" i="6"/>
  <c r="CE60" i="6"/>
  <c r="CI60" i="6"/>
  <c r="CM60" i="6"/>
  <c r="CQ60" i="6"/>
  <c r="BT60" i="6"/>
  <c r="BX60" i="6"/>
  <c r="CB60" i="6"/>
  <c r="CF60" i="6"/>
  <c r="CJ60" i="6"/>
  <c r="CN60" i="6"/>
  <c r="CR60" i="6"/>
  <c r="BQ56" i="6"/>
  <c r="BU56" i="6"/>
  <c r="BY56" i="6"/>
  <c r="CC56" i="6"/>
  <c r="CG56" i="6"/>
  <c r="CK56" i="6"/>
  <c r="CO56" i="6"/>
  <c r="CS56" i="6"/>
  <c r="BR56" i="6"/>
  <c r="BV56" i="6"/>
  <c r="BZ56" i="6"/>
  <c r="CD56" i="6"/>
  <c r="CH56" i="6"/>
  <c r="CL56" i="6"/>
  <c r="CP56" i="6"/>
  <c r="CT56" i="6"/>
  <c r="BS56" i="6"/>
  <c r="BW56" i="6"/>
  <c r="CA56" i="6"/>
  <c r="CE56" i="6"/>
  <c r="CI56" i="6"/>
  <c r="CM56" i="6"/>
  <c r="CQ56" i="6"/>
  <c r="BT56" i="6"/>
  <c r="BX56" i="6"/>
  <c r="CB56" i="6"/>
  <c r="CF56" i="6"/>
  <c r="CJ56" i="6"/>
  <c r="CN56" i="6"/>
  <c r="CR56" i="6"/>
  <c r="BT52" i="6"/>
  <c r="BX52" i="6"/>
  <c r="CB52" i="6"/>
  <c r="CF52" i="6"/>
  <c r="CJ52" i="6"/>
  <c r="CN52" i="6"/>
  <c r="CR52" i="6"/>
  <c r="BQ52" i="6"/>
  <c r="BU52" i="6"/>
  <c r="BY52" i="6"/>
  <c r="CC52" i="6"/>
  <c r="CG52" i="6"/>
  <c r="CK52" i="6"/>
  <c r="CO52" i="6"/>
  <c r="CS52" i="6"/>
  <c r="BR52" i="6"/>
  <c r="BV52" i="6"/>
  <c r="BZ52" i="6"/>
  <c r="CD52" i="6"/>
  <c r="CH52" i="6"/>
  <c r="CL52" i="6"/>
  <c r="CP52" i="6"/>
  <c r="CT52" i="6"/>
  <c r="BS52" i="6"/>
  <c r="BW52" i="6"/>
  <c r="CA52" i="6"/>
  <c r="CE52" i="6"/>
  <c r="CI52" i="6"/>
  <c r="CM52" i="6"/>
  <c r="CQ52" i="6"/>
  <c r="BT48" i="6"/>
  <c r="BX48" i="6"/>
  <c r="CB48" i="6"/>
  <c r="CF48" i="6"/>
  <c r="CJ48" i="6"/>
  <c r="CN48" i="6"/>
  <c r="CR48" i="6"/>
  <c r="BQ48" i="6"/>
  <c r="BU48" i="6"/>
  <c r="BY48" i="6"/>
  <c r="CC48" i="6"/>
  <c r="CG48" i="6"/>
  <c r="CK48" i="6"/>
  <c r="CO48" i="6"/>
  <c r="CS48" i="6"/>
  <c r="BR48" i="6"/>
  <c r="BV48" i="6"/>
  <c r="BZ48" i="6"/>
  <c r="CD48" i="6"/>
  <c r="CH48" i="6"/>
  <c r="CL48" i="6"/>
  <c r="CP48" i="6"/>
  <c r="CT48" i="6"/>
  <c r="BS48" i="6"/>
  <c r="BW48" i="6"/>
  <c r="CA48" i="6"/>
  <c r="CE48" i="6"/>
  <c r="CI48" i="6"/>
  <c r="CM48" i="6"/>
  <c r="CQ48" i="6"/>
  <c r="BT44" i="6"/>
  <c r="BX44" i="6"/>
  <c r="CB44" i="6"/>
  <c r="CF44" i="6"/>
  <c r="CJ44" i="6"/>
  <c r="CN44" i="6"/>
  <c r="CR44" i="6"/>
  <c r="BQ44" i="6"/>
  <c r="BU44" i="6"/>
  <c r="BY44" i="6"/>
  <c r="CC44" i="6"/>
  <c r="CG44" i="6"/>
  <c r="CK44" i="6"/>
  <c r="CO44" i="6"/>
  <c r="CS44" i="6"/>
  <c r="BR44" i="6"/>
  <c r="BV44" i="6"/>
  <c r="BZ44" i="6"/>
  <c r="CD44" i="6"/>
  <c r="CH44" i="6"/>
  <c r="CL44" i="6"/>
  <c r="CP44" i="6"/>
  <c r="CT44" i="6"/>
  <c r="BS44" i="6"/>
  <c r="BW44" i="6"/>
  <c r="CA44" i="6"/>
  <c r="CE44" i="6"/>
  <c r="CI44" i="6"/>
  <c r="CM44" i="6"/>
  <c r="CQ44" i="6"/>
  <c r="BT40" i="6"/>
  <c r="BX40" i="6"/>
  <c r="CB40" i="6"/>
  <c r="CF40" i="6"/>
  <c r="CJ40" i="6"/>
  <c r="CN40" i="6"/>
  <c r="CR40" i="6"/>
  <c r="BQ40" i="6"/>
  <c r="BU40" i="6"/>
  <c r="BY40" i="6"/>
  <c r="CC40" i="6"/>
  <c r="CG40" i="6"/>
  <c r="CK40" i="6"/>
  <c r="CO40" i="6"/>
  <c r="CS40" i="6"/>
  <c r="BR40" i="6"/>
  <c r="BV40" i="6"/>
  <c r="BZ40" i="6"/>
  <c r="CD40" i="6"/>
  <c r="CH40" i="6"/>
  <c r="CL40" i="6"/>
  <c r="CP40" i="6"/>
  <c r="CT40" i="6"/>
  <c r="BS40" i="6"/>
  <c r="BW40" i="6"/>
  <c r="CA40" i="6"/>
  <c r="CE40" i="6"/>
  <c r="CI40" i="6"/>
  <c r="CM40" i="6"/>
  <c r="CQ40" i="6"/>
  <c r="BT36" i="6"/>
  <c r="BX36" i="6"/>
  <c r="CB36" i="6"/>
  <c r="CF36" i="6"/>
  <c r="CJ36" i="6"/>
  <c r="CN36" i="6"/>
  <c r="CR36" i="6"/>
  <c r="BQ36" i="6"/>
  <c r="BU36" i="6"/>
  <c r="BY36" i="6"/>
  <c r="CC36" i="6"/>
  <c r="CG36" i="6"/>
  <c r="CK36" i="6"/>
  <c r="CO36" i="6"/>
  <c r="CS36" i="6"/>
  <c r="BR36" i="6"/>
  <c r="BV36" i="6"/>
  <c r="BZ36" i="6"/>
  <c r="CD36" i="6"/>
  <c r="CH36" i="6"/>
  <c r="CL36" i="6"/>
  <c r="CP36" i="6"/>
  <c r="CT36" i="6"/>
  <c r="BS36" i="6"/>
  <c r="BW36" i="6"/>
  <c r="CA36" i="6"/>
  <c r="CE36" i="6"/>
  <c r="CI36" i="6"/>
  <c r="CM36" i="6"/>
  <c r="CQ36" i="6"/>
  <c r="BT32" i="6"/>
  <c r="BX32" i="6"/>
  <c r="CB32" i="6"/>
  <c r="CF32" i="6"/>
  <c r="CJ32" i="6"/>
  <c r="CN32" i="6"/>
  <c r="CR32" i="6"/>
  <c r="BQ32" i="6"/>
  <c r="BU32" i="6"/>
  <c r="BY32" i="6"/>
  <c r="CC32" i="6"/>
  <c r="CG32" i="6"/>
  <c r="CK32" i="6"/>
  <c r="CO32" i="6"/>
  <c r="CS32" i="6"/>
  <c r="BR32" i="6"/>
  <c r="BV32" i="6"/>
  <c r="BZ32" i="6"/>
  <c r="CD32" i="6"/>
  <c r="CH32" i="6"/>
  <c r="CL32" i="6"/>
  <c r="CP32" i="6"/>
  <c r="CT32" i="6"/>
  <c r="BS32" i="6"/>
  <c r="BW32" i="6"/>
  <c r="CA32" i="6"/>
  <c r="CE32" i="6"/>
  <c r="CI32" i="6"/>
  <c r="CM32" i="6"/>
  <c r="CQ32" i="6"/>
  <c r="BT28" i="6"/>
  <c r="BX28" i="6"/>
  <c r="CB28" i="6"/>
  <c r="CF28" i="6"/>
  <c r="CJ28" i="6"/>
  <c r="CN28" i="6"/>
  <c r="CR28" i="6"/>
  <c r="BQ28" i="6"/>
  <c r="BU28" i="6"/>
  <c r="BY28" i="6"/>
  <c r="CC28" i="6"/>
  <c r="CG28" i="6"/>
  <c r="CK28" i="6"/>
  <c r="CO28" i="6"/>
  <c r="CS28" i="6"/>
  <c r="BR28" i="6"/>
  <c r="BV28" i="6"/>
  <c r="BZ28" i="6"/>
  <c r="CD28" i="6"/>
  <c r="CH28" i="6"/>
  <c r="CL28" i="6"/>
  <c r="CP28" i="6"/>
  <c r="CT28" i="6"/>
  <c r="BS28" i="6"/>
  <c r="BW28" i="6"/>
  <c r="CA28" i="6"/>
  <c r="CE28" i="6"/>
  <c r="CI28" i="6"/>
  <c r="CM28" i="6"/>
  <c r="CQ28" i="6"/>
  <c r="BT24" i="6"/>
  <c r="BX24" i="6"/>
  <c r="CB24" i="6"/>
  <c r="CF24" i="6"/>
  <c r="CJ24" i="6"/>
  <c r="CN24" i="6"/>
  <c r="CR24" i="6"/>
  <c r="BQ24" i="6"/>
  <c r="BU24" i="6"/>
  <c r="BY24" i="6"/>
  <c r="CC24" i="6"/>
  <c r="CG24" i="6"/>
  <c r="CK24" i="6"/>
  <c r="CO24" i="6"/>
  <c r="CS24" i="6"/>
  <c r="BR24" i="6"/>
  <c r="BV24" i="6"/>
  <c r="BZ24" i="6"/>
  <c r="CD24" i="6"/>
  <c r="CH24" i="6"/>
  <c r="CL24" i="6"/>
  <c r="CP24" i="6"/>
  <c r="CT24" i="6"/>
  <c r="BS24" i="6"/>
  <c r="BW24" i="6"/>
  <c r="CA24" i="6"/>
  <c r="CE24" i="6"/>
  <c r="CI24" i="6"/>
  <c r="CM24" i="6"/>
  <c r="CQ24" i="6"/>
  <c r="BT20" i="6"/>
  <c r="BX20" i="6"/>
  <c r="CB20" i="6"/>
  <c r="CF20" i="6"/>
  <c r="CJ20" i="6"/>
  <c r="CN20" i="6"/>
  <c r="CR20" i="6"/>
  <c r="BQ20" i="6"/>
  <c r="BU20" i="6"/>
  <c r="BY20" i="6"/>
  <c r="CC20" i="6"/>
  <c r="CG20" i="6"/>
  <c r="CK20" i="6"/>
  <c r="CO20" i="6"/>
  <c r="CS20" i="6"/>
  <c r="BR20" i="6"/>
  <c r="BV20" i="6"/>
  <c r="BZ20" i="6"/>
  <c r="CD20" i="6"/>
  <c r="CH20" i="6"/>
  <c r="CL20" i="6"/>
  <c r="CP20" i="6"/>
  <c r="CT20" i="6"/>
  <c r="BS20" i="6"/>
  <c r="BW20" i="6"/>
  <c r="CA20" i="6"/>
  <c r="CE20" i="6"/>
  <c r="CI20" i="6"/>
  <c r="CM20" i="6"/>
  <c r="CQ20" i="6"/>
  <c r="BT16" i="6"/>
  <c r="BX16" i="6"/>
  <c r="CB16" i="6"/>
  <c r="CF16" i="6"/>
  <c r="CJ16" i="6"/>
  <c r="CN16" i="6"/>
  <c r="CR16" i="6"/>
  <c r="BQ16" i="6"/>
  <c r="BU16" i="6"/>
  <c r="BY16" i="6"/>
  <c r="CC16" i="6"/>
  <c r="CG16" i="6"/>
  <c r="CK16" i="6"/>
  <c r="CO16" i="6"/>
  <c r="CS16" i="6"/>
  <c r="BR16" i="6"/>
  <c r="BV16" i="6"/>
  <c r="BZ16" i="6"/>
  <c r="CD16" i="6"/>
  <c r="CH16" i="6"/>
  <c r="CL16" i="6"/>
  <c r="CP16" i="6"/>
  <c r="CT16" i="6"/>
  <c r="BS16" i="6"/>
  <c r="BW16" i="6"/>
  <c r="CA16" i="6"/>
  <c r="CE16" i="6"/>
  <c r="CI16" i="6"/>
  <c r="CM16" i="6"/>
  <c r="CQ16" i="6"/>
  <c r="BT12" i="6"/>
  <c r="BX12" i="6"/>
  <c r="CB12" i="6"/>
  <c r="CF12" i="6"/>
  <c r="CJ12" i="6"/>
  <c r="CN12" i="6"/>
  <c r="CR12" i="6"/>
  <c r="BQ12" i="6"/>
  <c r="BU12" i="6"/>
  <c r="BY12" i="6"/>
  <c r="CC12" i="6"/>
  <c r="CG12" i="6"/>
  <c r="CK12" i="6"/>
  <c r="CO12" i="6"/>
  <c r="CS12" i="6"/>
  <c r="BR12" i="6"/>
  <c r="BV12" i="6"/>
  <c r="BZ12" i="6"/>
  <c r="CD12" i="6"/>
  <c r="CH12" i="6"/>
  <c r="CL12" i="6"/>
  <c r="CP12" i="6"/>
  <c r="CT12" i="6"/>
  <c r="BS12" i="6"/>
  <c r="BW12" i="6"/>
  <c r="CA12" i="6"/>
  <c r="CE12" i="6"/>
  <c r="CI12" i="6"/>
  <c r="CM12" i="6"/>
  <c r="CQ12" i="6"/>
  <c r="BT8" i="6"/>
  <c r="BX8" i="6"/>
  <c r="CB8" i="6"/>
  <c r="CF8" i="6"/>
  <c r="CJ8" i="6"/>
  <c r="CN8" i="6"/>
  <c r="CR8" i="6"/>
  <c r="BQ8" i="6"/>
  <c r="BU8" i="6"/>
  <c r="BY8" i="6"/>
  <c r="CC8" i="6"/>
  <c r="CG8" i="6"/>
  <c r="CK8" i="6"/>
  <c r="CO8" i="6"/>
  <c r="CS8" i="6"/>
  <c r="BR8" i="6"/>
  <c r="BV8" i="6"/>
  <c r="BZ8" i="6"/>
  <c r="CD8" i="6"/>
  <c r="CH8" i="6"/>
  <c r="CL8" i="6"/>
  <c r="CP8" i="6"/>
  <c r="CT8" i="6"/>
  <c r="BS8" i="6"/>
  <c r="BW8" i="6"/>
  <c r="CA8" i="6"/>
  <c r="CE8" i="6"/>
  <c r="CI8" i="6"/>
  <c r="CM8" i="6"/>
  <c r="CQ8" i="6"/>
  <c r="BT252" i="6"/>
  <c r="BX252" i="6"/>
  <c r="CB252" i="6"/>
  <c r="CF252" i="6"/>
  <c r="CJ252" i="6"/>
  <c r="CN252" i="6"/>
  <c r="CR252" i="6"/>
  <c r="BQ252" i="6"/>
  <c r="BU252" i="6"/>
  <c r="BY252" i="6"/>
  <c r="CC252" i="6"/>
  <c r="CG252" i="6"/>
  <c r="CK252" i="6"/>
  <c r="CO252" i="6"/>
  <c r="CS252" i="6"/>
  <c r="BR252" i="6"/>
  <c r="BV252" i="6"/>
  <c r="BZ252" i="6"/>
  <c r="CD252" i="6"/>
  <c r="CH252" i="6"/>
  <c r="CL252" i="6"/>
  <c r="CP252" i="6"/>
  <c r="CT252" i="6"/>
  <c r="BS252" i="6"/>
  <c r="BW252" i="6"/>
  <c r="CA252" i="6"/>
  <c r="CE252" i="6"/>
  <c r="CI252" i="6"/>
  <c r="CM252" i="6"/>
  <c r="CQ252" i="6"/>
  <c r="BT236" i="6"/>
  <c r="BX236" i="6"/>
  <c r="CB236" i="6"/>
  <c r="CF236" i="6"/>
  <c r="CJ236" i="6"/>
  <c r="CN236" i="6"/>
  <c r="CR236" i="6"/>
  <c r="BQ236" i="6"/>
  <c r="BU236" i="6"/>
  <c r="BY236" i="6"/>
  <c r="CC236" i="6"/>
  <c r="CG236" i="6"/>
  <c r="CK236" i="6"/>
  <c r="CO236" i="6"/>
  <c r="CS236" i="6"/>
  <c r="BR236" i="6"/>
  <c r="BV236" i="6"/>
  <c r="BZ236" i="6"/>
  <c r="CD236" i="6"/>
  <c r="CH236" i="6"/>
  <c r="CL236" i="6"/>
  <c r="CP236" i="6"/>
  <c r="CT236" i="6"/>
  <c r="BS236" i="6"/>
  <c r="BW236" i="6"/>
  <c r="CA236" i="6"/>
  <c r="CE236" i="6"/>
  <c r="CI236" i="6"/>
  <c r="CM236" i="6"/>
  <c r="CQ236" i="6"/>
  <c r="BQ224" i="6"/>
  <c r="BU224" i="6"/>
  <c r="BY224" i="6"/>
  <c r="CC224" i="6"/>
  <c r="CG224" i="6"/>
  <c r="CK224" i="6"/>
  <c r="CO224" i="6"/>
  <c r="CS224" i="6"/>
  <c r="BR224" i="6"/>
  <c r="BV224" i="6"/>
  <c r="BZ224" i="6"/>
  <c r="CD224" i="6"/>
  <c r="CH224" i="6"/>
  <c r="CL224" i="6"/>
  <c r="CP224" i="6"/>
  <c r="CT224" i="6"/>
  <c r="BS224" i="6"/>
  <c r="BW224" i="6"/>
  <c r="CA224" i="6"/>
  <c r="CE224" i="6"/>
  <c r="CI224" i="6"/>
  <c r="CM224" i="6"/>
  <c r="CQ224" i="6"/>
  <c r="BT224" i="6"/>
  <c r="BX224" i="6"/>
  <c r="CB224" i="6"/>
  <c r="CF224" i="6"/>
  <c r="CJ224" i="6"/>
  <c r="CN224" i="6"/>
  <c r="CR224" i="6"/>
  <c r="BQ216" i="6"/>
  <c r="BU216" i="6"/>
  <c r="BY216" i="6"/>
  <c r="CC216" i="6"/>
  <c r="CG216" i="6"/>
  <c r="CK216" i="6"/>
  <c r="CO216" i="6"/>
  <c r="CS216" i="6"/>
  <c r="BR216" i="6"/>
  <c r="BV216" i="6"/>
  <c r="BZ216" i="6"/>
  <c r="CD216" i="6"/>
  <c r="CH216" i="6"/>
  <c r="CL216" i="6"/>
  <c r="CP216" i="6"/>
  <c r="CT216" i="6"/>
  <c r="BS216" i="6"/>
  <c r="BW216" i="6"/>
  <c r="CA216" i="6"/>
  <c r="CE216" i="6"/>
  <c r="CI216" i="6"/>
  <c r="CM216" i="6"/>
  <c r="CQ216" i="6"/>
  <c r="BT216" i="6"/>
  <c r="BX216" i="6"/>
  <c r="CB216" i="6"/>
  <c r="CF216" i="6"/>
  <c r="CJ216" i="6"/>
  <c r="CN216" i="6"/>
  <c r="CR216" i="6"/>
  <c r="BQ208" i="6"/>
  <c r="BU208" i="6"/>
  <c r="BY208" i="6"/>
  <c r="CC208" i="6"/>
  <c r="CG208" i="6"/>
  <c r="CK208" i="6"/>
  <c r="CO208" i="6"/>
  <c r="CS208" i="6"/>
  <c r="BR208" i="6"/>
  <c r="BV208" i="6"/>
  <c r="BZ208" i="6"/>
  <c r="CD208" i="6"/>
  <c r="CH208" i="6"/>
  <c r="CL208" i="6"/>
  <c r="CP208" i="6"/>
  <c r="CT208" i="6"/>
  <c r="BS208" i="6"/>
  <c r="BW208" i="6"/>
  <c r="CA208" i="6"/>
  <c r="CE208" i="6"/>
  <c r="CI208" i="6"/>
  <c r="CM208" i="6"/>
  <c r="CQ208" i="6"/>
  <c r="BT208" i="6"/>
  <c r="BX208" i="6"/>
  <c r="CB208" i="6"/>
  <c r="CF208" i="6"/>
  <c r="CJ208" i="6"/>
  <c r="CN208" i="6"/>
  <c r="CR208" i="6"/>
  <c r="BQ200" i="6"/>
  <c r="BU200" i="6"/>
  <c r="BY200" i="6"/>
  <c r="CC200" i="6"/>
  <c r="CG200" i="6"/>
  <c r="CK200" i="6"/>
  <c r="CO200" i="6"/>
  <c r="CS200" i="6"/>
  <c r="BR200" i="6"/>
  <c r="BV200" i="6"/>
  <c r="BZ200" i="6"/>
  <c r="CD200" i="6"/>
  <c r="CH200" i="6"/>
  <c r="CL200" i="6"/>
  <c r="CP200" i="6"/>
  <c r="CT200" i="6"/>
  <c r="BS200" i="6"/>
  <c r="BW200" i="6"/>
  <c r="CA200" i="6"/>
  <c r="CE200" i="6"/>
  <c r="CI200" i="6"/>
  <c r="CM200" i="6"/>
  <c r="CQ200" i="6"/>
  <c r="BT200" i="6"/>
  <c r="BX200" i="6"/>
  <c r="CB200" i="6"/>
  <c r="CF200" i="6"/>
  <c r="CJ200" i="6"/>
  <c r="CN200" i="6"/>
  <c r="CR200" i="6"/>
  <c r="BQ192" i="6"/>
  <c r="BU192" i="6"/>
  <c r="BY192" i="6"/>
  <c r="CC192" i="6"/>
  <c r="CG192" i="6"/>
  <c r="CK192" i="6"/>
  <c r="CO192" i="6"/>
  <c r="CS192" i="6"/>
  <c r="BR192" i="6"/>
  <c r="BV192" i="6"/>
  <c r="BZ192" i="6"/>
  <c r="CD192" i="6"/>
  <c r="CH192" i="6"/>
  <c r="CL192" i="6"/>
  <c r="CP192" i="6"/>
  <c r="CT192" i="6"/>
  <c r="BS192" i="6"/>
  <c r="BW192" i="6"/>
  <c r="CA192" i="6"/>
  <c r="CE192" i="6"/>
  <c r="CI192" i="6"/>
  <c r="CM192" i="6"/>
  <c r="CQ192" i="6"/>
  <c r="BT192" i="6"/>
  <c r="BX192" i="6"/>
  <c r="CB192" i="6"/>
  <c r="CF192" i="6"/>
  <c r="CJ192" i="6"/>
  <c r="CN192" i="6"/>
  <c r="CR192" i="6"/>
  <c r="BQ184" i="6"/>
  <c r="BU184" i="6"/>
  <c r="BY184" i="6"/>
  <c r="CC184" i="6"/>
  <c r="CG184" i="6"/>
  <c r="CK184" i="6"/>
  <c r="CO184" i="6"/>
  <c r="CS184" i="6"/>
  <c r="BR184" i="6"/>
  <c r="BV184" i="6"/>
  <c r="BZ184" i="6"/>
  <c r="CD184" i="6"/>
  <c r="CH184" i="6"/>
  <c r="CL184" i="6"/>
  <c r="CP184" i="6"/>
  <c r="CT184" i="6"/>
  <c r="BS184" i="6"/>
  <c r="BW184" i="6"/>
  <c r="CA184" i="6"/>
  <c r="CE184" i="6"/>
  <c r="CI184" i="6"/>
  <c r="CM184" i="6"/>
  <c r="CQ184" i="6"/>
  <c r="BT184" i="6"/>
  <c r="BX184" i="6"/>
  <c r="CB184" i="6"/>
  <c r="CF184" i="6"/>
  <c r="CJ184" i="6"/>
  <c r="CN184" i="6"/>
  <c r="CR184" i="6"/>
  <c r="BR263" i="6"/>
  <c r="BV263" i="6"/>
  <c r="BZ263" i="6"/>
  <c r="CD263" i="6"/>
  <c r="CH263" i="6"/>
  <c r="CL263" i="6"/>
  <c r="CP263" i="6"/>
  <c r="CT263" i="6"/>
  <c r="BS263" i="6"/>
  <c r="BW263" i="6"/>
  <c r="CA263" i="6"/>
  <c r="CE263" i="6"/>
  <c r="CI263" i="6"/>
  <c r="CM263" i="6"/>
  <c r="CQ263" i="6"/>
  <c r="BT263" i="6"/>
  <c r="BX263" i="6"/>
  <c r="CB263" i="6"/>
  <c r="CF263" i="6"/>
  <c r="CJ263" i="6"/>
  <c r="CN263" i="6"/>
  <c r="CR263" i="6"/>
  <c r="BQ263" i="6"/>
  <c r="BU263" i="6"/>
  <c r="BY263" i="6"/>
  <c r="CC263" i="6"/>
  <c r="CG263" i="6"/>
  <c r="CK263" i="6"/>
  <c r="CO263" i="6"/>
  <c r="CS263" i="6"/>
  <c r="BR259" i="6"/>
  <c r="BV259" i="6"/>
  <c r="BZ259" i="6"/>
  <c r="CD259" i="6"/>
  <c r="CH259" i="6"/>
  <c r="CL259" i="6"/>
  <c r="CP259" i="6"/>
  <c r="CT259" i="6"/>
  <c r="BS259" i="6"/>
  <c r="BW259" i="6"/>
  <c r="CA259" i="6"/>
  <c r="CE259" i="6"/>
  <c r="CI259" i="6"/>
  <c r="CM259" i="6"/>
  <c r="CQ259" i="6"/>
  <c r="BT259" i="6"/>
  <c r="BX259" i="6"/>
  <c r="CB259" i="6"/>
  <c r="CF259" i="6"/>
  <c r="CJ259" i="6"/>
  <c r="CN259" i="6"/>
  <c r="CR259" i="6"/>
  <c r="BQ259" i="6"/>
  <c r="BU259" i="6"/>
  <c r="BY259" i="6"/>
  <c r="CC259" i="6"/>
  <c r="CG259" i="6"/>
  <c r="CK259" i="6"/>
  <c r="CO259" i="6"/>
  <c r="CS259" i="6"/>
  <c r="BR255" i="6"/>
  <c r="BV255" i="6"/>
  <c r="BZ255" i="6"/>
  <c r="CD255" i="6"/>
  <c r="CH255" i="6"/>
  <c r="CL255" i="6"/>
  <c r="CP255" i="6"/>
  <c r="CT255" i="6"/>
  <c r="BS255" i="6"/>
  <c r="BW255" i="6"/>
  <c r="CA255" i="6"/>
  <c r="CE255" i="6"/>
  <c r="CI255" i="6"/>
  <c r="CM255" i="6"/>
  <c r="CQ255" i="6"/>
  <c r="BT255" i="6"/>
  <c r="BX255" i="6"/>
  <c r="CB255" i="6"/>
  <c r="CF255" i="6"/>
  <c r="CJ255" i="6"/>
  <c r="CN255" i="6"/>
  <c r="CR255" i="6"/>
  <c r="BQ255" i="6"/>
  <c r="BU255" i="6"/>
  <c r="BY255" i="6"/>
  <c r="CC255" i="6"/>
  <c r="CG255" i="6"/>
  <c r="CK255" i="6"/>
  <c r="CO255" i="6"/>
  <c r="CS255" i="6"/>
  <c r="BR251" i="6"/>
  <c r="BV251" i="6"/>
  <c r="BZ251" i="6"/>
  <c r="CD251" i="6"/>
  <c r="CH251" i="6"/>
  <c r="CL251" i="6"/>
  <c r="CP251" i="6"/>
  <c r="CT251" i="6"/>
  <c r="BS251" i="6"/>
  <c r="BW251" i="6"/>
  <c r="CA251" i="6"/>
  <c r="CE251" i="6"/>
  <c r="CI251" i="6"/>
  <c r="CM251" i="6"/>
  <c r="CQ251" i="6"/>
  <c r="BT251" i="6"/>
  <c r="BX251" i="6"/>
  <c r="CB251" i="6"/>
  <c r="CF251" i="6"/>
  <c r="CJ251" i="6"/>
  <c r="CN251" i="6"/>
  <c r="CR251" i="6"/>
  <c r="BQ251" i="6"/>
  <c r="BU251" i="6"/>
  <c r="BY251" i="6"/>
  <c r="CC251" i="6"/>
  <c r="CG251" i="6"/>
  <c r="CK251" i="6"/>
  <c r="CO251" i="6"/>
  <c r="CS251" i="6"/>
  <c r="BR247" i="6"/>
  <c r="BV247" i="6"/>
  <c r="BZ247" i="6"/>
  <c r="CD247" i="6"/>
  <c r="CH247" i="6"/>
  <c r="CL247" i="6"/>
  <c r="CP247" i="6"/>
  <c r="CT247" i="6"/>
  <c r="BS247" i="6"/>
  <c r="BW247" i="6"/>
  <c r="CA247" i="6"/>
  <c r="CE247" i="6"/>
  <c r="CI247" i="6"/>
  <c r="CM247" i="6"/>
  <c r="CQ247" i="6"/>
  <c r="BT247" i="6"/>
  <c r="BX247" i="6"/>
  <c r="CB247" i="6"/>
  <c r="CF247" i="6"/>
  <c r="CJ247" i="6"/>
  <c r="CN247" i="6"/>
  <c r="CR247" i="6"/>
  <c r="BQ247" i="6"/>
  <c r="BU247" i="6"/>
  <c r="BY247" i="6"/>
  <c r="CC247" i="6"/>
  <c r="CG247" i="6"/>
  <c r="CK247" i="6"/>
  <c r="CO247" i="6"/>
  <c r="CS247" i="6"/>
  <c r="BR243" i="6"/>
  <c r="BV243" i="6"/>
  <c r="BZ243" i="6"/>
  <c r="CD243" i="6"/>
  <c r="CH243" i="6"/>
  <c r="CL243" i="6"/>
  <c r="CP243" i="6"/>
  <c r="CT243" i="6"/>
  <c r="BS243" i="6"/>
  <c r="BW243" i="6"/>
  <c r="CA243" i="6"/>
  <c r="CE243" i="6"/>
  <c r="CI243" i="6"/>
  <c r="CM243" i="6"/>
  <c r="CQ243" i="6"/>
  <c r="BT243" i="6"/>
  <c r="BX243" i="6"/>
  <c r="CB243" i="6"/>
  <c r="CF243" i="6"/>
  <c r="CJ243" i="6"/>
  <c r="CN243" i="6"/>
  <c r="CR243" i="6"/>
  <c r="BQ243" i="6"/>
  <c r="BU243" i="6"/>
  <c r="BY243" i="6"/>
  <c r="CC243" i="6"/>
  <c r="CG243" i="6"/>
  <c r="CK243" i="6"/>
  <c r="CO243" i="6"/>
  <c r="CS243" i="6"/>
  <c r="BR239" i="6"/>
  <c r="BV239" i="6"/>
  <c r="BZ239" i="6"/>
  <c r="CD239" i="6"/>
  <c r="CH239" i="6"/>
  <c r="CL239" i="6"/>
  <c r="CP239" i="6"/>
  <c r="CT239" i="6"/>
  <c r="BS239" i="6"/>
  <c r="BW239" i="6"/>
  <c r="CA239" i="6"/>
  <c r="CE239" i="6"/>
  <c r="CI239" i="6"/>
  <c r="CM239" i="6"/>
  <c r="CQ239" i="6"/>
  <c r="BT239" i="6"/>
  <c r="BX239" i="6"/>
  <c r="CB239" i="6"/>
  <c r="CF239" i="6"/>
  <c r="CJ239" i="6"/>
  <c r="CN239" i="6"/>
  <c r="CR239" i="6"/>
  <c r="BQ239" i="6"/>
  <c r="BU239" i="6"/>
  <c r="BY239" i="6"/>
  <c r="CC239" i="6"/>
  <c r="CG239" i="6"/>
  <c r="CK239" i="6"/>
  <c r="CO239" i="6"/>
  <c r="CS239" i="6"/>
  <c r="BS235" i="6"/>
  <c r="BW235" i="6"/>
  <c r="CA235" i="6"/>
  <c r="BT235" i="6"/>
  <c r="BX235" i="6"/>
  <c r="CB235" i="6"/>
  <c r="BQ235" i="6"/>
  <c r="BU235" i="6"/>
  <c r="BY235" i="6"/>
  <c r="CC235" i="6"/>
  <c r="BR235" i="6"/>
  <c r="BV235" i="6"/>
  <c r="BZ235" i="6"/>
  <c r="CD235" i="6"/>
  <c r="CH235" i="6"/>
  <c r="CL235" i="6"/>
  <c r="CP235" i="6"/>
  <c r="CT235" i="6"/>
  <c r="CE235" i="6"/>
  <c r="CI235" i="6"/>
  <c r="CM235" i="6"/>
  <c r="CQ235" i="6"/>
  <c r="CF235" i="6"/>
  <c r="CJ235" i="6"/>
  <c r="CN235" i="6"/>
  <c r="CR235" i="6"/>
  <c r="CG235" i="6"/>
  <c r="CK235" i="6"/>
  <c r="CO235" i="6"/>
  <c r="CS235" i="6"/>
  <c r="BS231" i="6"/>
  <c r="BW231" i="6"/>
  <c r="CA231" i="6"/>
  <c r="CE231" i="6"/>
  <c r="CI231" i="6"/>
  <c r="CM231" i="6"/>
  <c r="CQ231" i="6"/>
  <c r="BT231" i="6"/>
  <c r="BX231" i="6"/>
  <c r="CB231" i="6"/>
  <c r="CF231" i="6"/>
  <c r="CJ231" i="6"/>
  <c r="CN231" i="6"/>
  <c r="CR231" i="6"/>
  <c r="BQ231" i="6"/>
  <c r="BU231" i="6"/>
  <c r="BY231" i="6"/>
  <c r="CC231" i="6"/>
  <c r="CG231" i="6"/>
  <c r="CK231" i="6"/>
  <c r="CO231" i="6"/>
  <c r="CS231" i="6"/>
  <c r="BR231" i="6"/>
  <c r="BV231" i="6"/>
  <c r="BZ231" i="6"/>
  <c r="CD231" i="6"/>
  <c r="CH231" i="6"/>
  <c r="CL231" i="6"/>
  <c r="CP231" i="6"/>
  <c r="CT231" i="6"/>
  <c r="BS227" i="6"/>
  <c r="BW227" i="6"/>
  <c r="CA227" i="6"/>
  <c r="CE227" i="6"/>
  <c r="CI227" i="6"/>
  <c r="CM227" i="6"/>
  <c r="CQ227" i="6"/>
  <c r="BT227" i="6"/>
  <c r="BX227" i="6"/>
  <c r="CB227" i="6"/>
  <c r="CF227" i="6"/>
  <c r="CJ227" i="6"/>
  <c r="CN227" i="6"/>
  <c r="CR227" i="6"/>
  <c r="BQ227" i="6"/>
  <c r="BU227" i="6"/>
  <c r="BY227" i="6"/>
  <c r="CC227" i="6"/>
  <c r="CG227" i="6"/>
  <c r="CK227" i="6"/>
  <c r="CO227" i="6"/>
  <c r="CS227" i="6"/>
  <c r="BR227" i="6"/>
  <c r="BV227" i="6"/>
  <c r="BZ227" i="6"/>
  <c r="CD227" i="6"/>
  <c r="CH227" i="6"/>
  <c r="CL227" i="6"/>
  <c r="CP227" i="6"/>
  <c r="CT227" i="6"/>
  <c r="BS223" i="6"/>
  <c r="BW223" i="6"/>
  <c r="CA223" i="6"/>
  <c r="CE223" i="6"/>
  <c r="CI223" i="6"/>
  <c r="CM223" i="6"/>
  <c r="CQ223" i="6"/>
  <c r="BT223" i="6"/>
  <c r="BX223" i="6"/>
  <c r="CB223" i="6"/>
  <c r="CF223" i="6"/>
  <c r="CJ223" i="6"/>
  <c r="CN223" i="6"/>
  <c r="CR223" i="6"/>
  <c r="BQ223" i="6"/>
  <c r="BU223" i="6"/>
  <c r="BY223" i="6"/>
  <c r="CC223" i="6"/>
  <c r="CG223" i="6"/>
  <c r="CK223" i="6"/>
  <c r="CO223" i="6"/>
  <c r="CS223" i="6"/>
  <c r="BR223" i="6"/>
  <c r="BV223" i="6"/>
  <c r="BZ223" i="6"/>
  <c r="CD223" i="6"/>
  <c r="CH223" i="6"/>
  <c r="CL223" i="6"/>
  <c r="CP223" i="6"/>
  <c r="CT223" i="6"/>
  <c r="BS219" i="6"/>
  <c r="BW219" i="6"/>
  <c r="CA219" i="6"/>
  <c r="CE219" i="6"/>
  <c r="CI219" i="6"/>
  <c r="CM219" i="6"/>
  <c r="CQ219" i="6"/>
  <c r="BT219" i="6"/>
  <c r="BX219" i="6"/>
  <c r="CB219" i="6"/>
  <c r="CF219" i="6"/>
  <c r="CJ219" i="6"/>
  <c r="CN219" i="6"/>
  <c r="CR219" i="6"/>
  <c r="BQ219" i="6"/>
  <c r="BU219" i="6"/>
  <c r="BY219" i="6"/>
  <c r="CC219" i="6"/>
  <c r="CG219" i="6"/>
  <c r="CK219" i="6"/>
  <c r="CO219" i="6"/>
  <c r="CS219" i="6"/>
  <c r="BR219" i="6"/>
  <c r="BV219" i="6"/>
  <c r="BZ219" i="6"/>
  <c r="CD219" i="6"/>
  <c r="CH219" i="6"/>
  <c r="CL219" i="6"/>
  <c r="CP219" i="6"/>
  <c r="CT219" i="6"/>
  <c r="BS215" i="6"/>
  <c r="BW215" i="6"/>
  <c r="CA215" i="6"/>
  <c r="CE215" i="6"/>
  <c r="CI215" i="6"/>
  <c r="CM215" i="6"/>
  <c r="CQ215" i="6"/>
  <c r="BT215" i="6"/>
  <c r="BX215" i="6"/>
  <c r="CB215" i="6"/>
  <c r="CF215" i="6"/>
  <c r="CJ215" i="6"/>
  <c r="CN215" i="6"/>
  <c r="CR215" i="6"/>
  <c r="BQ215" i="6"/>
  <c r="BU215" i="6"/>
  <c r="BY215" i="6"/>
  <c r="CC215" i="6"/>
  <c r="CG215" i="6"/>
  <c r="CK215" i="6"/>
  <c r="CO215" i="6"/>
  <c r="CS215" i="6"/>
  <c r="BR215" i="6"/>
  <c r="BV215" i="6"/>
  <c r="BZ215" i="6"/>
  <c r="CD215" i="6"/>
  <c r="CH215" i="6"/>
  <c r="CL215" i="6"/>
  <c r="CP215" i="6"/>
  <c r="CT215" i="6"/>
  <c r="BS211" i="6"/>
  <c r="BW211" i="6"/>
  <c r="CA211" i="6"/>
  <c r="CE211" i="6"/>
  <c r="CI211" i="6"/>
  <c r="CM211" i="6"/>
  <c r="CQ211" i="6"/>
  <c r="BT211" i="6"/>
  <c r="BX211" i="6"/>
  <c r="CB211" i="6"/>
  <c r="CF211" i="6"/>
  <c r="CJ211" i="6"/>
  <c r="CN211" i="6"/>
  <c r="CR211" i="6"/>
  <c r="BQ211" i="6"/>
  <c r="BU211" i="6"/>
  <c r="BY211" i="6"/>
  <c r="CC211" i="6"/>
  <c r="CG211" i="6"/>
  <c r="CK211" i="6"/>
  <c r="CO211" i="6"/>
  <c r="CS211" i="6"/>
  <c r="BR211" i="6"/>
  <c r="BV211" i="6"/>
  <c r="BZ211" i="6"/>
  <c r="CD211" i="6"/>
  <c r="CH211" i="6"/>
  <c r="CL211" i="6"/>
  <c r="CP211" i="6"/>
  <c r="CT211" i="6"/>
  <c r="BS207" i="6"/>
  <c r="BW207" i="6"/>
  <c r="CA207" i="6"/>
  <c r="CE207" i="6"/>
  <c r="CI207" i="6"/>
  <c r="CM207" i="6"/>
  <c r="CQ207" i="6"/>
  <c r="BT207" i="6"/>
  <c r="BX207" i="6"/>
  <c r="CB207" i="6"/>
  <c r="CF207" i="6"/>
  <c r="CJ207" i="6"/>
  <c r="CN207" i="6"/>
  <c r="CR207" i="6"/>
  <c r="BQ207" i="6"/>
  <c r="BU207" i="6"/>
  <c r="BY207" i="6"/>
  <c r="CC207" i="6"/>
  <c r="CG207" i="6"/>
  <c r="CK207" i="6"/>
  <c r="CO207" i="6"/>
  <c r="CS207" i="6"/>
  <c r="BR207" i="6"/>
  <c r="BV207" i="6"/>
  <c r="BZ207" i="6"/>
  <c r="CD207" i="6"/>
  <c r="CH207" i="6"/>
  <c r="CL207" i="6"/>
  <c r="CP207" i="6"/>
  <c r="CT207" i="6"/>
  <c r="BS203" i="6"/>
  <c r="BW203" i="6"/>
  <c r="CA203" i="6"/>
  <c r="CE203" i="6"/>
  <c r="CI203" i="6"/>
  <c r="CM203" i="6"/>
  <c r="CQ203" i="6"/>
  <c r="BT203" i="6"/>
  <c r="BX203" i="6"/>
  <c r="CB203" i="6"/>
  <c r="CF203" i="6"/>
  <c r="CJ203" i="6"/>
  <c r="CN203" i="6"/>
  <c r="CR203" i="6"/>
  <c r="BQ203" i="6"/>
  <c r="BU203" i="6"/>
  <c r="BY203" i="6"/>
  <c r="CC203" i="6"/>
  <c r="CG203" i="6"/>
  <c r="CK203" i="6"/>
  <c r="CO203" i="6"/>
  <c r="CS203" i="6"/>
  <c r="BR203" i="6"/>
  <c r="BV203" i="6"/>
  <c r="BZ203" i="6"/>
  <c r="CD203" i="6"/>
  <c r="CH203" i="6"/>
  <c r="CL203" i="6"/>
  <c r="CP203" i="6"/>
  <c r="CT203" i="6"/>
  <c r="BS199" i="6"/>
  <c r="BW199" i="6"/>
  <c r="CA199" i="6"/>
  <c r="CE199" i="6"/>
  <c r="CI199" i="6"/>
  <c r="CM199" i="6"/>
  <c r="CQ199" i="6"/>
  <c r="BT199" i="6"/>
  <c r="BX199" i="6"/>
  <c r="CB199" i="6"/>
  <c r="CF199" i="6"/>
  <c r="CJ199" i="6"/>
  <c r="CN199" i="6"/>
  <c r="CR199" i="6"/>
  <c r="BQ199" i="6"/>
  <c r="BU199" i="6"/>
  <c r="BY199" i="6"/>
  <c r="CC199" i="6"/>
  <c r="CG199" i="6"/>
  <c r="CK199" i="6"/>
  <c r="CO199" i="6"/>
  <c r="CS199" i="6"/>
  <c r="BR199" i="6"/>
  <c r="BV199" i="6"/>
  <c r="BZ199" i="6"/>
  <c r="CD199" i="6"/>
  <c r="CH199" i="6"/>
  <c r="CL199" i="6"/>
  <c r="CP199" i="6"/>
  <c r="CT199" i="6"/>
  <c r="BS195" i="6"/>
  <c r="BW195" i="6"/>
  <c r="CA195" i="6"/>
  <c r="CE195" i="6"/>
  <c r="CI195" i="6"/>
  <c r="CM195" i="6"/>
  <c r="CQ195" i="6"/>
  <c r="BT195" i="6"/>
  <c r="BX195" i="6"/>
  <c r="CB195" i="6"/>
  <c r="CF195" i="6"/>
  <c r="CJ195" i="6"/>
  <c r="CN195" i="6"/>
  <c r="CR195" i="6"/>
  <c r="BQ195" i="6"/>
  <c r="BU195" i="6"/>
  <c r="BY195" i="6"/>
  <c r="CC195" i="6"/>
  <c r="CG195" i="6"/>
  <c r="CK195" i="6"/>
  <c r="CO195" i="6"/>
  <c r="CS195" i="6"/>
  <c r="BR195" i="6"/>
  <c r="BV195" i="6"/>
  <c r="BZ195" i="6"/>
  <c r="CD195" i="6"/>
  <c r="CH195" i="6"/>
  <c r="CL195" i="6"/>
  <c r="CP195" i="6"/>
  <c r="CT195" i="6"/>
  <c r="BS191" i="6"/>
  <c r="BW191" i="6"/>
  <c r="CA191" i="6"/>
  <c r="CE191" i="6"/>
  <c r="CI191" i="6"/>
  <c r="CM191" i="6"/>
  <c r="CQ191" i="6"/>
  <c r="BT191" i="6"/>
  <c r="BX191" i="6"/>
  <c r="CB191" i="6"/>
  <c r="CF191" i="6"/>
  <c r="CJ191" i="6"/>
  <c r="CN191" i="6"/>
  <c r="CR191" i="6"/>
  <c r="BQ191" i="6"/>
  <c r="BU191" i="6"/>
  <c r="BY191" i="6"/>
  <c r="CC191" i="6"/>
  <c r="CG191" i="6"/>
  <c r="CK191" i="6"/>
  <c r="CO191" i="6"/>
  <c r="CS191" i="6"/>
  <c r="BR191" i="6"/>
  <c r="BV191" i="6"/>
  <c r="BZ191" i="6"/>
  <c r="CD191" i="6"/>
  <c r="CH191" i="6"/>
  <c r="CL191" i="6"/>
  <c r="CP191" i="6"/>
  <c r="CT191" i="6"/>
  <c r="BS187" i="6"/>
  <c r="BW187" i="6"/>
  <c r="CA187" i="6"/>
  <c r="CE187" i="6"/>
  <c r="CI187" i="6"/>
  <c r="CM187" i="6"/>
  <c r="CQ187" i="6"/>
  <c r="BT187" i="6"/>
  <c r="BX187" i="6"/>
  <c r="CB187" i="6"/>
  <c r="CF187" i="6"/>
  <c r="CJ187" i="6"/>
  <c r="CN187" i="6"/>
  <c r="CR187" i="6"/>
  <c r="BQ187" i="6"/>
  <c r="BU187" i="6"/>
  <c r="BY187" i="6"/>
  <c r="CC187" i="6"/>
  <c r="CG187" i="6"/>
  <c r="CK187" i="6"/>
  <c r="CO187" i="6"/>
  <c r="CS187" i="6"/>
  <c r="BR187" i="6"/>
  <c r="BV187" i="6"/>
  <c r="BZ187" i="6"/>
  <c r="CD187" i="6"/>
  <c r="CH187" i="6"/>
  <c r="CL187" i="6"/>
  <c r="CP187" i="6"/>
  <c r="CT187" i="6"/>
  <c r="BS183" i="6"/>
  <c r="BW183" i="6"/>
  <c r="CA183" i="6"/>
  <c r="CE183" i="6"/>
  <c r="CI183" i="6"/>
  <c r="CM183" i="6"/>
  <c r="CQ183" i="6"/>
  <c r="BT183" i="6"/>
  <c r="BX183" i="6"/>
  <c r="CB183" i="6"/>
  <c r="CF183" i="6"/>
  <c r="CJ183" i="6"/>
  <c r="CN183" i="6"/>
  <c r="CR183" i="6"/>
  <c r="BQ183" i="6"/>
  <c r="BU183" i="6"/>
  <c r="BY183" i="6"/>
  <c r="CC183" i="6"/>
  <c r="CG183" i="6"/>
  <c r="CK183" i="6"/>
  <c r="CO183" i="6"/>
  <c r="CS183" i="6"/>
  <c r="BR183" i="6"/>
  <c r="BV183" i="6"/>
  <c r="BZ183" i="6"/>
  <c r="CD183" i="6"/>
  <c r="CH183" i="6"/>
  <c r="CL183" i="6"/>
  <c r="CP183" i="6"/>
  <c r="CT183" i="6"/>
  <c r="BS179" i="6"/>
  <c r="BW179" i="6"/>
  <c r="CA179" i="6"/>
  <c r="CE179" i="6"/>
  <c r="CI179" i="6"/>
  <c r="CM179" i="6"/>
  <c r="CQ179" i="6"/>
  <c r="BT179" i="6"/>
  <c r="BX179" i="6"/>
  <c r="CB179" i="6"/>
  <c r="CF179" i="6"/>
  <c r="CJ179" i="6"/>
  <c r="CN179" i="6"/>
  <c r="CR179" i="6"/>
  <c r="BQ179" i="6"/>
  <c r="BU179" i="6"/>
  <c r="BY179" i="6"/>
  <c r="CC179" i="6"/>
  <c r="CG179" i="6"/>
  <c r="CK179" i="6"/>
  <c r="CO179" i="6"/>
  <c r="CS179" i="6"/>
  <c r="BR179" i="6"/>
  <c r="BV179" i="6"/>
  <c r="BZ179" i="6"/>
  <c r="CD179" i="6"/>
  <c r="CH179" i="6"/>
  <c r="CL179" i="6"/>
  <c r="CP179" i="6"/>
  <c r="CT179" i="6"/>
  <c r="BS175" i="6"/>
  <c r="BW175" i="6"/>
  <c r="CA175" i="6"/>
  <c r="CE175" i="6"/>
  <c r="CI175" i="6"/>
  <c r="CM175" i="6"/>
  <c r="CQ175" i="6"/>
  <c r="BT175" i="6"/>
  <c r="BX175" i="6"/>
  <c r="CB175" i="6"/>
  <c r="CF175" i="6"/>
  <c r="CJ175" i="6"/>
  <c r="CN175" i="6"/>
  <c r="CR175" i="6"/>
  <c r="BQ175" i="6"/>
  <c r="BU175" i="6"/>
  <c r="BY175" i="6"/>
  <c r="CC175" i="6"/>
  <c r="CG175" i="6"/>
  <c r="CK175" i="6"/>
  <c r="CO175" i="6"/>
  <c r="CS175" i="6"/>
  <c r="BR175" i="6"/>
  <c r="BV175" i="6"/>
  <c r="BZ175" i="6"/>
  <c r="CD175" i="6"/>
  <c r="CH175" i="6"/>
  <c r="CL175" i="6"/>
  <c r="CP175" i="6"/>
  <c r="CT175" i="6"/>
  <c r="BS171" i="6"/>
  <c r="BW171" i="6"/>
  <c r="CA171" i="6"/>
  <c r="CE171" i="6"/>
  <c r="CI171" i="6"/>
  <c r="CM171" i="6"/>
  <c r="CQ171" i="6"/>
  <c r="BT171" i="6"/>
  <c r="BX171" i="6"/>
  <c r="CB171" i="6"/>
  <c r="CF171" i="6"/>
  <c r="CJ171" i="6"/>
  <c r="CN171" i="6"/>
  <c r="CR171" i="6"/>
  <c r="BQ171" i="6"/>
  <c r="BU171" i="6"/>
  <c r="BY171" i="6"/>
  <c r="CC171" i="6"/>
  <c r="CG171" i="6"/>
  <c r="CK171" i="6"/>
  <c r="CO171" i="6"/>
  <c r="CS171" i="6"/>
  <c r="BR171" i="6"/>
  <c r="BV171" i="6"/>
  <c r="BZ171" i="6"/>
  <c r="CD171" i="6"/>
  <c r="CH171" i="6"/>
  <c r="CL171" i="6"/>
  <c r="CP171" i="6"/>
  <c r="CT171" i="6"/>
  <c r="BS167" i="6"/>
  <c r="BW167" i="6"/>
  <c r="CA167" i="6"/>
  <c r="CE167" i="6"/>
  <c r="CI167" i="6"/>
  <c r="CM167" i="6"/>
  <c r="CQ167" i="6"/>
  <c r="BT167" i="6"/>
  <c r="BX167" i="6"/>
  <c r="CB167" i="6"/>
  <c r="CF167" i="6"/>
  <c r="CJ167" i="6"/>
  <c r="CN167" i="6"/>
  <c r="CR167" i="6"/>
  <c r="BQ167" i="6"/>
  <c r="BU167" i="6"/>
  <c r="BY167" i="6"/>
  <c r="CC167" i="6"/>
  <c r="CG167" i="6"/>
  <c r="CK167" i="6"/>
  <c r="CO167" i="6"/>
  <c r="CS167" i="6"/>
  <c r="BR167" i="6"/>
  <c r="BV167" i="6"/>
  <c r="BZ167" i="6"/>
  <c r="CD167" i="6"/>
  <c r="CH167" i="6"/>
  <c r="CL167" i="6"/>
  <c r="CP167" i="6"/>
  <c r="CT167" i="6"/>
  <c r="BS163" i="6"/>
  <c r="BW163" i="6"/>
  <c r="CA163" i="6"/>
  <c r="CE163" i="6"/>
  <c r="CI163" i="6"/>
  <c r="CM163" i="6"/>
  <c r="CQ163" i="6"/>
  <c r="BT163" i="6"/>
  <c r="BX163" i="6"/>
  <c r="CB163" i="6"/>
  <c r="CF163" i="6"/>
  <c r="CJ163" i="6"/>
  <c r="CN163" i="6"/>
  <c r="CR163" i="6"/>
  <c r="BQ163" i="6"/>
  <c r="BU163" i="6"/>
  <c r="BY163" i="6"/>
  <c r="CC163" i="6"/>
  <c r="CG163" i="6"/>
  <c r="CK163" i="6"/>
  <c r="CO163" i="6"/>
  <c r="CS163" i="6"/>
  <c r="BR163" i="6"/>
  <c r="BV163" i="6"/>
  <c r="BZ163" i="6"/>
  <c r="CD163" i="6"/>
  <c r="CH163" i="6"/>
  <c r="CL163" i="6"/>
  <c r="CP163" i="6"/>
  <c r="CT163" i="6"/>
  <c r="BS159" i="6"/>
  <c r="BW159" i="6"/>
  <c r="CA159" i="6"/>
  <c r="CE159" i="6"/>
  <c r="CI159" i="6"/>
  <c r="CM159" i="6"/>
  <c r="CQ159" i="6"/>
  <c r="BT159" i="6"/>
  <c r="BX159" i="6"/>
  <c r="CB159" i="6"/>
  <c r="CF159" i="6"/>
  <c r="CJ159" i="6"/>
  <c r="CN159" i="6"/>
  <c r="CR159" i="6"/>
  <c r="BQ159" i="6"/>
  <c r="BU159" i="6"/>
  <c r="BY159" i="6"/>
  <c r="CC159" i="6"/>
  <c r="CG159" i="6"/>
  <c r="CK159" i="6"/>
  <c r="CO159" i="6"/>
  <c r="CS159" i="6"/>
  <c r="BR159" i="6"/>
  <c r="BV159" i="6"/>
  <c r="BZ159" i="6"/>
  <c r="CD159" i="6"/>
  <c r="CH159" i="6"/>
  <c r="CL159" i="6"/>
  <c r="CP159" i="6"/>
  <c r="CT159" i="6"/>
  <c r="BS155" i="6"/>
  <c r="BW155" i="6"/>
  <c r="CA155" i="6"/>
  <c r="CE155" i="6"/>
  <c r="CI155" i="6"/>
  <c r="CM155" i="6"/>
  <c r="CQ155" i="6"/>
  <c r="BT155" i="6"/>
  <c r="BX155" i="6"/>
  <c r="CB155" i="6"/>
  <c r="CF155" i="6"/>
  <c r="CJ155" i="6"/>
  <c r="CN155" i="6"/>
  <c r="CR155" i="6"/>
  <c r="BQ155" i="6"/>
  <c r="BU155" i="6"/>
  <c r="BY155" i="6"/>
  <c r="CC155" i="6"/>
  <c r="CG155" i="6"/>
  <c r="CK155" i="6"/>
  <c r="CO155" i="6"/>
  <c r="CS155" i="6"/>
  <c r="BR155" i="6"/>
  <c r="BV155" i="6"/>
  <c r="BZ155" i="6"/>
  <c r="CD155" i="6"/>
  <c r="CH155" i="6"/>
  <c r="CL155" i="6"/>
  <c r="CP155" i="6"/>
  <c r="CT155" i="6"/>
  <c r="BS151" i="6"/>
  <c r="BW151" i="6"/>
  <c r="CA151" i="6"/>
  <c r="CE151" i="6"/>
  <c r="CI151" i="6"/>
  <c r="CM151" i="6"/>
  <c r="CQ151" i="6"/>
  <c r="BT151" i="6"/>
  <c r="BX151" i="6"/>
  <c r="CB151" i="6"/>
  <c r="CF151" i="6"/>
  <c r="CJ151" i="6"/>
  <c r="CN151" i="6"/>
  <c r="CR151" i="6"/>
  <c r="BQ151" i="6"/>
  <c r="BU151" i="6"/>
  <c r="BY151" i="6"/>
  <c r="CC151" i="6"/>
  <c r="CG151" i="6"/>
  <c r="CK151" i="6"/>
  <c r="CO151" i="6"/>
  <c r="CS151" i="6"/>
  <c r="BR151" i="6"/>
  <c r="BV151" i="6"/>
  <c r="BZ151" i="6"/>
  <c r="CD151" i="6"/>
  <c r="CH151" i="6"/>
  <c r="CL151" i="6"/>
  <c r="CP151" i="6"/>
  <c r="CT151" i="6"/>
  <c r="BS147" i="6"/>
  <c r="BW147" i="6"/>
  <c r="CA147" i="6"/>
  <c r="CE147" i="6"/>
  <c r="CI147" i="6"/>
  <c r="CM147" i="6"/>
  <c r="CQ147" i="6"/>
  <c r="BT147" i="6"/>
  <c r="BX147" i="6"/>
  <c r="CB147" i="6"/>
  <c r="CF147" i="6"/>
  <c r="CJ147" i="6"/>
  <c r="CN147" i="6"/>
  <c r="CR147" i="6"/>
  <c r="BQ147" i="6"/>
  <c r="BU147" i="6"/>
  <c r="BY147" i="6"/>
  <c r="CC147" i="6"/>
  <c r="CG147" i="6"/>
  <c r="CK147" i="6"/>
  <c r="CO147" i="6"/>
  <c r="CS147" i="6"/>
  <c r="BR147" i="6"/>
  <c r="BV147" i="6"/>
  <c r="BZ147" i="6"/>
  <c r="CD147" i="6"/>
  <c r="CH147" i="6"/>
  <c r="CL147" i="6"/>
  <c r="CP147" i="6"/>
  <c r="CT147" i="6"/>
  <c r="BT143" i="6"/>
  <c r="BX143" i="6"/>
  <c r="CB143" i="6"/>
  <c r="CF143" i="6"/>
  <c r="CJ143" i="6"/>
  <c r="CN143" i="6"/>
  <c r="CR143" i="6"/>
  <c r="BQ143" i="6"/>
  <c r="BU143" i="6"/>
  <c r="BY143" i="6"/>
  <c r="CC143" i="6"/>
  <c r="CG143" i="6"/>
  <c r="CK143" i="6"/>
  <c r="CO143" i="6"/>
  <c r="CS143" i="6"/>
  <c r="BR143" i="6"/>
  <c r="BV143" i="6"/>
  <c r="BZ143" i="6"/>
  <c r="CD143" i="6"/>
  <c r="CH143" i="6"/>
  <c r="CL143" i="6"/>
  <c r="CP143" i="6"/>
  <c r="CT143" i="6"/>
  <c r="BS143" i="6"/>
  <c r="BW143" i="6"/>
  <c r="CA143" i="6"/>
  <c r="CE143" i="6"/>
  <c r="CI143" i="6"/>
  <c r="CM143" i="6"/>
  <c r="CQ143" i="6"/>
  <c r="BT139" i="6"/>
  <c r="BX139" i="6"/>
  <c r="CB139" i="6"/>
  <c r="CF139" i="6"/>
  <c r="CJ139" i="6"/>
  <c r="CN139" i="6"/>
  <c r="CR139" i="6"/>
  <c r="BQ139" i="6"/>
  <c r="BU139" i="6"/>
  <c r="BY139" i="6"/>
  <c r="CC139" i="6"/>
  <c r="CG139" i="6"/>
  <c r="CK139" i="6"/>
  <c r="CO139" i="6"/>
  <c r="CS139" i="6"/>
  <c r="BR139" i="6"/>
  <c r="BV139" i="6"/>
  <c r="BZ139" i="6"/>
  <c r="CD139" i="6"/>
  <c r="CH139" i="6"/>
  <c r="CL139" i="6"/>
  <c r="CP139" i="6"/>
  <c r="CT139" i="6"/>
  <c r="BS139" i="6"/>
  <c r="BW139" i="6"/>
  <c r="CA139" i="6"/>
  <c r="CE139" i="6"/>
  <c r="CI139" i="6"/>
  <c r="CM139" i="6"/>
  <c r="CQ139" i="6"/>
  <c r="BT135" i="6"/>
  <c r="BX135" i="6"/>
  <c r="CB135" i="6"/>
  <c r="CF135" i="6"/>
  <c r="CJ135" i="6"/>
  <c r="CN135" i="6"/>
  <c r="CR135" i="6"/>
  <c r="BQ135" i="6"/>
  <c r="BU135" i="6"/>
  <c r="BY135" i="6"/>
  <c r="CC135" i="6"/>
  <c r="CG135" i="6"/>
  <c r="CK135" i="6"/>
  <c r="CO135" i="6"/>
  <c r="CS135" i="6"/>
  <c r="BR135" i="6"/>
  <c r="BV135" i="6"/>
  <c r="BZ135" i="6"/>
  <c r="CD135" i="6"/>
  <c r="CH135" i="6"/>
  <c r="CL135" i="6"/>
  <c r="CP135" i="6"/>
  <c r="CT135" i="6"/>
  <c r="BS135" i="6"/>
  <c r="BW135" i="6"/>
  <c r="CA135" i="6"/>
  <c r="CE135" i="6"/>
  <c r="CI135" i="6"/>
  <c r="CM135" i="6"/>
  <c r="CQ135" i="6"/>
  <c r="BT131" i="6"/>
  <c r="BX131" i="6"/>
  <c r="CB131" i="6"/>
  <c r="CF131" i="6"/>
  <c r="CJ131" i="6"/>
  <c r="CN131" i="6"/>
  <c r="CR131" i="6"/>
  <c r="BQ131" i="6"/>
  <c r="BU131" i="6"/>
  <c r="BY131" i="6"/>
  <c r="CC131" i="6"/>
  <c r="CG131" i="6"/>
  <c r="CK131" i="6"/>
  <c r="CO131" i="6"/>
  <c r="CS131" i="6"/>
  <c r="BR131" i="6"/>
  <c r="BV131" i="6"/>
  <c r="BZ131" i="6"/>
  <c r="CD131" i="6"/>
  <c r="CH131" i="6"/>
  <c r="CL131" i="6"/>
  <c r="CP131" i="6"/>
  <c r="CT131" i="6"/>
  <c r="BS131" i="6"/>
  <c r="BW131" i="6"/>
  <c r="CA131" i="6"/>
  <c r="CE131" i="6"/>
  <c r="CI131" i="6"/>
  <c r="CM131" i="6"/>
  <c r="CQ131" i="6"/>
  <c r="BT127" i="6"/>
  <c r="BX127" i="6"/>
  <c r="CB127" i="6"/>
  <c r="CF127" i="6"/>
  <c r="CJ127" i="6"/>
  <c r="CN127" i="6"/>
  <c r="CR127" i="6"/>
  <c r="BQ127" i="6"/>
  <c r="BU127" i="6"/>
  <c r="BY127" i="6"/>
  <c r="CC127" i="6"/>
  <c r="CG127" i="6"/>
  <c r="CK127" i="6"/>
  <c r="CO127" i="6"/>
  <c r="CS127" i="6"/>
  <c r="BR127" i="6"/>
  <c r="BV127" i="6"/>
  <c r="BZ127" i="6"/>
  <c r="CD127" i="6"/>
  <c r="CH127" i="6"/>
  <c r="CL127" i="6"/>
  <c r="CP127" i="6"/>
  <c r="CT127" i="6"/>
  <c r="BS127" i="6"/>
  <c r="BW127" i="6"/>
  <c r="CA127" i="6"/>
  <c r="CE127" i="6"/>
  <c r="CI127" i="6"/>
  <c r="CM127" i="6"/>
  <c r="CQ127" i="6"/>
  <c r="BT123" i="6"/>
  <c r="BX123" i="6"/>
  <c r="CB123" i="6"/>
  <c r="CF123" i="6"/>
  <c r="CJ123" i="6"/>
  <c r="CN123" i="6"/>
  <c r="CR123" i="6"/>
  <c r="BQ123" i="6"/>
  <c r="BU123" i="6"/>
  <c r="BY123" i="6"/>
  <c r="CC123" i="6"/>
  <c r="CG123" i="6"/>
  <c r="CK123" i="6"/>
  <c r="CO123" i="6"/>
  <c r="CS123" i="6"/>
  <c r="BR123" i="6"/>
  <c r="BV123" i="6"/>
  <c r="BZ123" i="6"/>
  <c r="CD123" i="6"/>
  <c r="CH123" i="6"/>
  <c r="CL123" i="6"/>
  <c r="CP123" i="6"/>
  <c r="CT123" i="6"/>
  <c r="BS123" i="6"/>
  <c r="BW123" i="6"/>
  <c r="CA123" i="6"/>
  <c r="CE123" i="6"/>
  <c r="CI123" i="6"/>
  <c r="CM123" i="6"/>
  <c r="CQ123" i="6"/>
  <c r="BT119" i="6"/>
  <c r="BX119" i="6"/>
  <c r="CB119" i="6"/>
  <c r="CF119" i="6"/>
  <c r="CJ119" i="6"/>
  <c r="CN119" i="6"/>
  <c r="CR119" i="6"/>
  <c r="BQ119" i="6"/>
  <c r="BU119" i="6"/>
  <c r="BY119" i="6"/>
  <c r="CC119" i="6"/>
  <c r="CG119" i="6"/>
  <c r="CK119" i="6"/>
  <c r="CO119" i="6"/>
  <c r="CS119" i="6"/>
  <c r="BR119" i="6"/>
  <c r="BV119" i="6"/>
  <c r="BZ119" i="6"/>
  <c r="CD119" i="6"/>
  <c r="CH119" i="6"/>
  <c r="CL119" i="6"/>
  <c r="CP119" i="6"/>
  <c r="CT119" i="6"/>
  <c r="BS119" i="6"/>
  <c r="BW119" i="6"/>
  <c r="CA119" i="6"/>
  <c r="CE119" i="6"/>
  <c r="CI119" i="6"/>
  <c r="CM119" i="6"/>
  <c r="CQ119" i="6"/>
  <c r="BT115" i="6"/>
  <c r="BX115" i="6"/>
  <c r="CB115" i="6"/>
  <c r="CF115" i="6"/>
  <c r="CJ115" i="6"/>
  <c r="CN115" i="6"/>
  <c r="CR115" i="6"/>
  <c r="BU115" i="6"/>
  <c r="BY115" i="6"/>
  <c r="CC115" i="6"/>
  <c r="CG115" i="6"/>
  <c r="CK115" i="6"/>
  <c r="CO115" i="6"/>
  <c r="CS115" i="6"/>
  <c r="BR115" i="6"/>
  <c r="BV115" i="6"/>
  <c r="BZ115" i="6"/>
  <c r="CD115" i="6"/>
  <c r="CH115" i="6"/>
  <c r="CL115" i="6"/>
  <c r="CP115" i="6"/>
  <c r="CT115" i="6"/>
  <c r="BS115" i="6"/>
  <c r="BW115" i="6"/>
  <c r="CA115" i="6"/>
  <c r="CE115" i="6"/>
  <c r="CI115" i="6"/>
  <c r="CM115" i="6"/>
  <c r="CQ115" i="6"/>
  <c r="BS111" i="6"/>
  <c r="BW111" i="6"/>
  <c r="CA111" i="6"/>
  <c r="CE111" i="6"/>
  <c r="CI111" i="6"/>
  <c r="CM111" i="6"/>
  <c r="CQ111" i="6"/>
  <c r="BT111" i="6"/>
  <c r="BX111" i="6"/>
  <c r="CB111" i="6"/>
  <c r="CF111" i="6"/>
  <c r="CJ111" i="6"/>
  <c r="CN111" i="6"/>
  <c r="CR111" i="6"/>
  <c r="BQ111" i="6"/>
  <c r="BU111" i="6"/>
  <c r="BY111" i="6"/>
  <c r="CC111" i="6"/>
  <c r="CG111" i="6"/>
  <c r="CK111" i="6"/>
  <c r="CO111" i="6"/>
  <c r="CS111" i="6"/>
  <c r="BR111" i="6"/>
  <c r="BV111" i="6"/>
  <c r="BZ111" i="6"/>
  <c r="CD111" i="6"/>
  <c r="CH111" i="6"/>
  <c r="CL111" i="6"/>
  <c r="CP111" i="6"/>
  <c r="CT111" i="6"/>
  <c r="BS107" i="6"/>
  <c r="BW107" i="6"/>
  <c r="CA107" i="6"/>
  <c r="CE107" i="6"/>
  <c r="CI107" i="6"/>
  <c r="CM107" i="6"/>
  <c r="CQ107" i="6"/>
  <c r="BT107" i="6"/>
  <c r="BX107" i="6"/>
  <c r="CB107" i="6"/>
  <c r="CF107" i="6"/>
  <c r="CJ107" i="6"/>
  <c r="CN107" i="6"/>
  <c r="CR107" i="6"/>
  <c r="BQ107" i="6"/>
  <c r="BU107" i="6"/>
  <c r="BY107" i="6"/>
  <c r="CC107" i="6"/>
  <c r="CG107" i="6"/>
  <c r="CK107" i="6"/>
  <c r="CO107" i="6"/>
  <c r="CS107" i="6"/>
  <c r="BR107" i="6"/>
  <c r="BV107" i="6"/>
  <c r="BZ107" i="6"/>
  <c r="CD107" i="6"/>
  <c r="CH107" i="6"/>
  <c r="CL107" i="6"/>
  <c r="CP107" i="6"/>
  <c r="CT107" i="6"/>
  <c r="BS103" i="6"/>
  <c r="BW103" i="6"/>
  <c r="CA103" i="6"/>
  <c r="CE103" i="6"/>
  <c r="CI103" i="6"/>
  <c r="CM103" i="6"/>
  <c r="CQ103" i="6"/>
  <c r="BT103" i="6"/>
  <c r="BX103" i="6"/>
  <c r="CB103" i="6"/>
  <c r="CF103" i="6"/>
  <c r="CJ103" i="6"/>
  <c r="CN103" i="6"/>
  <c r="CR103" i="6"/>
  <c r="BQ103" i="6"/>
  <c r="BU103" i="6"/>
  <c r="BY103" i="6"/>
  <c r="CC103" i="6"/>
  <c r="CG103" i="6"/>
  <c r="CK103" i="6"/>
  <c r="CO103" i="6"/>
  <c r="CS103" i="6"/>
  <c r="BR103" i="6"/>
  <c r="BV103" i="6"/>
  <c r="BZ103" i="6"/>
  <c r="CD103" i="6"/>
  <c r="CH103" i="6"/>
  <c r="CL103" i="6"/>
  <c r="CP103" i="6"/>
  <c r="CT103" i="6"/>
  <c r="BQ99" i="6"/>
  <c r="BS99" i="6"/>
  <c r="BW99" i="6"/>
  <c r="CA99" i="6"/>
  <c r="CE99" i="6"/>
  <c r="CI99" i="6"/>
  <c r="CM99" i="6"/>
  <c r="CQ99" i="6"/>
  <c r="BT99" i="6"/>
  <c r="BX99" i="6"/>
  <c r="CB99" i="6"/>
  <c r="CF99" i="6"/>
  <c r="CJ99" i="6"/>
  <c r="CN99" i="6"/>
  <c r="CR99" i="6"/>
  <c r="BU99" i="6"/>
  <c r="BY99" i="6"/>
  <c r="CC99" i="6"/>
  <c r="CG99" i="6"/>
  <c r="CK99" i="6"/>
  <c r="CO99" i="6"/>
  <c r="CS99" i="6"/>
  <c r="BR99" i="6"/>
  <c r="BV99" i="6"/>
  <c r="BZ99" i="6"/>
  <c r="CD99" i="6"/>
  <c r="CH99" i="6"/>
  <c r="CL99" i="6"/>
  <c r="CP99" i="6"/>
  <c r="CT99" i="6"/>
  <c r="BS95" i="6"/>
  <c r="BW95" i="6"/>
  <c r="CA95" i="6"/>
  <c r="CE95" i="6"/>
  <c r="CI95" i="6"/>
  <c r="CM95" i="6"/>
  <c r="CQ95" i="6"/>
  <c r="BT95" i="6"/>
  <c r="BX95" i="6"/>
  <c r="CB95" i="6"/>
  <c r="CF95" i="6"/>
  <c r="CJ95" i="6"/>
  <c r="CN95" i="6"/>
  <c r="CR95" i="6"/>
  <c r="BQ95" i="6"/>
  <c r="BU95" i="6"/>
  <c r="BY95" i="6"/>
  <c r="CC95" i="6"/>
  <c r="CG95" i="6"/>
  <c r="CK95" i="6"/>
  <c r="CO95" i="6"/>
  <c r="CS95" i="6"/>
  <c r="BR95" i="6"/>
  <c r="BV95" i="6"/>
  <c r="BZ95" i="6"/>
  <c r="CD95" i="6"/>
  <c r="CH95" i="6"/>
  <c r="CL95" i="6"/>
  <c r="CP95" i="6"/>
  <c r="CT95" i="6"/>
  <c r="BS91" i="6"/>
  <c r="BW91" i="6"/>
  <c r="CA91" i="6"/>
  <c r="CE91" i="6"/>
  <c r="CI91" i="6"/>
  <c r="CM91" i="6"/>
  <c r="CQ91" i="6"/>
  <c r="BT91" i="6"/>
  <c r="BX91" i="6"/>
  <c r="CB91" i="6"/>
  <c r="CF91" i="6"/>
  <c r="CJ91" i="6"/>
  <c r="CN91" i="6"/>
  <c r="CR91" i="6"/>
  <c r="BQ91" i="6"/>
  <c r="BU91" i="6"/>
  <c r="BY91" i="6"/>
  <c r="CC91" i="6"/>
  <c r="CG91" i="6"/>
  <c r="CK91" i="6"/>
  <c r="CO91" i="6"/>
  <c r="CS91" i="6"/>
  <c r="BR91" i="6"/>
  <c r="BV91" i="6"/>
  <c r="BZ91" i="6"/>
  <c r="CD91" i="6"/>
  <c r="CH91" i="6"/>
  <c r="CL91" i="6"/>
  <c r="CP91" i="6"/>
  <c r="CT91" i="6"/>
  <c r="BS87" i="6"/>
  <c r="BW87" i="6"/>
  <c r="CA87" i="6"/>
  <c r="CE87" i="6"/>
  <c r="CI87" i="6"/>
  <c r="CM87" i="6"/>
  <c r="CQ87" i="6"/>
  <c r="BT87" i="6"/>
  <c r="BX87" i="6"/>
  <c r="CB87" i="6"/>
  <c r="CF87" i="6"/>
  <c r="CJ87" i="6"/>
  <c r="CN87" i="6"/>
  <c r="CR87" i="6"/>
  <c r="BQ87" i="6"/>
  <c r="BU87" i="6"/>
  <c r="BY87" i="6"/>
  <c r="CC87" i="6"/>
  <c r="CG87" i="6"/>
  <c r="CK87" i="6"/>
  <c r="CO87" i="6"/>
  <c r="CS87" i="6"/>
  <c r="BR87" i="6"/>
  <c r="BV87" i="6"/>
  <c r="BZ87" i="6"/>
  <c r="CD87" i="6"/>
  <c r="CH87" i="6"/>
  <c r="CL87" i="6"/>
  <c r="CP87" i="6"/>
  <c r="CT87" i="6"/>
  <c r="BS83" i="6"/>
  <c r="BW83" i="6"/>
  <c r="CA83" i="6"/>
  <c r="CE83" i="6"/>
  <c r="CI83" i="6"/>
  <c r="CM83" i="6"/>
  <c r="CQ83" i="6"/>
  <c r="BT83" i="6"/>
  <c r="BX83" i="6"/>
  <c r="CB83" i="6"/>
  <c r="CF83" i="6"/>
  <c r="CJ83" i="6"/>
  <c r="CN83" i="6"/>
  <c r="CR83" i="6"/>
  <c r="BQ83" i="6"/>
  <c r="BU83" i="6"/>
  <c r="BY83" i="6"/>
  <c r="CC83" i="6"/>
  <c r="CG83" i="6"/>
  <c r="CK83" i="6"/>
  <c r="CO83" i="6"/>
  <c r="CS83" i="6"/>
  <c r="BR83" i="6"/>
  <c r="BV83" i="6"/>
  <c r="BZ83" i="6"/>
  <c r="CD83" i="6"/>
  <c r="CH83" i="6"/>
  <c r="CL83" i="6"/>
  <c r="CP83" i="6"/>
  <c r="CT83" i="6"/>
  <c r="BS79" i="6"/>
  <c r="BW79" i="6"/>
  <c r="CA79" i="6"/>
  <c r="CE79" i="6"/>
  <c r="CI79" i="6"/>
  <c r="CM79" i="6"/>
  <c r="CQ79" i="6"/>
  <c r="BT79" i="6"/>
  <c r="BX79" i="6"/>
  <c r="CB79" i="6"/>
  <c r="CF79" i="6"/>
  <c r="CJ79" i="6"/>
  <c r="CN79" i="6"/>
  <c r="CR79" i="6"/>
  <c r="BQ79" i="6"/>
  <c r="BU79" i="6"/>
  <c r="BY79" i="6"/>
  <c r="CC79" i="6"/>
  <c r="CG79" i="6"/>
  <c r="CK79" i="6"/>
  <c r="CO79" i="6"/>
  <c r="CS79" i="6"/>
  <c r="BR79" i="6"/>
  <c r="BV79" i="6"/>
  <c r="BZ79" i="6"/>
  <c r="CD79" i="6"/>
  <c r="CH79" i="6"/>
  <c r="CL79" i="6"/>
  <c r="CP79" i="6"/>
  <c r="CT79" i="6"/>
  <c r="BS75" i="6"/>
  <c r="BW75" i="6"/>
  <c r="CA75" i="6"/>
  <c r="CE75" i="6"/>
  <c r="CI75" i="6"/>
  <c r="CM75" i="6"/>
  <c r="CQ75" i="6"/>
  <c r="BT75" i="6"/>
  <c r="BX75" i="6"/>
  <c r="CB75" i="6"/>
  <c r="CF75" i="6"/>
  <c r="CJ75" i="6"/>
  <c r="CN75" i="6"/>
  <c r="CR75" i="6"/>
  <c r="BQ75" i="6"/>
  <c r="BU75" i="6"/>
  <c r="BY75" i="6"/>
  <c r="CC75" i="6"/>
  <c r="CG75" i="6"/>
  <c r="CK75" i="6"/>
  <c r="CO75" i="6"/>
  <c r="CS75" i="6"/>
  <c r="BR75" i="6"/>
  <c r="BV75" i="6"/>
  <c r="BZ75" i="6"/>
  <c r="CD75" i="6"/>
  <c r="CH75" i="6"/>
  <c r="CL75" i="6"/>
  <c r="CP75" i="6"/>
  <c r="CT75" i="6"/>
  <c r="BS71" i="6"/>
  <c r="BW71" i="6"/>
  <c r="CA71" i="6"/>
  <c r="CE71" i="6"/>
  <c r="CI71" i="6"/>
  <c r="CM71" i="6"/>
  <c r="CQ71" i="6"/>
  <c r="BT71" i="6"/>
  <c r="BX71" i="6"/>
  <c r="CB71" i="6"/>
  <c r="CF71" i="6"/>
  <c r="CJ71" i="6"/>
  <c r="CN71" i="6"/>
  <c r="CR71" i="6"/>
  <c r="BQ71" i="6"/>
  <c r="BU71" i="6"/>
  <c r="BY71" i="6"/>
  <c r="CC71" i="6"/>
  <c r="CG71" i="6"/>
  <c r="CK71" i="6"/>
  <c r="CO71" i="6"/>
  <c r="CS71" i="6"/>
  <c r="BR71" i="6"/>
  <c r="BV71" i="6"/>
  <c r="BZ71" i="6"/>
  <c r="CD71" i="6"/>
  <c r="CH71" i="6"/>
  <c r="CL71" i="6"/>
  <c r="CP71" i="6"/>
  <c r="CT71" i="6"/>
  <c r="BS67" i="6"/>
  <c r="BW67" i="6"/>
  <c r="CA67" i="6"/>
  <c r="CE67" i="6"/>
  <c r="CI67" i="6"/>
  <c r="CM67" i="6"/>
  <c r="CQ67" i="6"/>
  <c r="BT67" i="6"/>
  <c r="BX67" i="6"/>
  <c r="CB67" i="6"/>
  <c r="CF67" i="6"/>
  <c r="CJ67" i="6"/>
  <c r="CN67" i="6"/>
  <c r="CR67" i="6"/>
  <c r="BQ67" i="6"/>
  <c r="BU67" i="6"/>
  <c r="BY67" i="6"/>
  <c r="CC67" i="6"/>
  <c r="CG67" i="6"/>
  <c r="CK67" i="6"/>
  <c r="CO67" i="6"/>
  <c r="CS67" i="6"/>
  <c r="BR67" i="6"/>
  <c r="BV67" i="6"/>
  <c r="BZ67" i="6"/>
  <c r="CD67" i="6"/>
  <c r="CH67" i="6"/>
  <c r="CL67" i="6"/>
  <c r="CP67" i="6"/>
  <c r="CT67" i="6"/>
  <c r="BS63" i="6"/>
  <c r="BW63" i="6"/>
  <c r="CA63" i="6"/>
  <c r="CE63" i="6"/>
  <c r="CI63" i="6"/>
  <c r="CM63" i="6"/>
  <c r="CQ63" i="6"/>
  <c r="BT63" i="6"/>
  <c r="BX63" i="6"/>
  <c r="CB63" i="6"/>
  <c r="CF63" i="6"/>
  <c r="CJ63" i="6"/>
  <c r="CN63" i="6"/>
  <c r="CR63" i="6"/>
  <c r="BQ63" i="6"/>
  <c r="BU63" i="6"/>
  <c r="BY63" i="6"/>
  <c r="CC63" i="6"/>
  <c r="CG63" i="6"/>
  <c r="CK63" i="6"/>
  <c r="CO63" i="6"/>
  <c r="CS63" i="6"/>
  <c r="BR63" i="6"/>
  <c r="BV63" i="6"/>
  <c r="BZ63" i="6"/>
  <c r="CD63" i="6"/>
  <c r="CH63" i="6"/>
  <c r="CL63" i="6"/>
  <c r="CP63" i="6"/>
  <c r="CT63" i="6"/>
  <c r="BS59" i="6"/>
  <c r="BW59" i="6"/>
  <c r="CA59" i="6"/>
  <c r="CE59" i="6"/>
  <c r="CI59" i="6"/>
  <c r="CM59" i="6"/>
  <c r="CQ59" i="6"/>
  <c r="BT59" i="6"/>
  <c r="BX59" i="6"/>
  <c r="CB59" i="6"/>
  <c r="CF59" i="6"/>
  <c r="CJ59" i="6"/>
  <c r="CN59" i="6"/>
  <c r="CR59" i="6"/>
  <c r="BQ59" i="6"/>
  <c r="BU59" i="6"/>
  <c r="BY59" i="6"/>
  <c r="CC59" i="6"/>
  <c r="CG59" i="6"/>
  <c r="CK59" i="6"/>
  <c r="CO59" i="6"/>
  <c r="CS59" i="6"/>
  <c r="BR59" i="6"/>
  <c r="BV59" i="6"/>
  <c r="BZ59" i="6"/>
  <c r="CD59" i="6"/>
  <c r="CH59" i="6"/>
  <c r="CL59" i="6"/>
  <c r="CP59" i="6"/>
  <c r="CT59" i="6"/>
  <c r="BS55" i="6"/>
  <c r="BW55" i="6"/>
  <c r="CA55" i="6"/>
  <c r="CE55" i="6"/>
  <c r="CI55" i="6"/>
  <c r="CM55" i="6"/>
  <c r="CQ55" i="6"/>
  <c r="BT55" i="6"/>
  <c r="BX55" i="6"/>
  <c r="CB55" i="6"/>
  <c r="CF55" i="6"/>
  <c r="CJ55" i="6"/>
  <c r="CN55" i="6"/>
  <c r="CR55" i="6"/>
  <c r="BQ55" i="6"/>
  <c r="BU55" i="6"/>
  <c r="BY55" i="6"/>
  <c r="CC55" i="6"/>
  <c r="CG55" i="6"/>
  <c r="CK55" i="6"/>
  <c r="CO55" i="6"/>
  <c r="CS55" i="6"/>
  <c r="BR55" i="6"/>
  <c r="BV55" i="6"/>
  <c r="BZ55" i="6"/>
  <c r="CD55" i="6"/>
  <c r="CH55" i="6"/>
  <c r="CL55" i="6"/>
  <c r="CP55" i="6"/>
  <c r="CT55" i="6"/>
  <c r="BR51" i="6"/>
  <c r="BV51" i="6"/>
  <c r="BZ51" i="6"/>
  <c r="CD51" i="6"/>
  <c r="CH51" i="6"/>
  <c r="CL51" i="6"/>
  <c r="CP51" i="6"/>
  <c r="CT51" i="6"/>
  <c r="BS51" i="6"/>
  <c r="BW51" i="6"/>
  <c r="CA51" i="6"/>
  <c r="CE51" i="6"/>
  <c r="CI51" i="6"/>
  <c r="CM51" i="6"/>
  <c r="CQ51" i="6"/>
  <c r="BT51" i="6"/>
  <c r="BX51" i="6"/>
  <c r="CB51" i="6"/>
  <c r="CF51" i="6"/>
  <c r="CJ51" i="6"/>
  <c r="CN51" i="6"/>
  <c r="CR51" i="6"/>
  <c r="BQ51" i="6"/>
  <c r="BU51" i="6"/>
  <c r="BY51" i="6"/>
  <c r="CC51" i="6"/>
  <c r="CG51" i="6"/>
  <c r="CK51" i="6"/>
  <c r="CO51" i="6"/>
  <c r="CS51" i="6"/>
  <c r="BR47" i="6"/>
  <c r="BV47" i="6"/>
  <c r="BZ47" i="6"/>
  <c r="CD47" i="6"/>
  <c r="CH47" i="6"/>
  <c r="CL47" i="6"/>
  <c r="CP47" i="6"/>
  <c r="CT47" i="6"/>
  <c r="BS47" i="6"/>
  <c r="BW47" i="6"/>
  <c r="CA47" i="6"/>
  <c r="CE47" i="6"/>
  <c r="CI47" i="6"/>
  <c r="CM47" i="6"/>
  <c r="CQ47" i="6"/>
  <c r="BT47" i="6"/>
  <c r="BX47" i="6"/>
  <c r="CB47" i="6"/>
  <c r="CF47" i="6"/>
  <c r="CJ47" i="6"/>
  <c r="CN47" i="6"/>
  <c r="CR47" i="6"/>
  <c r="BQ47" i="6"/>
  <c r="BU47" i="6"/>
  <c r="BY47" i="6"/>
  <c r="CC47" i="6"/>
  <c r="CG47" i="6"/>
  <c r="CK47" i="6"/>
  <c r="CO47" i="6"/>
  <c r="CS47" i="6"/>
  <c r="BR39" i="6"/>
  <c r="BV39" i="6"/>
  <c r="BZ39" i="6"/>
  <c r="CD39" i="6"/>
  <c r="CH39" i="6"/>
  <c r="CL39" i="6"/>
  <c r="CP39" i="6"/>
  <c r="CT39" i="6"/>
  <c r="BS39" i="6"/>
  <c r="BW39" i="6"/>
  <c r="CA39" i="6"/>
  <c r="CE39" i="6"/>
  <c r="CI39" i="6"/>
  <c r="CM39" i="6"/>
  <c r="CQ39" i="6"/>
  <c r="BT39" i="6"/>
  <c r="BX39" i="6"/>
  <c r="CB39" i="6"/>
  <c r="CF39" i="6"/>
  <c r="CJ39" i="6"/>
  <c r="CN39" i="6"/>
  <c r="CR39" i="6"/>
  <c r="BQ39" i="6"/>
  <c r="BU39" i="6"/>
  <c r="BY39" i="6"/>
  <c r="CC39" i="6"/>
  <c r="CG39" i="6"/>
  <c r="CK39" i="6"/>
  <c r="CO39" i="6"/>
  <c r="CS39" i="6"/>
  <c r="BR35" i="6"/>
  <c r="BV35" i="6"/>
  <c r="BZ35" i="6"/>
  <c r="CD35" i="6"/>
  <c r="CH35" i="6"/>
  <c r="CL35" i="6"/>
  <c r="CP35" i="6"/>
  <c r="CT35" i="6"/>
  <c r="BS35" i="6"/>
  <c r="BW35" i="6"/>
  <c r="CA35" i="6"/>
  <c r="CE35" i="6"/>
  <c r="CI35" i="6"/>
  <c r="CM35" i="6"/>
  <c r="CQ35" i="6"/>
  <c r="BT35" i="6"/>
  <c r="BX35" i="6"/>
  <c r="CB35" i="6"/>
  <c r="CF35" i="6"/>
  <c r="CJ35" i="6"/>
  <c r="CN35" i="6"/>
  <c r="CR35" i="6"/>
  <c r="BQ35" i="6"/>
  <c r="BU35" i="6"/>
  <c r="BY35" i="6"/>
  <c r="CC35" i="6"/>
  <c r="CG35" i="6"/>
  <c r="CK35" i="6"/>
  <c r="CO35" i="6"/>
  <c r="CS35" i="6"/>
  <c r="BR31" i="6"/>
  <c r="BV31" i="6"/>
  <c r="BZ31" i="6"/>
  <c r="CD31" i="6"/>
  <c r="CH31" i="6"/>
  <c r="CL31" i="6"/>
  <c r="CP31" i="6"/>
  <c r="CT31" i="6"/>
  <c r="BS31" i="6"/>
  <c r="BW31" i="6"/>
  <c r="CA31" i="6"/>
  <c r="CE31" i="6"/>
  <c r="CI31" i="6"/>
  <c r="CM31" i="6"/>
  <c r="CQ31" i="6"/>
  <c r="BT31" i="6"/>
  <c r="BX31" i="6"/>
  <c r="CB31" i="6"/>
  <c r="CF31" i="6"/>
  <c r="CJ31" i="6"/>
  <c r="CN31" i="6"/>
  <c r="CR31" i="6"/>
  <c r="BQ31" i="6"/>
  <c r="BU31" i="6"/>
  <c r="BY31" i="6"/>
  <c r="CC31" i="6"/>
  <c r="CG31" i="6"/>
  <c r="CK31" i="6"/>
  <c r="CO31" i="6"/>
  <c r="CS31" i="6"/>
  <c r="BR27" i="6"/>
  <c r="BV27" i="6"/>
  <c r="BZ27" i="6"/>
  <c r="CD27" i="6"/>
  <c r="CH27" i="6"/>
  <c r="CL27" i="6"/>
  <c r="CP27" i="6"/>
  <c r="CT27" i="6"/>
  <c r="BS27" i="6"/>
  <c r="BW27" i="6"/>
  <c r="CA27" i="6"/>
  <c r="CE27" i="6"/>
  <c r="CI27" i="6"/>
  <c r="CM27" i="6"/>
  <c r="CQ27" i="6"/>
  <c r="BT27" i="6"/>
  <c r="BX27" i="6"/>
  <c r="CB27" i="6"/>
  <c r="CF27" i="6"/>
  <c r="CJ27" i="6"/>
  <c r="CN27" i="6"/>
  <c r="CR27" i="6"/>
  <c r="BQ27" i="6"/>
  <c r="BU27" i="6"/>
  <c r="BY27" i="6"/>
  <c r="CC27" i="6"/>
  <c r="CG27" i="6"/>
  <c r="CK27" i="6"/>
  <c r="CO27" i="6"/>
  <c r="CS27" i="6"/>
  <c r="BR23" i="6"/>
  <c r="BV23" i="6"/>
  <c r="BZ23" i="6"/>
  <c r="CD23" i="6"/>
  <c r="CH23" i="6"/>
  <c r="CL23" i="6"/>
  <c r="CP23" i="6"/>
  <c r="CT23" i="6"/>
  <c r="BS23" i="6"/>
  <c r="BW23" i="6"/>
  <c r="CA23" i="6"/>
  <c r="CE23" i="6"/>
  <c r="CI23" i="6"/>
  <c r="CM23" i="6"/>
  <c r="CQ23" i="6"/>
  <c r="BT23" i="6"/>
  <c r="BX23" i="6"/>
  <c r="CB23" i="6"/>
  <c r="CF23" i="6"/>
  <c r="CJ23" i="6"/>
  <c r="CN23" i="6"/>
  <c r="CR23" i="6"/>
  <c r="BQ23" i="6"/>
  <c r="BU23" i="6"/>
  <c r="BY23" i="6"/>
  <c r="CC23" i="6"/>
  <c r="CG23" i="6"/>
  <c r="CK23" i="6"/>
  <c r="CO23" i="6"/>
  <c r="CS23" i="6"/>
  <c r="BR19" i="6"/>
  <c r="BV19" i="6"/>
  <c r="BZ19" i="6"/>
  <c r="CD19" i="6"/>
  <c r="CH19" i="6"/>
  <c r="CL19" i="6"/>
  <c r="CP19" i="6"/>
  <c r="CT19" i="6"/>
  <c r="BS19" i="6"/>
  <c r="BW19" i="6"/>
  <c r="CA19" i="6"/>
  <c r="CE19" i="6"/>
  <c r="CI19" i="6"/>
  <c r="CM19" i="6"/>
  <c r="CQ19" i="6"/>
  <c r="BT19" i="6"/>
  <c r="BX19" i="6"/>
  <c r="CB19" i="6"/>
  <c r="CF19" i="6"/>
  <c r="CJ19" i="6"/>
  <c r="CN19" i="6"/>
  <c r="CR19" i="6"/>
  <c r="BQ19" i="6"/>
  <c r="BU19" i="6"/>
  <c r="BY19" i="6"/>
  <c r="CC19" i="6"/>
  <c r="CG19" i="6"/>
  <c r="CK19" i="6"/>
  <c r="CO19" i="6"/>
  <c r="CS19" i="6"/>
  <c r="BR15" i="6"/>
  <c r="BV15" i="6"/>
  <c r="BZ15" i="6"/>
  <c r="CD15" i="6"/>
  <c r="CH15" i="6"/>
  <c r="CL15" i="6"/>
  <c r="CP15" i="6"/>
  <c r="CT15" i="6"/>
  <c r="BS15" i="6"/>
  <c r="BW15" i="6"/>
  <c r="CA15" i="6"/>
  <c r="CE15" i="6"/>
  <c r="CI15" i="6"/>
  <c r="CM15" i="6"/>
  <c r="CQ15" i="6"/>
  <c r="BT15" i="6"/>
  <c r="BX15" i="6"/>
  <c r="CB15" i="6"/>
  <c r="CF15" i="6"/>
  <c r="CJ15" i="6"/>
  <c r="CN15" i="6"/>
  <c r="CR15" i="6"/>
  <c r="BQ15" i="6"/>
  <c r="BU15" i="6"/>
  <c r="BY15" i="6"/>
  <c r="CC15" i="6"/>
  <c r="CG15" i="6"/>
  <c r="CK15" i="6"/>
  <c r="CO15" i="6"/>
  <c r="CS15" i="6"/>
  <c r="BR11" i="6"/>
  <c r="BV11" i="6"/>
  <c r="BZ11" i="6"/>
  <c r="CD11" i="6"/>
  <c r="CH11" i="6"/>
  <c r="CL11" i="6"/>
  <c r="CP11" i="6"/>
  <c r="CT11" i="6"/>
  <c r="BS11" i="6"/>
  <c r="BW11" i="6"/>
  <c r="CA11" i="6"/>
  <c r="CE11" i="6"/>
  <c r="CI11" i="6"/>
  <c r="CM11" i="6"/>
  <c r="CQ11" i="6"/>
  <c r="BT11" i="6"/>
  <c r="BX11" i="6"/>
  <c r="CB11" i="6"/>
  <c r="CF11" i="6"/>
  <c r="CJ11" i="6"/>
  <c r="CN11" i="6"/>
  <c r="CR11" i="6"/>
  <c r="BQ11" i="6"/>
  <c r="BU11" i="6"/>
  <c r="BY11" i="6"/>
  <c r="CC11" i="6"/>
  <c r="CG11" i="6"/>
  <c r="CK11" i="6"/>
  <c r="CO11" i="6"/>
  <c r="CS11" i="6"/>
  <c r="BR7" i="6"/>
  <c r="BV7" i="6"/>
  <c r="BZ7" i="6"/>
  <c r="CD7" i="6"/>
  <c r="CH7" i="6"/>
  <c r="CL7" i="6"/>
  <c r="CP7" i="6"/>
  <c r="CT7" i="6"/>
  <c r="BS7" i="6"/>
  <c r="BW7" i="6"/>
  <c r="CA7" i="6"/>
  <c r="CE7" i="6"/>
  <c r="CI7" i="6"/>
  <c r="CM7" i="6"/>
  <c r="CQ7" i="6"/>
  <c r="BT7" i="6"/>
  <c r="BX7" i="6"/>
  <c r="CB7" i="6"/>
  <c r="CF7" i="6"/>
  <c r="CJ7" i="6"/>
  <c r="CN7" i="6"/>
  <c r="CR7" i="6"/>
  <c r="BQ7" i="6"/>
  <c r="BU7" i="6"/>
  <c r="BY7" i="6"/>
  <c r="CC7" i="6"/>
  <c r="CG7" i="6"/>
  <c r="CK7" i="6"/>
  <c r="CO7" i="6"/>
  <c r="CS7" i="6"/>
  <c r="BT256" i="6"/>
  <c r="BX256" i="6"/>
  <c r="CB256" i="6"/>
  <c r="CF256" i="6"/>
  <c r="CJ256" i="6"/>
  <c r="CN256" i="6"/>
  <c r="CR256" i="6"/>
  <c r="BQ256" i="6"/>
  <c r="BU256" i="6"/>
  <c r="BY256" i="6"/>
  <c r="CC256" i="6"/>
  <c r="CG256" i="6"/>
  <c r="CK256" i="6"/>
  <c r="CO256" i="6"/>
  <c r="CS256" i="6"/>
  <c r="BR256" i="6"/>
  <c r="BV256" i="6"/>
  <c r="BZ256" i="6"/>
  <c r="CD256" i="6"/>
  <c r="CH256" i="6"/>
  <c r="CL256" i="6"/>
  <c r="CP256" i="6"/>
  <c r="CT256" i="6"/>
  <c r="BS256" i="6"/>
  <c r="BW256" i="6"/>
  <c r="CA256" i="6"/>
  <c r="CE256" i="6"/>
  <c r="CI256" i="6"/>
  <c r="CM256" i="6"/>
  <c r="CQ256" i="6"/>
  <c r="BT240" i="6"/>
  <c r="BX240" i="6"/>
  <c r="CB240" i="6"/>
  <c r="CF240" i="6"/>
  <c r="CJ240" i="6"/>
  <c r="CN240" i="6"/>
  <c r="CR240" i="6"/>
  <c r="BQ240" i="6"/>
  <c r="BU240" i="6"/>
  <c r="BY240" i="6"/>
  <c r="CC240" i="6"/>
  <c r="CG240" i="6"/>
  <c r="CK240" i="6"/>
  <c r="CO240" i="6"/>
  <c r="CS240" i="6"/>
  <c r="BR240" i="6"/>
  <c r="BV240" i="6"/>
  <c r="BZ240" i="6"/>
  <c r="CD240" i="6"/>
  <c r="CH240" i="6"/>
  <c r="CL240" i="6"/>
  <c r="CP240" i="6"/>
  <c r="CT240" i="6"/>
  <c r="BS240" i="6"/>
  <c r="BW240" i="6"/>
  <c r="CA240" i="6"/>
  <c r="CE240" i="6"/>
  <c r="CI240" i="6"/>
  <c r="CM240" i="6"/>
  <c r="CQ240" i="6"/>
  <c r="BT258" i="6"/>
  <c r="BX258" i="6"/>
  <c r="CB258" i="6"/>
  <c r="CF258" i="6"/>
  <c r="CJ258" i="6"/>
  <c r="CN258" i="6"/>
  <c r="CR258" i="6"/>
  <c r="BQ258" i="6"/>
  <c r="BU258" i="6"/>
  <c r="BY258" i="6"/>
  <c r="CC258" i="6"/>
  <c r="CG258" i="6"/>
  <c r="CK258" i="6"/>
  <c r="CO258" i="6"/>
  <c r="CS258" i="6"/>
  <c r="BR258" i="6"/>
  <c r="BV258" i="6"/>
  <c r="BZ258" i="6"/>
  <c r="CD258" i="6"/>
  <c r="CH258" i="6"/>
  <c r="CL258" i="6"/>
  <c r="CP258" i="6"/>
  <c r="CT258" i="6"/>
  <c r="BS258" i="6"/>
  <c r="BW258" i="6"/>
  <c r="CA258" i="6"/>
  <c r="CE258" i="6"/>
  <c r="CI258" i="6"/>
  <c r="CM258" i="6"/>
  <c r="CQ258" i="6"/>
  <c r="BT246" i="6"/>
  <c r="BX246" i="6"/>
  <c r="CB246" i="6"/>
  <c r="CF246" i="6"/>
  <c r="CJ246" i="6"/>
  <c r="CN246" i="6"/>
  <c r="CR246" i="6"/>
  <c r="BQ246" i="6"/>
  <c r="BU246" i="6"/>
  <c r="BY246" i="6"/>
  <c r="CC246" i="6"/>
  <c r="CG246" i="6"/>
  <c r="CK246" i="6"/>
  <c r="CO246" i="6"/>
  <c r="CS246" i="6"/>
  <c r="BR246" i="6"/>
  <c r="BV246" i="6"/>
  <c r="BZ246" i="6"/>
  <c r="CD246" i="6"/>
  <c r="CH246" i="6"/>
  <c r="CL246" i="6"/>
  <c r="CP246" i="6"/>
  <c r="CT246" i="6"/>
  <c r="BS246" i="6"/>
  <c r="BW246" i="6"/>
  <c r="CA246" i="6"/>
  <c r="CE246" i="6"/>
  <c r="CI246" i="6"/>
  <c r="CM246" i="6"/>
  <c r="CQ246" i="6"/>
  <c r="BT238" i="6"/>
  <c r="BX238" i="6"/>
  <c r="CB238" i="6"/>
  <c r="CF238" i="6"/>
  <c r="CJ238" i="6"/>
  <c r="CN238" i="6"/>
  <c r="CR238" i="6"/>
  <c r="BQ238" i="6"/>
  <c r="BU238" i="6"/>
  <c r="BY238" i="6"/>
  <c r="CC238" i="6"/>
  <c r="CG238" i="6"/>
  <c r="CK238" i="6"/>
  <c r="CO238" i="6"/>
  <c r="CS238" i="6"/>
  <c r="BR238" i="6"/>
  <c r="BV238" i="6"/>
  <c r="BZ238" i="6"/>
  <c r="CD238" i="6"/>
  <c r="CH238" i="6"/>
  <c r="CL238" i="6"/>
  <c r="CP238" i="6"/>
  <c r="CT238" i="6"/>
  <c r="BS238" i="6"/>
  <c r="BW238" i="6"/>
  <c r="CA238" i="6"/>
  <c r="CE238" i="6"/>
  <c r="CI238" i="6"/>
  <c r="CM238" i="6"/>
  <c r="CQ238" i="6"/>
  <c r="BQ230" i="6"/>
  <c r="BU230" i="6"/>
  <c r="BY230" i="6"/>
  <c r="CC230" i="6"/>
  <c r="CG230" i="6"/>
  <c r="CK230" i="6"/>
  <c r="CO230" i="6"/>
  <c r="CS230" i="6"/>
  <c r="BR230" i="6"/>
  <c r="BV230" i="6"/>
  <c r="BZ230" i="6"/>
  <c r="CD230" i="6"/>
  <c r="CH230" i="6"/>
  <c r="CL230" i="6"/>
  <c r="CP230" i="6"/>
  <c r="CT230" i="6"/>
  <c r="BS230" i="6"/>
  <c r="BW230" i="6"/>
  <c r="CA230" i="6"/>
  <c r="CE230" i="6"/>
  <c r="CI230" i="6"/>
  <c r="CM230" i="6"/>
  <c r="CQ230" i="6"/>
  <c r="BT230" i="6"/>
  <c r="BX230" i="6"/>
  <c r="CB230" i="6"/>
  <c r="CF230" i="6"/>
  <c r="CJ230" i="6"/>
  <c r="CN230" i="6"/>
  <c r="CR230" i="6"/>
  <c r="BQ222" i="6"/>
  <c r="BU222" i="6"/>
  <c r="BY222" i="6"/>
  <c r="CC222" i="6"/>
  <c r="CG222" i="6"/>
  <c r="CK222" i="6"/>
  <c r="CO222" i="6"/>
  <c r="CS222" i="6"/>
  <c r="BR222" i="6"/>
  <c r="BV222" i="6"/>
  <c r="BZ222" i="6"/>
  <c r="CD222" i="6"/>
  <c r="CH222" i="6"/>
  <c r="CL222" i="6"/>
  <c r="CP222" i="6"/>
  <c r="CT222" i="6"/>
  <c r="BS222" i="6"/>
  <c r="BW222" i="6"/>
  <c r="CA222" i="6"/>
  <c r="CE222" i="6"/>
  <c r="CI222" i="6"/>
  <c r="CM222" i="6"/>
  <c r="CQ222" i="6"/>
  <c r="BT222" i="6"/>
  <c r="BX222" i="6"/>
  <c r="CB222" i="6"/>
  <c r="CF222" i="6"/>
  <c r="CJ222" i="6"/>
  <c r="CN222" i="6"/>
  <c r="CR222" i="6"/>
  <c r="BQ214" i="6"/>
  <c r="BU214" i="6"/>
  <c r="BY214" i="6"/>
  <c r="CC214" i="6"/>
  <c r="CG214" i="6"/>
  <c r="CK214" i="6"/>
  <c r="CO214" i="6"/>
  <c r="CS214" i="6"/>
  <c r="BR214" i="6"/>
  <c r="BV214" i="6"/>
  <c r="BZ214" i="6"/>
  <c r="CD214" i="6"/>
  <c r="CH214" i="6"/>
  <c r="CL214" i="6"/>
  <c r="CP214" i="6"/>
  <c r="CT214" i="6"/>
  <c r="BS214" i="6"/>
  <c r="BW214" i="6"/>
  <c r="CA214" i="6"/>
  <c r="CE214" i="6"/>
  <c r="CI214" i="6"/>
  <c r="CM214" i="6"/>
  <c r="CQ214" i="6"/>
  <c r="BT214" i="6"/>
  <c r="BX214" i="6"/>
  <c r="CB214" i="6"/>
  <c r="CF214" i="6"/>
  <c r="CJ214" i="6"/>
  <c r="CN214" i="6"/>
  <c r="CR214" i="6"/>
  <c r="BQ210" i="6"/>
  <c r="BU210" i="6"/>
  <c r="BY210" i="6"/>
  <c r="CC210" i="6"/>
  <c r="CG210" i="6"/>
  <c r="CK210" i="6"/>
  <c r="CO210" i="6"/>
  <c r="CS210" i="6"/>
  <c r="BR210" i="6"/>
  <c r="BV210" i="6"/>
  <c r="BZ210" i="6"/>
  <c r="CD210" i="6"/>
  <c r="CH210" i="6"/>
  <c r="CL210" i="6"/>
  <c r="CP210" i="6"/>
  <c r="CT210" i="6"/>
  <c r="BS210" i="6"/>
  <c r="BW210" i="6"/>
  <c r="CA210" i="6"/>
  <c r="CE210" i="6"/>
  <c r="CI210" i="6"/>
  <c r="CM210" i="6"/>
  <c r="CQ210" i="6"/>
  <c r="BT210" i="6"/>
  <c r="BX210" i="6"/>
  <c r="CB210" i="6"/>
  <c r="CF210" i="6"/>
  <c r="CJ210" i="6"/>
  <c r="CN210" i="6"/>
  <c r="CR210" i="6"/>
  <c r="BQ206" i="6"/>
  <c r="BU206" i="6"/>
  <c r="BY206" i="6"/>
  <c r="CC206" i="6"/>
  <c r="CG206" i="6"/>
  <c r="CK206" i="6"/>
  <c r="CO206" i="6"/>
  <c r="CS206" i="6"/>
  <c r="BR206" i="6"/>
  <c r="BV206" i="6"/>
  <c r="BZ206" i="6"/>
  <c r="CD206" i="6"/>
  <c r="CH206" i="6"/>
  <c r="CL206" i="6"/>
  <c r="CP206" i="6"/>
  <c r="CT206" i="6"/>
  <c r="BS206" i="6"/>
  <c r="BW206" i="6"/>
  <c r="CA206" i="6"/>
  <c r="CE206" i="6"/>
  <c r="CI206" i="6"/>
  <c r="CM206" i="6"/>
  <c r="CQ206" i="6"/>
  <c r="BT206" i="6"/>
  <c r="BX206" i="6"/>
  <c r="CB206" i="6"/>
  <c r="CF206" i="6"/>
  <c r="CJ206" i="6"/>
  <c r="CN206" i="6"/>
  <c r="CR206" i="6"/>
  <c r="BQ202" i="6"/>
  <c r="BU202" i="6"/>
  <c r="BY202" i="6"/>
  <c r="CC202" i="6"/>
  <c r="CG202" i="6"/>
  <c r="CK202" i="6"/>
  <c r="CO202" i="6"/>
  <c r="CS202" i="6"/>
  <c r="BR202" i="6"/>
  <c r="BV202" i="6"/>
  <c r="BZ202" i="6"/>
  <c r="CD202" i="6"/>
  <c r="CH202" i="6"/>
  <c r="CL202" i="6"/>
  <c r="CP202" i="6"/>
  <c r="CT202" i="6"/>
  <c r="BS202" i="6"/>
  <c r="BW202" i="6"/>
  <c r="CA202" i="6"/>
  <c r="CE202" i="6"/>
  <c r="CI202" i="6"/>
  <c r="CM202" i="6"/>
  <c r="CQ202" i="6"/>
  <c r="BT202" i="6"/>
  <c r="BX202" i="6"/>
  <c r="CB202" i="6"/>
  <c r="CF202" i="6"/>
  <c r="CJ202" i="6"/>
  <c r="CN202" i="6"/>
  <c r="CR202" i="6"/>
  <c r="BQ198" i="6"/>
  <c r="BU198" i="6"/>
  <c r="BY198" i="6"/>
  <c r="CC198" i="6"/>
  <c r="CG198" i="6"/>
  <c r="CK198" i="6"/>
  <c r="CO198" i="6"/>
  <c r="CS198" i="6"/>
  <c r="BR198" i="6"/>
  <c r="BV198" i="6"/>
  <c r="BZ198" i="6"/>
  <c r="CD198" i="6"/>
  <c r="CH198" i="6"/>
  <c r="CL198" i="6"/>
  <c r="CP198" i="6"/>
  <c r="CT198" i="6"/>
  <c r="BS198" i="6"/>
  <c r="BW198" i="6"/>
  <c r="CA198" i="6"/>
  <c r="CE198" i="6"/>
  <c r="CI198" i="6"/>
  <c r="CM198" i="6"/>
  <c r="CQ198" i="6"/>
  <c r="BT198" i="6"/>
  <c r="BX198" i="6"/>
  <c r="CB198" i="6"/>
  <c r="CF198" i="6"/>
  <c r="CJ198" i="6"/>
  <c r="CN198" i="6"/>
  <c r="CR198" i="6"/>
  <c r="BQ194" i="6"/>
  <c r="BU194" i="6"/>
  <c r="BY194" i="6"/>
  <c r="CC194" i="6"/>
  <c r="CG194" i="6"/>
  <c r="CK194" i="6"/>
  <c r="CO194" i="6"/>
  <c r="CS194" i="6"/>
  <c r="BR194" i="6"/>
  <c r="BV194" i="6"/>
  <c r="BZ194" i="6"/>
  <c r="CD194" i="6"/>
  <c r="CH194" i="6"/>
  <c r="CL194" i="6"/>
  <c r="CP194" i="6"/>
  <c r="CT194" i="6"/>
  <c r="BS194" i="6"/>
  <c r="BW194" i="6"/>
  <c r="CA194" i="6"/>
  <c r="CE194" i="6"/>
  <c r="CI194" i="6"/>
  <c r="CM194" i="6"/>
  <c r="CQ194" i="6"/>
  <c r="BT194" i="6"/>
  <c r="BX194" i="6"/>
  <c r="CB194" i="6"/>
  <c r="CF194" i="6"/>
  <c r="CJ194" i="6"/>
  <c r="CN194" i="6"/>
  <c r="CR194" i="6"/>
  <c r="BQ190" i="6"/>
  <c r="BU190" i="6"/>
  <c r="BY190" i="6"/>
  <c r="CC190" i="6"/>
  <c r="CG190" i="6"/>
  <c r="CK190" i="6"/>
  <c r="CO190" i="6"/>
  <c r="CS190" i="6"/>
  <c r="BR190" i="6"/>
  <c r="BV190" i="6"/>
  <c r="BZ190" i="6"/>
  <c r="CD190" i="6"/>
  <c r="CH190" i="6"/>
  <c r="CL190" i="6"/>
  <c r="CP190" i="6"/>
  <c r="CT190" i="6"/>
  <c r="BS190" i="6"/>
  <c r="BW190" i="6"/>
  <c r="CA190" i="6"/>
  <c r="CE190" i="6"/>
  <c r="CI190" i="6"/>
  <c r="CM190" i="6"/>
  <c r="CQ190" i="6"/>
  <c r="BT190" i="6"/>
  <c r="BX190" i="6"/>
  <c r="CB190" i="6"/>
  <c r="CF190" i="6"/>
  <c r="CJ190" i="6"/>
  <c r="CN190" i="6"/>
  <c r="CR190" i="6"/>
  <c r="BQ186" i="6"/>
  <c r="BU186" i="6"/>
  <c r="BY186" i="6"/>
  <c r="CC186" i="6"/>
  <c r="CG186" i="6"/>
  <c r="CK186" i="6"/>
  <c r="CO186" i="6"/>
  <c r="CS186" i="6"/>
  <c r="BR186" i="6"/>
  <c r="BV186" i="6"/>
  <c r="BZ186" i="6"/>
  <c r="CD186" i="6"/>
  <c r="CH186" i="6"/>
  <c r="CL186" i="6"/>
  <c r="CP186" i="6"/>
  <c r="CT186" i="6"/>
  <c r="BS186" i="6"/>
  <c r="BW186" i="6"/>
  <c r="CA186" i="6"/>
  <c r="CE186" i="6"/>
  <c r="CI186" i="6"/>
  <c r="CM186" i="6"/>
  <c r="CQ186" i="6"/>
  <c r="BT186" i="6"/>
  <c r="BX186" i="6"/>
  <c r="CB186" i="6"/>
  <c r="CF186" i="6"/>
  <c r="CJ186" i="6"/>
  <c r="CN186" i="6"/>
  <c r="CR186" i="6"/>
  <c r="BQ182" i="6"/>
  <c r="BU182" i="6"/>
  <c r="BY182" i="6"/>
  <c r="CC182" i="6"/>
  <c r="CG182" i="6"/>
  <c r="CK182" i="6"/>
  <c r="CO182" i="6"/>
  <c r="CS182" i="6"/>
  <c r="BR182" i="6"/>
  <c r="BV182" i="6"/>
  <c r="BZ182" i="6"/>
  <c r="CD182" i="6"/>
  <c r="CH182" i="6"/>
  <c r="CL182" i="6"/>
  <c r="CP182" i="6"/>
  <c r="CT182" i="6"/>
  <c r="BS182" i="6"/>
  <c r="BW182" i="6"/>
  <c r="CA182" i="6"/>
  <c r="CE182" i="6"/>
  <c r="CI182" i="6"/>
  <c r="CM182" i="6"/>
  <c r="CQ182" i="6"/>
  <c r="BT182" i="6"/>
  <c r="BX182" i="6"/>
  <c r="CB182" i="6"/>
  <c r="CF182" i="6"/>
  <c r="CJ182" i="6"/>
  <c r="CN182" i="6"/>
  <c r="CR182" i="6"/>
  <c r="BQ178" i="6"/>
  <c r="BU178" i="6"/>
  <c r="BY178" i="6"/>
  <c r="CC178" i="6"/>
  <c r="CG178" i="6"/>
  <c r="CK178" i="6"/>
  <c r="CO178" i="6"/>
  <c r="CS178" i="6"/>
  <c r="BR178" i="6"/>
  <c r="BV178" i="6"/>
  <c r="BZ178" i="6"/>
  <c r="CD178" i="6"/>
  <c r="CH178" i="6"/>
  <c r="CL178" i="6"/>
  <c r="CP178" i="6"/>
  <c r="CT178" i="6"/>
  <c r="BS178" i="6"/>
  <c r="BW178" i="6"/>
  <c r="CA178" i="6"/>
  <c r="CE178" i="6"/>
  <c r="CI178" i="6"/>
  <c r="CM178" i="6"/>
  <c r="CQ178" i="6"/>
  <c r="BT178" i="6"/>
  <c r="BX178" i="6"/>
  <c r="CB178" i="6"/>
  <c r="CF178" i="6"/>
  <c r="CJ178" i="6"/>
  <c r="CN178" i="6"/>
  <c r="CR178" i="6"/>
  <c r="BQ174" i="6"/>
  <c r="BU174" i="6"/>
  <c r="BY174" i="6"/>
  <c r="CC174" i="6"/>
  <c r="CG174" i="6"/>
  <c r="CK174" i="6"/>
  <c r="CO174" i="6"/>
  <c r="CS174" i="6"/>
  <c r="BR174" i="6"/>
  <c r="BV174" i="6"/>
  <c r="BZ174" i="6"/>
  <c r="CD174" i="6"/>
  <c r="CH174" i="6"/>
  <c r="CL174" i="6"/>
  <c r="CP174" i="6"/>
  <c r="CT174" i="6"/>
  <c r="BS174" i="6"/>
  <c r="BW174" i="6"/>
  <c r="CA174" i="6"/>
  <c r="CE174" i="6"/>
  <c r="CI174" i="6"/>
  <c r="CM174" i="6"/>
  <c r="CQ174" i="6"/>
  <c r="BT174" i="6"/>
  <c r="BX174" i="6"/>
  <c r="CB174" i="6"/>
  <c r="CF174" i="6"/>
  <c r="CJ174" i="6"/>
  <c r="CN174" i="6"/>
  <c r="CR174" i="6"/>
  <c r="BQ170" i="6"/>
  <c r="BU170" i="6"/>
  <c r="BY170" i="6"/>
  <c r="CC170" i="6"/>
  <c r="CG170" i="6"/>
  <c r="CK170" i="6"/>
  <c r="CO170" i="6"/>
  <c r="CS170" i="6"/>
  <c r="BR170" i="6"/>
  <c r="BV170" i="6"/>
  <c r="BZ170" i="6"/>
  <c r="CD170" i="6"/>
  <c r="CH170" i="6"/>
  <c r="CL170" i="6"/>
  <c r="CP170" i="6"/>
  <c r="CT170" i="6"/>
  <c r="BS170" i="6"/>
  <c r="BW170" i="6"/>
  <c r="CA170" i="6"/>
  <c r="CE170" i="6"/>
  <c r="CI170" i="6"/>
  <c r="CM170" i="6"/>
  <c r="CQ170" i="6"/>
  <c r="BT170" i="6"/>
  <c r="BX170" i="6"/>
  <c r="CB170" i="6"/>
  <c r="CF170" i="6"/>
  <c r="CJ170" i="6"/>
  <c r="CN170" i="6"/>
  <c r="CR170" i="6"/>
  <c r="BQ166" i="6"/>
  <c r="BU166" i="6"/>
  <c r="BY166" i="6"/>
  <c r="CC166" i="6"/>
  <c r="CG166" i="6"/>
  <c r="CK166" i="6"/>
  <c r="CO166" i="6"/>
  <c r="CS166" i="6"/>
  <c r="BR166" i="6"/>
  <c r="BV166" i="6"/>
  <c r="BZ166" i="6"/>
  <c r="CD166" i="6"/>
  <c r="CH166" i="6"/>
  <c r="CL166" i="6"/>
  <c r="CP166" i="6"/>
  <c r="CT166" i="6"/>
  <c r="BS166" i="6"/>
  <c r="BW166" i="6"/>
  <c r="CA166" i="6"/>
  <c r="CE166" i="6"/>
  <c r="CI166" i="6"/>
  <c r="CM166" i="6"/>
  <c r="CQ166" i="6"/>
  <c r="BT166" i="6"/>
  <c r="BX166" i="6"/>
  <c r="CB166" i="6"/>
  <c r="CF166" i="6"/>
  <c r="CJ166" i="6"/>
  <c r="CN166" i="6"/>
  <c r="CR166" i="6"/>
  <c r="BQ162" i="6"/>
  <c r="BU162" i="6"/>
  <c r="BY162" i="6"/>
  <c r="CC162" i="6"/>
  <c r="CG162" i="6"/>
  <c r="CK162" i="6"/>
  <c r="CO162" i="6"/>
  <c r="CS162" i="6"/>
  <c r="BR162" i="6"/>
  <c r="BV162" i="6"/>
  <c r="BZ162" i="6"/>
  <c r="CD162" i="6"/>
  <c r="CH162" i="6"/>
  <c r="CL162" i="6"/>
  <c r="CP162" i="6"/>
  <c r="CT162" i="6"/>
  <c r="BS162" i="6"/>
  <c r="BW162" i="6"/>
  <c r="CA162" i="6"/>
  <c r="CE162" i="6"/>
  <c r="CI162" i="6"/>
  <c r="CM162" i="6"/>
  <c r="CQ162" i="6"/>
  <c r="BT162" i="6"/>
  <c r="BX162" i="6"/>
  <c r="CB162" i="6"/>
  <c r="CF162" i="6"/>
  <c r="CJ162" i="6"/>
  <c r="CN162" i="6"/>
  <c r="CR162" i="6"/>
  <c r="BQ158" i="6"/>
  <c r="BU158" i="6"/>
  <c r="BY158" i="6"/>
  <c r="CC158" i="6"/>
  <c r="CG158" i="6"/>
  <c r="CK158" i="6"/>
  <c r="CO158" i="6"/>
  <c r="CS158" i="6"/>
  <c r="BR158" i="6"/>
  <c r="BV158" i="6"/>
  <c r="BZ158" i="6"/>
  <c r="CD158" i="6"/>
  <c r="CH158" i="6"/>
  <c r="CL158" i="6"/>
  <c r="CP158" i="6"/>
  <c r="CT158" i="6"/>
  <c r="BS158" i="6"/>
  <c r="BW158" i="6"/>
  <c r="CA158" i="6"/>
  <c r="CE158" i="6"/>
  <c r="CI158" i="6"/>
  <c r="CM158" i="6"/>
  <c r="CQ158" i="6"/>
  <c r="BT158" i="6"/>
  <c r="BX158" i="6"/>
  <c r="CB158" i="6"/>
  <c r="CF158" i="6"/>
  <c r="CJ158" i="6"/>
  <c r="CN158" i="6"/>
  <c r="CR158" i="6"/>
  <c r="BQ154" i="6"/>
  <c r="BU154" i="6"/>
  <c r="BY154" i="6"/>
  <c r="CC154" i="6"/>
  <c r="CG154" i="6"/>
  <c r="CK154" i="6"/>
  <c r="CO154" i="6"/>
  <c r="CS154" i="6"/>
  <c r="BR154" i="6"/>
  <c r="BV154" i="6"/>
  <c r="BZ154" i="6"/>
  <c r="CD154" i="6"/>
  <c r="CH154" i="6"/>
  <c r="CL154" i="6"/>
  <c r="CP154" i="6"/>
  <c r="CT154" i="6"/>
  <c r="BS154" i="6"/>
  <c r="BW154" i="6"/>
  <c r="CA154" i="6"/>
  <c r="CE154" i="6"/>
  <c r="CI154" i="6"/>
  <c r="CM154" i="6"/>
  <c r="CQ154" i="6"/>
  <c r="BT154" i="6"/>
  <c r="BX154" i="6"/>
  <c r="CB154" i="6"/>
  <c r="CF154" i="6"/>
  <c r="CJ154" i="6"/>
  <c r="CN154" i="6"/>
  <c r="CR154" i="6"/>
  <c r="BQ150" i="6"/>
  <c r="BU150" i="6"/>
  <c r="BY150" i="6"/>
  <c r="CC150" i="6"/>
  <c r="CG150" i="6"/>
  <c r="CK150" i="6"/>
  <c r="CO150" i="6"/>
  <c r="CS150" i="6"/>
  <c r="BR150" i="6"/>
  <c r="BV150" i="6"/>
  <c r="BZ150" i="6"/>
  <c r="CD150" i="6"/>
  <c r="CH150" i="6"/>
  <c r="CL150" i="6"/>
  <c r="CP150" i="6"/>
  <c r="CT150" i="6"/>
  <c r="BS150" i="6"/>
  <c r="BW150" i="6"/>
  <c r="CA150" i="6"/>
  <c r="CE150" i="6"/>
  <c r="CI150" i="6"/>
  <c r="CM150" i="6"/>
  <c r="CQ150" i="6"/>
  <c r="BT150" i="6"/>
  <c r="BX150" i="6"/>
  <c r="CB150" i="6"/>
  <c r="CF150" i="6"/>
  <c r="CJ150" i="6"/>
  <c r="CN150" i="6"/>
  <c r="CR150" i="6"/>
  <c r="BQ146" i="6"/>
  <c r="BU146" i="6"/>
  <c r="BY146" i="6"/>
  <c r="CC146" i="6"/>
  <c r="CG146" i="6"/>
  <c r="CK146" i="6"/>
  <c r="CO146" i="6"/>
  <c r="CS146" i="6"/>
  <c r="BR146" i="6"/>
  <c r="BV146" i="6"/>
  <c r="BZ146" i="6"/>
  <c r="CD146" i="6"/>
  <c r="CH146" i="6"/>
  <c r="CL146" i="6"/>
  <c r="CP146" i="6"/>
  <c r="CT146" i="6"/>
  <c r="BS146" i="6"/>
  <c r="BW146" i="6"/>
  <c r="CA146" i="6"/>
  <c r="CE146" i="6"/>
  <c r="CI146" i="6"/>
  <c r="CM146" i="6"/>
  <c r="CQ146" i="6"/>
  <c r="BT146" i="6"/>
  <c r="BX146" i="6"/>
  <c r="CB146" i="6"/>
  <c r="CF146" i="6"/>
  <c r="CJ146" i="6"/>
  <c r="CN146" i="6"/>
  <c r="CR146" i="6"/>
  <c r="BR142" i="6"/>
  <c r="BV142" i="6"/>
  <c r="BZ142" i="6"/>
  <c r="CD142" i="6"/>
  <c r="CH142" i="6"/>
  <c r="CL142" i="6"/>
  <c r="CP142" i="6"/>
  <c r="CT142" i="6"/>
  <c r="BS142" i="6"/>
  <c r="BW142" i="6"/>
  <c r="CA142" i="6"/>
  <c r="CE142" i="6"/>
  <c r="CI142" i="6"/>
  <c r="CM142" i="6"/>
  <c r="CQ142" i="6"/>
  <c r="BT142" i="6"/>
  <c r="BX142" i="6"/>
  <c r="CB142" i="6"/>
  <c r="CF142" i="6"/>
  <c r="CJ142" i="6"/>
  <c r="CN142" i="6"/>
  <c r="CR142" i="6"/>
  <c r="BQ142" i="6"/>
  <c r="BU142" i="6"/>
  <c r="BY142" i="6"/>
  <c r="CC142" i="6"/>
  <c r="CG142" i="6"/>
  <c r="CK142" i="6"/>
  <c r="CO142" i="6"/>
  <c r="CS142" i="6"/>
  <c r="BR138" i="6"/>
  <c r="BV138" i="6"/>
  <c r="BZ138" i="6"/>
  <c r="CD138" i="6"/>
  <c r="CH138" i="6"/>
  <c r="CL138" i="6"/>
  <c r="CP138" i="6"/>
  <c r="CT138" i="6"/>
  <c r="BS138" i="6"/>
  <c r="BW138" i="6"/>
  <c r="CA138" i="6"/>
  <c r="CE138" i="6"/>
  <c r="CI138" i="6"/>
  <c r="CM138" i="6"/>
  <c r="CQ138" i="6"/>
  <c r="BT138" i="6"/>
  <c r="BX138" i="6"/>
  <c r="CB138" i="6"/>
  <c r="CF138" i="6"/>
  <c r="CJ138" i="6"/>
  <c r="CN138" i="6"/>
  <c r="CR138" i="6"/>
  <c r="BQ138" i="6"/>
  <c r="BU138" i="6"/>
  <c r="BY138" i="6"/>
  <c r="CC138" i="6"/>
  <c r="CG138" i="6"/>
  <c r="CK138" i="6"/>
  <c r="CO138" i="6"/>
  <c r="CS138" i="6"/>
  <c r="BR134" i="6"/>
  <c r="BV134" i="6"/>
  <c r="BZ134" i="6"/>
  <c r="CD134" i="6"/>
  <c r="CH134" i="6"/>
  <c r="CL134" i="6"/>
  <c r="CP134" i="6"/>
  <c r="CT134" i="6"/>
  <c r="BS134" i="6"/>
  <c r="BW134" i="6"/>
  <c r="CA134" i="6"/>
  <c r="CE134" i="6"/>
  <c r="CI134" i="6"/>
  <c r="CM134" i="6"/>
  <c r="CQ134" i="6"/>
  <c r="BT134" i="6"/>
  <c r="BX134" i="6"/>
  <c r="CB134" i="6"/>
  <c r="CF134" i="6"/>
  <c r="CJ134" i="6"/>
  <c r="CN134" i="6"/>
  <c r="CR134" i="6"/>
  <c r="BQ134" i="6"/>
  <c r="BU134" i="6"/>
  <c r="BY134" i="6"/>
  <c r="CC134" i="6"/>
  <c r="CG134" i="6"/>
  <c r="CK134" i="6"/>
  <c r="CO134" i="6"/>
  <c r="CS134" i="6"/>
  <c r="BR130" i="6"/>
  <c r="BV130" i="6"/>
  <c r="BZ130" i="6"/>
  <c r="CD130" i="6"/>
  <c r="CH130" i="6"/>
  <c r="CL130" i="6"/>
  <c r="CP130" i="6"/>
  <c r="CT130" i="6"/>
  <c r="BS130" i="6"/>
  <c r="BW130" i="6"/>
  <c r="CA130" i="6"/>
  <c r="CE130" i="6"/>
  <c r="CI130" i="6"/>
  <c r="CM130" i="6"/>
  <c r="CQ130" i="6"/>
  <c r="BT130" i="6"/>
  <c r="BX130" i="6"/>
  <c r="CB130" i="6"/>
  <c r="CF130" i="6"/>
  <c r="CJ130" i="6"/>
  <c r="CN130" i="6"/>
  <c r="CR130" i="6"/>
  <c r="BQ130" i="6"/>
  <c r="BU130" i="6"/>
  <c r="BY130" i="6"/>
  <c r="CC130" i="6"/>
  <c r="CG130" i="6"/>
  <c r="CK130" i="6"/>
  <c r="CO130" i="6"/>
  <c r="CS130" i="6"/>
  <c r="BR126" i="6"/>
  <c r="BV126" i="6"/>
  <c r="BZ126" i="6"/>
  <c r="CD126" i="6"/>
  <c r="CH126" i="6"/>
  <c r="CL126" i="6"/>
  <c r="CP126" i="6"/>
  <c r="CT126" i="6"/>
  <c r="BS126" i="6"/>
  <c r="BW126" i="6"/>
  <c r="CA126" i="6"/>
  <c r="CE126" i="6"/>
  <c r="CI126" i="6"/>
  <c r="CM126" i="6"/>
  <c r="CQ126" i="6"/>
  <c r="BT126" i="6"/>
  <c r="BX126" i="6"/>
  <c r="CB126" i="6"/>
  <c r="CF126" i="6"/>
  <c r="CJ126" i="6"/>
  <c r="CN126" i="6"/>
  <c r="CR126" i="6"/>
  <c r="BQ126" i="6"/>
  <c r="BU126" i="6"/>
  <c r="BY126" i="6"/>
  <c r="CC126" i="6"/>
  <c r="CG126" i="6"/>
  <c r="CK126" i="6"/>
  <c r="CO126" i="6"/>
  <c r="CS126" i="6"/>
  <c r="BR122" i="6"/>
  <c r="BV122" i="6"/>
  <c r="BZ122" i="6"/>
  <c r="CD122" i="6"/>
  <c r="CH122" i="6"/>
  <c r="CL122" i="6"/>
  <c r="CP122" i="6"/>
  <c r="CT122" i="6"/>
  <c r="BS122" i="6"/>
  <c r="BW122" i="6"/>
  <c r="CA122" i="6"/>
  <c r="CE122" i="6"/>
  <c r="CI122" i="6"/>
  <c r="CM122" i="6"/>
  <c r="CQ122" i="6"/>
  <c r="BT122" i="6"/>
  <c r="BX122" i="6"/>
  <c r="CB122" i="6"/>
  <c r="CF122" i="6"/>
  <c r="CJ122" i="6"/>
  <c r="CN122" i="6"/>
  <c r="CR122" i="6"/>
  <c r="BQ122" i="6"/>
  <c r="BU122" i="6"/>
  <c r="BY122" i="6"/>
  <c r="CC122" i="6"/>
  <c r="CG122" i="6"/>
  <c r="CK122" i="6"/>
  <c r="CO122" i="6"/>
  <c r="CS122" i="6"/>
  <c r="BR118" i="6"/>
  <c r="BV118" i="6"/>
  <c r="BZ118" i="6"/>
  <c r="CD118" i="6"/>
  <c r="CH118" i="6"/>
  <c r="CL118" i="6"/>
  <c r="CP118" i="6"/>
  <c r="CT118" i="6"/>
  <c r="BS118" i="6"/>
  <c r="BW118" i="6"/>
  <c r="CA118" i="6"/>
  <c r="CE118" i="6"/>
  <c r="CI118" i="6"/>
  <c r="CM118" i="6"/>
  <c r="CQ118" i="6"/>
  <c r="BT118" i="6"/>
  <c r="BX118" i="6"/>
  <c r="CB118" i="6"/>
  <c r="CF118" i="6"/>
  <c r="CJ118" i="6"/>
  <c r="CN118" i="6"/>
  <c r="CR118" i="6"/>
  <c r="BQ118" i="6"/>
  <c r="BU118" i="6"/>
  <c r="BY118" i="6"/>
  <c r="CC118" i="6"/>
  <c r="CG118" i="6"/>
  <c r="CK118" i="6"/>
  <c r="CO118" i="6"/>
  <c r="CS118" i="6"/>
  <c r="BQ114" i="6"/>
  <c r="BU114" i="6"/>
  <c r="BY114" i="6"/>
  <c r="CC114" i="6"/>
  <c r="CG114" i="6"/>
  <c r="CK114" i="6"/>
  <c r="CO114" i="6"/>
  <c r="CS114" i="6"/>
  <c r="BR114" i="6"/>
  <c r="BV114" i="6"/>
  <c r="BZ114" i="6"/>
  <c r="CD114" i="6"/>
  <c r="CH114" i="6"/>
  <c r="CL114" i="6"/>
  <c r="CP114" i="6"/>
  <c r="CT114" i="6"/>
  <c r="BS114" i="6"/>
  <c r="BW114" i="6"/>
  <c r="CA114" i="6"/>
  <c r="CE114" i="6"/>
  <c r="CI114" i="6"/>
  <c r="CM114" i="6"/>
  <c r="CQ114" i="6"/>
  <c r="BT114" i="6"/>
  <c r="BX114" i="6"/>
  <c r="CB114" i="6"/>
  <c r="CF114" i="6"/>
  <c r="CJ114" i="6"/>
  <c r="CN114" i="6"/>
  <c r="CR114" i="6"/>
  <c r="BQ110" i="6"/>
  <c r="BU110" i="6"/>
  <c r="BY110" i="6"/>
  <c r="CC110" i="6"/>
  <c r="CG110" i="6"/>
  <c r="CK110" i="6"/>
  <c r="CO110" i="6"/>
  <c r="CS110" i="6"/>
  <c r="BR110" i="6"/>
  <c r="BV110" i="6"/>
  <c r="BZ110" i="6"/>
  <c r="CD110" i="6"/>
  <c r="CH110" i="6"/>
  <c r="CL110" i="6"/>
  <c r="CP110" i="6"/>
  <c r="CT110" i="6"/>
  <c r="BS110" i="6"/>
  <c r="BW110" i="6"/>
  <c r="CA110" i="6"/>
  <c r="CE110" i="6"/>
  <c r="CI110" i="6"/>
  <c r="CM110" i="6"/>
  <c r="CQ110" i="6"/>
  <c r="BT110" i="6"/>
  <c r="BX110" i="6"/>
  <c r="CB110" i="6"/>
  <c r="CF110" i="6"/>
  <c r="CJ110" i="6"/>
  <c r="CN110" i="6"/>
  <c r="CR110" i="6"/>
  <c r="BQ106" i="6"/>
  <c r="BU106" i="6"/>
  <c r="BY106" i="6"/>
  <c r="CC106" i="6"/>
  <c r="CG106" i="6"/>
  <c r="CK106" i="6"/>
  <c r="CO106" i="6"/>
  <c r="CS106" i="6"/>
  <c r="BR106" i="6"/>
  <c r="BV106" i="6"/>
  <c r="BZ106" i="6"/>
  <c r="CD106" i="6"/>
  <c r="CH106" i="6"/>
  <c r="CL106" i="6"/>
  <c r="CP106" i="6"/>
  <c r="CT106" i="6"/>
  <c r="BS106" i="6"/>
  <c r="BW106" i="6"/>
  <c r="CA106" i="6"/>
  <c r="CE106" i="6"/>
  <c r="CI106" i="6"/>
  <c r="CM106" i="6"/>
  <c r="CQ106" i="6"/>
  <c r="BT106" i="6"/>
  <c r="BX106" i="6"/>
  <c r="CB106" i="6"/>
  <c r="CF106" i="6"/>
  <c r="CJ106" i="6"/>
  <c r="CN106" i="6"/>
  <c r="CR106" i="6"/>
  <c r="BQ102" i="6"/>
  <c r="BU102" i="6"/>
  <c r="BY102" i="6"/>
  <c r="CC102" i="6"/>
  <c r="CG102" i="6"/>
  <c r="CK102" i="6"/>
  <c r="CO102" i="6"/>
  <c r="CS102" i="6"/>
  <c r="BR102" i="6"/>
  <c r="BV102" i="6"/>
  <c r="BZ102" i="6"/>
  <c r="CD102" i="6"/>
  <c r="CH102" i="6"/>
  <c r="CL102" i="6"/>
  <c r="CP102" i="6"/>
  <c r="CT102" i="6"/>
  <c r="BS102" i="6"/>
  <c r="BW102" i="6"/>
  <c r="CA102" i="6"/>
  <c r="CE102" i="6"/>
  <c r="CI102" i="6"/>
  <c r="CM102" i="6"/>
  <c r="CQ102" i="6"/>
  <c r="BT102" i="6"/>
  <c r="BX102" i="6"/>
  <c r="CB102" i="6"/>
  <c r="CF102" i="6"/>
  <c r="CJ102" i="6"/>
  <c r="CN102" i="6"/>
  <c r="CR102" i="6"/>
  <c r="BQ98" i="6"/>
  <c r="BU98" i="6"/>
  <c r="BY98" i="6"/>
  <c r="CC98" i="6"/>
  <c r="CG98" i="6"/>
  <c r="CK98" i="6"/>
  <c r="CO98" i="6"/>
  <c r="CS98" i="6"/>
  <c r="BR98" i="6"/>
  <c r="BV98" i="6"/>
  <c r="BZ98" i="6"/>
  <c r="CD98" i="6"/>
  <c r="CH98" i="6"/>
  <c r="CL98" i="6"/>
  <c r="CP98" i="6"/>
  <c r="BS98" i="6"/>
  <c r="BW98" i="6"/>
  <c r="CA98" i="6"/>
  <c r="CE98" i="6"/>
  <c r="CI98" i="6"/>
  <c r="CM98" i="6"/>
  <c r="CQ98" i="6"/>
  <c r="BT98" i="6"/>
  <c r="BX98" i="6"/>
  <c r="CB98" i="6"/>
  <c r="CF98" i="6"/>
  <c r="CJ98" i="6"/>
  <c r="CN98" i="6"/>
  <c r="CR98" i="6"/>
  <c r="CT98" i="6"/>
  <c r="BQ94" i="6"/>
  <c r="BU94" i="6"/>
  <c r="BY94" i="6"/>
  <c r="CC94" i="6"/>
  <c r="CG94" i="6"/>
  <c r="CK94" i="6"/>
  <c r="CO94" i="6"/>
  <c r="CS94" i="6"/>
  <c r="BR94" i="6"/>
  <c r="BV94" i="6"/>
  <c r="BZ94" i="6"/>
  <c r="CD94" i="6"/>
  <c r="CH94" i="6"/>
  <c r="CL94" i="6"/>
  <c r="CP94" i="6"/>
  <c r="CT94" i="6"/>
  <c r="BS94" i="6"/>
  <c r="BW94" i="6"/>
  <c r="CA94" i="6"/>
  <c r="CE94" i="6"/>
  <c r="CI94" i="6"/>
  <c r="CM94" i="6"/>
  <c r="CQ94" i="6"/>
  <c r="BT94" i="6"/>
  <c r="BX94" i="6"/>
  <c r="CB94" i="6"/>
  <c r="CF94" i="6"/>
  <c r="CJ94" i="6"/>
  <c r="CN94" i="6"/>
  <c r="CR94" i="6"/>
  <c r="BQ90" i="6"/>
  <c r="BU90" i="6"/>
  <c r="BY90" i="6"/>
  <c r="CC90" i="6"/>
  <c r="CG90" i="6"/>
  <c r="CK90" i="6"/>
  <c r="CO90" i="6"/>
  <c r="CS90" i="6"/>
  <c r="BR90" i="6"/>
  <c r="BV90" i="6"/>
  <c r="BZ90" i="6"/>
  <c r="CD90" i="6"/>
  <c r="CH90" i="6"/>
  <c r="CL90" i="6"/>
  <c r="CP90" i="6"/>
  <c r="CT90" i="6"/>
  <c r="BS90" i="6"/>
  <c r="BW90" i="6"/>
  <c r="CA90" i="6"/>
  <c r="CE90" i="6"/>
  <c r="CI90" i="6"/>
  <c r="CM90" i="6"/>
  <c r="CQ90" i="6"/>
  <c r="BT90" i="6"/>
  <c r="BX90" i="6"/>
  <c r="CB90" i="6"/>
  <c r="CF90" i="6"/>
  <c r="CJ90" i="6"/>
  <c r="CN90" i="6"/>
  <c r="CR90" i="6"/>
  <c r="BQ86" i="6"/>
  <c r="BU86" i="6"/>
  <c r="BY86" i="6"/>
  <c r="CC86" i="6"/>
  <c r="CG86" i="6"/>
  <c r="CK86" i="6"/>
  <c r="CO86" i="6"/>
  <c r="CS86" i="6"/>
  <c r="BR86" i="6"/>
  <c r="BV86" i="6"/>
  <c r="BZ86" i="6"/>
  <c r="CD86" i="6"/>
  <c r="CH86" i="6"/>
  <c r="CL86" i="6"/>
  <c r="CP86" i="6"/>
  <c r="CT86" i="6"/>
  <c r="BS86" i="6"/>
  <c r="BW86" i="6"/>
  <c r="CA86" i="6"/>
  <c r="CE86" i="6"/>
  <c r="CI86" i="6"/>
  <c r="CM86" i="6"/>
  <c r="CQ86" i="6"/>
  <c r="BT86" i="6"/>
  <c r="BX86" i="6"/>
  <c r="CB86" i="6"/>
  <c r="CF86" i="6"/>
  <c r="CJ86" i="6"/>
  <c r="CN86" i="6"/>
  <c r="CR86" i="6"/>
  <c r="BQ82" i="6"/>
  <c r="BU82" i="6"/>
  <c r="BY82" i="6"/>
  <c r="CC82" i="6"/>
  <c r="CG82" i="6"/>
  <c r="CK82" i="6"/>
  <c r="CO82" i="6"/>
  <c r="CS82" i="6"/>
  <c r="BR82" i="6"/>
  <c r="BV82" i="6"/>
  <c r="BZ82" i="6"/>
  <c r="CD82" i="6"/>
  <c r="CH82" i="6"/>
  <c r="CL82" i="6"/>
  <c r="CP82" i="6"/>
  <c r="CT82" i="6"/>
  <c r="BS82" i="6"/>
  <c r="BW82" i="6"/>
  <c r="CA82" i="6"/>
  <c r="CE82" i="6"/>
  <c r="CI82" i="6"/>
  <c r="CM82" i="6"/>
  <c r="CQ82" i="6"/>
  <c r="BT82" i="6"/>
  <c r="BX82" i="6"/>
  <c r="CB82" i="6"/>
  <c r="CF82" i="6"/>
  <c r="CJ82" i="6"/>
  <c r="CN82" i="6"/>
  <c r="CR82" i="6"/>
  <c r="BQ78" i="6"/>
  <c r="BU78" i="6"/>
  <c r="BY78" i="6"/>
  <c r="CC78" i="6"/>
  <c r="CG78" i="6"/>
  <c r="CK78" i="6"/>
  <c r="CO78" i="6"/>
  <c r="CS78" i="6"/>
  <c r="BR78" i="6"/>
  <c r="BV78" i="6"/>
  <c r="BZ78" i="6"/>
  <c r="CD78" i="6"/>
  <c r="CH78" i="6"/>
  <c r="CL78" i="6"/>
  <c r="CP78" i="6"/>
  <c r="CT78" i="6"/>
  <c r="BS78" i="6"/>
  <c r="BW78" i="6"/>
  <c r="CA78" i="6"/>
  <c r="CE78" i="6"/>
  <c r="CI78" i="6"/>
  <c r="CM78" i="6"/>
  <c r="CQ78" i="6"/>
  <c r="BT78" i="6"/>
  <c r="BX78" i="6"/>
  <c r="CB78" i="6"/>
  <c r="CF78" i="6"/>
  <c r="CJ78" i="6"/>
  <c r="CN78" i="6"/>
  <c r="CR78" i="6"/>
  <c r="BQ74" i="6"/>
  <c r="BU74" i="6"/>
  <c r="BY74" i="6"/>
  <c r="CC74" i="6"/>
  <c r="CG74" i="6"/>
  <c r="CK74" i="6"/>
  <c r="CO74" i="6"/>
  <c r="CS74" i="6"/>
  <c r="BR74" i="6"/>
  <c r="BV74" i="6"/>
  <c r="BZ74" i="6"/>
  <c r="CD74" i="6"/>
  <c r="CH74" i="6"/>
  <c r="CL74" i="6"/>
  <c r="CP74" i="6"/>
  <c r="CT74" i="6"/>
  <c r="BS74" i="6"/>
  <c r="BW74" i="6"/>
  <c r="CA74" i="6"/>
  <c r="CE74" i="6"/>
  <c r="CI74" i="6"/>
  <c r="CM74" i="6"/>
  <c r="CQ74" i="6"/>
  <c r="BT74" i="6"/>
  <c r="BX74" i="6"/>
  <c r="CB74" i="6"/>
  <c r="CF74" i="6"/>
  <c r="CJ74" i="6"/>
  <c r="CN74" i="6"/>
  <c r="CR74" i="6"/>
  <c r="BQ70" i="6"/>
  <c r="BU70" i="6"/>
  <c r="BY70" i="6"/>
  <c r="CC70" i="6"/>
  <c r="CG70" i="6"/>
  <c r="CK70" i="6"/>
  <c r="CO70" i="6"/>
  <c r="CS70" i="6"/>
  <c r="BR70" i="6"/>
  <c r="BV70" i="6"/>
  <c r="BZ70" i="6"/>
  <c r="CD70" i="6"/>
  <c r="CH70" i="6"/>
  <c r="CL70" i="6"/>
  <c r="CP70" i="6"/>
  <c r="CT70" i="6"/>
  <c r="BS70" i="6"/>
  <c r="BW70" i="6"/>
  <c r="CA70" i="6"/>
  <c r="CE70" i="6"/>
  <c r="CI70" i="6"/>
  <c r="CM70" i="6"/>
  <c r="CQ70" i="6"/>
  <c r="BT70" i="6"/>
  <c r="BX70" i="6"/>
  <c r="CB70" i="6"/>
  <c r="CF70" i="6"/>
  <c r="CJ70" i="6"/>
  <c r="CN70" i="6"/>
  <c r="CR70" i="6"/>
  <c r="BQ66" i="6"/>
  <c r="BU66" i="6"/>
  <c r="BY66" i="6"/>
  <c r="CC66" i="6"/>
  <c r="CG66" i="6"/>
  <c r="CK66" i="6"/>
  <c r="CO66" i="6"/>
  <c r="CS66" i="6"/>
  <c r="BR66" i="6"/>
  <c r="BV66" i="6"/>
  <c r="BZ66" i="6"/>
  <c r="CD66" i="6"/>
  <c r="CH66" i="6"/>
  <c r="CL66" i="6"/>
  <c r="CP66" i="6"/>
  <c r="CT66" i="6"/>
  <c r="BS66" i="6"/>
  <c r="BW66" i="6"/>
  <c r="CA66" i="6"/>
  <c r="CE66" i="6"/>
  <c r="CI66" i="6"/>
  <c r="CM66" i="6"/>
  <c r="CQ66" i="6"/>
  <c r="BT66" i="6"/>
  <c r="BX66" i="6"/>
  <c r="CB66" i="6"/>
  <c r="CF66" i="6"/>
  <c r="CJ66" i="6"/>
  <c r="CN66" i="6"/>
  <c r="CR66" i="6"/>
  <c r="BQ62" i="6"/>
  <c r="BU62" i="6"/>
  <c r="BY62" i="6"/>
  <c r="CC62" i="6"/>
  <c r="CG62" i="6"/>
  <c r="CK62" i="6"/>
  <c r="CO62" i="6"/>
  <c r="CS62" i="6"/>
  <c r="BR62" i="6"/>
  <c r="BV62" i="6"/>
  <c r="BZ62" i="6"/>
  <c r="CD62" i="6"/>
  <c r="CH62" i="6"/>
  <c r="CL62" i="6"/>
  <c r="CP62" i="6"/>
  <c r="CT62" i="6"/>
  <c r="BS62" i="6"/>
  <c r="BW62" i="6"/>
  <c r="CA62" i="6"/>
  <c r="CE62" i="6"/>
  <c r="CI62" i="6"/>
  <c r="CM62" i="6"/>
  <c r="CQ62" i="6"/>
  <c r="BT62" i="6"/>
  <c r="BX62" i="6"/>
  <c r="CB62" i="6"/>
  <c r="CF62" i="6"/>
  <c r="CJ62" i="6"/>
  <c r="CN62" i="6"/>
  <c r="CR62" i="6"/>
  <c r="BQ58" i="6"/>
  <c r="BU58" i="6"/>
  <c r="BY58" i="6"/>
  <c r="CC58" i="6"/>
  <c r="CG58" i="6"/>
  <c r="CK58" i="6"/>
  <c r="CO58" i="6"/>
  <c r="CS58" i="6"/>
  <c r="BR58" i="6"/>
  <c r="BV58" i="6"/>
  <c r="BZ58" i="6"/>
  <c r="CD58" i="6"/>
  <c r="CH58" i="6"/>
  <c r="CL58" i="6"/>
  <c r="CP58" i="6"/>
  <c r="CT58" i="6"/>
  <c r="BS58" i="6"/>
  <c r="BW58" i="6"/>
  <c r="CA58" i="6"/>
  <c r="CE58" i="6"/>
  <c r="CI58" i="6"/>
  <c r="CM58" i="6"/>
  <c r="CQ58" i="6"/>
  <c r="BT58" i="6"/>
  <c r="BX58" i="6"/>
  <c r="CB58" i="6"/>
  <c r="CF58" i="6"/>
  <c r="CJ58" i="6"/>
  <c r="CN58" i="6"/>
  <c r="CR58" i="6"/>
  <c r="BQ54" i="6"/>
  <c r="BU54" i="6"/>
  <c r="BY54" i="6"/>
  <c r="CC54" i="6"/>
  <c r="CG54" i="6"/>
  <c r="CK54" i="6"/>
  <c r="CO54" i="6"/>
  <c r="CS54" i="6"/>
  <c r="BR54" i="6"/>
  <c r="BV54" i="6"/>
  <c r="BZ54" i="6"/>
  <c r="CD54" i="6"/>
  <c r="CH54" i="6"/>
  <c r="CL54" i="6"/>
  <c r="CP54" i="6"/>
  <c r="CT54" i="6"/>
  <c r="BS54" i="6"/>
  <c r="BW54" i="6"/>
  <c r="CA54" i="6"/>
  <c r="CE54" i="6"/>
  <c r="CI54" i="6"/>
  <c r="CM54" i="6"/>
  <c r="CQ54" i="6"/>
  <c r="BT54" i="6"/>
  <c r="BX54" i="6"/>
  <c r="CB54" i="6"/>
  <c r="CF54" i="6"/>
  <c r="CJ54" i="6"/>
  <c r="CN54" i="6"/>
  <c r="CR54" i="6"/>
  <c r="BT50" i="6"/>
  <c r="BX50" i="6"/>
  <c r="CB50" i="6"/>
  <c r="CF50" i="6"/>
  <c r="CJ50" i="6"/>
  <c r="CN50" i="6"/>
  <c r="CR50" i="6"/>
  <c r="BQ50" i="6"/>
  <c r="BU50" i="6"/>
  <c r="BY50" i="6"/>
  <c r="CC50" i="6"/>
  <c r="CG50" i="6"/>
  <c r="CK50" i="6"/>
  <c r="CO50" i="6"/>
  <c r="CS50" i="6"/>
  <c r="BR50" i="6"/>
  <c r="BV50" i="6"/>
  <c r="BZ50" i="6"/>
  <c r="CD50" i="6"/>
  <c r="CH50" i="6"/>
  <c r="CL50" i="6"/>
  <c r="CP50" i="6"/>
  <c r="CT50" i="6"/>
  <c r="BS50" i="6"/>
  <c r="BW50" i="6"/>
  <c r="CA50" i="6"/>
  <c r="CE50" i="6"/>
  <c r="CI50" i="6"/>
  <c r="CM50" i="6"/>
  <c r="CQ50" i="6"/>
  <c r="BT46" i="6"/>
  <c r="BX46" i="6"/>
  <c r="CB46" i="6"/>
  <c r="CF46" i="6"/>
  <c r="CJ46" i="6"/>
  <c r="CN46" i="6"/>
  <c r="CR46" i="6"/>
  <c r="BQ46" i="6"/>
  <c r="BU46" i="6"/>
  <c r="BY46" i="6"/>
  <c r="CC46" i="6"/>
  <c r="CG46" i="6"/>
  <c r="CK46" i="6"/>
  <c r="CO46" i="6"/>
  <c r="CS46" i="6"/>
  <c r="BR46" i="6"/>
  <c r="BV46" i="6"/>
  <c r="BZ46" i="6"/>
  <c r="CD46" i="6"/>
  <c r="CH46" i="6"/>
  <c r="CL46" i="6"/>
  <c r="CP46" i="6"/>
  <c r="CT46" i="6"/>
  <c r="BS46" i="6"/>
  <c r="BW46" i="6"/>
  <c r="CA46" i="6"/>
  <c r="CE46" i="6"/>
  <c r="CI46" i="6"/>
  <c r="CM46" i="6"/>
  <c r="CQ46" i="6"/>
  <c r="BT38" i="6"/>
  <c r="BX38" i="6"/>
  <c r="CB38" i="6"/>
  <c r="CF38" i="6"/>
  <c r="CJ38" i="6"/>
  <c r="CN38" i="6"/>
  <c r="CR38" i="6"/>
  <c r="BQ38" i="6"/>
  <c r="BU38" i="6"/>
  <c r="BY38" i="6"/>
  <c r="CC38" i="6"/>
  <c r="CG38" i="6"/>
  <c r="CK38" i="6"/>
  <c r="CO38" i="6"/>
  <c r="CS38" i="6"/>
  <c r="BR38" i="6"/>
  <c r="BV38" i="6"/>
  <c r="BZ38" i="6"/>
  <c r="CD38" i="6"/>
  <c r="CH38" i="6"/>
  <c r="CL38" i="6"/>
  <c r="CP38" i="6"/>
  <c r="CT38" i="6"/>
  <c r="BS38" i="6"/>
  <c r="BW38" i="6"/>
  <c r="CA38" i="6"/>
  <c r="CE38" i="6"/>
  <c r="CI38" i="6"/>
  <c r="CM38" i="6"/>
  <c r="CQ38" i="6"/>
  <c r="BT34" i="6"/>
  <c r="BX34" i="6"/>
  <c r="CB34" i="6"/>
  <c r="CF34" i="6"/>
  <c r="CJ34" i="6"/>
  <c r="CN34" i="6"/>
  <c r="CR34" i="6"/>
  <c r="BQ34" i="6"/>
  <c r="BU34" i="6"/>
  <c r="BY34" i="6"/>
  <c r="CC34" i="6"/>
  <c r="CG34" i="6"/>
  <c r="CK34" i="6"/>
  <c r="CO34" i="6"/>
  <c r="CS34" i="6"/>
  <c r="BR34" i="6"/>
  <c r="BV34" i="6"/>
  <c r="BZ34" i="6"/>
  <c r="CD34" i="6"/>
  <c r="CH34" i="6"/>
  <c r="CL34" i="6"/>
  <c r="CP34" i="6"/>
  <c r="CT34" i="6"/>
  <c r="BS34" i="6"/>
  <c r="BW34" i="6"/>
  <c r="CA34" i="6"/>
  <c r="CE34" i="6"/>
  <c r="CI34" i="6"/>
  <c r="CM34" i="6"/>
  <c r="CQ34" i="6"/>
  <c r="BT30" i="6"/>
  <c r="BX30" i="6"/>
  <c r="CB30" i="6"/>
  <c r="CF30" i="6"/>
  <c r="CJ30" i="6"/>
  <c r="CN30" i="6"/>
  <c r="CR30" i="6"/>
  <c r="BQ30" i="6"/>
  <c r="BU30" i="6"/>
  <c r="BY30" i="6"/>
  <c r="CC30" i="6"/>
  <c r="CG30" i="6"/>
  <c r="CK30" i="6"/>
  <c r="CO30" i="6"/>
  <c r="CS30" i="6"/>
  <c r="BR30" i="6"/>
  <c r="BV30" i="6"/>
  <c r="BZ30" i="6"/>
  <c r="CD30" i="6"/>
  <c r="CH30" i="6"/>
  <c r="CL30" i="6"/>
  <c r="CP30" i="6"/>
  <c r="CT30" i="6"/>
  <c r="BS30" i="6"/>
  <c r="BW30" i="6"/>
  <c r="CA30" i="6"/>
  <c r="CE30" i="6"/>
  <c r="CI30" i="6"/>
  <c r="CM30" i="6"/>
  <c r="CQ30" i="6"/>
  <c r="BT26" i="6"/>
  <c r="BX26" i="6"/>
  <c r="CB26" i="6"/>
  <c r="CF26" i="6"/>
  <c r="CJ26" i="6"/>
  <c r="CN26" i="6"/>
  <c r="CR26" i="6"/>
  <c r="BQ26" i="6"/>
  <c r="BU26" i="6"/>
  <c r="BY26" i="6"/>
  <c r="CC26" i="6"/>
  <c r="CG26" i="6"/>
  <c r="CK26" i="6"/>
  <c r="CO26" i="6"/>
  <c r="CS26" i="6"/>
  <c r="BR26" i="6"/>
  <c r="BV26" i="6"/>
  <c r="BZ26" i="6"/>
  <c r="CD26" i="6"/>
  <c r="CH26" i="6"/>
  <c r="CL26" i="6"/>
  <c r="CP26" i="6"/>
  <c r="CT26" i="6"/>
  <c r="BS26" i="6"/>
  <c r="BW26" i="6"/>
  <c r="CA26" i="6"/>
  <c r="CE26" i="6"/>
  <c r="CI26" i="6"/>
  <c r="CM26" i="6"/>
  <c r="CQ26" i="6"/>
  <c r="BT22" i="6"/>
  <c r="BX22" i="6"/>
  <c r="CB22" i="6"/>
  <c r="CF22" i="6"/>
  <c r="CJ22" i="6"/>
  <c r="CN22" i="6"/>
  <c r="CR22" i="6"/>
  <c r="BQ22" i="6"/>
  <c r="BU22" i="6"/>
  <c r="BY22" i="6"/>
  <c r="CC22" i="6"/>
  <c r="CG22" i="6"/>
  <c r="CK22" i="6"/>
  <c r="CO22" i="6"/>
  <c r="CS22" i="6"/>
  <c r="BR22" i="6"/>
  <c r="BV22" i="6"/>
  <c r="BZ22" i="6"/>
  <c r="CD22" i="6"/>
  <c r="CH22" i="6"/>
  <c r="CL22" i="6"/>
  <c r="CP22" i="6"/>
  <c r="CT22" i="6"/>
  <c r="BS22" i="6"/>
  <c r="BW22" i="6"/>
  <c r="CA22" i="6"/>
  <c r="CE22" i="6"/>
  <c r="CI22" i="6"/>
  <c r="CM22" i="6"/>
  <c r="CQ22" i="6"/>
  <c r="BT18" i="6"/>
  <c r="BX18" i="6"/>
  <c r="CB18" i="6"/>
  <c r="CF18" i="6"/>
  <c r="CJ18" i="6"/>
  <c r="CN18" i="6"/>
  <c r="CR18" i="6"/>
  <c r="BQ18" i="6"/>
  <c r="BU18" i="6"/>
  <c r="BY18" i="6"/>
  <c r="CC18" i="6"/>
  <c r="CG18" i="6"/>
  <c r="CK18" i="6"/>
  <c r="CO18" i="6"/>
  <c r="CS18" i="6"/>
  <c r="BR18" i="6"/>
  <c r="BV18" i="6"/>
  <c r="BZ18" i="6"/>
  <c r="CD18" i="6"/>
  <c r="CH18" i="6"/>
  <c r="CL18" i="6"/>
  <c r="CP18" i="6"/>
  <c r="CT18" i="6"/>
  <c r="BS18" i="6"/>
  <c r="BW18" i="6"/>
  <c r="CA18" i="6"/>
  <c r="CE18" i="6"/>
  <c r="CI18" i="6"/>
  <c r="CM18" i="6"/>
  <c r="CQ18" i="6"/>
  <c r="BT14" i="6"/>
  <c r="BX14" i="6"/>
  <c r="CB14" i="6"/>
  <c r="CF14" i="6"/>
  <c r="CJ14" i="6"/>
  <c r="CN14" i="6"/>
  <c r="CR14" i="6"/>
  <c r="BQ14" i="6"/>
  <c r="BU14" i="6"/>
  <c r="BY14" i="6"/>
  <c r="CC14" i="6"/>
  <c r="CG14" i="6"/>
  <c r="CK14" i="6"/>
  <c r="CO14" i="6"/>
  <c r="CS14" i="6"/>
  <c r="BR14" i="6"/>
  <c r="BV14" i="6"/>
  <c r="BZ14" i="6"/>
  <c r="CD14" i="6"/>
  <c r="CH14" i="6"/>
  <c r="CL14" i="6"/>
  <c r="CP14" i="6"/>
  <c r="CT14" i="6"/>
  <c r="BS14" i="6"/>
  <c r="BW14" i="6"/>
  <c r="CA14" i="6"/>
  <c r="CE14" i="6"/>
  <c r="CI14" i="6"/>
  <c r="CM14" i="6"/>
  <c r="CQ14" i="6"/>
  <c r="BT10" i="6"/>
  <c r="BX10" i="6"/>
  <c r="CB10" i="6"/>
  <c r="CF10" i="6"/>
  <c r="CJ10" i="6"/>
  <c r="CN10" i="6"/>
  <c r="CR10" i="6"/>
  <c r="BQ10" i="6"/>
  <c r="BU10" i="6"/>
  <c r="BY10" i="6"/>
  <c r="CC10" i="6"/>
  <c r="CG10" i="6"/>
  <c r="CK10" i="6"/>
  <c r="CO10" i="6"/>
  <c r="CS10" i="6"/>
  <c r="BR10" i="6"/>
  <c r="BV10" i="6"/>
  <c r="BZ10" i="6"/>
  <c r="CD10" i="6"/>
  <c r="CH10" i="6"/>
  <c r="CL10" i="6"/>
  <c r="CP10" i="6"/>
  <c r="CT10" i="6"/>
  <c r="BS10" i="6"/>
  <c r="BW10" i="6"/>
  <c r="CA10" i="6"/>
  <c r="CE10" i="6"/>
  <c r="CI10" i="6"/>
  <c r="CM10" i="6"/>
  <c r="CQ10" i="6"/>
  <c r="BS43" i="6"/>
  <c r="BW43" i="6"/>
  <c r="CA43" i="6"/>
  <c r="CE43" i="6"/>
  <c r="CI43" i="6"/>
  <c r="CM43" i="6"/>
  <c r="CQ43" i="6"/>
  <c r="BT43" i="6"/>
  <c r="BX43" i="6"/>
  <c r="CB43" i="6"/>
  <c r="CF43" i="6"/>
  <c r="CJ43" i="6"/>
  <c r="CN43" i="6"/>
  <c r="CR43" i="6"/>
  <c r="BQ43" i="6"/>
  <c r="BU43" i="6"/>
  <c r="BY43" i="6"/>
  <c r="CC43" i="6"/>
  <c r="CG43" i="6"/>
  <c r="CK43" i="6"/>
  <c r="CO43" i="6"/>
  <c r="CS43" i="6"/>
  <c r="BR43" i="6"/>
  <c r="BV43" i="6"/>
  <c r="BZ43" i="6"/>
  <c r="CD43" i="6"/>
  <c r="CH43" i="6"/>
  <c r="CL43" i="6"/>
  <c r="CP43" i="6"/>
  <c r="CT43" i="6"/>
  <c r="BS42" i="6"/>
  <c r="BW42" i="6"/>
  <c r="CA42" i="6"/>
  <c r="CE42" i="6"/>
  <c r="CI42" i="6"/>
  <c r="CM42" i="6"/>
  <c r="CQ42" i="6"/>
  <c r="BT42" i="6"/>
  <c r="BX42" i="6"/>
  <c r="CB42" i="6"/>
  <c r="CF42" i="6"/>
  <c r="CJ42" i="6"/>
  <c r="CN42" i="6"/>
  <c r="CR42" i="6"/>
  <c r="BQ42" i="6"/>
  <c r="BU42" i="6"/>
  <c r="BY42" i="6"/>
  <c r="CC42" i="6"/>
  <c r="CG42" i="6"/>
  <c r="CK42" i="6"/>
  <c r="CO42" i="6"/>
  <c r="CS42" i="6"/>
  <c r="BR42" i="6"/>
  <c r="BV42" i="6"/>
  <c r="BZ42" i="6"/>
  <c r="CD42" i="6"/>
  <c r="CH42" i="6"/>
  <c r="CL42" i="6"/>
  <c r="CP42" i="6"/>
  <c r="CT42" i="6"/>
  <c r="BQ6" i="6"/>
  <c r="BU6" i="6"/>
  <c r="BY6" i="6"/>
  <c r="CC6" i="6"/>
  <c r="CG6" i="6"/>
  <c r="CK6" i="6"/>
  <c r="CO6" i="6"/>
  <c r="CS6" i="6"/>
  <c r="BR6" i="6"/>
  <c r="BV6" i="6"/>
  <c r="BZ6" i="6"/>
  <c r="CD6" i="6"/>
  <c r="CH6" i="6"/>
  <c r="CL6" i="6"/>
  <c r="CP6" i="6"/>
  <c r="CT6" i="6"/>
  <c r="BS6" i="6"/>
  <c r="BW6" i="6"/>
  <c r="CA6" i="6"/>
  <c r="CE6" i="6"/>
  <c r="CI6" i="6"/>
  <c r="CM6" i="6"/>
  <c r="CQ6" i="6"/>
  <c r="BT6" i="6"/>
  <c r="BX6" i="6"/>
  <c r="CB6" i="6"/>
  <c r="CF6" i="6"/>
  <c r="CJ6" i="6"/>
  <c r="CN6" i="6"/>
  <c r="CR6" i="6"/>
  <c r="BQ5" i="6"/>
  <c r="BU5" i="6"/>
  <c r="BY5" i="6"/>
  <c r="CC5" i="6"/>
  <c r="CG5" i="6"/>
  <c r="CK5" i="6"/>
  <c r="CO5" i="6"/>
  <c r="CS5" i="6"/>
  <c r="CM5" i="6"/>
  <c r="BX5" i="6"/>
  <c r="CJ5" i="6"/>
  <c r="BR5" i="6"/>
  <c r="BV5" i="6"/>
  <c r="BZ5" i="6"/>
  <c r="CD5" i="6"/>
  <c r="CH5" i="6"/>
  <c r="CL5" i="6"/>
  <c r="CP5" i="6"/>
  <c r="CT5" i="6"/>
  <c r="BS5" i="6"/>
  <c r="BW5" i="6"/>
  <c r="CA5" i="6"/>
  <c r="CE5" i="6"/>
  <c r="CI5" i="6"/>
  <c r="CQ5" i="6"/>
  <c r="BT5" i="6"/>
  <c r="CB5" i="6"/>
  <c r="CF5" i="6"/>
  <c r="CN5" i="6"/>
  <c r="CR5" i="6"/>
  <c r="AW64" i="3"/>
  <c r="AW65" i="3"/>
  <c r="AW66" i="3"/>
  <c r="AW67" i="3"/>
  <c r="AW68" i="3"/>
  <c r="AW69" i="3"/>
  <c r="AW70" i="3"/>
  <c r="AW71" i="3"/>
  <c r="AW72" i="3"/>
  <c r="AW73" i="3"/>
  <c r="AW74" i="3"/>
  <c r="AW75" i="3"/>
  <c r="AW76" i="3"/>
  <c r="AW77" i="3"/>
  <c r="AW78" i="3"/>
  <c r="AW79" i="3"/>
  <c r="AW80" i="3"/>
  <c r="AW81" i="3"/>
  <c r="AW82" i="3"/>
  <c r="AW83" i="3"/>
  <c r="AW84" i="3"/>
  <c r="AW85" i="3"/>
  <c r="AW86" i="3"/>
  <c r="AW87" i="3"/>
  <c r="AW88" i="3"/>
  <c r="AW89" i="3"/>
  <c r="AW90" i="3"/>
  <c r="AW91" i="3"/>
  <c r="AW92" i="3"/>
  <c r="AW93" i="3"/>
  <c r="AW94" i="3"/>
  <c r="AW95" i="3"/>
  <c r="AW96" i="3"/>
  <c r="AW97" i="3"/>
  <c r="AW98" i="3"/>
  <c r="AW99" i="3"/>
  <c r="AW100" i="3"/>
  <c r="AW101" i="3"/>
  <c r="AW102" i="3"/>
  <c r="AW103" i="3"/>
  <c r="AW104" i="3"/>
  <c r="AW105" i="3"/>
  <c r="AW106" i="3"/>
  <c r="AW107" i="3"/>
  <c r="AW108" i="3"/>
  <c r="AW109" i="3"/>
  <c r="AW110" i="3"/>
  <c r="AW111" i="3"/>
  <c r="AW112" i="3"/>
  <c r="AW113" i="3"/>
  <c r="AW114" i="3"/>
  <c r="AW115" i="3"/>
  <c r="AW116" i="3"/>
  <c r="AW117" i="3"/>
  <c r="AW118" i="3"/>
  <c r="AW119" i="3"/>
  <c r="AW120" i="3"/>
  <c r="AW121" i="3"/>
  <c r="AW122" i="3"/>
  <c r="AW123" i="3"/>
  <c r="AW124" i="3"/>
  <c r="AW125" i="3"/>
  <c r="AW126" i="3"/>
  <c r="AW127" i="3"/>
  <c r="AW128" i="3"/>
  <c r="AW129" i="3"/>
  <c r="AW130" i="3"/>
  <c r="AW131" i="3"/>
  <c r="AW132" i="3"/>
  <c r="AW133" i="3"/>
  <c r="AW134" i="3"/>
  <c r="AW135" i="3"/>
  <c r="AW136" i="3"/>
  <c r="AW137" i="3"/>
  <c r="AW138" i="3"/>
  <c r="AW139" i="3"/>
  <c r="AW140" i="3"/>
  <c r="AW141" i="3"/>
  <c r="AW142" i="3"/>
  <c r="AW143" i="3"/>
  <c r="AW144" i="3"/>
  <c r="AW145" i="3"/>
  <c r="AW146" i="3"/>
  <c r="AW147" i="3"/>
  <c r="AW148" i="3"/>
  <c r="AW149" i="3"/>
  <c r="AW150" i="3"/>
  <c r="AW151" i="3"/>
  <c r="AW152" i="3"/>
  <c r="AW153" i="3"/>
  <c r="AW154" i="3"/>
  <c r="AW155" i="3"/>
  <c r="AW156" i="3"/>
  <c r="AW157" i="3"/>
  <c r="AW158" i="3"/>
  <c r="AW159" i="3"/>
  <c r="AW160" i="3"/>
  <c r="AW161" i="3"/>
  <c r="AW162" i="3"/>
  <c r="AW163" i="3"/>
  <c r="AW164" i="3"/>
  <c r="AW165" i="3"/>
  <c r="AW166" i="3"/>
  <c r="AW167" i="3"/>
  <c r="AW168" i="3"/>
  <c r="AW169" i="3"/>
  <c r="AW170" i="3"/>
  <c r="AW171" i="3"/>
  <c r="AW172" i="3"/>
  <c r="AW173" i="3"/>
  <c r="AW174" i="3"/>
  <c r="AW175" i="3"/>
  <c r="AW176" i="3"/>
  <c r="AW177" i="3"/>
  <c r="AW178" i="3"/>
  <c r="AW179" i="3"/>
  <c r="AW180" i="3"/>
  <c r="AW181" i="3"/>
  <c r="AW182" i="3"/>
  <c r="AW183" i="3"/>
  <c r="AW184" i="3"/>
  <c r="AW185" i="3"/>
  <c r="AW186" i="3"/>
  <c r="AW187" i="3"/>
  <c r="AW188" i="3"/>
  <c r="AW189" i="3"/>
  <c r="AW190" i="3"/>
  <c r="AW191" i="3"/>
  <c r="AW192" i="3"/>
  <c r="AW193" i="3"/>
  <c r="AW194" i="3"/>
  <c r="AW195" i="3"/>
  <c r="AW196" i="3"/>
  <c r="AW197" i="3"/>
  <c r="AW198" i="3"/>
  <c r="AW199" i="3"/>
  <c r="AW200" i="3"/>
  <c r="AW201" i="3"/>
  <c r="AW202" i="3"/>
  <c r="AW203" i="3"/>
  <c r="AW204" i="3"/>
  <c r="AW205" i="3"/>
  <c r="AW206" i="3"/>
  <c r="AW207" i="3"/>
  <c r="AW208" i="3"/>
  <c r="AW209" i="3"/>
  <c r="AW210" i="3"/>
  <c r="AW211" i="3"/>
  <c r="AW212" i="3"/>
  <c r="AW213" i="3"/>
  <c r="AW214" i="3"/>
  <c r="AW215" i="3"/>
  <c r="AW216" i="3"/>
  <c r="AW217" i="3"/>
  <c r="AW218" i="3"/>
  <c r="AW219" i="3"/>
  <c r="AW220" i="3"/>
  <c r="AW221" i="3"/>
  <c r="AW222" i="3"/>
  <c r="AW223" i="3"/>
  <c r="AW224" i="3"/>
  <c r="AW225" i="3"/>
  <c r="AW226" i="3"/>
  <c r="AW227" i="3"/>
  <c r="AW228" i="3"/>
  <c r="AW229" i="3"/>
  <c r="AW230" i="3"/>
  <c r="AW231" i="3"/>
  <c r="AW232" i="3"/>
  <c r="AW233" i="3"/>
  <c r="AW234" i="3"/>
  <c r="AW235" i="3"/>
  <c r="AW236" i="3"/>
  <c r="AW237" i="3"/>
  <c r="AW238" i="3"/>
  <c r="AW239" i="3"/>
  <c r="AW240" i="3"/>
  <c r="AW241" i="3"/>
  <c r="AW242" i="3"/>
  <c r="AW243" i="3"/>
  <c r="AW244" i="3"/>
  <c r="AW245" i="3"/>
  <c r="AW246" i="3"/>
  <c r="AW247" i="3"/>
  <c r="AW248" i="3"/>
  <c r="AW249" i="3"/>
  <c r="AW250" i="3"/>
  <c r="AW251" i="3"/>
  <c r="AW252" i="3"/>
  <c r="AW253" i="3"/>
  <c r="AW254" i="3"/>
  <c r="AW255" i="3"/>
  <c r="AW256" i="3"/>
  <c r="AW257" i="3"/>
  <c r="AW258" i="3"/>
  <c r="AW259" i="3"/>
  <c r="AW260" i="3"/>
  <c r="AW261" i="3"/>
  <c r="AW262" i="3"/>
  <c r="AW263" i="3"/>
  <c r="AW264" i="3"/>
  <c r="AW265" i="3"/>
  <c r="AW266" i="3"/>
  <c r="AW267" i="3"/>
  <c r="AW268" i="3"/>
  <c r="AW269" i="3"/>
  <c r="AW270" i="3"/>
  <c r="AW271" i="3"/>
  <c r="AW272" i="3"/>
  <c r="AR64" i="3"/>
  <c r="AR65" i="3"/>
  <c r="AR66" i="3"/>
  <c r="AR67" i="3"/>
  <c r="AR68" i="3"/>
  <c r="AR69" i="3"/>
  <c r="AR70" i="3"/>
  <c r="AR71" i="3"/>
  <c r="AR72" i="3"/>
  <c r="AR73" i="3"/>
  <c r="AR74" i="3"/>
  <c r="AR75" i="3"/>
  <c r="AR76" i="3"/>
  <c r="AR77" i="3"/>
  <c r="AR78" i="3"/>
  <c r="AR79" i="3"/>
  <c r="AR80" i="3"/>
  <c r="AR81" i="3"/>
  <c r="AR82" i="3"/>
  <c r="AR83" i="3"/>
  <c r="AR84" i="3"/>
  <c r="AR85" i="3"/>
  <c r="AR86" i="3"/>
  <c r="AR87" i="3"/>
  <c r="AR88" i="3"/>
  <c r="AR89" i="3"/>
  <c r="AR90" i="3"/>
  <c r="AR91" i="3"/>
  <c r="AR92" i="3"/>
  <c r="AR93" i="3"/>
  <c r="AR94" i="3"/>
  <c r="AR95" i="3"/>
  <c r="AR96" i="3"/>
  <c r="AR97" i="3"/>
  <c r="AR98" i="3"/>
  <c r="AR99" i="3"/>
  <c r="AR100" i="3"/>
  <c r="AR101" i="3"/>
  <c r="AR102" i="3"/>
  <c r="AR103" i="3"/>
  <c r="AR104" i="3"/>
  <c r="AR105" i="3"/>
  <c r="AR106" i="3"/>
  <c r="AR107" i="3"/>
  <c r="AR108" i="3"/>
  <c r="AR109" i="3"/>
  <c r="AR110" i="3"/>
  <c r="AR111" i="3"/>
  <c r="AR112" i="3"/>
  <c r="AR113" i="3"/>
  <c r="AR114" i="3"/>
  <c r="AR115" i="3"/>
  <c r="AR116" i="3"/>
  <c r="AR117" i="3"/>
  <c r="AR118" i="3"/>
  <c r="AR119" i="3"/>
  <c r="AR120" i="3"/>
  <c r="AR121" i="3"/>
  <c r="AR122" i="3"/>
  <c r="AR123" i="3"/>
  <c r="AR124" i="3"/>
  <c r="AR125" i="3"/>
  <c r="AR126" i="3"/>
  <c r="AR127" i="3"/>
  <c r="AR128" i="3"/>
  <c r="AR129" i="3"/>
  <c r="AR130" i="3"/>
  <c r="AR131" i="3"/>
  <c r="AR132" i="3"/>
  <c r="AR133" i="3"/>
  <c r="AR134" i="3"/>
  <c r="AR135" i="3"/>
  <c r="AR136" i="3"/>
  <c r="AR137" i="3"/>
  <c r="AR138" i="3"/>
  <c r="AR139" i="3"/>
  <c r="AR140" i="3"/>
  <c r="AR141" i="3"/>
  <c r="AR142" i="3"/>
  <c r="AR143" i="3"/>
  <c r="AR144" i="3"/>
  <c r="AR145" i="3"/>
  <c r="AR146" i="3"/>
  <c r="AR147" i="3"/>
  <c r="AR148" i="3"/>
  <c r="AR149" i="3"/>
  <c r="AR150" i="3"/>
  <c r="AR151" i="3"/>
  <c r="AR152" i="3"/>
  <c r="AR153" i="3"/>
  <c r="AR154" i="3"/>
  <c r="AR155" i="3"/>
  <c r="AR156" i="3"/>
  <c r="AR157" i="3"/>
  <c r="AR158" i="3"/>
  <c r="AR159" i="3"/>
  <c r="AR160" i="3"/>
  <c r="AR161" i="3"/>
  <c r="AR162" i="3"/>
  <c r="AR163" i="3"/>
  <c r="AR164" i="3"/>
  <c r="AR165" i="3"/>
  <c r="AR166" i="3"/>
  <c r="AR167" i="3"/>
  <c r="AR168" i="3"/>
  <c r="AR169" i="3"/>
  <c r="AR170" i="3"/>
  <c r="AR171" i="3"/>
  <c r="AR172" i="3"/>
  <c r="AR173" i="3"/>
  <c r="AR174" i="3"/>
  <c r="AR175" i="3"/>
  <c r="AR176" i="3"/>
  <c r="AR177" i="3"/>
  <c r="AR178" i="3"/>
  <c r="AR179" i="3"/>
  <c r="AR180" i="3"/>
  <c r="AR181" i="3"/>
  <c r="AR182" i="3"/>
  <c r="AR183" i="3"/>
  <c r="AR184" i="3"/>
  <c r="AR185" i="3"/>
  <c r="AR186" i="3"/>
  <c r="AR187" i="3"/>
  <c r="AR188" i="3"/>
  <c r="AR189" i="3"/>
  <c r="AR190" i="3"/>
  <c r="AR191" i="3"/>
  <c r="AR192" i="3"/>
  <c r="AR193" i="3"/>
  <c r="AR194" i="3"/>
  <c r="AR195" i="3"/>
  <c r="AR196" i="3"/>
  <c r="AR197" i="3"/>
  <c r="AR198" i="3"/>
  <c r="AR199" i="3"/>
  <c r="AR200" i="3"/>
  <c r="AR201" i="3"/>
  <c r="AR202" i="3"/>
  <c r="AR203" i="3"/>
  <c r="AR204" i="3"/>
  <c r="AR205" i="3"/>
  <c r="AR206" i="3"/>
  <c r="AR207" i="3"/>
  <c r="AR208" i="3"/>
  <c r="AR209" i="3"/>
  <c r="AR210" i="3"/>
  <c r="AR211" i="3"/>
  <c r="AR212" i="3"/>
  <c r="AR213" i="3"/>
  <c r="AR214" i="3"/>
  <c r="AR215" i="3"/>
  <c r="AR216" i="3"/>
  <c r="AR217" i="3"/>
  <c r="AR218" i="3"/>
  <c r="AR219" i="3"/>
  <c r="AR220" i="3"/>
  <c r="AR221" i="3"/>
  <c r="AR222" i="3"/>
  <c r="AR223" i="3"/>
  <c r="AR224" i="3"/>
  <c r="AR225" i="3"/>
  <c r="AR226" i="3"/>
  <c r="AR227" i="3"/>
  <c r="AR228" i="3"/>
  <c r="AR229" i="3"/>
  <c r="AR230" i="3"/>
  <c r="AR231" i="3"/>
  <c r="AR232" i="3"/>
  <c r="AR233" i="3"/>
  <c r="AR234" i="3"/>
  <c r="AR235" i="3"/>
  <c r="AR236" i="3"/>
  <c r="AR237" i="3"/>
  <c r="AR238" i="3"/>
  <c r="AR239" i="3"/>
  <c r="AR240" i="3"/>
  <c r="AR241" i="3"/>
  <c r="AR242" i="3"/>
  <c r="AR243" i="3"/>
  <c r="AR244" i="3"/>
  <c r="AR245" i="3"/>
  <c r="AR246" i="3"/>
  <c r="AR247" i="3"/>
  <c r="AR248" i="3"/>
  <c r="AR249" i="3"/>
  <c r="AR250" i="3"/>
  <c r="AR251" i="3"/>
  <c r="AR252" i="3"/>
  <c r="AR253" i="3"/>
  <c r="AR254" i="3"/>
  <c r="AR255" i="3"/>
  <c r="AR256" i="3"/>
  <c r="AR257" i="3"/>
  <c r="AR258" i="3"/>
  <c r="AR259" i="3"/>
  <c r="AR260" i="3"/>
  <c r="AR261" i="3"/>
  <c r="AR262" i="3"/>
  <c r="AR263" i="3"/>
  <c r="AR264" i="3"/>
  <c r="AR265" i="3"/>
  <c r="AR266" i="3"/>
  <c r="AR267" i="3"/>
  <c r="AR268" i="3"/>
  <c r="AR269" i="3"/>
  <c r="AR270" i="3"/>
  <c r="AR271" i="3"/>
  <c r="AR272" i="3"/>
  <c r="AM64" i="3"/>
  <c r="AM65" i="3"/>
  <c r="AM66" i="3"/>
  <c r="AM67" i="3"/>
  <c r="AM68" i="3"/>
  <c r="AM69" i="3"/>
  <c r="AM70" i="3"/>
  <c r="AM71" i="3"/>
  <c r="AM72" i="3"/>
  <c r="AM73" i="3"/>
  <c r="AM74" i="3"/>
  <c r="AM75" i="3"/>
  <c r="AM76" i="3"/>
  <c r="AM77" i="3"/>
  <c r="AM78" i="3"/>
  <c r="AM79" i="3"/>
  <c r="AM80" i="3"/>
  <c r="AM81" i="3"/>
  <c r="AM82" i="3"/>
  <c r="AM83" i="3"/>
  <c r="AM84" i="3"/>
  <c r="AM85" i="3"/>
  <c r="AM86" i="3"/>
  <c r="AM87" i="3"/>
  <c r="AM88" i="3"/>
  <c r="AM89" i="3"/>
  <c r="AM90" i="3"/>
  <c r="AM91" i="3"/>
  <c r="AM92" i="3"/>
  <c r="AM93" i="3"/>
  <c r="AM94" i="3"/>
  <c r="AM95" i="3"/>
  <c r="AM96" i="3"/>
  <c r="AM97" i="3"/>
  <c r="AM98" i="3"/>
  <c r="AM99" i="3"/>
  <c r="AM100" i="3"/>
  <c r="AM101" i="3"/>
  <c r="AM102" i="3"/>
  <c r="AM103" i="3"/>
  <c r="AM104" i="3"/>
  <c r="AM105" i="3"/>
  <c r="AM106" i="3"/>
  <c r="AM107" i="3"/>
  <c r="AM108" i="3"/>
  <c r="AM109" i="3"/>
  <c r="AM110" i="3"/>
  <c r="AM111" i="3"/>
  <c r="AM112" i="3"/>
  <c r="AM113" i="3"/>
  <c r="AM114" i="3"/>
  <c r="AM115" i="3"/>
  <c r="AM116" i="3"/>
  <c r="AM117" i="3"/>
  <c r="AM118" i="3"/>
  <c r="AM119" i="3"/>
  <c r="AM120" i="3"/>
  <c r="AM121" i="3"/>
  <c r="AM122" i="3"/>
  <c r="AM123" i="3"/>
  <c r="AM124" i="3"/>
  <c r="AM125" i="3"/>
  <c r="AM126" i="3"/>
  <c r="AM127" i="3"/>
  <c r="AM128" i="3"/>
  <c r="AM129" i="3"/>
  <c r="AM130" i="3"/>
  <c r="AM131" i="3"/>
  <c r="AM132" i="3"/>
  <c r="AM133" i="3"/>
  <c r="AM134" i="3"/>
  <c r="AM135" i="3"/>
  <c r="AM136" i="3"/>
  <c r="AM137" i="3"/>
  <c r="AM138" i="3"/>
  <c r="AM139" i="3"/>
  <c r="AM140" i="3"/>
  <c r="AM141" i="3"/>
  <c r="AM142" i="3"/>
  <c r="AM143" i="3"/>
  <c r="AM144" i="3"/>
  <c r="AM145" i="3"/>
  <c r="AM146" i="3"/>
  <c r="AM147" i="3"/>
  <c r="AM148" i="3"/>
  <c r="AM149" i="3"/>
  <c r="AM150" i="3"/>
  <c r="AM151" i="3"/>
  <c r="AM152" i="3"/>
  <c r="AM153" i="3"/>
  <c r="AM154" i="3"/>
  <c r="AM155" i="3"/>
  <c r="AM156" i="3"/>
  <c r="AM157" i="3"/>
  <c r="AM158" i="3"/>
  <c r="AM159" i="3"/>
  <c r="AM160" i="3"/>
  <c r="AM161" i="3"/>
  <c r="AM162" i="3"/>
  <c r="AM163" i="3"/>
  <c r="AM164" i="3"/>
  <c r="AM165" i="3"/>
  <c r="AM166" i="3"/>
  <c r="AM167" i="3"/>
  <c r="AM168" i="3"/>
  <c r="AM169" i="3"/>
  <c r="AM170" i="3"/>
  <c r="AM171" i="3"/>
  <c r="AM172" i="3"/>
  <c r="AM173" i="3"/>
  <c r="AM174" i="3"/>
  <c r="AM175" i="3"/>
  <c r="AM176" i="3"/>
  <c r="AM177" i="3"/>
  <c r="AM178" i="3"/>
  <c r="AM179" i="3"/>
  <c r="AM180" i="3"/>
  <c r="AM181" i="3"/>
  <c r="AM182" i="3"/>
  <c r="AM183" i="3"/>
  <c r="AM184" i="3"/>
  <c r="AM185" i="3"/>
  <c r="AM186" i="3"/>
  <c r="AM187" i="3"/>
  <c r="AM188" i="3"/>
  <c r="AM189" i="3"/>
  <c r="AM190" i="3"/>
  <c r="AM191" i="3"/>
  <c r="AM192" i="3"/>
  <c r="AM193" i="3"/>
  <c r="AM194" i="3"/>
  <c r="AM195" i="3"/>
  <c r="AM196" i="3"/>
  <c r="AM197" i="3"/>
  <c r="AM198" i="3"/>
  <c r="AM199" i="3"/>
  <c r="AM200" i="3"/>
  <c r="AM201" i="3"/>
  <c r="AM202" i="3"/>
  <c r="AM203" i="3"/>
  <c r="AM204" i="3"/>
  <c r="AM205" i="3"/>
  <c r="AM206" i="3"/>
  <c r="AM207" i="3"/>
  <c r="AM208" i="3"/>
  <c r="AM209" i="3"/>
  <c r="AM210" i="3"/>
  <c r="AM211" i="3"/>
  <c r="AM212" i="3"/>
  <c r="AM213" i="3"/>
  <c r="AM214" i="3"/>
  <c r="AM215" i="3"/>
  <c r="AM216" i="3"/>
  <c r="AM217" i="3"/>
  <c r="AM218" i="3"/>
  <c r="AM219" i="3"/>
  <c r="AM220" i="3"/>
  <c r="AM221" i="3"/>
  <c r="AM222" i="3"/>
  <c r="AM223" i="3"/>
  <c r="AM224" i="3"/>
  <c r="AM225" i="3"/>
  <c r="AM226" i="3"/>
  <c r="AM227" i="3"/>
  <c r="AM228" i="3"/>
  <c r="AM229" i="3"/>
  <c r="AM230" i="3"/>
  <c r="AM231" i="3"/>
  <c r="AM232" i="3"/>
  <c r="AM233" i="3"/>
  <c r="AM234" i="3"/>
  <c r="AM235" i="3"/>
  <c r="AM236" i="3"/>
  <c r="AM237" i="3"/>
  <c r="AM238" i="3"/>
  <c r="AM239" i="3"/>
  <c r="AM240" i="3"/>
  <c r="AM241" i="3"/>
  <c r="AM242" i="3"/>
  <c r="AM243" i="3"/>
  <c r="AM244" i="3"/>
  <c r="AM245" i="3"/>
  <c r="AM246" i="3"/>
  <c r="AM247" i="3"/>
  <c r="AM248" i="3"/>
  <c r="AM249" i="3"/>
  <c r="AM250" i="3"/>
  <c r="AM251" i="3"/>
  <c r="AM252" i="3"/>
  <c r="AM253" i="3"/>
  <c r="AM254" i="3"/>
  <c r="AM255" i="3"/>
  <c r="AM256" i="3"/>
  <c r="AM257" i="3"/>
  <c r="AM258" i="3"/>
  <c r="AM259" i="3"/>
  <c r="AM260" i="3"/>
  <c r="AM261" i="3"/>
  <c r="AM262" i="3"/>
  <c r="AM263" i="3"/>
  <c r="AM264" i="3"/>
  <c r="AM265" i="3"/>
  <c r="AM266" i="3"/>
  <c r="AM267" i="3"/>
  <c r="AM268" i="3"/>
  <c r="AM269" i="3"/>
  <c r="AM270" i="3"/>
  <c r="AM271" i="3"/>
  <c r="AM272" i="3"/>
  <c r="AH64" i="3"/>
  <c r="AH65" i="3"/>
  <c r="AH66" i="3"/>
  <c r="AH67" i="3"/>
  <c r="AH68" i="3"/>
  <c r="AH69" i="3"/>
  <c r="AH70" i="3"/>
  <c r="AH71" i="3"/>
  <c r="AH72" i="3"/>
  <c r="AH73" i="3"/>
  <c r="AH74" i="3"/>
  <c r="AH75" i="3"/>
  <c r="AH76" i="3"/>
  <c r="AH77" i="3"/>
  <c r="AH78" i="3"/>
  <c r="AH79" i="3"/>
  <c r="AH80" i="3"/>
  <c r="AH81" i="3"/>
  <c r="AH82" i="3"/>
  <c r="AH83" i="3"/>
  <c r="AH84" i="3"/>
  <c r="AH85" i="3"/>
  <c r="AH86" i="3"/>
  <c r="AH87" i="3"/>
  <c r="AH88" i="3"/>
  <c r="AH89" i="3"/>
  <c r="AH90" i="3"/>
  <c r="AH91" i="3"/>
  <c r="AH92" i="3"/>
  <c r="AH93" i="3"/>
  <c r="AH94" i="3"/>
  <c r="AH95" i="3"/>
  <c r="AH96" i="3"/>
  <c r="AH97" i="3"/>
  <c r="AH98" i="3"/>
  <c r="AH99" i="3"/>
  <c r="AH100" i="3"/>
  <c r="AH101" i="3"/>
  <c r="AH102" i="3"/>
  <c r="AH103" i="3"/>
  <c r="AH104" i="3"/>
  <c r="AH105" i="3"/>
  <c r="AH106" i="3"/>
  <c r="AH107" i="3"/>
  <c r="AH108" i="3"/>
  <c r="AH109" i="3"/>
  <c r="AH110" i="3"/>
  <c r="AH111" i="3"/>
  <c r="AH112" i="3"/>
  <c r="AH113" i="3"/>
  <c r="AH114" i="3"/>
  <c r="AH115" i="3"/>
  <c r="AH116" i="3"/>
  <c r="AH117" i="3"/>
  <c r="AH118" i="3"/>
  <c r="AH119" i="3"/>
  <c r="AH120" i="3"/>
  <c r="AH121" i="3"/>
  <c r="AH122" i="3"/>
  <c r="AH123" i="3"/>
  <c r="AH124" i="3"/>
  <c r="AH125" i="3"/>
  <c r="AH126" i="3"/>
  <c r="AH127" i="3"/>
  <c r="AH128" i="3"/>
  <c r="AH129" i="3"/>
  <c r="AH130" i="3"/>
  <c r="AH131" i="3"/>
  <c r="AH132" i="3"/>
  <c r="AH133" i="3"/>
  <c r="AH134" i="3"/>
  <c r="AH135" i="3"/>
  <c r="AH136" i="3"/>
  <c r="AH137" i="3"/>
  <c r="AH138" i="3"/>
  <c r="AH139" i="3"/>
  <c r="AH140" i="3"/>
  <c r="AH141" i="3"/>
  <c r="AH142" i="3"/>
  <c r="AH143" i="3"/>
  <c r="AH144" i="3"/>
  <c r="AH145" i="3"/>
  <c r="AH146" i="3"/>
  <c r="AH147" i="3"/>
  <c r="AH148"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80" i="3"/>
  <c r="AH181" i="3"/>
  <c r="AH182" i="3"/>
  <c r="AH183" i="3"/>
  <c r="AH184" i="3"/>
  <c r="AH185" i="3"/>
  <c r="AH186" i="3"/>
  <c r="AH187" i="3"/>
  <c r="AH188" i="3"/>
  <c r="AH189" i="3"/>
  <c r="AH190" i="3"/>
  <c r="AH191" i="3"/>
  <c r="AH192" i="3"/>
  <c r="AH193" i="3"/>
  <c r="AH194" i="3"/>
  <c r="AH195" i="3"/>
  <c r="AH196" i="3"/>
  <c r="AH197" i="3"/>
  <c r="AH198" i="3"/>
  <c r="AH199" i="3"/>
  <c r="AH200" i="3"/>
  <c r="AH201" i="3"/>
  <c r="AH202" i="3"/>
  <c r="AH203" i="3"/>
  <c r="AH204" i="3"/>
  <c r="AH205" i="3"/>
  <c r="AH206" i="3"/>
  <c r="AH207" i="3"/>
  <c r="AH208" i="3"/>
  <c r="AH209" i="3"/>
  <c r="AH210" i="3"/>
  <c r="AH211" i="3"/>
  <c r="AH212" i="3"/>
  <c r="AH213" i="3"/>
  <c r="AH214" i="3"/>
  <c r="AH215" i="3"/>
  <c r="AH216" i="3"/>
  <c r="AH217" i="3"/>
  <c r="AH218" i="3"/>
  <c r="AH219" i="3"/>
  <c r="AH220" i="3"/>
  <c r="AH221" i="3"/>
  <c r="AH222" i="3"/>
  <c r="AH223" i="3"/>
  <c r="AH224" i="3"/>
  <c r="AH225" i="3"/>
  <c r="AH226" i="3"/>
  <c r="AH227" i="3"/>
  <c r="AH228" i="3"/>
  <c r="AH229" i="3"/>
  <c r="AH230" i="3"/>
  <c r="AH231" i="3"/>
  <c r="AH232" i="3"/>
  <c r="AH233" i="3"/>
  <c r="AH234" i="3"/>
  <c r="AH235" i="3"/>
  <c r="AH236" i="3"/>
  <c r="AH237" i="3"/>
  <c r="AH238" i="3"/>
  <c r="AH239" i="3"/>
  <c r="AH240" i="3"/>
  <c r="AH241" i="3"/>
  <c r="AH242" i="3"/>
  <c r="AH243" i="3"/>
  <c r="AH244" i="3"/>
  <c r="AH245" i="3"/>
  <c r="AH246" i="3"/>
  <c r="AH247" i="3"/>
  <c r="AH248" i="3"/>
  <c r="AH249" i="3"/>
  <c r="AH250" i="3"/>
  <c r="AH251" i="3"/>
  <c r="AH252" i="3"/>
  <c r="AH253" i="3"/>
  <c r="AH254" i="3"/>
  <c r="AH255" i="3"/>
  <c r="AH256" i="3"/>
  <c r="AH257" i="3"/>
  <c r="AH258" i="3"/>
  <c r="AH259" i="3"/>
  <c r="AH260" i="3"/>
  <c r="AH261" i="3"/>
  <c r="AH262" i="3"/>
  <c r="AH263" i="3"/>
  <c r="AH264" i="3"/>
  <c r="AH265" i="3"/>
  <c r="AH266" i="3"/>
  <c r="AH267" i="3"/>
  <c r="AH268" i="3"/>
  <c r="AH269" i="3"/>
  <c r="AH270" i="3"/>
  <c r="AH271" i="3"/>
  <c r="AH272" i="3"/>
  <c r="AC64" i="3"/>
  <c r="AC65" i="3"/>
  <c r="AC66" i="3"/>
  <c r="AC67" i="3"/>
  <c r="AC68" i="3"/>
  <c r="AC69" i="3"/>
  <c r="AC70" i="3"/>
  <c r="AC71" i="3"/>
  <c r="AC72" i="3"/>
  <c r="AC73" i="3"/>
  <c r="AC74" i="3"/>
  <c r="AC75" i="3"/>
  <c r="AC76" i="3"/>
  <c r="AC77" i="3"/>
  <c r="AC78" i="3"/>
  <c r="AC79" i="3"/>
  <c r="AC80" i="3"/>
  <c r="AC81" i="3"/>
  <c r="AC82" i="3"/>
  <c r="AC83" i="3"/>
  <c r="AC84" i="3"/>
  <c r="AC85" i="3"/>
  <c r="AC86" i="3"/>
  <c r="AC87" i="3"/>
  <c r="AC88" i="3"/>
  <c r="AC89" i="3"/>
  <c r="AC90" i="3"/>
  <c r="AC91" i="3"/>
  <c r="AC92" i="3"/>
  <c r="AC93" i="3"/>
  <c r="AC94" i="3"/>
  <c r="AC95" i="3"/>
  <c r="AC96" i="3"/>
  <c r="AC97" i="3"/>
  <c r="AC98" i="3"/>
  <c r="AC99" i="3"/>
  <c r="AC100" i="3"/>
  <c r="AC101" i="3"/>
  <c r="AC102" i="3"/>
  <c r="AC103" i="3"/>
  <c r="AC104" i="3"/>
  <c r="AC105" i="3"/>
  <c r="AC106" i="3"/>
  <c r="AC107" i="3"/>
  <c r="AC108" i="3"/>
  <c r="AC109" i="3"/>
  <c r="AC110" i="3"/>
  <c r="AC111" i="3"/>
  <c r="AC112" i="3"/>
  <c r="AC113" i="3"/>
  <c r="AC114" i="3"/>
  <c r="AC115" i="3"/>
  <c r="AC116" i="3"/>
  <c r="AC117" i="3"/>
  <c r="AC118" i="3"/>
  <c r="AC119" i="3"/>
  <c r="AC120" i="3"/>
  <c r="AC121" i="3"/>
  <c r="AC122" i="3"/>
  <c r="AC123" i="3"/>
  <c r="AC124" i="3"/>
  <c r="AC125" i="3"/>
  <c r="AC126" i="3"/>
  <c r="AC127" i="3"/>
  <c r="AC128" i="3"/>
  <c r="AC129" i="3"/>
  <c r="AC130" i="3"/>
  <c r="AC131" i="3"/>
  <c r="AC132" i="3"/>
  <c r="AC133" i="3"/>
  <c r="AC134" i="3"/>
  <c r="AC135" i="3"/>
  <c r="AC136" i="3"/>
  <c r="AC137" i="3"/>
  <c r="AC138" i="3"/>
  <c r="AC139" i="3"/>
  <c r="AC140" i="3"/>
  <c r="AC141" i="3"/>
  <c r="AC142" i="3"/>
  <c r="AC143" i="3"/>
  <c r="AC144" i="3"/>
  <c r="AC145" i="3"/>
  <c r="AC146" i="3"/>
  <c r="AC147" i="3"/>
  <c r="AC148" i="3"/>
  <c r="AC149" i="3"/>
  <c r="AC150" i="3"/>
  <c r="AC151" i="3"/>
  <c r="AC152" i="3"/>
  <c r="AC153" i="3"/>
  <c r="AC154" i="3"/>
  <c r="AC155" i="3"/>
  <c r="AC156" i="3"/>
  <c r="AC157" i="3"/>
  <c r="AC158" i="3"/>
  <c r="AC159" i="3"/>
  <c r="AC160" i="3"/>
  <c r="AC161" i="3"/>
  <c r="AC162" i="3"/>
  <c r="AC163" i="3"/>
  <c r="AC164" i="3"/>
  <c r="AC165" i="3"/>
  <c r="AC166" i="3"/>
  <c r="AC167" i="3"/>
  <c r="AC168" i="3"/>
  <c r="AC169" i="3"/>
  <c r="AC170" i="3"/>
  <c r="AC171" i="3"/>
  <c r="AC172" i="3"/>
  <c r="AC173" i="3"/>
  <c r="AC174" i="3"/>
  <c r="AC175" i="3"/>
  <c r="AC176" i="3"/>
  <c r="AC177" i="3"/>
  <c r="AC178" i="3"/>
  <c r="AC179" i="3"/>
  <c r="AC180" i="3"/>
  <c r="AC181" i="3"/>
  <c r="AC182" i="3"/>
  <c r="AC183" i="3"/>
  <c r="AC184" i="3"/>
  <c r="AC185" i="3"/>
  <c r="AC186" i="3"/>
  <c r="AC187" i="3"/>
  <c r="AC188" i="3"/>
  <c r="AC189" i="3"/>
  <c r="AC190" i="3"/>
  <c r="AC191" i="3"/>
  <c r="AC192" i="3"/>
  <c r="AC193" i="3"/>
  <c r="AC194" i="3"/>
  <c r="AC195" i="3"/>
  <c r="AC196" i="3"/>
  <c r="AC197" i="3"/>
  <c r="AC198" i="3"/>
  <c r="AC199" i="3"/>
  <c r="AC200" i="3"/>
  <c r="AC201" i="3"/>
  <c r="AC202" i="3"/>
  <c r="AC203" i="3"/>
  <c r="AC204" i="3"/>
  <c r="AC205" i="3"/>
  <c r="AC206" i="3"/>
  <c r="AC207" i="3"/>
  <c r="AC208" i="3"/>
  <c r="AC209" i="3"/>
  <c r="AC210" i="3"/>
  <c r="AC211" i="3"/>
  <c r="AC212" i="3"/>
  <c r="AC213" i="3"/>
  <c r="AC214" i="3"/>
  <c r="AC215" i="3"/>
  <c r="AC216" i="3"/>
  <c r="AC217" i="3"/>
  <c r="AC218" i="3"/>
  <c r="AC219" i="3"/>
  <c r="AC220" i="3"/>
  <c r="AC221" i="3"/>
  <c r="AC222" i="3"/>
  <c r="AC223" i="3"/>
  <c r="AC224" i="3"/>
  <c r="AC225" i="3"/>
  <c r="AC226" i="3"/>
  <c r="AC227" i="3"/>
  <c r="AC228" i="3"/>
  <c r="AC229" i="3"/>
  <c r="AC230" i="3"/>
  <c r="AC231" i="3"/>
  <c r="AC232" i="3"/>
  <c r="AC233" i="3"/>
  <c r="AC234" i="3"/>
  <c r="AC235" i="3"/>
  <c r="AC236" i="3"/>
  <c r="AC237" i="3"/>
  <c r="AC238" i="3"/>
  <c r="AC239" i="3"/>
  <c r="AC240" i="3"/>
  <c r="AC241" i="3"/>
  <c r="AC242" i="3"/>
  <c r="AC243" i="3"/>
  <c r="AC244" i="3"/>
  <c r="AC245" i="3"/>
  <c r="AC246" i="3"/>
  <c r="AC247" i="3"/>
  <c r="AC248" i="3"/>
  <c r="AC249" i="3"/>
  <c r="AC250" i="3"/>
  <c r="AC251" i="3"/>
  <c r="AC252" i="3"/>
  <c r="AC253" i="3"/>
  <c r="AC254" i="3"/>
  <c r="AC255" i="3"/>
  <c r="AC256" i="3"/>
  <c r="AC257" i="3"/>
  <c r="AC258" i="3"/>
  <c r="AC259" i="3"/>
  <c r="AC260" i="3"/>
  <c r="AC261" i="3"/>
  <c r="AC262" i="3"/>
  <c r="AC263" i="3"/>
  <c r="AC264" i="3"/>
  <c r="AC265" i="3"/>
  <c r="AC266" i="3"/>
  <c r="AC267" i="3"/>
  <c r="AC268" i="3"/>
  <c r="AC269" i="3"/>
  <c r="AC270" i="3"/>
  <c r="AC271" i="3"/>
  <c r="AC272"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226" i="3"/>
  <c r="I227" i="3"/>
  <c r="I228" i="3"/>
  <c r="I229" i="3"/>
  <c r="I230" i="3"/>
  <c r="I231" i="3"/>
  <c r="I232" i="3"/>
  <c r="I233" i="3"/>
  <c r="I234" i="3"/>
  <c r="I235" i="3"/>
  <c r="I236" i="3"/>
  <c r="I237" i="3"/>
  <c r="I238" i="3"/>
  <c r="I239" i="3"/>
  <c r="I240" i="3"/>
  <c r="I241" i="3"/>
  <c r="I242" i="3"/>
  <c r="I243" i="3"/>
  <c r="I244" i="3"/>
  <c r="I245" i="3"/>
  <c r="I246" i="3"/>
  <c r="I247" i="3"/>
  <c r="I248" i="3"/>
  <c r="I249" i="3"/>
  <c r="I250" i="3"/>
  <c r="I251" i="3"/>
  <c r="I252" i="3"/>
  <c r="I253" i="3"/>
  <c r="I254" i="3"/>
  <c r="I255" i="3"/>
  <c r="I256" i="3"/>
  <c r="I257" i="3"/>
  <c r="I258" i="3"/>
  <c r="I259" i="3"/>
  <c r="I260" i="3"/>
  <c r="I261" i="3"/>
  <c r="I262" i="3"/>
  <c r="I263" i="3"/>
  <c r="I264" i="3"/>
  <c r="I265" i="3"/>
  <c r="I266" i="3"/>
  <c r="I267" i="3"/>
  <c r="I268" i="3"/>
  <c r="I269" i="3"/>
  <c r="I270" i="3"/>
  <c r="I271" i="3"/>
  <c r="I272" i="3"/>
  <c r="G12" i="15" l="1"/>
  <c r="F12" i="15" s="1"/>
  <c r="AB11" i="15"/>
  <c r="AD11" i="15" s="1"/>
  <c r="AB12" i="15"/>
  <c r="AD12" i="15" s="1"/>
  <c r="J263" i="6"/>
  <c r="I263" i="6"/>
  <c r="H263" i="6"/>
  <c r="G263" i="6"/>
  <c r="F263" i="6"/>
  <c r="E263" i="6"/>
  <c r="D263" i="6"/>
  <c r="C263" i="6"/>
  <c r="B263" i="6"/>
  <c r="J262" i="6"/>
  <c r="I262" i="6"/>
  <c r="H262" i="6"/>
  <c r="G262" i="6"/>
  <c r="F262" i="6"/>
  <c r="E262" i="6"/>
  <c r="D262" i="6"/>
  <c r="C262" i="6"/>
  <c r="B262" i="6"/>
  <c r="J261" i="6"/>
  <c r="I261" i="6"/>
  <c r="H261" i="6"/>
  <c r="G261" i="6"/>
  <c r="F261" i="6"/>
  <c r="E261" i="6"/>
  <c r="D261" i="6"/>
  <c r="C261" i="6"/>
  <c r="B261" i="6"/>
  <c r="J260" i="6"/>
  <c r="I260" i="6"/>
  <c r="H260" i="6"/>
  <c r="G260" i="6"/>
  <c r="F260" i="6"/>
  <c r="E260" i="6"/>
  <c r="D260" i="6"/>
  <c r="C260" i="6"/>
  <c r="B260" i="6"/>
  <c r="J259" i="6"/>
  <c r="I259" i="6"/>
  <c r="H259" i="6"/>
  <c r="G259" i="6"/>
  <c r="F259" i="6"/>
  <c r="E259" i="6"/>
  <c r="D259" i="6"/>
  <c r="C259" i="6"/>
  <c r="B259" i="6"/>
  <c r="J258" i="6"/>
  <c r="I258" i="6"/>
  <c r="H258" i="6"/>
  <c r="G258" i="6"/>
  <c r="F258" i="6"/>
  <c r="E258" i="6"/>
  <c r="D258" i="6"/>
  <c r="C258" i="6"/>
  <c r="B258" i="6"/>
  <c r="J257" i="6"/>
  <c r="I257" i="6"/>
  <c r="H257" i="6"/>
  <c r="G257" i="6"/>
  <c r="F257" i="6"/>
  <c r="E257" i="6"/>
  <c r="D257" i="6"/>
  <c r="C257" i="6"/>
  <c r="B257" i="6"/>
  <c r="J256" i="6"/>
  <c r="I256" i="6"/>
  <c r="H256" i="6"/>
  <c r="G256" i="6"/>
  <c r="F256" i="6"/>
  <c r="E256" i="6"/>
  <c r="D256" i="6"/>
  <c r="C256" i="6"/>
  <c r="B256" i="6"/>
  <c r="J255" i="6"/>
  <c r="I255" i="6"/>
  <c r="H255" i="6"/>
  <c r="G255" i="6"/>
  <c r="F255" i="6"/>
  <c r="E255" i="6"/>
  <c r="D255" i="6"/>
  <c r="C255" i="6"/>
  <c r="B255" i="6"/>
  <c r="J254" i="6"/>
  <c r="I254" i="6"/>
  <c r="H254" i="6"/>
  <c r="G254" i="6"/>
  <c r="F254" i="6"/>
  <c r="E254" i="6"/>
  <c r="D254" i="6"/>
  <c r="C254" i="6"/>
  <c r="B254" i="6"/>
  <c r="J253" i="6"/>
  <c r="I253" i="6"/>
  <c r="H253" i="6"/>
  <c r="G253" i="6"/>
  <c r="F253" i="6"/>
  <c r="E253" i="6"/>
  <c r="D253" i="6"/>
  <c r="C253" i="6"/>
  <c r="B253" i="6"/>
  <c r="J252" i="6"/>
  <c r="I252" i="6"/>
  <c r="H252" i="6"/>
  <c r="G252" i="6"/>
  <c r="F252" i="6"/>
  <c r="E252" i="6"/>
  <c r="D252" i="6"/>
  <c r="C252" i="6"/>
  <c r="B252" i="6"/>
  <c r="J251" i="6"/>
  <c r="I251" i="6"/>
  <c r="H251" i="6"/>
  <c r="G251" i="6"/>
  <c r="F251" i="6"/>
  <c r="E251" i="6"/>
  <c r="D251" i="6"/>
  <c r="C251" i="6"/>
  <c r="B251" i="6"/>
  <c r="J250" i="6"/>
  <c r="I250" i="6"/>
  <c r="H250" i="6"/>
  <c r="G250" i="6"/>
  <c r="F250" i="6"/>
  <c r="E250" i="6"/>
  <c r="D250" i="6"/>
  <c r="C250" i="6"/>
  <c r="B250" i="6"/>
  <c r="J249" i="6"/>
  <c r="I249" i="6"/>
  <c r="H249" i="6"/>
  <c r="G249" i="6"/>
  <c r="F249" i="6"/>
  <c r="E249" i="6"/>
  <c r="D249" i="6"/>
  <c r="C249" i="6"/>
  <c r="B249" i="6"/>
  <c r="J248" i="6"/>
  <c r="I248" i="6"/>
  <c r="H248" i="6"/>
  <c r="G248" i="6"/>
  <c r="F248" i="6"/>
  <c r="E248" i="6"/>
  <c r="D248" i="6"/>
  <c r="C248" i="6"/>
  <c r="B248" i="6"/>
  <c r="J247" i="6"/>
  <c r="I247" i="6"/>
  <c r="H247" i="6"/>
  <c r="G247" i="6"/>
  <c r="F247" i="6"/>
  <c r="E247" i="6"/>
  <c r="D247" i="6"/>
  <c r="C247" i="6"/>
  <c r="B247" i="6"/>
  <c r="J246" i="6"/>
  <c r="I246" i="6"/>
  <c r="H246" i="6"/>
  <c r="G246" i="6"/>
  <c r="F246" i="6"/>
  <c r="E246" i="6"/>
  <c r="D246" i="6"/>
  <c r="C246" i="6"/>
  <c r="B246" i="6"/>
  <c r="J245" i="6"/>
  <c r="I245" i="6"/>
  <c r="H245" i="6"/>
  <c r="G245" i="6"/>
  <c r="F245" i="6"/>
  <c r="E245" i="6"/>
  <c r="D245" i="6"/>
  <c r="C245" i="6"/>
  <c r="B245" i="6"/>
  <c r="J244" i="6"/>
  <c r="I244" i="6"/>
  <c r="H244" i="6"/>
  <c r="G244" i="6"/>
  <c r="F244" i="6"/>
  <c r="E244" i="6"/>
  <c r="D244" i="6"/>
  <c r="C244" i="6"/>
  <c r="B244" i="6"/>
  <c r="J243" i="6"/>
  <c r="I243" i="6"/>
  <c r="H243" i="6"/>
  <c r="G243" i="6"/>
  <c r="F243" i="6"/>
  <c r="E243" i="6"/>
  <c r="D243" i="6"/>
  <c r="C243" i="6"/>
  <c r="B243" i="6"/>
  <c r="J242" i="6"/>
  <c r="I242" i="6"/>
  <c r="H242" i="6"/>
  <c r="G242" i="6"/>
  <c r="F242" i="6"/>
  <c r="E242" i="6"/>
  <c r="D242" i="6"/>
  <c r="C242" i="6"/>
  <c r="B242" i="6"/>
  <c r="J241" i="6"/>
  <c r="I241" i="6"/>
  <c r="H241" i="6"/>
  <c r="G241" i="6"/>
  <c r="F241" i="6"/>
  <c r="E241" i="6"/>
  <c r="D241" i="6"/>
  <c r="C241" i="6"/>
  <c r="B241" i="6"/>
  <c r="J240" i="6"/>
  <c r="I240" i="6"/>
  <c r="H240" i="6"/>
  <c r="G240" i="6"/>
  <c r="F240" i="6"/>
  <c r="E240" i="6"/>
  <c r="D240" i="6"/>
  <c r="C240" i="6"/>
  <c r="B240" i="6"/>
  <c r="J239" i="6"/>
  <c r="I239" i="6"/>
  <c r="H239" i="6"/>
  <c r="G239" i="6"/>
  <c r="F239" i="6"/>
  <c r="E239" i="6"/>
  <c r="D239" i="6"/>
  <c r="C239" i="6"/>
  <c r="B239" i="6"/>
  <c r="J238" i="6"/>
  <c r="I238" i="6"/>
  <c r="H238" i="6"/>
  <c r="G238" i="6"/>
  <c r="F238" i="6"/>
  <c r="E238" i="6"/>
  <c r="D238" i="6"/>
  <c r="C238" i="6"/>
  <c r="B238" i="6"/>
  <c r="J237" i="6"/>
  <c r="I237" i="6"/>
  <c r="H237" i="6"/>
  <c r="G237" i="6"/>
  <c r="F237" i="6"/>
  <c r="E237" i="6"/>
  <c r="D237" i="6"/>
  <c r="C237" i="6"/>
  <c r="B237" i="6"/>
  <c r="J236" i="6"/>
  <c r="I236" i="6"/>
  <c r="H236" i="6"/>
  <c r="G236" i="6"/>
  <c r="F236" i="6"/>
  <c r="E236" i="6"/>
  <c r="D236" i="6"/>
  <c r="C236" i="6"/>
  <c r="B236" i="6"/>
  <c r="J235" i="6"/>
  <c r="I235" i="6"/>
  <c r="H235" i="6"/>
  <c r="G235" i="6"/>
  <c r="F235" i="6"/>
  <c r="E235" i="6"/>
  <c r="D235" i="6"/>
  <c r="C235" i="6"/>
  <c r="B235" i="6"/>
  <c r="J234" i="6"/>
  <c r="I234" i="6"/>
  <c r="H234" i="6"/>
  <c r="G234" i="6"/>
  <c r="F234" i="6"/>
  <c r="E234" i="6"/>
  <c r="D234" i="6"/>
  <c r="C234" i="6"/>
  <c r="B234" i="6"/>
  <c r="J233" i="6"/>
  <c r="I233" i="6"/>
  <c r="H233" i="6"/>
  <c r="G233" i="6"/>
  <c r="F233" i="6"/>
  <c r="E233" i="6"/>
  <c r="D233" i="6"/>
  <c r="C233" i="6"/>
  <c r="B233" i="6"/>
  <c r="J232" i="6"/>
  <c r="I232" i="6"/>
  <c r="H232" i="6"/>
  <c r="G232" i="6"/>
  <c r="F232" i="6"/>
  <c r="E232" i="6"/>
  <c r="D232" i="6"/>
  <c r="C232" i="6"/>
  <c r="B232" i="6"/>
  <c r="J231" i="6"/>
  <c r="I231" i="6"/>
  <c r="H231" i="6"/>
  <c r="G231" i="6"/>
  <c r="F231" i="6"/>
  <c r="E231" i="6"/>
  <c r="D231" i="6"/>
  <c r="C231" i="6"/>
  <c r="B231" i="6"/>
  <c r="J230" i="6"/>
  <c r="I230" i="6"/>
  <c r="H230" i="6"/>
  <c r="G230" i="6"/>
  <c r="F230" i="6"/>
  <c r="E230" i="6"/>
  <c r="D230" i="6"/>
  <c r="C230" i="6"/>
  <c r="B230" i="6"/>
  <c r="J229" i="6"/>
  <c r="I229" i="6"/>
  <c r="H229" i="6"/>
  <c r="G229" i="6"/>
  <c r="F229" i="6"/>
  <c r="E229" i="6"/>
  <c r="D229" i="6"/>
  <c r="C229" i="6"/>
  <c r="B229" i="6"/>
  <c r="J228" i="6"/>
  <c r="I228" i="6"/>
  <c r="H228" i="6"/>
  <c r="G228" i="6"/>
  <c r="F228" i="6"/>
  <c r="E228" i="6"/>
  <c r="D228" i="6"/>
  <c r="C228" i="6"/>
  <c r="B228" i="6"/>
  <c r="J227" i="6"/>
  <c r="I227" i="6"/>
  <c r="H227" i="6"/>
  <c r="G227" i="6"/>
  <c r="F227" i="6"/>
  <c r="E227" i="6"/>
  <c r="D227" i="6"/>
  <c r="C227" i="6"/>
  <c r="B227" i="6"/>
  <c r="J226" i="6"/>
  <c r="I226" i="6"/>
  <c r="H226" i="6"/>
  <c r="G226" i="6"/>
  <c r="F226" i="6"/>
  <c r="E226" i="6"/>
  <c r="D226" i="6"/>
  <c r="C226" i="6"/>
  <c r="B226" i="6"/>
  <c r="J225" i="6"/>
  <c r="I225" i="6"/>
  <c r="H225" i="6"/>
  <c r="G225" i="6"/>
  <c r="F225" i="6"/>
  <c r="E225" i="6"/>
  <c r="D225" i="6"/>
  <c r="C225" i="6"/>
  <c r="B225" i="6"/>
  <c r="J224" i="6"/>
  <c r="I224" i="6"/>
  <c r="H224" i="6"/>
  <c r="G224" i="6"/>
  <c r="F224" i="6"/>
  <c r="E224" i="6"/>
  <c r="D224" i="6"/>
  <c r="C224" i="6"/>
  <c r="B224" i="6"/>
  <c r="J223" i="6"/>
  <c r="I223" i="6"/>
  <c r="H223" i="6"/>
  <c r="G223" i="6"/>
  <c r="F223" i="6"/>
  <c r="E223" i="6"/>
  <c r="D223" i="6"/>
  <c r="C223" i="6"/>
  <c r="B223" i="6"/>
  <c r="J222" i="6"/>
  <c r="I222" i="6"/>
  <c r="H222" i="6"/>
  <c r="G222" i="6"/>
  <c r="F222" i="6"/>
  <c r="E222" i="6"/>
  <c r="D222" i="6"/>
  <c r="C222" i="6"/>
  <c r="B222" i="6"/>
  <c r="J221" i="6"/>
  <c r="I221" i="6"/>
  <c r="H221" i="6"/>
  <c r="G221" i="6"/>
  <c r="F221" i="6"/>
  <c r="E221" i="6"/>
  <c r="D221" i="6"/>
  <c r="C221" i="6"/>
  <c r="B221" i="6"/>
  <c r="J220" i="6"/>
  <c r="I220" i="6"/>
  <c r="H220" i="6"/>
  <c r="G220" i="6"/>
  <c r="F220" i="6"/>
  <c r="E220" i="6"/>
  <c r="D220" i="6"/>
  <c r="C220" i="6"/>
  <c r="B220" i="6"/>
  <c r="J219" i="6"/>
  <c r="I219" i="6"/>
  <c r="H219" i="6"/>
  <c r="G219" i="6"/>
  <c r="F219" i="6"/>
  <c r="E219" i="6"/>
  <c r="D219" i="6"/>
  <c r="C219" i="6"/>
  <c r="B219" i="6"/>
  <c r="J218" i="6"/>
  <c r="I218" i="6"/>
  <c r="H218" i="6"/>
  <c r="G218" i="6"/>
  <c r="F218" i="6"/>
  <c r="E218" i="6"/>
  <c r="D218" i="6"/>
  <c r="C218" i="6"/>
  <c r="B218" i="6"/>
  <c r="J217" i="6"/>
  <c r="I217" i="6"/>
  <c r="H217" i="6"/>
  <c r="G217" i="6"/>
  <c r="F217" i="6"/>
  <c r="E217" i="6"/>
  <c r="D217" i="6"/>
  <c r="C217" i="6"/>
  <c r="B217" i="6"/>
  <c r="J216" i="6"/>
  <c r="I216" i="6"/>
  <c r="H216" i="6"/>
  <c r="G216" i="6"/>
  <c r="F216" i="6"/>
  <c r="E216" i="6"/>
  <c r="D216" i="6"/>
  <c r="C216" i="6"/>
  <c r="B216" i="6"/>
  <c r="J215" i="6"/>
  <c r="I215" i="6"/>
  <c r="H215" i="6"/>
  <c r="G215" i="6"/>
  <c r="F215" i="6"/>
  <c r="E215" i="6"/>
  <c r="D215" i="6"/>
  <c r="C215" i="6"/>
  <c r="B215" i="6"/>
  <c r="J214" i="6"/>
  <c r="I214" i="6"/>
  <c r="H214" i="6"/>
  <c r="G214" i="6"/>
  <c r="F214" i="6"/>
  <c r="E214" i="6"/>
  <c r="D214" i="6"/>
  <c r="C214" i="6"/>
  <c r="B214" i="6"/>
  <c r="J213" i="6"/>
  <c r="I213" i="6"/>
  <c r="H213" i="6"/>
  <c r="G213" i="6"/>
  <c r="F213" i="6"/>
  <c r="E213" i="6"/>
  <c r="D213" i="6"/>
  <c r="C213" i="6"/>
  <c r="B213" i="6"/>
  <c r="J212" i="6"/>
  <c r="I212" i="6"/>
  <c r="H212" i="6"/>
  <c r="G212" i="6"/>
  <c r="F212" i="6"/>
  <c r="E212" i="6"/>
  <c r="D212" i="6"/>
  <c r="C212" i="6"/>
  <c r="B212" i="6"/>
  <c r="J211" i="6"/>
  <c r="I211" i="6"/>
  <c r="H211" i="6"/>
  <c r="G211" i="6"/>
  <c r="F211" i="6"/>
  <c r="E211" i="6"/>
  <c r="D211" i="6"/>
  <c r="C211" i="6"/>
  <c r="B211" i="6"/>
  <c r="J210" i="6"/>
  <c r="I210" i="6"/>
  <c r="H210" i="6"/>
  <c r="G210" i="6"/>
  <c r="F210" i="6"/>
  <c r="E210" i="6"/>
  <c r="D210" i="6"/>
  <c r="C210" i="6"/>
  <c r="B210" i="6"/>
  <c r="J209" i="6"/>
  <c r="I209" i="6"/>
  <c r="H209" i="6"/>
  <c r="G209" i="6"/>
  <c r="F209" i="6"/>
  <c r="E209" i="6"/>
  <c r="D209" i="6"/>
  <c r="C209" i="6"/>
  <c r="B209" i="6"/>
  <c r="J208" i="6"/>
  <c r="I208" i="6"/>
  <c r="H208" i="6"/>
  <c r="G208" i="6"/>
  <c r="F208" i="6"/>
  <c r="E208" i="6"/>
  <c r="D208" i="6"/>
  <c r="C208" i="6"/>
  <c r="B208" i="6"/>
  <c r="J207" i="6"/>
  <c r="I207" i="6"/>
  <c r="H207" i="6"/>
  <c r="G207" i="6"/>
  <c r="F207" i="6"/>
  <c r="E207" i="6"/>
  <c r="D207" i="6"/>
  <c r="C207" i="6"/>
  <c r="B207" i="6"/>
  <c r="J206" i="6"/>
  <c r="I206" i="6"/>
  <c r="H206" i="6"/>
  <c r="G206" i="6"/>
  <c r="F206" i="6"/>
  <c r="E206" i="6"/>
  <c r="D206" i="6"/>
  <c r="C206" i="6"/>
  <c r="B206" i="6"/>
  <c r="J205" i="6"/>
  <c r="I205" i="6"/>
  <c r="H205" i="6"/>
  <c r="G205" i="6"/>
  <c r="F205" i="6"/>
  <c r="E205" i="6"/>
  <c r="D205" i="6"/>
  <c r="C205" i="6"/>
  <c r="B205" i="6"/>
  <c r="J204" i="6"/>
  <c r="I204" i="6"/>
  <c r="H204" i="6"/>
  <c r="G204" i="6"/>
  <c r="F204" i="6"/>
  <c r="E204" i="6"/>
  <c r="D204" i="6"/>
  <c r="C204" i="6"/>
  <c r="B204" i="6"/>
  <c r="J203" i="6"/>
  <c r="I203" i="6"/>
  <c r="H203" i="6"/>
  <c r="G203" i="6"/>
  <c r="F203" i="6"/>
  <c r="E203" i="6"/>
  <c r="D203" i="6"/>
  <c r="C203" i="6"/>
  <c r="B203" i="6"/>
  <c r="J202" i="6"/>
  <c r="I202" i="6"/>
  <c r="H202" i="6"/>
  <c r="G202" i="6"/>
  <c r="F202" i="6"/>
  <c r="E202" i="6"/>
  <c r="D202" i="6"/>
  <c r="C202" i="6"/>
  <c r="B202" i="6"/>
  <c r="J201" i="6"/>
  <c r="I201" i="6"/>
  <c r="H201" i="6"/>
  <c r="G201" i="6"/>
  <c r="F201" i="6"/>
  <c r="E201" i="6"/>
  <c r="D201" i="6"/>
  <c r="C201" i="6"/>
  <c r="B201" i="6"/>
  <c r="J200" i="6"/>
  <c r="I200" i="6"/>
  <c r="H200" i="6"/>
  <c r="G200" i="6"/>
  <c r="F200" i="6"/>
  <c r="E200" i="6"/>
  <c r="D200" i="6"/>
  <c r="C200" i="6"/>
  <c r="B200" i="6"/>
  <c r="J199" i="6"/>
  <c r="I199" i="6"/>
  <c r="H199" i="6"/>
  <c r="G199" i="6"/>
  <c r="F199" i="6"/>
  <c r="E199" i="6"/>
  <c r="D199" i="6"/>
  <c r="C199" i="6"/>
  <c r="B199" i="6"/>
  <c r="J198" i="6"/>
  <c r="I198" i="6"/>
  <c r="H198" i="6"/>
  <c r="G198" i="6"/>
  <c r="F198" i="6"/>
  <c r="E198" i="6"/>
  <c r="D198" i="6"/>
  <c r="C198" i="6"/>
  <c r="B198" i="6"/>
  <c r="J197" i="6"/>
  <c r="I197" i="6"/>
  <c r="H197" i="6"/>
  <c r="G197" i="6"/>
  <c r="F197" i="6"/>
  <c r="E197" i="6"/>
  <c r="D197" i="6"/>
  <c r="C197" i="6"/>
  <c r="B197" i="6"/>
  <c r="J196" i="6"/>
  <c r="I196" i="6"/>
  <c r="H196" i="6"/>
  <c r="G196" i="6"/>
  <c r="F196" i="6"/>
  <c r="E196" i="6"/>
  <c r="D196" i="6"/>
  <c r="C196" i="6"/>
  <c r="B196" i="6"/>
  <c r="J195" i="6"/>
  <c r="I195" i="6"/>
  <c r="H195" i="6"/>
  <c r="G195" i="6"/>
  <c r="F195" i="6"/>
  <c r="E195" i="6"/>
  <c r="D195" i="6"/>
  <c r="C195" i="6"/>
  <c r="B195" i="6"/>
  <c r="J194" i="6"/>
  <c r="I194" i="6"/>
  <c r="H194" i="6"/>
  <c r="G194" i="6"/>
  <c r="F194" i="6"/>
  <c r="E194" i="6"/>
  <c r="D194" i="6"/>
  <c r="C194" i="6"/>
  <c r="B194" i="6"/>
  <c r="J193" i="6"/>
  <c r="I193" i="6"/>
  <c r="H193" i="6"/>
  <c r="G193" i="6"/>
  <c r="F193" i="6"/>
  <c r="E193" i="6"/>
  <c r="D193" i="6"/>
  <c r="C193" i="6"/>
  <c r="B193" i="6"/>
  <c r="J192" i="6"/>
  <c r="I192" i="6"/>
  <c r="H192" i="6"/>
  <c r="G192" i="6"/>
  <c r="F192" i="6"/>
  <c r="E192" i="6"/>
  <c r="D192" i="6"/>
  <c r="C192" i="6"/>
  <c r="B192" i="6"/>
  <c r="J191" i="6"/>
  <c r="I191" i="6"/>
  <c r="H191" i="6"/>
  <c r="G191" i="6"/>
  <c r="F191" i="6"/>
  <c r="E191" i="6"/>
  <c r="D191" i="6"/>
  <c r="C191" i="6"/>
  <c r="B191" i="6"/>
  <c r="J190" i="6"/>
  <c r="I190" i="6"/>
  <c r="H190" i="6"/>
  <c r="G190" i="6"/>
  <c r="F190" i="6"/>
  <c r="E190" i="6"/>
  <c r="D190" i="6"/>
  <c r="C190" i="6"/>
  <c r="B190" i="6"/>
  <c r="J189" i="6"/>
  <c r="I189" i="6"/>
  <c r="H189" i="6"/>
  <c r="G189" i="6"/>
  <c r="F189" i="6"/>
  <c r="E189" i="6"/>
  <c r="D189" i="6"/>
  <c r="C189" i="6"/>
  <c r="B189" i="6"/>
  <c r="J188" i="6"/>
  <c r="I188" i="6"/>
  <c r="H188" i="6"/>
  <c r="G188" i="6"/>
  <c r="F188" i="6"/>
  <c r="E188" i="6"/>
  <c r="D188" i="6"/>
  <c r="C188" i="6"/>
  <c r="B188" i="6"/>
  <c r="J187" i="6"/>
  <c r="I187" i="6"/>
  <c r="H187" i="6"/>
  <c r="G187" i="6"/>
  <c r="F187" i="6"/>
  <c r="E187" i="6"/>
  <c r="D187" i="6"/>
  <c r="C187" i="6"/>
  <c r="B187" i="6"/>
  <c r="J186" i="6"/>
  <c r="I186" i="6"/>
  <c r="H186" i="6"/>
  <c r="G186" i="6"/>
  <c r="F186" i="6"/>
  <c r="E186" i="6"/>
  <c r="D186" i="6"/>
  <c r="C186" i="6"/>
  <c r="B186" i="6"/>
  <c r="J185" i="6"/>
  <c r="I185" i="6"/>
  <c r="H185" i="6"/>
  <c r="G185" i="6"/>
  <c r="F185" i="6"/>
  <c r="E185" i="6"/>
  <c r="D185" i="6"/>
  <c r="C185" i="6"/>
  <c r="B185" i="6"/>
  <c r="J184" i="6"/>
  <c r="I184" i="6"/>
  <c r="H184" i="6"/>
  <c r="G184" i="6"/>
  <c r="F184" i="6"/>
  <c r="E184" i="6"/>
  <c r="D184" i="6"/>
  <c r="C184" i="6"/>
  <c r="B184" i="6"/>
  <c r="J183" i="6"/>
  <c r="I183" i="6"/>
  <c r="H183" i="6"/>
  <c r="G183" i="6"/>
  <c r="F183" i="6"/>
  <c r="E183" i="6"/>
  <c r="D183" i="6"/>
  <c r="C183" i="6"/>
  <c r="B183" i="6"/>
  <c r="J182" i="6"/>
  <c r="I182" i="6"/>
  <c r="H182" i="6"/>
  <c r="G182" i="6"/>
  <c r="F182" i="6"/>
  <c r="E182" i="6"/>
  <c r="D182" i="6"/>
  <c r="C182" i="6"/>
  <c r="B182" i="6"/>
  <c r="J181" i="6"/>
  <c r="I181" i="6"/>
  <c r="H181" i="6"/>
  <c r="G181" i="6"/>
  <c r="F181" i="6"/>
  <c r="E181" i="6"/>
  <c r="D181" i="6"/>
  <c r="C181" i="6"/>
  <c r="B181" i="6"/>
  <c r="J180" i="6"/>
  <c r="I180" i="6"/>
  <c r="H180" i="6"/>
  <c r="G180" i="6"/>
  <c r="F180" i="6"/>
  <c r="E180" i="6"/>
  <c r="D180" i="6"/>
  <c r="C180" i="6"/>
  <c r="B180" i="6"/>
  <c r="J179" i="6"/>
  <c r="I179" i="6"/>
  <c r="H179" i="6"/>
  <c r="G179" i="6"/>
  <c r="F179" i="6"/>
  <c r="E179" i="6"/>
  <c r="D179" i="6"/>
  <c r="C179" i="6"/>
  <c r="B179" i="6"/>
  <c r="J178" i="6"/>
  <c r="I178" i="6"/>
  <c r="H178" i="6"/>
  <c r="G178" i="6"/>
  <c r="F178" i="6"/>
  <c r="E178" i="6"/>
  <c r="D178" i="6"/>
  <c r="C178" i="6"/>
  <c r="B178" i="6"/>
  <c r="J177" i="6"/>
  <c r="I177" i="6"/>
  <c r="H177" i="6"/>
  <c r="G177" i="6"/>
  <c r="F177" i="6"/>
  <c r="E177" i="6"/>
  <c r="D177" i="6"/>
  <c r="C177" i="6"/>
  <c r="B177" i="6"/>
  <c r="J176" i="6"/>
  <c r="I176" i="6"/>
  <c r="H176" i="6"/>
  <c r="G176" i="6"/>
  <c r="F176" i="6"/>
  <c r="E176" i="6"/>
  <c r="D176" i="6"/>
  <c r="C176" i="6"/>
  <c r="B176" i="6"/>
  <c r="J175" i="6"/>
  <c r="I175" i="6"/>
  <c r="H175" i="6"/>
  <c r="G175" i="6"/>
  <c r="F175" i="6"/>
  <c r="E175" i="6"/>
  <c r="D175" i="6"/>
  <c r="C175" i="6"/>
  <c r="B175" i="6"/>
  <c r="J174" i="6"/>
  <c r="I174" i="6"/>
  <c r="H174" i="6"/>
  <c r="G174" i="6"/>
  <c r="F174" i="6"/>
  <c r="E174" i="6"/>
  <c r="D174" i="6"/>
  <c r="C174" i="6"/>
  <c r="B174" i="6"/>
  <c r="J173" i="6"/>
  <c r="I173" i="6"/>
  <c r="H173" i="6"/>
  <c r="G173" i="6"/>
  <c r="F173" i="6"/>
  <c r="E173" i="6"/>
  <c r="D173" i="6"/>
  <c r="C173" i="6"/>
  <c r="B173" i="6"/>
  <c r="J172" i="6"/>
  <c r="I172" i="6"/>
  <c r="H172" i="6"/>
  <c r="G172" i="6"/>
  <c r="F172" i="6"/>
  <c r="E172" i="6"/>
  <c r="D172" i="6"/>
  <c r="C172" i="6"/>
  <c r="B172" i="6"/>
  <c r="J171" i="6"/>
  <c r="I171" i="6"/>
  <c r="H171" i="6"/>
  <c r="G171" i="6"/>
  <c r="F171" i="6"/>
  <c r="E171" i="6"/>
  <c r="D171" i="6"/>
  <c r="C171" i="6"/>
  <c r="B171" i="6"/>
  <c r="J170" i="6"/>
  <c r="I170" i="6"/>
  <c r="H170" i="6"/>
  <c r="G170" i="6"/>
  <c r="F170" i="6"/>
  <c r="E170" i="6"/>
  <c r="D170" i="6"/>
  <c r="C170" i="6"/>
  <c r="B170" i="6"/>
  <c r="J169" i="6"/>
  <c r="I169" i="6"/>
  <c r="H169" i="6"/>
  <c r="G169" i="6"/>
  <c r="F169" i="6"/>
  <c r="E169" i="6"/>
  <c r="D169" i="6"/>
  <c r="C169" i="6"/>
  <c r="B169" i="6"/>
  <c r="J168" i="6"/>
  <c r="I168" i="6"/>
  <c r="H168" i="6"/>
  <c r="G168" i="6"/>
  <c r="F168" i="6"/>
  <c r="E168" i="6"/>
  <c r="D168" i="6"/>
  <c r="C168" i="6"/>
  <c r="B168" i="6"/>
  <c r="J167" i="6"/>
  <c r="I167" i="6"/>
  <c r="H167" i="6"/>
  <c r="G167" i="6"/>
  <c r="F167" i="6"/>
  <c r="E167" i="6"/>
  <c r="D167" i="6"/>
  <c r="C167" i="6"/>
  <c r="B167" i="6"/>
  <c r="J166" i="6"/>
  <c r="I166" i="6"/>
  <c r="H166" i="6"/>
  <c r="G166" i="6"/>
  <c r="F166" i="6"/>
  <c r="E166" i="6"/>
  <c r="D166" i="6"/>
  <c r="C166" i="6"/>
  <c r="B166" i="6"/>
  <c r="J165" i="6"/>
  <c r="I165" i="6"/>
  <c r="H165" i="6"/>
  <c r="G165" i="6"/>
  <c r="F165" i="6"/>
  <c r="E165" i="6"/>
  <c r="D165" i="6"/>
  <c r="C165" i="6"/>
  <c r="B165" i="6"/>
  <c r="J164" i="6"/>
  <c r="I164" i="6"/>
  <c r="H164" i="6"/>
  <c r="G164" i="6"/>
  <c r="F164" i="6"/>
  <c r="E164" i="6"/>
  <c r="D164" i="6"/>
  <c r="C164" i="6"/>
  <c r="B164" i="6"/>
  <c r="J163" i="6"/>
  <c r="I163" i="6"/>
  <c r="H163" i="6"/>
  <c r="G163" i="6"/>
  <c r="F163" i="6"/>
  <c r="E163" i="6"/>
  <c r="D163" i="6"/>
  <c r="C163" i="6"/>
  <c r="B163" i="6"/>
  <c r="J162" i="6"/>
  <c r="I162" i="6"/>
  <c r="H162" i="6"/>
  <c r="G162" i="6"/>
  <c r="F162" i="6"/>
  <c r="E162" i="6"/>
  <c r="D162" i="6"/>
  <c r="C162" i="6"/>
  <c r="B162" i="6"/>
  <c r="J161" i="6"/>
  <c r="I161" i="6"/>
  <c r="H161" i="6"/>
  <c r="G161" i="6"/>
  <c r="F161" i="6"/>
  <c r="E161" i="6"/>
  <c r="D161" i="6"/>
  <c r="C161" i="6"/>
  <c r="B161" i="6"/>
  <c r="J160" i="6"/>
  <c r="I160" i="6"/>
  <c r="H160" i="6"/>
  <c r="G160" i="6"/>
  <c r="F160" i="6"/>
  <c r="E160" i="6"/>
  <c r="D160" i="6"/>
  <c r="C160" i="6"/>
  <c r="B160" i="6"/>
  <c r="J159" i="6"/>
  <c r="I159" i="6"/>
  <c r="H159" i="6"/>
  <c r="G159" i="6"/>
  <c r="F159" i="6"/>
  <c r="E159" i="6"/>
  <c r="D159" i="6"/>
  <c r="C159" i="6"/>
  <c r="B159" i="6"/>
  <c r="J158" i="6"/>
  <c r="I158" i="6"/>
  <c r="H158" i="6"/>
  <c r="G158" i="6"/>
  <c r="F158" i="6"/>
  <c r="E158" i="6"/>
  <c r="D158" i="6"/>
  <c r="C158" i="6"/>
  <c r="B158" i="6"/>
  <c r="J157" i="6"/>
  <c r="I157" i="6"/>
  <c r="H157" i="6"/>
  <c r="G157" i="6"/>
  <c r="F157" i="6"/>
  <c r="E157" i="6"/>
  <c r="D157" i="6"/>
  <c r="C157" i="6"/>
  <c r="B157" i="6"/>
  <c r="J156" i="6"/>
  <c r="I156" i="6"/>
  <c r="H156" i="6"/>
  <c r="G156" i="6"/>
  <c r="F156" i="6"/>
  <c r="E156" i="6"/>
  <c r="D156" i="6"/>
  <c r="C156" i="6"/>
  <c r="B156" i="6"/>
  <c r="J155" i="6"/>
  <c r="I155" i="6"/>
  <c r="H155" i="6"/>
  <c r="G155" i="6"/>
  <c r="F155" i="6"/>
  <c r="E155" i="6"/>
  <c r="D155" i="6"/>
  <c r="C155" i="6"/>
  <c r="B155" i="6"/>
  <c r="J154" i="6"/>
  <c r="I154" i="6"/>
  <c r="H154" i="6"/>
  <c r="G154" i="6"/>
  <c r="F154" i="6"/>
  <c r="E154" i="6"/>
  <c r="D154" i="6"/>
  <c r="C154" i="6"/>
  <c r="B154" i="6"/>
  <c r="J153" i="6"/>
  <c r="I153" i="6"/>
  <c r="H153" i="6"/>
  <c r="G153" i="6"/>
  <c r="F153" i="6"/>
  <c r="E153" i="6"/>
  <c r="D153" i="6"/>
  <c r="C153" i="6"/>
  <c r="B153" i="6"/>
  <c r="J152" i="6"/>
  <c r="I152" i="6"/>
  <c r="H152" i="6"/>
  <c r="G152" i="6"/>
  <c r="F152" i="6"/>
  <c r="E152" i="6"/>
  <c r="D152" i="6"/>
  <c r="C152" i="6"/>
  <c r="B152" i="6"/>
  <c r="J151" i="6"/>
  <c r="I151" i="6"/>
  <c r="H151" i="6"/>
  <c r="G151" i="6"/>
  <c r="F151" i="6"/>
  <c r="E151" i="6"/>
  <c r="D151" i="6"/>
  <c r="C151" i="6"/>
  <c r="B151" i="6"/>
  <c r="J150" i="6"/>
  <c r="I150" i="6"/>
  <c r="H150" i="6"/>
  <c r="G150" i="6"/>
  <c r="F150" i="6"/>
  <c r="E150" i="6"/>
  <c r="D150" i="6"/>
  <c r="C150" i="6"/>
  <c r="B150" i="6"/>
  <c r="J149" i="6"/>
  <c r="I149" i="6"/>
  <c r="H149" i="6"/>
  <c r="G149" i="6"/>
  <c r="F149" i="6"/>
  <c r="E149" i="6"/>
  <c r="D149" i="6"/>
  <c r="C149" i="6"/>
  <c r="B149" i="6"/>
  <c r="J148" i="6"/>
  <c r="I148" i="6"/>
  <c r="H148" i="6"/>
  <c r="G148" i="6"/>
  <c r="F148" i="6"/>
  <c r="E148" i="6"/>
  <c r="D148" i="6"/>
  <c r="C148" i="6"/>
  <c r="B148" i="6"/>
  <c r="J147" i="6"/>
  <c r="I147" i="6"/>
  <c r="H147" i="6"/>
  <c r="G147" i="6"/>
  <c r="F147" i="6"/>
  <c r="E147" i="6"/>
  <c r="D147" i="6"/>
  <c r="C147" i="6"/>
  <c r="B147" i="6"/>
  <c r="J146" i="6"/>
  <c r="I146" i="6"/>
  <c r="H146" i="6"/>
  <c r="G146" i="6"/>
  <c r="F146" i="6"/>
  <c r="E146" i="6"/>
  <c r="D146" i="6"/>
  <c r="C146" i="6"/>
  <c r="B146" i="6"/>
  <c r="J145" i="6"/>
  <c r="I145" i="6"/>
  <c r="H145" i="6"/>
  <c r="G145" i="6"/>
  <c r="F145" i="6"/>
  <c r="E145" i="6"/>
  <c r="D145" i="6"/>
  <c r="C145" i="6"/>
  <c r="B145" i="6"/>
  <c r="J144" i="6"/>
  <c r="I144" i="6"/>
  <c r="H144" i="6"/>
  <c r="G144" i="6"/>
  <c r="F144" i="6"/>
  <c r="E144" i="6"/>
  <c r="D144" i="6"/>
  <c r="C144" i="6"/>
  <c r="B144" i="6"/>
  <c r="J143" i="6"/>
  <c r="I143" i="6"/>
  <c r="H143" i="6"/>
  <c r="G143" i="6"/>
  <c r="F143" i="6"/>
  <c r="E143" i="6"/>
  <c r="D143" i="6"/>
  <c r="C143" i="6"/>
  <c r="B143" i="6"/>
  <c r="J142" i="6"/>
  <c r="I142" i="6"/>
  <c r="H142" i="6"/>
  <c r="G142" i="6"/>
  <c r="F142" i="6"/>
  <c r="E142" i="6"/>
  <c r="D142" i="6"/>
  <c r="C142" i="6"/>
  <c r="B142" i="6"/>
  <c r="J141" i="6"/>
  <c r="I141" i="6"/>
  <c r="H141" i="6"/>
  <c r="G141" i="6"/>
  <c r="F141" i="6"/>
  <c r="E141" i="6"/>
  <c r="D141" i="6"/>
  <c r="C141" i="6"/>
  <c r="B141" i="6"/>
  <c r="J140" i="6"/>
  <c r="I140" i="6"/>
  <c r="H140" i="6"/>
  <c r="G140" i="6"/>
  <c r="F140" i="6"/>
  <c r="E140" i="6"/>
  <c r="D140" i="6"/>
  <c r="C140" i="6"/>
  <c r="B140" i="6"/>
  <c r="J139" i="6"/>
  <c r="I139" i="6"/>
  <c r="H139" i="6"/>
  <c r="G139" i="6"/>
  <c r="F139" i="6"/>
  <c r="E139" i="6"/>
  <c r="D139" i="6"/>
  <c r="C139" i="6"/>
  <c r="B139" i="6"/>
  <c r="J138" i="6"/>
  <c r="I138" i="6"/>
  <c r="H138" i="6"/>
  <c r="G138" i="6"/>
  <c r="F138" i="6"/>
  <c r="E138" i="6"/>
  <c r="D138" i="6"/>
  <c r="C138" i="6"/>
  <c r="B138" i="6"/>
  <c r="J137" i="6"/>
  <c r="I137" i="6"/>
  <c r="H137" i="6"/>
  <c r="G137" i="6"/>
  <c r="F137" i="6"/>
  <c r="E137" i="6"/>
  <c r="D137" i="6"/>
  <c r="C137" i="6"/>
  <c r="B137" i="6"/>
  <c r="J136" i="6"/>
  <c r="I136" i="6"/>
  <c r="H136" i="6"/>
  <c r="G136" i="6"/>
  <c r="F136" i="6"/>
  <c r="E136" i="6"/>
  <c r="D136" i="6"/>
  <c r="C136" i="6"/>
  <c r="B136" i="6"/>
  <c r="J135" i="6"/>
  <c r="I135" i="6"/>
  <c r="H135" i="6"/>
  <c r="G135" i="6"/>
  <c r="F135" i="6"/>
  <c r="E135" i="6"/>
  <c r="D135" i="6"/>
  <c r="C135" i="6"/>
  <c r="B135" i="6"/>
  <c r="J134" i="6"/>
  <c r="I134" i="6"/>
  <c r="H134" i="6"/>
  <c r="G134" i="6"/>
  <c r="F134" i="6"/>
  <c r="E134" i="6"/>
  <c r="D134" i="6"/>
  <c r="C134" i="6"/>
  <c r="B134" i="6"/>
  <c r="J133" i="6"/>
  <c r="I133" i="6"/>
  <c r="H133" i="6"/>
  <c r="G133" i="6"/>
  <c r="F133" i="6"/>
  <c r="E133" i="6"/>
  <c r="D133" i="6"/>
  <c r="C133" i="6"/>
  <c r="B133" i="6"/>
  <c r="J132" i="6"/>
  <c r="I132" i="6"/>
  <c r="H132" i="6"/>
  <c r="G132" i="6"/>
  <c r="F132" i="6"/>
  <c r="E132" i="6"/>
  <c r="D132" i="6"/>
  <c r="C132" i="6"/>
  <c r="B132" i="6"/>
  <c r="J131" i="6"/>
  <c r="I131" i="6"/>
  <c r="H131" i="6"/>
  <c r="G131" i="6"/>
  <c r="F131" i="6"/>
  <c r="E131" i="6"/>
  <c r="D131" i="6"/>
  <c r="C131" i="6"/>
  <c r="B131" i="6"/>
  <c r="J130" i="6"/>
  <c r="I130" i="6"/>
  <c r="H130" i="6"/>
  <c r="G130" i="6"/>
  <c r="F130" i="6"/>
  <c r="E130" i="6"/>
  <c r="D130" i="6"/>
  <c r="C130" i="6"/>
  <c r="B130" i="6"/>
  <c r="J129" i="6"/>
  <c r="I129" i="6"/>
  <c r="H129" i="6"/>
  <c r="G129" i="6"/>
  <c r="F129" i="6"/>
  <c r="E129" i="6"/>
  <c r="D129" i="6"/>
  <c r="C129" i="6"/>
  <c r="B129" i="6"/>
  <c r="J128" i="6"/>
  <c r="I128" i="6"/>
  <c r="H128" i="6"/>
  <c r="G128" i="6"/>
  <c r="F128" i="6"/>
  <c r="E128" i="6"/>
  <c r="D128" i="6"/>
  <c r="C128" i="6"/>
  <c r="B128" i="6"/>
  <c r="J127" i="6"/>
  <c r="I127" i="6"/>
  <c r="H127" i="6"/>
  <c r="G127" i="6"/>
  <c r="F127" i="6"/>
  <c r="E127" i="6"/>
  <c r="D127" i="6"/>
  <c r="C127" i="6"/>
  <c r="B127" i="6"/>
  <c r="J126" i="6"/>
  <c r="I126" i="6"/>
  <c r="H126" i="6"/>
  <c r="G126" i="6"/>
  <c r="F126" i="6"/>
  <c r="E126" i="6"/>
  <c r="D126" i="6"/>
  <c r="C126" i="6"/>
  <c r="B126" i="6"/>
  <c r="J125" i="6"/>
  <c r="I125" i="6"/>
  <c r="H125" i="6"/>
  <c r="G125" i="6"/>
  <c r="F125" i="6"/>
  <c r="E125" i="6"/>
  <c r="D125" i="6"/>
  <c r="C125" i="6"/>
  <c r="B125" i="6"/>
  <c r="J124" i="6"/>
  <c r="I124" i="6"/>
  <c r="H124" i="6"/>
  <c r="G124" i="6"/>
  <c r="F124" i="6"/>
  <c r="E124" i="6"/>
  <c r="D124" i="6"/>
  <c r="C124" i="6"/>
  <c r="B124" i="6"/>
  <c r="J123" i="6"/>
  <c r="I123" i="6"/>
  <c r="H123" i="6"/>
  <c r="G123" i="6"/>
  <c r="F123" i="6"/>
  <c r="E123" i="6"/>
  <c r="D123" i="6"/>
  <c r="C123" i="6"/>
  <c r="B123" i="6"/>
  <c r="J122" i="6"/>
  <c r="I122" i="6"/>
  <c r="H122" i="6"/>
  <c r="G122" i="6"/>
  <c r="F122" i="6"/>
  <c r="E122" i="6"/>
  <c r="D122" i="6"/>
  <c r="C122" i="6"/>
  <c r="B122" i="6"/>
  <c r="J121" i="6"/>
  <c r="I121" i="6"/>
  <c r="H121" i="6"/>
  <c r="G121" i="6"/>
  <c r="F121" i="6"/>
  <c r="E121" i="6"/>
  <c r="D121" i="6"/>
  <c r="C121" i="6"/>
  <c r="B121" i="6"/>
  <c r="J120" i="6"/>
  <c r="I120" i="6"/>
  <c r="H120" i="6"/>
  <c r="G120" i="6"/>
  <c r="F120" i="6"/>
  <c r="E120" i="6"/>
  <c r="D120" i="6"/>
  <c r="C120" i="6"/>
  <c r="B120" i="6"/>
  <c r="J119" i="6"/>
  <c r="I119" i="6"/>
  <c r="H119" i="6"/>
  <c r="G119" i="6"/>
  <c r="F119" i="6"/>
  <c r="E119" i="6"/>
  <c r="D119" i="6"/>
  <c r="C119" i="6"/>
  <c r="B119" i="6"/>
  <c r="J118" i="6"/>
  <c r="I118" i="6"/>
  <c r="H118" i="6"/>
  <c r="G118" i="6"/>
  <c r="F118" i="6"/>
  <c r="E118" i="6"/>
  <c r="D118" i="6"/>
  <c r="C118" i="6"/>
  <c r="B118" i="6"/>
  <c r="J117" i="6"/>
  <c r="I117" i="6"/>
  <c r="H117" i="6"/>
  <c r="G117" i="6"/>
  <c r="F117" i="6"/>
  <c r="E117" i="6"/>
  <c r="D117" i="6"/>
  <c r="C117" i="6"/>
  <c r="B117" i="6"/>
  <c r="J116" i="6"/>
  <c r="I116" i="6"/>
  <c r="H116" i="6"/>
  <c r="G116" i="6"/>
  <c r="F116" i="6"/>
  <c r="E116" i="6"/>
  <c r="D116" i="6"/>
  <c r="C116" i="6"/>
  <c r="B116" i="6"/>
  <c r="J115" i="6"/>
  <c r="I115" i="6"/>
  <c r="H115" i="6"/>
  <c r="G115" i="6"/>
  <c r="F115" i="6"/>
  <c r="E115" i="6"/>
  <c r="D115" i="6"/>
  <c r="C115" i="6"/>
  <c r="J114" i="6"/>
  <c r="I114" i="6"/>
  <c r="H114" i="6"/>
  <c r="G114" i="6"/>
  <c r="F114" i="6"/>
  <c r="E114" i="6"/>
  <c r="D114" i="6"/>
  <c r="C114" i="6"/>
  <c r="B114" i="6"/>
  <c r="J113" i="6"/>
  <c r="I113" i="6"/>
  <c r="H113" i="6"/>
  <c r="G113" i="6"/>
  <c r="F113" i="6"/>
  <c r="E113" i="6"/>
  <c r="D113" i="6"/>
  <c r="C113" i="6"/>
  <c r="B113" i="6"/>
  <c r="J112" i="6"/>
  <c r="I112" i="6"/>
  <c r="H112" i="6"/>
  <c r="G112" i="6"/>
  <c r="F112" i="6"/>
  <c r="E112" i="6"/>
  <c r="D112" i="6"/>
  <c r="C112" i="6"/>
  <c r="B112" i="6"/>
  <c r="J111" i="6"/>
  <c r="I111" i="6"/>
  <c r="H111" i="6"/>
  <c r="G111" i="6"/>
  <c r="F111" i="6"/>
  <c r="E111" i="6"/>
  <c r="D111" i="6"/>
  <c r="C111" i="6"/>
  <c r="B111" i="6"/>
  <c r="J110" i="6"/>
  <c r="I110" i="6"/>
  <c r="H110" i="6"/>
  <c r="G110" i="6"/>
  <c r="F110" i="6"/>
  <c r="E110" i="6"/>
  <c r="D110" i="6"/>
  <c r="C110" i="6"/>
  <c r="B110" i="6"/>
  <c r="J109" i="6"/>
  <c r="I109" i="6"/>
  <c r="H109" i="6"/>
  <c r="G109" i="6"/>
  <c r="F109" i="6"/>
  <c r="E109" i="6"/>
  <c r="D109" i="6"/>
  <c r="C109" i="6"/>
  <c r="B109" i="6"/>
  <c r="J108" i="6"/>
  <c r="I108" i="6"/>
  <c r="H108" i="6"/>
  <c r="G108" i="6"/>
  <c r="F108" i="6"/>
  <c r="E108" i="6"/>
  <c r="D108" i="6"/>
  <c r="C108" i="6"/>
  <c r="B108" i="6"/>
  <c r="J107" i="6"/>
  <c r="I107" i="6"/>
  <c r="H107" i="6"/>
  <c r="G107" i="6"/>
  <c r="F107" i="6"/>
  <c r="E107" i="6"/>
  <c r="D107" i="6"/>
  <c r="C107" i="6"/>
  <c r="B107" i="6"/>
  <c r="J106" i="6"/>
  <c r="I106" i="6"/>
  <c r="H106" i="6"/>
  <c r="G106" i="6"/>
  <c r="F106" i="6"/>
  <c r="E106" i="6"/>
  <c r="D106" i="6"/>
  <c r="C106" i="6"/>
  <c r="B106" i="6"/>
  <c r="J105" i="6"/>
  <c r="I105" i="6"/>
  <c r="H105" i="6"/>
  <c r="G105" i="6"/>
  <c r="F105" i="6"/>
  <c r="E105" i="6"/>
  <c r="D105" i="6"/>
  <c r="C105" i="6"/>
  <c r="B105" i="6"/>
  <c r="J104" i="6"/>
  <c r="I104" i="6"/>
  <c r="H104" i="6"/>
  <c r="G104" i="6"/>
  <c r="F104" i="6"/>
  <c r="E104" i="6"/>
  <c r="D104" i="6"/>
  <c r="C104" i="6"/>
  <c r="B104" i="6"/>
  <c r="J103" i="6"/>
  <c r="I103" i="6"/>
  <c r="H103" i="6"/>
  <c r="G103" i="6"/>
  <c r="F103" i="6"/>
  <c r="E103" i="6"/>
  <c r="D103" i="6"/>
  <c r="C103" i="6"/>
  <c r="B103" i="6"/>
  <c r="J102" i="6"/>
  <c r="I102" i="6"/>
  <c r="H102" i="6"/>
  <c r="G102" i="6"/>
  <c r="F102" i="6"/>
  <c r="E102" i="6"/>
  <c r="D102" i="6"/>
  <c r="C102" i="6"/>
  <c r="B102" i="6"/>
  <c r="J101" i="6"/>
  <c r="I101" i="6"/>
  <c r="H101" i="6"/>
  <c r="G101" i="6"/>
  <c r="F101" i="6"/>
  <c r="E101" i="6"/>
  <c r="D101" i="6"/>
  <c r="C101" i="6"/>
  <c r="B101" i="6"/>
  <c r="J100" i="6"/>
  <c r="I100" i="6"/>
  <c r="H100" i="6"/>
  <c r="G100" i="6"/>
  <c r="F100" i="6"/>
  <c r="E100" i="6"/>
  <c r="D100" i="6"/>
  <c r="C100" i="6"/>
  <c r="B100" i="6"/>
  <c r="J99" i="6"/>
  <c r="I99" i="6"/>
  <c r="H99" i="6"/>
  <c r="G99" i="6"/>
  <c r="F99" i="6"/>
  <c r="E99" i="6"/>
  <c r="D99" i="6"/>
  <c r="C99" i="6"/>
  <c r="B99" i="6"/>
  <c r="J98" i="6"/>
  <c r="I98" i="6"/>
  <c r="H98" i="6"/>
  <c r="G98" i="6"/>
  <c r="F98" i="6"/>
  <c r="E98" i="6"/>
  <c r="D98" i="6"/>
  <c r="C98" i="6"/>
  <c r="B98" i="6"/>
  <c r="J97" i="6"/>
  <c r="I97" i="6"/>
  <c r="H97" i="6"/>
  <c r="G97" i="6"/>
  <c r="F97" i="6"/>
  <c r="E97" i="6"/>
  <c r="D97" i="6"/>
  <c r="C97" i="6"/>
  <c r="B97" i="6"/>
  <c r="J96" i="6"/>
  <c r="I96" i="6"/>
  <c r="H96" i="6"/>
  <c r="G96" i="6"/>
  <c r="F96" i="6"/>
  <c r="E96" i="6"/>
  <c r="D96" i="6"/>
  <c r="C96" i="6"/>
  <c r="B96" i="6"/>
  <c r="J95" i="6"/>
  <c r="I95" i="6"/>
  <c r="H95" i="6"/>
  <c r="G95" i="6"/>
  <c r="F95" i="6"/>
  <c r="E95" i="6"/>
  <c r="D95" i="6"/>
  <c r="C95" i="6"/>
  <c r="B95" i="6"/>
  <c r="J94" i="6"/>
  <c r="I94" i="6"/>
  <c r="H94" i="6"/>
  <c r="G94" i="6"/>
  <c r="F94" i="6"/>
  <c r="E94" i="6"/>
  <c r="D94" i="6"/>
  <c r="C94" i="6"/>
  <c r="B94" i="6"/>
  <c r="J93" i="6"/>
  <c r="I93" i="6"/>
  <c r="H93" i="6"/>
  <c r="G93" i="6"/>
  <c r="F93" i="6"/>
  <c r="E93" i="6"/>
  <c r="D93" i="6"/>
  <c r="C93" i="6"/>
  <c r="B93" i="6"/>
  <c r="J92" i="6"/>
  <c r="I92" i="6"/>
  <c r="H92" i="6"/>
  <c r="G92" i="6"/>
  <c r="F92" i="6"/>
  <c r="E92" i="6"/>
  <c r="D92" i="6"/>
  <c r="C92" i="6"/>
  <c r="B92" i="6"/>
  <c r="J91" i="6"/>
  <c r="I91" i="6"/>
  <c r="H91" i="6"/>
  <c r="G91" i="6"/>
  <c r="F91" i="6"/>
  <c r="E91" i="6"/>
  <c r="D91" i="6"/>
  <c r="C91" i="6"/>
  <c r="B91" i="6"/>
  <c r="J90" i="6"/>
  <c r="I90" i="6"/>
  <c r="H90" i="6"/>
  <c r="G90" i="6"/>
  <c r="F90" i="6"/>
  <c r="E90" i="6"/>
  <c r="D90" i="6"/>
  <c r="C90" i="6"/>
  <c r="B90" i="6"/>
  <c r="J89" i="6"/>
  <c r="I89" i="6"/>
  <c r="H89" i="6"/>
  <c r="G89" i="6"/>
  <c r="F89" i="6"/>
  <c r="E89" i="6"/>
  <c r="D89" i="6"/>
  <c r="C89" i="6"/>
  <c r="B89" i="6"/>
  <c r="J88" i="6"/>
  <c r="I88" i="6"/>
  <c r="H88" i="6"/>
  <c r="G88" i="6"/>
  <c r="F88" i="6"/>
  <c r="E88" i="6"/>
  <c r="D88" i="6"/>
  <c r="C88" i="6"/>
  <c r="B88" i="6"/>
  <c r="J87" i="6"/>
  <c r="I87" i="6"/>
  <c r="H87" i="6"/>
  <c r="G87" i="6"/>
  <c r="F87" i="6"/>
  <c r="E87" i="6"/>
  <c r="D87" i="6"/>
  <c r="C87" i="6"/>
  <c r="B87" i="6"/>
  <c r="J86" i="6"/>
  <c r="I86" i="6"/>
  <c r="H86" i="6"/>
  <c r="G86" i="6"/>
  <c r="F86" i="6"/>
  <c r="E86" i="6"/>
  <c r="D86" i="6"/>
  <c r="C86" i="6"/>
  <c r="B86" i="6"/>
  <c r="J85" i="6"/>
  <c r="I85" i="6"/>
  <c r="H85" i="6"/>
  <c r="G85" i="6"/>
  <c r="F85" i="6"/>
  <c r="E85" i="6"/>
  <c r="D85" i="6"/>
  <c r="C85" i="6"/>
  <c r="B85" i="6"/>
  <c r="J84" i="6"/>
  <c r="I84" i="6"/>
  <c r="H84" i="6"/>
  <c r="G84" i="6"/>
  <c r="F84" i="6"/>
  <c r="E84" i="6"/>
  <c r="D84" i="6"/>
  <c r="C84" i="6"/>
  <c r="B84" i="6"/>
  <c r="J83" i="6"/>
  <c r="I83" i="6"/>
  <c r="H83" i="6"/>
  <c r="G83" i="6"/>
  <c r="F83" i="6"/>
  <c r="E83" i="6"/>
  <c r="D83" i="6"/>
  <c r="C83" i="6"/>
  <c r="B83" i="6"/>
  <c r="J82" i="6"/>
  <c r="I82" i="6"/>
  <c r="H82" i="6"/>
  <c r="G82" i="6"/>
  <c r="F82" i="6"/>
  <c r="E82" i="6"/>
  <c r="D82" i="6"/>
  <c r="C82" i="6"/>
  <c r="B82" i="6"/>
  <c r="J81" i="6"/>
  <c r="I81" i="6"/>
  <c r="H81" i="6"/>
  <c r="G81" i="6"/>
  <c r="F81" i="6"/>
  <c r="E81" i="6"/>
  <c r="D81" i="6"/>
  <c r="C81" i="6"/>
  <c r="B81" i="6"/>
  <c r="J80" i="6"/>
  <c r="I80" i="6"/>
  <c r="H80" i="6"/>
  <c r="G80" i="6"/>
  <c r="F80" i="6"/>
  <c r="E80" i="6"/>
  <c r="D80" i="6"/>
  <c r="C80" i="6"/>
  <c r="B80" i="6"/>
  <c r="J79" i="6"/>
  <c r="I79" i="6"/>
  <c r="H79" i="6"/>
  <c r="G79" i="6"/>
  <c r="F79" i="6"/>
  <c r="E79" i="6"/>
  <c r="D79" i="6"/>
  <c r="C79" i="6"/>
  <c r="B79" i="6"/>
  <c r="J78" i="6"/>
  <c r="I78" i="6"/>
  <c r="H78" i="6"/>
  <c r="G78" i="6"/>
  <c r="F78" i="6"/>
  <c r="E78" i="6"/>
  <c r="D78" i="6"/>
  <c r="C78" i="6"/>
  <c r="B78" i="6"/>
  <c r="J77" i="6"/>
  <c r="I77" i="6"/>
  <c r="H77" i="6"/>
  <c r="G77" i="6"/>
  <c r="F77" i="6"/>
  <c r="E77" i="6"/>
  <c r="D77" i="6"/>
  <c r="C77" i="6"/>
  <c r="B77" i="6"/>
  <c r="J76" i="6"/>
  <c r="I76" i="6"/>
  <c r="H76" i="6"/>
  <c r="G76" i="6"/>
  <c r="F76" i="6"/>
  <c r="E76" i="6"/>
  <c r="D76" i="6"/>
  <c r="C76" i="6"/>
  <c r="B76" i="6"/>
  <c r="J75" i="6"/>
  <c r="I75" i="6"/>
  <c r="H75" i="6"/>
  <c r="G75" i="6"/>
  <c r="F75" i="6"/>
  <c r="E75" i="6"/>
  <c r="D75" i="6"/>
  <c r="C75" i="6"/>
  <c r="B75" i="6"/>
  <c r="J74" i="6"/>
  <c r="I74" i="6"/>
  <c r="H74" i="6"/>
  <c r="G74" i="6"/>
  <c r="F74" i="6"/>
  <c r="E74" i="6"/>
  <c r="D74" i="6"/>
  <c r="C74" i="6"/>
  <c r="B74" i="6"/>
  <c r="J73" i="6"/>
  <c r="I73" i="6"/>
  <c r="H73" i="6"/>
  <c r="G73" i="6"/>
  <c r="F73" i="6"/>
  <c r="E73" i="6"/>
  <c r="D73" i="6"/>
  <c r="C73" i="6"/>
  <c r="B73" i="6"/>
  <c r="J72" i="6"/>
  <c r="I72" i="6"/>
  <c r="H72" i="6"/>
  <c r="G72" i="6"/>
  <c r="F72" i="6"/>
  <c r="E72" i="6"/>
  <c r="D72" i="6"/>
  <c r="C72" i="6"/>
  <c r="B72" i="6"/>
  <c r="J71" i="6"/>
  <c r="I71" i="6"/>
  <c r="H71" i="6"/>
  <c r="G71" i="6"/>
  <c r="F71" i="6"/>
  <c r="E71" i="6"/>
  <c r="D71" i="6"/>
  <c r="C71" i="6"/>
  <c r="B71" i="6"/>
  <c r="J70" i="6"/>
  <c r="I70" i="6"/>
  <c r="H70" i="6"/>
  <c r="G70" i="6"/>
  <c r="F70" i="6"/>
  <c r="E70" i="6"/>
  <c r="D70" i="6"/>
  <c r="C70" i="6"/>
  <c r="B70" i="6"/>
  <c r="J69" i="6"/>
  <c r="I69" i="6"/>
  <c r="H69" i="6"/>
  <c r="G69" i="6"/>
  <c r="F69" i="6"/>
  <c r="E69" i="6"/>
  <c r="D69" i="6"/>
  <c r="C69" i="6"/>
  <c r="B69" i="6"/>
  <c r="J68" i="6"/>
  <c r="I68" i="6"/>
  <c r="H68" i="6"/>
  <c r="G68" i="6"/>
  <c r="F68" i="6"/>
  <c r="E68" i="6"/>
  <c r="D68" i="6"/>
  <c r="C68" i="6"/>
  <c r="B68" i="6"/>
  <c r="J67" i="6"/>
  <c r="I67" i="6"/>
  <c r="H67" i="6"/>
  <c r="G67" i="6"/>
  <c r="F67" i="6"/>
  <c r="E67" i="6"/>
  <c r="D67" i="6"/>
  <c r="C67" i="6"/>
  <c r="B67" i="6"/>
  <c r="J66" i="6"/>
  <c r="I66" i="6"/>
  <c r="H66" i="6"/>
  <c r="G66" i="6"/>
  <c r="F66" i="6"/>
  <c r="E66" i="6"/>
  <c r="D66" i="6"/>
  <c r="C66" i="6"/>
  <c r="B66" i="6"/>
  <c r="J65" i="6"/>
  <c r="I65" i="6"/>
  <c r="H65" i="6"/>
  <c r="G65" i="6"/>
  <c r="F65" i="6"/>
  <c r="E65" i="6"/>
  <c r="D65" i="6"/>
  <c r="C65" i="6"/>
  <c r="B65" i="6"/>
  <c r="J64" i="6"/>
  <c r="I64" i="6"/>
  <c r="H64" i="6"/>
  <c r="G64" i="6"/>
  <c r="F64" i="6"/>
  <c r="E64" i="6"/>
  <c r="D64" i="6"/>
  <c r="C64" i="6"/>
  <c r="B64" i="6"/>
  <c r="J63" i="6"/>
  <c r="I63" i="6"/>
  <c r="H63" i="6"/>
  <c r="G63" i="6"/>
  <c r="F63" i="6"/>
  <c r="E63" i="6"/>
  <c r="D63" i="6"/>
  <c r="C63" i="6"/>
  <c r="B63" i="6"/>
  <c r="J62" i="6"/>
  <c r="I62" i="6"/>
  <c r="H62" i="6"/>
  <c r="G62" i="6"/>
  <c r="F62" i="6"/>
  <c r="E62" i="6"/>
  <c r="D62" i="6"/>
  <c r="C62" i="6"/>
  <c r="B62" i="6"/>
  <c r="J61" i="6"/>
  <c r="I61" i="6"/>
  <c r="H61" i="6"/>
  <c r="G61" i="6"/>
  <c r="F61" i="6"/>
  <c r="E61" i="6"/>
  <c r="D61" i="6"/>
  <c r="C61" i="6"/>
  <c r="B61" i="6"/>
  <c r="J60" i="6"/>
  <c r="I60" i="6"/>
  <c r="H60" i="6"/>
  <c r="G60" i="6"/>
  <c r="F60" i="6"/>
  <c r="E60" i="6"/>
  <c r="D60" i="6"/>
  <c r="C60" i="6"/>
  <c r="B60" i="6"/>
  <c r="J59" i="6"/>
  <c r="I59" i="6"/>
  <c r="H59" i="6"/>
  <c r="G59" i="6"/>
  <c r="F59" i="6"/>
  <c r="E59" i="6"/>
  <c r="D59" i="6"/>
  <c r="C59" i="6"/>
  <c r="B59" i="6"/>
  <c r="J58" i="6"/>
  <c r="I58" i="6"/>
  <c r="H58" i="6"/>
  <c r="G58" i="6"/>
  <c r="F58" i="6"/>
  <c r="E58" i="6"/>
  <c r="D58" i="6"/>
  <c r="C58" i="6"/>
  <c r="B58" i="6"/>
  <c r="J57" i="6"/>
  <c r="I57" i="6"/>
  <c r="H57" i="6"/>
  <c r="G57" i="6"/>
  <c r="F57" i="6"/>
  <c r="E57" i="6"/>
  <c r="D57" i="6"/>
  <c r="C57" i="6"/>
  <c r="B57" i="6"/>
  <c r="J56" i="6"/>
  <c r="I56" i="6"/>
  <c r="H56" i="6"/>
  <c r="G56" i="6"/>
  <c r="F56" i="6"/>
  <c r="E56" i="6"/>
  <c r="D56" i="6"/>
  <c r="C56" i="6"/>
  <c r="B56" i="6"/>
  <c r="G13" i="15" l="1"/>
  <c r="F13" i="15" s="1"/>
  <c r="AB13" i="15"/>
  <c r="AD13" i="15" s="1"/>
  <c r="G14" i="15" l="1"/>
  <c r="F14" i="15" s="1"/>
  <c r="AB14" i="15"/>
  <c r="AD14" i="15" s="1"/>
  <c r="S2" i="2"/>
  <c r="S3" i="2" s="1"/>
  <c r="S4" i="2" s="1"/>
  <c r="S5" i="2" s="1"/>
  <c r="S6" i="2" s="1"/>
  <c r="S7" i="2" s="1"/>
  <c r="S8" i="2" s="1"/>
  <c r="S9" i="2" s="1"/>
  <c r="S10" i="2" s="1"/>
  <c r="S11" i="2" s="1"/>
  <c r="S12" i="2" s="1"/>
  <c r="S13" i="2" s="1"/>
  <c r="S14" i="2" s="1"/>
  <c r="S15" i="2" s="1"/>
  <c r="S16" i="2" s="1"/>
  <c r="S17" i="2" s="1"/>
  <c r="S18" i="2" s="1"/>
  <c r="S19" i="2" s="1"/>
  <c r="S20" i="2" s="1"/>
  <c r="S21" i="2" s="1"/>
  <c r="S22" i="2" s="1"/>
  <c r="S23" i="2" s="1"/>
  <c r="S24" i="2" s="1"/>
  <c r="S25" i="2" s="1"/>
  <c r="S26" i="2" s="1"/>
  <c r="S27" i="2" s="1"/>
  <c r="S28" i="2" s="1"/>
  <c r="S29" i="2" s="1"/>
  <c r="S30" i="2" s="1"/>
  <c r="S31" i="2" s="1"/>
  <c r="S32" i="2" s="1"/>
  <c r="S33" i="2" s="1"/>
  <c r="S34" i="2" s="1"/>
  <c r="S35" i="2" s="1"/>
  <c r="S36" i="2" s="1"/>
  <c r="S37" i="2" s="1"/>
  <c r="S38" i="2" s="1"/>
  <c r="S39" i="2" s="1"/>
  <c r="S40" i="2" s="1"/>
  <c r="S41" i="2" s="1"/>
  <c r="S42" i="2" s="1"/>
  <c r="S43" i="2" s="1"/>
  <c r="S44" i="2" s="1"/>
  <c r="S45" i="2" s="1"/>
  <c r="S46" i="2" s="1"/>
  <c r="S47" i="2" s="1"/>
  <c r="S48" i="2" s="1"/>
  <c r="S49" i="2" s="1"/>
  <c r="S50" i="2" s="1"/>
  <c r="S51" i="2" s="1"/>
  <c r="S52" i="2" s="1"/>
  <c r="S53" i="2" s="1"/>
  <c r="BD10" i="3"/>
  <c r="BC10" i="3"/>
  <c r="J55" i="6"/>
  <c r="AW63" i="3"/>
  <c r="J54" i="6" s="1"/>
  <c r="AW62" i="3"/>
  <c r="J53" i="6" s="1"/>
  <c r="AW61" i="3"/>
  <c r="J52" i="6" s="1"/>
  <c r="AW60" i="3"/>
  <c r="J51" i="6" s="1"/>
  <c r="AW59" i="3"/>
  <c r="J50" i="6" s="1"/>
  <c r="AW58" i="3"/>
  <c r="J49" i="6" s="1"/>
  <c r="AW57" i="3"/>
  <c r="J48" i="6" s="1"/>
  <c r="AW56" i="3"/>
  <c r="J47" i="6" s="1"/>
  <c r="AW55" i="3"/>
  <c r="J46" i="6" s="1"/>
  <c r="AW54" i="3"/>
  <c r="J45" i="6" s="1"/>
  <c r="AW53" i="3"/>
  <c r="J44" i="6" s="1"/>
  <c r="AW52" i="3"/>
  <c r="J43" i="6" s="1"/>
  <c r="AW51" i="3"/>
  <c r="J42" i="6" s="1"/>
  <c r="AW50" i="3"/>
  <c r="AW49" i="3"/>
  <c r="J40" i="6" s="1"/>
  <c r="AW48" i="3"/>
  <c r="J39" i="6" s="1"/>
  <c r="AW47" i="3"/>
  <c r="J38" i="6" s="1"/>
  <c r="AW46" i="3"/>
  <c r="J37" i="6" s="1"/>
  <c r="AW45" i="3"/>
  <c r="J36" i="6" s="1"/>
  <c r="AW44" i="3"/>
  <c r="J35" i="6" s="1"/>
  <c r="AW43" i="3"/>
  <c r="J34" i="6" s="1"/>
  <c r="AW42" i="3"/>
  <c r="J33" i="6" s="1"/>
  <c r="AW41" i="3"/>
  <c r="J32" i="6" s="1"/>
  <c r="AW40" i="3"/>
  <c r="J31" i="6" s="1"/>
  <c r="AW39" i="3"/>
  <c r="J30" i="6" s="1"/>
  <c r="AW38" i="3"/>
  <c r="J29" i="6" s="1"/>
  <c r="AW37" i="3"/>
  <c r="J28" i="6" s="1"/>
  <c r="AW36" i="3"/>
  <c r="J27" i="6" s="1"/>
  <c r="AW35" i="3"/>
  <c r="J26" i="6" s="1"/>
  <c r="AW34" i="3"/>
  <c r="J25" i="6" s="1"/>
  <c r="AW33" i="3"/>
  <c r="J24" i="6" s="1"/>
  <c r="AW32" i="3"/>
  <c r="J23" i="6" s="1"/>
  <c r="AW31" i="3"/>
  <c r="J22" i="6" s="1"/>
  <c r="AW30" i="3"/>
  <c r="J21" i="6" s="1"/>
  <c r="AW29" i="3"/>
  <c r="J20" i="6" s="1"/>
  <c r="AW28" i="3"/>
  <c r="J19" i="6" s="1"/>
  <c r="AW27" i="3"/>
  <c r="J18" i="6" s="1"/>
  <c r="AW26" i="3"/>
  <c r="J17" i="6" s="1"/>
  <c r="AW25" i="3"/>
  <c r="J16" i="6" s="1"/>
  <c r="AW24" i="3"/>
  <c r="J15" i="6" s="1"/>
  <c r="AW23" i="3"/>
  <c r="J14" i="6" s="1"/>
  <c r="AW22" i="3"/>
  <c r="J13" i="6" s="1"/>
  <c r="AW21" i="3"/>
  <c r="J12" i="6" s="1"/>
  <c r="AW20" i="3"/>
  <c r="J11" i="6" s="1"/>
  <c r="AW19" i="3"/>
  <c r="J10" i="6" s="1"/>
  <c r="AW18" i="3"/>
  <c r="J9" i="6" s="1"/>
  <c r="AW17" i="3"/>
  <c r="J8" i="6" s="1"/>
  <c r="AW16" i="3"/>
  <c r="J7" i="6" s="1"/>
  <c r="AW15" i="3"/>
  <c r="J6" i="6" s="1"/>
  <c r="AW14" i="3"/>
  <c r="J5" i="6" s="1"/>
  <c r="AW13" i="3"/>
  <c r="J4" i="6" s="1"/>
  <c r="I55" i="6"/>
  <c r="H55" i="6"/>
  <c r="AR63" i="3"/>
  <c r="I54" i="6" s="1"/>
  <c r="AM63" i="3"/>
  <c r="H54" i="6" s="1"/>
  <c r="AR62" i="3"/>
  <c r="I53" i="6" s="1"/>
  <c r="AM62" i="3"/>
  <c r="H53" i="6" s="1"/>
  <c r="AR61" i="3"/>
  <c r="I52" i="6" s="1"/>
  <c r="AM61" i="3"/>
  <c r="H52" i="6" s="1"/>
  <c r="AR60" i="3"/>
  <c r="I51" i="6" s="1"/>
  <c r="AM60" i="3"/>
  <c r="H51" i="6" s="1"/>
  <c r="AR59" i="3"/>
  <c r="I50" i="6" s="1"/>
  <c r="AM59" i="3"/>
  <c r="H50" i="6" s="1"/>
  <c r="AR58" i="3"/>
  <c r="I49" i="6" s="1"/>
  <c r="AM58" i="3"/>
  <c r="H49" i="6" s="1"/>
  <c r="AR57" i="3"/>
  <c r="I48" i="6" s="1"/>
  <c r="AM57" i="3"/>
  <c r="H48" i="6" s="1"/>
  <c r="AR56" i="3"/>
  <c r="I47" i="6" s="1"/>
  <c r="AM56" i="3"/>
  <c r="H47" i="6" s="1"/>
  <c r="AR55" i="3"/>
  <c r="I46" i="6" s="1"/>
  <c r="AM55" i="3"/>
  <c r="H46" i="6" s="1"/>
  <c r="AR54" i="3"/>
  <c r="I45" i="6" s="1"/>
  <c r="AM54" i="3"/>
  <c r="H45" i="6" s="1"/>
  <c r="AR53" i="3"/>
  <c r="I44" i="6" s="1"/>
  <c r="AM53" i="3"/>
  <c r="H44" i="6" s="1"/>
  <c r="AR52" i="3"/>
  <c r="I43" i="6" s="1"/>
  <c r="AM52" i="3"/>
  <c r="H43" i="6" s="1"/>
  <c r="AR51" i="3"/>
  <c r="I42" i="6" s="1"/>
  <c r="AM51" i="3"/>
  <c r="H42" i="6" s="1"/>
  <c r="AR50" i="3"/>
  <c r="I41" i="6" s="1"/>
  <c r="AM50" i="3"/>
  <c r="H41" i="6" s="1"/>
  <c r="AR49" i="3"/>
  <c r="I40" i="6" s="1"/>
  <c r="AM49" i="3"/>
  <c r="H40" i="6" s="1"/>
  <c r="AR48" i="3"/>
  <c r="I39" i="6" s="1"/>
  <c r="AM48" i="3"/>
  <c r="H39" i="6" s="1"/>
  <c r="AR47" i="3"/>
  <c r="I38" i="6" s="1"/>
  <c r="AM47" i="3"/>
  <c r="H38" i="6" s="1"/>
  <c r="AR46" i="3"/>
  <c r="I37" i="6" s="1"/>
  <c r="AM46" i="3"/>
  <c r="H37" i="6" s="1"/>
  <c r="AR45" i="3"/>
  <c r="I36" i="6" s="1"/>
  <c r="AM45" i="3"/>
  <c r="H36" i="6" s="1"/>
  <c r="AR44" i="3"/>
  <c r="I35" i="6" s="1"/>
  <c r="AM44" i="3"/>
  <c r="H35" i="6" s="1"/>
  <c r="AR43" i="3"/>
  <c r="I34" i="6" s="1"/>
  <c r="AM43" i="3"/>
  <c r="H34" i="6" s="1"/>
  <c r="AR42" i="3"/>
  <c r="I33" i="6" s="1"/>
  <c r="AM42" i="3"/>
  <c r="H33" i="6" s="1"/>
  <c r="AR41" i="3"/>
  <c r="I32" i="6" s="1"/>
  <c r="AM41" i="3"/>
  <c r="H32" i="6" s="1"/>
  <c r="AR40" i="3"/>
  <c r="I31" i="6" s="1"/>
  <c r="AM40" i="3"/>
  <c r="H31" i="6" s="1"/>
  <c r="AR39" i="3"/>
  <c r="I30" i="6" s="1"/>
  <c r="AM39" i="3"/>
  <c r="H30" i="6" s="1"/>
  <c r="AR38" i="3"/>
  <c r="I29" i="6" s="1"/>
  <c r="AM38" i="3"/>
  <c r="H29" i="6" s="1"/>
  <c r="AR37" i="3"/>
  <c r="I28" i="6" s="1"/>
  <c r="AM37" i="3"/>
  <c r="H28" i="6" s="1"/>
  <c r="AR36" i="3"/>
  <c r="I27" i="6" s="1"/>
  <c r="AM36" i="3"/>
  <c r="H27" i="6" s="1"/>
  <c r="AR35" i="3"/>
  <c r="I26" i="6" s="1"/>
  <c r="AM35" i="3"/>
  <c r="H26" i="6" s="1"/>
  <c r="AR34" i="3"/>
  <c r="I25" i="6" s="1"/>
  <c r="AM34" i="3"/>
  <c r="H25" i="6" s="1"/>
  <c r="AR33" i="3"/>
  <c r="I24" i="6" s="1"/>
  <c r="AM33" i="3"/>
  <c r="H24" i="6" s="1"/>
  <c r="AR32" i="3"/>
  <c r="I23" i="6" s="1"/>
  <c r="AM32" i="3"/>
  <c r="H23" i="6" s="1"/>
  <c r="AR31" i="3"/>
  <c r="I22" i="6" s="1"/>
  <c r="AM31" i="3"/>
  <c r="H22" i="6" s="1"/>
  <c r="AR30" i="3"/>
  <c r="I21" i="6" s="1"/>
  <c r="AM30" i="3"/>
  <c r="H21" i="6" s="1"/>
  <c r="AR29" i="3"/>
  <c r="I20" i="6" s="1"/>
  <c r="AM29" i="3"/>
  <c r="H20" i="6" s="1"/>
  <c r="AR28" i="3"/>
  <c r="I19" i="6" s="1"/>
  <c r="AM28" i="3"/>
  <c r="H19" i="6" s="1"/>
  <c r="AR27" i="3"/>
  <c r="I18" i="6" s="1"/>
  <c r="AM27" i="3"/>
  <c r="H18" i="6" s="1"/>
  <c r="AR26" i="3"/>
  <c r="I17" i="6" s="1"/>
  <c r="AM26" i="3"/>
  <c r="H17" i="6" s="1"/>
  <c r="AR25" i="3"/>
  <c r="I16" i="6" s="1"/>
  <c r="AM25" i="3"/>
  <c r="H16" i="6" s="1"/>
  <c r="AR24" i="3"/>
  <c r="I15" i="6" s="1"/>
  <c r="AM24" i="3"/>
  <c r="H15" i="6" s="1"/>
  <c r="AR23" i="3"/>
  <c r="I14" i="6" s="1"/>
  <c r="AM23" i="3"/>
  <c r="H14" i="6" s="1"/>
  <c r="AR22" i="3"/>
  <c r="I13" i="6" s="1"/>
  <c r="AM22" i="3"/>
  <c r="H13" i="6" s="1"/>
  <c r="AR21" i="3"/>
  <c r="I12" i="6" s="1"/>
  <c r="AM21" i="3"/>
  <c r="H12" i="6" s="1"/>
  <c r="AR20" i="3"/>
  <c r="I11" i="6" s="1"/>
  <c r="AM20" i="3"/>
  <c r="H11" i="6" s="1"/>
  <c r="AR19" i="3"/>
  <c r="I10" i="6" s="1"/>
  <c r="AM19" i="3"/>
  <c r="H10" i="6" s="1"/>
  <c r="AR18" i="3"/>
  <c r="I9" i="6" s="1"/>
  <c r="AM18" i="3"/>
  <c r="H9" i="6" s="1"/>
  <c r="AR17" i="3"/>
  <c r="I8" i="6" s="1"/>
  <c r="AM17" i="3"/>
  <c r="H8" i="6" s="1"/>
  <c r="AR16" i="3"/>
  <c r="I7" i="6" s="1"/>
  <c r="AM16" i="3"/>
  <c r="H7" i="6" s="1"/>
  <c r="AR15" i="3"/>
  <c r="I6" i="6" s="1"/>
  <c r="AM15" i="3"/>
  <c r="H6" i="6" s="1"/>
  <c r="AR14" i="3"/>
  <c r="I5" i="6" s="1"/>
  <c r="AM14" i="3"/>
  <c r="H5" i="6" s="1"/>
  <c r="AR13" i="3"/>
  <c r="I4" i="6" s="1"/>
  <c r="AM13" i="3"/>
  <c r="H4" i="6" s="1"/>
  <c r="G55" i="6"/>
  <c r="F55" i="6"/>
  <c r="AH63" i="3"/>
  <c r="G54" i="6" s="1"/>
  <c r="AC63" i="3"/>
  <c r="F54" i="6" s="1"/>
  <c r="AH62" i="3"/>
  <c r="G53" i="6" s="1"/>
  <c r="AC62" i="3"/>
  <c r="F53" i="6" s="1"/>
  <c r="AH61" i="3"/>
  <c r="G52" i="6" s="1"/>
  <c r="AC61" i="3"/>
  <c r="F52" i="6" s="1"/>
  <c r="AH60" i="3"/>
  <c r="G51" i="6" s="1"/>
  <c r="AC60" i="3"/>
  <c r="F51" i="6" s="1"/>
  <c r="AH59" i="3"/>
  <c r="G50" i="6" s="1"/>
  <c r="AC59" i="3"/>
  <c r="F50" i="6" s="1"/>
  <c r="AH58" i="3"/>
  <c r="G49" i="6" s="1"/>
  <c r="AC58" i="3"/>
  <c r="F49" i="6" s="1"/>
  <c r="AH57" i="3"/>
  <c r="G48" i="6" s="1"/>
  <c r="AC57" i="3"/>
  <c r="F48" i="6" s="1"/>
  <c r="AH56" i="3"/>
  <c r="G47" i="6" s="1"/>
  <c r="AC56" i="3"/>
  <c r="F47" i="6" s="1"/>
  <c r="AH55" i="3"/>
  <c r="G46" i="6" s="1"/>
  <c r="AC55" i="3"/>
  <c r="F46" i="6" s="1"/>
  <c r="AH54" i="3"/>
  <c r="G45" i="6" s="1"/>
  <c r="AC54" i="3"/>
  <c r="F45" i="6" s="1"/>
  <c r="AH53" i="3"/>
  <c r="G44" i="6" s="1"/>
  <c r="AC53" i="3"/>
  <c r="F44" i="6" s="1"/>
  <c r="AH52" i="3"/>
  <c r="G43" i="6" s="1"/>
  <c r="AC52" i="3"/>
  <c r="F43" i="6" s="1"/>
  <c r="AH51" i="3"/>
  <c r="G42" i="6" s="1"/>
  <c r="AC51" i="3"/>
  <c r="F42" i="6" s="1"/>
  <c r="AH50" i="3"/>
  <c r="G41" i="6" s="1"/>
  <c r="AC50" i="3"/>
  <c r="F41" i="6" s="1"/>
  <c r="AH49" i="3"/>
  <c r="G40" i="6" s="1"/>
  <c r="AC49" i="3"/>
  <c r="F40" i="6" s="1"/>
  <c r="AH48" i="3"/>
  <c r="G39" i="6" s="1"/>
  <c r="AC48" i="3"/>
  <c r="F39" i="6" s="1"/>
  <c r="AH47" i="3"/>
  <c r="G38" i="6" s="1"/>
  <c r="AC47" i="3"/>
  <c r="F38" i="6" s="1"/>
  <c r="AH46" i="3"/>
  <c r="G37" i="6" s="1"/>
  <c r="AC46" i="3"/>
  <c r="F37" i="6" s="1"/>
  <c r="AH45" i="3"/>
  <c r="G36" i="6" s="1"/>
  <c r="AC45" i="3"/>
  <c r="F36" i="6" s="1"/>
  <c r="AH44" i="3"/>
  <c r="G35" i="6" s="1"/>
  <c r="AC44" i="3"/>
  <c r="F35" i="6" s="1"/>
  <c r="AH43" i="3"/>
  <c r="G34" i="6" s="1"/>
  <c r="AC43" i="3"/>
  <c r="F34" i="6" s="1"/>
  <c r="AH42" i="3"/>
  <c r="G33" i="6" s="1"/>
  <c r="AC42" i="3"/>
  <c r="F33" i="6" s="1"/>
  <c r="AH41" i="3"/>
  <c r="G32" i="6" s="1"/>
  <c r="AC41" i="3"/>
  <c r="F32" i="6" s="1"/>
  <c r="AH40" i="3"/>
  <c r="G31" i="6" s="1"/>
  <c r="AC40" i="3"/>
  <c r="F31" i="6" s="1"/>
  <c r="AH39" i="3"/>
  <c r="G30" i="6" s="1"/>
  <c r="AC39" i="3"/>
  <c r="F30" i="6" s="1"/>
  <c r="AH38" i="3"/>
  <c r="G29" i="6" s="1"/>
  <c r="AC38" i="3"/>
  <c r="F29" i="6" s="1"/>
  <c r="AH37" i="3"/>
  <c r="G28" i="6" s="1"/>
  <c r="AC37" i="3"/>
  <c r="F28" i="6" s="1"/>
  <c r="AH36" i="3"/>
  <c r="G27" i="6" s="1"/>
  <c r="AC36" i="3"/>
  <c r="F27" i="6" s="1"/>
  <c r="AH35" i="3"/>
  <c r="G26" i="6" s="1"/>
  <c r="AC35" i="3"/>
  <c r="F26" i="6" s="1"/>
  <c r="AH34" i="3"/>
  <c r="G25" i="6" s="1"/>
  <c r="AC34" i="3"/>
  <c r="F25" i="6" s="1"/>
  <c r="AH33" i="3"/>
  <c r="G24" i="6" s="1"/>
  <c r="AC33" i="3"/>
  <c r="F24" i="6" s="1"/>
  <c r="AH32" i="3"/>
  <c r="G23" i="6" s="1"/>
  <c r="AC32" i="3"/>
  <c r="F23" i="6" s="1"/>
  <c r="AH31" i="3"/>
  <c r="G22" i="6" s="1"/>
  <c r="AC31" i="3"/>
  <c r="F22" i="6" s="1"/>
  <c r="AH30" i="3"/>
  <c r="G21" i="6" s="1"/>
  <c r="AC30" i="3"/>
  <c r="F21" i="6" s="1"/>
  <c r="AH29" i="3"/>
  <c r="G20" i="6" s="1"/>
  <c r="AC29" i="3"/>
  <c r="F20" i="6" s="1"/>
  <c r="AH28" i="3"/>
  <c r="G19" i="6" s="1"/>
  <c r="AC28" i="3"/>
  <c r="F19" i="6" s="1"/>
  <c r="AH27" i="3"/>
  <c r="G18" i="6" s="1"/>
  <c r="AC27" i="3"/>
  <c r="F18" i="6" s="1"/>
  <c r="AH26" i="3"/>
  <c r="G17" i="6" s="1"/>
  <c r="AC26" i="3"/>
  <c r="F17" i="6" s="1"/>
  <c r="AH25" i="3"/>
  <c r="G16" i="6" s="1"/>
  <c r="AC25" i="3"/>
  <c r="F16" i="6" s="1"/>
  <c r="AH24" i="3"/>
  <c r="G15" i="6" s="1"/>
  <c r="AC24" i="3"/>
  <c r="F15" i="6" s="1"/>
  <c r="AH23" i="3"/>
  <c r="G14" i="6" s="1"/>
  <c r="AC23" i="3"/>
  <c r="F14" i="6" s="1"/>
  <c r="AH22" i="3"/>
  <c r="G13" i="6" s="1"/>
  <c r="AC22" i="3"/>
  <c r="F13" i="6" s="1"/>
  <c r="AH21" i="3"/>
  <c r="G12" i="6" s="1"/>
  <c r="AC21" i="3"/>
  <c r="F12" i="6" s="1"/>
  <c r="AH20" i="3"/>
  <c r="G11" i="6" s="1"/>
  <c r="AC20" i="3"/>
  <c r="F11" i="6" s="1"/>
  <c r="AH19" i="3"/>
  <c r="G10" i="6" s="1"/>
  <c r="AC19" i="3"/>
  <c r="F10" i="6" s="1"/>
  <c r="AH18" i="3"/>
  <c r="G9" i="6" s="1"/>
  <c r="AC18" i="3"/>
  <c r="F9" i="6" s="1"/>
  <c r="AH17" i="3"/>
  <c r="G8" i="6" s="1"/>
  <c r="AC17" i="3"/>
  <c r="F8" i="6" s="1"/>
  <c r="AH16" i="3"/>
  <c r="G7" i="6" s="1"/>
  <c r="AC16" i="3"/>
  <c r="F7" i="6" s="1"/>
  <c r="AH15" i="3"/>
  <c r="G6" i="6" s="1"/>
  <c r="AC15" i="3"/>
  <c r="F6" i="6" s="1"/>
  <c r="AH14" i="3"/>
  <c r="G5" i="6" s="1"/>
  <c r="AC14" i="3"/>
  <c r="F5" i="6" s="1"/>
  <c r="AH13" i="3"/>
  <c r="G4" i="6" s="1"/>
  <c r="AC13" i="3"/>
  <c r="F4" i="6" s="1"/>
  <c r="E55" i="6"/>
  <c r="X63" i="3"/>
  <c r="E54" i="6" s="1"/>
  <c r="X62" i="3"/>
  <c r="E53" i="6" s="1"/>
  <c r="X61" i="3"/>
  <c r="E52" i="6" s="1"/>
  <c r="X60" i="3"/>
  <c r="E51" i="6" s="1"/>
  <c r="X59" i="3"/>
  <c r="E50" i="6" s="1"/>
  <c r="X58" i="3"/>
  <c r="E49" i="6" s="1"/>
  <c r="X57" i="3"/>
  <c r="E48" i="6" s="1"/>
  <c r="X56" i="3"/>
  <c r="E47" i="6" s="1"/>
  <c r="X55" i="3"/>
  <c r="E46" i="6" s="1"/>
  <c r="X54" i="3"/>
  <c r="E45" i="6" s="1"/>
  <c r="X53" i="3"/>
  <c r="E44" i="6" s="1"/>
  <c r="X52" i="3"/>
  <c r="E43" i="6" s="1"/>
  <c r="X51" i="3"/>
  <c r="E42" i="6" s="1"/>
  <c r="X50" i="3"/>
  <c r="E41" i="6" s="1"/>
  <c r="X49" i="3"/>
  <c r="E40" i="6" s="1"/>
  <c r="X48" i="3"/>
  <c r="E39" i="6" s="1"/>
  <c r="X47" i="3"/>
  <c r="E38" i="6" s="1"/>
  <c r="X46" i="3"/>
  <c r="E37" i="6" s="1"/>
  <c r="X45" i="3"/>
  <c r="E36" i="6" s="1"/>
  <c r="X44" i="3"/>
  <c r="E35" i="6" s="1"/>
  <c r="X43" i="3"/>
  <c r="E34" i="6" s="1"/>
  <c r="X42" i="3"/>
  <c r="E33" i="6" s="1"/>
  <c r="X41" i="3"/>
  <c r="E32" i="6" s="1"/>
  <c r="X40" i="3"/>
  <c r="E31" i="6" s="1"/>
  <c r="X39" i="3"/>
  <c r="E30" i="6" s="1"/>
  <c r="X38" i="3"/>
  <c r="E29" i="6" s="1"/>
  <c r="X37" i="3"/>
  <c r="E28" i="6" s="1"/>
  <c r="X36" i="3"/>
  <c r="E27" i="6" s="1"/>
  <c r="X35" i="3"/>
  <c r="E26" i="6" s="1"/>
  <c r="X34" i="3"/>
  <c r="E25" i="6" s="1"/>
  <c r="X33" i="3"/>
  <c r="E24" i="6" s="1"/>
  <c r="X32" i="3"/>
  <c r="E23" i="6" s="1"/>
  <c r="X31" i="3"/>
  <c r="E22" i="6" s="1"/>
  <c r="X30" i="3"/>
  <c r="E21" i="6" s="1"/>
  <c r="X29" i="3"/>
  <c r="E20" i="6" s="1"/>
  <c r="X28" i="3"/>
  <c r="E19" i="6" s="1"/>
  <c r="X27" i="3"/>
  <c r="E18" i="6" s="1"/>
  <c r="X26" i="3"/>
  <c r="E17" i="6" s="1"/>
  <c r="X25" i="3"/>
  <c r="E16" i="6" s="1"/>
  <c r="X24" i="3"/>
  <c r="E15" i="6" s="1"/>
  <c r="X23" i="3"/>
  <c r="E14" i="6" s="1"/>
  <c r="X22" i="3"/>
  <c r="E13" i="6" s="1"/>
  <c r="X21" i="3"/>
  <c r="E12" i="6" s="1"/>
  <c r="X20" i="3"/>
  <c r="E11" i="6" s="1"/>
  <c r="X19" i="3"/>
  <c r="E10" i="6" s="1"/>
  <c r="X18" i="3"/>
  <c r="E9" i="6" s="1"/>
  <c r="X17" i="3"/>
  <c r="E8" i="6" s="1"/>
  <c r="X16" i="3"/>
  <c r="E7" i="6" s="1"/>
  <c r="X15" i="3"/>
  <c r="E6" i="6" s="1"/>
  <c r="X14" i="3"/>
  <c r="E5" i="6" s="1"/>
  <c r="X13" i="3"/>
  <c r="E4" i="6" s="1"/>
  <c r="D55" i="6"/>
  <c r="S63" i="3"/>
  <c r="D54" i="6" s="1"/>
  <c r="S62" i="3"/>
  <c r="D53" i="6" s="1"/>
  <c r="S61" i="3"/>
  <c r="D52" i="6" s="1"/>
  <c r="S60" i="3"/>
  <c r="D51" i="6" s="1"/>
  <c r="S59" i="3"/>
  <c r="D50" i="6" s="1"/>
  <c r="S58" i="3"/>
  <c r="D49" i="6" s="1"/>
  <c r="S57" i="3"/>
  <c r="D48" i="6" s="1"/>
  <c r="S56" i="3"/>
  <c r="D47" i="6" s="1"/>
  <c r="S55" i="3"/>
  <c r="D46" i="6" s="1"/>
  <c r="S54" i="3"/>
  <c r="D45" i="6" s="1"/>
  <c r="S53" i="3"/>
  <c r="D44" i="6" s="1"/>
  <c r="S52" i="3"/>
  <c r="D43" i="6" s="1"/>
  <c r="S51" i="3"/>
  <c r="D42" i="6" s="1"/>
  <c r="S50" i="3"/>
  <c r="D41" i="6" s="1"/>
  <c r="S49" i="3"/>
  <c r="D40" i="6" s="1"/>
  <c r="S48" i="3"/>
  <c r="D39" i="6" s="1"/>
  <c r="S47" i="3"/>
  <c r="D38" i="6" s="1"/>
  <c r="S46" i="3"/>
  <c r="D37" i="6" s="1"/>
  <c r="S45" i="3"/>
  <c r="D36" i="6" s="1"/>
  <c r="S44" i="3"/>
  <c r="D35" i="6" s="1"/>
  <c r="S43" i="3"/>
  <c r="D34" i="6" s="1"/>
  <c r="S42" i="3"/>
  <c r="D33" i="6" s="1"/>
  <c r="S41" i="3"/>
  <c r="D32" i="6" s="1"/>
  <c r="S40" i="3"/>
  <c r="D31" i="6" s="1"/>
  <c r="S39" i="3"/>
  <c r="D30" i="6" s="1"/>
  <c r="S38" i="3"/>
  <c r="D29" i="6" s="1"/>
  <c r="S37" i="3"/>
  <c r="D28" i="6" s="1"/>
  <c r="S36" i="3"/>
  <c r="D27" i="6" s="1"/>
  <c r="S35" i="3"/>
  <c r="D26" i="6" s="1"/>
  <c r="S34" i="3"/>
  <c r="D25" i="6" s="1"/>
  <c r="S33" i="3"/>
  <c r="D24" i="6" s="1"/>
  <c r="S32" i="3"/>
  <c r="D23" i="6" s="1"/>
  <c r="S31" i="3"/>
  <c r="D22" i="6" s="1"/>
  <c r="S30" i="3"/>
  <c r="D21" i="6" s="1"/>
  <c r="S29" i="3"/>
  <c r="D20" i="6" s="1"/>
  <c r="S28" i="3"/>
  <c r="D19" i="6" s="1"/>
  <c r="S27" i="3"/>
  <c r="D18" i="6" s="1"/>
  <c r="S26" i="3"/>
  <c r="D17" i="6" s="1"/>
  <c r="S25" i="3"/>
  <c r="D16" i="6" s="1"/>
  <c r="S24" i="3"/>
  <c r="D15" i="6" s="1"/>
  <c r="S23" i="3"/>
  <c r="D14" i="6" s="1"/>
  <c r="S22" i="3"/>
  <c r="D13" i="6" s="1"/>
  <c r="S21" i="3"/>
  <c r="D12" i="6" s="1"/>
  <c r="S20" i="3"/>
  <c r="D11" i="6" s="1"/>
  <c r="S19" i="3"/>
  <c r="D10" i="6" s="1"/>
  <c r="S18" i="3"/>
  <c r="D9" i="6" s="1"/>
  <c r="S17" i="3"/>
  <c r="D8" i="6" s="1"/>
  <c r="S16" i="3"/>
  <c r="D7" i="6" s="1"/>
  <c r="S15" i="3"/>
  <c r="D6" i="6" s="1"/>
  <c r="S14" i="3"/>
  <c r="D5" i="6" s="1"/>
  <c r="S13" i="3"/>
  <c r="D4" i="6" s="1"/>
  <c r="C55" i="6"/>
  <c r="N63" i="3"/>
  <c r="C54" i="6" s="1"/>
  <c r="N62" i="3"/>
  <c r="C53" i="6" s="1"/>
  <c r="N61" i="3"/>
  <c r="C52" i="6" s="1"/>
  <c r="N60" i="3"/>
  <c r="C51" i="6" s="1"/>
  <c r="N59" i="3"/>
  <c r="C50" i="6" s="1"/>
  <c r="N58" i="3"/>
  <c r="C49" i="6" s="1"/>
  <c r="N57" i="3"/>
  <c r="C48" i="6" s="1"/>
  <c r="N56" i="3"/>
  <c r="C47" i="6" s="1"/>
  <c r="N55" i="3"/>
  <c r="C46" i="6" s="1"/>
  <c r="N54" i="3"/>
  <c r="C45" i="6" s="1"/>
  <c r="N53" i="3"/>
  <c r="C44" i="6" s="1"/>
  <c r="N52" i="3"/>
  <c r="C43" i="6" s="1"/>
  <c r="N51" i="3"/>
  <c r="C42" i="6" s="1"/>
  <c r="N50" i="3"/>
  <c r="C41" i="6" s="1"/>
  <c r="N49" i="3"/>
  <c r="C40" i="6" s="1"/>
  <c r="N48" i="3"/>
  <c r="C39" i="6" s="1"/>
  <c r="N47" i="3"/>
  <c r="C38" i="6" s="1"/>
  <c r="N46" i="3"/>
  <c r="C37" i="6" s="1"/>
  <c r="N45" i="3"/>
  <c r="C36" i="6" s="1"/>
  <c r="N44" i="3"/>
  <c r="C35" i="6" s="1"/>
  <c r="N43" i="3"/>
  <c r="C34" i="6" s="1"/>
  <c r="N42" i="3"/>
  <c r="C33" i="6" s="1"/>
  <c r="N41" i="3"/>
  <c r="C32" i="6" s="1"/>
  <c r="N40" i="3"/>
  <c r="C31" i="6" s="1"/>
  <c r="N39" i="3"/>
  <c r="C30" i="6" s="1"/>
  <c r="N38" i="3"/>
  <c r="C29" i="6" s="1"/>
  <c r="N37" i="3"/>
  <c r="C28" i="6" s="1"/>
  <c r="N36" i="3"/>
  <c r="C27" i="6" s="1"/>
  <c r="N35" i="3"/>
  <c r="C26" i="6" s="1"/>
  <c r="N34" i="3"/>
  <c r="C25" i="6" s="1"/>
  <c r="N33" i="3"/>
  <c r="C24" i="6" s="1"/>
  <c r="N32" i="3"/>
  <c r="C23" i="6" s="1"/>
  <c r="N31" i="3"/>
  <c r="C22" i="6" s="1"/>
  <c r="N30" i="3"/>
  <c r="C21" i="6" s="1"/>
  <c r="N29" i="3"/>
  <c r="C20" i="6" s="1"/>
  <c r="N28" i="3"/>
  <c r="C19" i="6" s="1"/>
  <c r="N27" i="3"/>
  <c r="C18" i="6" s="1"/>
  <c r="N26" i="3"/>
  <c r="C17" i="6" s="1"/>
  <c r="N25" i="3"/>
  <c r="C16" i="6" s="1"/>
  <c r="N24" i="3"/>
  <c r="C15" i="6" s="1"/>
  <c r="N23" i="3"/>
  <c r="C14" i="6" s="1"/>
  <c r="N22" i="3"/>
  <c r="C13" i="6" s="1"/>
  <c r="N21" i="3"/>
  <c r="C12" i="6" s="1"/>
  <c r="N20" i="3"/>
  <c r="C11" i="6" s="1"/>
  <c r="N19" i="3"/>
  <c r="C10" i="6" s="1"/>
  <c r="N18" i="3"/>
  <c r="C9" i="6" s="1"/>
  <c r="N17" i="3"/>
  <c r="C8" i="6" s="1"/>
  <c r="N16" i="3"/>
  <c r="C7" i="6" s="1"/>
  <c r="N15" i="3"/>
  <c r="C6" i="6" s="1"/>
  <c r="N14" i="3"/>
  <c r="C5" i="6" s="1"/>
  <c r="N13" i="3"/>
  <c r="C4" i="6" s="1"/>
  <c r="I14" i="3"/>
  <c r="B5" i="6" s="1"/>
  <c r="I15" i="3"/>
  <c r="B6" i="6" s="1"/>
  <c r="I16" i="3"/>
  <c r="B7" i="6" s="1"/>
  <c r="I17" i="3"/>
  <c r="B8" i="6" s="1"/>
  <c r="I18" i="3"/>
  <c r="B9" i="6" s="1"/>
  <c r="I19" i="3"/>
  <c r="B10" i="6" s="1"/>
  <c r="I20" i="3"/>
  <c r="B11" i="6" s="1"/>
  <c r="I21" i="3"/>
  <c r="B12" i="6" s="1"/>
  <c r="I22" i="3"/>
  <c r="B13" i="6" s="1"/>
  <c r="I23" i="3"/>
  <c r="B14" i="6" s="1"/>
  <c r="I24" i="3"/>
  <c r="B15" i="6" s="1"/>
  <c r="I25" i="3"/>
  <c r="B16" i="6" s="1"/>
  <c r="I26" i="3"/>
  <c r="B17" i="6" s="1"/>
  <c r="I27" i="3"/>
  <c r="B18" i="6" s="1"/>
  <c r="I28" i="3"/>
  <c r="B19" i="6" s="1"/>
  <c r="I29" i="3"/>
  <c r="B20" i="6" s="1"/>
  <c r="I30" i="3"/>
  <c r="B21" i="6" s="1"/>
  <c r="I31" i="3"/>
  <c r="B22" i="6" s="1"/>
  <c r="I32" i="3"/>
  <c r="B23" i="6" s="1"/>
  <c r="I33" i="3"/>
  <c r="B24" i="6" s="1"/>
  <c r="I34" i="3"/>
  <c r="B25" i="6" s="1"/>
  <c r="I35" i="3"/>
  <c r="B26" i="6" s="1"/>
  <c r="I36" i="3"/>
  <c r="B27" i="6" s="1"/>
  <c r="I37" i="3"/>
  <c r="B28" i="6" s="1"/>
  <c r="I38" i="3"/>
  <c r="B29" i="6" s="1"/>
  <c r="I39" i="3"/>
  <c r="B30" i="6" s="1"/>
  <c r="I40" i="3"/>
  <c r="B31" i="6" s="1"/>
  <c r="I41" i="3"/>
  <c r="B32" i="6" s="1"/>
  <c r="I42" i="3"/>
  <c r="B33" i="6" s="1"/>
  <c r="I43" i="3"/>
  <c r="B34" i="6" s="1"/>
  <c r="I44" i="3"/>
  <c r="B35" i="6" s="1"/>
  <c r="I45" i="3"/>
  <c r="B36" i="6" s="1"/>
  <c r="I46" i="3"/>
  <c r="B37" i="6" s="1"/>
  <c r="I47" i="3"/>
  <c r="B38" i="6" s="1"/>
  <c r="I48" i="3"/>
  <c r="B39" i="6" s="1"/>
  <c r="I49" i="3"/>
  <c r="B40" i="6" s="1"/>
  <c r="I50" i="3"/>
  <c r="B41" i="6" s="1"/>
  <c r="I51" i="3"/>
  <c r="B42" i="6" s="1"/>
  <c r="I52" i="3"/>
  <c r="B43" i="6" s="1"/>
  <c r="I53" i="3"/>
  <c r="B44" i="6" s="1"/>
  <c r="I54" i="3"/>
  <c r="B45" i="6" s="1"/>
  <c r="I55" i="3"/>
  <c r="B46" i="6" s="1"/>
  <c r="I56" i="3"/>
  <c r="B47" i="6" s="1"/>
  <c r="I57" i="3"/>
  <c r="B48" i="6" s="1"/>
  <c r="I58" i="3"/>
  <c r="B49" i="6" s="1"/>
  <c r="I59" i="3"/>
  <c r="B50" i="6" s="1"/>
  <c r="I60" i="3"/>
  <c r="B51" i="6" s="1"/>
  <c r="I61" i="3"/>
  <c r="B52" i="6" s="1"/>
  <c r="I62" i="3"/>
  <c r="B53" i="6" s="1"/>
  <c r="I63" i="3"/>
  <c r="B54" i="6" s="1"/>
  <c r="B55" i="6"/>
  <c r="I13" i="3"/>
  <c r="N1" i="6"/>
  <c r="W2" i="6"/>
  <c r="V2" i="6"/>
  <c r="U2" i="6"/>
  <c r="T2" i="6"/>
  <c r="S2" i="6"/>
  <c r="R2" i="6"/>
  <c r="Q2" i="6"/>
  <c r="P2" i="6"/>
  <c r="O2" i="6"/>
  <c r="I6" i="26" s="1"/>
  <c r="N2" i="6"/>
  <c r="I5" i="26" s="1"/>
  <c r="E12" i="3"/>
  <c r="W3" i="6"/>
  <c r="AI3" i="6" s="1"/>
  <c r="V3" i="6"/>
  <c r="AH3" i="6" s="1"/>
  <c r="J41" i="6"/>
  <c r="G15" i="15" l="1"/>
  <c r="F15" i="15" s="1"/>
  <c r="I9" i="26"/>
  <c r="E9" i="26"/>
  <c r="I10" i="26"/>
  <c r="E10" i="26"/>
  <c r="I7" i="26"/>
  <c r="E7" i="26"/>
  <c r="I11" i="26"/>
  <c r="E11" i="26"/>
  <c r="I13" i="26"/>
  <c r="E13" i="26"/>
  <c r="I14" i="26"/>
  <c r="E14" i="26"/>
  <c r="I8" i="26"/>
  <c r="E8" i="26"/>
  <c r="I12" i="26"/>
  <c r="E12" i="26"/>
  <c r="G9" i="26"/>
  <c r="G10" i="26"/>
  <c r="E6" i="26"/>
  <c r="G6" i="26"/>
  <c r="G7" i="26"/>
  <c r="E5" i="26"/>
  <c r="G5" i="26"/>
  <c r="G13" i="26"/>
  <c r="G14" i="26"/>
  <c r="G11" i="26"/>
  <c r="G8" i="26"/>
  <c r="G12" i="26"/>
  <c r="C9" i="26"/>
  <c r="C6" i="26"/>
  <c r="C14" i="26"/>
  <c r="C7" i="26"/>
  <c r="C11" i="26"/>
  <c r="C5" i="26"/>
  <c r="C13" i="26"/>
  <c r="C10" i="26"/>
  <c r="C8" i="26"/>
  <c r="C12" i="26"/>
  <c r="AB15" i="15"/>
  <c r="AD15" i="15" s="1"/>
  <c r="CY262" i="6"/>
  <c r="CY260" i="6"/>
  <c r="CY258" i="6"/>
  <c r="CY256" i="6"/>
  <c r="CY254" i="6"/>
  <c r="CY252" i="6"/>
  <c r="CY250" i="6"/>
  <c r="CY248" i="6"/>
  <c r="CY246" i="6"/>
  <c r="CY244" i="6"/>
  <c r="CY242" i="6"/>
  <c r="CY240" i="6"/>
  <c r="CY238" i="6"/>
  <c r="CY236" i="6"/>
  <c r="CY234" i="6"/>
  <c r="CY232" i="6"/>
  <c r="CY230" i="6"/>
  <c r="CY261" i="6"/>
  <c r="CY257" i="6"/>
  <c r="CY253" i="6"/>
  <c r="CY249" i="6"/>
  <c r="CY245" i="6"/>
  <c r="CY241" i="6"/>
  <c r="CY237" i="6"/>
  <c r="CY228" i="6"/>
  <c r="CY226" i="6"/>
  <c r="CY224" i="6"/>
  <c r="CY222" i="6"/>
  <c r="CY220" i="6"/>
  <c r="CY218" i="6"/>
  <c r="CY216" i="6"/>
  <c r="CY214" i="6"/>
  <c r="CY212" i="6"/>
  <c r="CY210" i="6"/>
  <c r="CY208" i="6"/>
  <c r="CY206" i="6"/>
  <c r="CY204" i="6"/>
  <c r="CY202" i="6"/>
  <c r="CY200" i="6"/>
  <c r="CY198" i="6"/>
  <c r="CY196" i="6"/>
  <c r="CY194" i="6"/>
  <c r="CY192" i="6"/>
  <c r="CY190" i="6"/>
  <c r="CY188" i="6"/>
  <c r="CY186" i="6"/>
  <c r="CY184" i="6"/>
  <c r="CY182" i="6"/>
  <c r="CY255" i="6"/>
  <c r="CY239" i="6"/>
  <c r="CY225" i="6"/>
  <c r="CY217" i="6"/>
  <c r="CY209" i="6"/>
  <c r="CY259" i="6"/>
  <c r="CY243" i="6"/>
  <c r="CY231" i="6"/>
  <c r="CY227" i="6"/>
  <c r="CY219" i="6"/>
  <c r="CY211" i="6"/>
  <c r="CY203" i="6"/>
  <c r="CY195" i="6"/>
  <c r="CY187" i="6"/>
  <c r="CY179" i="6"/>
  <c r="CY177" i="6"/>
  <c r="CY175" i="6"/>
  <c r="CY173" i="6"/>
  <c r="CY171" i="6"/>
  <c r="CY169" i="6"/>
  <c r="CY167" i="6"/>
  <c r="CY165" i="6"/>
  <c r="CY163" i="6"/>
  <c r="CY161" i="6"/>
  <c r="CY159" i="6"/>
  <c r="CY157" i="6"/>
  <c r="CY155" i="6"/>
  <c r="CY153" i="6"/>
  <c r="CY151" i="6"/>
  <c r="CY149" i="6"/>
  <c r="CY147" i="6"/>
  <c r="CY145" i="6"/>
  <c r="CY143" i="6"/>
  <c r="CY141" i="6"/>
  <c r="CY139" i="6"/>
  <c r="CY137" i="6"/>
  <c r="CY135" i="6"/>
  <c r="CY133" i="6"/>
  <c r="CY131" i="6"/>
  <c r="CY129" i="6"/>
  <c r="CY127" i="6"/>
  <c r="CY125" i="6"/>
  <c r="CY123" i="6"/>
  <c r="CY121" i="6"/>
  <c r="CY119" i="6"/>
  <c r="CY117" i="6"/>
  <c r="CY115" i="6"/>
  <c r="CY113" i="6"/>
  <c r="CY111" i="6"/>
  <c r="CY215" i="6"/>
  <c r="CY199" i="6"/>
  <c r="CY189" i="6"/>
  <c r="CY180" i="6"/>
  <c r="CY172" i="6"/>
  <c r="CY164" i="6"/>
  <c r="CY156" i="6"/>
  <c r="CY148" i="6"/>
  <c r="CY140" i="6"/>
  <c r="CY132" i="6"/>
  <c r="CY124" i="6"/>
  <c r="CY116" i="6"/>
  <c r="CY251" i="6"/>
  <c r="CY235" i="6"/>
  <c r="CY233" i="6"/>
  <c r="CY205" i="6"/>
  <c r="CY197" i="6"/>
  <c r="CY178" i="6"/>
  <c r="CY168" i="6"/>
  <c r="CY158" i="6"/>
  <c r="CY146" i="6"/>
  <c r="CY136" i="6"/>
  <c r="CY126" i="6"/>
  <c r="CY114" i="6"/>
  <c r="CY106" i="6"/>
  <c r="CY105" i="6"/>
  <c r="CY98" i="6"/>
  <c r="CY97" i="6"/>
  <c r="CY90" i="6"/>
  <c r="CY89" i="6"/>
  <c r="CY82" i="6"/>
  <c r="CY81" i="6"/>
  <c r="CY74" i="6"/>
  <c r="CY73" i="6"/>
  <c r="CY66" i="6"/>
  <c r="CY65" i="6"/>
  <c r="CY58" i="6"/>
  <c r="CY57" i="6"/>
  <c r="CY56" i="6"/>
  <c r="CY54" i="6"/>
  <c r="CY52" i="6"/>
  <c r="CY50" i="6"/>
  <c r="CY48" i="6"/>
  <c r="CY46" i="6"/>
  <c r="CY44" i="6"/>
  <c r="CY42" i="6"/>
  <c r="CY40" i="6"/>
  <c r="CY38" i="6"/>
  <c r="CY36" i="6"/>
  <c r="CY34" i="6"/>
  <c r="CY32" i="6"/>
  <c r="CY30" i="6"/>
  <c r="CY28" i="6"/>
  <c r="CY26" i="6"/>
  <c r="CY24" i="6"/>
  <c r="CY22" i="6"/>
  <c r="CY20" i="6"/>
  <c r="CY18" i="6"/>
  <c r="CY16" i="6"/>
  <c r="CY14" i="6"/>
  <c r="CY12" i="6"/>
  <c r="CY10" i="6"/>
  <c r="CY8" i="6"/>
  <c r="CY6" i="6"/>
  <c r="CY4" i="6"/>
  <c r="CY247" i="6"/>
  <c r="CY229" i="6"/>
  <c r="CY193" i="6"/>
  <c r="CY191" i="6"/>
  <c r="CY170" i="6"/>
  <c r="CY160" i="6"/>
  <c r="CY150" i="6"/>
  <c r="CY138" i="6"/>
  <c r="CY128" i="6"/>
  <c r="CY118" i="6"/>
  <c r="CY108" i="6"/>
  <c r="CY107" i="6"/>
  <c r="CY100" i="6"/>
  <c r="CY99" i="6"/>
  <c r="CY92" i="6"/>
  <c r="CY91" i="6"/>
  <c r="CY84" i="6"/>
  <c r="CY83" i="6"/>
  <c r="CY76" i="6"/>
  <c r="CY75" i="6"/>
  <c r="CY68" i="6"/>
  <c r="CY67" i="6"/>
  <c r="CY60" i="6"/>
  <c r="CY59" i="6"/>
  <c r="CY213" i="6"/>
  <c r="CY174" i="6"/>
  <c r="CY130" i="6"/>
  <c r="CY120" i="6"/>
  <c r="CY110" i="6"/>
  <c r="CY109" i="6"/>
  <c r="CY94" i="6"/>
  <c r="CY93" i="6"/>
  <c r="CY78" i="6"/>
  <c r="CY77" i="6"/>
  <c r="CY62" i="6"/>
  <c r="CY61" i="6"/>
  <c r="CY55" i="6"/>
  <c r="CY51" i="6"/>
  <c r="CY47" i="6"/>
  <c r="CY43" i="6"/>
  <c r="CY39" i="6"/>
  <c r="CY31" i="6"/>
  <c r="CY23" i="6"/>
  <c r="CY15" i="6"/>
  <c r="CY7" i="6"/>
  <c r="CY221" i="6"/>
  <c r="CY207" i="6"/>
  <c r="CY185" i="6"/>
  <c r="CY183" i="6"/>
  <c r="CY181" i="6"/>
  <c r="CY154" i="6"/>
  <c r="CY144" i="6"/>
  <c r="CY134" i="6"/>
  <c r="CY96" i="6"/>
  <c r="CY95" i="6"/>
  <c r="CY80" i="6"/>
  <c r="CY79" i="6"/>
  <c r="CY64" i="6"/>
  <c r="CY63" i="6"/>
  <c r="CY33" i="6"/>
  <c r="CY25" i="6"/>
  <c r="CY17" i="6"/>
  <c r="CY9" i="6"/>
  <c r="CY223" i="6"/>
  <c r="CY162" i="6"/>
  <c r="CY152" i="6"/>
  <c r="CY142" i="6"/>
  <c r="CY102" i="6"/>
  <c r="CY101" i="6"/>
  <c r="CY86" i="6"/>
  <c r="CY85" i="6"/>
  <c r="CY70" i="6"/>
  <c r="CY69" i="6"/>
  <c r="CY53" i="6"/>
  <c r="CY49" i="6"/>
  <c r="CY45" i="6"/>
  <c r="CY41" i="6"/>
  <c r="CY35" i="6"/>
  <c r="CY27" i="6"/>
  <c r="CY19" i="6"/>
  <c r="CY11" i="6"/>
  <c r="CY263" i="6"/>
  <c r="CY201" i="6"/>
  <c r="CY176" i="6"/>
  <c r="CY166" i="6"/>
  <c r="CY122" i="6"/>
  <c r="CY112" i="6"/>
  <c r="CY104" i="6"/>
  <c r="CY103" i="6"/>
  <c r="CY88" i="6"/>
  <c r="CY87" i="6"/>
  <c r="CY72" i="6"/>
  <c r="CY71" i="6"/>
  <c r="CY37" i="6"/>
  <c r="CY29" i="6"/>
  <c r="CY21" i="6"/>
  <c r="CY13" i="6"/>
  <c r="CY5" i="6"/>
  <c r="DC262" i="6"/>
  <c r="DC260" i="6"/>
  <c r="DC258" i="6"/>
  <c r="DC256" i="6"/>
  <c r="DC254" i="6"/>
  <c r="DC252" i="6"/>
  <c r="DC250" i="6"/>
  <c r="DC248" i="6"/>
  <c r="DC246" i="6"/>
  <c r="DC244" i="6"/>
  <c r="DC242" i="6"/>
  <c r="DC240" i="6"/>
  <c r="DC238" i="6"/>
  <c r="DC236" i="6"/>
  <c r="DC234" i="6"/>
  <c r="DC232" i="6"/>
  <c r="DC230" i="6"/>
  <c r="DC263" i="6"/>
  <c r="DC259" i="6"/>
  <c r="DC255" i="6"/>
  <c r="DC251" i="6"/>
  <c r="DC247" i="6"/>
  <c r="DC243" i="6"/>
  <c r="DC239" i="6"/>
  <c r="DC235" i="6"/>
  <c r="DC228" i="6"/>
  <c r="DC226" i="6"/>
  <c r="DC224" i="6"/>
  <c r="DC222" i="6"/>
  <c r="DC220" i="6"/>
  <c r="DC218" i="6"/>
  <c r="DC216" i="6"/>
  <c r="DC214" i="6"/>
  <c r="DC212" i="6"/>
  <c r="DC210" i="6"/>
  <c r="DC208" i="6"/>
  <c r="DC206" i="6"/>
  <c r="DC204" i="6"/>
  <c r="DC202" i="6"/>
  <c r="DC200" i="6"/>
  <c r="DC198" i="6"/>
  <c r="DC196" i="6"/>
  <c r="DC194" i="6"/>
  <c r="DC192" i="6"/>
  <c r="DC190" i="6"/>
  <c r="DC188" i="6"/>
  <c r="DC186" i="6"/>
  <c r="DC184" i="6"/>
  <c r="DC182" i="6"/>
  <c r="DC261" i="6"/>
  <c r="DC245" i="6"/>
  <c r="DC233" i="6"/>
  <c r="DC223" i="6"/>
  <c r="DC215" i="6"/>
  <c r="DC207" i="6"/>
  <c r="DC249" i="6"/>
  <c r="DC225" i="6"/>
  <c r="DC217" i="6"/>
  <c r="DC209" i="6"/>
  <c r="DC201" i="6"/>
  <c r="DC193" i="6"/>
  <c r="DC185" i="6"/>
  <c r="DC179" i="6"/>
  <c r="DC177" i="6"/>
  <c r="DC175" i="6"/>
  <c r="DC173" i="6"/>
  <c r="DC171" i="6"/>
  <c r="DC169" i="6"/>
  <c r="DC167" i="6"/>
  <c r="DC165" i="6"/>
  <c r="DC163" i="6"/>
  <c r="DC161" i="6"/>
  <c r="DC159" i="6"/>
  <c r="DC157" i="6"/>
  <c r="DC155" i="6"/>
  <c r="DC153" i="6"/>
  <c r="DC151" i="6"/>
  <c r="DC149" i="6"/>
  <c r="DC147" i="6"/>
  <c r="DC145" i="6"/>
  <c r="DC143" i="6"/>
  <c r="DC141" i="6"/>
  <c r="DC139" i="6"/>
  <c r="DC137" i="6"/>
  <c r="DC135" i="6"/>
  <c r="DC133" i="6"/>
  <c r="DC131" i="6"/>
  <c r="DC129" i="6"/>
  <c r="DC127" i="6"/>
  <c r="DC125" i="6"/>
  <c r="DC123" i="6"/>
  <c r="DC121" i="6"/>
  <c r="DC119" i="6"/>
  <c r="DC117" i="6"/>
  <c r="DC115" i="6"/>
  <c r="DC113" i="6"/>
  <c r="DC111" i="6"/>
  <c r="DC241" i="6"/>
  <c r="DC231" i="6"/>
  <c r="DC221" i="6"/>
  <c r="DC205" i="6"/>
  <c r="DC195" i="6"/>
  <c r="DC183" i="6"/>
  <c r="DC178" i="6"/>
  <c r="DC170" i="6"/>
  <c r="DC162" i="6"/>
  <c r="DC154" i="6"/>
  <c r="DC146" i="6"/>
  <c r="DC138" i="6"/>
  <c r="DC130" i="6"/>
  <c r="DC122" i="6"/>
  <c r="DC114" i="6"/>
  <c r="DC253" i="6"/>
  <c r="DC229" i="6"/>
  <c r="DC219" i="6"/>
  <c r="DC191" i="6"/>
  <c r="DC189" i="6"/>
  <c r="DC187" i="6"/>
  <c r="DC174" i="6"/>
  <c r="DC164" i="6"/>
  <c r="DC152" i="6"/>
  <c r="DC142" i="6"/>
  <c r="DC132" i="6"/>
  <c r="DC120" i="6"/>
  <c r="DC110" i="6"/>
  <c r="DC104" i="6"/>
  <c r="DC103" i="6"/>
  <c r="DC96" i="6"/>
  <c r="DC95" i="6"/>
  <c r="DC88" i="6"/>
  <c r="DC87" i="6"/>
  <c r="DC80" i="6"/>
  <c r="DC79" i="6"/>
  <c r="DC72" i="6"/>
  <c r="DC71" i="6"/>
  <c r="DC64" i="6"/>
  <c r="DC63" i="6"/>
  <c r="DC56" i="6"/>
  <c r="DC54" i="6"/>
  <c r="DC52" i="6"/>
  <c r="DC50" i="6"/>
  <c r="DC48" i="6"/>
  <c r="DC46" i="6"/>
  <c r="DC44" i="6"/>
  <c r="DC42" i="6"/>
  <c r="DC40" i="6"/>
  <c r="DC38" i="6"/>
  <c r="DC36" i="6"/>
  <c r="DC34" i="6"/>
  <c r="DC32" i="6"/>
  <c r="DC30" i="6"/>
  <c r="DC28" i="6"/>
  <c r="DC26" i="6"/>
  <c r="DC24" i="6"/>
  <c r="DC22" i="6"/>
  <c r="DC20" i="6"/>
  <c r="DC18" i="6"/>
  <c r="DC16" i="6"/>
  <c r="DC14" i="6"/>
  <c r="DC12" i="6"/>
  <c r="DC10" i="6"/>
  <c r="DC8" i="6"/>
  <c r="DC6" i="6"/>
  <c r="DC4" i="6"/>
  <c r="DC227" i="6"/>
  <c r="DC213" i="6"/>
  <c r="DC203" i="6"/>
  <c r="DC176" i="6"/>
  <c r="DC166" i="6"/>
  <c r="DC156" i="6"/>
  <c r="DC144" i="6"/>
  <c r="DC134" i="6"/>
  <c r="DC124" i="6"/>
  <c r="DC112" i="6"/>
  <c r="DC106" i="6"/>
  <c r="DC105" i="6"/>
  <c r="DC98" i="6"/>
  <c r="DC97" i="6"/>
  <c r="DC90" i="6"/>
  <c r="DC89" i="6"/>
  <c r="DC82" i="6"/>
  <c r="DC81" i="6"/>
  <c r="DC74" i="6"/>
  <c r="DC73" i="6"/>
  <c r="DC66" i="6"/>
  <c r="DC65" i="6"/>
  <c r="DC58" i="6"/>
  <c r="DC57" i="6"/>
  <c r="DC181" i="6"/>
  <c r="DC168" i="6"/>
  <c r="DC158" i="6"/>
  <c r="DC148" i="6"/>
  <c r="DC100" i="6"/>
  <c r="DC99" i="6"/>
  <c r="DC84" i="6"/>
  <c r="DC83" i="6"/>
  <c r="DC68" i="6"/>
  <c r="DC67" i="6"/>
  <c r="DC53" i="6"/>
  <c r="DC49" i="6"/>
  <c r="DC45" i="6"/>
  <c r="DC41" i="6"/>
  <c r="DC37" i="6"/>
  <c r="DC29" i="6"/>
  <c r="DC21" i="6"/>
  <c r="DC13" i="6"/>
  <c r="DC5" i="6"/>
  <c r="DC237" i="6"/>
  <c r="DC172" i="6"/>
  <c r="DC128" i="6"/>
  <c r="DC118" i="6"/>
  <c r="DC102" i="6"/>
  <c r="DC101" i="6"/>
  <c r="DC86" i="6"/>
  <c r="DC85" i="6"/>
  <c r="DC70" i="6"/>
  <c r="DC69" i="6"/>
  <c r="DC39" i="6"/>
  <c r="DC31" i="6"/>
  <c r="DC23" i="6"/>
  <c r="DC15" i="6"/>
  <c r="DC7" i="6"/>
  <c r="DC211" i="6"/>
  <c r="DC199" i="6"/>
  <c r="DC197" i="6"/>
  <c r="DC180" i="6"/>
  <c r="DC136" i="6"/>
  <c r="DC126" i="6"/>
  <c r="DC116" i="6"/>
  <c r="DC108" i="6"/>
  <c r="DC107" i="6"/>
  <c r="DC92" i="6"/>
  <c r="DC91" i="6"/>
  <c r="DC76" i="6"/>
  <c r="DC75" i="6"/>
  <c r="DC60" i="6"/>
  <c r="DC59" i="6"/>
  <c r="DC55" i="6"/>
  <c r="DC51" i="6"/>
  <c r="DC47" i="6"/>
  <c r="DC43" i="6"/>
  <c r="DC33" i="6"/>
  <c r="DC25" i="6"/>
  <c r="DC17" i="6"/>
  <c r="DC9" i="6"/>
  <c r="DC257" i="6"/>
  <c r="DC160" i="6"/>
  <c r="DC150" i="6"/>
  <c r="DC140" i="6"/>
  <c r="DC109" i="6"/>
  <c r="DC94" i="6"/>
  <c r="DC93" i="6"/>
  <c r="DC78" i="6"/>
  <c r="DC77" i="6"/>
  <c r="DC62" i="6"/>
  <c r="DC61" i="6"/>
  <c r="DC35" i="6"/>
  <c r="DC27" i="6"/>
  <c r="DC19" i="6"/>
  <c r="DC11" i="6"/>
  <c r="CZ262" i="6"/>
  <c r="CZ260" i="6"/>
  <c r="CZ258" i="6"/>
  <c r="CZ256" i="6"/>
  <c r="CZ254" i="6"/>
  <c r="CZ252" i="6"/>
  <c r="CZ250" i="6"/>
  <c r="CZ248" i="6"/>
  <c r="CZ246" i="6"/>
  <c r="CZ244" i="6"/>
  <c r="CZ242" i="6"/>
  <c r="CZ240" i="6"/>
  <c r="CZ238" i="6"/>
  <c r="CZ231" i="6"/>
  <c r="CZ230" i="6"/>
  <c r="CZ259" i="6"/>
  <c r="CZ257" i="6"/>
  <c r="CZ243" i="6"/>
  <c r="CZ241" i="6"/>
  <c r="CZ234" i="6"/>
  <c r="CZ227" i="6"/>
  <c r="CZ226" i="6"/>
  <c r="CZ219" i="6"/>
  <c r="CZ218" i="6"/>
  <c r="CZ211" i="6"/>
  <c r="CZ210" i="6"/>
  <c r="CZ263" i="6"/>
  <c r="CZ261" i="6"/>
  <c r="CZ247" i="6"/>
  <c r="CZ245" i="6"/>
  <c r="CZ236" i="6"/>
  <c r="CZ233" i="6"/>
  <c r="CZ229" i="6"/>
  <c r="CZ228" i="6"/>
  <c r="CZ221" i="6"/>
  <c r="CZ220" i="6"/>
  <c r="CZ213" i="6"/>
  <c r="CZ212" i="6"/>
  <c r="CZ205" i="6"/>
  <c r="CZ204" i="6"/>
  <c r="CZ197" i="6"/>
  <c r="CZ196" i="6"/>
  <c r="CZ189" i="6"/>
  <c r="CZ188" i="6"/>
  <c r="CZ181" i="6"/>
  <c r="CZ239" i="6"/>
  <c r="CZ237" i="6"/>
  <c r="CZ217" i="6"/>
  <c r="CZ216" i="6"/>
  <c r="CZ201" i="6"/>
  <c r="CZ194" i="6"/>
  <c r="CZ191" i="6"/>
  <c r="CZ184" i="6"/>
  <c r="CZ174" i="6"/>
  <c r="CZ173" i="6"/>
  <c r="CZ166" i="6"/>
  <c r="CZ165" i="6"/>
  <c r="CZ158" i="6"/>
  <c r="CZ157" i="6"/>
  <c r="CZ150" i="6"/>
  <c r="CZ149" i="6"/>
  <c r="CZ142" i="6"/>
  <c r="CZ141" i="6"/>
  <c r="CZ134" i="6"/>
  <c r="CZ133" i="6"/>
  <c r="CZ126" i="6"/>
  <c r="CZ125" i="6"/>
  <c r="CZ118" i="6"/>
  <c r="CZ117" i="6"/>
  <c r="CZ110" i="6"/>
  <c r="CZ108" i="6"/>
  <c r="CZ106" i="6"/>
  <c r="CZ104" i="6"/>
  <c r="CZ102" i="6"/>
  <c r="CZ100" i="6"/>
  <c r="CZ98" i="6"/>
  <c r="CZ96" i="6"/>
  <c r="CZ94" i="6"/>
  <c r="CZ92" i="6"/>
  <c r="CZ90" i="6"/>
  <c r="CZ88" i="6"/>
  <c r="CZ86" i="6"/>
  <c r="CZ84" i="6"/>
  <c r="CZ82" i="6"/>
  <c r="CZ80" i="6"/>
  <c r="CZ78" i="6"/>
  <c r="CZ76" i="6"/>
  <c r="CZ74" i="6"/>
  <c r="CZ72" i="6"/>
  <c r="CZ70" i="6"/>
  <c r="CZ68" i="6"/>
  <c r="CZ66" i="6"/>
  <c r="CZ64" i="6"/>
  <c r="CZ62" i="6"/>
  <c r="CZ60" i="6"/>
  <c r="CZ58" i="6"/>
  <c r="CZ225" i="6"/>
  <c r="CZ222" i="6"/>
  <c r="CZ215" i="6"/>
  <c r="CZ208" i="6"/>
  <c r="CZ195" i="6"/>
  <c r="CZ193" i="6"/>
  <c r="CZ180" i="6"/>
  <c r="CZ175" i="6"/>
  <c r="CZ170" i="6"/>
  <c r="CZ163" i="6"/>
  <c r="CZ160" i="6"/>
  <c r="CZ153" i="6"/>
  <c r="CZ148" i="6"/>
  <c r="CZ143" i="6"/>
  <c r="CZ138" i="6"/>
  <c r="CZ131" i="6"/>
  <c r="CZ128" i="6"/>
  <c r="CZ121" i="6"/>
  <c r="CZ116" i="6"/>
  <c r="CZ111" i="6"/>
  <c r="CZ107" i="6"/>
  <c r="CZ99" i="6"/>
  <c r="CZ91" i="6"/>
  <c r="CZ83" i="6"/>
  <c r="CZ75" i="6"/>
  <c r="CZ67" i="6"/>
  <c r="CZ59" i="6"/>
  <c r="CZ253" i="6"/>
  <c r="CZ223" i="6"/>
  <c r="CZ209" i="6"/>
  <c r="CZ206" i="6"/>
  <c r="CZ192" i="6"/>
  <c r="CZ190" i="6"/>
  <c r="CZ177" i="6"/>
  <c r="CZ172" i="6"/>
  <c r="CZ167" i="6"/>
  <c r="CZ162" i="6"/>
  <c r="CZ155" i="6"/>
  <c r="CZ152" i="6"/>
  <c r="CZ145" i="6"/>
  <c r="CZ140" i="6"/>
  <c r="CZ135" i="6"/>
  <c r="CZ130" i="6"/>
  <c r="CZ123" i="6"/>
  <c r="CZ120" i="6"/>
  <c r="CZ113" i="6"/>
  <c r="CZ109" i="6"/>
  <c r="CZ101" i="6"/>
  <c r="CZ93" i="6"/>
  <c r="CZ85" i="6"/>
  <c r="CZ77" i="6"/>
  <c r="CZ69" i="6"/>
  <c r="CZ61" i="6"/>
  <c r="CZ55" i="6"/>
  <c r="CZ53" i="6"/>
  <c r="CZ51" i="6"/>
  <c r="CZ49" i="6"/>
  <c r="CZ47" i="6"/>
  <c r="CZ45" i="6"/>
  <c r="CZ43" i="6"/>
  <c r="CZ41" i="6"/>
  <c r="CZ255" i="6"/>
  <c r="CZ249" i="6"/>
  <c r="CZ207" i="6"/>
  <c r="CZ187" i="6"/>
  <c r="CZ185" i="6"/>
  <c r="CZ183" i="6"/>
  <c r="CZ164" i="6"/>
  <c r="CZ154" i="6"/>
  <c r="CZ147" i="6"/>
  <c r="CZ144" i="6"/>
  <c r="CZ137" i="6"/>
  <c r="CZ127" i="6"/>
  <c r="CZ95" i="6"/>
  <c r="CZ79" i="6"/>
  <c r="CZ63" i="6"/>
  <c r="CZ40" i="6"/>
  <c r="CZ33" i="6"/>
  <c r="CZ32" i="6"/>
  <c r="CZ25" i="6"/>
  <c r="CZ24" i="6"/>
  <c r="CZ17" i="6"/>
  <c r="CZ16" i="6"/>
  <c r="CZ9" i="6"/>
  <c r="CZ8" i="6"/>
  <c r="CZ224" i="6"/>
  <c r="CZ202" i="6"/>
  <c r="CZ200" i="6"/>
  <c r="CZ198" i="6"/>
  <c r="CZ178" i="6"/>
  <c r="CZ171" i="6"/>
  <c r="CZ168" i="6"/>
  <c r="CZ161" i="6"/>
  <c r="CZ151" i="6"/>
  <c r="CZ124" i="6"/>
  <c r="CZ114" i="6"/>
  <c r="CZ97" i="6"/>
  <c r="CZ81" i="6"/>
  <c r="CZ65" i="6"/>
  <c r="CZ54" i="6"/>
  <c r="CZ50" i="6"/>
  <c r="CZ46" i="6"/>
  <c r="CZ42" i="6"/>
  <c r="CZ35" i="6"/>
  <c r="CZ34" i="6"/>
  <c r="CZ27" i="6"/>
  <c r="CZ26" i="6"/>
  <c r="CZ19" i="6"/>
  <c r="CZ18" i="6"/>
  <c r="CZ11" i="6"/>
  <c r="CZ10" i="6"/>
  <c r="CZ232" i="6"/>
  <c r="CZ203" i="6"/>
  <c r="CZ186" i="6"/>
  <c r="CZ179" i="6"/>
  <c r="CZ176" i="6"/>
  <c r="CZ169" i="6"/>
  <c r="CZ159" i="6"/>
  <c r="CZ132" i="6"/>
  <c r="CZ122" i="6"/>
  <c r="CZ115" i="6"/>
  <c r="CZ112" i="6"/>
  <c r="CZ103" i="6"/>
  <c r="CZ87" i="6"/>
  <c r="CZ71" i="6"/>
  <c r="CZ37" i="6"/>
  <c r="CZ36" i="6"/>
  <c r="CZ29" i="6"/>
  <c r="CZ28" i="6"/>
  <c r="CZ21" i="6"/>
  <c r="CZ20" i="6"/>
  <c r="CZ13" i="6"/>
  <c r="CZ12" i="6"/>
  <c r="CZ5" i="6"/>
  <c r="CZ4" i="6"/>
  <c r="CZ251" i="6"/>
  <c r="CZ235" i="6"/>
  <c r="CZ214" i="6"/>
  <c r="CZ199" i="6"/>
  <c r="CZ182" i="6"/>
  <c r="CZ156" i="6"/>
  <c r="CZ146" i="6"/>
  <c r="CZ139" i="6"/>
  <c r="CZ136" i="6"/>
  <c r="CZ129" i="6"/>
  <c r="CZ119" i="6"/>
  <c r="CZ105" i="6"/>
  <c r="CZ89" i="6"/>
  <c r="CZ73" i="6"/>
  <c r="CZ57" i="6"/>
  <c r="CZ56" i="6"/>
  <c r="CZ52" i="6"/>
  <c r="CZ48" i="6"/>
  <c r="CZ44" i="6"/>
  <c r="CZ39" i="6"/>
  <c r="CZ38" i="6"/>
  <c r="CZ31" i="6"/>
  <c r="CZ30" i="6"/>
  <c r="CZ23" i="6"/>
  <c r="CZ22" i="6"/>
  <c r="CZ15" i="6"/>
  <c r="CZ14" i="6"/>
  <c r="CZ7" i="6"/>
  <c r="CZ6" i="6"/>
  <c r="DA263" i="6"/>
  <c r="DA261" i="6"/>
  <c r="DA259" i="6"/>
  <c r="DA257" i="6"/>
  <c r="DA255" i="6"/>
  <c r="DA253" i="6"/>
  <c r="DA251" i="6"/>
  <c r="DA249" i="6"/>
  <c r="DA247" i="6"/>
  <c r="DA245" i="6"/>
  <c r="DA243" i="6"/>
  <c r="DA241" i="6"/>
  <c r="DA239" i="6"/>
  <c r="DA237" i="6"/>
  <c r="DA235" i="6"/>
  <c r="DA233" i="6"/>
  <c r="DA231" i="6"/>
  <c r="DA260" i="6"/>
  <c r="DA256" i="6"/>
  <c r="DA252" i="6"/>
  <c r="DA248" i="6"/>
  <c r="DA244" i="6"/>
  <c r="DA240" i="6"/>
  <c r="DA232" i="6"/>
  <c r="DA229" i="6"/>
  <c r="DA227" i="6"/>
  <c r="DA225" i="6"/>
  <c r="DA223" i="6"/>
  <c r="DA221" i="6"/>
  <c r="DA219" i="6"/>
  <c r="DA217" i="6"/>
  <c r="DA215" i="6"/>
  <c r="DA213" i="6"/>
  <c r="DA211" i="6"/>
  <c r="DA209" i="6"/>
  <c r="DA207" i="6"/>
  <c r="DA205" i="6"/>
  <c r="DA203" i="6"/>
  <c r="DA201" i="6"/>
  <c r="DA199" i="6"/>
  <c r="DA197" i="6"/>
  <c r="DA195" i="6"/>
  <c r="DA193" i="6"/>
  <c r="DA191" i="6"/>
  <c r="DA189" i="6"/>
  <c r="DA187" i="6"/>
  <c r="DA185" i="6"/>
  <c r="DA183" i="6"/>
  <c r="DA181" i="6"/>
  <c r="DA258" i="6"/>
  <c r="DA242" i="6"/>
  <c r="DA236" i="6"/>
  <c r="DA228" i="6"/>
  <c r="DA220" i="6"/>
  <c r="DA212" i="6"/>
  <c r="DA204" i="6"/>
  <c r="DA262" i="6"/>
  <c r="DA246" i="6"/>
  <c r="DA222" i="6"/>
  <c r="DA214" i="6"/>
  <c r="DA206" i="6"/>
  <c r="DA198" i="6"/>
  <c r="DA190" i="6"/>
  <c r="DA182" i="6"/>
  <c r="DA180" i="6"/>
  <c r="DA178" i="6"/>
  <c r="DA176" i="6"/>
  <c r="DA174" i="6"/>
  <c r="DA172" i="6"/>
  <c r="DA170" i="6"/>
  <c r="DA168" i="6"/>
  <c r="DA166" i="6"/>
  <c r="DA164" i="6"/>
  <c r="DA162" i="6"/>
  <c r="DA160" i="6"/>
  <c r="DA158" i="6"/>
  <c r="DA156" i="6"/>
  <c r="DA154" i="6"/>
  <c r="DA152" i="6"/>
  <c r="DA150" i="6"/>
  <c r="DA148" i="6"/>
  <c r="DA146" i="6"/>
  <c r="DA144" i="6"/>
  <c r="DA142" i="6"/>
  <c r="DA140" i="6"/>
  <c r="DA138" i="6"/>
  <c r="DA136" i="6"/>
  <c r="DA134" i="6"/>
  <c r="DA132" i="6"/>
  <c r="DA130" i="6"/>
  <c r="DA128" i="6"/>
  <c r="DA126" i="6"/>
  <c r="DA124" i="6"/>
  <c r="DA122" i="6"/>
  <c r="DA120" i="6"/>
  <c r="DA118" i="6"/>
  <c r="DA116" i="6"/>
  <c r="DA114" i="6"/>
  <c r="DA112" i="6"/>
  <c r="DA110" i="6"/>
  <c r="DA254" i="6"/>
  <c r="DA234" i="6"/>
  <c r="DA218" i="6"/>
  <c r="DA196" i="6"/>
  <c r="DA186" i="6"/>
  <c r="DA175" i="6"/>
  <c r="DA167" i="6"/>
  <c r="DA159" i="6"/>
  <c r="DA151" i="6"/>
  <c r="DA143" i="6"/>
  <c r="DA135" i="6"/>
  <c r="DA127" i="6"/>
  <c r="DA119" i="6"/>
  <c r="DA111" i="6"/>
  <c r="DA194" i="6"/>
  <c r="DA192" i="6"/>
  <c r="DA177" i="6"/>
  <c r="DA165" i="6"/>
  <c r="DA155" i="6"/>
  <c r="DA145" i="6"/>
  <c r="DA133" i="6"/>
  <c r="DA123" i="6"/>
  <c r="DA113" i="6"/>
  <c r="DA109" i="6"/>
  <c r="DA108" i="6"/>
  <c r="DA101" i="6"/>
  <c r="DA100" i="6"/>
  <c r="DA93" i="6"/>
  <c r="DA92" i="6"/>
  <c r="DA85" i="6"/>
  <c r="DA84" i="6"/>
  <c r="DA77" i="6"/>
  <c r="DA76" i="6"/>
  <c r="DA69" i="6"/>
  <c r="DA68" i="6"/>
  <c r="DA61" i="6"/>
  <c r="DA60" i="6"/>
  <c r="DA55" i="6"/>
  <c r="DA53" i="6"/>
  <c r="DA51" i="6"/>
  <c r="DA49" i="6"/>
  <c r="DA47" i="6"/>
  <c r="DA45" i="6"/>
  <c r="DA43" i="6"/>
  <c r="DA41" i="6"/>
  <c r="DA39" i="6"/>
  <c r="DA37" i="6"/>
  <c r="DA35" i="6"/>
  <c r="DA33" i="6"/>
  <c r="DA31" i="6"/>
  <c r="DA29" i="6"/>
  <c r="DA27" i="6"/>
  <c r="DA25" i="6"/>
  <c r="DA23" i="6"/>
  <c r="DA21" i="6"/>
  <c r="DA19" i="6"/>
  <c r="DA17" i="6"/>
  <c r="DA15" i="6"/>
  <c r="DA13" i="6"/>
  <c r="DA11" i="6"/>
  <c r="DA9" i="6"/>
  <c r="DA7" i="6"/>
  <c r="DA5" i="6"/>
  <c r="DA250" i="6"/>
  <c r="DA226" i="6"/>
  <c r="DA216" i="6"/>
  <c r="DA188" i="6"/>
  <c r="DA179" i="6"/>
  <c r="DA169" i="6"/>
  <c r="DA157" i="6"/>
  <c r="DA147" i="6"/>
  <c r="DA137" i="6"/>
  <c r="DA125" i="6"/>
  <c r="DA115" i="6"/>
  <c r="DA103" i="6"/>
  <c r="DA102" i="6"/>
  <c r="DA95" i="6"/>
  <c r="DA94" i="6"/>
  <c r="DA87" i="6"/>
  <c r="DA86" i="6"/>
  <c r="DA79" i="6"/>
  <c r="DA78" i="6"/>
  <c r="DA71" i="6"/>
  <c r="DA70" i="6"/>
  <c r="DA63" i="6"/>
  <c r="DA62" i="6"/>
  <c r="DA238" i="6"/>
  <c r="DA230" i="6"/>
  <c r="DA224" i="6"/>
  <c r="DA210" i="6"/>
  <c r="DA202" i="6"/>
  <c r="DA200" i="6"/>
  <c r="DA171" i="6"/>
  <c r="DA161" i="6"/>
  <c r="DA117" i="6"/>
  <c r="DA97" i="6"/>
  <c r="DA96" i="6"/>
  <c r="DA81" i="6"/>
  <c r="DA80" i="6"/>
  <c r="DA65" i="6"/>
  <c r="DA64" i="6"/>
  <c r="DA54" i="6"/>
  <c r="DA50" i="6"/>
  <c r="DA46" i="6"/>
  <c r="DA42" i="6"/>
  <c r="DA34" i="6"/>
  <c r="DA26" i="6"/>
  <c r="DA18" i="6"/>
  <c r="DA10" i="6"/>
  <c r="DA141" i="6"/>
  <c r="DA131" i="6"/>
  <c r="DA121" i="6"/>
  <c r="DA99" i="6"/>
  <c r="DA98" i="6"/>
  <c r="DA83" i="6"/>
  <c r="DA82" i="6"/>
  <c r="DA67" i="6"/>
  <c r="DA66" i="6"/>
  <c r="DA36" i="6"/>
  <c r="DA28" i="6"/>
  <c r="DA20" i="6"/>
  <c r="DA12" i="6"/>
  <c r="DA4" i="6"/>
  <c r="DA184" i="6"/>
  <c r="DA149" i="6"/>
  <c r="DA139" i="6"/>
  <c r="DA129" i="6"/>
  <c r="DA105" i="6"/>
  <c r="DA104" i="6"/>
  <c r="DA89" i="6"/>
  <c r="DA88" i="6"/>
  <c r="DA73" i="6"/>
  <c r="DA72" i="6"/>
  <c r="DA57" i="6"/>
  <c r="DA56" i="6"/>
  <c r="DA52" i="6"/>
  <c r="DA48" i="6"/>
  <c r="DA44" i="6"/>
  <c r="DA38" i="6"/>
  <c r="DA30" i="6"/>
  <c r="DA22" i="6"/>
  <c r="DA14" i="6"/>
  <c r="DA6" i="6"/>
  <c r="DA208" i="6"/>
  <c r="DA173" i="6"/>
  <c r="DA163" i="6"/>
  <c r="DA153" i="6"/>
  <c r="DA107" i="6"/>
  <c r="DA106" i="6"/>
  <c r="DA91" i="6"/>
  <c r="DA90" i="6"/>
  <c r="DA75" i="6"/>
  <c r="DA74" i="6"/>
  <c r="DA59" i="6"/>
  <c r="DA58" i="6"/>
  <c r="DA40" i="6"/>
  <c r="DA32" i="6"/>
  <c r="DA24" i="6"/>
  <c r="DA16" i="6"/>
  <c r="DA8" i="6"/>
  <c r="DD262" i="6"/>
  <c r="DD260" i="6"/>
  <c r="DD258" i="6"/>
  <c r="DD256" i="6"/>
  <c r="DD254" i="6"/>
  <c r="DD252" i="6"/>
  <c r="DD250" i="6"/>
  <c r="DD248" i="6"/>
  <c r="DD246" i="6"/>
  <c r="DD244" i="6"/>
  <c r="DD242" i="6"/>
  <c r="DD240" i="6"/>
  <c r="DD238" i="6"/>
  <c r="DD236" i="6"/>
  <c r="DD263" i="6"/>
  <c r="DD249" i="6"/>
  <c r="DD247" i="6"/>
  <c r="DD235" i="6"/>
  <c r="DD230" i="6"/>
  <c r="DD225" i="6"/>
  <c r="DD224" i="6"/>
  <c r="DD217" i="6"/>
  <c r="DD216" i="6"/>
  <c r="DD209" i="6"/>
  <c r="DD208" i="6"/>
  <c r="DD253" i="6"/>
  <c r="DD251" i="6"/>
  <c r="DD237" i="6"/>
  <c r="DD232" i="6"/>
  <c r="DD227" i="6"/>
  <c r="DD226" i="6"/>
  <c r="DD219" i="6"/>
  <c r="DD218" i="6"/>
  <c r="DD211" i="6"/>
  <c r="DD210" i="6"/>
  <c r="DD203" i="6"/>
  <c r="DD202" i="6"/>
  <c r="DD195" i="6"/>
  <c r="DD194" i="6"/>
  <c r="DD187" i="6"/>
  <c r="DD186" i="6"/>
  <c r="DD245" i="6"/>
  <c r="DD243" i="6"/>
  <c r="DD223" i="6"/>
  <c r="DD222" i="6"/>
  <c r="DD207" i="6"/>
  <c r="DD206" i="6"/>
  <c r="DD200" i="6"/>
  <c r="DD197" i="6"/>
  <c r="DD190" i="6"/>
  <c r="DD185" i="6"/>
  <c r="DD180" i="6"/>
  <c r="DD179" i="6"/>
  <c r="DD172" i="6"/>
  <c r="DD171" i="6"/>
  <c r="DD164" i="6"/>
  <c r="DD163" i="6"/>
  <c r="DD156" i="6"/>
  <c r="DD155" i="6"/>
  <c r="DD148" i="6"/>
  <c r="DD147" i="6"/>
  <c r="DD140" i="6"/>
  <c r="DD139" i="6"/>
  <c r="DD132" i="6"/>
  <c r="DD131" i="6"/>
  <c r="DD124" i="6"/>
  <c r="DD123" i="6"/>
  <c r="DD116" i="6"/>
  <c r="DD115" i="6"/>
  <c r="DD108" i="6"/>
  <c r="DD106" i="6"/>
  <c r="DD104" i="6"/>
  <c r="DD102" i="6"/>
  <c r="DD100" i="6"/>
  <c r="DD98" i="6"/>
  <c r="DD96" i="6"/>
  <c r="DD94" i="6"/>
  <c r="DD92" i="6"/>
  <c r="DD90" i="6"/>
  <c r="DD88" i="6"/>
  <c r="DD86" i="6"/>
  <c r="DD84" i="6"/>
  <c r="DD82" i="6"/>
  <c r="DD80" i="6"/>
  <c r="DD78" i="6"/>
  <c r="DD76" i="6"/>
  <c r="DD74" i="6"/>
  <c r="DD72" i="6"/>
  <c r="DD70" i="6"/>
  <c r="DD68" i="6"/>
  <c r="DD66" i="6"/>
  <c r="DD64" i="6"/>
  <c r="DD62" i="6"/>
  <c r="DD60" i="6"/>
  <c r="DD58" i="6"/>
  <c r="DD56" i="6"/>
  <c r="DD259" i="6"/>
  <c r="DD239" i="6"/>
  <c r="DD213" i="6"/>
  <c r="DD188" i="6"/>
  <c r="DD176" i="6"/>
  <c r="DD169" i="6"/>
  <c r="DD166" i="6"/>
  <c r="DD159" i="6"/>
  <c r="DD154" i="6"/>
  <c r="DD149" i="6"/>
  <c r="DD144" i="6"/>
  <c r="DD137" i="6"/>
  <c r="DD134" i="6"/>
  <c r="DD127" i="6"/>
  <c r="DD122" i="6"/>
  <c r="DD117" i="6"/>
  <c r="DD112" i="6"/>
  <c r="DD105" i="6"/>
  <c r="DD97" i="6"/>
  <c r="DD89" i="6"/>
  <c r="DD81" i="6"/>
  <c r="DD73" i="6"/>
  <c r="DD65" i="6"/>
  <c r="DD57" i="6"/>
  <c r="DD261" i="6"/>
  <c r="DD255" i="6"/>
  <c r="DD241" i="6"/>
  <c r="DD234" i="6"/>
  <c r="DD220" i="6"/>
  <c r="DD201" i="6"/>
  <c r="DD199" i="6"/>
  <c r="DD184" i="6"/>
  <c r="DD183" i="6"/>
  <c r="DD182" i="6"/>
  <c r="DD181" i="6"/>
  <c r="DD178" i="6"/>
  <c r="DD173" i="6"/>
  <c r="DD168" i="6"/>
  <c r="DD161" i="6"/>
  <c r="DD158" i="6"/>
  <c r="DD151" i="6"/>
  <c r="DD146" i="6"/>
  <c r="DD141" i="6"/>
  <c r="DD136" i="6"/>
  <c r="DD129" i="6"/>
  <c r="DD126" i="6"/>
  <c r="DD119" i="6"/>
  <c r="DD114" i="6"/>
  <c r="DD107" i="6"/>
  <c r="DD99" i="6"/>
  <c r="DD91" i="6"/>
  <c r="DD83" i="6"/>
  <c r="DD75" i="6"/>
  <c r="DD67" i="6"/>
  <c r="DD59" i="6"/>
  <c r="DD55" i="6"/>
  <c r="DD53" i="6"/>
  <c r="DD51" i="6"/>
  <c r="DD49" i="6"/>
  <c r="DD47" i="6"/>
  <c r="DD45" i="6"/>
  <c r="DD43" i="6"/>
  <c r="DD41" i="6"/>
  <c r="DD221" i="6"/>
  <c r="DD204" i="6"/>
  <c r="DD198" i="6"/>
  <c r="DD196" i="6"/>
  <c r="DD175" i="6"/>
  <c r="DD165" i="6"/>
  <c r="DD138" i="6"/>
  <c r="DD128" i="6"/>
  <c r="DD121" i="6"/>
  <c r="DD118" i="6"/>
  <c r="DD111" i="6"/>
  <c r="DD101" i="6"/>
  <c r="DD85" i="6"/>
  <c r="DD69" i="6"/>
  <c r="DD39" i="6"/>
  <c r="DD38" i="6"/>
  <c r="DD31" i="6"/>
  <c r="DD30" i="6"/>
  <c r="DD23" i="6"/>
  <c r="DD22" i="6"/>
  <c r="DD15" i="6"/>
  <c r="DD14" i="6"/>
  <c r="DD7" i="6"/>
  <c r="DD6" i="6"/>
  <c r="DD233" i="6"/>
  <c r="DD229" i="6"/>
  <c r="DD215" i="6"/>
  <c r="DD212" i="6"/>
  <c r="DD192" i="6"/>
  <c r="DD162" i="6"/>
  <c r="DD152" i="6"/>
  <c r="DD145" i="6"/>
  <c r="DD142" i="6"/>
  <c r="DD135" i="6"/>
  <c r="DD125" i="6"/>
  <c r="DD103" i="6"/>
  <c r="DD87" i="6"/>
  <c r="DD71" i="6"/>
  <c r="DD52" i="6"/>
  <c r="DD48" i="6"/>
  <c r="DD44" i="6"/>
  <c r="DD40" i="6"/>
  <c r="DD33" i="6"/>
  <c r="DD32" i="6"/>
  <c r="DD25" i="6"/>
  <c r="DD24" i="6"/>
  <c r="DD17" i="6"/>
  <c r="DD16" i="6"/>
  <c r="DD9" i="6"/>
  <c r="DD8" i="6"/>
  <c r="DD257" i="6"/>
  <c r="DD228" i="6"/>
  <c r="DD214" i="6"/>
  <c r="DD170" i="6"/>
  <c r="DD160" i="6"/>
  <c r="DD153" i="6"/>
  <c r="DD150" i="6"/>
  <c r="DD143" i="6"/>
  <c r="DD133" i="6"/>
  <c r="DD109" i="6"/>
  <c r="DD93" i="6"/>
  <c r="DD77" i="6"/>
  <c r="DD61" i="6"/>
  <c r="DD35" i="6"/>
  <c r="DD34" i="6"/>
  <c r="DD27" i="6"/>
  <c r="DD26" i="6"/>
  <c r="DD19" i="6"/>
  <c r="DD18" i="6"/>
  <c r="DD11" i="6"/>
  <c r="DD10" i="6"/>
  <c r="DD231" i="6"/>
  <c r="DD205" i="6"/>
  <c r="DD193" i="6"/>
  <c r="DD191" i="6"/>
  <c r="DD189" i="6"/>
  <c r="DD177" i="6"/>
  <c r="DD174" i="6"/>
  <c r="DD167" i="6"/>
  <c r="DD157" i="6"/>
  <c r="DD130" i="6"/>
  <c r="DD120" i="6"/>
  <c r="DD113" i="6"/>
  <c r="DD110" i="6"/>
  <c r="DD95" i="6"/>
  <c r="DD79" i="6"/>
  <c r="DD63" i="6"/>
  <c r="DD54" i="6"/>
  <c r="DD50" i="6"/>
  <c r="DD46" i="6"/>
  <c r="DD42" i="6"/>
  <c r="DD37" i="6"/>
  <c r="DD36" i="6"/>
  <c r="DD29" i="6"/>
  <c r="DD28" i="6"/>
  <c r="DD21" i="6"/>
  <c r="DD20" i="6"/>
  <c r="DD13" i="6"/>
  <c r="DD12" i="6"/>
  <c r="DD5" i="6"/>
  <c r="DD4" i="6"/>
  <c r="CW4" i="6"/>
  <c r="CW263" i="6"/>
  <c r="CW261" i="6"/>
  <c r="CW259" i="6"/>
  <c r="CW257" i="6"/>
  <c r="CW255" i="6"/>
  <c r="CW253" i="6"/>
  <c r="CW251" i="6"/>
  <c r="CW249" i="6"/>
  <c r="CW247" i="6"/>
  <c r="CW245" i="6"/>
  <c r="CW243" i="6"/>
  <c r="CW241" i="6"/>
  <c r="CW239" i="6"/>
  <c r="CW237" i="6"/>
  <c r="CW235" i="6"/>
  <c r="CW233" i="6"/>
  <c r="CW231" i="6"/>
  <c r="CW262" i="6"/>
  <c r="CW258" i="6"/>
  <c r="CW254" i="6"/>
  <c r="CW250" i="6"/>
  <c r="CW246" i="6"/>
  <c r="CW242" i="6"/>
  <c r="CW238" i="6"/>
  <c r="CW234" i="6"/>
  <c r="CW229" i="6"/>
  <c r="CW227" i="6"/>
  <c r="CW225" i="6"/>
  <c r="CW223" i="6"/>
  <c r="CW221" i="6"/>
  <c r="CW219" i="6"/>
  <c r="CW217" i="6"/>
  <c r="CW215" i="6"/>
  <c r="CW213" i="6"/>
  <c r="CW211" i="6"/>
  <c r="CW209" i="6"/>
  <c r="CW207" i="6"/>
  <c r="CW205" i="6"/>
  <c r="CW203" i="6"/>
  <c r="CW201" i="6"/>
  <c r="CW199" i="6"/>
  <c r="CW197" i="6"/>
  <c r="CW195" i="6"/>
  <c r="CW193" i="6"/>
  <c r="CW191" i="6"/>
  <c r="CW189" i="6"/>
  <c r="CW187" i="6"/>
  <c r="CW185" i="6"/>
  <c r="CW183" i="6"/>
  <c r="CW181" i="6"/>
  <c r="CW252" i="6"/>
  <c r="CW230" i="6"/>
  <c r="CW222" i="6"/>
  <c r="CW214" i="6"/>
  <c r="CW206" i="6"/>
  <c r="CW256" i="6"/>
  <c r="CW240" i="6"/>
  <c r="CW232" i="6"/>
  <c r="CW224" i="6"/>
  <c r="CW216" i="6"/>
  <c r="CW208" i="6"/>
  <c r="CW200" i="6"/>
  <c r="CW192" i="6"/>
  <c r="CW184" i="6"/>
  <c r="CW180" i="6"/>
  <c r="CW178" i="6"/>
  <c r="CW176" i="6"/>
  <c r="CW174" i="6"/>
  <c r="CW172" i="6"/>
  <c r="CW170" i="6"/>
  <c r="CW168" i="6"/>
  <c r="CW166" i="6"/>
  <c r="CW164" i="6"/>
  <c r="CW162" i="6"/>
  <c r="CW160" i="6"/>
  <c r="CW158" i="6"/>
  <c r="CW156" i="6"/>
  <c r="CW154" i="6"/>
  <c r="CW152" i="6"/>
  <c r="CW150" i="6"/>
  <c r="CW148" i="6"/>
  <c r="CW146" i="6"/>
  <c r="CW144" i="6"/>
  <c r="CW142" i="6"/>
  <c r="CW140" i="6"/>
  <c r="CW138" i="6"/>
  <c r="CW136" i="6"/>
  <c r="CW134" i="6"/>
  <c r="CW132" i="6"/>
  <c r="CW130" i="6"/>
  <c r="CW128" i="6"/>
  <c r="CW126" i="6"/>
  <c r="CW124" i="6"/>
  <c r="CW122" i="6"/>
  <c r="CW120" i="6"/>
  <c r="CW118" i="6"/>
  <c r="CW116" i="6"/>
  <c r="CW114" i="6"/>
  <c r="CW112" i="6"/>
  <c r="CW248" i="6"/>
  <c r="CW228" i="6"/>
  <c r="CW212" i="6"/>
  <c r="CW202" i="6"/>
  <c r="CW190" i="6"/>
  <c r="CW177" i="6"/>
  <c r="CW169" i="6"/>
  <c r="CW161" i="6"/>
  <c r="CW153" i="6"/>
  <c r="CW145" i="6"/>
  <c r="CW137" i="6"/>
  <c r="CW129" i="6"/>
  <c r="CW121" i="6"/>
  <c r="CW113" i="6"/>
  <c r="CW218" i="6"/>
  <c r="CW204" i="6"/>
  <c r="CW182" i="6"/>
  <c r="CW171" i="6"/>
  <c r="CW159" i="6"/>
  <c r="CW149" i="6"/>
  <c r="CW139" i="6"/>
  <c r="CW127" i="6"/>
  <c r="CW117" i="6"/>
  <c r="CW110" i="6"/>
  <c r="CW103" i="6"/>
  <c r="CW102" i="6"/>
  <c r="CW95" i="6"/>
  <c r="CW94" i="6"/>
  <c r="CW87" i="6"/>
  <c r="CW86" i="6"/>
  <c r="CW79" i="6"/>
  <c r="CW78" i="6"/>
  <c r="CW71" i="6"/>
  <c r="CW70" i="6"/>
  <c r="CW63" i="6"/>
  <c r="CW62" i="6"/>
  <c r="CW55" i="6"/>
  <c r="CW53" i="6"/>
  <c r="CW51" i="6"/>
  <c r="CW49" i="6"/>
  <c r="CW47" i="6"/>
  <c r="CW45" i="6"/>
  <c r="CW43" i="6"/>
  <c r="CW41" i="6"/>
  <c r="CW39" i="6"/>
  <c r="CW37" i="6"/>
  <c r="CW35" i="6"/>
  <c r="CW33" i="6"/>
  <c r="CW31" i="6"/>
  <c r="CW29" i="6"/>
  <c r="CW27" i="6"/>
  <c r="CW25" i="6"/>
  <c r="CW23" i="6"/>
  <c r="CW21" i="6"/>
  <c r="CW19" i="6"/>
  <c r="CW17" i="6"/>
  <c r="CW15" i="6"/>
  <c r="CW13" i="6"/>
  <c r="CW11" i="6"/>
  <c r="CW9" i="6"/>
  <c r="CW7" i="6"/>
  <c r="CW5" i="6"/>
  <c r="CW198" i="6"/>
  <c r="CW196" i="6"/>
  <c r="CW194" i="6"/>
  <c r="CW173" i="6"/>
  <c r="CW163" i="6"/>
  <c r="CW151" i="6"/>
  <c r="CW141" i="6"/>
  <c r="CW131" i="6"/>
  <c r="CW119" i="6"/>
  <c r="CW105" i="6"/>
  <c r="CW104" i="6"/>
  <c r="CW97" i="6"/>
  <c r="CW96" i="6"/>
  <c r="CW89" i="6"/>
  <c r="CW88" i="6"/>
  <c r="CW81" i="6"/>
  <c r="CW80" i="6"/>
  <c r="CW73" i="6"/>
  <c r="CW72" i="6"/>
  <c r="CW65" i="6"/>
  <c r="CW64" i="6"/>
  <c r="CW57" i="6"/>
  <c r="CW244" i="6"/>
  <c r="CW143" i="6"/>
  <c r="CW133" i="6"/>
  <c r="CW123" i="6"/>
  <c r="CW107" i="6"/>
  <c r="CW106" i="6"/>
  <c r="CW91" i="6"/>
  <c r="CW90" i="6"/>
  <c r="CW75" i="6"/>
  <c r="CW74" i="6"/>
  <c r="CW59" i="6"/>
  <c r="CW58" i="6"/>
  <c r="CW56" i="6"/>
  <c r="CW52" i="6"/>
  <c r="CW48" i="6"/>
  <c r="CW44" i="6"/>
  <c r="CW36" i="6"/>
  <c r="CW28" i="6"/>
  <c r="CW20" i="6"/>
  <c r="CW12" i="6"/>
  <c r="CW260" i="6"/>
  <c r="CW210" i="6"/>
  <c r="CW167" i="6"/>
  <c r="CW157" i="6"/>
  <c r="CW147" i="6"/>
  <c r="CW109" i="6"/>
  <c r="CW108" i="6"/>
  <c r="CW93" i="6"/>
  <c r="CW92" i="6"/>
  <c r="CW77" i="6"/>
  <c r="CW76" i="6"/>
  <c r="CW61" i="6"/>
  <c r="CW60" i="6"/>
  <c r="CW38" i="6"/>
  <c r="CW30" i="6"/>
  <c r="CW22" i="6"/>
  <c r="CW14" i="6"/>
  <c r="CW6" i="6"/>
  <c r="CW236" i="6"/>
  <c r="CW226" i="6"/>
  <c r="CW175" i="6"/>
  <c r="CW165" i="6"/>
  <c r="CW155" i="6"/>
  <c r="CW111" i="6"/>
  <c r="CW99" i="6"/>
  <c r="CW98" i="6"/>
  <c r="CW83" i="6"/>
  <c r="CW82" i="6"/>
  <c r="CW67" i="6"/>
  <c r="CW66" i="6"/>
  <c r="CW54" i="6"/>
  <c r="CW50" i="6"/>
  <c r="CW46" i="6"/>
  <c r="CW42" i="6"/>
  <c r="CW40" i="6"/>
  <c r="CW32" i="6"/>
  <c r="CW24" i="6"/>
  <c r="CW16" i="6"/>
  <c r="CW8" i="6"/>
  <c r="CW220" i="6"/>
  <c r="CW188" i="6"/>
  <c r="CW186" i="6"/>
  <c r="CW179" i="6"/>
  <c r="CW135" i="6"/>
  <c r="CW125" i="6"/>
  <c r="CW115" i="6"/>
  <c r="CW101" i="6"/>
  <c r="CW100" i="6"/>
  <c r="CW85" i="6"/>
  <c r="CW84" i="6"/>
  <c r="CW69" i="6"/>
  <c r="CW68" i="6"/>
  <c r="CW34" i="6"/>
  <c r="CW26" i="6"/>
  <c r="CW18" i="6"/>
  <c r="CW10" i="6"/>
  <c r="DE263" i="6"/>
  <c r="DE261" i="6"/>
  <c r="DE259" i="6"/>
  <c r="DE257" i="6"/>
  <c r="DE255" i="6"/>
  <c r="DE253" i="6"/>
  <c r="DE251" i="6"/>
  <c r="DE249" i="6"/>
  <c r="DE247" i="6"/>
  <c r="DE245" i="6"/>
  <c r="DE243" i="6"/>
  <c r="DE241" i="6"/>
  <c r="DE239" i="6"/>
  <c r="DE237" i="6"/>
  <c r="DE235" i="6"/>
  <c r="DE233" i="6"/>
  <c r="DE231" i="6"/>
  <c r="DE262" i="6"/>
  <c r="DE258" i="6"/>
  <c r="DE254" i="6"/>
  <c r="DE250" i="6"/>
  <c r="DE246" i="6"/>
  <c r="DE242" i="6"/>
  <c r="DE238" i="6"/>
  <c r="DE230" i="6"/>
  <c r="DE229" i="6"/>
  <c r="DE227" i="6"/>
  <c r="DE225" i="6"/>
  <c r="DE223" i="6"/>
  <c r="DE221" i="6"/>
  <c r="DE219" i="6"/>
  <c r="DE217" i="6"/>
  <c r="DE215" i="6"/>
  <c r="DE213" i="6"/>
  <c r="DE211" i="6"/>
  <c r="DE209" i="6"/>
  <c r="DE207" i="6"/>
  <c r="DE205" i="6"/>
  <c r="DE203" i="6"/>
  <c r="DE201" i="6"/>
  <c r="DE199" i="6"/>
  <c r="DE197" i="6"/>
  <c r="DE195" i="6"/>
  <c r="DE193" i="6"/>
  <c r="DE191" i="6"/>
  <c r="DE189" i="6"/>
  <c r="DE187" i="6"/>
  <c r="DE185" i="6"/>
  <c r="DE183" i="6"/>
  <c r="DE181" i="6"/>
  <c r="DE248" i="6"/>
  <c r="DE232" i="6"/>
  <c r="DE226" i="6"/>
  <c r="DE218" i="6"/>
  <c r="DE210" i="6"/>
  <c r="DE252" i="6"/>
  <c r="DE234" i="6"/>
  <c r="DE228" i="6"/>
  <c r="DE220" i="6"/>
  <c r="DE212" i="6"/>
  <c r="DE204" i="6"/>
  <c r="DE196" i="6"/>
  <c r="DE188" i="6"/>
  <c r="DE180" i="6"/>
  <c r="DE178" i="6"/>
  <c r="DE176" i="6"/>
  <c r="DE174" i="6"/>
  <c r="DE172" i="6"/>
  <c r="DE170" i="6"/>
  <c r="DE168" i="6"/>
  <c r="DE166" i="6"/>
  <c r="DE164" i="6"/>
  <c r="DE162" i="6"/>
  <c r="DE160" i="6"/>
  <c r="DE158" i="6"/>
  <c r="DE156" i="6"/>
  <c r="DE154" i="6"/>
  <c r="DE152" i="6"/>
  <c r="DE150" i="6"/>
  <c r="DE148" i="6"/>
  <c r="DE146" i="6"/>
  <c r="DE144" i="6"/>
  <c r="DE142" i="6"/>
  <c r="DE140" i="6"/>
  <c r="DE138" i="6"/>
  <c r="DE136" i="6"/>
  <c r="DE134" i="6"/>
  <c r="DE132" i="6"/>
  <c r="DE130" i="6"/>
  <c r="DE128" i="6"/>
  <c r="DE126" i="6"/>
  <c r="DE124" i="6"/>
  <c r="DE122" i="6"/>
  <c r="DE120" i="6"/>
  <c r="DE118" i="6"/>
  <c r="DE116" i="6"/>
  <c r="DE114" i="6"/>
  <c r="DE112" i="6"/>
  <c r="DE110" i="6"/>
  <c r="DE260" i="6"/>
  <c r="DE224" i="6"/>
  <c r="DE208" i="6"/>
  <c r="DE202" i="6"/>
  <c r="DE192" i="6"/>
  <c r="DE182" i="6"/>
  <c r="DE173" i="6"/>
  <c r="DE165" i="6"/>
  <c r="DE157" i="6"/>
  <c r="DE149" i="6"/>
  <c r="DE141" i="6"/>
  <c r="DE133" i="6"/>
  <c r="DE125" i="6"/>
  <c r="DE117" i="6"/>
  <c r="DE256" i="6"/>
  <c r="DE236" i="6"/>
  <c r="DE216" i="6"/>
  <c r="DE206" i="6"/>
  <c r="DE186" i="6"/>
  <c r="DE184" i="6"/>
  <c r="DE171" i="6"/>
  <c r="DE161" i="6"/>
  <c r="DE151" i="6"/>
  <c r="DE139" i="6"/>
  <c r="DE129" i="6"/>
  <c r="DE119" i="6"/>
  <c r="DE107" i="6"/>
  <c r="DE106" i="6"/>
  <c r="DE99" i="6"/>
  <c r="DE98" i="6"/>
  <c r="DE91" i="6"/>
  <c r="DE90" i="6"/>
  <c r="DE83" i="6"/>
  <c r="DE82" i="6"/>
  <c r="DE75" i="6"/>
  <c r="DE74" i="6"/>
  <c r="DE67" i="6"/>
  <c r="DE66" i="6"/>
  <c r="DE59" i="6"/>
  <c r="DE58" i="6"/>
  <c r="DE55" i="6"/>
  <c r="DE53" i="6"/>
  <c r="DE51" i="6"/>
  <c r="DE49" i="6"/>
  <c r="DE47" i="6"/>
  <c r="DE45" i="6"/>
  <c r="DE43" i="6"/>
  <c r="DE41" i="6"/>
  <c r="DE39" i="6"/>
  <c r="DE37" i="6"/>
  <c r="DE35" i="6"/>
  <c r="DE33" i="6"/>
  <c r="DE31" i="6"/>
  <c r="DE29" i="6"/>
  <c r="DE27" i="6"/>
  <c r="DE25" i="6"/>
  <c r="DE23" i="6"/>
  <c r="DE21" i="6"/>
  <c r="DE19" i="6"/>
  <c r="DE17" i="6"/>
  <c r="DE15" i="6"/>
  <c r="DE13" i="6"/>
  <c r="DE11" i="6"/>
  <c r="DE9" i="6"/>
  <c r="DE7" i="6"/>
  <c r="DE5" i="6"/>
  <c r="DE244" i="6"/>
  <c r="DE214" i="6"/>
  <c r="DE200" i="6"/>
  <c r="DE198" i="6"/>
  <c r="DE175" i="6"/>
  <c r="DE163" i="6"/>
  <c r="DE153" i="6"/>
  <c r="DE143" i="6"/>
  <c r="DE131" i="6"/>
  <c r="DE121" i="6"/>
  <c r="DE111" i="6"/>
  <c r="DE109" i="6"/>
  <c r="DE108" i="6"/>
  <c r="DE101" i="6"/>
  <c r="DE100" i="6"/>
  <c r="DE93" i="6"/>
  <c r="DE92" i="6"/>
  <c r="DE85" i="6"/>
  <c r="DE84" i="6"/>
  <c r="DE77" i="6"/>
  <c r="DE76" i="6"/>
  <c r="DE69" i="6"/>
  <c r="DE68" i="6"/>
  <c r="DE61" i="6"/>
  <c r="DE60" i="6"/>
  <c r="DE194" i="6"/>
  <c r="DE155" i="6"/>
  <c r="DE145" i="6"/>
  <c r="DE135" i="6"/>
  <c r="DE103" i="6"/>
  <c r="DE102" i="6"/>
  <c r="DE87" i="6"/>
  <c r="DE86" i="6"/>
  <c r="DE71" i="6"/>
  <c r="DE70" i="6"/>
  <c r="DE52" i="6"/>
  <c r="DE48" i="6"/>
  <c r="DE44" i="6"/>
  <c r="DE40" i="6"/>
  <c r="DE32" i="6"/>
  <c r="DE24" i="6"/>
  <c r="DE16" i="6"/>
  <c r="DE8" i="6"/>
  <c r="DE190" i="6"/>
  <c r="DE179" i="6"/>
  <c r="DE169" i="6"/>
  <c r="DE159" i="6"/>
  <c r="DE115" i="6"/>
  <c r="DE105" i="6"/>
  <c r="DE104" i="6"/>
  <c r="DE89" i="6"/>
  <c r="DE88" i="6"/>
  <c r="DE73" i="6"/>
  <c r="DE72" i="6"/>
  <c r="DE57" i="6"/>
  <c r="DE56" i="6"/>
  <c r="DE34" i="6"/>
  <c r="DE26" i="6"/>
  <c r="DE18" i="6"/>
  <c r="DE10" i="6"/>
  <c r="DE240" i="6"/>
  <c r="DE177" i="6"/>
  <c r="DE167" i="6"/>
  <c r="DE123" i="6"/>
  <c r="DE113" i="6"/>
  <c r="DE95" i="6"/>
  <c r="DE94" i="6"/>
  <c r="DE79" i="6"/>
  <c r="DE78" i="6"/>
  <c r="DE63" i="6"/>
  <c r="DE62" i="6"/>
  <c r="DE54" i="6"/>
  <c r="DE50" i="6"/>
  <c r="DE46" i="6"/>
  <c r="DE42" i="6"/>
  <c r="DE36" i="6"/>
  <c r="DE28" i="6"/>
  <c r="DE20" i="6"/>
  <c r="DE12" i="6"/>
  <c r="DE4" i="6"/>
  <c r="DE222" i="6"/>
  <c r="DE147" i="6"/>
  <c r="DE137" i="6"/>
  <c r="DE127" i="6"/>
  <c r="DE97" i="6"/>
  <c r="DE96" i="6"/>
  <c r="DE81" i="6"/>
  <c r="DE80" i="6"/>
  <c r="DE65" i="6"/>
  <c r="DE64" i="6"/>
  <c r="DE38" i="6"/>
  <c r="DE30" i="6"/>
  <c r="DE22" i="6"/>
  <c r="DE14" i="6"/>
  <c r="DE6" i="6"/>
  <c r="CX263" i="6"/>
  <c r="CX261" i="6"/>
  <c r="CX259" i="6"/>
  <c r="CX257" i="6"/>
  <c r="CX255" i="6"/>
  <c r="CX253" i="6"/>
  <c r="CX251" i="6"/>
  <c r="CX249" i="6"/>
  <c r="CX247" i="6"/>
  <c r="CX245" i="6"/>
  <c r="CX243" i="6"/>
  <c r="CX241" i="6"/>
  <c r="CX239" i="6"/>
  <c r="CX236" i="6"/>
  <c r="CX235" i="6"/>
  <c r="CX256" i="6"/>
  <c r="CX254" i="6"/>
  <c r="CX240" i="6"/>
  <c r="CX238" i="6"/>
  <c r="CX237" i="6"/>
  <c r="CX232" i="6"/>
  <c r="CX224" i="6"/>
  <c r="CX223" i="6"/>
  <c r="CX216" i="6"/>
  <c r="CX215" i="6"/>
  <c r="CX208" i="6"/>
  <c r="CX207" i="6"/>
  <c r="CX260" i="6"/>
  <c r="CX258" i="6"/>
  <c r="CX244" i="6"/>
  <c r="CX242" i="6"/>
  <c r="CX234" i="6"/>
  <c r="CX226" i="6"/>
  <c r="CX225" i="6"/>
  <c r="CX218" i="6"/>
  <c r="CX217" i="6"/>
  <c r="CX210" i="6"/>
  <c r="CX209" i="6"/>
  <c r="CX202" i="6"/>
  <c r="CX201" i="6"/>
  <c r="CX194" i="6"/>
  <c r="CX193" i="6"/>
  <c r="CX186" i="6"/>
  <c r="CX185" i="6"/>
  <c r="CX252" i="6"/>
  <c r="CX250" i="6"/>
  <c r="CX233" i="6"/>
  <c r="CX230" i="6"/>
  <c r="CX229" i="6"/>
  <c r="CX214" i="6"/>
  <c r="CX213" i="6"/>
  <c r="CX197" i="6"/>
  <c r="CX192" i="6"/>
  <c r="CX187" i="6"/>
  <c r="CX182" i="6"/>
  <c r="CX179" i="6"/>
  <c r="CX178" i="6"/>
  <c r="CX171" i="6"/>
  <c r="CX170" i="6"/>
  <c r="CX163" i="6"/>
  <c r="CX162" i="6"/>
  <c r="CX155" i="6"/>
  <c r="CX154" i="6"/>
  <c r="CX147" i="6"/>
  <c r="CX146" i="6"/>
  <c r="CX139" i="6"/>
  <c r="CX138" i="6"/>
  <c r="CX131" i="6"/>
  <c r="CX130" i="6"/>
  <c r="CX123" i="6"/>
  <c r="CX122" i="6"/>
  <c r="CX115" i="6"/>
  <c r="CX114" i="6"/>
  <c r="CX109" i="6"/>
  <c r="CX107" i="6"/>
  <c r="CX105" i="6"/>
  <c r="CX103" i="6"/>
  <c r="CX101" i="6"/>
  <c r="CX99" i="6"/>
  <c r="CX97" i="6"/>
  <c r="CX95" i="6"/>
  <c r="CX93" i="6"/>
  <c r="CX91" i="6"/>
  <c r="CX89" i="6"/>
  <c r="CX87" i="6"/>
  <c r="CX85" i="6"/>
  <c r="CX83" i="6"/>
  <c r="CX81" i="6"/>
  <c r="CX79" i="6"/>
  <c r="CX77" i="6"/>
  <c r="CX75" i="6"/>
  <c r="CX73" i="6"/>
  <c r="CX71" i="6"/>
  <c r="CX69" i="6"/>
  <c r="CX67" i="6"/>
  <c r="CX65" i="6"/>
  <c r="CX63" i="6"/>
  <c r="CX61" i="6"/>
  <c r="CX59" i="6"/>
  <c r="CX57" i="6"/>
  <c r="CX262" i="6"/>
  <c r="CX248" i="6"/>
  <c r="CX231" i="6"/>
  <c r="CX228" i="6"/>
  <c r="CX221" i="6"/>
  <c r="CX211" i="6"/>
  <c r="CX200" i="6"/>
  <c r="CX199" i="6"/>
  <c r="CX198" i="6"/>
  <c r="CX196" i="6"/>
  <c r="CX183" i="6"/>
  <c r="CX181" i="6"/>
  <c r="CX176" i="6"/>
  <c r="CX173" i="6"/>
  <c r="CX166" i="6"/>
  <c r="CX161" i="6"/>
  <c r="CX156" i="6"/>
  <c r="CX151" i="6"/>
  <c r="CX144" i="6"/>
  <c r="CX141" i="6"/>
  <c r="CX134" i="6"/>
  <c r="CX129" i="6"/>
  <c r="CX124" i="6"/>
  <c r="CX119" i="6"/>
  <c r="CX112" i="6"/>
  <c r="CX104" i="6"/>
  <c r="CX96" i="6"/>
  <c r="CX88" i="6"/>
  <c r="CX80" i="6"/>
  <c r="CX72" i="6"/>
  <c r="CX64" i="6"/>
  <c r="CX222" i="6"/>
  <c r="CX219" i="6"/>
  <c r="CX212" i="6"/>
  <c r="CX205" i="6"/>
  <c r="CX195" i="6"/>
  <c r="CX180" i="6"/>
  <c r="CX175" i="6"/>
  <c r="CX168" i="6"/>
  <c r="CX165" i="6"/>
  <c r="CX158" i="6"/>
  <c r="CX153" i="6"/>
  <c r="CX148" i="6"/>
  <c r="CX143" i="6"/>
  <c r="CX136" i="6"/>
  <c r="CX133" i="6"/>
  <c r="CX126" i="6"/>
  <c r="CX121" i="6"/>
  <c r="CX116" i="6"/>
  <c r="CX111" i="6"/>
  <c r="CX106" i="6"/>
  <c r="CX98" i="6"/>
  <c r="CX90" i="6"/>
  <c r="CX82" i="6"/>
  <c r="CX74" i="6"/>
  <c r="CX66" i="6"/>
  <c r="CX58" i="6"/>
  <c r="CX56" i="6"/>
  <c r="CX54" i="6"/>
  <c r="CX52" i="6"/>
  <c r="CX50" i="6"/>
  <c r="CX48" i="6"/>
  <c r="CX46" i="6"/>
  <c r="CX44" i="6"/>
  <c r="CX42" i="6"/>
  <c r="CX191" i="6"/>
  <c r="CX189" i="6"/>
  <c r="CX177" i="6"/>
  <c r="CX167" i="6"/>
  <c r="CX160" i="6"/>
  <c r="CX157" i="6"/>
  <c r="CX150" i="6"/>
  <c r="CX140" i="6"/>
  <c r="CX113" i="6"/>
  <c r="CX108" i="6"/>
  <c r="CX92" i="6"/>
  <c r="CX76" i="6"/>
  <c r="CX60" i="6"/>
  <c r="CX38" i="6"/>
  <c r="CX37" i="6"/>
  <c r="CX30" i="6"/>
  <c r="CX29" i="6"/>
  <c r="CX22" i="6"/>
  <c r="CX21" i="6"/>
  <c r="CX14" i="6"/>
  <c r="CX13" i="6"/>
  <c r="CX6" i="6"/>
  <c r="CX5" i="6"/>
  <c r="CX227" i="6"/>
  <c r="CX204" i="6"/>
  <c r="CX174" i="6"/>
  <c r="CX164" i="6"/>
  <c r="CX137" i="6"/>
  <c r="CX127" i="6"/>
  <c r="CX120" i="6"/>
  <c r="CX117" i="6"/>
  <c r="CX110" i="6"/>
  <c r="CX94" i="6"/>
  <c r="CX78" i="6"/>
  <c r="CX62" i="6"/>
  <c r="CX55" i="6"/>
  <c r="CX51" i="6"/>
  <c r="CX47" i="6"/>
  <c r="CX43" i="6"/>
  <c r="CX40" i="6"/>
  <c r="CX39" i="6"/>
  <c r="CX32" i="6"/>
  <c r="CX31" i="6"/>
  <c r="CX24" i="6"/>
  <c r="CX23" i="6"/>
  <c r="CX16" i="6"/>
  <c r="CX15" i="6"/>
  <c r="CX8" i="6"/>
  <c r="CX7" i="6"/>
  <c r="CX220" i="6"/>
  <c r="CX206" i="6"/>
  <c r="CX190" i="6"/>
  <c r="CX188" i="6"/>
  <c r="CX172" i="6"/>
  <c r="CX145" i="6"/>
  <c r="CX135" i="6"/>
  <c r="CX128" i="6"/>
  <c r="CX125" i="6"/>
  <c r="CX118" i="6"/>
  <c r="CX100" i="6"/>
  <c r="CX84" i="6"/>
  <c r="CX68" i="6"/>
  <c r="CX34" i="6"/>
  <c r="CX33" i="6"/>
  <c r="CX26" i="6"/>
  <c r="CX25" i="6"/>
  <c r="CX18" i="6"/>
  <c r="CX17" i="6"/>
  <c r="CX10" i="6"/>
  <c r="CX9" i="6"/>
  <c r="CX246" i="6"/>
  <c r="CX203" i="6"/>
  <c r="CX184" i="6"/>
  <c r="CX169" i="6"/>
  <c r="CX159" i="6"/>
  <c r="CX152" i="6"/>
  <c r="CX149" i="6"/>
  <c r="CX142" i="6"/>
  <c r="CX132" i="6"/>
  <c r="CX102" i="6"/>
  <c r="CX86" i="6"/>
  <c r="CX70" i="6"/>
  <c r="CX53" i="6"/>
  <c r="CX49" i="6"/>
  <c r="CX45" i="6"/>
  <c r="CX41" i="6"/>
  <c r="CX36" i="6"/>
  <c r="CX35" i="6"/>
  <c r="CX28" i="6"/>
  <c r="CX27" i="6"/>
  <c r="CX20" i="6"/>
  <c r="CX19" i="6"/>
  <c r="CX12" i="6"/>
  <c r="CX11" i="6"/>
  <c r="CX4" i="6"/>
  <c r="DB263" i="6"/>
  <c r="DB261" i="6"/>
  <c r="DB259" i="6"/>
  <c r="DB257" i="6"/>
  <c r="DB255" i="6"/>
  <c r="DB253" i="6"/>
  <c r="DB251" i="6"/>
  <c r="DB249" i="6"/>
  <c r="DB247" i="6"/>
  <c r="DB245" i="6"/>
  <c r="DB243" i="6"/>
  <c r="DB241" i="6"/>
  <c r="DB239" i="6"/>
  <c r="DB237" i="6"/>
  <c r="DB234" i="6"/>
  <c r="DB233" i="6"/>
  <c r="DB262" i="6"/>
  <c r="DB260" i="6"/>
  <c r="DB246" i="6"/>
  <c r="DB244" i="6"/>
  <c r="DB231" i="6"/>
  <c r="DB229" i="6"/>
  <c r="DB222" i="6"/>
  <c r="DB221" i="6"/>
  <c r="DB214" i="6"/>
  <c r="DB213" i="6"/>
  <c r="DB206" i="6"/>
  <c r="DB205" i="6"/>
  <c r="DB250" i="6"/>
  <c r="DB248" i="6"/>
  <c r="DB235" i="6"/>
  <c r="DB230" i="6"/>
  <c r="DB224" i="6"/>
  <c r="DB223" i="6"/>
  <c r="DB216" i="6"/>
  <c r="DB215" i="6"/>
  <c r="DB208" i="6"/>
  <c r="DB207" i="6"/>
  <c r="DB200" i="6"/>
  <c r="DB199" i="6"/>
  <c r="DB192" i="6"/>
  <c r="DB191" i="6"/>
  <c r="DB184" i="6"/>
  <c r="DB183" i="6"/>
  <c r="DB258" i="6"/>
  <c r="DB256" i="6"/>
  <c r="DB220" i="6"/>
  <c r="DB219" i="6"/>
  <c r="DB204" i="6"/>
  <c r="DB203" i="6"/>
  <c r="DB198" i="6"/>
  <c r="DB193" i="6"/>
  <c r="DB188" i="6"/>
  <c r="DB181" i="6"/>
  <c r="DB177" i="6"/>
  <c r="DB176" i="6"/>
  <c r="DB169" i="6"/>
  <c r="DB168" i="6"/>
  <c r="DB161" i="6"/>
  <c r="DB160" i="6"/>
  <c r="DB153" i="6"/>
  <c r="DB152" i="6"/>
  <c r="DB145" i="6"/>
  <c r="DB144" i="6"/>
  <c r="DB137" i="6"/>
  <c r="DB136" i="6"/>
  <c r="DB129" i="6"/>
  <c r="DB128" i="6"/>
  <c r="DB121" i="6"/>
  <c r="DB120" i="6"/>
  <c r="DB113" i="6"/>
  <c r="DB112" i="6"/>
  <c r="DB109" i="6"/>
  <c r="DB107" i="6"/>
  <c r="DB105" i="6"/>
  <c r="DB103" i="6"/>
  <c r="DB101" i="6"/>
  <c r="DB99" i="6"/>
  <c r="DB97" i="6"/>
  <c r="DB95" i="6"/>
  <c r="DB93" i="6"/>
  <c r="DB91" i="6"/>
  <c r="DB89" i="6"/>
  <c r="DB87" i="6"/>
  <c r="DB85" i="6"/>
  <c r="DB83" i="6"/>
  <c r="DB81" i="6"/>
  <c r="DB79" i="6"/>
  <c r="DB77" i="6"/>
  <c r="DB75" i="6"/>
  <c r="DB73" i="6"/>
  <c r="DB71" i="6"/>
  <c r="DB69" i="6"/>
  <c r="DB67" i="6"/>
  <c r="DB65" i="6"/>
  <c r="DB63" i="6"/>
  <c r="DB61" i="6"/>
  <c r="DB59" i="6"/>
  <c r="DB57" i="6"/>
  <c r="DB242" i="6"/>
  <c r="DB226" i="6"/>
  <c r="DB212" i="6"/>
  <c r="DB209" i="6"/>
  <c r="DB190" i="6"/>
  <c r="DB179" i="6"/>
  <c r="DB172" i="6"/>
  <c r="DB167" i="6"/>
  <c r="DB162" i="6"/>
  <c r="DB157" i="6"/>
  <c r="DB150" i="6"/>
  <c r="DB147" i="6"/>
  <c r="DB140" i="6"/>
  <c r="DB135" i="6"/>
  <c r="DB130" i="6"/>
  <c r="DB125" i="6"/>
  <c r="DB118" i="6"/>
  <c r="DB115" i="6"/>
  <c r="DB102" i="6"/>
  <c r="DB94" i="6"/>
  <c r="DB86" i="6"/>
  <c r="DB78" i="6"/>
  <c r="DB70" i="6"/>
  <c r="DB62" i="6"/>
  <c r="DB238" i="6"/>
  <c r="DB236" i="6"/>
  <c r="DB232" i="6"/>
  <c r="DB210" i="6"/>
  <c r="DB202" i="6"/>
  <c r="DB189" i="6"/>
  <c r="DB187" i="6"/>
  <c r="DB186" i="6"/>
  <c r="DB185" i="6"/>
  <c r="DB174" i="6"/>
  <c r="DB171" i="6"/>
  <c r="DB164" i="6"/>
  <c r="DB159" i="6"/>
  <c r="DB154" i="6"/>
  <c r="DB149" i="6"/>
  <c r="DB142" i="6"/>
  <c r="DB139" i="6"/>
  <c r="DB132" i="6"/>
  <c r="DB127" i="6"/>
  <c r="DB122" i="6"/>
  <c r="DB117" i="6"/>
  <c r="DB110" i="6"/>
  <c r="DB104" i="6"/>
  <c r="DB96" i="6"/>
  <c r="DB88" i="6"/>
  <c r="DB80" i="6"/>
  <c r="DB72" i="6"/>
  <c r="DB64" i="6"/>
  <c r="DB56" i="6"/>
  <c r="DB54" i="6"/>
  <c r="DB52" i="6"/>
  <c r="DB50" i="6"/>
  <c r="DB48" i="6"/>
  <c r="DB46" i="6"/>
  <c r="DB44" i="6"/>
  <c r="DB42" i="6"/>
  <c r="DB227" i="6"/>
  <c r="DB178" i="6"/>
  <c r="DB151" i="6"/>
  <c r="DB141" i="6"/>
  <c r="DB134" i="6"/>
  <c r="DB131" i="6"/>
  <c r="DB124" i="6"/>
  <c r="DB114" i="6"/>
  <c r="DB98" i="6"/>
  <c r="DB82" i="6"/>
  <c r="DB66" i="6"/>
  <c r="DB36" i="6"/>
  <c r="DB35" i="6"/>
  <c r="DB28" i="6"/>
  <c r="DB27" i="6"/>
  <c r="DB20" i="6"/>
  <c r="DB19" i="6"/>
  <c r="DB12" i="6"/>
  <c r="DB11" i="6"/>
  <c r="DB4" i="6"/>
  <c r="DB254" i="6"/>
  <c r="DB218" i="6"/>
  <c r="DB196" i="6"/>
  <c r="DB194" i="6"/>
  <c r="DB175" i="6"/>
  <c r="DB165" i="6"/>
  <c r="DB158" i="6"/>
  <c r="DB155" i="6"/>
  <c r="DB148" i="6"/>
  <c r="DB138" i="6"/>
  <c r="DB111" i="6"/>
  <c r="DB100" i="6"/>
  <c r="DB84" i="6"/>
  <c r="DB68" i="6"/>
  <c r="DB53" i="6"/>
  <c r="DB49" i="6"/>
  <c r="DB45" i="6"/>
  <c r="DB41" i="6"/>
  <c r="DB38" i="6"/>
  <c r="DB37" i="6"/>
  <c r="DB30" i="6"/>
  <c r="DB29" i="6"/>
  <c r="DB22" i="6"/>
  <c r="DB21" i="6"/>
  <c r="DB14" i="6"/>
  <c r="DB13" i="6"/>
  <c r="DB6" i="6"/>
  <c r="DB5" i="6"/>
  <c r="DB252" i="6"/>
  <c r="DB217" i="6"/>
  <c r="DB201" i="6"/>
  <c r="DB182" i="6"/>
  <c r="DB173" i="6"/>
  <c r="DB166" i="6"/>
  <c r="DB163" i="6"/>
  <c r="DB156" i="6"/>
  <c r="DB146" i="6"/>
  <c r="DB119" i="6"/>
  <c r="DB106" i="6"/>
  <c r="DB90" i="6"/>
  <c r="DB74" i="6"/>
  <c r="DB58" i="6"/>
  <c r="DB40" i="6"/>
  <c r="DB39" i="6"/>
  <c r="DB32" i="6"/>
  <c r="DB31" i="6"/>
  <c r="DB24" i="6"/>
  <c r="DB23" i="6"/>
  <c r="DB16" i="6"/>
  <c r="DB15" i="6"/>
  <c r="DB8" i="6"/>
  <c r="DB7" i="6"/>
  <c r="DB240" i="6"/>
  <c r="DB228" i="6"/>
  <c r="DB225" i="6"/>
  <c r="DB211" i="6"/>
  <c r="DB197" i="6"/>
  <c r="DB195" i="6"/>
  <c r="DB180" i="6"/>
  <c r="DB170" i="6"/>
  <c r="DB143" i="6"/>
  <c r="DB133" i="6"/>
  <c r="DB126" i="6"/>
  <c r="DB123" i="6"/>
  <c r="DB116" i="6"/>
  <c r="DB108" i="6"/>
  <c r="DB92" i="6"/>
  <c r="DB76" i="6"/>
  <c r="DB60" i="6"/>
  <c r="DB55" i="6"/>
  <c r="DB51" i="6"/>
  <c r="DB47" i="6"/>
  <c r="DB43" i="6"/>
  <c r="DB34" i="6"/>
  <c r="DB33" i="6"/>
  <c r="DB26" i="6"/>
  <c r="DB25" i="6"/>
  <c r="DB18" i="6"/>
  <c r="DB17" i="6"/>
  <c r="DB10" i="6"/>
  <c r="DB9" i="6"/>
  <c r="DF263" i="6"/>
  <c r="DF261" i="6"/>
  <c r="DF259" i="6"/>
  <c r="DF257" i="6"/>
  <c r="DF255" i="6"/>
  <c r="DF253" i="6"/>
  <c r="DF251" i="6"/>
  <c r="DF249" i="6"/>
  <c r="DF247" i="6"/>
  <c r="DF245" i="6"/>
  <c r="DF243" i="6"/>
  <c r="DF241" i="6"/>
  <c r="DF239" i="6"/>
  <c r="DF237" i="6"/>
  <c r="DF232" i="6"/>
  <c r="DF231" i="6"/>
  <c r="DF252" i="6"/>
  <c r="DF250" i="6"/>
  <c r="DF234" i="6"/>
  <c r="DF228" i="6"/>
  <c r="DF227" i="6"/>
  <c r="DF220" i="6"/>
  <c r="DF219" i="6"/>
  <c r="DF212" i="6"/>
  <c r="DF211" i="6"/>
  <c r="DF204" i="6"/>
  <c r="DF203" i="6"/>
  <c r="DF256" i="6"/>
  <c r="DF254" i="6"/>
  <c r="DF240" i="6"/>
  <c r="DF238" i="6"/>
  <c r="DF236" i="6"/>
  <c r="DF229" i="6"/>
  <c r="DF222" i="6"/>
  <c r="DF221" i="6"/>
  <c r="DF214" i="6"/>
  <c r="DF213" i="6"/>
  <c r="DF206" i="6"/>
  <c r="DF205" i="6"/>
  <c r="DF198" i="6"/>
  <c r="DF197" i="6"/>
  <c r="DF190" i="6"/>
  <c r="DF189" i="6"/>
  <c r="DF182" i="6"/>
  <c r="DF181" i="6"/>
  <c r="DF262" i="6"/>
  <c r="DF235" i="6"/>
  <c r="DF226" i="6"/>
  <c r="DF225" i="6"/>
  <c r="DF210" i="6"/>
  <c r="DF209" i="6"/>
  <c r="DF199" i="6"/>
  <c r="DF194" i="6"/>
  <c r="DF187" i="6"/>
  <c r="DF184" i="6"/>
  <c r="DF175" i="6"/>
  <c r="DF174" i="6"/>
  <c r="DF167" i="6"/>
  <c r="DF166" i="6"/>
  <c r="DF159" i="6"/>
  <c r="DF158" i="6"/>
  <c r="DF151" i="6"/>
  <c r="DF150" i="6"/>
  <c r="DF143" i="6"/>
  <c r="DF142" i="6"/>
  <c r="DF135" i="6"/>
  <c r="DF134" i="6"/>
  <c r="DF127" i="6"/>
  <c r="DF126" i="6"/>
  <c r="DF119" i="6"/>
  <c r="DF118" i="6"/>
  <c r="DF111" i="6"/>
  <c r="DF110" i="6"/>
  <c r="DF109" i="6"/>
  <c r="DF107" i="6"/>
  <c r="DF105" i="6"/>
  <c r="DF103" i="6"/>
  <c r="DF101" i="6"/>
  <c r="DF99" i="6"/>
  <c r="DF97" i="6"/>
  <c r="DF95" i="6"/>
  <c r="DF93" i="6"/>
  <c r="DF91" i="6"/>
  <c r="DF89" i="6"/>
  <c r="DF87" i="6"/>
  <c r="DF85" i="6"/>
  <c r="DF83" i="6"/>
  <c r="DF81" i="6"/>
  <c r="DF79" i="6"/>
  <c r="DF77" i="6"/>
  <c r="DF75" i="6"/>
  <c r="DF73" i="6"/>
  <c r="DF71" i="6"/>
  <c r="DF69" i="6"/>
  <c r="DF67" i="6"/>
  <c r="DF65" i="6"/>
  <c r="DF63" i="6"/>
  <c r="DF61" i="6"/>
  <c r="DF59" i="6"/>
  <c r="DF57" i="6"/>
  <c r="DF244" i="6"/>
  <c r="DF223" i="6"/>
  <c r="DF202" i="6"/>
  <c r="DF201" i="6"/>
  <c r="DF200" i="6"/>
  <c r="DF185" i="6"/>
  <c r="DF183" i="6"/>
  <c r="DF178" i="6"/>
  <c r="DF173" i="6"/>
  <c r="DF168" i="6"/>
  <c r="DF163" i="6"/>
  <c r="DF156" i="6"/>
  <c r="DF153" i="6"/>
  <c r="DF146" i="6"/>
  <c r="DF141" i="6"/>
  <c r="DF136" i="6"/>
  <c r="DF131" i="6"/>
  <c r="DF124" i="6"/>
  <c r="DF121" i="6"/>
  <c r="DF114" i="6"/>
  <c r="DF108" i="6"/>
  <c r="DF100" i="6"/>
  <c r="DF92" i="6"/>
  <c r="DF84" i="6"/>
  <c r="DF76" i="6"/>
  <c r="DF68" i="6"/>
  <c r="DF60" i="6"/>
  <c r="DF258" i="6"/>
  <c r="DF230" i="6"/>
  <c r="DF224" i="6"/>
  <c r="DF217" i="6"/>
  <c r="DF207" i="6"/>
  <c r="DF196" i="6"/>
  <c r="DF180" i="6"/>
  <c r="DF177" i="6"/>
  <c r="DF170" i="6"/>
  <c r="DF165" i="6"/>
  <c r="DF160" i="6"/>
  <c r="DF155" i="6"/>
  <c r="DF148" i="6"/>
  <c r="DF145" i="6"/>
  <c r="DF138" i="6"/>
  <c r="DF133" i="6"/>
  <c r="DF128" i="6"/>
  <c r="DF123" i="6"/>
  <c r="DF116" i="6"/>
  <c r="DF113" i="6"/>
  <c r="DF102" i="6"/>
  <c r="DF94" i="6"/>
  <c r="DF86" i="6"/>
  <c r="DF78" i="6"/>
  <c r="DF70" i="6"/>
  <c r="DF62" i="6"/>
  <c r="DF54" i="6"/>
  <c r="DF52" i="6"/>
  <c r="DF50" i="6"/>
  <c r="DF48" i="6"/>
  <c r="DF46" i="6"/>
  <c r="DF44" i="6"/>
  <c r="DF42" i="6"/>
  <c r="DF40" i="6"/>
  <c r="DF260" i="6"/>
  <c r="DF233" i="6"/>
  <c r="DF218" i="6"/>
  <c r="DF215" i="6"/>
  <c r="DF192" i="6"/>
  <c r="DF179" i="6"/>
  <c r="DF172" i="6"/>
  <c r="DF169" i="6"/>
  <c r="DF162" i="6"/>
  <c r="DF152" i="6"/>
  <c r="DF125" i="6"/>
  <c r="DF115" i="6"/>
  <c r="DF104" i="6"/>
  <c r="DF88" i="6"/>
  <c r="DF72" i="6"/>
  <c r="DF56" i="6"/>
  <c r="DF34" i="6"/>
  <c r="DF33" i="6"/>
  <c r="DF26" i="6"/>
  <c r="DF25" i="6"/>
  <c r="DF18" i="6"/>
  <c r="DF17" i="6"/>
  <c r="DF10" i="6"/>
  <c r="DF9" i="6"/>
  <c r="DF248" i="6"/>
  <c r="DF242" i="6"/>
  <c r="DF188" i="6"/>
  <c r="DF186" i="6"/>
  <c r="DF176" i="6"/>
  <c r="DF149" i="6"/>
  <c r="DF139" i="6"/>
  <c r="DF132" i="6"/>
  <c r="DF129" i="6"/>
  <c r="DF122" i="6"/>
  <c r="DF112" i="6"/>
  <c r="DF106" i="6"/>
  <c r="DF90" i="6"/>
  <c r="DF74" i="6"/>
  <c r="DF58" i="6"/>
  <c r="DF55" i="6"/>
  <c r="DF51" i="6"/>
  <c r="DF47" i="6"/>
  <c r="DF43" i="6"/>
  <c r="DF36" i="6"/>
  <c r="DF35" i="6"/>
  <c r="DF28" i="6"/>
  <c r="DF27" i="6"/>
  <c r="DF20" i="6"/>
  <c r="DF19" i="6"/>
  <c r="DF12" i="6"/>
  <c r="DF11" i="6"/>
  <c r="DF4" i="6"/>
  <c r="DF246" i="6"/>
  <c r="DF208" i="6"/>
  <c r="DF195" i="6"/>
  <c r="DF193" i="6"/>
  <c r="DF191" i="6"/>
  <c r="DF157" i="6"/>
  <c r="DF147" i="6"/>
  <c r="DF140" i="6"/>
  <c r="DF137" i="6"/>
  <c r="DF130" i="6"/>
  <c r="DF120" i="6"/>
  <c r="DF96" i="6"/>
  <c r="DF80" i="6"/>
  <c r="DF64" i="6"/>
  <c r="DF38" i="6"/>
  <c r="DF37" i="6"/>
  <c r="DF30" i="6"/>
  <c r="DF29" i="6"/>
  <c r="DF22" i="6"/>
  <c r="DF21" i="6"/>
  <c r="DF14" i="6"/>
  <c r="DF13" i="6"/>
  <c r="DF6" i="6"/>
  <c r="DF5" i="6"/>
  <c r="DF216" i="6"/>
  <c r="DF171" i="6"/>
  <c r="DF164" i="6"/>
  <c r="DF161" i="6"/>
  <c r="DF154" i="6"/>
  <c r="DF144" i="6"/>
  <c r="DF117" i="6"/>
  <c r="DF98" i="6"/>
  <c r="DF82" i="6"/>
  <c r="DF66" i="6"/>
  <c r="DF53" i="6"/>
  <c r="DF49" i="6"/>
  <c r="DF45" i="6"/>
  <c r="DF41" i="6"/>
  <c r="DF39" i="6"/>
  <c r="DF32" i="6"/>
  <c r="DF31" i="6"/>
  <c r="DF24" i="6"/>
  <c r="DF23" i="6"/>
  <c r="DF16" i="6"/>
  <c r="DF15" i="6"/>
  <c r="DF8" i="6"/>
  <c r="DF7" i="6"/>
  <c r="BN12" i="6"/>
  <c r="C74" i="26" s="1"/>
  <c r="BN9" i="6"/>
  <c r="C71" i="26" s="1"/>
  <c r="BN10" i="6"/>
  <c r="C72" i="26" s="1"/>
  <c r="BN14" i="6"/>
  <c r="C76" i="26" s="1"/>
  <c r="BN8" i="6"/>
  <c r="C70" i="26" s="1"/>
  <c r="BN13" i="6"/>
  <c r="C75" i="26" s="1"/>
  <c r="BN7" i="6"/>
  <c r="C69" i="26" s="1"/>
  <c r="BN11" i="6"/>
  <c r="C73" i="26" s="1"/>
  <c r="BN15" i="6"/>
  <c r="C77" i="26" s="1"/>
  <c r="BN6" i="6"/>
  <c r="C68" i="26" s="1"/>
  <c r="AF262" i="6"/>
  <c r="AF260" i="6"/>
  <c r="AF258" i="6"/>
  <c r="AF256" i="6"/>
  <c r="AF254" i="6"/>
  <c r="AF252" i="6"/>
  <c r="AF250" i="6"/>
  <c r="AF248" i="6"/>
  <c r="AF246" i="6"/>
  <c r="AF244" i="6"/>
  <c r="AF242" i="6"/>
  <c r="AF240" i="6"/>
  <c r="AF238" i="6"/>
  <c r="AF236" i="6"/>
  <c r="AF234" i="6"/>
  <c r="AF232" i="6"/>
  <c r="AF230" i="6"/>
  <c r="AF263" i="6"/>
  <c r="AF259" i="6"/>
  <c r="AF255" i="6"/>
  <c r="AF251" i="6"/>
  <c r="AF247" i="6"/>
  <c r="AF243" i="6"/>
  <c r="AF239" i="6"/>
  <c r="AF231" i="6"/>
  <c r="AF229" i="6"/>
  <c r="AF227" i="6"/>
  <c r="AF225" i="6"/>
  <c r="AF223" i="6"/>
  <c r="AF221" i="6"/>
  <c r="AF219" i="6"/>
  <c r="AF217" i="6"/>
  <c r="AF215" i="6"/>
  <c r="AF213" i="6"/>
  <c r="AF211" i="6"/>
  <c r="AF209" i="6"/>
  <c r="AF207" i="6"/>
  <c r="AF205" i="6"/>
  <c r="AF203" i="6"/>
  <c r="AF201" i="6"/>
  <c r="AF199" i="6"/>
  <c r="AF197" i="6"/>
  <c r="AF195" i="6"/>
  <c r="AF193" i="6"/>
  <c r="AF191" i="6"/>
  <c r="AF189" i="6"/>
  <c r="AF187" i="6"/>
  <c r="AF185" i="6"/>
  <c r="AF183" i="6"/>
  <c r="AF181" i="6"/>
  <c r="AF233" i="6"/>
  <c r="AF214" i="6"/>
  <c r="AF206" i="6"/>
  <c r="AF198" i="6"/>
  <c r="AF241" i="6"/>
  <c r="AF237" i="6"/>
  <c r="AF235" i="6"/>
  <c r="AF224" i="6"/>
  <c r="AF222" i="6"/>
  <c r="AF208" i="6"/>
  <c r="AF196" i="6"/>
  <c r="AF190" i="6"/>
  <c r="AF182" i="6"/>
  <c r="AF249" i="6"/>
  <c r="AF245" i="6"/>
  <c r="AF228" i="6"/>
  <c r="AF226" i="6"/>
  <c r="AF210" i="6"/>
  <c r="AF200" i="6"/>
  <c r="AF184" i="6"/>
  <c r="AF179" i="6"/>
  <c r="AF177" i="6"/>
  <c r="AF175" i="6"/>
  <c r="AF173" i="6"/>
  <c r="AF171" i="6"/>
  <c r="AF169" i="6"/>
  <c r="AF167" i="6"/>
  <c r="AF165" i="6"/>
  <c r="AF163" i="6"/>
  <c r="AF161" i="6"/>
  <c r="AF159" i="6"/>
  <c r="AF157" i="6"/>
  <c r="AF155" i="6"/>
  <c r="AF153" i="6"/>
  <c r="AF151" i="6"/>
  <c r="AF149" i="6"/>
  <c r="AF147" i="6"/>
  <c r="AF145" i="6"/>
  <c r="AF143" i="6"/>
  <c r="AF141" i="6"/>
  <c r="AF139" i="6"/>
  <c r="AF137" i="6"/>
  <c r="AF135" i="6"/>
  <c r="AF133" i="6"/>
  <c r="AF131" i="6"/>
  <c r="AF257" i="6"/>
  <c r="AF253" i="6"/>
  <c r="AF212" i="6"/>
  <c r="AF202" i="6"/>
  <c r="AF192" i="6"/>
  <c r="AF178" i="6"/>
  <c r="AF170" i="6"/>
  <c r="AF162" i="6"/>
  <c r="AF154" i="6"/>
  <c r="AF146" i="6"/>
  <c r="AF138" i="6"/>
  <c r="AF129" i="6"/>
  <c r="AF127" i="6"/>
  <c r="AF125" i="6"/>
  <c r="AF123" i="6"/>
  <c r="AF121" i="6"/>
  <c r="AF119" i="6"/>
  <c r="AF117" i="6"/>
  <c r="AF261" i="6"/>
  <c r="AF180" i="6"/>
  <c r="AF172" i="6"/>
  <c r="AF164" i="6"/>
  <c r="AF156" i="6"/>
  <c r="AF148" i="6"/>
  <c r="AF140" i="6"/>
  <c r="AF132" i="6"/>
  <c r="AF216" i="6"/>
  <c r="AF186" i="6"/>
  <c r="AF174" i="6"/>
  <c r="AF158" i="6"/>
  <c r="AF142" i="6"/>
  <c r="AF128" i="6"/>
  <c r="AF124" i="6"/>
  <c r="AF120" i="6"/>
  <c r="AF112" i="6"/>
  <c r="AF111" i="6"/>
  <c r="AF104" i="6"/>
  <c r="AF103" i="6"/>
  <c r="AF96" i="6"/>
  <c r="AF95" i="6"/>
  <c r="AF88" i="6"/>
  <c r="AF87" i="6"/>
  <c r="AF80" i="6"/>
  <c r="AF79" i="6"/>
  <c r="AF72" i="6"/>
  <c r="AF220" i="6"/>
  <c r="AF168" i="6"/>
  <c r="AF166" i="6"/>
  <c r="AF152" i="6"/>
  <c r="AF122" i="6"/>
  <c r="AF116" i="6"/>
  <c r="AF109" i="6"/>
  <c r="AF106" i="6"/>
  <c r="AF99" i="6"/>
  <c r="AF94" i="6"/>
  <c r="AF89" i="6"/>
  <c r="AF84" i="6"/>
  <c r="AF77" i="6"/>
  <c r="AF74" i="6"/>
  <c r="AF70" i="6"/>
  <c r="AF68" i="6"/>
  <c r="AF66" i="6"/>
  <c r="AF64" i="6"/>
  <c r="AF62" i="6"/>
  <c r="AF60" i="6"/>
  <c r="AF58" i="6"/>
  <c r="AF56" i="6"/>
  <c r="AF54" i="6"/>
  <c r="AF52" i="6"/>
  <c r="AF50" i="6"/>
  <c r="AF48" i="6"/>
  <c r="AF46" i="6"/>
  <c r="AF44" i="6"/>
  <c r="AF42" i="6"/>
  <c r="AF40" i="6"/>
  <c r="AF38" i="6"/>
  <c r="AF36" i="6"/>
  <c r="AF34" i="6"/>
  <c r="AF32" i="6"/>
  <c r="AF30" i="6"/>
  <c r="AF28" i="6"/>
  <c r="AF26" i="6"/>
  <c r="AF24" i="6"/>
  <c r="AF22" i="6"/>
  <c r="AF20" i="6"/>
  <c r="AF18" i="6"/>
  <c r="AF16" i="6"/>
  <c r="AF14" i="6"/>
  <c r="AF12" i="6"/>
  <c r="AF218" i="6"/>
  <c r="AF194" i="6"/>
  <c r="AF176" i="6"/>
  <c r="AF160" i="6"/>
  <c r="AF150" i="6"/>
  <c r="AF136" i="6"/>
  <c r="AF126" i="6"/>
  <c r="AF113" i="6"/>
  <c r="AF108" i="6"/>
  <c r="AF101" i="6"/>
  <c r="AF98" i="6"/>
  <c r="AF91" i="6"/>
  <c r="AF86" i="6"/>
  <c r="AF81" i="6"/>
  <c r="AF76" i="6"/>
  <c r="AF204" i="6"/>
  <c r="AF188" i="6"/>
  <c r="AF144" i="6"/>
  <c r="AF134" i="6"/>
  <c r="AF130" i="6"/>
  <c r="AF110" i="6"/>
  <c r="AF100" i="6"/>
  <c r="AF93" i="6"/>
  <c r="AF90" i="6"/>
  <c r="AF83" i="6"/>
  <c r="AF73" i="6"/>
  <c r="AF69" i="6"/>
  <c r="AF65" i="6"/>
  <c r="AF61" i="6"/>
  <c r="AF57" i="6"/>
  <c r="AF53" i="6"/>
  <c r="AF49" i="6"/>
  <c r="AF45" i="6"/>
  <c r="AF41" i="6"/>
  <c r="AF37" i="6"/>
  <c r="AF33" i="6"/>
  <c r="AF29" i="6"/>
  <c r="AF25" i="6"/>
  <c r="AF21" i="6"/>
  <c r="AF17" i="6"/>
  <c r="AF13" i="6"/>
  <c r="AF9" i="6"/>
  <c r="AF8" i="6"/>
  <c r="AF97" i="6"/>
  <c r="AF115" i="6"/>
  <c r="AF105" i="6"/>
  <c r="AF78" i="6"/>
  <c r="AF71" i="6"/>
  <c r="AF67" i="6"/>
  <c r="AF63" i="6"/>
  <c r="AF59" i="6"/>
  <c r="AF55" i="6"/>
  <c r="AF51" i="6"/>
  <c r="AF47" i="6"/>
  <c r="AF43" i="6"/>
  <c r="AF39" i="6"/>
  <c r="AF35" i="6"/>
  <c r="AF31" i="6"/>
  <c r="AF27" i="6"/>
  <c r="AF23" i="6"/>
  <c r="AF19" i="6"/>
  <c r="AF15" i="6"/>
  <c r="AF11" i="6"/>
  <c r="AF5" i="6"/>
  <c r="AF4" i="6"/>
  <c r="AF118" i="6"/>
  <c r="AF102" i="6"/>
  <c r="AF92" i="6"/>
  <c r="AF85" i="6"/>
  <c r="AF82" i="6"/>
  <c r="AF75" i="6"/>
  <c r="AF7" i="6"/>
  <c r="AF6" i="6"/>
  <c r="AF114" i="6"/>
  <c r="AF107" i="6"/>
  <c r="AF10" i="6"/>
  <c r="AG262" i="6"/>
  <c r="AG260" i="6"/>
  <c r="AG258" i="6"/>
  <c r="AG256" i="6"/>
  <c r="AG254" i="6"/>
  <c r="AG252" i="6"/>
  <c r="AG250" i="6"/>
  <c r="AG248" i="6"/>
  <c r="AG246" i="6"/>
  <c r="AG244" i="6"/>
  <c r="AG242" i="6"/>
  <c r="AG240" i="6"/>
  <c r="AG238" i="6"/>
  <c r="AG236" i="6"/>
  <c r="AG263" i="6"/>
  <c r="AG259" i="6"/>
  <c r="AG255" i="6"/>
  <c r="AG251" i="6"/>
  <c r="AG247" i="6"/>
  <c r="AG243" i="6"/>
  <c r="AG239" i="6"/>
  <c r="AG231" i="6"/>
  <c r="AG230" i="6"/>
  <c r="AG229" i="6"/>
  <c r="AG227" i="6"/>
  <c r="AG225" i="6"/>
  <c r="AG223" i="6"/>
  <c r="AG221" i="6"/>
  <c r="AG219" i="6"/>
  <c r="AG217" i="6"/>
  <c r="AG215" i="6"/>
  <c r="AG233" i="6"/>
  <c r="AG232" i="6"/>
  <c r="AG257" i="6"/>
  <c r="AG249" i="6"/>
  <c r="AG241" i="6"/>
  <c r="AG235" i="6"/>
  <c r="AG234" i="6"/>
  <c r="AG228" i="6"/>
  <c r="AG224" i="6"/>
  <c r="AG220" i="6"/>
  <c r="AG216" i="6"/>
  <c r="AG208" i="6"/>
  <c r="AG207" i="6"/>
  <c r="AG200" i="6"/>
  <c r="AG199" i="6"/>
  <c r="AG192" i="6"/>
  <c r="AG245" i="6"/>
  <c r="AG226" i="6"/>
  <c r="AG213" i="6"/>
  <c r="AG210" i="6"/>
  <c r="AG203" i="6"/>
  <c r="AG198" i="6"/>
  <c r="AG193" i="6"/>
  <c r="AG191" i="6"/>
  <c r="AG184" i="6"/>
  <c r="AG183" i="6"/>
  <c r="AG253" i="6"/>
  <c r="AG212" i="6"/>
  <c r="AG205" i="6"/>
  <c r="AG202" i="6"/>
  <c r="AG195" i="6"/>
  <c r="AG186" i="6"/>
  <c r="AG185" i="6"/>
  <c r="AG261" i="6"/>
  <c r="AG209" i="6"/>
  <c r="AG180" i="6"/>
  <c r="AG179" i="6"/>
  <c r="AG172" i="6"/>
  <c r="AG171" i="6"/>
  <c r="AG164" i="6"/>
  <c r="AG163" i="6"/>
  <c r="AG156" i="6"/>
  <c r="AG155" i="6"/>
  <c r="AG148" i="6"/>
  <c r="AG147" i="6"/>
  <c r="AG140" i="6"/>
  <c r="AG139" i="6"/>
  <c r="AG132" i="6"/>
  <c r="AG131" i="6"/>
  <c r="AG206" i="6"/>
  <c r="AG196" i="6"/>
  <c r="AG182" i="6"/>
  <c r="AG181" i="6"/>
  <c r="AG174" i="6"/>
  <c r="AG173" i="6"/>
  <c r="AG166" i="6"/>
  <c r="AG165" i="6"/>
  <c r="AG158" i="6"/>
  <c r="AG157" i="6"/>
  <c r="AG150" i="6"/>
  <c r="AG149" i="6"/>
  <c r="AG142" i="6"/>
  <c r="AG141" i="6"/>
  <c r="AG134" i="6"/>
  <c r="AG133" i="6"/>
  <c r="AG130" i="6"/>
  <c r="AG128" i="6"/>
  <c r="AG126" i="6"/>
  <c r="AG124" i="6"/>
  <c r="AG122" i="6"/>
  <c r="AG120" i="6"/>
  <c r="AG118" i="6"/>
  <c r="AG116" i="6"/>
  <c r="AG114" i="6"/>
  <c r="AG112" i="6"/>
  <c r="AG110" i="6"/>
  <c r="AG108" i="6"/>
  <c r="AG106" i="6"/>
  <c r="AG104" i="6"/>
  <c r="AG102" i="6"/>
  <c r="AG100" i="6"/>
  <c r="AG98" i="6"/>
  <c r="AG96" i="6"/>
  <c r="AG94" i="6"/>
  <c r="AG92" i="6"/>
  <c r="AG90" i="6"/>
  <c r="AG88" i="6"/>
  <c r="AG86" i="6"/>
  <c r="AG84" i="6"/>
  <c r="AG82" i="6"/>
  <c r="AG80" i="6"/>
  <c r="AG78" i="6"/>
  <c r="AG76" i="6"/>
  <c r="AG74" i="6"/>
  <c r="AG72" i="6"/>
  <c r="AG204" i="6"/>
  <c r="AG188" i="6"/>
  <c r="AG168" i="6"/>
  <c r="AG167" i="6"/>
  <c r="AG218" i="6"/>
  <c r="AG214" i="6"/>
  <c r="AG197" i="6"/>
  <c r="AG194" i="6"/>
  <c r="AG187" i="6"/>
  <c r="AG176" i="6"/>
  <c r="AG175" i="6"/>
  <c r="AG160" i="6"/>
  <c r="AG159" i="6"/>
  <c r="AG144" i="6"/>
  <c r="AG143" i="6"/>
  <c r="AG113" i="6"/>
  <c r="AG105" i="6"/>
  <c r="AG97" i="6"/>
  <c r="AG89" i="6"/>
  <c r="AG81" i="6"/>
  <c r="AG73" i="6"/>
  <c r="AG201" i="6"/>
  <c r="AG190" i="6"/>
  <c r="AG170" i="6"/>
  <c r="AG146" i="6"/>
  <c r="AG136" i="6"/>
  <c r="AG123" i="6"/>
  <c r="AG121" i="6"/>
  <c r="AG111" i="6"/>
  <c r="AG101" i="6"/>
  <c r="AG91" i="6"/>
  <c r="AG79" i="6"/>
  <c r="AG237" i="6"/>
  <c r="AG211" i="6"/>
  <c r="AG189" i="6"/>
  <c r="AG178" i="6"/>
  <c r="AG153" i="6"/>
  <c r="AG127" i="6"/>
  <c r="AG125" i="6"/>
  <c r="AG115" i="6"/>
  <c r="AG103" i="6"/>
  <c r="AG93" i="6"/>
  <c r="AG83" i="6"/>
  <c r="AG71" i="6"/>
  <c r="AG69" i="6"/>
  <c r="AG67" i="6"/>
  <c r="AG65" i="6"/>
  <c r="AG63" i="6"/>
  <c r="AG61" i="6"/>
  <c r="AG59" i="6"/>
  <c r="AG57" i="6"/>
  <c r="AG55" i="6"/>
  <c r="AG53" i="6"/>
  <c r="AG51" i="6"/>
  <c r="AG49" i="6"/>
  <c r="AG47" i="6"/>
  <c r="AG45" i="6"/>
  <c r="AG43" i="6"/>
  <c r="AG41" i="6"/>
  <c r="AG39" i="6"/>
  <c r="AG37" i="6"/>
  <c r="AG35" i="6"/>
  <c r="AG33" i="6"/>
  <c r="AG31" i="6"/>
  <c r="AG29" i="6"/>
  <c r="AG27" i="6"/>
  <c r="AG25" i="6"/>
  <c r="AG23" i="6"/>
  <c r="AG21" i="6"/>
  <c r="AG19" i="6"/>
  <c r="AG17" i="6"/>
  <c r="AG15" i="6"/>
  <c r="AG13" i="6"/>
  <c r="AG11" i="6"/>
  <c r="AG9" i="6"/>
  <c r="AG7" i="6"/>
  <c r="AG5" i="6"/>
  <c r="AG169" i="6"/>
  <c r="AG161" i="6"/>
  <c r="AG154" i="6"/>
  <c r="AG151" i="6"/>
  <c r="AG137" i="6"/>
  <c r="AG129" i="6"/>
  <c r="AG138" i="6"/>
  <c r="AG107" i="6"/>
  <c r="AG10" i="6"/>
  <c r="AG119" i="6"/>
  <c r="AG77" i="6"/>
  <c r="AG68" i="6"/>
  <c r="AG60" i="6"/>
  <c r="AG48" i="6"/>
  <c r="AG40" i="6"/>
  <c r="AG32" i="6"/>
  <c r="AG24" i="6"/>
  <c r="AG12" i="6"/>
  <c r="AG4" i="6"/>
  <c r="AG222" i="6"/>
  <c r="AG152" i="6"/>
  <c r="AG135" i="6"/>
  <c r="AG95" i="6"/>
  <c r="AG85" i="6"/>
  <c r="AG75" i="6"/>
  <c r="AG6" i="6"/>
  <c r="AG177" i="6"/>
  <c r="AG162" i="6"/>
  <c r="AG145" i="6"/>
  <c r="AG109" i="6"/>
  <c r="AG99" i="6"/>
  <c r="AG70" i="6"/>
  <c r="AG66" i="6"/>
  <c r="AG62" i="6"/>
  <c r="AG58" i="6"/>
  <c r="AG54" i="6"/>
  <c r="AG50" i="6"/>
  <c r="AG46" i="6"/>
  <c r="AG42" i="6"/>
  <c r="AG38" i="6"/>
  <c r="AG34" i="6"/>
  <c r="AG30" i="6"/>
  <c r="AG26" i="6"/>
  <c r="AG22" i="6"/>
  <c r="AG18" i="6"/>
  <c r="AG14" i="6"/>
  <c r="AG8" i="6"/>
  <c r="AG117" i="6"/>
  <c r="AG87" i="6"/>
  <c r="AG64" i="6"/>
  <c r="AG56" i="6"/>
  <c r="AG52" i="6"/>
  <c r="AG44" i="6"/>
  <c r="AG36" i="6"/>
  <c r="AG28" i="6"/>
  <c r="AG20" i="6"/>
  <c r="AG16" i="6"/>
  <c r="Z4" i="6"/>
  <c r="Z263" i="6"/>
  <c r="Z261" i="6"/>
  <c r="Z259" i="6"/>
  <c r="Z257" i="6"/>
  <c r="Z255" i="6"/>
  <c r="Z253" i="6"/>
  <c r="Z251" i="6"/>
  <c r="Z249" i="6"/>
  <c r="Z247" i="6"/>
  <c r="Z245" i="6"/>
  <c r="Z243" i="6"/>
  <c r="Z241" i="6"/>
  <c r="Z239" i="6"/>
  <c r="Z237" i="6"/>
  <c r="Z235" i="6"/>
  <c r="Z233" i="6"/>
  <c r="Z231" i="6"/>
  <c r="Z236" i="6"/>
  <c r="Z262" i="6"/>
  <c r="Z258" i="6"/>
  <c r="Z254" i="6"/>
  <c r="Z250" i="6"/>
  <c r="Z246" i="6"/>
  <c r="Z242" i="6"/>
  <c r="Z238" i="6"/>
  <c r="Z230" i="6"/>
  <c r="Z228" i="6"/>
  <c r="Z226" i="6"/>
  <c r="Z224" i="6"/>
  <c r="Z222" i="6"/>
  <c r="Z220" i="6"/>
  <c r="Z218" i="6"/>
  <c r="Z216" i="6"/>
  <c r="Z214" i="6"/>
  <c r="Z212" i="6"/>
  <c r="Z210" i="6"/>
  <c r="Z208" i="6"/>
  <c r="Z206" i="6"/>
  <c r="Z204" i="6"/>
  <c r="Z202" i="6"/>
  <c r="Z200" i="6"/>
  <c r="Z198" i="6"/>
  <c r="Z196" i="6"/>
  <c r="Z194" i="6"/>
  <c r="Z192" i="6"/>
  <c r="Z190" i="6"/>
  <c r="Z188" i="6"/>
  <c r="Z186" i="6"/>
  <c r="Z184" i="6"/>
  <c r="Z182" i="6"/>
  <c r="Z213" i="6"/>
  <c r="Z205" i="6"/>
  <c r="Z197" i="6"/>
  <c r="Z248" i="6"/>
  <c r="Z244" i="6"/>
  <c r="Z229" i="6"/>
  <c r="Z215" i="6"/>
  <c r="Z203" i="6"/>
  <c r="Z193" i="6"/>
  <c r="Z189" i="6"/>
  <c r="Z181" i="6"/>
  <c r="Z256" i="6"/>
  <c r="Z252" i="6"/>
  <c r="Z234" i="6"/>
  <c r="Z219" i="6"/>
  <c r="Z217" i="6"/>
  <c r="Z207" i="6"/>
  <c r="Z195" i="6"/>
  <c r="Z191" i="6"/>
  <c r="Z183" i="6"/>
  <c r="Z180" i="6"/>
  <c r="Z178" i="6"/>
  <c r="Z176" i="6"/>
  <c r="Z174" i="6"/>
  <c r="Z172" i="6"/>
  <c r="Z170" i="6"/>
  <c r="Z168" i="6"/>
  <c r="Z166" i="6"/>
  <c r="Z164" i="6"/>
  <c r="Z162" i="6"/>
  <c r="Z160" i="6"/>
  <c r="Z158" i="6"/>
  <c r="Z156" i="6"/>
  <c r="Z154" i="6"/>
  <c r="Z152" i="6"/>
  <c r="Z150" i="6"/>
  <c r="Z148" i="6"/>
  <c r="Z146" i="6"/>
  <c r="Z144" i="6"/>
  <c r="Z142" i="6"/>
  <c r="Z140" i="6"/>
  <c r="Z138" i="6"/>
  <c r="Z136" i="6"/>
  <c r="Z134" i="6"/>
  <c r="Z132" i="6"/>
  <c r="Z185" i="6"/>
  <c r="Z177" i="6"/>
  <c r="Z169" i="6"/>
  <c r="Z161" i="6"/>
  <c r="Z153" i="6"/>
  <c r="Z145" i="6"/>
  <c r="Z137" i="6"/>
  <c r="Z130" i="6"/>
  <c r="Z128" i="6"/>
  <c r="Z126" i="6"/>
  <c r="Z124" i="6"/>
  <c r="Z122" i="6"/>
  <c r="Z120" i="6"/>
  <c r="Z118" i="6"/>
  <c r="Z240" i="6"/>
  <c r="Z211" i="6"/>
  <c r="Z201" i="6"/>
  <c r="Z187" i="6"/>
  <c r="Z179" i="6"/>
  <c r="Z171" i="6"/>
  <c r="Z163" i="6"/>
  <c r="Z155" i="6"/>
  <c r="Z147" i="6"/>
  <c r="Z139" i="6"/>
  <c r="Z260" i="6"/>
  <c r="Z221" i="6"/>
  <c r="Z199" i="6"/>
  <c r="Z173" i="6"/>
  <c r="Z232" i="6"/>
  <c r="Z223" i="6"/>
  <c r="Z209" i="6"/>
  <c r="Z165" i="6"/>
  <c r="Z149" i="6"/>
  <c r="Z133" i="6"/>
  <c r="Z131" i="6"/>
  <c r="Z127" i="6"/>
  <c r="Z123" i="6"/>
  <c r="Z119" i="6"/>
  <c r="Z111" i="6"/>
  <c r="Z110" i="6"/>
  <c r="Z103" i="6"/>
  <c r="Z102" i="6"/>
  <c r="Z95" i="6"/>
  <c r="Z94" i="6"/>
  <c r="Z87" i="6"/>
  <c r="Z86" i="6"/>
  <c r="Z79" i="6"/>
  <c r="Z78" i="6"/>
  <c r="Z175" i="6"/>
  <c r="Z151" i="6"/>
  <c r="Z141" i="6"/>
  <c r="Z129" i="6"/>
  <c r="Z116" i="6"/>
  <c r="Z113" i="6"/>
  <c r="Z106" i="6"/>
  <c r="Z101" i="6"/>
  <c r="Z96" i="6"/>
  <c r="Z91" i="6"/>
  <c r="Z84" i="6"/>
  <c r="Z81" i="6"/>
  <c r="Z74" i="6"/>
  <c r="Z71" i="6"/>
  <c r="Z69" i="6"/>
  <c r="Z67" i="6"/>
  <c r="Z65" i="6"/>
  <c r="Z63" i="6"/>
  <c r="Z61" i="6"/>
  <c r="Z59" i="6"/>
  <c r="Z57" i="6"/>
  <c r="Z55" i="6"/>
  <c r="Z53" i="6"/>
  <c r="Z51" i="6"/>
  <c r="Z49" i="6"/>
  <c r="Z47" i="6"/>
  <c r="Z45" i="6"/>
  <c r="Z43" i="6"/>
  <c r="Z41" i="6"/>
  <c r="Z39" i="6"/>
  <c r="Z37" i="6"/>
  <c r="Z35" i="6"/>
  <c r="Z33" i="6"/>
  <c r="Z31" i="6"/>
  <c r="Z29" i="6"/>
  <c r="Z27" i="6"/>
  <c r="Z25" i="6"/>
  <c r="Z23" i="6"/>
  <c r="Z21" i="6"/>
  <c r="Z19" i="6"/>
  <c r="Z17" i="6"/>
  <c r="Z15" i="6"/>
  <c r="Z13" i="6"/>
  <c r="Z227" i="6"/>
  <c r="Z135" i="6"/>
  <c r="Z115" i="6"/>
  <c r="Z108" i="6"/>
  <c r="Z105" i="6"/>
  <c r="Z98" i="6"/>
  <c r="Z93" i="6"/>
  <c r="Z88" i="6"/>
  <c r="Z83" i="6"/>
  <c r="Z76" i="6"/>
  <c r="Z73" i="6"/>
  <c r="Z225" i="6"/>
  <c r="Z159" i="6"/>
  <c r="Z121" i="6"/>
  <c r="Z167" i="6"/>
  <c r="Z112" i="6"/>
  <c r="Z85" i="6"/>
  <c r="Z75" i="6"/>
  <c r="Z68" i="6"/>
  <c r="Z64" i="6"/>
  <c r="Z60" i="6"/>
  <c r="Z56" i="6"/>
  <c r="Z52" i="6"/>
  <c r="Z48" i="6"/>
  <c r="Z44" i="6"/>
  <c r="Z40" i="6"/>
  <c r="Z36" i="6"/>
  <c r="Z32" i="6"/>
  <c r="Z28" i="6"/>
  <c r="Z24" i="6"/>
  <c r="Z20" i="6"/>
  <c r="Z16" i="6"/>
  <c r="Z12" i="6"/>
  <c r="Z8" i="6"/>
  <c r="Z7" i="6"/>
  <c r="Z109" i="6"/>
  <c r="Z92" i="6"/>
  <c r="Z89" i="6"/>
  <c r="Z72" i="6"/>
  <c r="Z10" i="6"/>
  <c r="Z9" i="6"/>
  <c r="Z117" i="6"/>
  <c r="Z107" i="6"/>
  <c r="Z100" i="6"/>
  <c r="Z97" i="6"/>
  <c r="Z90" i="6"/>
  <c r="Z80" i="6"/>
  <c r="Z70" i="6"/>
  <c r="Z66" i="6"/>
  <c r="Z62" i="6"/>
  <c r="Z58" i="6"/>
  <c r="Z54" i="6"/>
  <c r="Z50" i="6"/>
  <c r="Z46" i="6"/>
  <c r="Z42" i="6"/>
  <c r="Z38" i="6"/>
  <c r="Z34" i="6"/>
  <c r="Z30" i="6"/>
  <c r="Z26" i="6"/>
  <c r="Z22" i="6"/>
  <c r="Z18" i="6"/>
  <c r="Z14" i="6"/>
  <c r="Z11" i="6"/>
  <c r="Z157" i="6"/>
  <c r="Z125" i="6"/>
  <c r="Z114" i="6"/>
  <c r="Z104" i="6"/>
  <c r="Z77" i="6"/>
  <c r="Z6" i="6"/>
  <c r="Z5" i="6"/>
  <c r="Z143" i="6"/>
  <c r="Z99" i="6"/>
  <c r="Z82" i="6"/>
  <c r="AD263" i="6"/>
  <c r="AD261" i="6"/>
  <c r="AD259" i="6"/>
  <c r="AD257" i="6"/>
  <c r="AD255" i="6"/>
  <c r="AD253" i="6"/>
  <c r="AD251" i="6"/>
  <c r="AD249" i="6"/>
  <c r="AD247" i="6"/>
  <c r="AD245" i="6"/>
  <c r="AD243" i="6"/>
  <c r="AD241" i="6"/>
  <c r="AD239" i="6"/>
  <c r="AD237" i="6"/>
  <c r="AD235" i="6"/>
  <c r="AD233" i="6"/>
  <c r="AD231" i="6"/>
  <c r="AD234" i="6"/>
  <c r="AD260" i="6"/>
  <c r="AD256" i="6"/>
  <c r="AD252" i="6"/>
  <c r="AD248" i="6"/>
  <c r="AD244" i="6"/>
  <c r="AD240" i="6"/>
  <c r="AD236" i="6"/>
  <c r="AD228" i="6"/>
  <c r="AD226" i="6"/>
  <c r="AD224" i="6"/>
  <c r="AD222" i="6"/>
  <c r="AD220" i="6"/>
  <c r="AD218" i="6"/>
  <c r="AD216" i="6"/>
  <c r="AD214" i="6"/>
  <c r="AD212" i="6"/>
  <c r="AD210" i="6"/>
  <c r="AD208" i="6"/>
  <c r="AD206" i="6"/>
  <c r="AD204" i="6"/>
  <c r="AD202" i="6"/>
  <c r="AD200" i="6"/>
  <c r="AD198" i="6"/>
  <c r="AD196" i="6"/>
  <c r="AD194" i="6"/>
  <c r="AD192" i="6"/>
  <c r="AD190" i="6"/>
  <c r="AD188" i="6"/>
  <c r="AD186" i="6"/>
  <c r="AD184" i="6"/>
  <c r="AD182" i="6"/>
  <c r="AD230" i="6"/>
  <c r="AD211" i="6"/>
  <c r="AD203" i="6"/>
  <c r="AD195" i="6"/>
  <c r="AD254" i="6"/>
  <c r="AD250" i="6"/>
  <c r="AD221" i="6"/>
  <c r="AD219" i="6"/>
  <c r="AD209" i="6"/>
  <c r="AD199" i="6"/>
  <c r="AD187" i="6"/>
  <c r="AD262" i="6"/>
  <c r="AD258" i="6"/>
  <c r="AD232" i="6"/>
  <c r="AD225" i="6"/>
  <c r="AD223" i="6"/>
  <c r="AD213" i="6"/>
  <c r="AD201" i="6"/>
  <c r="AD189" i="6"/>
  <c r="AD181" i="6"/>
  <c r="AD180" i="6"/>
  <c r="AD178" i="6"/>
  <c r="AD176" i="6"/>
  <c r="AD174" i="6"/>
  <c r="AD172" i="6"/>
  <c r="AD170" i="6"/>
  <c r="AD168" i="6"/>
  <c r="AD166" i="6"/>
  <c r="AD164" i="6"/>
  <c r="AD162" i="6"/>
  <c r="AD160" i="6"/>
  <c r="AD158" i="6"/>
  <c r="AD156" i="6"/>
  <c r="AD154" i="6"/>
  <c r="AD152" i="6"/>
  <c r="AD150" i="6"/>
  <c r="AD148" i="6"/>
  <c r="AD146" i="6"/>
  <c r="AD144" i="6"/>
  <c r="AD142" i="6"/>
  <c r="AD140" i="6"/>
  <c r="AD138" i="6"/>
  <c r="AD136" i="6"/>
  <c r="AD134" i="6"/>
  <c r="AD132" i="6"/>
  <c r="AD205" i="6"/>
  <c r="AD191" i="6"/>
  <c r="AD175" i="6"/>
  <c r="AD167" i="6"/>
  <c r="AD159" i="6"/>
  <c r="AD151" i="6"/>
  <c r="AD143" i="6"/>
  <c r="AD135" i="6"/>
  <c r="AD130" i="6"/>
  <c r="AD128" i="6"/>
  <c r="AD126" i="6"/>
  <c r="AD124" i="6"/>
  <c r="AD122" i="6"/>
  <c r="AD120" i="6"/>
  <c r="AD118" i="6"/>
  <c r="AD217" i="6"/>
  <c r="AD215" i="6"/>
  <c r="AD177" i="6"/>
  <c r="AD169" i="6"/>
  <c r="AD161" i="6"/>
  <c r="AD153" i="6"/>
  <c r="AD145" i="6"/>
  <c r="AD137" i="6"/>
  <c r="AD229" i="6"/>
  <c r="AD193" i="6"/>
  <c r="AD179" i="6"/>
  <c r="AD238" i="6"/>
  <c r="AD227" i="6"/>
  <c r="AD183" i="6"/>
  <c r="AD171" i="6"/>
  <c r="AD155" i="6"/>
  <c r="AD139" i="6"/>
  <c r="AD129" i="6"/>
  <c r="AD125" i="6"/>
  <c r="AD121" i="6"/>
  <c r="AD117" i="6"/>
  <c r="AD116" i="6"/>
  <c r="AD109" i="6"/>
  <c r="AD108" i="6"/>
  <c r="AD101" i="6"/>
  <c r="AD100" i="6"/>
  <c r="AD93" i="6"/>
  <c r="AD92" i="6"/>
  <c r="AD85" i="6"/>
  <c r="AD84" i="6"/>
  <c r="AD77" i="6"/>
  <c r="AD76" i="6"/>
  <c r="AD242" i="6"/>
  <c r="AD207" i="6"/>
  <c r="AD165" i="6"/>
  <c r="AD119" i="6"/>
  <c r="AD112" i="6"/>
  <c r="AD107" i="6"/>
  <c r="AD102" i="6"/>
  <c r="AD97" i="6"/>
  <c r="AD90" i="6"/>
  <c r="AD87" i="6"/>
  <c r="AD80" i="6"/>
  <c r="AD75" i="6"/>
  <c r="AD71" i="6"/>
  <c r="AD69" i="6"/>
  <c r="AD67" i="6"/>
  <c r="AD65" i="6"/>
  <c r="AD63" i="6"/>
  <c r="AD61" i="6"/>
  <c r="AD59" i="6"/>
  <c r="AD57" i="6"/>
  <c r="AD55" i="6"/>
  <c r="AD53" i="6"/>
  <c r="AD51" i="6"/>
  <c r="AD49" i="6"/>
  <c r="AD47" i="6"/>
  <c r="AD45" i="6"/>
  <c r="AD43" i="6"/>
  <c r="AD41" i="6"/>
  <c r="AD39" i="6"/>
  <c r="AD37" i="6"/>
  <c r="AD35" i="6"/>
  <c r="AD33" i="6"/>
  <c r="AD31" i="6"/>
  <c r="AD29" i="6"/>
  <c r="AD27" i="6"/>
  <c r="AD25" i="6"/>
  <c r="AD23" i="6"/>
  <c r="AD21" i="6"/>
  <c r="AD19" i="6"/>
  <c r="AD17" i="6"/>
  <c r="AD15" i="6"/>
  <c r="AD13" i="6"/>
  <c r="AD11" i="6"/>
  <c r="AD185" i="6"/>
  <c r="AD163" i="6"/>
  <c r="AD149" i="6"/>
  <c r="AD123" i="6"/>
  <c r="AD114" i="6"/>
  <c r="AD111" i="6"/>
  <c r="AD104" i="6"/>
  <c r="AD99" i="6"/>
  <c r="AD94" i="6"/>
  <c r="AD89" i="6"/>
  <c r="AD82" i="6"/>
  <c r="AD79" i="6"/>
  <c r="AD72" i="6"/>
  <c r="AD157" i="6"/>
  <c r="AD147" i="6"/>
  <c r="AD133" i="6"/>
  <c r="AD127" i="6"/>
  <c r="AD246" i="6"/>
  <c r="AD113" i="6"/>
  <c r="AD106" i="6"/>
  <c r="AD103" i="6"/>
  <c r="AD96" i="6"/>
  <c r="AD86" i="6"/>
  <c r="AD70" i="6"/>
  <c r="AD66" i="6"/>
  <c r="AD62" i="6"/>
  <c r="AD58" i="6"/>
  <c r="AD54" i="6"/>
  <c r="AD50" i="6"/>
  <c r="AD46" i="6"/>
  <c r="AD42" i="6"/>
  <c r="AD38" i="6"/>
  <c r="AD34" i="6"/>
  <c r="AD30" i="6"/>
  <c r="AD26" i="6"/>
  <c r="AD22" i="6"/>
  <c r="AD18" i="6"/>
  <c r="AD14" i="6"/>
  <c r="AD6" i="6"/>
  <c r="AD5" i="6"/>
  <c r="AD173" i="6"/>
  <c r="AD83" i="6"/>
  <c r="AD197" i="6"/>
  <c r="AD141" i="6"/>
  <c r="AD91" i="6"/>
  <c r="AD81" i="6"/>
  <c r="AD74" i="6"/>
  <c r="AD68" i="6"/>
  <c r="AD64" i="6"/>
  <c r="AD60" i="6"/>
  <c r="AD56" i="6"/>
  <c r="AD52" i="6"/>
  <c r="AD48" i="6"/>
  <c r="AD44" i="6"/>
  <c r="AD40" i="6"/>
  <c r="AD36" i="6"/>
  <c r="AD32" i="6"/>
  <c r="AD28" i="6"/>
  <c r="AD24" i="6"/>
  <c r="AD20" i="6"/>
  <c r="AD16" i="6"/>
  <c r="AD12" i="6"/>
  <c r="AD10" i="6"/>
  <c r="AD9" i="6"/>
  <c r="AD115" i="6"/>
  <c r="AD105" i="6"/>
  <c r="AD98" i="6"/>
  <c r="AD95" i="6"/>
  <c r="AD88" i="6"/>
  <c r="AD78" i="6"/>
  <c r="AD4" i="6"/>
  <c r="AD131" i="6"/>
  <c r="AD110" i="6"/>
  <c r="AD73" i="6"/>
  <c r="AD8" i="6"/>
  <c r="AD7" i="6"/>
  <c r="AH263" i="6"/>
  <c r="AH261" i="6"/>
  <c r="AH259" i="6"/>
  <c r="AH257" i="6"/>
  <c r="AH255" i="6"/>
  <c r="AH253" i="6"/>
  <c r="AH251" i="6"/>
  <c r="AH249" i="6"/>
  <c r="AH247" i="6"/>
  <c r="AH245" i="6"/>
  <c r="AH243" i="6"/>
  <c r="AH241" i="6"/>
  <c r="AH239" i="6"/>
  <c r="AH237" i="6"/>
  <c r="AH235" i="6"/>
  <c r="AH233" i="6"/>
  <c r="AH231" i="6"/>
  <c r="AH232" i="6"/>
  <c r="AH262" i="6"/>
  <c r="AH258" i="6"/>
  <c r="AH254" i="6"/>
  <c r="AH250" i="6"/>
  <c r="AH246" i="6"/>
  <c r="AH242" i="6"/>
  <c r="AH238" i="6"/>
  <c r="AH234" i="6"/>
  <c r="AH228" i="6"/>
  <c r="AH226" i="6"/>
  <c r="AH224" i="6"/>
  <c r="AH222" i="6"/>
  <c r="AH220" i="6"/>
  <c r="AH218" i="6"/>
  <c r="AH216" i="6"/>
  <c r="AH214" i="6"/>
  <c r="AH212" i="6"/>
  <c r="AH210" i="6"/>
  <c r="AH208" i="6"/>
  <c r="AH206" i="6"/>
  <c r="AH204" i="6"/>
  <c r="AH202" i="6"/>
  <c r="AH200" i="6"/>
  <c r="AH198" i="6"/>
  <c r="AH196" i="6"/>
  <c r="AH194" i="6"/>
  <c r="AH192" i="6"/>
  <c r="AH190" i="6"/>
  <c r="AH188" i="6"/>
  <c r="AH186" i="6"/>
  <c r="AH184" i="6"/>
  <c r="AH182" i="6"/>
  <c r="AH180" i="6"/>
  <c r="AH209" i="6"/>
  <c r="AH201" i="6"/>
  <c r="AH193" i="6"/>
  <c r="AH260" i="6"/>
  <c r="AH256" i="6"/>
  <c r="AH227" i="6"/>
  <c r="AH225" i="6"/>
  <c r="AH205" i="6"/>
  <c r="AH195" i="6"/>
  <c r="AH185" i="6"/>
  <c r="AH236" i="6"/>
  <c r="AH229" i="6"/>
  <c r="AH215" i="6"/>
  <c r="AH207" i="6"/>
  <c r="AH197" i="6"/>
  <c r="AH187" i="6"/>
  <c r="AH178" i="6"/>
  <c r="AH176" i="6"/>
  <c r="AH174" i="6"/>
  <c r="AH172" i="6"/>
  <c r="AH170" i="6"/>
  <c r="AH168" i="6"/>
  <c r="AH166" i="6"/>
  <c r="AH164" i="6"/>
  <c r="AH162" i="6"/>
  <c r="AH160" i="6"/>
  <c r="AH158" i="6"/>
  <c r="AH156" i="6"/>
  <c r="AH154" i="6"/>
  <c r="AH152" i="6"/>
  <c r="AH150" i="6"/>
  <c r="AH148" i="6"/>
  <c r="AH146" i="6"/>
  <c r="AH144" i="6"/>
  <c r="AH142" i="6"/>
  <c r="AH140" i="6"/>
  <c r="AH138" i="6"/>
  <c r="AH136" i="6"/>
  <c r="AH134" i="6"/>
  <c r="AH132" i="6"/>
  <c r="AH244" i="6"/>
  <c r="AH240" i="6"/>
  <c r="AH230" i="6"/>
  <c r="AH219" i="6"/>
  <c r="AH217" i="6"/>
  <c r="AH199" i="6"/>
  <c r="AH181" i="6"/>
  <c r="AH173" i="6"/>
  <c r="AH165" i="6"/>
  <c r="AH157" i="6"/>
  <c r="AH149" i="6"/>
  <c r="AH141" i="6"/>
  <c r="AH133" i="6"/>
  <c r="AH130" i="6"/>
  <c r="AH128" i="6"/>
  <c r="AH126" i="6"/>
  <c r="AH124" i="6"/>
  <c r="AH122" i="6"/>
  <c r="AH120" i="6"/>
  <c r="AH118" i="6"/>
  <c r="AH252" i="6"/>
  <c r="AH248" i="6"/>
  <c r="AH223" i="6"/>
  <c r="AH221" i="6"/>
  <c r="AH213" i="6"/>
  <c r="AH203" i="6"/>
  <c r="AH183" i="6"/>
  <c r="AH175" i="6"/>
  <c r="AH167" i="6"/>
  <c r="AH159" i="6"/>
  <c r="AH151" i="6"/>
  <c r="AH143" i="6"/>
  <c r="AH135" i="6"/>
  <c r="AH169" i="6"/>
  <c r="AH211" i="6"/>
  <c r="AH189" i="6"/>
  <c r="AH177" i="6"/>
  <c r="AH161" i="6"/>
  <c r="AH145" i="6"/>
  <c r="AH127" i="6"/>
  <c r="AH123" i="6"/>
  <c r="AH119" i="6"/>
  <c r="AH115" i="6"/>
  <c r="AH114" i="6"/>
  <c r="AH107" i="6"/>
  <c r="AH106" i="6"/>
  <c r="AH99" i="6"/>
  <c r="AH98" i="6"/>
  <c r="AH91" i="6"/>
  <c r="AH90" i="6"/>
  <c r="AH83" i="6"/>
  <c r="AH82" i="6"/>
  <c r="AH75" i="6"/>
  <c r="AH74" i="6"/>
  <c r="AH163" i="6"/>
  <c r="AH153" i="6"/>
  <c r="AH139" i="6"/>
  <c r="AH125" i="6"/>
  <c r="AH113" i="6"/>
  <c r="AH108" i="6"/>
  <c r="AH103" i="6"/>
  <c r="AH96" i="6"/>
  <c r="AH93" i="6"/>
  <c r="AH86" i="6"/>
  <c r="AH81" i="6"/>
  <c r="AH76" i="6"/>
  <c r="AH71" i="6"/>
  <c r="AH69" i="6"/>
  <c r="AH67" i="6"/>
  <c r="AH65" i="6"/>
  <c r="AH63" i="6"/>
  <c r="AH61" i="6"/>
  <c r="AH59" i="6"/>
  <c r="AH57" i="6"/>
  <c r="AH55" i="6"/>
  <c r="AH53" i="6"/>
  <c r="AH51" i="6"/>
  <c r="AH49" i="6"/>
  <c r="AH47" i="6"/>
  <c r="AH45" i="6"/>
  <c r="AH43" i="6"/>
  <c r="AH41" i="6"/>
  <c r="AH39" i="6"/>
  <c r="AH37" i="6"/>
  <c r="AH35" i="6"/>
  <c r="AH33" i="6"/>
  <c r="AH31" i="6"/>
  <c r="AH29" i="6"/>
  <c r="AH27" i="6"/>
  <c r="AH25" i="6"/>
  <c r="AH23" i="6"/>
  <c r="AH21" i="6"/>
  <c r="AH19" i="6"/>
  <c r="AH17" i="6"/>
  <c r="AH15" i="6"/>
  <c r="AH13" i="6"/>
  <c r="AH11" i="6"/>
  <c r="AH147" i="6"/>
  <c r="AH137" i="6"/>
  <c r="AH129" i="6"/>
  <c r="AH110" i="6"/>
  <c r="AH105" i="6"/>
  <c r="AH100" i="6"/>
  <c r="AH95" i="6"/>
  <c r="AH88" i="6"/>
  <c r="AH85" i="6"/>
  <c r="AH78" i="6"/>
  <c r="AH73" i="6"/>
  <c r="AH171" i="6"/>
  <c r="AH131" i="6"/>
  <c r="AH155" i="6"/>
  <c r="AH117" i="6"/>
  <c r="AH97" i="6"/>
  <c r="AH87" i="6"/>
  <c r="AH80" i="6"/>
  <c r="AH77" i="6"/>
  <c r="AH68" i="6"/>
  <c r="AH64" i="6"/>
  <c r="AH60" i="6"/>
  <c r="AH56" i="6"/>
  <c r="AH52" i="6"/>
  <c r="AH48" i="6"/>
  <c r="AH44" i="6"/>
  <c r="AH40" i="6"/>
  <c r="AH36" i="6"/>
  <c r="AH32" i="6"/>
  <c r="AH28" i="6"/>
  <c r="AH24" i="6"/>
  <c r="AH20" i="6"/>
  <c r="AH16" i="6"/>
  <c r="AH12" i="6"/>
  <c r="AH4" i="6"/>
  <c r="AH111" i="6"/>
  <c r="AH94" i="6"/>
  <c r="AH6" i="6"/>
  <c r="AH5" i="6"/>
  <c r="AH179" i="6"/>
  <c r="AH121" i="6"/>
  <c r="AH112" i="6"/>
  <c r="AH109" i="6"/>
  <c r="AH102" i="6"/>
  <c r="AH92" i="6"/>
  <c r="AH70" i="6"/>
  <c r="AH66" i="6"/>
  <c r="AH62" i="6"/>
  <c r="AH58" i="6"/>
  <c r="AH54" i="6"/>
  <c r="AH50" i="6"/>
  <c r="AH46" i="6"/>
  <c r="AH42" i="6"/>
  <c r="AH38" i="6"/>
  <c r="AH34" i="6"/>
  <c r="AH30" i="6"/>
  <c r="AH26" i="6"/>
  <c r="AH22" i="6"/>
  <c r="AH18" i="6"/>
  <c r="AH14" i="6"/>
  <c r="AH8" i="6"/>
  <c r="AH7" i="6"/>
  <c r="AH191" i="6"/>
  <c r="AH116" i="6"/>
  <c r="AH89" i="6"/>
  <c r="AH79" i="6"/>
  <c r="AH72" i="6"/>
  <c r="AH10" i="6"/>
  <c r="AH9" i="6"/>
  <c r="AH104" i="6"/>
  <c r="AH101" i="6"/>
  <c r="AH84" i="6"/>
  <c r="AB262" i="6"/>
  <c r="AB260" i="6"/>
  <c r="AB258" i="6"/>
  <c r="AB256" i="6"/>
  <c r="AB254" i="6"/>
  <c r="AB252" i="6"/>
  <c r="AB250" i="6"/>
  <c r="AB248" i="6"/>
  <c r="AB246" i="6"/>
  <c r="AB244" i="6"/>
  <c r="AB242" i="6"/>
  <c r="AB240" i="6"/>
  <c r="AB238" i="6"/>
  <c r="AB236" i="6"/>
  <c r="AB234" i="6"/>
  <c r="AB232" i="6"/>
  <c r="AB230" i="6"/>
  <c r="AB231" i="6"/>
  <c r="AB261" i="6"/>
  <c r="AB257" i="6"/>
  <c r="AB253" i="6"/>
  <c r="AB249" i="6"/>
  <c r="AB245" i="6"/>
  <c r="AB241" i="6"/>
  <c r="AB237" i="6"/>
  <c r="AB233" i="6"/>
  <c r="AB229" i="6"/>
  <c r="AB227" i="6"/>
  <c r="AB225" i="6"/>
  <c r="AB223" i="6"/>
  <c r="AB221" i="6"/>
  <c r="AB219" i="6"/>
  <c r="AB217" i="6"/>
  <c r="AB215" i="6"/>
  <c r="AB213" i="6"/>
  <c r="AB211" i="6"/>
  <c r="AB209" i="6"/>
  <c r="AB207" i="6"/>
  <c r="AB205" i="6"/>
  <c r="AB203" i="6"/>
  <c r="AB201" i="6"/>
  <c r="AB199" i="6"/>
  <c r="AB197" i="6"/>
  <c r="AB195" i="6"/>
  <c r="AB193" i="6"/>
  <c r="AB191" i="6"/>
  <c r="AB189" i="6"/>
  <c r="AB187" i="6"/>
  <c r="AB185" i="6"/>
  <c r="AB183" i="6"/>
  <c r="AB181" i="6"/>
  <c r="AB208" i="6"/>
  <c r="AB200" i="6"/>
  <c r="AB192" i="6"/>
  <c r="AB263" i="6"/>
  <c r="AB218" i="6"/>
  <c r="AB216" i="6"/>
  <c r="AB212" i="6"/>
  <c r="AB202" i="6"/>
  <c r="AB184" i="6"/>
  <c r="AB243" i="6"/>
  <c r="AB239" i="6"/>
  <c r="AB235" i="6"/>
  <c r="AB222" i="6"/>
  <c r="AB220" i="6"/>
  <c r="AB214" i="6"/>
  <c r="AB204" i="6"/>
  <c r="AB194" i="6"/>
  <c r="AB186" i="6"/>
  <c r="AB179" i="6"/>
  <c r="AB177" i="6"/>
  <c r="AB175" i="6"/>
  <c r="AB173" i="6"/>
  <c r="AB171" i="6"/>
  <c r="AB169" i="6"/>
  <c r="AB167" i="6"/>
  <c r="AB165" i="6"/>
  <c r="AB163" i="6"/>
  <c r="AB161" i="6"/>
  <c r="AB159" i="6"/>
  <c r="AB157" i="6"/>
  <c r="AB155" i="6"/>
  <c r="AB153" i="6"/>
  <c r="AB151" i="6"/>
  <c r="AB149" i="6"/>
  <c r="AB147" i="6"/>
  <c r="AB145" i="6"/>
  <c r="AB143" i="6"/>
  <c r="AB141" i="6"/>
  <c r="AB139" i="6"/>
  <c r="AB137" i="6"/>
  <c r="AB135" i="6"/>
  <c r="AB133" i="6"/>
  <c r="AB226" i="6"/>
  <c r="AB224" i="6"/>
  <c r="AB188" i="6"/>
  <c r="AB180" i="6"/>
  <c r="AB172" i="6"/>
  <c r="AB164" i="6"/>
  <c r="AB156" i="6"/>
  <c r="AB148" i="6"/>
  <c r="AB140" i="6"/>
  <c r="AB132" i="6"/>
  <c r="AB131" i="6"/>
  <c r="AB129" i="6"/>
  <c r="AB127" i="6"/>
  <c r="AB125" i="6"/>
  <c r="AB123" i="6"/>
  <c r="AB121" i="6"/>
  <c r="AB119" i="6"/>
  <c r="AB228" i="6"/>
  <c r="AB198" i="6"/>
  <c r="AB190" i="6"/>
  <c r="AB174" i="6"/>
  <c r="AB166" i="6"/>
  <c r="AB158" i="6"/>
  <c r="AB150" i="6"/>
  <c r="AB142" i="6"/>
  <c r="AB134" i="6"/>
  <c r="AB251" i="6"/>
  <c r="AB196" i="6"/>
  <c r="AB176" i="6"/>
  <c r="AB247" i="6"/>
  <c r="AB206" i="6"/>
  <c r="AB168" i="6"/>
  <c r="AB152" i="6"/>
  <c r="AB136" i="6"/>
  <c r="AB130" i="6"/>
  <c r="AB126" i="6"/>
  <c r="AB122" i="6"/>
  <c r="AB118" i="6"/>
  <c r="AB114" i="6"/>
  <c r="AB113" i="6"/>
  <c r="AB106" i="6"/>
  <c r="AB105" i="6"/>
  <c r="AB98" i="6"/>
  <c r="AB97" i="6"/>
  <c r="AB90" i="6"/>
  <c r="AB89" i="6"/>
  <c r="AB82" i="6"/>
  <c r="AB81" i="6"/>
  <c r="AB74" i="6"/>
  <c r="AB73" i="6"/>
  <c r="AB259" i="6"/>
  <c r="AB182" i="6"/>
  <c r="AB138" i="6"/>
  <c r="AB115" i="6"/>
  <c r="AB110" i="6"/>
  <c r="AB103" i="6"/>
  <c r="AB100" i="6"/>
  <c r="AB93" i="6"/>
  <c r="AB88" i="6"/>
  <c r="AB83" i="6"/>
  <c r="AB78" i="6"/>
  <c r="AB70" i="6"/>
  <c r="AB68" i="6"/>
  <c r="AB66" i="6"/>
  <c r="AB64" i="6"/>
  <c r="AB62" i="6"/>
  <c r="AB60" i="6"/>
  <c r="AB58" i="6"/>
  <c r="AB56" i="6"/>
  <c r="AB54" i="6"/>
  <c r="AB52" i="6"/>
  <c r="AB50" i="6"/>
  <c r="AB48" i="6"/>
  <c r="AB46" i="6"/>
  <c r="AB44" i="6"/>
  <c r="AB42" i="6"/>
  <c r="AB40" i="6"/>
  <c r="AB38" i="6"/>
  <c r="AB36" i="6"/>
  <c r="AB34" i="6"/>
  <c r="AB32" i="6"/>
  <c r="AB30" i="6"/>
  <c r="AB28" i="6"/>
  <c r="AB26" i="6"/>
  <c r="AB24" i="6"/>
  <c r="AB22" i="6"/>
  <c r="AB20" i="6"/>
  <c r="AB18" i="6"/>
  <c r="AB16" i="6"/>
  <c r="AB14" i="6"/>
  <c r="AB12" i="6"/>
  <c r="AB255" i="6"/>
  <c r="AB170" i="6"/>
  <c r="AB162" i="6"/>
  <c r="AB120" i="6"/>
  <c r="AB117" i="6"/>
  <c r="AB112" i="6"/>
  <c r="AB107" i="6"/>
  <c r="AB102" i="6"/>
  <c r="AB95" i="6"/>
  <c r="AB92" i="6"/>
  <c r="AB85" i="6"/>
  <c r="AB80" i="6"/>
  <c r="AB75" i="6"/>
  <c r="AB210" i="6"/>
  <c r="AB178" i="6"/>
  <c r="AB160" i="6"/>
  <c r="AB146" i="6"/>
  <c r="AB124" i="6"/>
  <c r="AB144" i="6"/>
  <c r="AB128" i="6"/>
  <c r="AB116" i="6"/>
  <c r="AB109" i="6"/>
  <c r="AB99" i="6"/>
  <c r="AB72" i="6"/>
  <c r="AB71" i="6"/>
  <c r="AB67" i="6"/>
  <c r="AB63" i="6"/>
  <c r="AB59" i="6"/>
  <c r="AB55" i="6"/>
  <c r="AB51" i="6"/>
  <c r="AB47" i="6"/>
  <c r="AB43" i="6"/>
  <c r="AB39" i="6"/>
  <c r="AB35" i="6"/>
  <c r="AB31" i="6"/>
  <c r="AB27" i="6"/>
  <c r="AB23" i="6"/>
  <c r="AB19" i="6"/>
  <c r="AB15" i="6"/>
  <c r="AB11" i="6"/>
  <c r="AB10" i="6"/>
  <c r="AB86" i="6"/>
  <c r="AB104" i="6"/>
  <c r="AB94" i="6"/>
  <c r="AB87" i="6"/>
  <c r="AB84" i="6"/>
  <c r="AB77" i="6"/>
  <c r="AB69" i="6"/>
  <c r="AB65" i="6"/>
  <c r="AB61" i="6"/>
  <c r="AB57" i="6"/>
  <c r="AB53" i="6"/>
  <c r="AB49" i="6"/>
  <c r="AB45" i="6"/>
  <c r="AB41" i="6"/>
  <c r="AB37" i="6"/>
  <c r="AB33" i="6"/>
  <c r="AB29" i="6"/>
  <c r="AB25" i="6"/>
  <c r="AB21" i="6"/>
  <c r="AB17" i="6"/>
  <c r="AB13" i="6"/>
  <c r="AB7" i="6"/>
  <c r="AB6" i="6"/>
  <c r="AB111" i="6"/>
  <c r="AB108" i="6"/>
  <c r="AB101" i="6"/>
  <c r="AB91" i="6"/>
  <c r="AB9" i="6"/>
  <c r="AB8" i="6"/>
  <c r="AB154" i="6"/>
  <c r="AB96" i="6"/>
  <c r="AB79" i="6"/>
  <c r="AB76" i="6"/>
  <c r="AB5" i="6"/>
  <c r="AB4" i="6"/>
  <c r="AC262" i="6"/>
  <c r="AC260" i="6"/>
  <c r="AC258" i="6"/>
  <c r="AC256" i="6"/>
  <c r="AC254" i="6"/>
  <c r="AC252" i="6"/>
  <c r="AC250" i="6"/>
  <c r="AC248" i="6"/>
  <c r="AC246" i="6"/>
  <c r="AC244" i="6"/>
  <c r="AC242" i="6"/>
  <c r="AC240" i="6"/>
  <c r="AC238" i="6"/>
  <c r="AC261" i="6"/>
  <c r="AC257" i="6"/>
  <c r="AC253" i="6"/>
  <c r="AC249" i="6"/>
  <c r="AC245" i="6"/>
  <c r="AC241" i="6"/>
  <c r="AC237" i="6"/>
  <c r="AC233" i="6"/>
  <c r="AC232" i="6"/>
  <c r="AC229" i="6"/>
  <c r="AC227" i="6"/>
  <c r="AC225" i="6"/>
  <c r="AC223" i="6"/>
  <c r="AC221" i="6"/>
  <c r="AC219" i="6"/>
  <c r="AC217" i="6"/>
  <c r="AC215" i="6"/>
  <c r="AC235" i="6"/>
  <c r="AC234" i="6"/>
  <c r="AC263" i="6"/>
  <c r="AC259" i="6"/>
  <c r="AC251" i="6"/>
  <c r="AC243" i="6"/>
  <c r="AC226" i="6"/>
  <c r="AC222" i="6"/>
  <c r="AC218" i="6"/>
  <c r="AC210" i="6"/>
  <c r="AC209" i="6"/>
  <c r="AC202" i="6"/>
  <c r="AC201" i="6"/>
  <c r="AC194" i="6"/>
  <c r="AC193" i="6"/>
  <c r="AC239" i="6"/>
  <c r="AC231" i="6"/>
  <c r="AC220" i="6"/>
  <c r="AC214" i="6"/>
  <c r="AC207" i="6"/>
  <c r="AC204" i="6"/>
  <c r="AC197" i="6"/>
  <c r="AC192" i="6"/>
  <c r="AC186" i="6"/>
  <c r="AC185" i="6"/>
  <c r="AC247" i="6"/>
  <c r="AC224" i="6"/>
  <c r="AC211" i="6"/>
  <c r="AC206" i="6"/>
  <c r="AC199" i="6"/>
  <c r="AC196" i="6"/>
  <c r="AC188" i="6"/>
  <c r="AC187" i="6"/>
  <c r="AC236" i="6"/>
  <c r="AC228" i="6"/>
  <c r="AC208" i="6"/>
  <c r="AC198" i="6"/>
  <c r="AC190" i="6"/>
  <c r="AC189" i="6"/>
  <c r="AC174" i="6"/>
  <c r="AC173" i="6"/>
  <c r="AC166" i="6"/>
  <c r="AC165" i="6"/>
  <c r="AC158" i="6"/>
  <c r="AC157" i="6"/>
  <c r="AC150" i="6"/>
  <c r="AC149" i="6"/>
  <c r="AC142" i="6"/>
  <c r="AC141" i="6"/>
  <c r="AC134" i="6"/>
  <c r="AC133" i="6"/>
  <c r="AC230" i="6"/>
  <c r="AC212" i="6"/>
  <c r="AC205" i="6"/>
  <c r="AC195" i="6"/>
  <c r="AC191" i="6"/>
  <c r="AC176" i="6"/>
  <c r="AC175" i="6"/>
  <c r="AC168" i="6"/>
  <c r="AC167" i="6"/>
  <c r="AC160" i="6"/>
  <c r="AC159" i="6"/>
  <c r="AC152" i="6"/>
  <c r="AC151" i="6"/>
  <c r="AC144" i="6"/>
  <c r="AC143" i="6"/>
  <c r="AC136" i="6"/>
  <c r="AC135" i="6"/>
  <c r="AC130" i="6"/>
  <c r="AC128" i="6"/>
  <c r="AC126" i="6"/>
  <c r="AC124" i="6"/>
  <c r="AC122" i="6"/>
  <c r="AC120" i="6"/>
  <c r="AC118" i="6"/>
  <c r="AC116" i="6"/>
  <c r="AC114" i="6"/>
  <c r="AC112" i="6"/>
  <c r="AC110" i="6"/>
  <c r="AC108" i="6"/>
  <c r="AC106" i="6"/>
  <c r="AC104" i="6"/>
  <c r="AC102" i="6"/>
  <c r="AC100" i="6"/>
  <c r="AC98" i="6"/>
  <c r="AC96" i="6"/>
  <c r="AC94" i="6"/>
  <c r="AC92" i="6"/>
  <c r="AC90" i="6"/>
  <c r="AC88" i="6"/>
  <c r="AC86" i="6"/>
  <c r="AC84" i="6"/>
  <c r="AC82" i="6"/>
  <c r="AC80" i="6"/>
  <c r="AC78" i="6"/>
  <c r="AC76" i="6"/>
  <c r="AC74" i="6"/>
  <c r="AC72" i="6"/>
  <c r="AC213" i="6"/>
  <c r="AC182" i="6"/>
  <c r="AC178" i="6"/>
  <c r="AC177" i="6"/>
  <c r="AC255" i="6"/>
  <c r="AC203" i="6"/>
  <c r="AC181" i="6"/>
  <c r="AC170" i="6"/>
  <c r="AC169" i="6"/>
  <c r="AC154" i="6"/>
  <c r="AC153" i="6"/>
  <c r="AC138" i="6"/>
  <c r="AC137" i="6"/>
  <c r="AC115" i="6"/>
  <c r="AC107" i="6"/>
  <c r="AC99" i="6"/>
  <c r="AC91" i="6"/>
  <c r="AC83" i="6"/>
  <c r="AC75" i="6"/>
  <c r="AC179" i="6"/>
  <c r="AC162" i="6"/>
  <c r="AC155" i="6"/>
  <c r="AC148" i="6"/>
  <c r="AC145" i="6"/>
  <c r="AC131" i="6"/>
  <c r="AC117" i="6"/>
  <c r="AC105" i="6"/>
  <c r="AC95" i="6"/>
  <c r="AC85" i="6"/>
  <c r="AC73" i="6"/>
  <c r="AC200" i="6"/>
  <c r="AC172" i="6"/>
  <c r="AC156" i="6"/>
  <c r="AC146" i="6"/>
  <c r="AC139" i="6"/>
  <c r="AC132" i="6"/>
  <c r="AC121" i="6"/>
  <c r="AC119" i="6"/>
  <c r="AC109" i="6"/>
  <c r="AC97" i="6"/>
  <c r="AC87" i="6"/>
  <c r="AC77" i="6"/>
  <c r="AC71" i="6"/>
  <c r="AC69" i="6"/>
  <c r="AC67" i="6"/>
  <c r="AC65" i="6"/>
  <c r="AC63" i="6"/>
  <c r="AC61" i="6"/>
  <c r="AC59" i="6"/>
  <c r="AC57" i="6"/>
  <c r="AC55" i="6"/>
  <c r="AC53" i="6"/>
  <c r="AC51" i="6"/>
  <c r="AC49" i="6"/>
  <c r="AC47" i="6"/>
  <c r="AC45" i="6"/>
  <c r="AC43" i="6"/>
  <c r="AC41" i="6"/>
  <c r="AC39" i="6"/>
  <c r="AC37" i="6"/>
  <c r="AC35" i="6"/>
  <c r="AC33" i="6"/>
  <c r="AC31" i="6"/>
  <c r="AC29" i="6"/>
  <c r="AC27" i="6"/>
  <c r="AC25" i="6"/>
  <c r="AC23" i="6"/>
  <c r="AC21" i="6"/>
  <c r="AC19" i="6"/>
  <c r="AC17" i="6"/>
  <c r="AC15" i="6"/>
  <c r="AC13" i="6"/>
  <c r="AC11" i="6"/>
  <c r="AC9" i="6"/>
  <c r="AC7" i="6"/>
  <c r="AC5" i="6"/>
  <c r="AC216" i="6"/>
  <c r="AC184" i="6"/>
  <c r="AC180" i="6"/>
  <c r="AC163" i="6"/>
  <c r="AC140" i="6"/>
  <c r="AC125" i="6"/>
  <c r="AC123" i="6"/>
  <c r="AC161" i="6"/>
  <c r="AC89" i="6"/>
  <c r="AC79" i="6"/>
  <c r="AC4" i="6"/>
  <c r="AC183" i="6"/>
  <c r="AC127" i="6"/>
  <c r="AC103" i="6"/>
  <c r="AC70" i="6"/>
  <c r="AC62" i="6"/>
  <c r="AC54" i="6"/>
  <c r="AC50" i="6"/>
  <c r="AC42" i="6"/>
  <c r="AC34" i="6"/>
  <c r="AC26" i="6"/>
  <c r="AC18" i="6"/>
  <c r="AC14" i="6"/>
  <c r="AC171" i="6"/>
  <c r="AC164" i="6"/>
  <c r="AC147" i="6"/>
  <c r="AC111" i="6"/>
  <c r="AC101" i="6"/>
  <c r="AC8" i="6"/>
  <c r="AC129" i="6"/>
  <c r="AC81" i="6"/>
  <c r="AC68" i="6"/>
  <c r="AC64" i="6"/>
  <c r="AC60" i="6"/>
  <c r="AC56" i="6"/>
  <c r="AC52" i="6"/>
  <c r="AC48" i="6"/>
  <c r="AC44" i="6"/>
  <c r="AC40" i="6"/>
  <c r="AC36" i="6"/>
  <c r="AC32" i="6"/>
  <c r="AC28" i="6"/>
  <c r="AC24" i="6"/>
  <c r="AC20" i="6"/>
  <c r="AC16" i="6"/>
  <c r="AC12" i="6"/>
  <c r="AC10" i="6"/>
  <c r="AC113" i="6"/>
  <c r="AC93" i="6"/>
  <c r="AC66" i="6"/>
  <c r="AC58" i="6"/>
  <c r="AC46" i="6"/>
  <c r="AC38" i="6"/>
  <c r="AC30" i="6"/>
  <c r="AC22" i="6"/>
  <c r="AC6" i="6"/>
  <c r="AA263" i="6"/>
  <c r="AA261" i="6"/>
  <c r="AA259" i="6"/>
  <c r="AA257" i="6"/>
  <c r="AA255" i="6"/>
  <c r="AA253" i="6"/>
  <c r="AA251" i="6"/>
  <c r="AA249" i="6"/>
  <c r="AA247" i="6"/>
  <c r="AA245" i="6"/>
  <c r="AA243" i="6"/>
  <c r="AA241" i="6"/>
  <c r="AA239" i="6"/>
  <c r="AA237" i="6"/>
  <c r="AA262" i="6"/>
  <c r="AA258" i="6"/>
  <c r="AA254" i="6"/>
  <c r="AA250" i="6"/>
  <c r="AA246" i="6"/>
  <c r="AA242" i="6"/>
  <c r="AA238" i="6"/>
  <c r="AA230" i="6"/>
  <c r="AA228" i="6"/>
  <c r="AA226" i="6"/>
  <c r="AA224" i="6"/>
  <c r="AA222" i="6"/>
  <c r="AA220" i="6"/>
  <c r="AA218" i="6"/>
  <c r="AA216" i="6"/>
  <c r="AA232" i="6"/>
  <c r="AA231" i="6"/>
  <c r="AA256" i="6"/>
  <c r="AA248" i="6"/>
  <c r="AA240" i="6"/>
  <c r="AA227" i="6"/>
  <c r="AA223" i="6"/>
  <c r="AA219" i="6"/>
  <c r="AA215" i="6"/>
  <c r="AA214" i="6"/>
  <c r="AA207" i="6"/>
  <c r="AA206" i="6"/>
  <c r="AA199" i="6"/>
  <c r="AA198" i="6"/>
  <c r="AA252" i="6"/>
  <c r="AA234" i="6"/>
  <c r="AA217" i="6"/>
  <c r="AA210" i="6"/>
  <c r="AA205" i="6"/>
  <c r="AA200" i="6"/>
  <c r="AA195" i="6"/>
  <c r="AA191" i="6"/>
  <c r="AA190" i="6"/>
  <c r="AA183" i="6"/>
  <c r="AA182" i="6"/>
  <c r="AA260" i="6"/>
  <c r="AA221" i="6"/>
  <c r="AA212" i="6"/>
  <c r="AA209" i="6"/>
  <c r="AA202" i="6"/>
  <c r="AA197" i="6"/>
  <c r="AA192" i="6"/>
  <c r="AA185" i="6"/>
  <c r="AA184" i="6"/>
  <c r="AA211" i="6"/>
  <c r="AA204" i="6"/>
  <c r="AA201" i="6"/>
  <c r="AA194" i="6"/>
  <c r="AA187" i="6"/>
  <c r="AA186" i="6"/>
  <c r="AA179" i="6"/>
  <c r="AA178" i="6"/>
  <c r="AA171" i="6"/>
  <c r="AA170" i="6"/>
  <c r="AA163" i="6"/>
  <c r="AA162" i="6"/>
  <c r="AA155" i="6"/>
  <c r="AA154" i="6"/>
  <c r="AA147" i="6"/>
  <c r="AA146" i="6"/>
  <c r="AA139" i="6"/>
  <c r="AA138" i="6"/>
  <c r="AA244" i="6"/>
  <c r="AA236" i="6"/>
  <c r="AA233" i="6"/>
  <c r="AA208" i="6"/>
  <c r="AA189" i="6"/>
  <c r="AA188" i="6"/>
  <c r="AA180" i="6"/>
  <c r="AA173" i="6"/>
  <c r="AA172" i="6"/>
  <c r="AA165" i="6"/>
  <c r="AA164" i="6"/>
  <c r="AA157" i="6"/>
  <c r="AA156" i="6"/>
  <c r="AA149" i="6"/>
  <c r="AA148" i="6"/>
  <c r="AA141" i="6"/>
  <c r="AA140" i="6"/>
  <c r="AA133" i="6"/>
  <c r="AA132" i="6"/>
  <c r="AA131" i="6"/>
  <c r="AA129" i="6"/>
  <c r="AA127" i="6"/>
  <c r="AA125" i="6"/>
  <c r="AA123" i="6"/>
  <c r="AA121" i="6"/>
  <c r="AA119" i="6"/>
  <c r="AA117" i="6"/>
  <c r="AA115" i="6"/>
  <c r="AA113" i="6"/>
  <c r="AA111" i="6"/>
  <c r="AA109" i="6"/>
  <c r="AA107" i="6"/>
  <c r="AA105" i="6"/>
  <c r="AA103" i="6"/>
  <c r="AA101" i="6"/>
  <c r="AA99" i="6"/>
  <c r="AA97" i="6"/>
  <c r="AA95" i="6"/>
  <c r="AA93" i="6"/>
  <c r="AA91" i="6"/>
  <c r="AA89" i="6"/>
  <c r="AA87" i="6"/>
  <c r="AA85" i="6"/>
  <c r="AA83" i="6"/>
  <c r="AA81" i="6"/>
  <c r="AA79" i="6"/>
  <c r="AA77" i="6"/>
  <c r="AA75" i="6"/>
  <c r="AA73" i="6"/>
  <c r="AA235" i="6"/>
  <c r="AA225" i="6"/>
  <c r="AA175" i="6"/>
  <c r="AA174" i="6"/>
  <c r="AA167" i="6"/>
  <c r="AA166" i="6"/>
  <c r="AA151" i="6"/>
  <c r="AA150" i="6"/>
  <c r="AA135" i="6"/>
  <c r="AA134" i="6"/>
  <c r="AA112" i="6"/>
  <c r="AA104" i="6"/>
  <c r="AA96" i="6"/>
  <c r="AA88" i="6"/>
  <c r="AA80" i="6"/>
  <c r="AA72" i="6"/>
  <c r="AA229" i="6"/>
  <c r="AA213" i="6"/>
  <c r="AA196" i="6"/>
  <c r="AA177" i="6"/>
  <c r="AA161" i="6"/>
  <c r="AA158" i="6"/>
  <c r="AA144" i="6"/>
  <c r="AA130" i="6"/>
  <c r="AA128" i="6"/>
  <c r="AA108" i="6"/>
  <c r="AA98" i="6"/>
  <c r="AA86" i="6"/>
  <c r="AA76" i="6"/>
  <c r="AA181" i="6"/>
  <c r="AA168" i="6"/>
  <c r="AA159" i="6"/>
  <c r="AA152" i="6"/>
  <c r="AA145" i="6"/>
  <c r="AA142" i="6"/>
  <c r="AA118" i="6"/>
  <c r="AA110" i="6"/>
  <c r="AA100" i="6"/>
  <c r="AA90" i="6"/>
  <c r="AA78" i="6"/>
  <c r="AA70" i="6"/>
  <c r="AA68" i="6"/>
  <c r="AA66" i="6"/>
  <c r="AA64" i="6"/>
  <c r="AA62" i="6"/>
  <c r="AA60" i="6"/>
  <c r="AA58" i="6"/>
  <c r="AA56" i="6"/>
  <c r="AA54" i="6"/>
  <c r="AA52" i="6"/>
  <c r="AA50" i="6"/>
  <c r="AA48" i="6"/>
  <c r="AA46" i="6"/>
  <c r="AA44" i="6"/>
  <c r="AA42" i="6"/>
  <c r="AA40" i="6"/>
  <c r="AA38" i="6"/>
  <c r="AA36" i="6"/>
  <c r="AA34" i="6"/>
  <c r="AA32" i="6"/>
  <c r="AA30" i="6"/>
  <c r="AA28" i="6"/>
  <c r="AA26" i="6"/>
  <c r="AA24" i="6"/>
  <c r="AA22" i="6"/>
  <c r="AA20" i="6"/>
  <c r="AA18" i="6"/>
  <c r="AA16" i="6"/>
  <c r="AA14" i="6"/>
  <c r="AA12" i="6"/>
  <c r="AA10" i="6"/>
  <c r="AA8" i="6"/>
  <c r="AA6" i="6"/>
  <c r="AA4" i="6"/>
  <c r="AA193" i="6"/>
  <c r="AA176" i="6"/>
  <c r="AA153" i="6"/>
  <c r="AA143" i="6"/>
  <c r="AA136" i="6"/>
  <c r="AA122" i="6"/>
  <c r="AA124" i="6"/>
  <c r="AA120" i="6"/>
  <c r="AA102" i="6"/>
  <c r="AA92" i="6"/>
  <c r="AA82" i="6"/>
  <c r="AA9" i="6"/>
  <c r="AA160" i="6"/>
  <c r="AA137" i="6"/>
  <c r="AA116" i="6"/>
  <c r="AA106" i="6"/>
  <c r="AA67" i="6"/>
  <c r="AA59" i="6"/>
  <c r="AA47" i="6"/>
  <c r="AA39" i="6"/>
  <c r="AA31" i="6"/>
  <c r="AA23" i="6"/>
  <c r="AA11" i="6"/>
  <c r="AA126" i="6"/>
  <c r="AA114" i="6"/>
  <c r="AA5" i="6"/>
  <c r="AA169" i="6"/>
  <c r="AA94" i="6"/>
  <c r="AA84" i="6"/>
  <c r="AA74" i="6"/>
  <c r="AA69" i="6"/>
  <c r="AA65" i="6"/>
  <c r="AA61" i="6"/>
  <c r="AA57" i="6"/>
  <c r="AA53" i="6"/>
  <c r="AA49" i="6"/>
  <c r="AA45" i="6"/>
  <c r="AA41" i="6"/>
  <c r="AA37" i="6"/>
  <c r="AA33" i="6"/>
  <c r="AA29" i="6"/>
  <c r="AA25" i="6"/>
  <c r="AA21" i="6"/>
  <c r="AA17" i="6"/>
  <c r="AA13" i="6"/>
  <c r="AA7" i="6"/>
  <c r="AA203" i="6"/>
  <c r="AA71" i="6"/>
  <c r="AA63" i="6"/>
  <c r="AA55" i="6"/>
  <c r="AA51" i="6"/>
  <c r="AA43" i="6"/>
  <c r="AA35" i="6"/>
  <c r="AA27" i="6"/>
  <c r="AA19" i="6"/>
  <c r="AA15" i="6"/>
  <c r="AE263" i="6"/>
  <c r="AE261" i="6"/>
  <c r="AE259" i="6"/>
  <c r="AE257" i="6"/>
  <c r="AE255" i="6"/>
  <c r="AE253" i="6"/>
  <c r="AE251" i="6"/>
  <c r="AE249" i="6"/>
  <c r="AE247" i="6"/>
  <c r="AE245" i="6"/>
  <c r="AE243" i="6"/>
  <c r="AE241" i="6"/>
  <c r="AE239" i="6"/>
  <c r="AE237" i="6"/>
  <c r="AE260" i="6"/>
  <c r="AE256" i="6"/>
  <c r="AE252" i="6"/>
  <c r="AE248" i="6"/>
  <c r="AE244" i="6"/>
  <c r="AE240" i="6"/>
  <c r="AE236" i="6"/>
  <c r="AE235" i="6"/>
  <c r="AE228" i="6"/>
  <c r="AE226" i="6"/>
  <c r="AE224" i="6"/>
  <c r="AE222" i="6"/>
  <c r="AE220" i="6"/>
  <c r="AE218" i="6"/>
  <c r="AE216" i="6"/>
  <c r="AE230" i="6"/>
  <c r="AE262" i="6"/>
  <c r="AE254" i="6"/>
  <c r="AE246" i="6"/>
  <c r="AE238" i="6"/>
  <c r="AE232" i="6"/>
  <c r="AE231" i="6"/>
  <c r="AE229" i="6"/>
  <c r="AE225" i="6"/>
  <c r="AE221" i="6"/>
  <c r="AE217" i="6"/>
  <c r="AE213" i="6"/>
  <c r="AE212" i="6"/>
  <c r="AE205" i="6"/>
  <c r="AE204" i="6"/>
  <c r="AE197" i="6"/>
  <c r="AE196" i="6"/>
  <c r="AE258" i="6"/>
  <c r="AE223" i="6"/>
  <c r="AE211" i="6"/>
  <c r="AE206" i="6"/>
  <c r="AE201" i="6"/>
  <c r="AE194" i="6"/>
  <c r="AE189" i="6"/>
  <c r="AE188" i="6"/>
  <c r="AE181" i="6"/>
  <c r="AE227" i="6"/>
  <c r="AE208" i="6"/>
  <c r="AE203" i="6"/>
  <c r="AE198" i="6"/>
  <c r="AE193" i="6"/>
  <c r="AE191" i="6"/>
  <c r="AE190" i="6"/>
  <c r="AE183" i="6"/>
  <c r="AE182" i="6"/>
  <c r="AE233" i="6"/>
  <c r="AE215" i="6"/>
  <c r="AE195" i="6"/>
  <c r="AE177" i="6"/>
  <c r="AE176" i="6"/>
  <c r="AE169" i="6"/>
  <c r="AE168" i="6"/>
  <c r="AE161" i="6"/>
  <c r="AE160" i="6"/>
  <c r="AE153" i="6"/>
  <c r="AE152" i="6"/>
  <c r="AE145" i="6"/>
  <c r="AE144" i="6"/>
  <c r="AE137" i="6"/>
  <c r="AE136" i="6"/>
  <c r="AE219" i="6"/>
  <c r="AE209" i="6"/>
  <c r="AE202" i="6"/>
  <c r="AE199" i="6"/>
  <c r="AE192" i="6"/>
  <c r="AE179" i="6"/>
  <c r="AE178" i="6"/>
  <c r="AE171" i="6"/>
  <c r="AE170" i="6"/>
  <c r="AE163" i="6"/>
  <c r="AE162" i="6"/>
  <c r="AE155" i="6"/>
  <c r="AE154" i="6"/>
  <c r="AE147" i="6"/>
  <c r="AE146" i="6"/>
  <c r="AE139" i="6"/>
  <c r="AE138" i="6"/>
  <c r="AE131" i="6"/>
  <c r="AE129" i="6"/>
  <c r="AE127" i="6"/>
  <c r="AE125" i="6"/>
  <c r="AE123" i="6"/>
  <c r="AE121" i="6"/>
  <c r="AE119" i="6"/>
  <c r="AE117" i="6"/>
  <c r="AE115" i="6"/>
  <c r="AE113" i="6"/>
  <c r="AE111" i="6"/>
  <c r="AE109" i="6"/>
  <c r="AE107" i="6"/>
  <c r="AE105" i="6"/>
  <c r="AE103" i="6"/>
  <c r="AE101" i="6"/>
  <c r="AE99" i="6"/>
  <c r="AE97" i="6"/>
  <c r="AE95" i="6"/>
  <c r="AE93" i="6"/>
  <c r="AE91" i="6"/>
  <c r="AE89" i="6"/>
  <c r="AE87" i="6"/>
  <c r="AE85" i="6"/>
  <c r="AE83" i="6"/>
  <c r="AE81" i="6"/>
  <c r="AE79" i="6"/>
  <c r="AE77" i="6"/>
  <c r="AE75" i="6"/>
  <c r="AE73" i="6"/>
  <c r="AE242" i="6"/>
  <c r="AE210" i="6"/>
  <c r="AE207" i="6"/>
  <c r="AE184" i="6"/>
  <c r="AE180" i="6"/>
  <c r="AE200" i="6"/>
  <c r="AE185" i="6"/>
  <c r="AE173" i="6"/>
  <c r="AE172" i="6"/>
  <c r="AE157" i="6"/>
  <c r="AE156" i="6"/>
  <c r="AE141" i="6"/>
  <c r="AE140" i="6"/>
  <c r="AE110" i="6"/>
  <c r="AE102" i="6"/>
  <c r="AE94" i="6"/>
  <c r="AE86" i="6"/>
  <c r="AE78" i="6"/>
  <c r="AE186" i="6"/>
  <c r="AE159" i="6"/>
  <c r="AE149" i="6"/>
  <c r="AE142" i="6"/>
  <c r="AE135" i="6"/>
  <c r="AE132" i="6"/>
  <c r="AE120" i="6"/>
  <c r="AE118" i="6"/>
  <c r="AE114" i="6"/>
  <c r="AE104" i="6"/>
  <c r="AE92" i="6"/>
  <c r="AE82" i="6"/>
  <c r="AE72" i="6"/>
  <c r="AE174" i="6"/>
  <c r="AE166" i="6"/>
  <c r="AE143" i="6"/>
  <c r="AE133" i="6"/>
  <c r="AE124" i="6"/>
  <c r="AE122" i="6"/>
  <c r="AE116" i="6"/>
  <c r="AE106" i="6"/>
  <c r="AE96" i="6"/>
  <c r="AE84" i="6"/>
  <c r="AE74" i="6"/>
  <c r="AE70" i="6"/>
  <c r="AE68" i="6"/>
  <c r="AE66" i="6"/>
  <c r="AE64" i="6"/>
  <c r="AE62" i="6"/>
  <c r="AE60" i="6"/>
  <c r="AE58" i="6"/>
  <c r="AE56" i="6"/>
  <c r="AE54" i="6"/>
  <c r="AE52" i="6"/>
  <c r="AE50" i="6"/>
  <c r="AE48" i="6"/>
  <c r="AE46" i="6"/>
  <c r="AE44" i="6"/>
  <c r="AE42" i="6"/>
  <c r="AE40" i="6"/>
  <c r="AE38" i="6"/>
  <c r="AE36" i="6"/>
  <c r="AE34" i="6"/>
  <c r="AE32" i="6"/>
  <c r="AE30" i="6"/>
  <c r="AE28" i="6"/>
  <c r="AE26" i="6"/>
  <c r="AE24" i="6"/>
  <c r="AE22" i="6"/>
  <c r="AE20" i="6"/>
  <c r="AE18" i="6"/>
  <c r="AE16" i="6"/>
  <c r="AE14" i="6"/>
  <c r="AE12" i="6"/>
  <c r="AE10" i="6"/>
  <c r="AE8" i="6"/>
  <c r="AE6" i="6"/>
  <c r="AE4" i="6"/>
  <c r="AE250" i="6"/>
  <c r="AE234" i="6"/>
  <c r="AE167" i="6"/>
  <c r="AE164" i="6"/>
  <c r="AE150" i="6"/>
  <c r="AE128" i="6"/>
  <c r="AE126" i="6"/>
  <c r="AE187" i="6"/>
  <c r="AE175" i="6"/>
  <c r="AE76" i="6"/>
  <c r="AE7" i="6"/>
  <c r="AE148" i="6"/>
  <c r="AE100" i="6"/>
  <c r="AE80" i="6"/>
  <c r="AE65" i="6"/>
  <c r="AE57" i="6"/>
  <c r="AE45" i="6"/>
  <c r="AE37" i="6"/>
  <c r="AE29" i="6"/>
  <c r="AE21" i="6"/>
  <c r="AE158" i="6"/>
  <c r="AE130" i="6"/>
  <c r="AE108" i="6"/>
  <c r="AE98" i="6"/>
  <c r="AE88" i="6"/>
  <c r="AE214" i="6"/>
  <c r="AE151" i="6"/>
  <c r="AE134" i="6"/>
  <c r="AE112" i="6"/>
  <c r="AE71" i="6"/>
  <c r="AE67" i="6"/>
  <c r="AE63" i="6"/>
  <c r="AE59" i="6"/>
  <c r="AE55" i="6"/>
  <c r="AE51" i="6"/>
  <c r="AE47" i="6"/>
  <c r="AE43" i="6"/>
  <c r="AE39" i="6"/>
  <c r="AE35" i="6"/>
  <c r="AE31" i="6"/>
  <c r="AE27" i="6"/>
  <c r="AE23" i="6"/>
  <c r="AE19" i="6"/>
  <c r="AE15" i="6"/>
  <c r="AE11" i="6"/>
  <c r="AE5" i="6"/>
  <c r="AE165" i="6"/>
  <c r="AE90" i="6"/>
  <c r="AE69" i="6"/>
  <c r="AE61" i="6"/>
  <c r="AE53" i="6"/>
  <c r="AE49" i="6"/>
  <c r="AE41" i="6"/>
  <c r="AE33" i="6"/>
  <c r="AE25" i="6"/>
  <c r="AE17" i="6"/>
  <c r="AE13" i="6"/>
  <c r="AE9" i="6"/>
  <c r="AI263" i="6"/>
  <c r="AI261" i="6"/>
  <c r="AI259" i="6"/>
  <c r="AI257" i="6"/>
  <c r="AI255" i="6"/>
  <c r="AI253" i="6"/>
  <c r="AI251" i="6"/>
  <c r="AI249" i="6"/>
  <c r="AI247" i="6"/>
  <c r="AI245" i="6"/>
  <c r="AI243" i="6"/>
  <c r="AI241" i="6"/>
  <c r="AI239" i="6"/>
  <c r="AI237" i="6"/>
  <c r="AI262" i="6"/>
  <c r="AI258" i="6"/>
  <c r="AI254" i="6"/>
  <c r="AI250" i="6"/>
  <c r="AI246" i="6"/>
  <c r="AI242" i="6"/>
  <c r="AI238" i="6"/>
  <c r="AI234" i="6"/>
  <c r="AI233" i="6"/>
  <c r="AI228" i="6"/>
  <c r="AI226" i="6"/>
  <c r="AI224" i="6"/>
  <c r="AI222" i="6"/>
  <c r="AI220" i="6"/>
  <c r="AI218" i="6"/>
  <c r="AI216" i="6"/>
  <c r="AI235" i="6"/>
  <c r="AI260" i="6"/>
  <c r="AI252" i="6"/>
  <c r="AI244" i="6"/>
  <c r="AI236" i="6"/>
  <c r="AI227" i="6"/>
  <c r="AI223" i="6"/>
  <c r="AI219" i="6"/>
  <c r="AI215" i="6"/>
  <c r="AI211" i="6"/>
  <c r="AI210" i="6"/>
  <c r="AI203" i="6"/>
  <c r="AI202" i="6"/>
  <c r="AI195" i="6"/>
  <c r="AI194" i="6"/>
  <c r="AI232" i="6"/>
  <c r="AI229" i="6"/>
  <c r="AI212" i="6"/>
  <c r="AI207" i="6"/>
  <c r="AI200" i="6"/>
  <c r="AI197" i="6"/>
  <c r="AI187" i="6"/>
  <c r="AI186" i="6"/>
  <c r="AI240" i="6"/>
  <c r="AI230" i="6"/>
  <c r="AI217" i="6"/>
  <c r="AI214" i="6"/>
  <c r="AI209" i="6"/>
  <c r="AI204" i="6"/>
  <c r="AI199" i="6"/>
  <c r="AI192" i="6"/>
  <c r="AI189" i="6"/>
  <c r="AI188" i="6"/>
  <c r="AI181" i="6"/>
  <c r="AI180" i="6"/>
  <c r="AI248" i="6"/>
  <c r="AI221" i="6"/>
  <c r="AI213" i="6"/>
  <c r="AI206" i="6"/>
  <c r="AI196" i="6"/>
  <c r="AI183" i="6"/>
  <c r="AI182" i="6"/>
  <c r="AI175" i="6"/>
  <c r="AI174" i="6"/>
  <c r="AI167" i="6"/>
  <c r="AI166" i="6"/>
  <c r="AI159" i="6"/>
  <c r="AI158" i="6"/>
  <c r="AI151" i="6"/>
  <c r="AI150" i="6"/>
  <c r="AI143" i="6"/>
  <c r="AI142" i="6"/>
  <c r="AI135" i="6"/>
  <c r="AI134" i="6"/>
  <c r="AI256" i="6"/>
  <c r="AI225" i="6"/>
  <c r="AI193" i="6"/>
  <c r="AI185" i="6"/>
  <c r="AI184" i="6"/>
  <c r="AI177" i="6"/>
  <c r="AI176" i="6"/>
  <c r="AI169" i="6"/>
  <c r="AI168" i="6"/>
  <c r="AI161" i="6"/>
  <c r="AI160" i="6"/>
  <c r="AI153" i="6"/>
  <c r="AI152" i="6"/>
  <c r="AI145" i="6"/>
  <c r="AI144" i="6"/>
  <c r="AI137" i="6"/>
  <c r="AI136" i="6"/>
  <c r="AI129" i="6"/>
  <c r="AI127" i="6"/>
  <c r="AI125" i="6"/>
  <c r="AI123" i="6"/>
  <c r="AI121" i="6"/>
  <c r="AI119" i="6"/>
  <c r="AI117" i="6"/>
  <c r="AI115" i="6"/>
  <c r="AI113" i="6"/>
  <c r="AI111" i="6"/>
  <c r="AI109" i="6"/>
  <c r="AI107" i="6"/>
  <c r="AI105" i="6"/>
  <c r="AI103" i="6"/>
  <c r="AI101" i="6"/>
  <c r="AI99" i="6"/>
  <c r="AI97" i="6"/>
  <c r="AI95" i="6"/>
  <c r="AI93" i="6"/>
  <c r="AI91" i="6"/>
  <c r="AI89" i="6"/>
  <c r="AI87" i="6"/>
  <c r="AI85" i="6"/>
  <c r="AI83" i="6"/>
  <c r="AI81" i="6"/>
  <c r="AI79" i="6"/>
  <c r="AI77" i="6"/>
  <c r="AI75" i="6"/>
  <c r="AI73" i="6"/>
  <c r="AI71" i="6"/>
  <c r="AI201" i="6"/>
  <c r="AI190" i="6"/>
  <c r="AI171" i="6"/>
  <c r="AI170" i="6"/>
  <c r="AI191" i="6"/>
  <c r="AI179" i="6"/>
  <c r="AI178" i="6"/>
  <c r="AI163" i="6"/>
  <c r="AI162" i="6"/>
  <c r="AI147" i="6"/>
  <c r="AI146" i="6"/>
  <c r="AI131" i="6"/>
  <c r="AI116" i="6"/>
  <c r="AI108" i="6"/>
  <c r="AI100" i="6"/>
  <c r="AI92" i="6"/>
  <c r="AI84" i="6"/>
  <c r="AI76" i="6"/>
  <c r="AI172" i="6"/>
  <c r="AI156" i="6"/>
  <c r="AI133" i="6"/>
  <c r="AI126" i="6"/>
  <c r="AI124" i="6"/>
  <c r="AI110" i="6"/>
  <c r="AI98" i="6"/>
  <c r="AI88" i="6"/>
  <c r="AI78" i="6"/>
  <c r="AI205" i="6"/>
  <c r="AI164" i="6"/>
  <c r="AI157" i="6"/>
  <c r="AI154" i="6"/>
  <c r="AI140" i="6"/>
  <c r="AI130" i="6"/>
  <c r="AI128" i="6"/>
  <c r="AI112" i="6"/>
  <c r="AI102" i="6"/>
  <c r="AI90" i="6"/>
  <c r="AI80" i="6"/>
  <c r="AI70" i="6"/>
  <c r="AI68" i="6"/>
  <c r="AI66" i="6"/>
  <c r="AI64" i="6"/>
  <c r="AI62" i="6"/>
  <c r="AI60" i="6"/>
  <c r="AI58" i="6"/>
  <c r="AI56" i="6"/>
  <c r="AI54" i="6"/>
  <c r="AI52" i="6"/>
  <c r="AI50" i="6"/>
  <c r="AI48" i="6"/>
  <c r="AI46" i="6"/>
  <c r="AI44" i="6"/>
  <c r="AI42" i="6"/>
  <c r="AI40" i="6"/>
  <c r="AI38" i="6"/>
  <c r="AI36" i="6"/>
  <c r="AI34" i="6"/>
  <c r="AI32" i="6"/>
  <c r="AI30" i="6"/>
  <c r="AI28" i="6"/>
  <c r="AI26" i="6"/>
  <c r="AI24" i="6"/>
  <c r="AI22" i="6"/>
  <c r="AI20" i="6"/>
  <c r="AI18" i="6"/>
  <c r="AI16" i="6"/>
  <c r="AI14" i="6"/>
  <c r="AI12" i="6"/>
  <c r="AI10" i="6"/>
  <c r="AI8" i="6"/>
  <c r="AI6" i="6"/>
  <c r="AI4" i="6"/>
  <c r="AI198" i="6"/>
  <c r="AI173" i="6"/>
  <c r="AI165" i="6"/>
  <c r="AI155" i="6"/>
  <c r="AI148" i="6"/>
  <c r="AI141" i="6"/>
  <c r="AI138" i="6"/>
  <c r="AI208" i="6"/>
  <c r="AI149" i="6"/>
  <c r="AI132" i="6"/>
  <c r="AI114" i="6"/>
  <c r="AI104" i="6"/>
  <c r="AI94" i="6"/>
  <c r="AI5" i="6"/>
  <c r="AI231" i="6"/>
  <c r="AI74" i="6"/>
  <c r="AI63" i="6"/>
  <c r="AI55" i="6"/>
  <c r="AI51" i="6"/>
  <c r="AI43" i="6"/>
  <c r="AI35" i="6"/>
  <c r="AI27" i="6"/>
  <c r="AI19" i="6"/>
  <c r="AI15" i="6"/>
  <c r="AI7" i="6"/>
  <c r="AI118" i="6"/>
  <c r="AI82" i="6"/>
  <c r="AI72" i="6"/>
  <c r="AI9" i="6"/>
  <c r="AI139" i="6"/>
  <c r="AI120" i="6"/>
  <c r="AI106" i="6"/>
  <c r="AI96" i="6"/>
  <c r="AI86" i="6"/>
  <c r="AI69" i="6"/>
  <c r="AI65" i="6"/>
  <c r="AI61" i="6"/>
  <c r="AI57" i="6"/>
  <c r="AI53" i="6"/>
  <c r="AI49" i="6"/>
  <c r="AI45" i="6"/>
  <c r="AI41" i="6"/>
  <c r="AI37" i="6"/>
  <c r="AI33" i="6"/>
  <c r="AI29" i="6"/>
  <c r="AI25" i="6"/>
  <c r="AI21" i="6"/>
  <c r="AI17" i="6"/>
  <c r="AI13" i="6"/>
  <c r="AI122" i="6"/>
  <c r="AI67" i="6"/>
  <c r="AI59" i="6"/>
  <c r="AI47" i="6"/>
  <c r="AI39" i="6"/>
  <c r="AI31" i="6"/>
  <c r="AI23" i="6"/>
  <c r="AI11" i="6"/>
  <c r="T262" i="6"/>
  <c r="T260" i="6"/>
  <c r="T258" i="6"/>
  <c r="T256" i="6"/>
  <c r="T254" i="6"/>
  <c r="T252" i="6"/>
  <c r="T250" i="6"/>
  <c r="T248" i="6"/>
  <c r="T246" i="6"/>
  <c r="T244" i="6"/>
  <c r="T242" i="6"/>
  <c r="T240" i="6"/>
  <c r="T238" i="6"/>
  <c r="T236" i="6"/>
  <c r="T234" i="6"/>
  <c r="T232" i="6"/>
  <c r="T230" i="6"/>
  <c r="T255" i="6"/>
  <c r="T247" i="6"/>
  <c r="T239" i="6"/>
  <c r="T231" i="6"/>
  <c r="T229" i="6"/>
  <c r="T263" i="6"/>
  <c r="T259" i="6"/>
  <c r="T257" i="6"/>
  <c r="T249" i="6"/>
  <c r="T241" i="6"/>
  <c r="T233" i="6"/>
  <c r="T243" i="6"/>
  <c r="T251" i="6"/>
  <c r="T235" i="6"/>
  <c r="T228" i="6"/>
  <c r="T227" i="6"/>
  <c r="T220" i="6"/>
  <c r="T219" i="6"/>
  <c r="T212" i="6"/>
  <c r="T211" i="6"/>
  <c r="T204" i="6"/>
  <c r="T203" i="6"/>
  <c r="T224" i="6"/>
  <c r="T217" i="6"/>
  <c r="T214" i="6"/>
  <c r="T207" i="6"/>
  <c r="T202" i="6"/>
  <c r="T196" i="6"/>
  <c r="T195" i="6"/>
  <c r="T188" i="6"/>
  <c r="T187" i="6"/>
  <c r="T261" i="6"/>
  <c r="T245" i="6"/>
  <c r="T223" i="6"/>
  <c r="T218" i="6"/>
  <c r="T213" i="6"/>
  <c r="T208" i="6"/>
  <c r="T201" i="6"/>
  <c r="T199" i="6"/>
  <c r="T192" i="6"/>
  <c r="T191" i="6"/>
  <c r="T184" i="6"/>
  <c r="T182" i="6"/>
  <c r="T180" i="6"/>
  <c r="T178" i="6"/>
  <c r="T176" i="6"/>
  <c r="T174" i="6"/>
  <c r="T172" i="6"/>
  <c r="T170" i="6"/>
  <c r="T168" i="6"/>
  <c r="T166" i="6"/>
  <c r="T164" i="6"/>
  <c r="T162" i="6"/>
  <c r="T160" i="6"/>
  <c r="T158" i="6"/>
  <c r="T156" i="6"/>
  <c r="T221" i="6"/>
  <c r="T190" i="6"/>
  <c r="T189" i="6"/>
  <c r="T183" i="6"/>
  <c r="T175" i="6"/>
  <c r="T167" i="6"/>
  <c r="T159" i="6"/>
  <c r="T226" i="6"/>
  <c r="T216" i="6"/>
  <c r="T209" i="6"/>
  <c r="T206" i="6"/>
  <c r="T198" i="6"/>
  <c r="T197" i="6"/>
  <c r="T179" i="6"/>
  <c r="T171" i="6"/>
  <c r="T163" i="6"/>
  <c r="T215" i="6"/>
  <c r="T194" i="6"/>
  <c r="T177" i="6"/>
  <c r="T161" i="6"/>
  <c r="T151" i="6"/>
  <c r="T150" i="6"/>
  <c r="T143" i="6"/>
  <c r="T142" i="6"/>
  <c r="T135" i="6"/>
  <c r="T134" i="6"/>
  <c r="T127" i="6"/>
  <c r="T125" i="6"/>
  <c r="T123" i="6"/>
  <c r="T121" i="6"/>
  <c r="T119" i="6"/>
  <c r="T117" i="6"/>
  <c r="T115" i="6"/>
  <c r="T113" i="6"/>
  <c r="T111" i="6"/>
  <c r="T109" i="6"/>
  <c r="T107" i="6"/>
  <c r="T105" i="6"/>
  <c r="T103" i="6"/>
  <c r="T101" i="6"/>
  <c r="T225" i="6"/>
  <c r="T222" i="6"/>
  <c r="T205" i="6"/>
  <c r="T193" i="6"/>
  <c r="T185" i="6"/>
  <c r="T169" i="6"/>
  <c r="T157" i="6"/>
  <c r="T155" i="6"/>
  <c r="T154" i="6"/>
  <c r="T147" i="6"/>
  <c r="T146" i="6"/>
  <c r="T139" i="6"/>
  <c r="T138" i="6"/>
  <c r="T131" i="6"/>
  <c r="T130" i="6"/>
  <c r="T126" i="6"/>
  <c r="T124" i="6"/>
  <c r="T122" i="6"/>
  <c r="T120" i="6"/>
  <c r="T118" i="6"/>
  <c r="T116" i="6"/>
  <c r="T114" i="6"/>
  <c r="T112" i="6"/>
  <c r="T110" i="6"/>
  <c r="T108" i="6"/>
  <c r="T106" i="6"/>
  <c r="T104" i="6"/>
  <c r="T102" i="6"/>
  <c r="T100" i="6"/>
  <c r="T98" i="6"/>
  <c r="T96" i="6"/>
  <c r="T94" i="6"/>
  <c r="T92" i="6"/>
  <c r="T90" i="6"/>
  <c r="T88" i="6"/>
  <c r="T86" i="6"/>
  <c r="T84" i="6"/>
  <c r="T82" i="6"/>
  <c r="T80" i="6"/>
  <c r="T78" i="6"/>
  <c r="T76" i="6"/>
  <c r="T74" i="6"/>
  <c r="T72" i="6"/>
  <c r="T70" i="6"/>
  <c r="T68" i="6"/>
  <c r="T66" i="6"/>
  <c r="T200" i="6"/>
  <c r="T165" i="6"/>
  <c r="T145" i="6"/>
  <c r="T144" i="6"/>
  <c r="T129" i="6"/>
  <c r="T128" i="6"/>
  <c r="T99" i="6"/>
  <c r="T91" i="6"/>
  <c r="T83" i="6"/>
  <c r="T75" i="6"/>
  <c r="T67" i="6"/>
  <c r="T65" i="6"/>
  <c r="T63" i="6"/>
  <c r="T61" i="6"/>
  <c r="T59" i="6"/>
  <c r="T57" i="6"/>
  <c r="T55" i="6"/>
  <c r="T53" i="6"/>
  <c r="T51" i="6"/>
  <c r="T49" i="6"/>
  <c r="T47" i="6"/>
  <c r="T45" i="6"/>
  <c r="T43" i="6"/>
  <c r="T41" i="6"/>
  <c r="T39" i="6"/>
  <c r="T37" i="6"/>
  <c r="T35" i="6"/>
  <c r="T33" i="6"/>
  <c r="T31" i="6"/>
  <c r="T29" i="6"/>
  <c r="T27" i="6"/>
  <c r="T25" i="6"/>
  <c r="T23" i="6"/>
  <c r="T21" i="6"/>
  <c r="T19" i="6"/>
  <c r="T17" i="6"/>
  <c r="T15" i="6"/>
  <c r="T13" i="6"/>
  <c r="T11" i="6"/>
  <c r="T181" i="6"/>
  <c r="T153" i="6"/>
  <c r="T152" i="6"/>
  <c r="T137" i="6"/>
  <c r="T136" i="6"/>
  <c r="T95" i="6"/>
  <c r="T87" i="6"/>
  <c r="T79" i="6"/>
  <c r="T71" i="6"/>
  <c r="T64" i="6"/>
  <c r="T62" i="6"/>
  <c r="T60" i="6"/>
  <c r="T58" i="6"/>
  <c r="T56" i="6"/>
  <c r="T54" i="6"/>
  <c r="T52" i="6"/>
  <c r="T50" i="6"/>
  <c r="T48" i="6"/>
  <c r="T46" i="6"/>
  <c r="T44" i="6"/>
  <c r="T42" i="6"/>
  <c r="T40" i="6"/>
  <c r="T38" i="6"/>
  <c r="T36" i="6"/>
  <c r="T34" i="6"/>
  <c r="T32" i="6"/>
  <c r="T30" i="6"/>
  <c r="T28" i="6"/>
  <c r="T26" i="6"/>
  <c r="T24" i="6"/>
  <c r="T22" i="6"/>
  <c r="T20" i="6"/>
  <c r="T18" i="6"/>
  <c r="T16" i="6"/>
  <c r="T14" i="6"/>
  <c r="T12" i="6"/>
  <c r="T10" i="6"/>
  <c r="T8" i="6"/>
  <c r="T6" i="6"/>
  <c r="T4" i="6"/>
  <c r="T253" i="6"/>
  <c r="T173" i="6"/>
  <c r="T148" i="6"/>
  <c r="T140" i="6"/>
  <c r="T97" i="6"/>
  <c r="T81" i="6"/>
  <c r="T237" i="6"/>
  <c r="T210" i="6"/>
  <c r="T133" i="6"/>
  <c r="T69" i="6"/>
  <c r="T5" i="6"/>
  <c r="T186" i="6"/>
  <c r="T141" i="6"/>
  <c r="T89" i="6"/>
  <c r="T73" i="6"/>
  <c r="T7" i="6"/>
  <c r="T149" i="6"/>
  <c r="T132" i="6"/>
  <c r="T93" i="6"/>
  <c r="T77" i="6"/>
  <c r="T9" i="6"/>
  <c r="T85" i="6"/>
  <c r="U262" i="6"/>
  <c r="U260" i="6"/>
  <c r="U258" i="6"/>
  <c r="U263" i="6"/>
  <c r="U259" i="6"/>
  <c r="U257" i="6"/>
  <c r="U256" i="6"/>
  <c r="U249" i="6"/>
  <c r="U248" i="6"/>
  <c r="U241" i="6"/>
  <c r="U240" i="6"/>
  <c r="U233" i="6"/>
  <c r="U232" i="6"/>
  <c r="U251" i="6"/>
  <c r="U250" i="6"/>
  <c r="U243" i="6"/>
  <c r="U242" i="6"/>
  <c r="U235" i="6"/>
  <c r="U234" i="6"/>
  <c r="U228" i="6"/>
  <c r="U226" i="6"/>
  <c r="U224" i="6"/>
  <c r="U222" i="6"/>
  <c r="U220" i="6"/>
  <c r="U218" i="6"/>
  <c r="U216" i="6"/>
  <c r="U214" i="6"/>
  <c r="U212" i="6"/>
  <c r="U210" i="6"/>
  <c r="U208" i="6"/>
  <c r="U206" i="6"/>
  <c r="U204" i="6"/>
  <c r="U202" i="6"/>
  <c r="U200" i="6"/>
  <c r="U198" i="6"/>
  <c r="U196" i="6"/>
  <c r="U194" i="6"/>
  <c r="U192" i="6"/>
  <c r="U190" i="6"/>
  <c r="U188" i="6"/>
  <c r="U186" i="6"/>
  <c r="U261" i="6"/>
  <c r="U245" i="6"/>
  <c r="U244" i="6"/>
  <c r="U253" i="6"/>
  <c r="U252" i="6"/>
  <c r="U237" i="6"/>
  <c r="U236" i="6"/>
  <c r="U221" i="6"/>
  <c r="U213" i="6"/>
  <c r="U205" i="6"/>
  <c r="U246" i="6"/>
  <c r="U238" i="6"/>
  <c r="U231" i="6"/>
  <c r="U219" i="6"/>
  <c r="U209" i="6"/>
  <c r="U197" i="6"/>
  <c r="U189" i="6"/>
  <c r="U247" i="6"/>
  <c r="U229" i="6"/>
  <c r="U225" i="6"/>
  <c r="U215" i="6"/>
  <c r="U203" i="6"/>
  <c r="U193" i="6"/>
  <c r="U239" i="6"/>
  <c r="U211" i="6"/>
  <c r="U201" i="6"/>
  <c r="U191" i="6"/>
  <c r="U185" i="6"/>
  <c r="U184" i="6"/>
  <c r="U177" i="6"/>
  <c r="U176" i="6"/>
  <c r="U169" i="6"/>
  <c r="U168" i="6"/>
  <c r="U161" i="6"/>
  <c r="U160" i="6"/>
  <c r="U254" i="6"/>
  <c r="U223" i="6"/>
  <c r="U199" i="6"/>
  <c r="U181" i="6"/>
  <c r="U180" i="6"/>
  <c r="U173" i="6"/>
  <c r="U172" i="6"/>
  <c r="U165" i="6"/>
  <c r="U164" i="6"/>
  <c r="U157" i="6"/>
  <c r="U156" i="6"/>
  <c r="U155" i="6"/>
  <c r="U153" i="6"/>
  <c r="U151" i="6"/>
  <c r="U149" i="6"/>
  <c r="U147" i="6"/>
  <c r="U145" i="6"/>
  <c r="U143" i="6"/>
  <c r="U141" i="6"/>
  <c r="U139" i="6"/>
  <c r="U137" i="6"/>
  <c r="U135" i="6"/>
  <c r="U133" i="6"/>
  <c r="U131" i="6"/>
  <c r="U129" i="6"/>
  <c r="U127" i="6"/>
  <c r="U230" i="6"/>
  <c r="U179" i="6"/>
  <c r="U178" i="6"/>
  <c r="U163" i="6"/>
  <c r="U162" i="6"/>
  <c r="U158" i="6"/>
  <c r="U152" i="6"/>
  <c r="U144" i="6"/>
  <c r="U136" i="6"/>
  <c r="U128" i="6"/>
  <c r="U255" i="6"/>
  <c r="U195" i="6"/>
  <c r="U171" i="6"/>
  <c r="U170" i="6"/>
  <c r="U148" i="6"/>
  <c r="U140" i="6"/>
  <c r="U132" i="6"/>
  <c r="U217" i="6"/>
  <c r="U187" i="6"/>
  <c r="U182" i="6"/>
  <c r="U167" i="6"/>
  <c r="U146" i="6"/>
  <c r="U130" i="6"/>
  <c r="U126" i="6"/>
  <c r="U122" i="6"/>
  <c r="U118" i="6"/>
  <c r="U114" i="6"/>
  <c r="U110" i="6"/>
  <c r="U106" i="6"/>
  <c r="U102" i="6"/>
  <c r="U100" i="6"/>
  <c r="U93" i="6"/>
  <c r="U92" i="6"/>
  <c r="U85" i="6"/>
  <c r="U84" i="6"/>
  <c r="U77" i="6"/>
  <c r="U76" i="6"/>
  <c r="U69" i="6"/>
  <c r="U68" i="6"/>
  <c r="U183" i="6"/>
  <c r="U166" i="6"/>
  <c r="U154" i="6"/>
  <c r="U138" i="6"/>
  <c r="U124" i="6"/>
  <c r="U120" i="6"/>
  <c r="U116" i="6"/>
  <c r="U112" i="6"/>
  <c r="U108" i="6"/>
  <c r="U104" i="6"/>
  <c r="U97" i="6"/>
  <c r="U96" i="6"/>
  <c r="U89" i="6"/>
  <c r="U88" i="6"/>
  <c r="U81" i="6"/>
  <c r="U80" i="6"/>
  <c r="U73" i="6"/>
  <c r="U72" i="6"/>
  <c r="U207" i="6"/>
  <c r="U174" i="6"/>
  <c r="U159" i="6"/>
  <c r="U142" i="6"/>
  <c r="U119" i="6"/>
  <c r="U111" i="6"/>
  <c r="U103" i="6"/>
  <c r="U99" i="6"/>
  <c r="U98" i="6"/>
  <c r="U83" i="6"/>
  <c r="U82" i="6"/>
  <c r="U67" i="6"/>
  <c r="U66" i="6"/>
  <c r="U65" i="6"/>
  <c r="U61" i="6"/>
  <c r="U57" i="6"/>
  <c r="U53" i="6"/>
  <c r="U49" i="6"/>
  <c r="U45" i="6"/>
  <c r="U41" i="6"/>
  <c r="U37" i="6"/>
  <c r="U33" i="6"/>
  <c r="U29" i="6"/>
  <c r="U25" i="6"/>
  <c r="U21" i="6"/>
  <c r="U17" i="6"/>
  <c r="U13" i="6"/>
  <c r="U5" i="6"/>
  <c r="U4" i="6"/>
  <c r="U125" i="6"/>
  <c r="U117" i="6"/>
  <c r="U109" i="6"/>
  <c r="U101" i="6"/>
  <c r="U86" i="6"/>
  <c r="U71" i="6"/>
  <c r="U64" i="6"/>
  <c r="U56" i="6"/>
  <c r="U48" i="6"/>
  <c r="U40" i="6"/>
  <c r="U36" i="6"/>
  <c r="U28" i="6"/>
  <c r="U20" i="6"/>
  <c r="U12" i="6"/>
  <c r="U7" i="6"/>
  <c r="U6" i="6"/>
  <c r="U227" i="6"/>
  <c r="U150" i="6"/>
  <c r="U123" i="6"/>
  <c r="U115" i="6"/>
  <c r="U107" i="6"/>
  <c r="U91" i="6"/>
  <c r="U90" i="6"/>
  <c r="U75" i="6"/>
  <c r="U74" i="6"/>
  <c r="U63" i="6"/>
  <c r="U59" i="6"/>
  <c r="U55" i="6"/>
  <c r="U51" i="6"/>
  <c r="U47" i="6"/>
  <c r="U43" i="6"/>
  <c r="U39" i="6"/>
  <c r="U35" i="6"/>
  <c r="U31" i="6"/>
  <c r="U27" i="6"/>
  <c r="U23" i="6"/>
  <c r="U19" i="6"/>
  <c r="U15" i="6"/>
  <c r="U11" i="6"/>
  <c r="U9" i="6"/>
  <c r="U8" i="6"/>
  <c r="U175" i="6"/>
  <c r="U134" i="6"/>
  <c r="U121" i="6"/>
  <c r="U113" i="6"/>
  <c r="U105" i="6"/>
  <c r="U95" i="6"/>
  <c r="U94" i="6"/>
  <c r="U79" i="6"/>
  <c r="U78" i="6"/>
  <c r="U62" i="6"/>
  <c r="U58" i="6"/>
  <c r="U54" i="6"/>
  <c r="U50" i="6"/>
  <c r="U46" i="6"/>
  <c r="U42" i="6"/>
  <c r="U38" i="6"/>
  <c r="U34" i="6"/>
  <c r="U30" i="6"/>
  <c r="U26" i="6"/>
  <c r="U22" i="6"/>
  <c r="U18" i="6"/>
  <c r="U14" i="6"/>
  <c r="U10" i="6"/>
  <c r="U87" i="6"/>
  <c r="U70" i="6"/>
  <c r="U60" i="6"/>
  <c r="U52" i="6"/>
  <c r="U44" i="6"/>
  <c r="U32" i="6"/>
  <c r="U24" i="6"/>
  <c r="U16" i="6"/>
  <c r="N263" i="6"/>
  <c r="N261" i="6"/>
  <c r="N259" i="6"/>
  <c r="N257" i="6"/>
  <c r="N255" i="6"/>
  <c r="N253" i="6"/>
  <c r="N251" i="6"/>
  <c r="N249" i="6"/>
  <c r="N247" i="6"/>
  <c r="N245" i="6"/>
  <c r="N243" i="6"/>
  <c r="N241" i="6"/>
  <c r="N239" i="6"/>
  <c r="N237" i="6"/>
  <c r="N235" i="6"/>
  <c r="N233" i="6"/>
  <c r="N231" i="6"/>
  <c r="N254" i="6"/>
  <c r="N246" i="6"/>
  <c r="N238" i="6"/>
  <c r="N230" i="6"/>
  <c r="N262" i="6"/>
  <c r="N256" i="6"/>
  <c r="N248" i="6"/>
  <c r="N240" i="6"/>
  <c r="N232" i="6"/>
  <c r="N250" i="6"/>
  <c r="N258" i="6"/>
  <c r="N242" i="6"/>
  <c r="N227" i="6"/>
  <c r="N226" i="6"/>
  <c r="N219" i="6"/>
  <c r="N218" i="6"/>
  <c r="N211" i="6"/>
  <c r="N210" i="6"/>
  <c r="N203" i="6"/>
  <c r="N202" i="6"/>
  <c r="N260" i="6"/>
  <c r="N236" i="6"/>
  <c r="N229" i="6"/>
  <c r="N224" i="6"/>
  <c r="N221" i="6"/>
  <c r="N214" i="6"/>
  <c r="N209" i="6"/>
  <c r="N204" i="6"/>
  <c r="N195" i="6"/>
  <c r="N194" i="6"/>
  <c r="N187" i="6"/>
  <c r="N252" i="6"/>
  <c r="N225" i="6"/>
  <c r="N220" i="6"/>
  <c r="N215" i="6"/>
  <c r="N208" i="6"/>
  <c r="N205" i="6"/>
  <c r="N199" i="6"/>
  <c r="N198" i="6"/>
  <c r="N191" i="6"/>
  <c r="N190" i="6"/>
  <c r="N185" i="6"/>
  <c r="N183" i="6"/>
  <c r="N181" i="6"/>
  <c r="N179" i="6"/>
  <c r="N177" i="6"/>
  <c r="N175" i="6"/>
  <c r="N173" i="6"/>
  <c r="N171" i="6"/>
  <c r="N169" i="6"/>
  <c r="N167" i="6"/>
  <c r="N165" i="6"/>
  <c r="N163" i="6"/>
  <c r="N161" i="6"/>
  <c r="N159" i="6"/>
  <c r="N157" i="6"/>
  <c r="N244" i="6"/>
  <c r="N234" i="6"/>
  <c r="N223" i="6"/>
  <c r="N216" i="6"/>
  <c r="N213" i="6"/>
  <c r="N206" i="6"/>
  <c r="N197" i="6"/>
  <c r="N196" i="6"/>
  <c r="N182" i="6"/>
  <c r="N174" i="6"/>
  <c r="N166" i="6"/>
  <c r="N228" i="6"/>
  <c r="N201" i="6"/>
  <c r="N189" i="6"/>
  <c r="N188" i="6"/>
  <c r="N186" i="6"/>
  <c r="N178" i="6"/>
  <c r="N170" i="6"/>
  <c r="N162" i="6"/>
  <c r="N207" i="6"/>
  <c r="N184" i="6"/>
  <c r="N168" i="6"/>
  <c r="N158" i="6"/>
  <c r="N150" i="6"/>
  <c r="N149" i="6"/>
  <c r="N142" i="6"/>
  <c r="N141" i="6"/>
  <c r="N134" i="6"/>
  <c r="N133" i="6"/>
  <c r="N126" i="6"/>
  <c r="N124" i="6"/>
  <c r="N122" i="6"/>
  <c r="N120" i="6"/>
  <c r="N118" i="6"/>
  <c r="N116" i="6"/>
  <c r="N114" i="6"/>
  <c r="N112" i="6"/>
  <c r="N110" i="6"/>
  <c r="N108" i="6"/>
  <c r="N106" i="6"/>
  <c r="N104" i="6"/>
  <c r="N102" i="6"/>
  <c r="N217" i="6"/>
  <c r="N200" i="6"/>
  <c r="N176" i="6"/>
  <c r="N160" i="6"/>
  <c r="N154" i="6"/>
  <c r="N153" i="6"/>
  <c r="N146" i="6"/>
  <c r="N145" i="6"/>
  <c r="N138" i="6"/>
  <c r="N137" i="6"/>
  <c r="N130" i="6"/>
  <c r="N129" i="6"/>
  <c r="N127" i="6"/>
  <c r="N125" i="6"/>
  <c r="N123" i="6"/>
  <c r="N121" i="6"/>
  <c r="N119" i="6"/>
  <c r="N117" i="6"/>
  <c r="N113" i="6"/>
  <c r="N111" i="6"/>
  <c r="N109" i="6"/>
  <c r="N107" i="6"/>
  <c r="N105" i="6"/>
  <c r="N103" i="6"/>
  <c r="N101" i="6"/>
  <c r="N99" i="6"/>
  <c r="N97" i="6"/>
  <c r="N95" i="6"/>
  <c r="N93" i="6"/>
  <c r="N91" i="6"/>
  <c r="N89" i="6"/>
  <c r="N87" i="6"/>
  <c r="N85" i="6"/>
  <c r="N83" i="6"/>
  <c r="N81" i="6"/>
  <c r="N79" i="6"/>
  <c r="N77" i="6"/>
  <c r="N75" i="6"/>
  <c r="N73" i="6"/>
  <c r="N71" i="6"/>
  <c r="N69" i="6"/>
  <c r="N67" i="6"/>
  <c r="N212" i="6"/>
  <c r="N192" i="6"/>
  <c r="N172" i="6"/>
  <c r="N152" i="6"/>
  <c r="N151" i="6"/>
  <c r="N136" i="6"/>
  <c r="N135" i="6"/>
  <c r="N98" i="6"/>
  <c r="N90" i="6"/>
  <c r="N82" i="6"/>
  <c r="N74" i="6"/>
  <c r="N66" i="6"/>
  <c r="N64" i="6"/>
  <c r="N62" i="6"/>
  <c r="N60" i="6"/>
  <c r="N58" i="6"/>
  <c r="N56" i="6"/>
  <c r="N54" i="6"/>
  <c r="N52" i="6"/>
  <c r="N50" i="6"/>
  <c r="N48" i="6"/>
  <c r="N46" i="6"/>
  <c r="N44" i="6"/>
  <c r="N42" i="6"/>
  <c r="N40" i="6"/>
  <c r="N38" i="6"/>
  <c r="N36" i="6"/>
  <c r="N34" i="6"/>
  <c r="N32" i="6"/>
  <c r="N30" i="6"/>
  <c r="N28" i="6"/>
  <c r="N26" i="6"/>
  <c r="N24" i="6"/>
  <c r="N22" i="6"/>
  <c r="N20" i="6"/>
  <c r="N18" i="6"/>
  <c r="N16" i="6"/>
  <c r="N14" i="6"/>
  <c r="N12" i="6"/>
  <c r="N144" i="6"/>
  <c r="N143" i="6"/>
  <c r="N128" i="6"/>
  <c r="N94" i="6"/>
  <c r="N86" i="6"/>
  <c r="N78" i="6"/>
  <c r="N70" i="6"/>
  <c r="N65" i="6"/>
  <c r="N63" i="6"/>
  <c r="N61" i="6"/>
  <c r="N59" i="6"/>
  <c r="N57" i="6"/>
  <c r="N55" i="6"/>
  <c r="N53" i="6"/>
  <c r="N51" i="6"/>
  <c r="N49" i="6"/>
  <c r="N47" i="6"/>
  <c r="N45" i="6"/>
  <c r="N43" i="6"/>
  <c r="N41" i="6"/>
  <c r="N39" i="6"/>
  <c r="N37" i="6"/>
  <c r="N35" i="6"/>
  <c r="N33" i="6"/>
  <c r="N31" i="6"/>
  <c r="N29" i="6"/>
  <c r="N27" i="6"/>
  <c r="N25" i="6"/>
  <c r="N23" i="6"/>
  <c r="N21" i="6"/>
  <c r="N19" i="6"/>
  <c r="N17" i="6"/>
  <c r="N15" i="6"/>
  <c r="N13" i="6"/>
  <c r="N11" i="6"/>
  <c r="N9" i="6"/>
  <c r="N7" i="6"/>
  <c r="N5" i="6"/>
  <c r="N193" i="6"/>
  <c r="N164" i="6"/>
  <c r="N148" i="6"/>
  <c r="N147" i="6"/>
  <c r="N132" i="6"/>
  <c r="N88" i="6"/>
  <c r="N72" i="6"/>
  <c r="N10" i="6"/>
  <c r="N180" i="6"/>
  <c r="N156" i="6"/>
  <c r="N140" i="6"/>
  <c r="N92" i="6"/>
  <c r="N76" i="6"/>
  <c r="N155" i="6"/>
  <c r="N131" i="6"/>
  <c r="N96" i="6"/>
  <c r="N80" i="6"/>
  <c r="N6" i="6"/>
  <c r="N222" i="6"/>
  <c r="N139" i="6"/>
  <c r="N100" i="6"/>
  <c r="N84" i="6"/>
  <c r="N68" i="6"/>
  <c r="N8" i="6"/>
  <c r="R263" i="6"/>
  <c r="R261" i="6"/>
  <c r="R259" i="6"/>
  <c r="R257" i="6"/>
  <c r="R255" i="6"/>
  <c r="R253" i="6"/>
  <c r="R251" i="6"/>
  <c r="R249" i="6"/>
  <c r="R247" i="6"/>
  <c r="R245" i="6"/>
  <c r="R243" i="6"/>
  <c r="R241" i="6"/>
  <c r="R239" i="6"/>
  <c r="R237" i="6"/>
  <c r="R235" i="6"/>
  <c r="R233" i="6"/>
  <c r="R231" i="6"/>
  <c r="R252" i="6"/>
  <c r="R244" i="6"/>
  <c r="R236" i="6"/>
  <c r="R260" i="6"/>
  <c r="R254" i="6"/>
  <c r="R246" i="6"/>
  <c r="R238" i="6"/>
  <c r="R230" i="6"/>
  <c r="R256" i="6"/>
  <c r="R240" i="6"/>
  <c r="R248" i="6"/>
  <c r="R232" i="6"/>
  <c r="R229" i="6"/>
  <c r="R225" i="6"/>
  <c r="R224" i="6"/>
  <c r="R217" i="6"/>
  <c r="R216" i="6"/>
  <c r="R209" i="6"/>
  <c r="R208" i="6"/>
  <c r="R201" i="6"/>
  <c r="R200" i="6"/>
  <c r="R242" i="6"/>
  <c r="R234" i="6"/>
  <c r="R227" i="6"/>
  <c r="R220" i="6"/>
  <c r="R215" i="6"/>
  <c r="R210" i="6"/>
  <c r="R205" i="6"/>
  <c r="R193" i="6"/>
  <c r="R192" i="6"/>
  <c r="R258" i="6"/>
  <c r="R226" i="6"/>
  <c r="R221" i="6"/>
  <c r="R214" i="6"/>
  <c r="R211" i="6"/>
  <c r="R204" i="6"/>
  <c r="R197" i="6"/>
  <c r="R196" i="6"/>
  <c r="R189" i="6"/>
  <c r="R188" i="6"/>
  <c r="R185" i="6"/>
  <c r="R183" i="6"/>
  <c r="R181" i="6"/>
  <c r="R179" i="6"/>
  <c r="R177" i="6"/>
  <c r="R175" i="6"/>
  <c r="R173" i="6"/>
  <c r="R171" i="6"/>
  <c r="R169" i="6"/>
  <c r="R167" i="6"/>
  <c r="R165" i="6"/>
  <c r="R163" i="6"/>
  <c r="R161" i="6"/>
  <c r="R159" i="6"/>
  <c r="R157" i="6"/>
  <c r="R262" i="6"/>
  <c r="R207" i="6"/>
  <c r="R187" i="6"/>
  <c r="R186" i="6"/>
  <c r="R180" i="6"/>
  <c r="R172" i="6"/>
  <c r="R164" i="6"/>
  <c r="R250" i="6"/>
  <c r="R222" i="6"/>
  <c r="R219" i="6"/>
  <c r="R212" i="6"/>
  <c r="R202" i="6"/>
  <c r="R195" i="6"/>
  <c r="R194" i="6"/>
  <c r="R184" i="6"/>
  <c r="R176" i="6"/>
  <c r="R168" i="6"/>
  <c r="R160" i="6"/>
  <c r="R218" i="6"/>
  <c r="R190" i="6"/>
  <c r="R174" i="6"/>
  <c r="R155" i="6"/>
  <c r="R148" i="6"/>
  <c r="R147" i="6"/>
  <c r="R140" i="6"/>
  <c r="R139" i="6"/>
  <c r="R132" i="6"/>
  <c r="R131" i="6"/>
  <c r="R126" i="6"/>
  <c r="R124" i="6"/>
  <c r="R122" i="6"/>
  <c r="R120" i="6"/>
  <c r="R118" i="6"/>
  <c r="R116" i="6"/>
  <c r="R114" i="6"/>
  <c r="R112" i="6"/>
  <c r="R110" i="6"/>
  <c r="R108" i="6"/>
  <c r="R106" i="6"/>
  <c r="R104" i="6"/>
  <c r="R102" i="6"/>
  <c r="R228" i="6"/>
  <c r="R191" i="6"/>
  <c r="R182" i="6"/>
  <c r="R166" i="6"/>
  <c r="R158" i="6"/>
  <c r="R152" i="6"/>
  <c r="R151" i="6"/>
  <c r="R144" i="6"/>
  <c r="R143" i="6"/>
  <c r="R136" i="6"/>
  <c r="R135" i="6"/>
  <c r="R128" i="6"/>
  <c r="R127" i="6"/>
  <c r="R125" i="6"/>
  <c r="R123" i="6"/>
  <c r="R121" i="6"/>
  <c r="R119" i="6"/>
  <c r="R117" i="6"/>
  <c r="R115" i="6"/>
  <c r="R113" i="6"/>
  <c r="R111" i="6"/>
  <c r="R109" i="6"/>
  <c r="R107" i="6"/>
  <c r="R105" i="6"/>
  <c r="R103" i="6"/>
  <c r="R101" i="6"/>
  <c r="R99" i="6"/>
  <c r="R97" i="6"/>
  <c r="R95" i="6"/>
  <c r="R93" i="6"/>
  <c r="R91" i="6"/>
  <c r="R89" i="6"/>
  <c r="R87" i="6"/>
  <c r="R85" i="6"/>
  <c r="R83" i="6"/>
  <c r="R81" i="6"/>
  <c r="R79" i="6"/>
  <c r="R77" i="6"/>
  <c r="R75" i="6"/>
  <c r="R73" i="6"/>
  <c r="R71" i="6"/>
  <c r="R69" i="6"/>
  <c r="R67" i="6"/>
  <c r="R223" i="6"/>
  <c r="R206" i="6"/>
  <c r="R178" i="6"/>
  <c r="R156" i="6"/>
  <c r="R142" i="6"/>
  <c r="R141" i="6"/>
  <c r="R96" i="6"/>
  <c r="R88" i="6"/>
  <c r="R80" i="6"/>
  <c r="R72" i="6"/>
  <c r="R64" i="6"/>
  <c r="R62" i="6"/>
  <c r="R60" i="6"/>
  <c r="R58" i="6"/>
  <c r="R56" i="6"/>
  <c r="R54" i="6"/>
  <c r="R52" i="6"/>
  <c r="R50" i="6"/>
  <c r="R48" i="6"/>
  <c r="R46" i="6"/>
  <c r="R44" i="6"/>
  <c r="R42" i="6"/>
  <c r="R40" i="6"/>
  <c r="R38" i="6"/>
  <c r="R36" i="6"/>
  <c r="R34" i="6"/>
  <c r="R32" i="6"/>
  <c r="R30" i="6"/>
  <c r="R28" i="6"/>
  <c r="R26" i="6"/>
  <c r="R24" i="6"/>
  <c r="R22" i="6"/>
  <c r="R20" i="6"/>
  <c r="R18" i="6"/>
  <c r="R16" i="6"/>
  <c r="R14" i="6"/>
  <c r="R12" i="6"/>
  <c r="R203" i="6"/>
  <c r="R198" i="6"/>
  <c r="R162" i="6"/>
  <c r="R150" i="6"/>
  <c r="R149" i="6"/>
  <c r="R134" i="6"/>
  <c r="R133" i="6"/>
  <c r="R100" i="6"/>
  <c r="R92" i="6"/>
  <c r="R84" i="6"/>
  <c r="R76" i="6"/>
  <c r="R68" i="6"/>
  <c r="R65" i="6"/>
  <c r="R63" i="6"/>
  <c r="R61" i="6"/>
  <c r="R59" i="6"/>
  <c r="R57" i="6"/>
  <c r="R55" i="6"/>
  <c r="R53" i="6"/>
  <c r="R51" i="6"/>
  <c r="R49" i="6"/>
  <c r="R47" i="6"/>
  <c r="R45" i="6"/>
  <c r="R43" i="6"/>
  <c r="R41" i="6"/>
  <c r="R39" i="6"/>
  <c r="R37" i="6"/>
  <c r="R35" i="6"/>
  <c r="R33" i="6"/>
  <c r="R31" i="6"/>
  <c r="R29" i="6"/>
  <c r="R27" i="6"/>
  <c r="R25" i="6"/>
  <c r="R23" i="6"/>
  <c r="R21" i="6"/>
  <c r="R19" i="6"/>
  <c r="R17" i="6"/>
  <c r="R15" i="6"/>
  <c r="R13" i="6"/>
  <c r="R11" i="6"/>
  <c r="R9" i="6"/>
  <c r="R7" i="6"/>
  <c r="R5" i="6"/>
  <c r="R213" i="6"/>
  <c r="R170" i="6"/>
  <c r="R154" i="6"/>
  <c r="R153" i="6"/>
  <c r="R138" i="6"/>
  <c r="R94" i="6"/>
  <c r="R78" i="6"/>
  <c r="R8" i="6"/>
  <c r="R129" i="6"/>
  <c r="R82" i="6"/>
  <c r="R66" i="6"/>
  <c r="R146" i="6"/>
  <c r="R137" i="6"/>
  <c r="R86" i="6"/>
  <c r="R70" i="6"/>
  <c r="R4" i="6"/>
  <c r="R199" i="6"/>
  <c r="R145" i="6"/>
  <c r="R130" i="6"/>
  <c r="R90" i="6"/>
  <c r="R74" i="6"/>
  <c r="R6" i="6"/>
  <c r="R98" i="6"/>
  <c r="R10" i="6"/>
  <c r="V263" i="6"/>
  <c r="V261" i="6"/>
  <c r="V259" i="6"/>
  <c r="V257" i="6"/>
  <c r="V255" i="6"/>
  <c r="V253" i="6"/>
  <c r="V251" i="6"/>
  <c r="V249" i="6"/>
  <c r="V247" i="6"/>
  <c r="V245" i="6"/>
  <c r="V243" i="6"/>
  <c r="V241" i="6"/>
  <c r="V239" i="6"/>
  <c r="V237" i="6"/>
  <c r="V235" i="6"/>
  <c r="V233" i="6"/>
  <c r="V231" i="6"/>
  <c r="V250" i="6"/>
  <c r="V242" i="6"/>
  <c r="V234" i="6"/>
  <c r="V228" i="6"/>
  <c r="V262" i="6"/>
  <c r="V258" i="6"/>
  <c r="V252" i="6"/>
  <c r="V244" i="6"/>
  <c r="V236" i="6"/>
  <c r="V246" i="6"/>
  <c r="V254" i="6"/>
  <c r="V238" i="6"/>
  <c r="V223" i="6"/>
  <c r="V222" i="6"/>
  <c r="V215" i="6"/>
  <c r="V214" i="6"/>
  <c r="V207" i="6"/>
  <c r="V206" i="6"/>
  <c r="V248" i="6"/>
  <c r="V226" i="6"/>
  <c r="V221" i="6"/>
  <c r="V216" i="6"/>
  <c r="V211" i="6"/>
  <c r="V204" i="6"/>
  <c r="V201" i="6"/>
  <c r="V199" i="6"/>
  <c r="V198" i="6"/>
  <c r="V191" i="6"/>
  <c r="V190" i="6"/>
  <c r="V230" i="6"/>
  <c r="V227" i="6"/>
  <c r="V220" i="6"/>
  <c r="V217" i="6"/>
  <c r="V210" i="6"/>
  <c r="V205" i="6"/>
  <c r="V200" i="6"/>
  <c r="V195" i="6"/>
  <c r="V194" i="6"/>
  <c r="V187" i="6"/>
  <c r="V186" i="6"/>
  <c r="V185" i="6"/>
  <c r="V183" i="6"/>
  <c r="V181" i="6"/>
  <c r="V179" i="6"/>
  <c r="V177" i="6"/>
  <c r="V175" i="6"/>
  <c r="V173" i="6"/>
  <c r="V171" i="6"/>
  <c r="V169" i="6"/>
  <c r="V167" i="6"/>
  <c r="V165" i="6"/>
  <c r="V163" i="6"/>
  <c r="V161" i="6"/>
  <c r="V159" i="6"/>
  <c r="V157" i="6"/>
  <c r="V256" i="6"/>
  <c r="V225" i="6"/>
  <c r="V218" i="6"/>
  <c r="V208" i="6"/>
  <c r="V193" i="6"/>
  <c r="V192" i="6"/>
  <c r="V178" i="6"/>
  <c r="V170" i="6"/>
  <c r="V162" i="6"/>
  <c r="V232" i="6"/>
  <c r="V229" i="6"/>
  <c r="V213" i="6"/>
  <c r="V203" i="6"/>
  <c r="V182" i="6"/>
  <c r="V174" i="6"/>
  <c r="V166" i="6"/>
  <c r="V158" i="6"/>
  <c r="V260" i="6"/>
  <c r="V212" i="6"/>
  <c r="V209" i="6"/>
  <c r="V196" i="6"/>
  <c r="V180" i="6"/>
  <c r="V164" i="6"/>
  <c r="V154" i="6"/>
  <c r="V153" i="6"/>
  <c r="V146" i="6"/>
  <c r="V145" i="6"/>
  <c r="V138" i="6"/>
  <c r="V137" i="6"/>
  <c r="V130" i="6"/>
  <c r="V129" i="6"/>
  <c r="V126" i="6"/>
  <c r="V124" i="6"/>
  <c r="V122" i="6"/>
  <c r="V120" i="6"/>
  <c r="V118" i="6"/>
  <c r="V116" i="6"/>
  <c r="V114" i="6"/>
  <c r="V112" i="6"/>
  <c r="V110" i="6"/>
  <c r="V108" i="6"/>
  <c r="V106" i="6"/>
  <c r="V104" i="6"/>
  <c r="V102" i="6"/>
  <c r="V219" i="6"/>
  <c r="V202" i="6"/>
  <c r="V197" i="6"/>
  <c r="V172" i="6"/>
  <c r="V150" i="6"/>
  <c r="V149" i="6"/>
  <c r="V142" i="6"/>
  <c r="V141" i="6"/>
  <c r="V134" i="6"/>
  <c r="V133" i="6"/>
  <c r="V125" i="6"/>
  <c r="V123" i="6"/>
  <c r="V121" i="6"/>
  <c r="V119" i="6"/>
  <c r="V117" i="6"/>
  <c r="V115" i="6"/>
  <c r="V113" i="6"/>
  <c r="V111" i="6"/>
  <c r="V109" i="6"/>
  <c r="V107" i="6"/>
  <c r="V105" i="6"/>
  <c r="V103" i="6"/>
  <c r="V101" i="6"/>
  <c r="V99" i="6"/>
  <c r="V97" i="6"/>
  <c r="V95" i="6"/>
  <c r="V93" i="6"/>
  <c r="V91" i="6"/>
  <c r="V89" i="6"/>
  <c r="V87" i="6"/>
  <c r="V85" i="6"/>
  <c r="V83" i="6"/>
  <c r="V81" i="6"/>
  <c r="V79" i="6"/>
  <c r="V77" i="6"/>
  <c r="V75" i="6"/>
  <c r="V73" i="6"/>
  <c r="V71" i="6"/>
  <c r="V69" i="6"/>
  <c r="V67" i="6"/>
  <c r="V240" i="6"/>
  <c r="V184" i="6"/>
  <c r="V148" i="6"/>
  <c r="V147" i="6"/>
  <c r="V132" i="6"/>
  <c r="V131" i="6"/>
  <c r="V94" i="6"/>
  <c r="V86" i="6"/>
  <c r="V78" i="6"/>
  <c r="V70" i="6"/>
  <c r="V64" i="6"/>
  <c r="V62" i="6"/>
  <c r="V60" i="6"/>
  <c r="V58" i="6"/>
  <c r="V56" i="6"/>
  <c r="V54" i="6"/>
  <c r="V52" i="6"/>
  <c r="V50" i="6"/>
  <c r="V48" i="6"/>
  <c r="V46" i="6"/>
  <c r="V44" i="6"/>
  <c r="V42" i="6"/>
  <c r="V40" i="6"/>
  <c r="V38" i="6"/>
  <c r="V36" i="6"/>
  <c r="V34" i="6"/>
  <c r="V32" i="6"/>
  <c r="V30" i="6"/>
  <c r="V28" i="6"/>
  <c r="V26" i="6"/>
  <c r="V24" i="6"/>
  <c r="V22" i="6"/>
  <c r="V20" i="6"/>
  <c r="V18" i="6"/>
  <c r="V16" i="6"/>
  <c r="V14" i="6"/>
  <c r="V12" i="6"/>
  <c r="V10" i="6"/>
  <c r="V189" i="6"/>
  <c r="V168" i="6"/>
  <c r="V155" i="6"/>
  <c r="V140" i="6"/>
  <c r="V139" i="6"/>
  <c r="V98" i="6"/>
  <c r="V90" i="6"/>
  <c r="V82" i="6"/>
  <c r="V74" i="6"/>
  <c r="V66" i="6"/>
  <c r="V65" i="6"/>
  <c r="V63" i="6"/>
  <c r="V61" i="6"/>
  <c r="V59" i="6"/>
  <c r="V57" i="6"/>
  <c r="V55" i="6"/>
  <c r="V53" i="6"/>
  <c r="V51" i="6"/>
  <c r="V49" i="6"/>
  <c r="V47" i="6"/>
  <c r="V45" i="6"/>
  <c r="V43" i="6"/>
  <c r="V41" i="6"/>
  <c r="V39" i="6"/>
  <c r="V37" i="6"/>
  <c r="V35" i="6"/>
  <c r="V33" i="6"/>
  <c r="V31" i="6"/>
  <c r="V29" i="6"/>
  <c r="V27" i="6"/>
  <c r="V25" i="6"/>
  <c r="V23" i="6"/>
  <c r="V21" i="6"/>
  <c r="V19" i="6"/>
  <c r="V17" i="6"/>
  <c r="V15" i="6"/>
  <c r="V13" i="6"/>
  <c r="V11" i="6"/>
  <c r="V9" i="6"/>
  <c r="V7" i="6"/>
  <c r="V5" i="6"/>
  <c r="V224" i="6"/>
  <c r="V188" i="6"/>
  <c r="V176" i="6"/>
  <c r="V156" i="6"/>
  <c r="V152" i="6"/>
  <c r="V144" i="6"/>
  <c r="V127" i="6"/>
  <c r="V100" i="6"/>
  <c r="V84" i="6"/>
  <c r="V68" i="6"/>
  <c r="V6" i="6"/>
  <c r="V151" i="6"/>
  <c r="V135" i="6"/>
  <c r="V88" i="6"/>
  <c r="V8" i="6"/>
  <c r="V160" i="6"/>
  <c r="V143" i="6"/>
  <c r="V128" i="6"/>
  <c r="V92" i="6"/>
  <c r="V76" i="6"/>
  <c r="V136" i="6"/>
  <c r="V96" i="6"/>
  <c r="V80" i="6"/>
  <c r="V4" i="6"/>
  <c r="V72" i="6"/>
  <c r="P262" i="6"/>
  <c r="P260" i="6"/>
  <c r="P258" i="6"/>
  <c r="P256" i="6"/>
  <c r="P254" i="6"/>
  <c r="P252" i="6"/>
  <c r="P250" i="6"/>
  <c r="P248" i="6"/>
  <c r="P246" i="6"/>
  <c r="P244" i="6"/>
  <c r="P242" i="6"/>
  <c r="P240" i="6"/>
  <c r="P238" i="6"/>
  <c r="P236" i="6"/>
  <c r="P234" i="6"/>
  <c r="P232" i="6"/>
  <c r="P230" i="6"/>
  <c r="P257" i="6"/>
  <c r="P249" i="6"/>
  <c r="P241" i="6"/>
  <c r="P233" i="6"/>
  <c r="P229" i="6"/>
  <c r="P261" i="6"/>
  <c r="P251" i="6"/>
  <c r="P243" i="6"/>
  <c r="P235" i="6"/>
  <c r="P253" i="6"/>
  <c r="P245" i="6"/>
  <c r="P222" i="6"/>
  <c r="P221" i="6"/>
  <c r="P214" i="6"/>
  <c r="P213" i="6"/>
  <c r="P206" i="6"/>
  <c r="P205" i="6"/>
  <c r="P263" i="6"/>
  <c r="P255" i="6"/>
  <c r="P237" i="6"/>
  <c r="P228" i="6"/>
  <c r="P223" i="6"/>
  <c r="P218" i="6"/>
  <c r="P211" i="6"/>
  <c r="P208" i="6"/>
  <c r="P201" i="6"/>
  <c r="P198" i="6"/>
  <c r="P197" i="6"/>
  <c r="P190" i="6"/>
  <c r="P189" i="6"/>
  <c r="P227" i="6"/>
  <c r="P224" i="6"/>
  <c r="P217" i="6"/>
  <c r="P212" i="6"/>
  <c r="P207" i="6"/>
  <c r="P202" i="6"/>
  <c r="P194" i="6"/>
  <c r="P193" i="6"/>
  <c r="P186" i="6"/>
  <c r="P184" i="6"/>
  <c r="P182" i="6"/>
  <c r="P180" i="6"/>
  <c r="P178" i="6"/>
  <c r="P176" i="6"/>
  <c r="P174" i="6"/>
  <c r="P172" i="6"/>
  <c r="P170" i="6"/>
  <c r="P168" i="6"/>
  <c r="P166" i="6"/>
  <c r="P164" i="6"/>
  <c r="P162" i="6"/>
  <c r="P160" i="6"/>
  <c r="P158" i="6"/>
  <c r="P156" i="6"/>
  <c r="P231" i="6"/>
  <c r="P220" i="6"/>
  <c r="P210" i="6"/>
  <c r="P203" i="6"/>
  <c r="P200" i="6"/>
  <c r="P199" i="6"/>
  <c r="P185" i="6"/>
  <c r="P177" i="6"/>
  <c r="P169" i="6"/>
  <c r="P161" i="6"/>
  <c r="P259" i="6"/>
  <c r="P225" i="6"/>
  <c r="P215" i="6"/>
  <c r="P192" i="6"/>
  <c r="P191" i="6"/>
  <c r="P181" i="6"/>
  <c r="P173" i="6"/>
  <c r="P165" i="6"/>
  <c r="P157" i="6"/>
  <c r="P204" i="6"/>
  <c r="P188" i="6"/>
  <c r="P171" i="6"/>
  <c r="P153" i="6"/>
  <c r="P152" i="6"/>
  <c r="P145" i="6"/>
  <c r="P144" i="6"/>
  <c r="P137" i="6"/>
  <c r="P136" i="6"/>
  <c r="P129" i="6"/>
  <c r="P128" i="6"/>
  <c r="P127" i="6"/>
  <c r="P125" i="6"/>
  <c r="P123" i="6"/>
  <c r="P121" i="6"/>
  <c r="P119" i="6"/>
  <c r="P117" i="6"/>
  <c r="P115" i="6"/>
  <c r="P113" i="6"/>
  <c r="P111" i="6"/>
  <c r="P109" i="6"/>
  <c r="P107" i="6"/>
  <c r="P105" i="6"/>
  <c r="P103" i="6"/>
  <c r="P247" i="6"/>
  <c r="P239" i="6"/>
  <c r="P187" i="6"/>
  <c r="P179" i="6"/>
  <c r="P163" i="6"/>
  <c r="P149" i="6"/>
  <c r="P148" i="6"/>
  <c r="P141" i="6"/>
  <c r="P140" i="6"/>
  <c r="P133" i="6"/>
  <c r="P132" i="6"/>
  <c r="P126" i="6"/>
  <c r="P124" i="6"/>
  <c r="P122" i="6"/>
  <c r="P120" i="6"/>
  <c r="P118" i="6"/>
  <c r="P116" i="6"/>
  <c r="P114" i="6"/>
  <c r="P112" i="6"/>
  <c r="P110" i="6"/>
  <c r="P108" i="6"/>
  <c r="P106" i="6"/>
  <c r="P104" i="6"/>
  <c r="P102" i="6"/>
  <c r="P100" i="6"/>
  <c r="P98" i="6"/>
  <c r="P96" i="6"/>
  <c r="P94" i="6"/>
  <c r="P92" i="6"/>
  <c r="P90" i="6"/>
  <c r="P88" i="6"/>
  <c r="P86" i="6"/>
  <c r="P84" i="6"/>
  <c r="P82" i="6"/>
  <c r="P80" i="6"/>
  <c r="P78" i="6"/>
  <c r="P76" i="6"/>
  <c r="P74" i="6"/>
  <c r="P72" i="6"/>
  <c r="P70" i="6"/>
  <c r="P68" i="6"/>
  <c r="P66" i="6"/>
  <c r="P196" i="6"/>
  <c r="P159" i="6"/>
  <c r="P155" i="6"/>
  <c r="P154" i="6"/>
  <c r="P139" i="6"/>
  <c r="P138" i="6"/>
  <c r="P101" i="6"/>
  <c r="P93" i="6"/>
  <c r="P85" i="6"/>
  <c r="P77" i="6"/>
  <c r="P69" i="6"/>
  <c r="P65" i="6"/>
  <c r="P63" i="6"/>
  <c r="P61" i="6"/>
  <c r="P59" i="6"/>
  <c r="P57" i="6"/>
  <c r="P55" i="6"/>
  <c r="P53" i="6"/>
  <c r="P51" i="6"/>
  <c r="P49" i="6"/>
  <c r="P47" i="6"/>
  <c r="P45" i="6"/>
  <c r="P43" i="6"/>
  <c r="P41" i="6"/>
  <c r="P39" i="6"/>
  <c r="P37" i="6"/>
  <c r="P35" i="6"/>
  <c r="P33" i="6"/>
  <c r="P31" i="6"/>
  <c r="P29" i="6"/>
  <c r="P27" i="6"/>
  <c r="P25" i="6"/>
  <c r="P23" i="6"/>
  <c r="P21" i="6"/>
  <c r="P19" i="6"/>
  <c r="P17" i="6"/>
  <c r="P15" i="6"/>
  <c r="P13" i="6"/>
  <c r="P11" i="6"/>
  <c r="P226" i="6"/>
  <c r="P209" i="6"/>
  <c r="P175" i="6"/>
  <c r="P147" i="6"/>
  <c r="P146" i="6"/>
  <c r="P131" i="6"/>
  <c r="P130" i="6"/>
  <c r="P97" i="6"/>
  <c r="P89" i="6"/>
  <c r="P81" i="6"/>
  <c r="P73" i="6"/>
  <c r="P64" i="6"/>
  <c r="P62" i="6"/>
  <c r="P60" i="6"/>
  <c r="P58" i="6"/>
  <c r="P56" i="6"/>
  <c r="P54" i="6"/>
  <c r="P52" i="6"/>
  <c r="P50" i="6"/>
  <c r="P48" i="6"/>
  <c r="P46" i="6"/>
  <c r="P44" i="6"/>
  <c r="P42" i="6"/>
  <c r="P40" i="6"/>
  <c r="P38" i="6"/>
  <c r="P36" i="6"/>
  <c r="P34" i="6"/>
  <c r="P32" i="6"/>
  <c r="P30" i="6"/>
  <c r="P28" i="6"/>
  <c r="P26" i="6"/>
  <c r="P24" i="6"/>
  <c r="P22" i="6"/>
  <c r="P20" i="6"/>
  <c r="P18" i="6"/>
  <c r="P16" i="6"/>
  <c r="P14" i="6"/>
  <c r="P12" i="6"/>
  <c r="P10" i="6"/>
  <c r="P8" i="6"/>
  <c r="P6" i="6"/>
  <c r="P4" i="6"/>
  <c r="P219" i="6"/>
  <c r="P183" i="6"/>
  <c r="P151" i="6"/>
  <c r="P150" i="6"/>
  <c r="P216" i="6"/>
  <c r="P195" i="6"/>
  <c r="P134" i="6"/>
  <c r="P91" i="6"/>
  <c r="P75" i="6"/>
  <c r="P5" i="6"/>
  <c r="P142" i="6"/>
  <c r="P95" i="6"/>
  <c r="P135" i="6"/>
  <c r="P99" i="6"/>
  <c r="P83" i="6"/>
  <c r="P67" i="6"/>
  <c r="P9" i="6"/>
  <c r="P167" i="6"/>
  <c r="P143" i="6"/>
  <c r="P87" i="6"/>
  <c r="P71" i="6"/>
  <c r="P79" i="6"/>
  <c r="P7" i="6"/>
  <c r="Q262" i="6"/>
  <c r="Q260" i="6"/>
  <c r="Q261" i="6"/>
  <c r="Q258" i="6"/>
  <c r="Q251" i="6"/>
  <c r="Q250" i="6"/>
  <c r="Q243" i="6"/>
  <c r="Q242" i="6"/>
  <c r="Q235" i="6"/>
  <c r="Q234" i="6"/>
  <c r="Q253" i="6"/>
  <c r="Q252" i="6"/>
  <c r="Q245" i="6"/>
  <c r="Q244" i="6"/>
  <c r="Q237" i="6"/>
  <c r="Q236" i="6"/>
  <c r="Q228" i="6"/>
  <c r="Q226" i="6"/>
  <c r="Q224" i="6"/>
  <c r="Q222" i="6"/>
  <c r="Q220" i="6"/>
  <c r="Q218" i="6"/>
  <c r="Q216" i="6"/>
  <c r="Q214" i="6"/>
  <c r="Q212" i="6"/>
  <c r="Q210" i="6"/>
  <c r="Q208" i="6"/>
  <c r="Q206" i="6"/>
  <c r="Q204" i="6"/>
  <c r="Q202" i="6"/>
  <c r="Q200" i="6"/>
  <c r="Q198" i="6"/>
  <c r="Q196" i="6"/>
  <c r="Q194" i="6"/>
  <c r="Q192" i="6"/>
  <c r="Q190" i="6"/>
  <c r="Q188" i="6"/>
  <c r="Q186" i="6"/>
  <c r="Q263" i="6"/>
  <c r="Q255" i="6"/>
  <c r="Q254" i="6"/>
  <c r="Q259" i="6"/>
  <c r="Q247" i="6"/>
  <c r="Q246" i="6"/>
  <c r="Q231" i="6"/>
  <c r="Q230" i="6"/>
  <c r="Q223" i="6"/>
  <c r="Q215" i="6"/>
  <c r="Q207" i="6"/>
  <c r="Q257" i="6"/>
  <c r="Q240" i="6"/>
  <c r="Q225" i="6"/>
  <c r="Q213" i="6"/>
  <c r="Q203" i="6"/>
  <c r="Q199" i="6"/>
  <c r="Q191" i="6"/>
  <c r="Q256" i="6"/>
  <c r="Q241" i="6"/>
  <c r="Q239" i="6"/>
  <c r="Q232" i="6"/>
  <c r="Q219" i="6"/>
  <c r="Q209" i="6"/>
  <c r="Q195" i="6"/>
  <c r="Q187" i="6"/>
  <c r="Q248" i="6"/>
  <c r="Q227" i="6"/>
  <c r="Q217" i="6"/>
  <c r="Q179" i="6"/>
  <c r="Q178" i="6"/>
  <c r="Q171" i="6"/>
  <c r="Q170" i="6"/>
  <c r="Q163" i="6"/>
  <c r="Q162" i="6"/>
  <c r="Q238" i="6"/>
  <c r="Q205" i="6"/>
  <c r="Q193" i="6"/>
  <c r="Q183" i="6"/>
  <c r="Q182" i="6"/>
  <c r="Q175" i="6"/>
  <c r="Q174" i="6"/>
  <c r="Q167" i="6"/>
  <c r="Q166" i="6"/>
  <c r="Q159" i="6"/>
  <c r="Q158" i="6"/>
  <c r="Q155" i="6"/>
  <c r="Q153" i="6"/>
  <c r="Q151" i="6"/>
  <c r="Q149" i="6"/>
  <c r="Q147" i="6"/>
  <c r="Q145" i="6"/>
  <c r="Q143" i="6"/>
  <c r="Q141" i="6"/>
  <c r="Q139" i="6"/>
  <c r="Q137" i="6"/>
  <c r="Q135" i="6"/>
  <c r="Q133" i="6"/>
  <c r="Q131" i="6"/>
  <c r="Q129" i="6"/>
  <c r="Q221" i="6"/>
  <c r="Q201" i="6"/>
  <c r="Q173" i="6"/>
  <c r="Q172" i="6"/>
  <c r="Q157" i="6"/>
  <c r="Q154" i="6"/>
  <c r="Q146" i="6"/>
  <c r="Q138" i="6"/>
  <c r="Q130" i="6"/>
  <c r="Q233" i="6"/>
  <c r="Q211" i="6"/>
  <c r="Q189" i="6"/>
  <c r="Q181" i="6"/>
  <c r="Q180" i="6"/>
  <c r="Q165" i="6"/>
  <c r="Q164" i="6"/>
  <c r="Q156" i="6"/>
  <c r="Q150" i="6"/>
  <c r="Q142" i="6"/>
  <c r="Q134" i="6"/>
  <c r="Q229" i="6"/>
  <c r="Q176" i="6"/>
  <c r="Q161" i="6"/>
  <c r="Q140" i="6"/>
  <c r="Q124" i="6"/>
  <c r="Q120" i="6"/>
  <c r="Q116" i="6"/>
  <c r="Q112" i="6"/>
  <c r="Q108" i="6"/>
  <c r="Q104" i="6"/>
  <c r="Q95" i="6"/>
  <c r="Q94" i="6"/>
  <c r="Q87" i="6"/>
  <c r="Q86" i="6"/>
  <c r="Q79" i="6"/>
  <c r="Q78" i="6"/>
  <c r="Q71" i="6"/>
  <c r="Q70" i="6"/>
  <c r="Q249" i="6"/>
  <c r="Q177" i="6"/>
  <c r="Q160" i="6"/>
  <c r="Q148" i="6"/>
  <c r="Q132" i="6"/>
  <c r="Q126" i="6"/>
  <c r="Q122" i="6"/>
  <c r="Q118" i="6"/>
  <c r="Q114" i="6"/>
  <c r="Q110" i="6"/>
  <c r="Q106" i="6"/>
  <c r="Q102" i="6"/>
  <c r="Q99" i="6"/>
  <c r="Q98" i="6"/>
  <c r="Q91" i="6"/>
  <c r="Q90" i="6"/>
  <c r="Q83" i="6"/>
  <c r="Q82" i="6"/>
  <c r="Q75" i="6"/>
  <c r="Q74" i="6"/>
  <c r="Q67" i="6"/>
  <c r="Q66" i="6"/>
  <c r="Q197" i="6"/>
  <c r="Q185" i="6"/>
  <c r="Q168" i="6"/>
  <c r="Q152" i="6"/>
  <c r="Q136" i="6"/>
  <c r="Q121" i="6"/>
  <c r="Q113" i="6"/>
  <c r="Q105" i="6"/>
  <c r="Q93" i="6"/>
  <c r="Q92" i="6"/>
  <c r="Q77" i="6"/>
  <c r="Q76" i="6"/>
  <c r="Q63" i="6"/>
  <c r="Q59" i="6"/>
  <c r="Q55" i="6"/>
  <c r="Q51" i="6"/>
  <c r="Q47" i="6"/>
  <c r="Q43" i="6"/>
  <c r="Q39" i="6"/>
  <c r="Q35" i="6"/>
  <c r="Q31" i="6"/>
  <c r="Q27" i="6"/>
  <c r="Q23" i="6"/>
  <c r="Q19" i="6"/>
  <c r="Q15" i="6"/>
  <c r="Q11" i="6"/>
  <c r="Q7" i="6"/>
  <c r="Q6" i="6"/>
  <c r="Q144" i="6"/>
  <c r="Q127" i="6"/>
  <c r="Q119" i="6"/>
  <c r="Q111" i="6"/>
  <c r="Q103" i="6"/>
  <c r="Q97" i="6"/>
  <c r="Q96" i="6"/>
  <c r="Q80" i="6"/>
  <c r="Q58" i="6"/>
  <c r="Q50" i="6"/>
  <c r="Q42" i="6"/>
  <c r="Q30" i="6"/>
  <c r="Q22" i="6"/>
  <c r="Q14" i="6"/>
  <c r="Q169" i="6"/>
  <c r="Q125" i="6"/>
  <c r="Q117" i="6"/>
  <c r="Q109" i="6"/>
  <c r="Q101" i="6"/>
  <c r="Q100" i="6"/>
  <c r="Q85" i="6"/>
  <c r="Q84" i="6"/>
  <c r="Q69" i="6"/>
  <c r="Q68" i="6"/>
  <c r="Q65" i="6"/>
  <c r="Q61" i="6"/>
  <c r="Q57" i="6"/>
  <c r="Q53" i="6"/>
  <c r="Q49" i="6"/>
  <c r="Q45" i="6"/>
  <c r="Q41" i="6"/>
  <c r="Q37" i="6"/>
  <c r="Q33" i="6"/>
  <c r="Q29" i="6"/>
  <c r="Q25" i="6"/>
  <c r="Q21" i="6"/>
  <c r="Q17" i="6"/>
  <c r="Q13" i="6"/>
  <c r="Q10" i="6"/>
  <c r="Q184" i="6"/>
  <c r="Q128" i="6"/>
  <c r="Q123" i="6"/>
  <c r="Q115" i="6"/>
  <c r="Q107" i="6"/>
  <c r="Q89" i="6"/>
  <c r="Q88" i="6"/>
  <c r="Q73" i="6"/>
  <c r="Q72" i="6"/>
  <c r="Q64" i="6"/>
  <c r="Q60" i="6"/>
  <c r="Q56" i="6"/>
  <c r="Q52" i="6"/>
  <c r="Q48" i="6"/>
  <c r="Q44" i="6"/>
  <c r="Q40" i="6"/>
  <c r="Q36" i="6"/>
  <c r="Q32" i="6"/>
  <c r="Q28" i="6"/>
  <c r="Q24" i="6"/>
  <c r="Q20" i="6"/>
  <c r="Q16" i="6"/>
  <c r="Q12" i="6"/>
  <c r="Q5" i="6"/>
  <c r="Q4" i="6"/>
  <c r="Q81" i="6"/>
  <c r="Q62" i="6"/>
  <c r="Q54" i="6"/>
  <c r="Q46" i="6"/>
  <c r="Q38" i="6"/>
  <c r="Q34" i="6"/>
  <c r="Q26" i="6"/>
  <c r="Q18" i="6"/>
  <c r="Q9" i="6"/>
  <c r="Q8" i="6"/>
  <c r="O263" i="6"/>
  <c r="O261" i="6"/>
  <c r="O259" i="6"/>
  <c r="O262" i="6"/>
  <c r="O256" i="6"/>
  <c r="O255" i="6"/>
  <c r="O248" i="6"/>
  <c r="O247" i="6"/>
  <c r="O240" i="6"/>
  <c r="O239" i="6"/>
  <c r="O232" i="6"/>
  <c r="O231" i="6"/>
  <c r="O258" i="6"/>
  <c r="O257" i="6"/>
  <c r="O250" i="6"/>
  <c r="O249" i="6"/>
  <c r="O242" i="6"/>
  <c r="O241" i="6"/>
  <c r="O234" i="6"/>
  <c r="O233" i="6"/>
  <c r="O229" i="6"/>
  <c r="O227" i="6"/>
  <c r="O225" i="6"/>
  <c r="O223" i="6"/>
  <c r="O221" i="6"/>
  <c r="O219" i="6"/>
  <c r="O217" i="6"/>
  <c r="O215" i="6"/>
  <c r="O213" i="6"/>
  <c r="O211" i="6"/>
  <c r="O209" i="6"/>
  <c r="O207" i="6"/>
  <c r="O205" i="6"/>
  <c r="O203" i="6"/>
  <c r="O201" i="6"/>
  <c r="O199" i="6"/>
  <c r="O197" i="6"/>
  <c r="O195" i="6"/>
  <c r="O193" i="6"/>
  <c r="O191" i="6"/>
  <c r="O189" i="6"/>
  <c r="O187" i="6"/>
  <c r="O260" i="6"/>
  <c r="O252" i="6"/>
  <c r="O251" i="6"/>
  <c r="O244" i="6"/>
  <c r="O243" i="6"/>
  <c r="O228" i="6"/>
  <c r="O220" i="6"/>
  <c r="O212" i="6"/>
  <c r="O204" i="6"/>
  <c r="O253" i="6"/>
  <c r="O230" i="6"/>
  <c r="O226" i="6"/>
  <c r="O216" i="6"/>
  <c r="O206" i="6"/>
  <c r="O196" i="6"/>
  <c r="O188" i="6"/>
  <c r="O254" i="6"/>
  <c r="O238" i="6"/>
  <c r="O235" i="6"/>
  <c r="O222" i="6"/>
  <c r="O210" i="6"/>
  <c r="O200" i="6"/>
  <c r="O192" i="6"/>
  <c r="O237" i="6"/>
  <c r="O198" i="6"/>
  <c r="O184" i="6"/>
  <c r="O183" i="6"/>
  <c r="O176" i="6"/>
  <c r="O175" i="6"/>
  <c r="O168" i="6"/>
  <c r="O167" i="6"/>
  <c r="O160" i="6"/>
  <c r="O246" i="6"/>
  <c r="O218" i="6"/>
  <c r="O208" i="6"/>
  <c r="O190" i="6"/>
  <c r="O180" i="6"/>
  <c r="O179" i="6"/>
  <c r="O172" i="6"/>
  <c r="O171" i="6"/>
  <c r="O164" i="6"/>
  <c r="O163" i="6"/>
  <c r="O156" i="6"/>
  <c r="O154" i="6"/>
  <c r="O152" i="6"/>
  <c r="O150" i="6"/>
  <c r="O148" i="6"/>
  <c r="O146" i="6"/>
  <c r="O144" i="6"/>
  <c r="O142" i="6"/>
  <c r="O140" i="6"/>
  <c r="O138" i="6"/>
  <c r="O136" i="6"/>
  <c r="O134" i="6"/>
  <c r="O132" i="6"/>
  <c r="O130" i="6"/>
  <c r="O128" i="6"/>
  <c r="O236" i="6"/>
  <c r="O224" i="6"/>
  <c r="O186" i="6"/>
  <c r="O185" i="6"/>
  <c r="O170" i="6"/>
  <c r="O169" i="6"/>
  <c r="O151" i="6"/>
  <c r="O143" i="6"/>
  <c r="O135" i="6"/>
  <c r="O214" i="6"/>
  <c r="O178" i="6"/>
  <c r="O177" i="6"/>
  <c r="O162" i="6"/>
  <c r="O161" i="6"/>
  <c r="O159" i="6"/>
  <c r="O155" i="6"/>
  <c r="O147" i="6"/>
  <c r="O139" i="6"/>
  <c r="O131" i="6"/>
  <c r="O174" i="6"/>
  <c r="O153" i="6"/>
  <c r="O137" i="6"/>
  <c r="O125" i="6"/>
  <c r="O121" i="6"/>
  <c r="O117" i="6"/>
  <c r="O113" i="6"/>
  <c r="O109" i="6"/>
  <c r="O105" i="6"/>
  <c r="O100" i="6"/>
  <c r="O99" i="6"/>
  <c r="O92" i="6"/>
  <c r="O91" i="6"/>
  <c r="O84" i="6"/>
  <c r="O83" i="6"/>
  <c r="O76" i="6"/>
  <c r="O75" i="6"/>
  <c r="O68" i="6"/>
  <c r="O67" i="6"/>
  <c r="O194" i="6"/>
  <c r="O173" i="6"/>
  <c r="O157" i="6"/>
  <c r="O145" i="6"/>
  <c r="O129" i="6"/>
  <c r="O127" i="6"/>
  <c r="O123" i="6"/>
  <c r="O119" i="6"/>
  <c r="O115" i="6"/>
  <c r="O111" i="6"/>
  <c r="O107" i="6"/>
  <c r="O103" i="6"/>
  <c r="O96" i="6"/>
  <c r="O95" i="6"/>
  <c r="O88" i="6"/>
  <c r="O87" i="6"/>
  <c r="O80" i="6"/>
  <c r="O79" i="6"/>
  <c r="O72" i="6"/>
  <c r="O71" i="6"/>
  <c r="O245" i="6"/>
  <c r="O202" i="6"/>
  <c r="O181" i="6"/>
  <c r="O166" i="6"/>
  <c r="O158" i="6"/>
  <c r="O149" i="6"/>
  <c r="O182" i="6"/>
  <c r="O165" i="6"/>
  <c r="O126" i="6"/>
  <c r="O118" i="6"/>
  <c r="O110" i="6"/>
  <c r="O102" i="6"/>
  <c r="O90" i="6"/>
  <c r="O89" i="6"/>
  <c r="O74" i="6"/>
  <c r="O73" i="6"/>
  <c r="O64" i="6"/>
  <c r="O60" i="6"/>
  <c r="O56" i="6"/>
  <c r="O52" i="6"/>
  <c r="O48" i="6"/>
  <c r="O44" i="6"/>
  <c r="O40" i="6"/>
  <c r="O36" i="6"/>
  <c r="O32" i="6"/>
  <c r="O28" i="6"/>
  <c r="O24" i="6"/>
  <c r="O20" i="6"/>
  <c r="O16" i="6"/>
  <c r="O12" i="6"/>
  <c r="O4" i="6"/>
  <c r="O124" i="6"/>
  <c r="O116" i="6"/>
  <c r="O108" i="6"/>
  <c r="O94" i="6"/>
  <c r="O93" i="6"/>
  <c r="O78" i="6"/>
  <c r="O63" i="6"/>
  <c r="O55" i="6"/>
  <c r="O47" i="6"/>
  <c r="O39" i="6"/>
  <c r="O35" i="6"/>
  <c r="O27" i="6"/>
  <c r="O19" i="6"/>
  <c r="O11" i="6"/>
  <c r="O133" i="6"/>
  <c r="O122" i="6"/>
  <c r="O114" i="6"/>
  <c r="O106" i="6"/>
  <c r="O98" i="6"/>
  <c r="O97" i="6"/>
  <c r="O82" i="6"/>
  <c r="O81" i="6"/>
  <c r="O66" i="6"/>
  <c r="O62" i="6"/>
  <c r="O58" i="6"/>
  <c r="O54" i="6"/>
  <c r="O50" i="6"/>
  <c r="O46" i="6"/>
  <c r="O42" i="6"/>
  <c r="O38" i="6"/>
  <c r="O34" i="6"/>
  <c r="O30" i="6"/>
  <c r="O26" i="6"/>
  <c r="O22" i="6"/>
  <c r="O18" i="6"/>
  <c r="O14" i="6"/>
  <c r="O8" i="6"/>
  <c r="O7" i="6"/>
  <c r="O141" i="6"/>
  <c r="O120" i="6"/>
  <c r="O112" i="6"/>
  <c r="O104" i="6"/>
  <c r="O101" i="6"/>
  <c r="O86" i="6"/>
  <c r="O85" i="6"/>
  <c r="O70" i="6"/>
  <c r="O69" i="6"/>
  <c r="O65" i="6"/>
  <c r="O61" i="6"/>
  <c r="O57" i="6"/>
  <c r="O53" i="6"/>
  <c r="O49" i="6"/>
  <c r="O45" i="6"/>
  <c r="O41" i="6"/>
  <c r="O37" i="6"/>
  <c r="O33" i="6"/>
  <c r="O29" i="6"/>
  <c r="O25" i="6"/>
  <c r="O21" i="6"/>
  <c r="O17" i="6"/>
  <c r="O13" i="6"/>
  <c r="O10" i="6"/>
  <c r="O9" i="6"/>
  <c r="O77" i="6"/>
  <c r="O59" i="6"/>
  <c r="O51" i="6"/>
  <c r="O43" i="6"/>
  <c r="O31" i="6"/>
  <c r="O23" i="6"/>
  <c r="O15" i="6"/>
  <c r="O6" i="6"/>
  <c r="O5" i="6"/>
  <c r="S263" i="6"/>
  <c r="S261" i="6"/>
  <c r="S259" i="6"/>
  <c r="S260" i="6"/>
  <c r="S254" i="6"/>
  <c r="S253" i="6"/>
  <c r="S246" i="6"/>
  <c r="S245" i="6"/>
  <c r="S238" i="6"/>
  <c r="S237" i="6"/>
  <c r="S230" i="6"/>
  <c r="S256" i="6"/>
  <c r="S255" i="6"/>
  <c r="S248" i="6"/>
  <c r="S247" i="6"/>
  <c r="S240" i="6"/>
  <c r="S239" i="6"/>
  <c r="S232" i="6"/>
  <c r="S231" i="6"/>
  <c r="S229" i="6"/>
  <c r="S227" i="6"/>
  <c r="S225" i="6"/>
  <c r="S223" i="6"/>
  <c r="S221" i="6"/>
  <c r="S219" i="6"/>
  <c r="S217" i="6"/>
  <c r="S215" i="6"/>
  <c r="S213" i="6"/>
  <c r="S211" i="6"/>
  <c r="S209" i="6"/>
  <c r="S207" i="6"/>
  <c r="S205" i="6"/>
  <c r="S203" i="6"/>
  <c r="S201" i="6"/>
  <c r="S199" i="6"/>
  <c r="S197" i="6"/>
  <c r="S195" i="6"/>
  <c r="S193" i="6"/>
  <c r="S191" i="6"/>
  <c r="S189" i="6"/>
  <c r="S187" i="6"/>
  <c r="S258" i="6"/>
  <c r="S257" i="6"/>
  <c r="S242" i="6"/>
  <c r="S241" i="6"/>
  <c r="S262" i="6"/>
  <c r="S250" i="6"/>
  <c r="S249" i="6"/>
  <c r="S234" i="6"/>
  <c r="S233" i="6"/>
  <c r="S226" i="6"/>
  <c r="S218" i="6"/>
  <c r="S210" i="6"/>
  <c r="S202" i="6"/>
  <c r="S244" i="6"/>
  <c r="S222" i="6"/>
  <c r="S212" i="6"/>
  <c r="S200" i="6"/>
  <c r="S194" i="6"/>
  <c r="S186" i="6"/>
  <c r="S243" i="6"/>
  <c r="S236" i="6"/>
  <c r="S228" i="6"/>
  <c r="S216" i="6"/>
  <c r="S206" i="6"/>
  <c r="S198" i="6"/>
  <c r="S190" i="6"/>
  <c r="S252" i="6"/>
  <c r="S224" i="6"/>
  <c r="S214" i="6"/>
  <c r="S204" i="6"/>
  <c r="S188" i="6"/>
  <c r="S182" i="6"/>
  <c r="S181" i="6"/>
  <c r="S174" i="6"/>
  <c r="S173" i="6"/>
  <c r="S166" i="6"/>
  <c r="S165" i="6"/>
  <c r="S235" i="6"/>
  <c r="S196" i="6"/>
  <c r="S185" i="6"/>
  <c r="S178" i="6"/>
  <c r="S177" i="6"/>
  <c r="S170" i="6"/>
  <c r="S169" i="6"/>
  <c r="S162" i="6"/>
  <c r="S161" i="6"/>
  <c r="S154" i="6"/>
  <c r="S152" i="6"/>
  <c r="S150" i="6"/>
  <c r="S148" i="6"/>
  <c r="S146" i="6"/>
  <c r="S144" i="6"/>
  <c r="S142" i="6"/>
  <c r="S140" i="6"/>
  <c r="S138" i="6"/>
  <c r="S136" i="6"/>
  <c r="S134" i="6"/>
  <c r="S132" i="6"/>
  <c r="S130" i="6"/>
  <c r="S128" i="6"/>
  <c r="S251" i="6"/>
  <c r="S192" i="6"/>
  <c r="S176" i="6"/>
  <c r="S175" i="6"/>
  <c r="S160" i="6"/>
  <c r="S159" i="6"/>
  <c r="S156" i="6"/>
  <c r="S149" i="6"/>
  <c r="S141" i="6"/>
  <c r="S133" i="6"/>
  <c r="S208" i="6"/>
  <c r="S184" i="6"/>
  <c r="S183" i="6"/>
  <c r="S168" i="6"/>
  <c r="S167" i="6"/>
  <c r="S153" i="6"/>
  <c r="S145" i="6"/>
  <c r="S137" i="6"/>
  <c r="S129" i="6"/>
  <c r="S180" i="6"/>
  <c r="S163" i="6"/>
  <c r="S143" i="6"/>
  <c r="S127" i="6"/>
  <c r="S123" i="6"/>
  <c r="S119" i="6"/>
  <c r="S115" i="6"/>
  <c r="S111" i="6"/>
  <c r="S107" i="6"/>
  <c r="S103" i="6"/>
  <c r="S98" i="6"/>
  <c r="S97" i="6"/>
  <c r="S90" i="6"/>
  <c r="S89" i="6"/>
  <c r="S82" i="6"/>
  <c r="S81" i="6"/>
  <c r="S74" i="6"/>
  <c r="S73" i="6"/>
  <c r="S66" i="6"/>
  <c r="S220" i="6"/>
  <c r="S179" i="6"/>
  <c r="S164" i="6"/>
  <c r="S158" i="6"/>
  <c r="S151" i="6"/>
  <c r="S135" i="6"/>
  <c r="S125" i="6"/>
  <c r="S121" i="6"/>
  <c r="S117" i="6"/>
  <c r="S113" i="6"/>
  <c r="S109" i="6"/>
  <c r="S105" i="6"/>
  <c r="S101" i="6"/>
  <c r="S94" i="6"/>
  <c r="S93" i="6"/>
  <c r="S86" i="6"/>
  <c r="S85" i="6"/>
  <c r="S78" i="6"/>
  <c r="S77" i="6"/>
  <c r="S70" i="6"/>
  <c r="S69" i="6"/>
  <c r="S172" i="6"/>
  <c r="S155" i="6"/>
  <c r="S157" i="6"/>
  <c r="S124" i="6"/>
  <c r="S116" i="6"/>
  <c r="S108" i="6"/>
  <c r="S96" i="6"/>
  <c r="S95" i="6"/>
  <c r="S80" i="6"/>
  <c r="S79" i="6"/>
  <c r="S62" i="6"/>
  <c r="S58" i="6"/>
  <c r="S54" i="6"/>
  <c r="S50" i="6"/>
  <c r="S46" i="6"/>
  <c r="S42" i="6"/>
  <c r="S38" i="6"/>
  <c r="S34" i="6"/>
  <c r="S30" i="6"/>
  <c r="S26" i="6"/>
  <c r="S22" i="6"/>
  <c r="S18" i="6"/>
  <c r="S14" i="6"/>
  <c r="S10" i="6"/>
  <c r="S9" i="6"/>
  <c r="S171" i="6"/>
  <c r="S147" i="6"/>
  <c r="S131" i="6"/>
  <c r="S122" i="6"/>
  <c r="S114" i="6"/>
  <c r="S106" i="6"/>
  <c r="S100" i="6"/>
  <c r="S99" i="6"/>
  <c r="S84" i="6"/>
  <c r="S61" i="6"/>
  <c r="S53" i="6"/>
  <c r="S45" i="6"/>
  <c r="S33" i="6"/>
  <c r="S25" i="6"/>
  <c r="S17" i="6"/>
  <c r="S4" i="6"/>
  <c r="S139" i="6"/>
  <c r="S120" i="6"/>
  <c r="S112" i="6"/>
  <c r="S104" i="6"/>
  <c r="S88" i="6"/>
  <c r="S87" i="6"/>
  <c r="S72" i="6"/>
  <c r="S71" i="6"/>
  <c r="S64" i="6"/>
  <c r="S60" i="6"/>
  <c r="S56" i="6"/>
  <c r="S52" i="6"/>
  <c r="S48" i="6"/>
  <c r="S44" i="6"/>
  <c r="S40" i="6"/>
  <c r="S36" i="6"/>
  <c r="S32" i="6"/>
  <c r="S28" i="6"/>
  <c r="S24" i="6"/>
  <c r="S20" i="6"/>
  <c r="S16" i="6"/>
  <c r="S12" i="6"/>
  <c r="S6" i="6"/>
  <c r="S5" i="6"/>
  <c r="S126" i="6"/>
  <c r="S118" i="6"/>
  <c r="S110" i="6"/>
  <c r="S102" i="6"/>
  <c r="S92" i="6"/>
  <c r="S91" i="6"/>
  <c r="S76" i="6"/>
  <c r="S75" i="6"/>
  <c r="S63" i="6"/>
  <c r="S59" i="6"/>
  <c r="S55" i="6"/>
  <c r="S51" i="6"/>
  <c r="S47" i="6"/>
  <c r="S43" i="6"/>
  <c r="S39" i="6"/>
  <c r="S35" i="6"/>
  <c r="S31" i="6"/>
  <c r="S27" i="6"/>
  <c r="S23" i="6"/>
  <c r="S19" i="6"/>
  <c r="S15" i="6"/>
  <c r="S11" i="6"/>
  <c r="S8" i="6"/>
  <c r="S7" i="6"/>
  <c r="S83" i="6"/>
  <c r="S68" i="6"/>
  <c r="S67" i="6"/>
  <c r="S65" i="6"/>
  <c r="S57" i="6"/>
  <c r="S49" i="6"/>
  <c r="S41" i="6"/>
  <c r="S37" i="6"/>
  <c r="S29" i="6"/>
  <c r="S21" i="6"/>
  <c r="S13" i="6"/>
  <c r="W263" i="6"/>
  <c r="W261" i="6"/>
  <c r="W259" i="6"/>
  <c r="W262" i="6"/>
  <c r="W258" i="6"/>
  <c r="W252" i="6"/>
  <c r="W251" i="6"/>
  <c r="W244" i="6"/>
  <c r="W243" i="6"/>
  <c r="W236" i="6"/>
  <c r="W235" i="6"/>
  <c r="W254" i="6"/>
  <c r="W253" i="6"/>
  <c r="W246" i="6"/>
  <c r="W245" i="6"/>
  <c r="W238" i="6"/>
  <c r="W237" i="6"/>
  <c r="W230" i="6"/>
  <c r="W229" i="6"/>
  <c r="W227" i="6"/>
  <c r="W225" i="6"/>
  <c r="W223" i="6"/>
  <c r="W221" i="6"/>
  <c r="W219" i="6"/>
  <c r="W217" i="6"/>
  <c r="W215" i="6"/>
  <c r="W213" i="6"/>
  <c r="W211" i="6"/>
  <c r="W209" i="6"/>
  <c r="W207" i="6"/>
  <c r="W205" i="6"/>
  <c r="W203" i="6"/>
  <c r="W201" i="6"/>
  <c r="W199" i="6"/>
  <c r="W197" i="6"/>
  <c r="W195" i="6"/>
  <c r="W193" i="6"/>
  <c r="W191" i="6"/>
  <c r="W189" i="6"/>
  <c r="W187" i="6"/>
  <c r="W248" i="6"/>
  <c r="W247" i="6"/>
  <c r="W260" i="6"/>
  <c r="W256" i="6"/>
  <c r="W255" i="6"/>
  <c r="W240" i="6"/>
  <c r="W239" i="6"/>
  <c r="W224" i="6"/>
  <c r="W216" i="6"/>
  <c r="W208" i="6"/>
  <c r="W200" i="6"/>
  <c r="W250" i="6"/>
  <c r="W232" i="6"/>
  <c r="W218" i="6"/>
  <c r="W206" i="6"/>
  <c r="W192" i="6"/>
  <c r="W249" i="6"/>
  <c r="W233" i="6"/>
  <c r="W222" i="6"/>
  <c r="W212" i="6"/>
  <c r="W202" i="6"/>
  <c r="W196" i="6"/>
  <c r="W188" i="6"/>
  <c r="W228" i="6"/>
  <c r="W194" i="6"/>
  <c r="W180" i="6"/>
  <c r="W179" i="6"/>
  <c r="W172" i="6"/>
  <c r="W171" i="6"/>
  <c r="W164" i="6"/>
  <c r="W163" i="6"/>
  <c r="W241" i="6"/>
  <c r="W220" i="6"/>
  <c r="W210" i="6"/>
  <c r="W186" i="6"/>
  <c r="W184" i="6"/>
  <c r="W183" i="6"/>
  <c r="W176" i="6"/>
  <c r="W175" i="6"/>
  <c r="W168" i="6"/>
  <c r="W167" i="6"/>
  <c r="W160" i="6"/>
  <c r="W159" i="6"/>
  <c r="W154" i="6"/>
  <c r="W152" i="6"/>
  <c r="W150" i="6"/>
  <c r="W148" i="6"/>
  <c r="W146" i="6"/>
  <c r="W144" i="6"/>
  <c r="W142" i="6"/>
  <c r="W140" i="6"/>
  <c r="W138" i="6"/>
  <c r="W136" i="6"/>
  <c r="W134" i="6"/>
  <c r="W132" i="6"/>
  <c r="W130" i="6"/>
  <c r="W128" i="6"/>
  <c r="W242" i="6"/>
  <c r="W226" i="6"/>
  <c r="W198" i="6"/>
  <c r="W182" i="6"/>
  <c r="W181" i="6"/>
  <c r="W166" i="6"/>
  <c r="W165" i="6"/>
  <c r="W155" i="6"/>
  <c r="W147" i="6"/>
  <c r="W139" i="6"/>
  <c r="W131" i="6"/>
  <c r="W174" i="6"/>
  <c r="W173" i="6"/>
  <c r="W156" i="6"/>
  <c r="W151" i="6"/>
  <c r="W143" i="6"/>
  <c r="W135" i="6"/>
  <c r="W127" i="6"/>
  <c r="W257" i="6"/>
  <c r="W169" i="6"/>
  <c r="W157" i="6"/>
  <c r="W149" i="6"/>
  <c r="W133" i="6"/>
  <c r="W125" i="6"/>
  <c r="W121" i="6"/>
  <c r="W117" i="6"/>
  <c r="W113" i="6"/>
  <c r="W109" i="6"/>
  <c r="W105" i="6"/>
  <c r="W101" i="6"/>
  <c r="W96" i="6"/>
  <c r="W95" i="6"/>
  <c r="W88" i="6"/>
  <c r="W87" i="6"/>
  <c r="W80" i="6"/>
  <c r="W79" i="6"/>
  <c r="W72" i="6"/>
  <c r="W71" i="6"/>
  <c r="W234" i="6"/>
  <c r="W214" i="6"/>
  <c r="W185" i="6"/>
  <c r="W170" i="6"/>
  <c r="W141" i="6"/>
  <c r="W123" i="6"/>
  <c r="W119" i="6"/>
  <c r="W115" i="6"/>
  <c r="W111" i="6"/>
  <c r="W107" i="6"/>
  <c r="W103" i="6"/>
  <c r="W100" i="6"/>
  <c r="W99" i="6"/>
  <c r="W92" i="6"/>
  <c r="W91" i="6"/>
  <c r="W84" i="6"/>
  <c r="W83" i="6"/>
  <c r="W76" i="6"/>
  <c r="W75" i="6"/>
  <c r="W68" i="6"/>
  <c r="W67" i="6"/>
  <c r="W231" i="6"/>
  <c r="W178" i="6"/>
  <c r="W161" i="6"/>
  <c r="W145" i="6"/>
  <c r="W129" i="6"/>
  <c r="W122" i="6"/>
  <c r="W114" i="6"/>
  <c r="W106" i="6"/>
  <c r="W86" i="6"/>
  <c r="W85" i="6"/>
  <c r="W70" i="6"/>
  <c r="W69" i="6"/>
  <c r="W64" i="6"/>
  <c r="W60" i="6"/>
  <c r="W56" i="6"/>
  <c r="W52" i="6"/>
  <c r="W48" i="6"/>
  <c r="W44" i="6"/>
  <c r="W40" i="6"/>
  <c r="W36" i="6"/>
  <c r="W32" i="6"/>
  <c r="W28" i="6"/>
  <c r="W24" i="6"/>
  <c r="W20" i="6"/>
  <c r="W16" i="6"/>
  <c r="W12" i="6"/>
  <c r="W8" i="6"/>
  <c r="W7" i="6"/>
  <c r="W190" i="6"/>
  <c r="W162" i="6"/>
  <c r="W137" i="6"/>
  <c r="W120" i="6"/>
  <c r="W112" i="6"/>
  <c r="W104" i="6"/>
  <c r="W90" i="6"/>
  <c r="W73" i="6"/>
  <c r="W59" i="6"/>
  <c r="W51" i="6"/>
  <c r="W43" i="6"/>
  <c r="W31" i="6"/>
  <c r="W23" i="6"/>
  <c r="W15" i="6"/>
  <c r="W9" i="6"/>
  <c r="W204" i="6"/>
  <c r="W177" i="6"/>
  <c r="W126" i="6"/>
  <c r="W118" i="6"/>
  <c r="W110" i="6"/>
  <c r="W102" i="6"/>
  <c r="W94" i="6"/>
  <c r="W93" i="6"/>
  <c r="W78" i="6"/>
  <c r="W77" i="6"/>
  <c r="W62" i="6"/>
  <c r="W58" i="6"/>
  <c r="W54" i="6"/>
  <c r="W50" i="6"/>
  <c r="W46" i="6"/>
  <c r="W42" i="6"/>
  <c r="W38" i="6"/>
  <c r="W34" i="6"/>
  <c r="W30" i="6"/>
  <c r="W26" i="6"/>
  <c r="W22" i="6"/>
  <c r="W18" i="6"/>
  <c r="W14" i="6"/>
  <c r="W10" i="6"/>
  <c r="W4" i="6"/>
  <c r="W158" i="6"/>
  <c r="W153" i="6"/>
  <c r="W124" i="6"/>
  <c r="W116" i="6"/>
  <c r="W108" i="6"/>
  <c r="W98" i="6"/>
  <c r="W97" i="6"/>
  <c r="W82" i="6"/>
  <c r="W81" i="6"/>
  <c r="W66" i="6"/>
  <c r="W65" i="6"/>
  <c r="W61" i="6"/>
  <c r="W57" i="6"/>
  <c r="W53" i="6"/>
  <c r="W49" i="6"/>
  <c r="W45" i="6"/>
  <c r="W41" i="6"/>
  <c r="W37" i="6"/>
  <c r="W33" i="6"/>
  <c r="W29" i="6"/>
  <c r="W25" i="6"/>
  <c r="W21" i="6"/>
  <c r="W17" i="6"/>
  <c r="W13" i="6"/>
  <c r="W6" i="6"/>
  <c r="W5" i="6"/>
  <c r="W89" i="6"/>
  <c r="W74" i="6"/>
  <c r="W63" i="6"/>
  <c r="W55" i="6"/>
  <c r="W47" i="6"/>
  <c r="W39" i="6"/>
  <c r="W35" i="6"/>
  <c r="W27" i="6"/>
  <c r="W19" i="6"/>
  <c r="W11" i="6"/>
  <c r="N4" i="6"/>
  <c r="B4" i="6"/>
  <c r="U3" i="6"/>
  <c r="T3" i="6"/>
  <c r="S3" i="6"/>
  <c r="R3" i="6"/>
  <c r="Q3" i="6"/>
  <c r="P3" i="6"/>
  <c r="O3" i="6"/>
  <c r="N3" i="6"/>
  <c r="AX11" i="3"/>
  <c r="AS11" i="3"/>
  <c r="AN11" i="3"/>
  <c r="AI11" i="3"/>
  <c r="AD11" i="3"/>
  <c r="Y11" i="3"/>
  <c r="T11" i="3"/>
  <c r="O11" i="3"/>
  <c r="J11" i="3"/>
  <c r="E11" i="3"/>
  <c r="G16" i="15" l="1"/>
  <c r="F16" i="15" s="1"/>
  <c r="DG94" i="6"/>
  <c r="DG95" i="6"/>
  <c r="C79" i="26"/>
  <c r="B34" i="39" s="1"/>
  <c r="M1" i="15"/>
  <c r="P1" i="15"/>
  <c r="O1" i="15"/>
  <c r="Q1" i="15"/>
  <c r="N1" i="15"/>
  <c r="I15" i="26"/>
  <c r="G15" i="26"/>
  <c r="C15" i="26"/>
  <c r="E15" i="26"/>
  <c r="AJ99" i="6"/>
  <c r="AJ157" i="6"/>
  <c r="AJ10" i="6"/>
  <c r="AJ112" i="6"/>
  <c r="AJ13" i="6"/>
  <c r="AJ29" i="6"/>
  <c r="AJ45" i="6"/>
  <c r="AJ61" i="6"/>
  <c r="AJ84" i="6"/>
  <c r="AJ141" i="6"/>
  <c r="AJ131" i="6"/>
  <c r="AJ142" i="6"/>
  <c r="AJ183" i="6"/>
  <c r="AJ248" i="6"/>
  <c r="AJ206" i="6"/>
  <c r="AJ16" i="6"/>
  <c r="AJ32" i="6"/>
  <c r="AJ48" i="6"/>
  <c r="AJ64" i="6"/>
  <c r="AJ209" i="6"/>
  <c r="AJ199" i="6"/>
  <c r="AJ147" i="6"/>
  <c r="AJ179" i="6"/>
  <c r="AJ240" i="6"/>
  <c r="AJ137" i="6"/>
  <c r="AJ150" i="6"/>
  <c r="AJ174" i="6"/>
  <c r="AJ217" i="6"/>
  <c r="AJ182" i="6"/>
  <c r="AJ222" i="6"/>
  <c r="AJ230" i="6"/>
  <c r="AJ250" i="6"/>
  <c r="AJ237" i="6"/>
  <c r="AJ245" i="6"/>
  <c r="AJ253" i="6"/>
  <c r="AJ261" i="6"/>
  <c r="AJ77" i="6"/>
  <c r="AJ100" i="6"/>
  <c r="AJ88" i="6"/>
  <c r="AJ106" i="6"/>
  <c r="AJ134" i="6"/>
  <c r="AJ166" i="6"/>
  <c r="AJ256" i="6"/>
  <c r="AJ190" i="6"/>
  <c r="AJ109" i="6"/>
  <c r="AJ225" i="6"/>
  <c r="AJ108" i="6"/>
  <c r="AJ158" i="6"/>
  <c r="AJ143" i="6"/>
  <c r="AJ26" i="6"/>
  <c r="AJ42" i="6"/>
  <c r="AJ58" i="6"/>
  <c r="AJ80" i="6"/>
  <c r="AJ107" i="6"/>
  <c r="AJ20" i="6"/>
  <c r="AJ36" i="6"/>
  <c r="AJ52" i="6"/>
  <c r="AJ68" i="6"/>
  <c r="AJ93" i="6"/>
  <c r="AJ115" i="6"/>
  <c r="AJ15" i="6"/>
  <c r="AJ31" i="6"/>
  <c r="AJ39" i="6"/>
  <c r="AJ63" i="6"/>
  <c r="AJ71" i="6"/>
  <c r="AJ91" i="6"/>
  <c r="AJ151" i="6"/>
  <c r="AJ102" i="6"/>
  <c r="AJ223" i="6"/>
  <c r="AJ221" i="6"/>
  <c r="AJ155" i="6"/>
  <c r="AJ187" i="6"/>
  <c r="AJ126" i="6"/>
  <c r="AJ145" i="6"/>
  <c r="AJ136" i="6"/>
  <c r="AJ144" i="6"/>
  <c r="AJ160" i="6"/>
  <c r="AJ168" i="6"/>
  <c r="AJ219" i="6"/>
  <c r="AJ181" i="6"/>
  <c r="AJ197" i="6"/>
  <c r="AJ192" i="6"/>
  <c r="AJ200" i="6"/>
  <c r="AJ208" i="6"/>
  <c r="AJ216" i="6"/>
  <c r="AJ224" i="6"/>
  <c r="AJ238" i="6"/>
  <c r="AJ254" i="6"/>
  <c r="AJ239" i="6"/>
  <c r="AJ247" i="6"/>
  <c r="AJ255" i="6"/>
  <c r="AJ263" i="6"/>
  <c r="AJ38" i="6"/>
  <c r="AJ22" i="6"/>
  <c r="AJ70" i="6"/>
  <c r="AJ79" i="6"/>
  <c r="AJ111" i="6"/>
  <c r="AJ169" i="6"/>
  <c r="AJ203" i="6"/>
  <c r="AJ198" i="6"/>
  <c r="AJ104" i="6"/>
  <c r="AJ7" i="6"/>
  <c r="AJ167" i="6"/>
  <c r="AJ47" i="6"/>
  <c r="AJ133" i="6"/>
  <c r="AJ177" i="6"/>
  <c r="AJ176" i="6"/>
  <c r="AJ215" i="6"/>
  <c r="AJ184" i="6"/>
  <c r="AJ82" i="6"/>
  <c r="AJ6" i="6"/>
  <c r="AJ125" i="6"/>
  <c r="AJ18" i="6"/>
  <c r="AJ34" i="6"/>
  <c r="AJ50" i="6"/>
  <c r="AJ66" i="6"/>
  <c r="AJ97" i="6"/>
  <c r="AJ9" i="6"/>
  <c r="AJ92" i="6"/>
  <c r="AJ12" i="6"/>
  <c r="AJ28" i="6"/>
  <c r="AJ44" i="6"/>
  <c r="AJ60" i="6"/>
  <c r="AJ85" i="6"/>
  <c r="AJ159" i="6"/>
  <c r="AJ83" i="6"/>
  <c r="AJ105" i="6"/>
  <c r="AJ227" i="6"/>
  <c r="AJ19" i="6"/>
  <c r="AJ27" i="6"/>
  <c r="AJ35" i="6"/>
  <c r="AJ43" i="6"/>
  <c r="AJ51" i="6"/>
  <c r="AJ59" i="6"/>
  <c r="AJ67" i="6"/>
  <c r="AJ81" i="6"/>
  <c r="AJ101" i="6"/>
  <c r="AJ129" i="6"/>
  <c r="AJ78" i="6"/>
  <c r="AJ94" i="6"/>
  <c r="AJ110" i="6"/>
  <c r="AJ127" i="6"/>
  <c r="AJ165" i="6"/>
  <c r="AJ173" i="6"/>
  <c r="AJ139" i="6"/>
  <c r="AJ171" i="6"/>
  <c r="AJ211" i="6"/>
  <c r="AJ122" i="6"/>
  <c r="AJ130" i="6"/>
  <c r="AJ161" i="6"/>
  <c r="AJ132" i="6"/>
  <c r="AJ140" i="6"/>
  <c r="AJ148" i="6"/>
  <c r="AJ156" i="6"/>
  <c r="AJ164" i="6"/>
  <c r="AJ172" i="6"/>
  <c r="AJ180" i="6"/>
  <c r="AJ207" i="6"/>
  <c r="AJ252" i="6"/>
  <c r="AJ193" i="6"/>
  <c r="AJ244" i="6"/>
  <c r="AJ213" i="6"/>
  <c r="AJ188" i="6"/>
  <c r="AJ196" i="6"/>
  <c r="AJ204" i="6"/>
  <c r="AJ212" i="6"/>
  <c r="AJ220" i="6"/>
  <c r="AJ228" i="6"/>
  <c r="AJ246" i="6"/>
  <c r="AJ262" i="6"/>
  <c r="AJ235" i="6"/>
  <c r="AJ243" i="6"/>
  <c r="AJ251" i="6"/>
  <c r="AJ259" i="6"/>
  <c r="AJ54" i="6"/>
  <c r="AJ21" i="6"/>
  <c r="AJ37" i="6"/>
  <c r="AJ53" i="6"/>
  <c r="AJ69" i="6"/>
  <c r="AJ95" i="6"/>
  <c r="AJ124" i="6"/>
  <c r="AJ214" i="6"/>
  <c r="AJ236" i="6"/>
  <c r="AJ11" i="6"/>
  <c r="AJ72" i="6"/>
  <c r="AJ73" i="6"/>
  <c r="AJ23" i="6"/>
  <c r="AJ55" i="6"/>
  <c r="AJ113" i="6"/>
  <c r="AJ86" i="6"/>
  <c r="AJ119" i="6"/>
  <c r="AJ118" i="6"/>
  <c r="AJ152" i="6"/>
  <c r="AJ191" i="6"/>
  <c r="AJ231" i="6"/>
  <c r="AJ5" i="6"/>
  <c r="AJ114" i="6"/>
  <c r="AJ14" i="6"/>
  <c r="AJ30" i="6"/>
  <c r="AJ46" i="6"/>
  <c r="AJ62" i="6"/>
  <c r="AJ90" i="6"/>
  <c r="AJ117" i="6"/>
  <c r="AJ89" i="6"/>
  <c r="AJ8" i="6"/>
  <c r="AJ24" i="6"/>
  <c r="AJ40" i="6"/>
  <c r="AJ56" i="6"/>
  <c r="AJ75" i="6"/>
  <c r="AJ121" i="6"/>
  <c r="AJ76" i="6"/>
  <c r="AJ98" i="6"/>
  <c r="AJ135" i="6"/>
  <c r="AJ17" i="6"/>
  <c r="AJ25" i="6"/>
  <c r="AJ33" i="6"/>
  <c r="AJ41" i="6"/>
  <c r="AJ49" i="6"/>
  <c r="AJ57" i="6"/>
  <c r="AJ65" i="6"/>
  <c r="AJ74" i="6"/>
  <c r="AJ96" i="6"/>
  <c r="AJ116" i="6"/>
  <c r="AJ175" i="6"/>
  <c r="AJ87" i="6"/>
  <c r="AJ103" i="6"/>
  <c r="AJ123" i="6"/>
  <c r="AJ149" i="6"/>
  <c r="AJ232" i="6"/>
  <c r="AJ260" i="6"/>
  <c r="AJ163" i="6"/>
  <c r="AJ201" i="6"/>
  <c r="AJ120" i="6"/>
  <c r="AJ128" i="6"/>
  <c r="AJ153" i="6"/>
  <c r="AJ185" i="6"/>
  <c r="AJ138" i="6"/>
  <c r="AJ146" i="6"/>
  <c r="AJ154" i="6"/>
  <c r="AJ162" i="6"/>
  <c r="AJ170" i="6"/>
  <c r="AJ178" i="6"/>
  <c r="AJ195" i="6"/>
  <c r="AJ234" i="6"/>
  <c r="AJ189" i="6"/>
  <c r="AJ229" i="6"/>
  <c r="AJ205" i="6"/>
  <c r="AJ186" i="6"/>
  <c r="AJ194" i="6"/>
  <c r="AJ202" i="6"/>
  <c r="AJ210" i="6"/>
  <c r="AJ218" i="6"/>
  <c r="AJ226" i="6"/>
  <c r="AJ242" i="6"/>
  <c r="AJ258" i="6"/>
  <c r="AJ233" i="6"/>
  <c r="AJ241" i="6"/>
  <c r="AJ249" i="6"/>
  <c r="AJ257" i="6"/>
  <c r="AJ4" i="6"/>
  <c r="DG43" i="6"/>
  <c r="DG42" i="6"/>
  <c r="AB16" i="15"/>
  <c r="AD16" i="15" s="1"/>
  <c r="L1" i="15"/>
  <c r="M11" i="14"/>
  <c r="I11" i="14"/>
  <c r="L11" i="14"/>
  <c r="H11" i="14"/>
  <c r="K1" i="15"/>
  <c r="J11" i="14"/>
  <c r="F11" i="14"/>
  <c r="I1" i="15"/>
  <c r="N11" i="14"/>
  <c r="G11" i="14"/>
  <c r="J1" i="15"/>
  <c r="K11" i="14"/>
  <c r="E11" i="14"/>
  <c r="H1" i="15"/>
  <c r="Y41" i="6"/>
  <c r="C53" i="12" s="1"/>
  <c r="Y125" i="6"/>
  <c r="C137" i="12" s="1"/>
  <c r="Y255" i="6"/>
  <c r="C267" i="12" s="1"/>
  <c r="Y106" i="6"/>
  <c r="C118" i="12" s="1"/>
  <c r="Y109" i="6"/>
  <c r="C121" i="12" s="1"/>
  <c r="Y186" i="6"/>
  <c r="C198" i="12" s="1"/>
  <c r="DG41" i="6"/>
  <c r="DG49" i="6"/>
  <c r="DG110" i="6"/>
  <c r="DG235" i="6"/>
  <c r="DG243" i="6"/>
  <c r="DG251" i="6"/>
  <c r="DG259" i="6"/>
  <c r="DG135" i="6"/>
  <c r="DG220" i="6"/>
  <c r="DG82" i="6"/>
  <c r="DG61" i="6"/>
  <c r="DG93" i="6"/>
  <c r="DG90" i="6"/>
  <c r="DG123" i="6"/>
  <c r="DG151" i="6"/>
  <c r="DG196" i="6"/>
  <c r="DG17" i="6"/>
  <c r="DG33" i="6"/>
  <c r="DG78" i="6"/>
  <c r="DG149" i="6"/>
  <c r="DG204" i="6"/>
  <c r="DG152" i="6"/>
  <c r="DG168" i="6"/>
  <c r="DG224" i="6"/>
  <c r="DG187" i="6"/>
  <c r="DG203" i="6"/>
  <c r="DG211" i="6"/>
  <c r="DG32" i="6"/>
  <c r="DG226" i="6"/>
  <c r="DG157" i="6"/>
  <c r="DG89" i="6"/>
  <c r="DG62" i="6"/>
  <c r="DG129" i="6"/>
  <c r="DG120" i="6"/>
  <c r="DG176" i="6"/>
  <c r="DG242" i="6"/>
  <c r="DG18" i="6"/>
  <c r="DG69" i="6"/>
  <c r="DG101" i="6"/>
  <c r="DG179" i="6"/>
  <c r="DG8" i="6"/>
  <c r="DG40" i="6"/>
  <c r="DG54" i="6"/>
  <c r="DG83" i="6"/>
  <c r="DG155" i="6"/>
  <c r="DG236" i="6"/>
  <c r="DG30" i="6"/>
  <c r="DG76" i="6"/>
  <c r="DG108" i="6"/>
  <c r="DG167" i="6"/>
  <c r="DG20" i="6"/>
  <c r="DG48" i="6"/>
  <c r="DG59" i="6"/>
  <c r="DG91" i="6"/>
  <c r="DG133" i="6"/>
  <c r="DG64" i="6"/>
  <c r="DG80" i="6"/>
  <c r="DG96" i="6"/>
  <c r="DG119" i="6"/>
  <c r="DG163" i="6"/>
  <c r="DG198" i="6"/>
  <c r="DG11" i="6"/>
  <c r="DG19" i="6"/>
  <c r="DG27" i="6"/>
  <c r="DG35" i="6"/>
  <c r="DG51" i="6"/>
  <c r="DG63" i="6"/>
  <c r="DG79" i="6"/>
  <c r="DG117" i="6"/>
  <c r="DG159" i="6"/>
  <c r="DG218" i="6"/>
  <c r="DG137" i="6"/>
  <c r="DG169" i="6"/>
  <c r="DG212" i="6"/>
  <c r="DG114" i="6"/>
  <c r="DG122" i="6"/>
  <c r="DG130" i="6"/>
  <c r="DG138" i="6"/>
  <c r="DG146" i="6"/>
  <c r="DG154" i="6"/>
  <c r="DG162" i="6"/>
  <c r="DG170" i="6"/>
  <c r="DG178" i="6"/>
  <c r="DG200" i="6"/>
  <c r="DG232" i="6"/>
  <c r="DG214" i="6"/>
  <c r="DG181" i="6"/>
  <c r="DG189" i="6"/>
  <c r="DG197" i="6"/>
  <c r="DG205" i="6"/>
  <c r="DG213" i="6"/>
  <c r="DG221" i="6"/>
  <c r="DG229" i="6"/>
  <c r="DG246" i="6"/>
  <c r="DG262" i="6"/>
  <c r="DG237" i="6"/>
  <c r="DG245" i="6"/>
  <c r="DG253" i="6"/>
  <c r="DG261" i="6"/>
  <c r="DG100" i="6"/>
  <c r="DG50" i="6"/>
  <c r="DG22" i="6"/>
  <c r="DG58" i="6"/>
  <c r="DG57" i="6"/>
  <c r="DG202" i="6"/>
  <c r="DG128" i="6"/>
  <c r="DG144" i="6"/>
  <c r="DG192" i="6"/>
  <c r="DG206" i="6"/>
  <c r="DG258" i="6"/>
  <c r="DG26" i="6"/>
  <c r="DG84" i="6"/>
  <c r="DG115" i="6"/>
  <c r="DG186" i="6"/>
  <c r="DG16" i="6"/>
  <c r="DG66" i="6"/>
  <c r="DG98" i="6"/>
  <c r="DG165" i="6"/>
  <c r="DG6" i="6"/>
  <c r="DG38" i="6"/>
  <c r="DG77" i="6"/>
  <c r="DG109" i="6"/>
  <c r="DG210" i="6"/>
  <c r="DG28" i="6"/>
  <c r="DG52" i="6"/>
  <c r="DG74" i="6"/>
  <c r="DG106" i="6"/>
  <c r="DG143" i="6"/>
  <c r="DG65" i="6"/>
  <c r="DG81" i="6"/>
  <c r="DG97" i="6"/>
  <c r="DG131" i="6"/>
  <c r="DG173" i="6"/>
  <c r="DG5" i="6"/>
  <c r="DG13" i="6"/>
  <c r="DG21" i="6"/>
  <c r="DG29" i="6"/>
  <c r="DG37" i="6"/>
  <c r="DG45" i="6"/>
  <c r="DG53" i="6"/>
  <c r="DG70" i="6"/>
  <c r="DG86" i="6"/>
  <c r="DG102" i="6"/>
  <c r="DG127" i="6"/>
  <c r="DG171" i="6"/>
  <c r="DG113" i="6"/>
  <c r="DG145" i="6"/>
  <c r="DG177" i="6"/>
  <c r="DG228" i="6"/>
  <c r="DG116" i="6"/>
  <c r="DG124" i="6"/>
  <c r="DG132" i="6"/>
  <c r="DG140" i="6"/>
  <c r="DG148" i="6"/>
  <c r="DG156" i="6"/>
  <c r="DG164" i="6"/>
  <c r="DG172" i="6"/>
  <c r="DG180" i="6"/>
  <c r="DG208" i="6"/>
  <c r="DG240" i="6"/>
  <c r="DG222" i="6"/>
  <c r="DG183" i="6"/>
  <c r="DG191" i="6"/>
  <c r="DG199" i="6"/>
  <c r="DG207" i="6"/>
  <c r="DG215" i="6"/>
  <c r="DG223" i="6"/>
  <c r="DG234" i="6"/>
  <c r="DG250" i="6"/>
  <c r="DG231" i="6"/>
  <c r="DG239" i="6"/>
  <c r="DG247" i="6"/>
  <c r="DG255" i="6"/>
  <c r="DG263" i="6"/>
  <c r="DG10" i="6"/>
  <c r="DG68" i="6"/>
  <c r="DG111" i="6"/>
  <c r="DG12" i="6"/>
  <c r="DG44" i="6"/>
  <c r="DG73" i="6"/>
  <c r="DG105" i="6"/>
  <c r="DG9" i="6"/>
  <c r="DG25" i="6"/>
  <c r="DG161" i="6"/>
  <c r="DG112" i="6"/>
  <c r="DG136" i="6"/>
  <c r="DG160" i="6"/>
  <c r="DG252" i="6"/>
  <c r="DG195" i="6"/>
  <c r="DG219" i="6"/>
  <c r="DG227" i="6"/>
  <c r="DG34" i="6"/>
  <c r="DG85" i="6"/>
  <c r="DG125" i="6"/>
  <c r="DG188" i="6"/>
  <c r="DG24" i="6"/>
  <c r="DG46" i="6"/>
  <c r="DG67" i="6"/>
  <c r="DG99" i="6"/>
  <c r="DG175" i="6"/>
  <c r="DG14" i="6"/>
  <c r="DG60" i="6"/>
  <c r="DG92" i="6"/>
  <c r="DG147" i="6"/>
  <c r="DG260" i="6"/>
  <c r="DG36" i="6"/>
  <c r="DG56" i="6"/>
  <c r="DG75" i="6"/>
  <c r="DG107" i="6"/>
  <c r="DG244" i="6"/>
  <c r="DG72" i="6"/>
  <c r="DG88" i="6"/>
  <c r="DG104" i="6"/>
  <c r="DG141" i="6"/>
  <c r="DG194" i="6"/>
  <c r="DG7" i="6"/>
  <c r="DG15" i="6"/>
  <c r="DG23" i="6"/>
  <c r="DG31" i="6"/>
  <c r="DG39" i="6"/>
  <c r="DG47" i="6"/>
  <c r="DG55" i="6"/>
  <c r="DG71" i="6"/>
  <c r="DG87" i="6"/>
  <c r="DG103" i="6"/>
  <c r="DG139" i="6"/>
  <c r="DG182" i="6"/>
  <c r="DG121" i="6"/>
  <c r="DG153" i="6"/>
  <c r="DG190" i="6"/>
  <c r="DG248" i="6"/>
  <c r="DG118" i="6"/>
  <c r="DG126" i="6"/>
  <c r="DG134" i="6"/>
  <c r="DG142" i="6"/>
  <c r="DG150" i="6"/>
  <c r="DG158" i="6"/>
  <c r="DG166" i="6"/>
  <c r="DG174" i="6"/>
  <c r="DG184" i="6"/>
  <c r="DG216" i="6"/>
  <c r="DG256" i="6"/>
  <c r="DG230" i="6"/>
  <c r="DG185" i="6"/>
  <c r="DG193" i="6"/>
  <c r="DG201" i="6"/>
  <c r="DG209" i="6"/>
  <c r="DG217" i="6"/>
  <c r="DG225" i="6"/>
  <c r="DG238" i="6"/>
  <c r="DG254" i="6"/>
  <c r="DG233" i="6"/>
  <c r="DG241" i="6"/>
  <c r="DG249" i="6"/>
  <c r="DG257" i="6"/>
  <c r="DG4" i="6"/>
  <c r="Y69" i="6"/>
  <c r="C81" i="12" s="1"/>
  <c r="Y239" i="6"/>
  <c r="C251" i="12" s="1"/>
  <c r="Y114" i="6"/>
  <c r="C126" i="12" s="1"/>
  <c r="Y93" i="6"/>
  <c r="C105" i="12" s="1"/>
  <c r="Y20" i="6"/>
  <c r="C32" i="12" s="1"/>
  <c r="Y165" i="6"/>
  <c r="C177" i="12" s="1"/>
  <c r="Y172" i="6"/>
  <c r="C184" i="12" s="1"/>
  <c r="Y77" i="6"/>
  <c r="C89" i="12" s="1"/>
  <c r="Y17" i="6"/>
  <c r="C29" i="12" s="1"/>
  <c r="Y33" i="6"/>
  <c r="C45" i="12" s="1"/>
  <c r="Y49" i="6"/>
  <c r="C61" i="12" s="1"/>
  <c r="Y65" i="6"/>
  <c r="C77" i="12" s="1"/>
  <c r="Y122" i="6"/>
  <c r="C134" i="12" s="1"/>
  <c r="Y74" i="6"/>
  <c r="C86" i="12" s="1"/>
  <c r="Y181" i="6"/>
  <c r="C193" i="12" s="1"/>
  <c r="Y153" i="6"/>
  <c r="C165" i="12" s="1"/>
  <c r="Y150" i="6"/>
  <c r="C162" i="12" s="1"/>
  <c r="Y228" i="6"/>
  <c r="C240" i="12" s="1"/>
  <c r="Y252" i="6"/>
  <c r="C264" i="12" s="1"/>
  <c r="Y231" i="6"/>
  <c r="C243" i="12" s="1"/>
  <c r="Y247" i="6"/>
  <c r="C259" i="12" s="1"/>
  <c r="Y36" i="6"/>
  <c r="C48" i="12" s="1"/>
  <c r="Y137" i="6"/>
  <c r="C149" i="12" s="1"/>
  <c r="Y224" i="6"/>
  <c r="C236" i="12" s="1"/>
  <c r="Y156" i="6"/>
  <c r="C168" i="12" s="1"/>
  <c r="Y208" i="6"/>
  <c r="C220" i="12" s="1"/>
  <c r="Y230" i="6"/>
  <c r="C242" i="12" s="1"/>
  <c r="Y242" i="6"/>
  <c r="C254" i="12" s="1"/>
  <c r="Y263" i="6"/>
  <c r="C275" i="12" s="1"/>
  <c r="Y6" i="6"/>
  <c r="C18" i="12" s="1"/>
  <c r="Y9" i="6"/>
  <c r="C21" i="12" s="1"/>
  <c r="Y101" i="6"/>
  <c r="C113" i="12" s="1"/>
  <c r="Y28" i="6"/>
  <c r="C40" i="12" s="1"/>
  <c r="Y44" i="6"/>
  <c r="C56" i="12" s="1"/>
  <c r="Y60" i="6"/>
  <c r="C72" i="12" s="1"/>
  <c r="Y202" i="6"/>
  <c r="C214" i="12" s="1"/>
  <c r="Y173" i="6"/>
  <c r="C185" i="12" s="1"/>
  <c r="Y164" i="6"/>
  <c r="C176" i="12" s="1"/>
  <c r="Y216" i="6"/>
  <c r="C228" i="12" s="1"/>
  <c r="Y204" i="6"/>
  <c r="C216" i="12" s="1"/>
  <c r="Y222" i="6"/>
  <c r="C234" i="12" s="1"/>
  <c r="Y131" i="6"/>
  <c r="C143" i="12" s="1"/>
  <c r="Y7" i="6"/>
  <c r="C19" i="12" s="1"/>
  <c r="Y15" i="6"/>
  <c r="C27" i="12" s="1"/>
  <c r="Y39" i="6"/>
  <c r="C51" i="12" s="1"/>
  <c r="Y130" i="6"/>
  <c r="C142" i="12" s="1"/>
  <c r="Y146" i="6"/>
  <c r="C158" i="12" s="1"/>
  <c r="Y176" i="6"/>
  <c r="C188" i="12" s="1"/>
  <c r="Y104" i="6"/>
  <c r="C116" i="12" s="1"/>
  <c r="Y178" i="6"/>
  <c r="C190" i="12" s="1"/>
  <c r="Y244" i="6"/>
  <c r="C256" i="12" s="1"/>
  <c r="Y171" i="6"/>
  <c r="C183" i="12" s="1"/>
  <c r="Y190" i="6"/>
  <c r="C202" i="12" s="1"/>
  <c r="Y195" i="6"/>
  <c r="C207" i="12" s="1"/>
  <c r="Y211" i="6"/>
  <c r="C223" i="12" s="1"/>
  <c r="Y227" i="6"/>
  <c r="C239" i="12" s="1"/>
  <c r="Y237" i="6"/>
  <c r="C249" i="12" s="1"/>
  <c r="Y245" i="6"/>
  <c r="C257" i="12" s="1"/>
  <c r="Y261" i="6"/>
  <c r="C273" i="12" s="1"/>
  <c r="Y88" i="6"/>
  <c r="C100" i="12" s="1"/>
  <c r="Y84" i="6"/>
  <c r="C96" i="12" s="1"/>
  <c r="Y135" i="6"/>
  <c r="C147" i="12" s="1"/>
  <c r="Y207" i="6"/>
  <c r="C219" i="12" s="1"/>
  <c r="Y8" i="6"/>
  <c r="C20" i="12" s="1"/>
  <c r="Y139" i="6"/>
  <c r="C151" i="12" s="1"/>
  <c r="Y96" i="6"/>
  <c r="C108" i="12" s="1"/>
  <c r="Y92" i="6"/>
  <c r="C104" i="12" s="1"/>
  <c r="Y10" i="6"/>
  <c r="C22" i="12" s="1"/>
  <c r="Y13" i="6"/>
  <c r="C25" i="12" s="1"/>
  <c r="Y21" i="6"/>
  <c r="C33" i="12" s="1"/>
  <c r="Y29" i="6"/>
  <c r="C41" i="12" s="1"/>
  <c r="Y37" i="6"/>
  <c r="C49" i="12" s="1"/>
  <c r="Y45" i="6"/>
  <c r="C57" i="12" s="1"/>
  <c r="Y53" i="6"/>
  <c r="C65" i="12" s="1"/>
  <c r="Y61" i="6"/>
  <c r="C73" i="12" s="1"/>
  <c r="Y78" i="6"/>
  <c r="C90" i="12" s="1"/>
  <c r="Y143" i="6"/>
  <c r="C155" i="12" s="1"/>
  <c r="Y16" i="6"/>
  <c r="C28" i="12" s="1"/>
  <c r="Y32" i="6"/>
  <c r="C44" i="12" s="1"/>
  <c r="Y48" i="6"/>
  <c r="C60" i="12" s="1"/>
  <c r="Y64" i="6"/>
  <c r="C76" i="12" s="1"/>
  <c r="Y90" i="6"/>
  <c r="C102" i="12" s="1"/>
  <c r="Y151" i="6"/>
  <c r="C163" i="12" s="1"/>
  <c r="Y212" i="6"/>
  <c r="C224" i="12" s="1"/>
  <c r="Y73" i="6"/>
  <c r="C85" i="12" s="1"/>
  <c r="Y81" i="6"/>
  <c r="C93" i="12" s="1"/>
  <c r="Y89" i="6"/>
  <c r="C101" i="12" s="1"/>
  <c r="Y105" i="6"/>
  <c r="C117" i="12" s="1"/>
  <c r="Y113" i="6"/>
  <c r="C125" i="12" s="1"/>
  <c r="Y121" i="6"/>
  <c r="C133" i="12" s="1"/>
  <c r="Y129" i="6"/>
  <c r="C141" i="12" s="1"/>
  <c r="Y145" i="6"/>
  <c r="C157" i="12" s="1"/>
  <c r="Y160" i="6"/>
  <c r="C172" i="12" s="1"/>
  <c r="Y102" i="6"/>
  <c r="C114" i="12" s="1"/>
  <c r="Y118" i="6"/>
  <c r="C130" i="12" s="1"/>
  <c r="Y126" i="6"/>
  <c r="C138" i="12" s="1"/>
  <c r="Y189" i="6"/>
  <c r="C201" i="12" s="1"/>
  <c r="Y174" i="6"/>
  <c r="C186" i="12" s="1"/>
  <c r="Y234" i="6"/>
  <c r="C246" i="12" s="1"/>
  <c r="Y161" i="6"/>
  <c r="C173" i="12" s="1"/>
  <c r="Y169" i="6"/>
  <c r="C181" i="12" s="1"/>
  <c r="Y177" i="6"/>
  <c r="C189" i="12" s="1"/>
  <c r="Y185" i="6"/>
  <c r="C197" i="12" s="1"/>
  <c r="Y220" i="6"/>
  <c r="C232" i="12" s="1"/>
  <c r="Y194" i="6"/>
  <c r="C206" i="12" s="1"/>
  <c r="Y214" i="6"/>
  <c r="C226" i="12" s="1"/>
  <c r="Y210" i="6"/>
  <c r="C222" i="12" s="1"/>
  <c r="Y226" i="6"/>
  <c r="C238" i="12" s="1"/>
  <c r="Y250" i="6"/>
  <c r="C262" i="12" s="1"/>
  <c r="Y256" i="6"/>
  <c r="C268" i="12" s="1"/>
  <c r="Y246" i="6"/>
  <c r="C258" i="12" s="1"/>
  <c r="Y235" i="6"/>
  <c r="C247" i="12" s="1"/>
  <c r="Y243" i="6"/>
  <c r="C255" i="12" s="1"/>
  <c r="Y251" i="6"/>
  <c r="C263" i="12" s="1"/>
  <c r="Y259" i="6"/>
  <c r="C271" i="12" s="1"/>
  <c r="Y140" i="6"/>
  <c r="C152" i="12" s="1"/>
  <c r="Y148" i="6"/>
  <c r="C160" i="12" s="1"/>
  <c r="Y23" i="6"/>
  <c r="C35" i="12" s="1"/>
  <c r="Y47" i="6"/>
  <c r="C59" i="12" s="1"/>
  <c r="Y26" i="6"/>
  <c r="C38" i="12" s="1"/>
  <c r="Y42" i="6"/>
  <c r="C54" i="12" s="1"/>
  <c r="Y58" i="6"/>
  <c r="C70" i="12" s="1"/>
  <c r="Y67" i="6"/>
  <c r="C79" i="12" s="1"/>
  <c r="Y83" i="6"/>
  <c r="C95" i="12" s="1"/>
  <c r="Y99" i="6"/>
  <c r="C111" i="12" s="1"/>
  <c r="Y112" i="6"/>
  <c r="C124" i="12" s="1"/>
  <c r="Y213" i="6"/>
  <c r="C225" i="12" s="1"/>
  <c r="Y205" i="6"/>
  <c r="C217" i="12" s="1"/>
  <c r="X217" i="12" s="1"/>
  <c r="Y221" i="6"/>
  <c r="C233" i="12" s="1"/>
  <c r="Y5" i="6"/>
  <c r="C17" i="12" s="1"/>
  <c r="Y40" i="6"/>
  <c r="C52" i="12" s="1"/>
  <c r="Y110" i="6"/>
  <c r="C122" i="12" s="1"/>
  <c r="Y168" i="6"/>
  <c r="C180" i="12" s="1"/>
  <c r="Y206" i="6"/>
  <c r="C218" i="12" s="1"/>
  <c r="Y199" i="6"/>
  <c r="C211" i="12" s="1"/>
  <c r="Y236" i="6"/>
  <c r="C248" i="12" s="1"/>
  <c r="Y147" i="6"/>
  <c r="C159" i="12" s="1"/>
  <c r="Y24" i="6"/>
  <c r="C36" i="12" s="1"/>
  <c r="Y56" i="6"/>
  <c r="C68" i="12" s="1"/>
  <c r="Y97" i="6"/>
  <c r="C109" i="12" s="1"/>
  <c r="Y142" i="6"/>
  <c r="C154" i="12" s="1"/>
  <c r="Y170" i="6"/>
  <c r="C182" i="12" s="1"/>
  <c r="Y68" i="6"/>
  <c r="C80" i="12" s="1"/>
  <c r="Y72" i="6"/>
  <c r="C84" i="12" s="1"/>
  <c r="Y63" i="6"/>
  <c r="C75" i="12" s="1"/>
  <c r="Y144" i="6"/>
  <c r="C156" i="12" s="1"/>
  <c r="Y34" i="6"/>
  <c r="C46" i="12" s="1"/>
  <c r="Y98" i="6"/>
  <c r="C110" i="12" s="1"/>
  <c r="Y149" i="6"/>
  <c r="C161" i="12" s="1"/>
  <c r="Y182" i="6"/>
  <c r="C194" i="12" s="1"/>
  <c r="Y225" i="6"/>
  <c r="C237" i="12" s="1"/>
  <c r="Y232" i="6"/>
  <c r="C244" i="12" s="1"/>
  <c r="Y254" i="6"/>
  <c r="C266" i="12" s="1"/>
  <c r="Y4" i="6"/>
  <c r="C16" i="12" s="1"/>
  <c r="Y100" i="6"/>
  <c r="C112" i="12" s="1"/>
  <c r="Y80" i="6"/>
  <c r="C92" i="12" s="1"/>
  <c r="Y76" i="6"/>
  <c r="C88" i="12" s="1"/>
  <c r="Y180" i="6"/>
  <c r="C192" i="12" s="1"/>
  <c r="Y132" i="6"/>
  <c r="C144" i="12" s="1"/>
  <c r="Y193" i="6"/>
  <c r="C205" i="12" s="1"/>
  <c r="Y11" i="6"/>
  <c r="C23" i="12" s="1"/>
  <c r="Y19" i="6"/>
  <c r="C31" i="12" s="1"/>
  <c r="Y27" i="6"/>
  <c r="C39" i="12" s="1"/>
  <c r="Y35" i="6"/>
  <c r="C47" i="12" s="1"/>
  <c r="Y43" i="6"/>
  <c r="C55" i="12" s="1"/>
  <c r="Y51" i="6"/>
  <c r="C63" i="12" s="1"/>
  <c r="Y59" i="6"/>
  <c r="C71" i="12" s="1"/>
  <c r="Y70" i="6"/>
  <c r="C82" i="12" s="1"/>
  <c r="Y128" i="6"/>
  <c r="C140" i="12" s="1"/>
  <c r="Y14" i="6"/>
  <c r="C26" i="12" s="1"/>
  <c r="Y22" i="6"/>
  <c r="C34" i="12" s="1"/>
  <c r="Y30" i="6"/>
  <c r="C42" i="12" s="1"/>
  <c r="Y38" i="6"/>
  <c r="C50" i="12" s="1"/>
  <c r="Y46" i="6"/>
  <c r="C58" i="12" s="1"/>
  <c r="Y54" i="6"/>
  <c r="C66" i="12" s="1"/>
  <c r="Y62" i="6"/>
  <c r="C74" i="12" s="1"/>
  <c r="Y82" i="6"/>
  <c r="C94" i="12" s="1"/>
  <c r="Y136" i="6"/>
  <c r="C148" i="12" s="1"/>
  <c r="Y192" i="6"/>
  <c r="C204" i="12" s="1"/>
  <c r="Y71" i="6"/>
  <c r="C83" i="12" s="1"/>
  <c r="Y79" i="6"/>
  <c r="C91" i="12" s="1"/>
  <c r="Y87" i="6"/>
  <c r="C99" i="12" s="1"/>
  <c r="Y95" i="6"/>
  <c r="C107" i="12" s="1"/>
  <c r="Y103" i="6"/>
  <c r="C115" i="12" s="1"/>
  <c r="Y111" i="6"/>
  <c r="C123" i="12" s="1"/>
  <c r="Y119" i="6"/>
  <c r="C131" i="12" s="1"/>
  <c r="Y127" i="6"/>
  <c r="C139" i="12" s="1"/>
  <c r="Y138" i="6"/>
  <c r="C150" i="12" s="1"/>
  <c r="Y154" i="6"/>
  <c r="C166" i="12" s="1"/>
  <c r="Y217" i="6"/>
  <c r="C229" i="12" s="1"/>
  <c r="Y108" i="6"/>
  <c r="C120" i="12" s="1"/>
  <c r="Y116" i="6"/>
  <c r="C128" i="12" s="1"/>
  <c r="Y124" i="6"/>
  <c r="C136" i="12" s="1"/>
  <c r="Y141" i="6"/>
  <c r="C153" i="12" s="1"/>
  <c r="Y158" i="6"/>
  <c r="C170" i="12" s="1"/>
  <c r="Y162" i="6"/>
  <c r="C174" i="12" s="1"/>
  <c r="Y188" i="6"/>
  <c r="C200" i="12" s="1"/>
  <c r="Y166" i="6"/>
  <c r="C178" i="12" s="1"/>
  <c r="Y197" i="6"/>
  <c r="C209" i="12" s="1"/>
  <c r="Y223" i="6"/>
  <c r="C235" i="12" s="1"/>
  <c r="Y159" i="6"/>
  <c r="C171" i="12" s="1"/>
  <c r="Y167" i="6"/>
  <c r="C179" i="12" s="1"/>
  <c r="Y175" i="6"/>
  <c r="C187" i="12" s="1"/>
  <c r="Y183" i="6"/>
  <c r="C195" i="12" s="1"/>
  <c r="Y198" i="6"/>
  <c r="C210" i="12" s="1"/>
  <c r="Y215" i="6"/>
  <c r="C227" i="12" s="1"/>
  <c r="Y187" i="6"/>
  <c r="C199" i="12" s="1"/>
  <c r="Y209" i="6"/>
  <c r="C221" i="12" s="1"/>
  <c r="Y229" i="6"/>
  <c r="C241" i="12" s="1"/>
  <c r="Y203" i="6"/>
  <c r="C215" i="12" s="1"/>
  <c r="Y219" i="6"/>
  <c r="C231" i="12" s="1"/>
  <c r="Y258" i="6"/>
  <c r="C270" i="12" s="1"/>
  <c r="Y248" i="6"/>
  <c r="C260" i="12" s="1"/>
  <c r="Y238" i="6"/>
  <c r="C250" i="12" s="1"/>
  <c r="Y233" i="6"/>
  <c r="C245" i="12" s="1"/>
  <c r="Y241" i="6"/>
  <c r="C253" i="12" s="1"/>
  <c r="Y249" i="6"/>
  <c r="C261" i="12" s="1"/>
  <c r="Y257" i="6"/>
  <c r="C269" i="12" s="1"/>
  <c r="Y31" i="6"/>
  <c r="C43" i="12" s="1"/>
  <c r="Y55" i="6"/>
  <c r="C67" i="12" s="1"/>
  <c r="Y86" i="6"/>
  <c r="C98" i="12" s="1"/>
  <c r="Y18" i="6"/>
  <c r="C30" i="12" s="1"/>
  <c r="Y50" i="6"/>
  <c r="C62" i="12" s="1"/>
  <c r="Y66" i="6"/>
  <c r="C78" i="12" s="1"/>
  <c r="Y152" i="6"/>
  <c r="C164" i="12" s="1"/>
  <c r="Y75" i="6"/>
  <c r="C87" i="12" s="1"/>
  <c r="Y91" i="6"/>
  <c r="C103" i="12" s="1"/>
  <c r="Y107" i="6"/>
  <c r="C119" i="12" s="1"/>
  <c r="Y123" i="6"/>
  <c r="C135" i="12" s="1"/>
  <c r="Y120" i="6"/>
  <c r="C132" i="12" s="1"/>
  <c r="Y133" i="6"/>
  <c r="C145" i="12" s="1"/>
  <c r="Y184" i="6"/>
  <c r="C196" i="12" s="1"/>
  <c r="Y201" i="6"/>
  <c r="C213" i="12" s="1"/>
  <c r="Y163" i="6"/>
  <c r="C175" i="12" s="1"/>
  <c r="Y179" i="6"/>
  <c r="C191" i="12" s="1"/>
  <c r="Y260" i="6"/>
  <c r="C272" i="12" s="1"/>
  <c r="Y262" i="6"/>
  <c r="C274" i="12" s="1"/>
  <c r="Y253" i="6"/>
  <c r="C265" i="12" s="1"/>
  <c r="Y155" i="6"/>
  <c r="C167" i="12" s="1"/>
  <c r="Y25" i="6"/>
  <c r="C37" i="12" s="1"/>
  <c r="Y57" i="6"/>
  <c r="C69" i="12" s="1"/>
  <c r="Y94" i="6"/>
  <c r="C106" i="12" s="1"/>
  <c r="Y12" i="6"/>
  <c r="C24" i="12" s="1"/>
  <c r="Y52" i="6"/>
  <c r="C64" i="12" s="1"/>
  <c r="Y85" i="6"/>
  <c r="C97" i="12" s="1"/>
  <c r="Y117" i="6"/>
  <c r="C129" i="12" s="1"/>
  <c r="Y200" i="6"/>
  <c r="C212" i="12" s="1"/>
  <c r="Y134" i="6"/>
  <c r="C146" i="12" s="1"/>
  <c r="Y196" i="6"/>
  <c r="C208" i="12" s="1"/>
  <c r="Y157" i="6"/>
  <c r="C169" i="12" s="1"/>
  <c r="Y191" i="6"/>
  <c r="C203" i="12" s="1"/>
  <c r="Y218" i="6"/>
  <c r="C230" i="12" s="1"/>
  <c r="Y240" i="6"/>
  <c r="C252" i="12" s="1"/>
  <c r="X4" i="6"/>
  <c r="AL4" i="6" s="1"/>
  <c r="X24" i="6"/>
  <c r="AL24" i="6" s="1"/>
  <c r="X263" i="6"/>
  <c r="AL263" i="6" s="1"/>
  <c r="X132" i="6"/>
  <c r="AL132" i="6" s="1"/>
  <c r="X204" i="6"/>
  <c r="AL204" i="6" s="1"/>
  <c r="X140" i="6"/>
  <c r="AL140" i="6" s="1"/>
  <c r="X16" i="6"/>
  <c r="AL16" i="6" s="1"/>
  <c r="X235" i="6"/>
  <c r="AL235" i="6" s="1"/>
  <c r="X203" i="6"/>
  <c r="AL203" i="6" s="1"/>
  <c r="X171" i="6"/>
  <c r="AL171" i="6" s="1"/>
  <c r="X139" i="6"/>
  <c r="AL139" i="6" s="1"/>
  <c r="X76" i="6"/>
  <c r="AL76" i="6" s="1"/>
  <c r="X12" i="6"/>
  <c r="AL12" i="6" s="1"/>
  <c r="X207" i="6"/>
  <c r="AL207" i="6" s="1"/>
  <c r="X143" i="6"/>
  <c r="AL143" i="6" s="1"/>
  <c r="X260" i="6"/>
  <c r="AL260" i="6" s="1"/>
  <c r="X256" i="6"/>
  <c r="AL256" i="6" s="1"/>
  <c r="X224" i="6"/>
  <c r="AL224" i="6" s="1"/>
  <c r="X192" i="6"/>
  <c r="AL192" i="6" s="1"/>
  <c r="X160" i="6"/>
  <c r="AL160" i="6" s="1"/>
  <c r="X120" i="6"/>
  <c r="AL120" i="6" s="1"/>
  <c r="X56" i="6"/>
  <c r="AL56" i="6" s="1"/>
  <c r="X131" i="6"/>
  <c r="AL131" i="6" s="1"/>
  <c r="X99" i="6"/>
  <c r="AL99" i="6" s="1"/>
  <c r="X67" i="6"/>
  <c r="AL67" i="6" s="1"/>
  <c r="X39" i="6"/>
  <c r="X19" i="6"/>
  <c r="X262" i="6"/>
  <c r="AL262" i="6" s="1"/>
  <c r="X246" i="6"/>
  <c r="AL246" i="6" s="1"/>
  <c r="X230" i="6"/>
  <c r="AL230" i="6" s="1"/>
  <c r="X214" i="6"/>
  <c r="AL214" i="6" s="1"/>
  <c r="X198" i="6"/>
  <c r="AL198" i="6" s="1"/>
  <c r="X182" i="6"/>
  <c r="AL182" i="6" s="1"/>
  <c r="X166" i="6"/>
  <c r="AL166" i="6" s="1"/>
  <c r="X150" i="6"/>
  <c r="AL150" i="6" s="1"/>
  <c r="X134" i="6"/>
  <c r="AL134" i="6" s="1"/>
  <c r="X118" i="6"/>
  <c r="AL118" i="6" s="1"/>
  <c r="X102" i="6"/>
  <c r="AL102" i="6" s="1"/>
  <c r="X86" i="6"/>
  <c r="AL86" i="6" s="1"/>
  <c r="X70" i="6"/>
  <c r="AL70" i="6" s="1"/>
  <c r="X54" i="6"/>
  <c r="AL54" i="6" s="1"/>
  <c r="X38" i="6"/>
  <c r="AL38" i="6" s="1"/>
  <c r="X22" i="6"/>
  <c r="AL22" i="6" s="1"/>
  <c r="X6" i="6"/>
  <c r="X111" i="6"/>
  <c r="AL111" i="6" s="1"/>
  <c r="X79" i="6"/>
  <c r="AL79" i="6" s="1"/>
  <c r="X47" i="6"/>
  <c r="AL47" i="6" s="1"/>
  <c r="X253" i="6"/>
  <c r="AL253" i="6" s="1"/>
  <c r="X237" i="6"/>
  <c r="AL237" i="6" s="1"/>
  <c r="X221" i="6"/>
  <c r="AL221" i="6" s="1"/>
  <c r="X205" i="6"/>
  <c r="AL205" i="6" s="1"/>
  <c r="X189" i="6"/>
  <c r="AL189" i="6" s="1"/>
  <c r="X173" i="6"/>
  <c r="AL173" i="6" s="1"/>
  <c r="X157" i="6"/>
  <c r="AL157" i="6" s="1"/>
  <c r="X141" i="6"/>
  <c r="AL141" i="6" s="1"/>
  <c r="X125" i="6"/>
  <c r="AL125" i="6" s="1"/>
  <c r="X109" i="6"/>
  <c r="AL109" i="6" s="1"/>
  <c r="X93" i="6"/>
  <c r="AL93" i="6" s="1"/>
  <c r="X77" i="6"/>
  <c r="AL77" i="6" s="1"/>
  <c r="X61" i="6"/>
  <c r="AL61" i="6" s="1"/>
  <c r="X45" i="6"/>
  <c r="AL45" i="6" s="1"/>
  <c r="X29" i="6"/>
  <c r="AL29" i="6" s="1"/>
  <c r="X13" i="6"/>
  <c r="AL13" i="6" s="1"/>
  <c r="X199" i="6"/>
  <c r="AL199" i="6" s="1"/>
  <c r="X20" i="6"/>
  <c r="AL20" i="6" s="1"/>
  <c r="X172" i="6"/>
  <c r="AL172" i="6" s="1"/>
  <c r="X80" i="6"/>
  <c r="AL80" i="6" s="1"/>
  <c r="X128" i="6"/>
  <c r="AL128" i="6" s="1"/>
  <c r="X196" i="6"/>
  <c r="AL196" i="6" s="1"/>
  <c r="X255" i="6"/>
  <c r="AL255" i="6" s="1"/>
  <c r="X194" i="6"/>
  <c r="AL194" i="6" s="1"/>
  <c r="X82" i="6"/>
  <c r="AL82" i="6" s="1"/>
  <c r="X73" i="6"/>
  <c r="AL73" i="6" s="1"/>
  <c r="X247" i="6"/>
  <c r="AL247" i="6" s="1"/>
  <c r="X183" i="6"/>
  <c r="AL183" i="6" s="1"/>
  <c r="X100" i="6"/>
  <c r="AL100" i="6" s="1"/>
  <c r="X252" i="6"/>
  <c r="AL252" i="6" s="1"/>
  <c r="X164" i="6"/>
  <c r="AL164" i="6" s="1"/>
  <c r="X64" i="6"/>
  <c r="AL64" i="6" s="1"/>
  <c r="X259" i="6"/>
  <c r="AL259" i="6" s="1"/>
  <c r="X227" i="6"/>
  <c r="AL227" i="6" s="1"/>
  <c r="X195" i="6"/>
  <c r="AL195" i="6" s="1"/>
  <c r="X163" i="6"/>
  <c r="AL163" i="6" s="1"/>
  <c r="X124" i="6"/>
  <c r="AL124" i="6" s="1"/>
  <c r="X191" i="6"/>
  <c r="AL191" i="6" s="1"/>
  <c r="X116" i="6"/>
  <c r="AL116" i="6" s="1"/>
  <c r="X244" i="6"/>
  <c r="AL244" i="6" s="1"/>
  <c r="X248" i="6"/>
  <c r="AL248" i="6" s="1"/>
  <c r="X216" i="6"/>
  <c r="AL216" i="6" s="1"/>
  <c r="X184" i="6"/>
  <c r="AL184" i="6" s="1"/>
  <c r="X152" i="6"/>
  <c r="AL152" i="6" s="1"/>
  <c r="X104" i="6"/>
  <c r="AL104" i="6" s="1"/>
  <c r="X40" i="6"/>
  <c r="AL40" i="6" s="1"/>
  <c r="X123" i="6"/>
  <c r="AL123" i="6" s="1"/>
  <c r="X91" i="6"/>
  <c r="AL91" i="6" s="1"/>
  <c r="X59" i="6"/>
  <c r="AL59" i="6" s="1"/>
  <c r="X35" i="6"/>
  <c r="X15" i="6"/>
  <c r="AL15" i="6" s="1"/>
  <c r="X258" i="6"/>
  <c r="AL258" i="6" s="1"/>
  <c r="X242" i="6"/>
  <c r="AL242" i="6" s="1"/>
  <c r="X226" i="6"/>
  <c r="AL226" i="6" s="1"/>
  <c r="X210" i="6"/>
  <c r="AL210" i="6" s="1"/>
  <c r="X178" i="6"/>
  <c r="AL178" i="6" s="1"/>
  <c r="X162" i="6"/>
  <c r="AL162" i="6" s="1"/>
  <c r="X146" i="6"/>
  <c r="AL146" i="6" s="1"/>
  <c r="X130" i="6"/>
  <c r="AL130" i="6" s="1"/>
  <c r="X114" i="6"/>
  <c r="AL114" i="6" s="1"/>
  <c r="X98" i="6"/>
  <c r="AL98" i="6" s="1"/>
  <c r="X66" i="6"/>
  <c r="AL66" i="6" s="1"/>
  <c r="X50" i="6"/>
  <c r="AL50" i="6" s="1"/>
  <c r="X34" i="6"/>
  <c r="AL34" i="6" s="1"/>
  <c r="X18" i="6"/>
  <c r="AL18" i="6" s="1"/>
  <c r="X135" i="6"/>
  <c r="AL135" i="6" s="1"/>
  <c r="X103" i="6"/>
  <c r="X71" i="6"/>
  <c r="AL71" i="6" s="1"/>
  <c r="X31" i="6"/>
  <c r="AL31" i="6" s="1"/>
  <c r="X249" i="6"/>
  <c r="AL249" i="6" s="1"/>
  <c r="X233" i="6"/>
  <c r="AL233" i="6" s="1"/>
  <c r="X217" i="6"/>
  <c r="AL217" i="6" s="1"/>
  <c r="X201" i="6"/>
  <c r="AL201" i="6" s="1"/>
  <c r="X185" i="6"/>
  <c r="AL185" i="6" s="1"/>
  <c r="X169" i="6"/>
  <c r="AL169" i="6" s="1"/>
  <c r="X153" i="6"/>
  <c r="AL153" i="6" s="1"/>
  <c r="X137" i="6"/>
  <c r="AL137" i="6" s="1"/>
  <c r="X121" i="6"/>
  <c r="AL121" i="6" s="1"/>
  <c r="X105" i="6"/>
  <c r="AL105" i="6" s="1"/>
  <c r="X89" i="6"/>
  <c r="AL89" i="6" s="1"/>
  <c r="X57" i="6"/>
  <c r="AL57" i="6" s="1"/>
  <c r="X41" i="6"/>
  <c r="AL41" i="6" s="1"/>
  <c r="X25" i="6"/>
  <c r="AL25" i="6" s="1"/>
  <c r="X9" i="6"/>
  <c r="AL9" i="6" s="1"/>
  <c r="X60" i="6"/>
  <c r="AL60" i="6" s="1"/>
  <c r="X231" i="6"/>
  <c r="AL231" i="6" s="1"/>
  <c r="X167" i="6"/>
  <c r="AL167" i="6" s="1"/>
  <c r="X68" i="6"/>
  <c r="AL68" i="6" s="1"/>
  <c r="X236" i="6"/>
  <c r="AL236" i="6" s="1"/>
  <c r="X188" i="6"/>
  <c r="AL188" i="6" s="1"/>
  <c r="X156" i="6"/>
  <c r="AL156" i="6" s="1"/>
  <c r="X112" i="6"/>
  <c r="AL112" i="6" s="1"/>
  <c r="X48" i="6"/>
  <c r="AL48" i="6" s="1"/>
  <c r="X251" i="6"/>
  <c r="AL251" i="6" s="1"/>
  <c r="X219" i="6"/>
  <c r="AL219" i="6" s="1"/>
  <c r="X187" i="6"/>
  <c r="AL187" i="6" s="1"/>
  <c r="X155" i="6"/>
  <c r="AL155" i="6" s="1"/>
  <c r="X108" i="6"/>
  <c r="AL108" i="6" s="1"/>
  <c r="X44" i="6"/>
  <c r="AL44" i="6" s="1"/>
  <c r="X239" i="6"/>
  <c r="AL239" i="6" s="1"/>
  <c r="X175" i="6"/>
  <c r="AL175" i="6" s="1"/>
  <c r="X84" i="6"/>
  <c r="AL84" i="6" s="1"/>
  <c r="X228" i="6"/>
  <c r="AL228" i="6" s="1"/>
  <c r="X240" i="6"/>
  <c r="AL240" i="6" s="1"/>
  <c r="X208" i="6"/>
  <c r="AL208" i="6" s="1"/>
  <c r="X176" i="6"/>
  <c r="AL176" i="6" s="1"/>
  <c r="X144" i="6"/>
  <c r="AL144" i="6" s="1"/>
  <c r="X88" i="6"/>
  <c r="AL88" i="6" s="1"/>
  <c r="X83" i="6"/>
  <c r="AL83" i="6" s="1"/>
  <c r="X27" i="6"/>
  <c r="AL27" i="6" s="1"/>
  <c r="X254" i="6"/>
  <c r="AL254" i="6" s="1"/>
  <c r="X222" i="6"/>
  <c r="AL222" i="6" s="1"/>
  <c r="X190" i="6"/>
  <c r="AL190" i="6" s="1"/>
  <c r="X158" i="6"/>
  <c r="AL158" i="6" s="1"/>
  <c r="X126" i="6"/>
  <c r="AL126" i="6" s="1"/>
  <c r="X94" i="6"/>
  <c r="AL94" i="6" s="1"/>
  <c r="X62" i="6"/>
  <c r="AL62" i="6" s="1"/>
  <c r="X30" i="6"/>
  <c r="AL30" i="6" s="1"/>
  <c r="X127" i="6"/>
  <c r="AL127" i="6" s="1"/>
  <c r="X63" i="6"/>
  <c r="AL63" i="6" s="1"/>
  <c r="X245" i="6"/>
  <c r="AL245" i="6" s="1"/>
  <c r="X213" i="6"/>
  <c r="AL213" i="6" s="1"/>
  <c r="X181" i="6"/>
  <c r="AL181" i="6" s="1"/>
  <c r="X149" i="6"/>
  <c r="AL149" i="6" s="1"/>
  <c r="X117" i="6"/>
  <c r="AL117" i="6" s="1"/>
  <c r="X85" i="6"/>
  <c r="AL85" i="6" s="1"/>
  <c r="X53" i="6"/>
  <c r="AL53" i="6" s="1"/>
  <c r="X21" i="6"/>
  <c r="X51" i="6"/>
  <c r="AL51" i="6" s="1"/>
  <c r="X11" i="6"/>
  <c r="AL11" i="6" s="1"/>
  <c r="X238" i="6"/>
  <c r="AL238" i="6" s="1"/>
  <c r="X206" i="6"/>
  <c r="AL206" i="6" s="1"/>
  <c r="X174" i="6"/>
  <c r="AL174" i="6" s="1"/>
  <c r="X142" i="6"/>
  <c r="AL142" i="6" s="1"/>
  <c r="X110" i="6"/>
  <c r="AL110" i="6" s="1"/>
  <c r="X78" i="6"/>
  <c r="AL78" i="6" s="1"/>
  <c r="X46" i="6"/>
  <c r="AL46" i="6" s="1"/>
  <c r="X14" i="6"/>
  <c r="AL14" i="6" s="1"/>
  <c r="X95" i="6"/>
  <c r="AL95" i="6" s="1"/>
  <c r="X261" i="6"/>
  <c r="AL261" i="6" s="1"/>
  <c r="X229" i="6"/>
  <c r="AL229" i="6" s="1"/>
  <c r="X197" i="6"/>
  <c r="AL197" i="6" s="1"/>
  <c r="X165" i="6"/>
  <c r="AL165" i="6" s="1"/>
  <c r="X133" i="6"/>
  <c r="AL133" i="6" s="1"/>
  <c r="X101" i="6"/>
  <c r="AL101" i="6" s="1"/>
  <c r="X69" i="6"/>
  <c r="AL69" i="6" s="1"/>
  <c r="X37" i="6"/>
  <c r="AL37" i="6" s="1"/>
  <c r="X5" i="6"/>
  <c r="AL5" i="6" s="1"/>
  <c r="X215" i="6"/>
  <c r="AL215" i="6" s="1"/>
  <c r="X151" i="6"/>
  <c r="AL151" i="6" s="1"/>
  <c r="X52" i="6"/>
  <c r="X220" i="6"/>
  <c r="AL220" i="6" s="1"/>
  <c r="X180" i="6"/>
  <c r="AL180" i="6" s="1"/>
  <c r="X148" i="6"/>
  <c r="AL148" i="6" s="1"/>
  <c r="X96" i="6"/>
  <c r="AL96" i="6" s="1"/>
  <c r="X32" i="6"/>
  <c r="AL32" i="6" s="1"/>
  <c r="X243" i="6"/>
  <c r="AL243" i="6" s="1"/>
  <c r="X211" i="6"/>
  <c r="AL211" i="6" s="1"/>
  <c r="X179" i="6"/>
  <c r="AL179" i="6" s="1"/>
  <c r="X147" i="6"/>
  <c r="AL147" i="6" s="1"/>
  <c r="X92" i="6"/>
  <c r="AL92" i="6" s="1"/>
  <c r="X28" i="6"/>
  <c r="AL28" i="6" s="1"/>
  <c r="X223" i="6"/>
  <c r="AL223" i="6" s="1"/>
  <c r="X159" i="6"/>
  <c r="AL159" i="6" s="1"/>
  <c r="X36" i="6"/>
  <c r="AL36" i="6" s="1"/>
  <c r="X212" i="6"/>
  <c r="AL212" i="6" s="1"/>
  <c r="X232" i="6"/>
  <c r="AL232" i="6" s="1"/>
  <c r="X200" i="6"/>
  <c r="AL200" i="6" s="1"/>
  <c r="X168" i="6"/>
  <c r="AL168" i="6" s="1"/>
  <c r="X136" i="6"/>
  <c r="AL136" i="6" s="1"/>
  <c r="X72" i="6"/>
  <c r="AL72" i="6" s="1"/>
  <c r="X8" i="6"/>
  <c r="AL8" i="6" s="1"/>
  <c r="X107" i="6"/>
  <c r="AL107" i="6" s="1"/>
  <c r="X75" i="6"/>
  <c r="AL75" i="6" s="1"/>
  <c r="X43" i="6"/>
  <c r="AL43" i="6" s="1"/>
  <c r="X23" i="6"/>
  <c r="AL23" i="6" s="1"/>
  <c r="X7" i="6"/>
  <c r="AL7" i="6" s="1"/>
  <c r="X250" i="6"/>
  <c r="AL250" i="6" s="1"/>
  <c r="X234" i="6"/>
  <c r="AL234" i="6" s="1"/>
  <c r="X218" i="6"/>
  <c r="AL218" i="6" s="1"/>
  <c r="X202" i="6"/>
  <c r="AL202" i="6" s="1"/>
  <c r="X186" i="6"/>
  <c r="AL186" i="6" s="1"/>
  <c r="X170" i="6"/>
  <c r="AL170" i="6" s="1"/>
  <c r="X154" i="6"/>
  <c r="AL154" i="6" s="1"/>
  <c r="X138" i="6"/>
  <c r="AL138" i="6" s="1"/>
  <c r="X122" i="6"/>
  <c r="AL122" i="6" s="1"/>
  <c r="X106" i="6"/>
  <c r="AL106" i="6" s="1"/>
  <c r="X90" i="6"/>
  <c r="AL90" i="6" s="1"/>
  <c r="X74" i="6"/>
  <c r="AL74" i="6" s="1"/>
  <c r="X58" i="6"/>
  <c r="AL58" i="6" s="1"/>
  <c r="X42" i="6"/>
  <c r="AL42" i="6" s="1"/>
  <c r="X26" i="6"/>
  <c r="AL26" i="6" s="1"/>
  <c r="X10" i="6"/>
  <c r="AL10" i="6" s="1"/>
  <c r="X119" i="6"/>
  <c r="AL119" i="6" s="1"/>
  <c r="X87" i="6"/>
  <c r="AL87" i="6" s="1"/>
  <c r="X55" i="6"/>
  <c r="AL55" i="6" s="1"/>
  <c r="X257" i="6"/>
  <c r="AL257" i="6" s="1"/>
  <c r="X241" i="6"/>
  <c r="AL241" i="6" s="1"/>
  <c r="X225" i="6"/>
  <c r="AL225" i="6" s="1"/>
  <c r="X209" i="6"/>
  <c r="AL209" i="6" s="1"/>
  <c r="X193" i="6"/>
  <c r="AL193" i="6" s="1"/>
  <c r="X177" i="6"/>
  <c r="AL177" i="6" s="1"/>
  <c r="X161" i="6"/>
  <c r="AL161" i="6" s="1"/>
  <c r="X145" i="6"/>
  <c r="AL145" i="6" s="1"/>
  <c r="X129" i="6"/>
  <c r="AL129" i="6" s="1"/>
  <c r="X113" i="6"/>
  <c r="AL113" i="6" s="1"/>
  <c r="X97" i="6"/>
  <c r="AL97" i="6" s="1"/>
  <c r="X81" i="6"/>
  <c r="AL81" i="6" s="1"/>
  <c r="X65" i="6"/>
  <c r="AL65" i="6" s="1"/>
  <c r="X49" i="6"/>
  <c r="AL49" i="6" s="1"/>
  <c r="X33" i="6"/>
  <c r="AL33" i="6" s="1"/>
  <c r="X17" i="6"/>
  <c r="AA3" i="6"/>
  <c r="AB3" i="6"/>
  <c r="AC3" i="6"/>
  <c r="AG3" i="6"/>
  <c r="AE3" i="6"/>
  <c r="AF3" i="6"/>
  <c r="AD3" i="6"/>
  <c r="Z3" i="6"/>
  <c r="X178" i="12" l="1"/>
  <c r="X260" i="12"/>
  <c r="X212" i="12"/>
  <c r="X135" i="12"/>
  <c r="X97" i="12"/>
  <c r="X73" i="12"/>
  <c r="X174" i="12"/>
  <c r="X248" i="12"/>
  <c r="X169" i="12"/>
  <c r="X110" i="12"/>
  <c r="X145" i="12"/>
  <c r="X17" i="12"/>
  <c r="X161" i="12"/>
  <c r="X274" i="12"/>
  <c r="X166" i="12"/>
  <c r="X265" i="12"/>
  <c r="X122" i="12"/>
  <c r="X54" i="12"/>
  <c r="X235" i="12"/>
  <c r="X82" i="12"/>
  <c r="X62" i="12"/>
  <c r="X185" i="12"/>
  <c r="X78" i="12"/>
  <c r="X138" i="12"/>
  <c r="X28" i="12"/>
  <c r="X91" i="12"/>
  <c r="X106" i="12"/>
  <c r="X215" i="12"/>
  <c r="X123" i="12"/>
  <c r="X23" i="12"/>
  <c r="X233" i="12"/>
  <c r="X255" i="12"/>
  <c r="X244" i="12"/>
  <c r="X50" i="12"/>
  <c r="X43" i="12"/>
  <c r="X175" i="12"/>
  <c r="X153" i="12"/>
  <c r="X129" i="12"/>
  <c r="X30" i="12"/>
  <c r="X250" i="12"/>
  <c r="X58" i="12"/>
  <c r="X218" i="12"/>
  <c r="X189" i="12"/>
  <c r="X114" i="12"/>
  <c r="X83" i="12"/>
  <c r="X90" i="12"/>
  <c r="X139" i="12"/>
  <c r="X39" i="12"/>
  <c r="X245" i="12"/>
  <c r="X199" i="12"/>
  <c r="X237" i="12"/>
  <c r="X55" i="12"/>
  <c r="X24" i="12"/>
  <c r="X163" i="12"/>
  <c r="AA261" i="12"/>
  <c r="AA214" i="12"/>
  <c r="AA190" i="12"/>
  <c r="AA140" i="12"/>
  <c r="AA115" i="12"/>
  <c r="AA61" i="12"/>
  <c r="AA133" i="12"/>
  <c r="AA102" i="12"/>
  <c r="AA203" i="12"/>
  <c r="AA85" i="12"/>
  <c r="AA65" i="12"/>
  <c r="AA274" i="12"/>
  <c r="AA168" i="12"/>
  <c r="AA183" i="12"/>
  <c r="AA141" i="12"/>
  <c r="AA39" i="12"/>
  <c r="AA56" i="12"/>
  <c r="AA46" i="12"/>
  <c r="AA181" i="12"/>
  <c r="AA259" i="12"/>
  <c r="AA204" i="12"/>
  <c r="AA157" i="12"/>
  <c r="AA103" i="12"/>
  <c r="AA38" i="12"/>
  <c r="AA257" i="12"/>
  <c r="AA162" i="12"/>
  <c r="AA60" i="12"/>
  <c r="AA153" i="12"/>
  <c r="AA169" i="12"/>
  <c r="X194" i="12"/>
  <c r="AA189" i="12"/>
  <c r="AA80" i="12"/>
  <c r="AA178" i="12"/>
  <c r="X210" i="12"/>
  <c r="AA253" i="12"/>
  <c r="AA206" i="12"/>
  <c r="AA182" i="12"/>
  <c r="AA132" i="12"/>
  <c r="AA99" i="12"/>
  <c r="AA53" i="12"/>
  <c r="AA87" i="12"/>
  <c r="AA74" i="12"/>
  <c r="AA164" i="12"/>
  <c r="AA84" i="12"/>
  <c r="AA49" i="12"/>
  <c r="AA258" i="12"/>
  <c r="AA256" i="12"/>
  <c r="AA160" i="12"/>
  <c r="AA151" i="12"/>
  <c r="AA113" i="12"/>
  <c r="AA31" i="12"/>
  <c r="AA40" i="12"/>
  <c r="AA30" i="12"/>
  <c r="AA145" i="12"/>
  <c r="AA123" i="12"/>
  <c r="AA251" i="12"/>
  <c r="AA209" i="12"/>
  <c r="AA138" i="12"/>
  <c r="AA83" i="12"/>
  <c r="AA64" i="12"/>
  <c r="AA155" i="12"/>
  <c r="AA146" i="12"/>
  <c r="AA249" i="12"/>
  <c r="AA149" i="12"/>
  <c r="AA44" i="12"/>
  <c r="AA96" i="12"/>
  <c r="AA111" i="12"/>
  <c r="X150" i="12"/>
  <c r="X42" i="12"/>
  <c r="AA245" i="12"/>
  <c r="AA198" i="12"/>
  <c r="AA174" i="12"/>
  <c r="AA213" i="12"/>
  <c r="AA187" i="12"/>
  <c r="AA45" i="12"/>
  <c r="AA68" i="12"/>
  <c r="AA58" i="12"/>
  <c r="AA130" i="12"/>
  <c r="AA23" i="12"/>
  <c r="AA33" i="12"/>
  <c r="AA240" i="12"/>
  <c r="AA205" i="12"/>
  <c r="AA152" i="12"/>
  <c r="AA185" i="12"/>
  <c r="AA93" i="12"/>
  <c r="AA239" i="12"/>
  <c r="AA24" i="12"/>
  <c r="AA137" i="12"/>
  <c r="AA59" i="12"/>
  <c r="AA91" i="12"/>
  <c r="AA266" i="12"/>
  <c r="AA193" i="12"/>
  <c r="AA199" i="12"/>
  <c r="AA75" i="12"/>
  <c r="AA48" i="12"/>
  <c r="AA170" i="12"/>
  <c r="AA118" i="12"/>
  <c r="AA262" i="12"/>
  <c r="AA252" i="12"/>
  <c r="AA28" i="12"/>
  <c r="AA73" i="12"/>
  <c r="X229" i="12"/>
  <c r="AA270" i="12"/>
  <c r="AA217" i="12"/>
  <c r="AA166" i="12"/>
  <c r="AA175" i="12"/>
  <c r="AA128" i="12"/>
  <c r="AA37" i="12"/>
  <c r="AA52" i="12"/>
  <c r="AA42" i="12"/>
  <c r="AA131" i="12"/>
  <c r="AA248" i="12"/>
  <c r="AA66" i="12"/>
  <c r="AA232" i="12"/>
  <c r="AA264" i="12"/>
  <c r="AA144" i="12"/>
  <c r="AA177" i="12"/>
  <c r="AA79" i="12"/>
  <c r="AA117" i="12"/>
  <c r="AA104" i="12"/>
  <c r="AA18" i="12"/>
  <c r="AA179" i="12"/>
  <c r="AA82" i="12"/>
  <c r="AA250" i="12"/>
  <c r="AA231" i="12"/>
  <c r="AA167" i="12"/>
  <c r="AA51" i="12"/>
  <c r="AA32" i="12"/>
  <c r="AA120" i="12"/>
  <c r="AA100" i="12"/>
  <c r="AA242" i="12"/>
  <c r="AA191" i="12"/>
  <c r="AA218" i="12"/>
  <c r="AA57" i="12"/>
  <c r="AA225" i="12"/>
  <c r="X131" i="12"/>
  <c r="AA254" i="12"/>
  <c r="AA241" i="12"/>
  <c r="AA158" i="12"/>
  <c r="AA272" i="12"/>
  <c r="AA108" i="12"/>
  <c r="AA29" i="12"/>
  <c r="AA36" i="12"/>
  <c r="AA26" i="12"/>
  <c r="AA98" i="12"/>
  <c r="AA226" i="12"/>
  <c r="AA271" i="12"/>
  <c r="AA224" i="12"/>
  <c r="AA219" i="12"/>
  <c r="AA173" i="12"/>
  <c r="AA139" i="12"/>
  <c r="AA71" i="12"/>
  <c r="AA95" i="12"/>
  <c r="AA21" i="12"/>
  <c r="AA94" i="12"/>
  <c r="AA19" i="12"/>
  <c r="AA34" i="12"/>
  <c r="AA236" i="12"/>
  <c r="AA180" i="12"/>
  <c r="AA233" i="12"/>
  <c r="AA43" i="12"/>
  <c r="AA119" i="12"/>
  <c r="AA237" i="12"/>
  <c r="AA112" i="12"/>
  <c r="AA234" i="12"/>
  <c r="AA159" i="12"/>
  <c r="AA260" i="12"/>
  <c r="AA41" i="12"/>
  <c r="X159" i="12"/>
  <c r="AA238" i="12"/>
  <c r="AA201" i="12"/>
  <c r="AA150" i="12"/>
  <c r="AA244" i="12"/>
  <c r="AA86" i="12"/>
  <c r="AA147" i="12"/>
  <c r="AA20" i="12"/>
  <c r="AA126" i="12"/>
  <c r="AA125" i="12"/>
  <c r="AA136" i="12"/>
  <c r="AA263" i="12"/>
  <c r="AA216" i="12"/>
  <c r="AA192" i="12"/>
  <c r="AA142" i="12"/>
  <c r="AA122" i="12"/>
  <c r="AA63" i="12"/>
  <c r="AA171" i="12"/>
  <c r="AA109" i="12"/>
  <c r="AA196" i="12"/>
  <c r="AA116" i="12"/>
  <c r="AA50" i="12"/>
  <c r="AA228" i="12"/>
  <c r="AA172" i="12"/>
  <c r="AA235" i="12"/>
  <c r="AA27" i="12"/>
  <c r="AA92" i="12"/>
  <c r="AA121" i="12"/>
  <c r="AA89" i="12"/>
  <c r="AA194" i="12"/>
  <c r="AA211" i="12"/>
  <c r="AA195" i="12"/>
  <c r="AA25" i="12"/>
  <c r="AA230" i="12"/>
  <c r="AA246" i="12"/>
  <c r="AA197" i="12"/>
  <c r="AA161" i="12"/>
  <c r="AA77" i="12"/>
  <c r="AA110" i="12"/>
  <c r="AA101" i="12"/>
  <c r="AA67" i="12"/>
  <c r="AM95" i="6"/>
  <c r="AA107" i="12"/>
  <c r="AA255" i="12"/>
  <c r="AA208" i="12"/>
  <c r="AA184" i="12"/>
  <c r="AA134" i="12"/>
  <c r="AM94" i="6"/>
  <c r="AA106" i="12"/>
  <c r="AA55" i="12"/>
  <c r="AA97" i="12"/>
  <c r="AA78" i="12"/>
  <c r="AA227" i="12"/>
  <c r="AA210" i="12"/>
  <c r="AA275" i="12"/>
  <c r="AA220" i="12"/>
  <c r="AA156" i="12"/>
  <c r="AA114" i="12"/>
  <c r="AA70" i="12"/>
  <c r="AA202" i="12"/>
  <c r="AA273" i="12"/>
  <c r="AA229" i="12"/>
  <c r="AA221" i="12"/>
  <c r="AA154" i="12"/>
  <c r="AA124" i="12"/>
  <c r="AA269" i="12"/>
  <c r="AA222" i="12"/>
  <c r="AA207" i="12"/>
  <c r="AA165" i="12"/>
  <c r="AA135" i="12"/>
  <c r="AA69" i="12"/>
  <c r="AA88" i="12"/>
  <c r="AA129" i="12"/>
  <c r="AA243" i="12"/>
  <c r="AA35" i="12"/>
  <c r="AA81" i="12"/>
  <c r="AA247" i="12"/>
  <c r="AA200" i="12"/>
  <c r="AA176" i="12"/>
  <c r="AA223" i="12"/>
  <c r="AA90" i="12"/>
  <c r="AA47" i="12"/>
  <c r="AA72" i="12"/>
  <c r="AA62" i="12"/>
  <c r="AA188" i="12"/>
  <c r="AA215" i="12"/>
  <c r="AA267" i="12"/>
  <c r="AA212" i="12"/>
  <c r="AA148" i="12"/>
  <c r="AA163" i="12"/>
  <c r="AA105" i="12"/>
  <c r="AA54" i="12"/>
  <c r="AA268" i="12"/>
  <c r="AA265" i="12"/>
  <c r="AA186" i="12"/>
  <c r="AA76" i="12"/>
  <c r="AA143" i="12"/>
  <c r="AA22" i="12"/>
  <c r="X227" i="12"/>
  <c r="X252" i="12"/>
  <c r="X191" i="12"/>
  <c r="X103" i="12"/>
  <c r="X187" i="12"/>
  <c r="X46" i="12"/>
  <c r="X241" i="12"/>
  <c r="X221" i="12"/>
  <c r="AA16" i="12"/>
  <c r="X66" i="12"/>
  <c r="X144" i="12"/>
  <c r="X225" i="12"/>
  <c r="X200" i="12"/>
  <c r="X226" i="12"/>
  <c r="X102" i="12"/>
  <c r="X152" i="12"/>
  <c r="X117" i="12"/>
  <c r="X71" i="12"/>
  <c r="X258" i="12"/>
  <c r="X101" i="12"/>
  <c r="X41" i="12"/>
  <c r="X111" i="12"/>
  <c r="X160" i="12"/>
  <c r="X202" i="12"/>
  <c r="X119" i="12"/>
  <c r="X34" i="12"/>
  <c r="X19" i="12"/>
  <c r="X87" i="12"/>
  <c r="X269" i="12"/>
  <c r="X179" i="12"/>
  <c r="X148" i="12"/>
  <c r="X36" i="12"/>
  <c r="X18" i="12"/>
  <c r="X143" i="12"/>
  <c r="X208" i="12"/>
  <c r="X94" i="12"/>
  <c r="AM5" i="6"/>
  <c r="AA17" i="12"/>
  <c r="X132" i="12"/>
  <c r="X93" i="12"/>
  <c r="X207" i="12"/>
  <c r="X88" i="12"/>
  <c r="X154" i="12"/>
  <c r="X180" i="12"/>
  <c r="X262" i="12"/>
  <c r="X172" i="12"/>
  <c r="X85" i="12"/>
  <c r="X25" i="12"/>
  <c r="X96" i="12"/>
  <c r="X259" i="12"/>
  <c r="X134" i="12"/>
  <c r="X32" i="12"/>
  <c r="X267" i="12"/>
  <c r="X231" i="12"/>
  <c r="X170" i="12"/>
  <c r="X68" i="12"/>
  <c r="X79" i="12"/>
  <c r="X271" i="12"/>
  <c r="X222" i="12"/>
  <c r="X246" i="12"/>
  <c r="X141" i="12"/>
  <c r="X273" i="12"/>
  <c r="X256" i="12"/>
  <c r="X72" i="12"/>
  <c r="X264" i="12"/>
  <c r="X61" i="12"/>
  <c r="X126" i="12"/>
  <c r="X220" i="12"/>
  <c r="X240" i="12"/>
  <c r="X75" i="12"/>
  <c r="X196" i="12"/>
  <c r="X120" i="12"/>
  <c r="X158" i="12"/>
  <c r="X21" i="12"/>
  <c r="X184" i="12"/>
  <c r="X51" i="12"/>
  <c r="X99" i="12"/>
  <c r="X63" i="12"/>
  <c r="X192" i="12"/>
  <c r="X182" i="12"/>
  <c r="X124" i="12"/>
  <c r="X35" i="12"/>
  <c r="X268" i="12"/>
  <c r="X33" i="12"/>
  <c r="X147" i="12"/>
  <c r="X142" i="12"/>
  <c r="X176" i="12"/>
  <c r="X48" i="12"/>
  <c r="X86" i="12"/>
  <c r="X177" i="12"/>
  <c r="X118" i="12"/>
  <c r="X230" i="12"/>
  <c r="X64" i="12"/>
  <c r="X272" i="12"/>
  <c r="X67" i="12"/>
  <c r="X270" i="12"/>
  <c r="X195" i="12"/>
  <c r="X47" i="12"/>
  <c r="X92" i="12"/>
  <c r="X109" i="12"/>
  <c r="X95" i="12"/>
  <c r="X238" i="12"/>
  <c r="X173" i="12"/>
  <c r="X157" i="12"/>
  <c r="X224" i="12"/>
  <c r="X22" i="12"/>
  <c r="X100" i="12"/>
  <c r="X183" i="12"/>
  <c r="X27" i="12"/>
  <c r="X214" i="12"/>
  <c r="X254" i="12"/>
  <c r="X243" i="12"/>
  <c r="X77" i="12"/>
  <c r="X105" i="12"/>
  <c r="X137" i="12"/>
  <c r="X204" i="12"/>
  <c r="X112" i="12"/>
  <c r="X52" i="12"/>
  <c r="X104" i="12"/>
  <c r="X242" i="12"/>
  <c r="X53" i="12"/>
  <c r="X98" i="12"/>
  <c r="X181" i="12"/>
  <c r="X203" i="12"/>
  <c r="X26" i="12"/>
  <c r="X31" i="12"/>
  <c r="X156" i="12"/>
  <c r="X70" i="12"/>
  <c r="X263" i="12"/>
  <c r="X186" i="12"/>
  <c r="X133" i="12"/>
  <c r="X65" i="12"/>
  <c r="X108" i="12"/>
  <c r="X257" i="12"/>
  <c r="X190" i="12"/>
  <c r="X56" i="12"/>
  <c r="X45" i="12"/>
  <c r="X251" i="12"/>
  <c r="X155" i="12"/>
  <c r="X69" i="12"/>
  <c r="X213" i="12"/>
  <c r="X164" i="12"/>
  <c r="X261" i="12"/>
  <c r="X171" i="12"/>
  <c r="X136" i="12"/>
  <c r="X140" i="12"/>
  <c r="X266" i="12"/>
  <c r="X206" i="12"/>
  <c r="X201" i="12"/>
  <c r="X125" i="12"/>
  <c r="X76" i="12"/>
  <c r="X57" i="12"/>
  <c r="X151" i="12"/>
  <c r="X249" i="12"/>
  <c r="X116" i="12"/>
  <c r="X234" i="12"/>
  <c r="X40" i="12"/>
  <c r="X168" i="12"/>
  <c r="X162" i="12"/>
  <c r="X29" i="12"/>
  <c r="X81" i="12"/>
  <c r="X146" i="12"/>
  <c r="X37" i="12"/>
  <c r="X253" i="12"/>
  <c r="X115" i="12"/>
  <c r="X74" i="12"/>
  <c r="X205" i="12"/>
  <c r="X84" i="12"/>
  <c r="X38" i="12"/>
  <c r="X247" i="12"/>
  <c r="X232" i="12"/>
  <c r="X60" i="12"/>
  <c r="X49" i="12"/>
  <c r="X20" i="12"/>
  <c r="X239" i="12"/>
  <c r="X188" i="12"/>
  <c r="X216" i="12"/>
  <c r="X113" i="12"/>
  <c r="X236" i="12"/>
  <c r="X165" i="12"/>
  <c r="X89" i="12"/>
  <c r="X198" i="12"/>
  <c r="X275" i="12"/>
  <c r="Y275" i="12" s="1"/>
  <c r="X167" i="12"/>
  <c r="X209" i="12"/>
  <c r="X107" i="12"/>
  <c r="X80" i="12"/>
  <c r="X211" i="12"/>
  <c r="X59" i="12"/>
  <c r="X197" i="12"/>
  <c r="X130" i="12"/>
  <c r="X44" i="12"/>
  <c r="X219" i="12"/>
  <c r="X223" i="12"/>
  <c r="X228" i="12"/>
  <c r="X149" i="12"/>
  <c r="X193" i="12"/>
  <c r="X121" i="12"/>
  <c r="G17" i="15"/>
  <c r="F17" i="15" s="1"/>
  <c r="I54" i="15"/>
  <c r="I55" i="15"/>
  <c r="L54" i="15"/>
  <c r="L55" i="15"/>
  <c r="N14" i="15"/>
  <c r="N55" i="15"/>
  <c r="M14" i="15"/>
  <c r="M55" i="15"/>
  <c r="J54" i="15"/>
  <c r="J55" i="15"/>
  <c r="Q54" i="15"/>
  <c r="Q55" i="15"/>
  <c r="H54" i="15"/>
  <c r="H55" i="15"/>
  <c r="O3" i="15"/>
  <c r="O55" i="15"/>
  <c r="K54" i="15"/>
  <c r="K55" i="15"/>
  <c r="P54" i="15"/>
  <c r="P55" i="15"/>
  <c r="N3" i="15"/>
  <c r="AL103" i="6"/>
  <c r="M47" i="15"/>
  <c r="M50" i="15"/>
  <c r="N25" i="15"/>
  <c r="N29" i="15"/>
  <c r="M15" i="15"/>
  <c r="N23" i="15"/>
  <c r="M5" i="15"/>
  <c r="M18" i="15"/>
  <c r="N24" i="15"/>
  <c r="M48" i="15"/>
  <c r="N8" i="15"/>
  <c r="N34" i="15"/>
  <c r="M45" i="15"/>
  <c r="M39" i="15"/>
  <c r="M32" i="15"/>
  <c r="M10" i="15"/>
  <c r="N48" i="15"/>
  <c r="N15" i="15"/>
  <c r="N13" i="15"/>
  <c r="N26" i="15"/>
  <c r="M29" i="15"/>
  <c r="M24" i="15"/>
  <c r="M31" i="15"/>
  <c r="M41" i="15"/>
  <c r="M20" i="15"/>
  <c r="M34" i="15"/>
  <c r="M3" i="15"/>
  <c r="N32" i="15"/>
  <c r="N39" i="15"/>
  <c r="N7" i="15"/>
  <c r="N5" i="15"/>
  <c r="N50" i="15"/>
  <c r="N18" i="15"/>
  <c r="O54" i="15"/>
  <c r="M44" i="15"/>
  <c r="M7" i="15"/>
  <c r="M42" i="15"/>
  <c r="N47" i="15"/>
  <c r="N4" i="15"/>
  <c r="M13" i="15"/>
  <c r="M4" i="15"/>
  <c r="M23" i="15"/>
  <c r="M25" i="15"/>
  <c r="M8" i="15"/>
  <c r="M26" i="15"/>
  <c r="N45" i="15"/>
  <c r="N20" i="15"/>
  <c r="N31" i="15"/>
  <c r="N41" i="15"/>
  <c r="N44" i="15"/>
  <c r="N42" i="15"/>
  <c r="N10" i="15"/>
  <c r="M37" i="15"/>
  <c r="M9" i="15"/>
  <c r="M36" i="15"/>
  <c r="M51" i="15"/>
  <c r="M35" i="15"/>
  <c r="M19" i="15"/>
  <c r="M53" i="15"/>
  <c r="M17" i="15"/>
  <c r="M28" i="15"/>
  <c r="M54" i="15"/>
  <c r="M38" i="15"/>
  <c r="M22" i="15"/>
  <c r="M6" i="15"/>
  <c r="N33" i="15"/>
  <c r="N40" i="15"/>
  <c r="N12" i="15"/>
  <c r="N43" i="15"/>
  <c r="N27" i="15"/>
  <c r="N11" i="15"/>
  <c r="N37" i="15"/>
  <c r="N9" i="15"/>
  <c r="N36" i="15"/>
  <c r="N54" i="15"/>
  <c r="N38" i="15"/>
  <c r="N22" i="15"/>
  <c r="N6" i="15"/>
  <c r="M49" i="15"/>
  <c r="M21" i="15"/>
  <c r="M52" i="15"/>
  <c r="M16" i="15"/>
  <c r="M43" i="15"/>
  <c r="M27" i="15"/>
  <c r="M11" i="15"/>
  <c r="M33" i="15"/>
  <c r="M40" i="15"/>
  <c r="M12" i="15"/>
  <c r="M46" i="15"/>
  <c r="M30" i="15"/>
  <c r="N49" i="15"/>
  <c r="N17" i="15"/>
  <c r="N28" i="15"/>
  <c r="N51" i="15"/>
  <c r="N35" i="15"/>
  <c r="N19" i="15"/>
  <c r="N53" i="15"/>
  <c r="N21" i="15"/>
  <c r="N52" i="15"/>
  <c r="N16" i="15"/>
  <c r="N46" i="15"/>
  <c r="N30" i="15"/>
  <c r="E25" i="25"/>
  <c r="C25" i="25"/>
  <c r="G25" i="25"/>
  <c r="B25" i="25"/>
  <c r="I16" i="26"/>
  <c r="AB17" i="15"/>
  <c r="AD17" i="15" s="1"/>
  <c r="H3" i="15"/>
  <c r="H49" i="15"/>
  <c r="H48" i="15"/>
  <c r="H41" i="15"/>
  <c r="H40" i="15"/>
  <c r="H33" i="15"/>
  <c r="H32" i="15"/>
  <c r="H25" i="15"/>
  <c r="H24" i="15"/>
  <c r="H17" i="15"/>
  <c r="H16" i="15"/>
  <c r="H44" i="15"/>
  <c r="H28" i="15"/>
  <c r="H31" i="15"/>
  <c r="H23" i="15"/>
  <c r="H22" i="15"/>
  <c r="H11" i="15"/>
  <c r="H51" i="15"/>
  <c r="H50" i="15"/>
  <c r="H43" i="15"/>
  <c r="H42" i="15"/>
  <c r="H35" i="15"/>
  <c r="H34" i="15"/>
  <c r="H27" i="15"/>
  <c r="H26" i="15"/>
  <c r="H19" i="15"/>
  <c r="H18" i="15"/>
  <c r="H14" i="15"/>
  <c r="H12" i="15"/>
  <c r="H10" i="15"/>
  <c r="H8" i="15"/>
  <c r="H6" i="15"/>
  <c r="H4" i="15"/>
  <c r="H53" i="15"/>
  <c r="H52" i="15"/>
  <c r="H45" i="15"/>
  <c r="H37" i="15"/>
  <c r="H36" i="15"/>
  <c r="H29" i="15"/>
  <c r="H21" i="15"/>
  <c r="H20" i="15"/>
  <c r="H47" i="15"/>
  <c r="H46" i="15"/>
  <c r="H39" i="15"/>
  <c r="H38" i="15"/>
  <c r="H30" i="15"/>
  <c r="H15" i="15"/>
  <c r="H13" i="15"/>
  <c r="H9" i="15"/>
  <c r="H7" i="15"/>
  <c r="H5" i="15"/>
  <c r="J52" i="15"/>
  <c r="J51" i="15"/>
  <c r="J44" i="15"/>
  <c r="J43" i="15"/>
  <c r="J36" i="15"/>
  <c r="J35" i="15"/>
  <c r="J28" i="15"/>
  <c r="J27" i="15"/>
  <c r="J20" i="15"/>
  <c r="J19" i="15"/>
  <c r="J48" i="15"/>
  <c r="J16" i="15"/>
  <c r="J15" i="15"/>
  <c r="J50" i="15"/>
  <c r="J49" i="15"/>
  <c r="J33" i="15"/>
  <c r="J26" i="15"/>
  <c r="J25" i="15"/>
  <c r="J10" i="15"/>
  <c r="J53" i="15"/>
  <c r="J46" i="15"/>
  <c r="J45" i="15"/>
  <c r="J38" i="15"/>
  <c r="J37" i="15"/>
  <c r="J30" i="15"/>
  <c r="J29" i="15"/>
  <c r="J22" i="15"/>
  <c r="J21" i="15"/>
  <c r="J13" i="15"/>
  <c r="J11" i="15"/>
  <c r="J9" i="15"/>
  <c r="J7" i="15"/>
  <c r="J5" i="15"/>
  <c r="J3" i="15"/>
  <c r="J47" i="15"/>
  <c r="J40" i="15"/>
  <c r="J39" i="15"/>
  <c r="J32" i="15"/>
  <c r="J31" i="15"/>
  <c r="J24" i="15"/>
  <c r="J23" i="15"/>
  <c r="J42" i="15"/>
  <c r="J41" i="15"/>
  <c r="J34" i="15"/>
  <c r="J18" i="15"/>
  <c r="J17" i="15"/>
  <c r="J14" i="15"/>
  <c r="J12" i="15"/>
  <c r="J8" i="15"/>
  <c r="J6" i="15"/>
  <c r="J4" i="15"/>
  <c r="I53" i="15"/>
  <c r="I51" i="15"/>
  <c r="I49" i="15"/>
  <c r="I47" i="15"/>
  <c r="I45" i="15"/>
  <c r="I43" i="15"/>
  <c r="I41" i="15"/>
  <c r="I39" i="15"/>
  <c r="I37" i="15"/>
  <c r="I35" i="15"/>
  <c r="I33" i="15"/>
  <c r="I31" i="15"/>
  <c r="I29" i="15"/>
  <c r="I27" i="15"/>
  <c r="I25" i="15"/>
  <c r="I23" i="15"/>
  <c r="I21" i="15"/>
  <c r="I19" i="15"/>
  <c r="I17" i="15"/>
  <c r="I15" i="15"/>
  <c r="I50" i="15"/>
  <c r="I42" i="15"/>
  <c r="I34" i="15"/>
  <c r="I26" i="15"/>
  <c r="I18" i="15"/>
  <c r="I14" i="15"/>
  <c r="I12" i="15"/>
  <c r="I10" i="15"/>
  <c r="I8" i="15"/>
  <c r="I6" i="15"/>
  <c r="I4" i="15"/>
  <c r="I13" i="15"/>
  <c r="I9" i="15"/>
  <c r="I7" i="15"/>
  <c r="I48" i="15"/>
  <c r="I32" i="15"/>
  <c r="I24" i="15"/>
  <c r="I52" i="15"/>
  <c r="I44" i="15"/>
  <c r="I36" i="15"/>
  <c r="I28" i="15"/>
  <c r="I20" i="15"/>
  <c r="I46" i="15"/>
  <c r="I38" i="15"/>
  <c r="I30" i="15"/>
  <c r="I22" i="15"/>
  <c r="I11" i="15"/>
  <c r="I5" i="15"/>
  <c r="I3" i="15"/>
  <c r="I40" i="15"/>
  <c r="I16" i="15"/>
  <c r="K52" i="15"/>
  <c r="K50" i="15"/>
  <c r="K48" i="15"/>
  <c r="K46" i="15"/>
  <c r="K44" i="15"/>
  <c r="K42" i="15"/>
  <c r="K40" i="15"/>
  <c r="K38" i="15"/>
  <c r="K36" i="15"/>
  <c r="K34" i="15"/>
  <c r="K32" i="15"/>
  <c r="K30" i="15"/>
  <c r="K28" i="15"/>
  <c r="K26" i="15"/>
  <c r="K24" i="15"/>
  <c r="K22" i="15"/>
  <c r="K20" i="15"/>
  <c r="K18" i="15"/>
  <c r="K16" i="15"/>
  <c r="K53" i="15"/>
  <c r="K45" i="15"/>
  <c r="K37" i="15"/>
  <c r="K29" i="15"/>
  <c r="K21" i="15"/>
  <c r="K13" i="15"/>
  <c r="K11" i="15"/>
  <c r="K9" i="15"/>
  <c r="K7" i="15"/>
  <c r="K5" i="15"/>
  <c r="K3" i="15"/>
  <c r="K49" i="15"/>
  <c r="K17" i="15"/>
  <c r="K12" i="15"/>
  <c r="K6" i="15"/>
  <c r="K51" i="15"/>
  <c r="K35" i="15"/>
  <c r="K27" i="15"/>
  <c r="K19" i="15"/>
  <c r="K47" i="15"/>
  <c r="K39" i="15"/>
  <c r="K31" i="15"/>
  <c r="K23" i="15"/>
  <c r="K15" i="15"/>
  <c r="K41" i="15"/>
  <c r="K33" i="15"/>
  <c r="K25" i="15"/>
  <c r="K14" i="15"/>
  <c r="K10" i="15"/>
  <c r="K8" i="15"/>
  <c r="K4" i="15"/>
  <c r="K43" i="15"/>
  <c r="L47" i="15"/>
  <c r="L46" i="15"/>
  <c r="L39" i="15"/>
  <c r="L38" i="15"/>
  <c r="L31" i="15"/>
  <c r="L30" i="15"/>
  <c r="L23" i="15"/>
  <c r="L22" i="15"/>
  <c r="L15" i="15"/>
  <c r="L51" i="15"/>
  <c r="L50" i="15"/>
  <c r="L19" i="15"/>
  <c r="L18" i="15"/>
  <c r="L37" i="15"/>
  <c r="L36" i="15"/>
  <c r="L29" i="15"/>
  <c r="L28" i="15"/>
  <c r="L20" i="15"/>
  <c r="L9" i="15"/>
  <c r="L7" i="15"/>
  <c r="L5" i="15"/>
  <c r="L49" i="15"/>
  <c r="L48" i="15"/>
  <c r="L41" i="15"/>
  <c r="L40" i="15"/>
  <c r="L33" i="15"/>
  <c r="L32" i="15"/>
  <c r="L25" i="15"/>
  <c r="L24" i="15"/>
  <c r="L17" i="15"/>
  <c r="L16" i="15"/>
  <c r="L14" i="15"/>
  <c r="L12" i="15"/>
  <c r="L10" i="15"/>
  <c r="L8" i="15"/>
  <c r="L6" i="15"/>
  <c r="L4" i="15"/>
  <c r="L43" i="15"/>
  <c r="L42" i="15"/>
  <c r="L35" i="15"/>
  <c r="L34" i="15"/>
  <c r="L27" i="15"/>
  <c r="L26" i="15"/>
  <c r="L53" i="15"/>
  <c r="L52" i="15"/>
  <c r="L45" i="15"/>
  <c r="L44" i="15"/>
  <c r="L21" i="15"/>
  <c r="L13" i="15"/>
  <c r="L11" i="15"/>
  <c r="L3" i="15"/>
  <c r="P50" i="15"/>
  <c r="P49" i="15"/>
  <c r="P42" i="15"/>
  <c r="P41" i="15"/>
  <c r="P34" i="15"/>
  <c r="P33" i="15"/>
  <c r="P26" i="15"/>
  <c r="P25" i="15"/>
  <c r="P18" i="15"/>
  <c r="P17" i="15"/>
  <c r="P53" i="15"/>
  <c r="P46" i="15"/>
  <c r="P45" i="15"/>
  <c r="P38" i="15"/>
  <c r="P37" i="15"/>
  <c r="P30" i="15"/>
  <c r="P29" i="15"/>
  <c r="P22" i="15"/>
  <c r="P21" i="15"/>
  <c r="P47" i="15"/>
  <c r="P40" i="15"/>
  <c r="P39" i="15"/>
  <c r="P16" i="15"/>
  <c r="P15" i="15"/>
  <c r="P14" i="15"/>
  <c r="P12" i="15"/>
  <c r="P8" i="15"/>
  <c r="P6" i="15"/>
  <c r="P4" i="15"/>
  <c r="P52" i="15"/>
  <c r="P51" i="15"/>
  <c r="P44" i="15"/>
  <c r="P43" i="15"/>
  <c r="P36" i="15"/>
  <c r="P35" i="15"/>
  <c r="P28" i="15"/>
  <c r="P27" i="15"/>
  <c r="P20" i="15"/>
  <c r="P19" i="15"/>
  <c r="P13" i="15"/>
  <c r="P11" i="15"/>
  <c r="P9" i="15"/>
  <c r="P7" i="15"/>
  <c r="P5" i="15"/>
  <c r="P3" i="15"/>
  <c r="P48" i="15"/>
  <c r="P32" i="15"/>
  <c r="P31" i="15"/>
  <c r="P24" i="15"/>
  <c r="P23" i="15"/>
  <c r="P10" i="15"/>
  <c r="O53" i="15"/>
  <c r="O51" i="15"/>
  <c r="O49" i="15"/>
  <c r="O47" i="15"/>
  <c r="O45" i="15"/>
  <c r="O43" i="15"/>
  <c r="O41" i="15"/>
  <c r="O39" i="15"/>
  <c r="O37" i="15"/>
  <c r="O35" i="15"/>
  <c r="O33" i="15"/>
  <c r="O31" i="15"/>
  <c r="O29" i="15"/>
  <c r="O27" i="15"/>
  <c r="O25" i="15"/>
  <c r="O23" i="15"/>
  <c r="O21" i="15"/>
  <c r="O19" i="15"/>
  <c r="O17" i="15"/>
  <c r="O15" i="15"/>
  <c r="O48" i="15"/>
  <c r="O40" i="15"/>
  <c r="O32" i="15"/>
  <c r="O24" i="15"/>
  <c r="O16" i="15"/>
  <c r="O14" i="15"/>
  <c r="O12" i="15"/>
  <c r="O10" i="15"/>
  <c r="O8" i="15"/>
  <c r="O6" i="15"/>
  <c r="O4" i="15"/>
  <c r="O52" i="15"/>
  <c r="O36" i="15"/>
  <c r="O20" i="15"/>
  <c r="O11" i="15"/>
  <c r="O5" i="15"/>
  <c r="O46" i="15"/>
  <c r="O38" i="15"/>
  <c r="O30" i="15"/>
  <c r="O50" i="15"/>
  <c r="O42" i="15"/>
  <c r="O34" i="15"/>
  <c r="O26" i="15"/>
  <c r="O18" i="15"/>
  <c r="O44" i="15"/>
  <c r="O28" i="15"/>
  <c r="O13" i="15"/>
  <c r="O9" i="15"/>
  <c r="O7" i="15"/>
  <c r="O22" i="15"/>
  <c r="Q52" i="15"/>
  <c r="Q50" i="15"/>
  <c r="Q48" i="15"/>
  <c r="Q46" i="15"/>
  <c r="Q44" i="15"/>
  <c r="Q42" i="15"/>
  <c r="Q40" i="15"/>
  <c r="Q38" i="15"/>
  <c r="Q36" i="15"/>
  <c r="Q34" i="15"/>
  <c r="Q32" i="15"/>
  <c r="Q30" i="15"/>
  <c r="Q28" i="15"/>
  <c r="Q26" i="15"/>
  <c r="Q24" i="15"/>
  <c r="Q22" i="15"/>
  <c r="Q20" i="15"/>
  <c r="Q18" i="15"/>
  <c r="Q16" i="15"/>
  <c r="Q51" i="15"/>
  <c r="Q43" i="15"/>
  <c r="Q35" i="15"/>
  <c r="Q27" i="15"/>
  <c r="Q19" i="15"/>
  <c r="Q13" i="15"/>
  <c r="Q11" i="15"/>
  <c r="Q9" i="15"/>
  <c r="Q7" i="15"/>
  <c r="Q5" i="15"/>
  <c r="Q3" i="15"/>
  <c r="Q31" i="15"/>
  <c r="Q23" i="15"/>
  <c r="Q14" i="15"/>
  <c r="Q10" i="15"/>
  <c r="Q4" i="15"/>
  <c r="Q41" i="15"/>
  <c r="Q33" i="15"/>
  <c r="Q17" i="15"/>
  <c r="Q53" i="15"/>
  <c r="Q45" i="15"/>
  <c r="Q37" i="15"/>
  <c r="Q29" i="15"/>
  <c r="Q21" i="15"/>
  <c r="Q47" i="15"/>
  <c r="Q39" i="15"/>
  <c r="Q15" i="15"/>
  <c r="Q12" i="15"/>
  <c r="Q8" i="15"/>
  <c r="Q6" i="15"/>
  <c r="Q49" i="15"/>
  <c r="Q25" i="15"/>
  <c r="AL52" i="6"/>
  <c r="AL21" i="6"/>
  <c r="AT22" i="6" s="1"/>
  <c r="AL17" i="6"/>
  <c r="AL6" i="6"/>
  <c r="AL35" i="6"/>
  <c r="AL39" i="6"/>
  <c r="AL19" i="6"/>
  <c r="AT13" i="6"/>
  <c r="AT31" i="6"/>
  <c r="AT46" i="6"/>
  <c r="AT51" i="6"/>
  <c r="AT257" i="6"/>
  <c r="AT230" i="6"/>
  <c r="AT209" i="6"/>
  <c r="AT193" i="6"/>
  <c r="AT83" i="6"/>
  <c r="AT246" i="6"/>
  <c r="AT186" i="6"/>
  <c r="AT165" i="6"/>
  <c r="AT155" i="6"/>
  <c r="AT248" i="6"/>
  <c r="AT57" i="6"/>
  <c r="AT114" i="6"/>
  <c r="AT64" i="6"/>
  <c r="AT199" i="6"/>
  <c r="AT219" i="6"/>
  <c r="AT195" i="6"/>
  <c r="AT160" i="6"/>
  <c r="AT171" i="6"/>
  <c r="AT239" i="6"/>
  <c r="AT263" i="6"/>
  <c r="AT183" i="6"/>
  <c r="AT11" i="6"/>
  <c r="AT204" i="6"/>
  <c r="AT141" i="6"/>
  <c r="AT72" i="6"/>
  <c r="AT227" i="6"/>
  <c r="AT225" i="6"/>
  <c r="AT76" i="6"/>
  <c r="AT139" i="6"/>
  <c r="AT121" i="6"/>
  <c r="AT63" i="6"/>
  <c r="AT28" i="6"/>
  <c r="AT41" i="6"/>
  <c r="AT90" i="6"/>
  <c r="AT112" i="6"/>
  <c r="AT260" i="6"/>
  <c r="AT79" i="6"/>
  <c r="AT132" i="6"/>
  <c r="AT148" i="6"/>
  <c r="AT182" i="6"/>
  <c r="AT47" i="6"/>
  <c r="AT24" i="6"/>
  <c r="AT37" i="6"/>
  <c r="AT16" i="6"/>
  <c r="AT54" i="6"/>
  <c r="AT14" i="6"/>
  <c r="AT34" i="6"/>
  <c r="AT251" i="6"/>
  <c r="AT196" i="6"/>
  <c r="AT174" i="6"/>
  <c r="AT205" i="6"/>
  <c r="AT122" i="6"/>
  <c r="AT222" i="6"/>
  <c r="AT151" i="6"/>
  <c r="AT233" i="6"/>
  <c r="AT80" i="6"/>
  <c r="AT216" i="6"/>
  <c r="AT214" i="6"/>
  <c r="AT158" i="6"/>
  <c r="AT107" i="6"/>
  <c r="AT101" i="6"/>
  <c r="AT69" i="6"/>
  <c r="AT240" i="6"/>
  <c r="AT172" i="6"/>
  <c r="AT262" i="6"/>
  <c r="AT229" i="6"/>
  <c r="AT163" i="6"/>
  <c r="AT92" i="6"/>
  <c r="AT208" i="6"/>
  <c r="AT256" i="6"/>
  <c r="AT44" i="6"/>
  <c r="AT49" i="6"/>
  <c r="AT88" i="6"/>
  <c r="AT150" i="6"/>
  <c r="AT180" i="6"/>
  <c r="AT119" i="6"/>
  <c r="AT202" i="6"/>
  <c r="AT140" i="6"/>
  <c r="AT126" i="6"/>
  <c r="AT62" i="6"/>
  <c r="AT60" i="6"/>
  <c r="AT26" i="6"/>
  <c r="AT8" i="6"/>
  <c r="AT217" i="6"/>
  <c r="AT156" i="6"/>
  <c r="AT145" i="6"/>
  <c r="AT261" i="6"/>
  <c r="AT157" i="6"/>
  <c r="AT184" i="6"/>
  <c r="AT133" i="6"/>
  <c r="AT55" i="6"/>
  <c r="AT23" i="6"/>
  <c r="AT30" i="6"/>
  <c r="AT32" i="6"/>
  <c r="AT45" i="6"/>
  <c r="AT15" i="6"/>
  <c r="AT48" i="6"/>
  <c r="AT43" i="6"/>
  <c r="AT12" i="6"/>
  <c r="AT33" i="6"/>
  <c r="AT50" i="6"/>
  <c r="AT241" i="6"/>
  <c r="AT218" i="6"/>
  <c r="AT190" i="6"/>
  <c r="AT175" i="6"/>
  <c r="AT159" i="6"/>
  <c r="AT74" i="6"/>
  <c r="AT124" i="6"/>
  <c r="AT56" i="6"/>
  <c r="AT58" i="6"/>
  <c r="AT179" i="6"/>
  <c r="AT113" i="6"/>
  <c r="AT185" i="6"/>
  <c r="AT210" i="6"/>
  <c r="AT247" i="6"/>
  <c r="AT232" i="6"/>
  <c r="AT192" i="6"/>
  <c r="AT170" i="6"/>
  <c r="AT149" i="6"/>
  <c r="AT118" i="6"/>
  <c r="AT173" i="6"/>
  <c r="AT100" i="6"/>
  <c r="AT238" i="6"/>
  <c r="AT198" i="6"/>
  <c r="AT167" i="6"/>
  <c r="AT129" i="6"/>
  <c r="AT87" i="6"/>
  <c r="AT242" i="6"/>
  <c r="AT194" i="6"/>
  <c r="AT207" i="6"/>
  <c r="AT164" i="6"/>
  <c r="AT61" i="6"/>
  <c r="AT125" i="6"/>
  <c r="AT59" i="6"/>
  <c r="AT245" i="6"/>
  <c r="AT91" i="6"/>
  <c r="AT25" i="6"/>
  <c r="AT258" i="6"/>
  <c r="AT223" i="6"/>
  <c r="AT197" i="6"/>
  <c r="AT123" i="6"/>
  <c r="AT84" i="6"/>
  <c r="AT73" i="6"/>
  <c r="AT142" i="6"/>
  <c r="AT117" i="6"/>
  <c r="AT85" i="6"/>
  <c r="AT136" i="6"/>
  <c r="AT152" i="6"/>
  <c r="AT9" i="6"/>
  <c r="AT29" i="6"/>
  <c r="AT42" i="6"/>
  <c r="AT10" i="6"/>
  <c r="AT27" i="6"/>
  <c r="AT38" i="6"/>
  <c r="AT220" i="6"/>
  <c r="AT231" i="6"/>
  <c r="AT215" i="6"/>
  <c r="AT221" i="6"/>
  <c r="AT106" i="6"/>
  <c r="AT166" i="6"/>
  <c r="AT67" i="6"/>
  <c r="AT228" i="6"/>
  <c r="AT213" i="6"/>
  <c r="AT206" i="6"/>
  <c r="AT237" i="6"/>
  <c r="AT226" i="6"/>
  <c r="AT252" i="6"/>
  <c r="AT191" i="6"/>
  <c r="AT86" i="6"/>
  <c r="AT68" i="6"/>
  <c r="AT75" i="6"/>
  <c r="AT234" i="6"/>
  <c r="AT259" i="6"/>
  <c r="AT203" i="6"/>
  <c r="AT187" i="6"/>
  <c r="AT120" i="6"/>
  <c r="AT224" i="6"/>
  <c r="AT176" i="6"/>
  <c r="AT108" i="6"/>
  <c r="AT181" i="6"/>
  <c r="AT111" i="6"/>
  <c r="AT255" i="6"/>
  <c r="AT89" i="6"/>
  <c r="AT5" i="6"/>
  <c r="AT134" i="6"/>
  <c r="AT200" i="6"/>
  <c r="AT243" i="6"/>
  <c r="AT211" i="6"/>
  <c r="AT153" i="6"/>
  <c r="AT143" i="6"/>
  <c r="AT81" i="6"/>
  <c r="AT93" i="6"/>
  <c r="AT70" i="6"/>
  <c r="AT102" i="6"/>
  <c r="AT137" i="6"/>
  <c r="AT77" i="6"/>
  <c r="AT249" i="6"/>
  <c r="AT161" i="6"/>
  <c r="AT65" i="6"/>
  <c r="AT146" i="6"/>
  <c r="AT98" i="6"/>
  <c r="AT168" i="6"/>
  <c r="AT130" i="6"/>
  <c r="AT95" i="6"/>
  <c r="AT235" i="6"/>
  <c r="AT127" i="6"/>
  <c r="AT109" i="6"/>
  <c r="AT253" i="6"/>
  <c r="AT188" i="6"/>
  <c r="AT177" i="6"/>
  <c r="Y158" i="12" l="1"/>
  <c r="Y135" i="12"/>
  <c r="Y121" i="12"/>
  <c r="Y130" i="12"/>
  <c r="Y253" i="12"/>
  <c r="Y255" i="12"/>
  <c r="Y21" i="12"/>
  <c r="Y258" i="12"/>
  <c r="Y80" i="12"/>
  <c r="Y101" i="12"/>
  <c r="Y221" i="12"/>
  <c r="Y44" i="12"/>
  <c r="Y207" i="12"/>
  <c r="Y151" i="12"/>
  <c r="Y83" i="12"/>
  <c r="Y149" i="12"/>
  <c r="Y156" i="12"/>
  <c r="Y20" i="12"/>
  <c r="Y237" i="12"/>
  <c r="Y71" i="12"/>
  <c r="Y89" i="12"/>
  <c r="Y94" i="12"/>
  <c r="Y96" i="12"/>
  <c r="Y240" i="12"/>
  <c r="Y197" i="12"/>
  <c r="Y167" i="12"/>
  <c r="Y138" i="12"/>
  <c r="Y38" i="12"/>
  <c r="Y25" i="12"/>
  <c r="Y266" i="12"/>
  <c r="Y211" i="12"/>
  <c r="Y262" i="12"/>
  <c r="Y62" i="12"/>
  <c r="Y198" i="12"/>
  <c r="Y74" i="12"/>
  <c r="Y171" i="12"/>
  <c r="Y239" i="12"/>
  <c r="Y23" i="12"/>
  <c r="Y199" i="12"/>
  <c r="Y229" i="12"/>
  <c r="Y245" i="12"/>
  <c r="Y179" i="12"/>
  <c r="Y140" i="12"/>
  <c r="Y178" i="12"/>
  <c r="Y60" i="12"/>
  <c r="Y59" i="12"/>
  <c r="Y259" i="12"/>
  <c r="Y66" i="12"/>
  <c r="Y231" i="12"/>
  <c r="Y247" i="12"/>
  <c r="Y143" i="12"/>
  <c r="Y269" i="12"/>
  <c r="Y111" i="12"/>
  <c r="Y185" i="12"/>
  <c r="Y175" i="12"/>
  <c r="Y107" i="12"/>
  <c r="Y215" i="12"/>
  <c r="Y241" i="12"/>
  <c r="Y248" i="12"/>
  <c r="Y189" i="12"/>
  <c r="Y91" i="12"/>
  <c r="Y92" i="12"/>
  <c r="Y81" i="12"/>
  <c r="Y256" i="12"/>
  <c r="Y31" i="12"/>
  <c r="Y98" i="12"/>
  <c r="Y218" i="12"/>
  <c r="Y49" i="12"/>
  <c r="Y29" i="12"/>
  <c r="Y68" i="12"/>
  <c r="Y228" i="12"/>
  <c r="Y161" i="12"/>
  <c r="Y155" i="12"/>
  <c r="Y193" i="12"/>
  <c r="Y212" i="12"/>
  <c r="Y233" i="12"/>
  <c r="Y115" i="12"/>
  <c r="Y168" i="12"/>
  <c r="Y136" i="12"/>
  <c r="Y132" i="12"/>
  <c r="Y173" i="12"/>
  <c r="Y188" i="12"/>
  <c r="Y37" i="12"/>
  <c r="Y226" i="12"/>
  <c r="Y26" i="12"/>
  <c r="Y19" i="12"/>
  <c r="Y222" i="12"/>
  <c r="Y34" i="12"/>
  <c r="Y191" i="12"/>
  <c r="Y254" i="12"/>
  <c r="Y157" i="12"/>
  <c r="Y67" i="12"/>
  <c r="Y160" i="12"/>
  <c r="Y176" i="12"/>
  <c r="Y63" i="12"/>
  <c r="Y146" i="12"/>
  <c r="Y57" i="12"/>
  <c r="Y159" i="12"/>
  <c r="Y190" i="12"/>
  <c r="Y263" i="12"/>
  <c r="Y148" i="12"/>
  <c r="Y106" i="12"/>
  <c r="Y274" i="12"/>
  <c r="Y271" i="12"/>
  <c r="Y204" i="12"/>
  <c r="Y24" i="12"/>
  <c r="Y214" i="12"/>
  <c r="Y47" i="12"/>
  <c r="Y119" i="12"/>
  <c r="Y88" i="12"/>
  <c r="Y142" i="12"/>
  <c r="Y268" i="12"/>
  <c r="Y58" i="12"/>
  <c r="Y265" i="12"/>
  <c r="Y144" i="12"/>
  <c r="Y217" i="12"/>
  <c r="Y32" i="12"/>
  <c r="Y162" i="12"/>
  <c r="Y76" i="12"/>
  <c r="Y75" i="12"/>
  <c r="Y210" i="12"/>
  <c r="Y257" i="12"/>
  <c r="Y70" i="12"/>
  <c r="Y131" i="12"/>
  <c r="Y169" i="12"/>
  <c r="Y53" i="12"/>
  <c r="Y273" i="12"/>
  <c r="Y79" i="12"/>
  <c r="Y139" i="12"/>
  <c r="Y27" i="12"/>
  <c r="Y238" i="12"/>
  <c r="Y42" i="12"/>
  <c r="Y272" i="12"/>
  <c r="Y166" i="12"/>
  <c r="Y35" i="12"/>
  <c r="Y99" i="12"/>
  <c r="Y129" i="12"/>
  <c r="Y145" i="12"/>
  <c r="Y235" i="12"/>
  <c r="Y261" i="12"/>
  <c r="Y251" i="12"/>
  <c r="Y108" i="12"/>
  <c r="Y18" i="12"/>
  <c r="Y153" i="12"/>
  <c r="Y203" i="12"/>
  <c r="Y104" i="12"/>
  <c r="Y52" i="12"/>
  <c r="Y170" i="12"/>
  <c r="Y85" i="12"/>
  <c r="Y183" i="12"/>
  <c r="Y152" i="12"/>
  <c r="Y64" i="12"/>
  <c r="Y97" i="12"/>
  <c r="Y147" i="12"/>
  <c r="Y51" i="12"/>
  <c r="Y165" i="12"/>
  <c r="Y84" i="12"/>
  <c r="Y40" i="12"/>
  <c r="Y201" i="12"/>
  <c r="Y164" i="12"/>
  <c r="Y45" i="12"/>
  <c r="Y65" i="12"/>
  <c r="Y36" i="12"/>
  <c r="Y61" i="12"/>
  <c r="Y73" i="12"/>
  <c r="Y187" i="12"/>
  <c r="Y137" i="12"/>
  <c r="Y100" i="12"/>
  <c r="Y95" i="12"/>
  <c r="Y150" i="12"/>
  <c r="Y230" i="12"/>
  <c r="Y118" i="12"/>
  <c r="Y33" i="12"/>
  <c r="Y172" i="12"/>
  <c r="Y223" i="12"/>
  <c r="Y236" i="12"/>
  <c r="Y117" i="12"/>
  <c r="Y244" i="12"/>
  <c r="Y55" i="12"/>
  <c r="Y234" i="12"/>
  <c r="Y206" i="12"/>
  <c r="Y213" i="12"/>
  <c r="Y102" i="12"/>
  <c r="Y181" i="12"/>
  <c r="Y264" i="12"/>
  <c r="Y163" i="12"/>
  <c r="Y46" i="12"/>
  <c r="Y105" i="12"/>
  <c r="Y22" i="12"/>
  <c r="Y174" i="12"/>
  <c r="Y267" i="12"/>
  <c r="Y177" i="12"/>
  <c r="Y28" i="12"/>
  <c r="Y182" i="12"/>
  <c r="Y227" i="12"/>
  <c r="Y180" i="12"/>
  <c r="Y219" i="12"/>
  <c r="Y225" i="12"/>
  <c r="Y120" i="12"/>
  <c r="Y113" i="12"/>
  <c r="Y205" i="12"/>
  <c r="Y78" i="12"/>
  <c r="Y200" i="12"/>
  <c r="Y116" i="12"/>
  <c r="Y69" i="12"/>
  <c r="Y220" i="12"/>
  <c r="Y133" i="12"/>
  <c r="Y17" i="12"/>
  <c r="Y154" i="12"/>
  <c r="Y242" i="12"/>
  <c r="Y141" i="12"/>
  <c r="Y112" i="12"/>
  <c r="Y43" i="12"/>
  <c r="Y77" i="12"/>
  <c r="Y90" i="12"/>
  <c r="Y109" i="12"/>
  <c r="Y195" i="12"/>
  <c r="Y134" i="12"/>
  <c r="Y86" i="12"/>
  <c r="Y93" i="12"/>
  <c r="Y194" i="12"/>
  <c r="Y250" i="12"/>
  <c r="Y50" i="12"/>
  <c r="Y184" i="12"/>
  <c r="Y41" i="12"/>
  <c r="Y209" i="12"/>
  <c r="Y216" i="12"/>
  <c r="Y232" i="12"/>
  <c r="Y82" i="12"/>
  <c r="Y196" i="12"/>
  <c r="Y252" i="12"/>
  <c r="Y249" i="12"/>
  <c r="Y54" i="12"/>
  <c r="Y208" i="12"/>
  <c r="Y56" i="12"/>
  <c r="Y186" i="12"/>
  <c r="Y87" i="12"/>
  <c r="Y72" i="12"/>
  <c r="Y246" i="12"/>
  <c r="Y39" i="12"/>
  <c r="Y103" i="12"/>
  <c r="Y243" i="12"/>
  <c r="Y224" i="12"/>
  <c r="Y110" i="12"/>
  <c r="Y270" i="12"/>
  <c r="Y202" i="12"/>
  <c r="Y48" i="12"/>
  <c r="Y114" i="12"/>
  <c r="Y192" i="12"/>
  <c r="Y30" i="12"/>
  <c r="Y260" i="12"/>
  <c r="G18" i="15"/>
  <c r="F18" i="15" s="1"/>
  <c r="G26" i="25"/>
  <c r="AB18" i="15"/>
  <c r="AD18" i="15" s="1"/>
  <c r="AT6" i="6"/>
  <c r="AT17" i="6"/>
  <c r="AT39" i="6"/>
  <c r="AT21" i="6"/>
  <c r="AT19" i="6"/>
  <c r="AT35" i="6"/>
  <c r="AT52" i="6"/>
  <c r="AT7" i="6"/>
  <c r="AT18" i="6"/>
  <c r="AT36" i="6"/>
  <c r="AT20" i="6"/>
  <c r="AT40" i="6"/>
  <c r="AT53" i="6"/>
  <c r="AT96" i="6"/>
  <c r="AT78" i="6"/>
  <c r="AT144" i="6"/>
  <c r="AT147" i="6"/>
  <c r="AT178" i="6"/>
  <c r="AT104" i="6"/>
  <c r="AT135" i="6"/>
  <c r="AT105" i="6"/>
  <c r="AT131" i="6"/>
  <c r="AT138" i="6"/>
  <c r="AT66" i="6"/>
  <c r="AT162" i="6"/>
  <c r="AT97" i="6"/>
  <c r="AT154" i="6"/>
  <c r="AT244" i="6"/>
  <c r="AT169" i="6"/>
  <c r="AT71" i="6"/>
  <c r="AT110" i="6"/>
  <c r="AT94" i="6"/>
  <c r="AT254" i="6"/>
  <c r="AT128" i="6"/>
  <c r="AT250" i="6"/>
  <c r="AT99" i="6"/>
  <c r="AT201" i="6"/>
  <c r="AT103" i="6"/>
  <c r="AT212" i="6"/>
  <c r="AT236" i="6"/>
  <c r="AT82" i="6"/>
  <c r="AT189" i="6"/>
  <c r="G19" i="15" l="1"/>
  <c r="F19" i="15" s="1"/>
  <c r="AB19" i="15"/>
  <c r="AD19" i="15" s="1"/>
  <c r="AM75" i="6"/>
  <c r="AM139" i="6"/>
  <c r="AM62" i="6"/>
  <c r="AM6" i="6"/>
  <c r="G20" i="15" l="1"/>
  <c r="F20" i="15" s="1"/>
  <c r="AB20" i="15"/>
  <c r="AD20" i="15" s="1"/>
  <c r="AM82" i="6"/>
  <c r="AM116" i="6"/>
  <c r="AM179" i="6"/>
  <c r="AM7" i="6"/>
  <c r="BB149" i="3"/>
  <c r="K140" i="6" s="1"/>
  <c r="A140" i="6" s="1"/>
  <c r="BC149" i="3" s="1"/>
  <c r="BB254" i="3"/>
  <c r="K245" i="6" s="1"/>
  <c r="A245" i="6" s="1"/>
  <c r="BC254" i="3" s="1"/>
  <c r="AM43" i="6"/>
  <c r="BB171" i="3"/>
  <c r="K162" i="6" s="1"/>
  <c r="A162" i="6" s="1"/>
  <c r="BC171" i="3" s="1"/>
  <c r="BB166" i="3"/>
  <c r="K157" i="6" s="1"/>
  <c r="A157" i="6" s="1"/>
  <c r="BC166" i="3" s="1"/>
  <c r="AM60" i="6"/>
  <c r="AM53" i="6"/>
  <c r="AM243" i="6"/>
  <c r="AM14" i="6"/>
  <c r="BB108" i="3"/>
  <c r="AM89" i="6"/>
  <c r="BB211" i="3"/>
  <c r="K202" i="6" s="1"/>
  <c r="A202" i="6" s="1"/>
  <c r="BC211" i="3" s="1"/>
  <c r="AM16" i="6"/>
  <c r="AM189" i="6"/>
  <c r="AM105" i="6"/>
  <c r="AM227" i="6"/>
  <c r="AM197" i="6"/>
  <c r="AM218" i="6"/>
  <c r="AM106" i="6"/>
  <c r="BB169" i="3"/>
  <c r="K160" i="6" s="1"/>
  <c r="A160" i="6" s="1"/>
  <c r="BC169" i="3" s="1"/>
  <c r="AM42" i="6"/>
  <c r="AM90" i="6"/>
  <c r="AM175" i="6"/>
  <c r="AM31" i="6"/>
  <c r="AM4" i="6"/>
  <c r="AM141" i="6"/>
  <c r="AM122" i="6"/>
  <c r="AM18" i="6"/>
  <c r="AM249" i="6"/>
  <c r="AM231" i="6"/>
  <c r="AM20" i="6"/>
  <c r="BB83" i="3"/>
  <c r="AM46" i="6"/>
  <c r="AM100" i="6"/>
  <c r="BB151" i="3"/>
  <c r="K142" i="6" s="1"/>
  <c r="A142" i="6" s="1"/>
  <c r="BC151" i="3" s="1"/>
  <c r="AM169" i="6"/>
  <c r="AM137" i="6"/>
  <c r="BB39" i="3"/>
  <c r="K30" i="6" s="1"/>
  <c r="A30" i="6" s="1"/>
  <c r="BC39" i="3" s="1"/>
  <c r="BB220" i="3"/>
  <c r="K211" i="6" s="1"/>
  <c r="A211" i="6" s="1"/>
  <c r="BC220" i="3" s="1"/>
  <c r="BB201" i="3"/>
  <c r="K192" i="6" s="1"/>
  <c r="A192" i="6" s="1"/>
  <c r="BC201" i="3" s="1"/>
  <c r="AM117" i="6"/>
  <c r="BB77" i="3"/>
  <c r="AM138" i="6"/>
  <c r="AM201" i="6"/>
  <c r="AM29" i="6"/>
  <c r="BB153" i="3"/>
  <c r="K144" i="6" s="1"/>
  <c r="A144" i="6" s="1"/>
  <c r="BC153" i="3" s="1"/>
  <c r="AM163" i="6"/>
  <c r="BB64" i="3"/>
  <c r="K55" i="6" s="1"/>
  <c r="A55" i="6" s="1"/>
  <c r="BC64" i="3" s="1"/>
  <c r="BB203" i="3"/>
  <c r="K194" i="6" s="1"/>
  <c r="A194" i="6" s="1"/>
  <c r="BC203" i="3" s="1"/>
  <c r="AM253" i="6"/>
  <c r="BB103" i="3"/>
  <c r="K94" i="6" s="1"/>
  <c r="A94" i="6" s="1"/>
  <c r="BC103" i="3" s="1"/>
  <c r="AM262" i="6"/>
  <c r="AM59" i="6"/>
  <c r="AM26" i="6"/>
  <c r="AM132" i="6"/>
  <c r="BB251" i="3"/>
  <c r="K242" i="6" s="1"/>
  <c r="A242" i="6" s="1"/>
  <c r="BC251" i="3" s="1"/>
  <c r="AM224" i="6"/>
  <c r="AM37" i="6"/>
  <c r="BB219" i="3"/>
  <c r="K210" i="6" s="1"/>
  <c r="A210" i="6" s="1"/>
  <c r="BC219" i="3" s="1"/>
  <c r="AM147" i="6"/>
  <c r="BB30" i="3"/>
  <c r="AM217" i="6"/>
  <c r="BB144" i="3"/>
  <c r="K135" i="6" s="1"/>
  <c r="A135" i="6" s="1"/>
  <c r="BC144" i="3" s="1"/>
  <c r="AM111" i="6"/>
  <c r="AM154" i="6"/>
  <c r="AM259" i="6"/>
  <c r="AM252" i="6"/>
  <c r="BB55" i="3"/>
  <c r="K46" i="6" s="1"/>
  <c r="A46" i="6" s="1"/>
  <c r="BC55" i="3" s="1"/>
  <c r="AM226" i="6"/>
  <c r="BB235" i="3"/>
  <c r="K226" i="6" s="1"/>
  <c r="A226" i="6" s="1"/>
  <c r="BC235" i="3" s="1"/>
  <c r="AM87" i="6"/>
  <c r="BB96" i="3"/>
  <c r="K87" i="6" s="1"/>
  <c r="A87" i="6" s="1"/>
  <c r="BC96" i="3" s="1"/>
  <c r="AM102" i="6"/>
  <c r="BB111" i="3"/>
  <c r="K102" i="6" s="1"/>
  <c r="A102" i="6" s="1"/>
  <c r="BC111" i="3" s="1"/>
  <c r="AM76" i="6"/>
  <c r="BB85" i="3"/>
  <c r="K76" i="6" s="1"/>
  <c r="A76" i="6" s="1"/>
  <c r="BC85" i="3" s="1"/>
  <c r="AM206" i="6"/>
  <c r="BB215" i="3"/>
  <c r="K206" i="6" s="1"/>
  <c r="A206" i="6" s="1"/>
  <c r="BC215" i="3" s="1"/>
  <c r="AM85" i="6"/>
  <c r="BB94" i="3"/>
  <c r="K85" i="6" s="1"/>
  <c r="A85" i="6" s="1"/>
  <c r="BC94" i="3" s="1"/>
  <c r="AM130" i="6"/>
  <c r="BB139" i="3"/>
  <c r="K130" i="6" s="1"/>
  <c r="A130" i="6" s="1"/>
  <c r="BC139" i="3" s="1"/>
  <c r="AM34" i="6"/>
  <c r="BB43" i="3"/>
  <c r="K34" i="6" s="1"/>
  <c r="A34" i="6" s="1"/>
  <c r="BC43" i="3" s="1"/>
  <c r="BB28" i="3"/>
  <c r="K19" i="6" s="1"/>
  <c r="A19" i="6" s="1"/>
  <c r="BC28" i="3" s="1"/>
  <c r="AM19" i="6"/>
  <c r="AM61" i="6"/>
  <c r="BB70" i="3"/>
  <c r="K61" i="6" s="1"/>
  <c r="A61" i="6" s="1"/>
  <c r="BC70" i="3" s="1"/>
  <c r="AM32" i="6"/>
  <c r="BB41" i="3"/>
  <c r="K32" i="6" s="1"/>
  <c r="A32" i="6" s="1"/>
  <c r="BC41" i="3" s="1"/>
  <c r="AM91" i="6"/>
  <c r="BB100" i="3"/>
  <c r="K91" i="6" s="1"/>
  <c r="A91" i="6" s="1"/>
  <c r="BC100" i="3" s="1"/>
  <c r="BB53" i="3"/>
  <c r="K44" i="6" s="1"/>
  <c r="A44" i="6" s="1"/>
  <c r="BC53" i="3" s="1"/>
  <c r="AM44" i="6"/>
  <c r="AM109" i="6"/>
  <c r="BB125" i="3"/>
  <c r="K116" i="6" s="1"/>
  <c r="A116" i="6" s="1"/>
  <c r="BC125" i="3" s="1"/>
  <c r="AM258" i="6"/>
  <c r="AM110" i="6"/>
  <c r="BB25" i="3"/>
  <c r="K16" i="6" s="1"/>
  <c r="A16" i="6" s="1"/>
  <c r="BC25" i="3" s="1"/>
  <c r="AM136" i="6"/>
  <c r="BB126" i="3"/>
  <c r="K117" i="6" s="1"/>
  <c r="A117" i="6" s="1"/>
  <c r="BC126" i="3" s="1"/>
  <c r="BB163" i="3"/>
  <c r="K154" i="6" s="1"/>
  <c r="A154" i="6" s="1"/>
  <c r="BC163" i="3" s="1"/>
  <c r="BB268" i="3"/>
  <c r="K259" i="6" s="1"/>
  <c r="A259" i="6" s="1"/>
  <c r="BC268" i="3" s="1"/>
  <c r="AM219" i="6"/>
  <c r="AM261" i="6"/>
  <c r="AM221" i="6"/>
  <c r="AM21" i="6"/>
  <c r="AM257" i="6"/>
  <c r="BB120" i="3"/>
  <c r="K111" i="6" s="1"/>
  <c r="A111" i="6" s="1"/>
  <c r="BC120" i="3" s="1"/>
  <c r="BB23" i="3"/>
  <c r="K14" i="6" s="1"/>
  <c r="A14" i="6" s="1"/>
  <c r="BC23" i="3" s="1"/>
  <c r="BB261" i="3"/>
  <c r="K252" i="6" s="1"/>
  <c r="A252" i="6" s="1"/>
  <c r="BC261" i="3" s="1"/>
  <c r="AM230" i="6"/>
  <c r="BB227" i="3"/>
  <c r="K218" i="6" s="1"/>
  <c r="A218" i="6" s="1"/>
  <c r="BC227" i="3" s="1"/>
  <c r="AM240" i="6"/>
  <c r="BB188" i="3"/>
  <c r="K179" i="6" s="1"/>
  <c r="A179" i="6" s="1"/>
  <c r="BC188" i="3" s="1"/>
  <c r="BB51" i="3"/>
  <c r="AM176" i="6"/>
  <c r="AM203" i="6"/>
  <c r="AM164" i="6"/>
  <c r="AM205" i="6"/>
  <c r="AM77" i="6"/>
  <c r="BB86" i="3"/>
  <c r="K77" i="6" s="1"/>
  <c r="A77" i="6" s="1"/>
  <c r="BC86" i="3" s="1"/>
  <c r="AM71" i="6"/>
  <c r="BB80" i="3"/>
  <c r="AM78" i="6"/>
  <c r="BB87" i="3"/>
  <c r="AM114" i="6"/>
  <c r="BB123" i="3"/>
  <c r="K114" i="6" s="1"/>
  <c r="A114" i="6" s="1"/>
  <c r="BC123" i="3" s="1"/>
  <c r="AM23" i="6"/>
  <c r="BB32" i="3"/>
  <c r="K23" i="6" s="1"/>
  <c r="A23" i="6" s="1"/>
  <c r="BC32" i="3" s="1"/>
  <c r="AM198" i="6"/>
  <c r="BB207" i="3"/>
  <c r="K198" i="6" s="1"/>
  <c r="A198" i="6" s="1"/>
  <c r="BC207" i="3" s="1"/>
  <c r="AM125" i="6"/>
  <c r="BB134" i="3"/>
  <c r="K125" i="6" s="1"/>
  <c r="A125" i="6" s="1"/>
  <c r="BC134" i="3" s="1"/>
  <c r="AM10" i="6"/>
  <c r="BB19" i="3"/>
  <c r="K10" i="6" s="1"/>
  <c r="A10" i="6" s="1"/>
  <c r="BC19" i="3" s="1"/>
  <c r="AM199" i="6"/>
  <c r="BB208" i="3"/>
  <c r="K199" i="6" s="1"/>
  <c r="A199" i="6" s="1"/>
  <c r="BC208" i="3" s="1"/>
  <c r="AM131" i="6"/>
  <c r="BB140" i="3"/>
  <c r="K131" i="6" s="1"/>
  <c r="A131" i="6" s="1"/>
  <c r="BC140" i="3" s="1"/>
  <c r="AM103" i="6"/>
  <c r="BB112" i="3"/>
  <c r="K103" i="6" s="1"/>
  <c r="A103" i="6" s="1"/>
  <c r="BC112" i="3" s="1"/>
  <c r="AM51" i="6"/>
  <c r="BB60" i="3"/>
  <c r="K51" i="6" s="1"/>
  <c r="A51" i="6" s="1"/>
  <c r="BC60" i="3" s="1"/>
  <c r="AM150" i="6"/>
  <c r="BB159" i="3"/>
  <c r="K150" i="6" s="1"/>
  <c r="A150" i="6" s="1"/>
  <c r="BC159" i="3" s="1"/>
  <c r="AM101" i="6"/>
  <c r="BB110" i="3"/>
  <c r="K101" i="6" s="1"/>
  <c r="A101" i="6" s="1"/>
  <c r="BC110" i="3" s="1"/>
  <c r="AM36" i="6"/>
  <c r="BB45" i="3"/>
  <c r="K36" i="6" s="1"/>
  <c r="A36" i="6" s="1"/>
  <c r="BC45" i="3" s="1"/>
  <c r="AM67" i="6"/>
  <c r="BB76" i="3"/>
  <c r="AM233" i="6"/>
  <c r="BB242" i="3"/>
  <c r="K233" i="6" s="1"/>
  <c r="A233" i="6" s="1"/>
  <c r="BC242" i="3" s="1"/>
  <c r="BB61" i="3"/>
  <c r="K52" i="6" s="1"/>
  <c r="A52" i="6" s="1"/>
  <c r="BC61" i="3" s="1"/>
  <c r="AM52" i="6"/>
  <c r="AM25" i="6"/>
  <c r="BB34" i="3"/>
  <c r="K25" i="6" s="1"/>
  <c r="A25" i="6" s="1"/>
  <c r="BC34" i="3" s="1"/>
  <c r="AM107" i="6"/>
  <c r="BB116" i="3"/>
  <c r="K107" i="6" s="1"/>
  <c r="A107" i="6" s="1"/>
  <c r="BC116" i="3" s="1"/>
  <c r="AM244" i="6"/>
  <c r="BB253" i="3"/>
  <c r="K244" i="6" s="1"/>
  <c r="A244" i="6" s="1"/>
  <c r="BC253" i="3" s="1"/>
  <c r="AM148" i="6"/>
  <c r="BB157" i="3"/>
  <c r="K148" i="6" s="1"/>
  <c r="A148" i="6" s="1"/>
  <c r="BC157" i="3" s="1"/>
  <c r="AM193" i="6"/>
  <c r="BB202" i="3"/>
  <c r="K193" i="6" s="1"/>
  <c r="A193" i="6" s="1"/>
  <c r="BC202" i="3" s="1"/>
  <c r="AM80" i="6"/>
  <c r="BB89" i="3"/>
  <c r="AM237" i="6"/>
  <c r="BB246" i="3"/>
  <c r="K237" i="6" s="1"/>
  <c r="A237" i="6" s="1"/>
  <c r="BC246" i="3" s="1"/>
  <c r="AM68" i="6"/>
  <c r="AM210" i="6"/>
  <c r="BB15" i="3"/>
  <c r="K6" i="6" s="1"/>
  <c r="A6" i="6" s="1"/>
  <c r="BC15" i="3" s="1"/>
  <c r="BB68" i="3"/>
  <c r="BB13" i="3"/>
  <c r="BB252" i="3"/>
  <c r="K243" i="6" s="1"/>
  <c r="A243" i="6" s="1"/>
  <c r="BC252" i="3" s="1"/>
  <c r="BB114" i="3"/>
  <c r="K105" i="6" s="1"/>
  <c r="A105" i="6" s="1"/>
  <c r="BC114" i="3" s="1"/>
  <c r="BB118" i="3"/>
  <c r="K109" i="6" s="1"/>
  <c r="A109" i="6" s="1"/>
  <c r="BC118" i="3" s="1"/>
  <c r="BB150" i="3"/>
  <c r="K141" i="6" s="1"/>
  <c r="A141" i="6" s="1"/>
  <c r="BC150" i="3" s="1"/>
  <c r="BB267" i="3"/>
  <c r="K258" i="6" s="1"/>
  <c r="A258" i="6" s="1"/>
  <c r="BC267" i="3" s="1"/>
  <c r="BB131" i="3"/>
  <c r="K122" i="6" s="1"/>
  <c r="A122" i="6" s="1"/>
  <c r="BC131" i="3" s="1"/>
  <c r="BB119" i="3"/>
  <c r="K110" i="6" s="1"/>
  <c r="A110" i="6" s="1"/>
  <c r="BC119" i="3" s="1"/>
  <c r="BB27" i="3"/>
  <c r="K18" i="6" s="1"/>
  <c r="A18" i="6" s="1"/>
  <c r="BC27" i="3" s="1"/>
  <c r="BB98" i="3"/>
  <c r="K89" i="6" s="1"/>
  <c r="A89" i="6" s="1"/>
  <c r="BC98" i="3" s="1"/>
  <c r="BB46" i="3"/>
  <c r="BB239" i="3"/>
  <c r="K230" i="6" s="1"/>
  <c r="A230" i="6" s="1"/>
  <c r="BC239" i="3" s="1"/>
  <c r="BB258" i="3"/>
  <c r="K249" i="6" s="1"/>
  <c r="A249" i="6" s="1"/>
  <c r="BC258" i="3" s="1"/>
  <c r="BB115" i="3"/>
  <c r="K106" i="6" s="1"/>
  <c r="A106" i="6" s="1"/>
  <c r="BC115" i="3" s="1"/>
  <c r="BB29" i="3"/>
  <c r="K20" i="6" s="1"/>
  <c r="A20" i="6" s="1"/>
  <c r="BC29" i="3" s="1"/>
  <c r="BB71" i="3"/>
  <c r="K62" i="6" s="1"/>
  <c r="A62" i="6" s="1"/>
  <c r="BC71" i="3" s="1"/>
  <c r="BB16" i="3"/>
  <c r="K7" i="6" s="1"/>
  <c r="A7" i="6" s="1"/>
  <c r="BC16" i="3" s="1"/>
  <c r="BB185" i="3"/>
  <c r="K176" i="6" s="1"/>
  <c r="A176" i="6" s="1"/>
  <c r="BC185" i="3" s="1"/>
  <c r="BB91" i="3"/>
  <c r="K82" i="6" s="1"/>
  <c r="A82" i="6" s="1"/>
  <c r="BC91" i="3" s="1"/>
  <c r="BB148" i="3"/>
  <c r="K139" i="6" s="1"/>
  <c r="A139" i="6" s="1"/>
  <c r="BC148" i="3" s="1"/>
  <c r="BB210" i="3"/>
  <c r="K201" i="6" s="1"/>
  <c r="A201" i="6" s="1"/>
  <c r="BC210" i="3" s="1"/>
  <c r="AM149" i="6"/>
  <c r="BB158" i="3"/>
  <c r="K149" i="6" s="1"/>
  <c r="A149" i="6" s="1"/>
  <c r="BC158" i="3" s="1"/>
  <c r="BB228" i="3"/>
  <c r="K219" i="6" s="1"/>
  <c r="A219" i="6" s="1"/>
  <c r="BC228" i="3" s="1"/>
  <c r="AM12" i="6"/>
  <c r="BB21" i="3"/>
  <c r="K12" i="6" s="1"/>
  <c r="A12" i="6" s="1"/>
  <c r="BC21" i="3" s="1"/>
  <c r="AM84" i="6"/>
  <c r="BB93" i="3"/>
  <c r="AM155" i="6"/>
  <c r="BB164" i="3"/>
  <c r="K155" i="6" s="1"/>
  <c r="A155" i="6" s="1"/>
  <c r="BC164" i="3" s="1"/>
  <c r="AM263" i="6"/>
  <c r="BB272" i="3"/>
  <c r="K263" i="6" s="1"/>
  <c r="A263" i="6" s="1"/>
  <c r="BC272" i="3" s="1"/>
  <c r="AM181" i="6"/>
  <c r="BB190" i="3"/>
  <c r="K181" i="6" s="1"/>
  <c r="A181" i="6" s="1"/>
  <c r="BC190" i="3" s="1"/>
  <c r="AM165" i="6"/>
  <c r="BB174" i="3"/>
  <c r="K165" i="6" s="1"/>
  <c r="A165" i="6" s="1"/>
  <c r="BC174" i="3" s="1"/>
  <c r="AM178" i="6"/>
  <c r="BB187" i="3"/>
  <c r="K178" i="6" s="1"/>
  <c r="A178" i="6" s="1"/>
  <c r="BC187" i="3" s="1"/>
  <c r="BB249" i="3"/>
  <c r="K240" i="6" s="1"/>
  <c r="A240" i="6" s="1"/>
  <c r="BC249" i="3" s="1"/>
  <c r="AM97" i="6"/>
  <c r="BB106" i="3"/>
  <c r="K97" i="6" s="1"/>
  <c r="A97" i="6" s="1"/>
  <c r="BC106" i="3" s="1"/>
  <c r="AM27" i="6"/>
  <c r="BB36" i="3"/>
  <c r="K27" i="6" s="1"/>
  <c r="A27" i="6" s="1"/>
  <c r="BC36" i="3" s="1"/>
  <c r="AM191" i="6"/>
  <c r="BB200" i="3"/>
  <c r="K191" i="6" s="1"/>
  <c r="A191" i="6" s="1"/>
  <c r="BC200" i="3" s="1"/>
  <c r="AM211" i="6"/>
  <c r="AM159" i="6"/>
  <c r="BB168" i="3"/>
  <c r="K159" i="6" s="1"/>
  <c r="A159" i="6" s="1"/>
  <c r="BC168" i="3" s="1"/>
  <c r="AM24" i="6"/>
  <c r="BB33" i="3"/>
  <c r="AM118" i="6"/>
  <c r="BB127" i="3"/>
  <c r="K118" i="6" s="1"/>
  <c r="A118" i="6" s="1"/>
  <c r="BC127" i="3" s="1"/>
  <c r="BB52" i="3"/>
  <c r="K43" i="6" s="1"/>
  <c r="A43" i="6" s="1"/>
  <c r="BC52" i="3" s="1"/>
  <c r="AM162" i="6"/>
  <c r="AM144" i="6"/>
  <c r="AM167" i="6"/>
  <c r="BB176" i="3"/>
  <c r="K167" i="6" s="1"/>
  <c r="A167" i="6" s="1"/>
  <c r="BC176" i="3" s="1"/>
  <c r="AM73" i="6"/>
  <c r="BB82" i="3"/>
  <c r="K73" i="6" s="1"/>
  <c r="A73" i="6" s="1"/>
  <c r="BC82" i="3" s="1"/>
  <c r="AM35" i="6"/>
  <c r="BB44" i="3"/>
  <c r="K35" i="6" s="1"/>
  <c r="A35" i="6" s="1"/>
  <c r="BC44" i="3" s="1"/>
  <c r="BB109" i="3"/>
  <c r="K100" i="6" s="1"/>
  <c r="A100" i="6" s="1"/>
  <c r="BC109" i="3" s="1"/>
  <c r="AM196" i="6"/>
  <c r="BB205" i="3"/>
  <c r="K196" i="6" s="1"/>
  <c r="A196" i="6" s="1"/>
  <c r="BC205" i="3" s="1"/>
  <c r="BB37" i="3"/>
  <c r="K28" i="6" s="1"/>
  <c r="A28" i="6" s="1"/>
  <c r="BC37" i="3" s="1"/>
  <c r="AM28" i="6"/>
  <c r="AM79" i="6"/>
  <c r="BB88" i="3"/>
  <c r="K79" i="6" s="1"/>
  <c r="A79" i="6" s="1"/>
  <c r="BC88" i="3" s="1"/>
  <c r="BB101" i="3"/>
  <c r="K92" i="6" s="1"/>
  <c r="A92" i="6" s="1"/>
  <c r="BC101" i="3" s="1"/>
  <c r="AM92" i="6"/>
  <c r="AM156" i="6"/>
  <c r="BB165" i="3"/>
  <c r="K156" i="6" s="1"/>
  <c r="A156" i="6" s="1"/>
  <c r="BC165" i="3" s="1"/>
  <c r="BB146" i="3"/>
  <c r="K137" i="6" s="1"/>
  <c r="A137" i="6" s="1"/>
  <c r="BC146" i="3" s="1"/>
  <c r="AM49" i="6"/>
  <c r="BB58" i="3"/>
  <c r="K49" i="6" s="1"/>
  <c r="A49" i="6" s="1"/>
  <c r="BC58" i="3" s="1"/>
  <c r="BB156" i="3"/>
  <c r="K147" i="6" s="1"/>
  <c r="A147" i="6" s="1"/>
  <c r="BC156" i="3" s="1"/>
  <c r="AM223" i="6"/>
  <c r="BB232" i="3"/>
  <c r="K223" i="6" s="1"/>
  <c r="A223" i="6" s="1"/>
  <c r="BC232" i="3" s="1"/>
  <c r="BB226" i="3"/>
  <c r="K217" i="6" s="1"/>
  <c r="A217" i="6" s="1"/>
  <c r="BC226" i="3" s="1"/>
  <c r="AM127" i="6"/>
  <c r="BB136" i="3"/>
  <c r="K127" i="6" s="1"/>
  <c r="A127" i="6" s="1"/>
  <c r="BC136" i="3" s="1"/>
  <c r="AM88" i="6"/>
  <c r="BB97" i="3"/>
  <c r="AM47" i="6"/>
  <c r="BB56" i="3"/>
  <c r="AM120" i="6"/>
  <c r="BB129" i="3"/>
  <c r="K120" i="6" s="1"/>
  <c r="A120" i="6" s="1"/>
  <c r="BC129" i="3" s="1"/>
  <c r="AM208" i="6"/>
  <c r="BB217" i="3"/>
  <c r="K208" i="6" s="1"/>
  <c r="A208" i="6" s="1"/>
  <c r="BC217" i="3" s="1"/>
  <c r="AM38" i="6"/>
  <c r="BB47" i="3"/>
  <c r="K38" i="6" s="1"/>
  <c r="A38" i="6" s="1"/>
  <c r="BC47" i="3" s="1"/>
  <c r="BB104" i="3"/>
  <c r="K95" i="6" s="1"/>
  <c r="A95" i="6" s="1"/>
  <c r="BC104" i="3" s="1"/>
  <c r="BB54" i="3"/>
  <c r="K45" i="6" s="1"/>
  <c r="A45" i="6" s="1"/>
  <c r="BC54" i="3" s="1"/>
  <c r="AM45" i="6"/>
  <c r="AM185" i="6"/>
  <c r="BB194" i="3"/>
  <c r="K185" i="6" s="1"/>
  <c r="A185" i="6" s="1"/>
  <c r="BC194" i="3" s="1"/>
  <c r="AM64" i="6"/>
  <c r="BB73" i="3"/>
  <c r="K64" i="6" s="1"/>
  <c r="A64" i="6" s="1"/>
  <c r="BC73" i="3" s="1"/>
  <c r="AM104" i="6"/>
  <c r="BB113" i="3"/>
  <c r="K104" i="6" s="1"/>
  <c r="A104" i="6" s="1"/>
  <c r="BC113" i="3" s="1"/>
  <c r="BB230" i="3"/>
  <c r="K221" i="6" s="1"/>
  <c r="A221" i="6" s="1"/>
  <c r="BC230" i="3" s="1"/>
  <c r="BB266" i="3"/>
  <c r="K257" i="6" s="1"/>
  <c r="A257" i="6" s="1"/>
  <c r="BC266" i="3" s="1"/>
  <c r="BB69" i="3"/>
  <c r="K60" i="6" s="1"/>
  <c r="A60" i="6" s="1"/>
  <c r="BC69" i="3" s="1"/>
  <c r="BB84" i="3"/>
  <c r="K75" i="6" s="1"/>
  <c r="A75" i="6" s="1"/>
  <c r="BC84" i="3" s="1"/>
  <c r="AM81" i="6"/>
  <c r="BB90" i="3"/>
  <c r="BB62" i="3"/>
  <c r="AM195" i="6"/>
  <c r="BB204" i="3"/>
  <c r="K195" i="6" s="1"/>
  <c r="A195" i="6" s="1"/>
  <c r="BC204" i="3" s="1"/>
  <c r="AM96" i="6"/>
  <c r="BB105" i="3"/>
  <c r="K96" i="6" s="1"/>
  <c r="A96" i="6" s="1"/>
  <c r="BC105" i="3" s="1"/>
  <c r="AM168" i="6"/>
  <c r="BB177" i="3"/>
  <c r="K168" i="6" s="1"/>
  <c r="A168" i="6" s="1"/>
  <c r="BC177" i="3" s="1"/>
  <c r="BB271" i="3"/>
  <c r="K262" i="6" s="1"/>
  <c r="A262" i="6" s="1"/>
  <c r="BC271" i="3" s="1"/>
  <c r="AM186" i="6"/>
  <c r="BB195" i="3"/>
  <c r="K186" i="6" s="1"/>
  <c r="A186" i="6" s="1"/>
  <c r="BC195" i="3" s="1"/>
  <c r="BB214" i="3"/>
  <c r="K205" i="6" s="1"/>
  <c r="A205" i="6" s="1"/>
  <c r="BC214" i="3" s="1"/>
  <c r="BB178" i="3"/>
  <c r="K169" i="6" s="1"/>
  <c r="A169" i="6" s="1"/>
  <c r="BC178" i="3" s="1"/>
  <c r="AM86" i="6"/>
  <c r="BB95" i="3"/>
  <c r="K86" i="6" s="1"/>
  <c r="A86" i="6" s="1"/>
  <c r="BC95" i="3" s="1"/>
  <c r="G21" i="15" l="1"/>
  <c r="F21" i="15" s="1"/>
  <c r="AB21" i="15"/>
  <c r="AD21" i="15" s="1"/>
  <c r="A151" i="3"/>
  <c r="A61" i="3"/>
  <c r="A115" i="3"/>
  <c r="A227" i="3"/>
  <c r="A111" i="3"/>
  <c r="A110" i="3"/>
  <c r="A60" i="3"/>
  <c r="A207" i="3"/>
  <c r="A123" i="3"/>
  <c r="A28" i="3"/>
  <c r="A166" i="3"/>
  <c r="A43" i="3"/>
  <c r="A55" i="3"/>
  <c r="A70" i="3"/>
  <c r="A85" i="3"/>
  <c r="A114" i="3"/>
  <c r="A159" i="3"/>
  <c r="A134" i="3"/>
  <c r="A100" i="3"/>
  <c r="A94" i="3"/>
  <c r="A169" i="3"/>
  <c r="A195" i="3"/>
  <c r="A266" i="3"/>
  <c r="A204" i="3"/>
  <c r="A230" i="3"/>
  <c r="A156" i="3"/>
  <c r="A165" i="3"/>
  <c r="A37" i="3"/>
  <c r="A176" i="3"/>
  <c r="A174" i="3"/>
  <c r="A210" i="3"/>
  <c r="A185" i="3"/>
  <c r="A239" i="3"/>
  <c r="A131" i="3"/>
  <c r="A268" i="3"/>
  <c r="A25" i="3"/>
  <c r="A251" i="3"/>
  <c r="A201" i="3"/>
  <c r="A211" i="3"/>
  <c r="A171" i="3"/>
  <c r="A178" i="3"/>
  <c r="A194" i="3"/>
  <c r="A104" i="3"/>
  <c r="A217" i="3"/>
  <c r="A226" i="3"/>
  <c r="A205" i="3"/>
  <c r="A249" i="3"/>
  <c r="A272" i="3"/>
  <c r="A228" i="3"/>
  <c r="A267" i="3"/>
  <c r="A252" i="3"/>
  <c r="A157" i="3"/>
  <c r="A116" i="3"/>
  <c r="A140" i="3"/>
  <c r="A19" i="3"/>
  <c r="A120" i="3"/>
  <c r="A163" i="3"/>
  <c r="A144" i="3"/>
  <c r="A219" i="3"/>
  <c r="A220" i="3"/>
  <c r="A271" i="3"/>
  <c r="A214" i="3"/>
  <c r="A177" i="3"/>
  <c r="A136" i="3"/>
  <c r="A232" i="3"/>
  <c r="A127" i="3"/>
  <c r="A187" i="3"/>
  <c r="A190" i="3"/>
  <c r="A158" i="3"/>
  <c r="A148" i="3"/>
  <c r="A258" i="3"/>
  <c r="A150" i="3"/>
  <c r="A246" i="3"/>
  <c r="A126" i="3"/>
  <c r="A41" i="3"/>
  <c r="A139" i="3"/>
  <c r="A215" i="3"/>
  <c r="A235" i="3"/>
  <c r="A153" i="3"/>
  <c r="A254" i="3"/>
  <c r="A129" i="3"/>
  <c r="A146" i="3"/>
  <c r="A168" i="3"/>
  <c r="A200" i="3"/>
  <c r="A164" i="3"/>
  <c r="A119" i="3"/>
  <c r="A118" i="3"/>
  <c r="A202" i="3"/>
  <c r="A253" i="3"/>
  <c r="A242" i="3"/>
  <c r="A208" i="3"/>
  <c r="A188" i="3"/>
  <c r="A261" i="3"/>
  <c r="A125" i="3"/>
  <c r="A203" i="3"/>
  <c r="A149" i="3"/>
  <c r="A96" i="3"/>
  <c r="A45" i="3"/>
  <c r="A86" i="3"/>
  <c r="A112" i="3"/>
  <c r="A34" i="3"/>
  <c r="A53" i="3"/>
  <c r="A32" i="3"/>
  <c r="K68" i="6"/>
  <c r="A68" i="6" s="1"/>
  <c r="BC77" i="3" s="1"/>
  <c r="K21" i="6"/>
  <c r="A21" i="6" s="1"/>
  <c r="BC30" i="3" s="1"/>
  <c r="K99" i="6"/>
  <c r="A99" i="6" s="1"/>
  <c r="BC108" i="3" s="1"/>
  <c r="AM245" i="6"/>
  <c r="BB38" i="3"/>
  <c r="K29" i="6" s="1"/>
  <c r="A29" i="6" s="1"/>
  <c r="BC38" i="3" s="1"/>
  <c r="BB198" i="3"/>
  <c r="K189" i="6" s="1"/>
  <c r="A189" i="6" s="1"/>
  <c r="BC198" i="3" s="1"/>
  <c r="BB141" i="3"/>
  <c r="K132" i="6" s="1"/>
  <c r="A132" i="6" s="1"/>
  <c r="BC141" i="3" s="1"/>
  <c r="BB206" i="3"/>
  <c r="K197" i="6" s="1"/>
  <c r="A197" i="6" s="1"/>
  <c r="BC206" i="3" s="1"/>
  <c r="A23" i="3"/>
  <c r="BB35" i="3"/>
  <c r="BB40" i="3"/>
  <c r="K31" i="6" s="1"/>
  <c r="A31" i="6" s="1"/>
  <c r="BC40" i="3" s="1"/>
  <c r="BB240" i="3"/>
  <c r="K231" i="6" s="1"/>
  <c r="A231" i="6" s="1"/>
  <c r="BC240" i="3" s="1"/>
  <c r="BB147" i="3"/>
  <c r="K138" i="6" s="1"/>
  <c r="A138" i="6" s="1"/>
  <c r="BC147" i="3" s="1"/>
  <c r="AM202" i="6"/>
  <c r="BB99" i="3"/>
  <c r="AM242" i="6"/>
  <c r="AM140" i="6"/>
  <c r="AM55" i="6"/>
  <c r="AM192" i="6"/>
  <c r="AM30" i="6"/>
  <c r="AM142" i="6"/>
  <c r="AM74" i="6"/>
  <c r="AM160" i="6"/>
  <c r="AM99" i="6"/>
  <c r="AM157" i="6"/>
  <c r="A69" i="3"/>
  <c r="BB184" i="3"/>
  <c r="K175" i="6" s="1"/>
  <c r="A175" i="6" s="1"/>
  <c r="BC184" i="3" s="1"/>
  <c r="BB172" i="3"/>
  <c r="K163" i="6" s="1"/>
  <c r="A163" i="6" s="1"/>
  <c r="BC172" i="3" s="1"/>
  <c r="BB262" i="3"/>
  <c r="K253" i="6" s="1"/>
  <c r="A253" i="6" s="1"/>
  <c r="BC262" i="3" s="1"/>
  <c r="AM135" i="6"/>
  <c r="AM194" i="6"/>
  <c r="BB263" i="3"/>
  <c r="K254" i="6" s="1"/>
  <c r="A254" i="6" s="1"/>
  <c r="BC263" i="3" s="1"/>
  <c r="AM254" i="6"/>
  <c r="A71" i="3"/>
  <c r="K42" i="6"/>
  <c r="A42" i="6" s="1"/>
  <c r="BC51" i="3" s="1"/>
  <c r="AM250" i="6"/>
  <c r="BB259" i="3"/>
  <c r="K250" i="6" s="1"/>
  <c r="A250" i="6" s="1"/>
  <c r="BC259" i="3" s="1"/>
  <c r="A95" i="3"/>
  <c r="A36" i="3"/>
  <c r="A109" i="3"/>
  <c r="A58" i="3"/>
  <c r="BB233" i="3"/>
  <c r="K224" i="6" s="1"/>
  <c r="A224" i="6" s="1"/>
  <c r="BC233" i="3" s="1"/>
  <c r="BB173" i="3"/>
  <c r="K164" i="6" s="1"/>
  <c r="A164" i="6" s="1"/>
  <c r="BC173" i="3" s="1"/>
  <c r="BB270" i="3"/>
  <c r="K261" i="6" s="1"/>
  <c r="A261" i="6" s="1"/>
  <c r="BC270" i="3" s="1"/>
  <c r="BB212" i="3"/>
  <c r="K203" i="6" s="1"/>
  <c r="A203" i="6" s="1"/>
  <c r="BC212" i="3" s="1"/>
  <c r="BB145" i="3"/>
  <c r="K136" i="6" s="1"/>
  <c r="A136" i="6" s="1"/>
  <c r="BC145" i="3" s="1"/>
  <c r="AM183" i="6"/>
  <c r="BB192" i="3"/>
  <c r="K183" i="6" s="1"/>
  <c r="A183" i="6" s="1"/>
  <c r="BC192" i="3" s="1"/>
  <c r="AM119" i="6"/>
  <c r="BB128" i="3"/>
  <c r="K119" i="6" s="1"/>
  <c r="A119" i="6" s="1"/>
  <c r="BC128" i="3" s="1"/>
  <c r="A113" i="3"/>
  <c r="A103" i="3"/>
  <c r="A84" i="3"/>
  <c r="A73" i="3"/>
  <c r="A82" i="3"/>
  <c r="A29" i="3"/>
  <c r="BB236" i="3"/>
  <c r="K227" i="6" s="1"/>
  <c r="A227" i="6" s="1"/>
  <c r="BC236" i="3" s="1"/>
  <c r="K74" i="6"/>
  <c r="A74" i="6" s="1"/>
  <c r="BC83" i="3" s="1"/>
  <c r="AM129" i="6"/>
  <c r="BB138" i="3"/>
  <c r="K129" i="6" s="1"/>
  <c r="A129" i="6" s="1"/>
  <c r="BC138" i="3" s="1"/>
  <c r="AM229" i="6"/>
  <c r="BB238" i="3"/>
  <c r="K229" i="6" s="1"/>
  <c r="A229" i="6" s="1"/>
  <c r="BC238" i="3" s="1"/>
  <c r="AM56" i="6"/>
  <c r="BB65" i="3"/>
  <c r="AM121" i="6"/>
  <c r="BB130" i="3"/>
  <c r="K121" i="6" s="1"/>
  <c r="A121" i="6" s="1"/>
  <c r="BC130" i="3" s="1"/>
  <c r="AM112" i="6"/>
  <c r="BB121" i="3"/>
  <c r="K112" i="6" s="1"/>
  <c r="A112" i="6" s="1"/>
  <c r="BC121" i="3" s="1"/>
  <c r="AM190" i="6"/>
  <c r="BB199" i="3"/>
  <c r="K190" i="6" s="1"/>
  <c r="A190" i="6" s="1"/>
  <c r="BC199" i="3" s="1"/>
  <c r="BB221" i="3"/>
  <c r="K212" i="6" s="1"/>
  <c r="A212" i="6" s="1"/>
  <c r="BC221" i="3" s="1"/>
  <c r="AM212" i="6"/>
  <c r="AM251" i="6"/>
  <c r="BB260" i="3"/>
  <c r="K251" i="6" s="1"/>
  <c r="A251" i="6" s="1"/>
  <c r="BC260" i="3" s="1"/>
  <c r="AM153" i="6"/>
  <c r="BB162" i="3"/>
  <c r="K153" i="6" s="1"/>
  <c r="A153" i="6" s="1"/>
  <c r="BC162" i="3" s="1"/>
  <c r="AM184" i="6"/>
  <c r="BB193" i="3"/>
  <c r="K184" i="6" s="1"/>
  <c r="A184" i="6" s="1"/>
  <c r="BC193" i="3" s="1"/>
  <c r="K53" i="6"/>
  <c r="A53" i="6" s="1"/>
  <c r="BC62" i="3" s="1"/>
  <c r="AM166" i="6"/>
  <c r="BB175" i="3"/>
  <c r="K166" i="6" s="1"/>
  <c r="A166" i="6" s="1"/>
  <c r="BC175" i="3" s="1"/>
  <c r="A54" i="3"/>
  <c r="AM172" i="6"/>
  <c r="BB181" i="3"/>
  <c r="K172" i="6" s="1"/>
  <c r="A172" i="6" s="1"/>
  <c r="BC181" i="3" s="1"/>
  <c r="K88" i="6"/>
  <c r="A88" i="6" s="1"/>
  <c r="BC97" i="3" s="1"/>
  <c r="AM152" i="6"/>
  <c r="BB161" i="3"/>
  <c r="K152" i="6" s="1"/>
  <c r="A152" i="6" s="1"/>
  <c r="BC161" i="3" s="1"/>
  <c r="AM246" i="6"/>
  <c r="BB255" i="3"/>
  <c r="K246" i="6" s="1"/>
  <c r="A246" i="6" s="1"/>
  <c r="BC255" i="3" s="1"/>
  <c r="AM9" i="6"/>
  <c r="BB18" i="3"/>
  <c r="AM63" i="6"/>
  <c r="BB72" i="3"/>
  <c r="K24" i="6"/>
  <c r="A24" i="6" s="1"/>
  <c r="BC33" i="3" s="1"/>
  <c r="A15" i="3"/>
  <c r="AM232" i="6"/>
  <c r="BB241" i="3"/>
  <c r="K232" i="6" s="1"/>
  <c r="A232" i="6" s="1"/>
  <c r="BC241" i="3" s="1"/>
  <c r="AM93" i="6"/>
  <c r="BB102" i="3"/>
  <c r="AM238" i="6"/>
  <c r="BB247" i="3"/>
  <c r="K238" i="6" s="1"/>
  <c r="A238" i="6" s="1"/>
  <c r="BC247" i="3" s="1"/>
  <c r="A52" i="3"/>
  <c r="AM40" i="6"/>
  <c r="BB49" i="3"/>
  <c r="AM126" i="6"/>
  <c r="BB135" i="3"/>
  <c r="K126" i="6" s="1"/>
  <c r="A126" i="6" s="1"/>
  <c r="BC135" i="3" s="1"/>
  <c r="AM209" i="6"/>
  <c r="BB218" i="3"/>
  <c r="K209" i="6" s="1"/>
  <c r="A209" i="6" s="1"/>
  <c r="BC218" i="3" s="1"/>
  <c r="AM65" i="6"/>
  <c r="BB74" i="3"/>
  <c r="AM234" i="6"/>
  <c r="BB243" i="3"/>
  <c r="K234" i="6" s="1"/>
  <c r="A234" i="6" s="1"/>
  <c r="BC243" i="3" s="1"/>
  <c r="A27" i="3"/>
  <c r="AM146" i="6"/>
  <c r="BB155" i="3"/>
  <c r="K146" i="6" s="1"/>
  <c r="A146" i="6" s="1"/>
  <c r="BC155" i="3" s="1"/>
  <c r="AM214" i="6"/>
  <c r="BB223" i="3"/>
  <c r="K214" i="6" s="1"/>
  <c r="A214" i="6" s="1"/>
  <c r="BC223" i="3" s="1"/>
  <c r="A88" i="3"/>
  <c r="K71" i="6"/>
  <c r="A71" i="6" s="1"/>
  <c r="BC80" i="3" s="1"/>
  <c r="BB197" i="3"/>
  <c r="K188" i="6" s="1"/>
  <c r="A188" i="6" s="1"/>
  <c r="BC197" i="3" s="1"/>
  <c r="AM188" i="6"/>
  <c r="AM128" i="6"/>
  <c r="BB137" i="3"/>
  <c r="K128" i="6" s="1"/>
  <c r="A128" i="6" s="1"/>
  <c r="BC137" i="3" s="1"/>
  <c r="BB14" i="3"/>
  <c r="AM115" i="6"/>
  <c r="BB124" i="3"/>
  <c r="K115" i="6" s="1"/>
  <c r="A101" i="3"/>
  <c r="AM8" i="6"/>
  <c r="BB17" i="3"/>
  <c r="AM171" i="6"/>
  <c r="BB180" i="3"/>
  <c r="K171" i="6" s="1"/>
  <c r="A171" i="6" s="1"/>
  <c r="BC180" i="3" s="1"/>
  <c r="AM200" i="6"/>
  <c r="BB209" i="3"/>
  <c r="K200" i="6" s="1"/>
  <c r="A200" i="6" s="1"/>
  <c r="BC209" i="3" s="1"/>
  <c r="AM256" i="6"/>
  <c r="BB265" i="3"/>
  <c r="K256" i="6" s="1"/>
  <c r="A256" i="6" s="1"/>
  <c r="BC265" i="3" s="1"/>
  <c r="AM247" i="6"/>
  <c r="BB256" i="3"/>
  <c r="K247" i="6" s="1"/>
  <c r="A247" i="6" s="1"/>
  <c r="BC256" i="3" s="1"/>
  <c r="AM145" i="6"/>
  <c r="BB154" i="3"/>
  <c r="K145" i="6" s="1"/>
  <c r="A145" i="6" s="1"/>
  <c r="BC154" i="3" s="1"/>
  <c r="AM69" i="6"/>
  <c r="BB78" i="3"/>
  <c r="AM255" i="6"/>
  <c r="BB264" i="3"/>
  <c r="K255" i="6" s="1"/>
  <c r="A255" i="6" s="1"/>
  <c r="BC264" i="3" s="1"/>
  <c r="A44" i="3"/>
  <c r="AM133" i="6"/>
  <c r="BB142" i="3"/>
  <c r="K133" i="6" s="1"/>
  <c r="A133" i="6" s="1"/>
  <c r="BC142" i="3" s="1"/>
  <c r="AM39" i="6"/>
  <c r="BB48" i="3"/>
  <c r="AM72" i="6"/>
  <c r="BB81" i="3"/>
  <c r="K37" i="6"/>
  <c r="A37" i="6" s="1"/>
  <c r="BC46" i="3" s="1"/>
  <c r="AM83" i="6"/>
  <c r="BB92" i="3"/>
  <c r="AM108" i="6"/>
  <c r="BB117" i="3"/>
  <c r="K108" i="6" s="1"/>
  <c r="A108" i="6" s="1"/>
  <c r="BC117" i="3" s="1"/>
  <c r="AM15" i="6"/>
  <c r="BB24" i="3"/>
  <c r="K59" i="6"/>
  <c r="A59" i="6" s="1"/>
  <c r="BC68" i="3" s="1"/>
  <c r="AM58" i="6"/>
  <c r="BB67" i="3"/>
  <c r="AM260" i="6"/>
  <c r="BB269" i="3"/>
  <c r="K260" i="6" s="1"/>
  <c r="A260" i="6" s="1"/>
  <c r="BC269" i="3" s="1"/>
  <c r="K80" i="6"/>
  <c r="A80" i="6" s="1"/>
  <c r="BC89" i="3" s="1"/>
  <c r="A106" i="3"/>
  <c r="BB250" i="3"/>
  <c r="K241" i="6" s="1"/>
  <c r="A241" i="6" s="1"/>
  <c r="BC250" i="3" s="1"/>
  <c r="AM241" i="6"/>
  <c r="K81" i="6"/>
  <c r="A81" i="6" s="1"/>
  <c r="BC90" i="3" s="1"/>
  <c r="AM98" i="6"/>
  <c r="BB107" i="3"/>
  <c r="AM177" i="6"/>
  <c r="BB186" i="3"/>
  <c r="K177" i="6" s="1"/>
  <c r="A177" i="6" s="1"/>
  <c r="BC186" i="3" s="1"/>
  <c r="AM22" i="6"/>
  <c r="BB31" i="3"/>
  <c r="AM54" i="6"/>
  <c r="BB63" i="3"/>
  <c r="AM236" i="6"/>
  <c r="BB245" i="3"/>
  <c r="K236" i="6" s="1"/>
  <c r="A236" i="6" s="1"/>
  <c r="BC245" i="3" s="1"/>
  <c r="AM113" i="6"/>
  <c r="BB122" i="3"/>
  <c r="K113" i="6" s="1"/>
  <c r="A113" i="6" s="1"/>
  <c r="BC122" i="3" s="1"/>
  <c r="AM182" i="6"/>
  <c r="BB191" i="3"/>
  <c r="K182" i="6" s="1"/>
  <c r="A182" i="6" s="1"/>
  <c r="BC191" i="3" s="1"/>
  <c r="A47" i="3"/>
  <c r="AM207" i="6"/>
  <c r="BB216" i="3"/>
  <c r="K207" i="6" s="1"/>
  <c r="A207" i="6" s="1"/>
  <c r="BC216" i="3" s="1"/>
  <c r="A105" i="3"/>
  <c r="AM174" i="6"/>
  <c r="BB183" i="3"/>
  <c r="K174" i="6" s="1"/>
  <c r="A174" i="6" s="1"/>
  <c r="BC183" i="3" s="1"/>
  <c r="BB22" i="3"/>
  <c r="AM13" i="6"/>
  <c r="AM151" i="6"/>
  <c r="BB160" i="3"/>
  <c r="K151" i="6" s="1"/>
  <c r="A151" i="6" s="1"/>
  <c r="BC160" i="3" s="1"/>
  <c r="AM235" i="6"/>
  <c r="BB244" i="3"/>
  <c r="K235" i="6" s="1"/>
  <c r="A235" i="6" s="1"/>
  <c r="BC244" i="3" s="1"/>
  <c r="AM50" i="6"/>
  <c r="BB59" i="3"/>
  <c r="AM143" i="6"/>
  <c r="BB152" i="3"/>
  <c r="K143" i="6" s="1"/>
  <c r="A143" i="6" s="1"/>
  <c r="BC152" i="3" s="1"/>
  <c r="AM204" i="6"/>
  <c r="BB213" i="3"/>
  <c r="K204" i="6" s="1"/>
  <c r="A204" i="6" s="1"/>
  <c r="BC213" i="3" s="1"/>
  <c r="AM70" i="6"/>
  <c r="BB79" i="3"/>
  <c r="AM41" i="6"/>
  <c r="BB50" i="3"/>
  <c r="A64" i="3"/>
  <c r="AM213" i="6"/>
  <c r="BB222" i="3"/>
  <c r="K213" i="6" s="1"/>
  <c r="A213" i="6" s="1"/>
  <c r="BC222" i="3" s="1"/>
  <c r="AM225" i="6"/>
  <c r="BB234" i="3"/>
  <c r="K225" i="6" s="1"/>
  <c r="A225" i="6" s="1"/>
  <c r="BC234" i="3" s="1"/>
  <c r="AM158" i="6"/>
  <c r="BB167" i="3"/>
  <c r="K158" i="6" s="1"/>
  <c r="A158" i="6" s="1"/>
  <c r="BC167" i="3" s="1"/>
  <c r="AM173" i="6"/>
  <c r="BB182" i="3"/>
  <c r="K173" i="6" s="1"/>
  <c r="A173" i="6" s="1"/>
  <c r="BC182" i="3" s="1"/>
  <c r="AM11" i="6"/>
  <c r="BB20" i="3"/>
  <c r="A21" i="3"/>
  <c r="AM220" i="6"/>
  <c r="BB229" i="3"/>
  <c r="K220" i="6" s="1"/>
  <c r="A220" i="6" s="1"/>
  <c r="BC229" i="3" s="1"/>
  <c r="AM248" i="6"/>
  <c r="BB257" i="3"/>
  <c r="K248" i="6" s="1"/>
  <c r="A248" i="6" s="1"/>
  <c r="BC257" i="3" s="1"/>
  <c r="K47" i="6"/>
  <c r="A47" i="6" s="1"/>
  <c r="BC56" i="3" s="1"/>
  <c r="AM180" i="6"/>
  <c r="BB189" i="3"/>
  <c r="K180" i="6" s="1"/>
  <c r="A180" i="6" s="1"/>
  <c r="BC189" i="3" s="1"/>
  <c r="AM170" i="6"/>
  <c r="BB179" i="3"/>
  <c r="K170" i="6" s="1"/>
  <c r="A170" i="6" s="1"/>
  <c r="BC179" i="3" s="1"/>
  <c r="AM33" i="6"/>
  <c r="BB42" i="3"/>
  <c r="AM123" i="6"/>
  <c r="BB132" i="3"/>
  <c r="K123" i="6" s="1"/>
  <c r="A123" i="6" s="1"/>
  <c r="BC132" i="3" s="1"/>
  <c r="A16" i="3"/>
  <c r="AM57" i="6"/>
  <c r="BB66" i="3"/>
  <c r="AM48" i="6"/>
  <c r="BB57" i="3"/>
  <c r="BB170" i="3"/>
  <c r="K161" i="6" s="1"/>
  <c r="A161" i="6" s="1"/>
  <c r="BC170" i="3" s="1"/>
  <c r="AM161" i="6"/>
  <c r="AM124" i="6"/>
  <c r="BB133" i="3"/>
  <c r="K124" i="6" s="1"/>
  <c r="A124" i="6" s="1"/>
  <c r="BC133" i="3" s="1"/>
  <c r="K84" i="6"/>
  <c r="A84" i="6" s="1"/>
  <c r="BC93" i="3" s="1"/>
  <c r="AM66" i="6"/>
  <c r="BB75" i="3"/>
  <c r="AM228" i="6"/>
  <c r="BB237" i="3"/>
  <c r="K228" i="6" s="1"/>
  <c r="A228" i="6" s="1"/>
  <c r="BC237" i="3" s="1"/>
  <c r="AM187" i="6"/>
  <c r="BB196" i="3"/>
  <c r="K187" i="6" s="1"/>
  <c r="A187" i="6" s="1"/>
  <c r="BC196" i="3" s="1"/>
  <c r="AM134" i="6"/>
  <c r="BB143" i="3"/>
  <c r="K134" i="6" s="1"/>
  <c r="A134" i="6" s="1"/>
  <c r="BC143" i="3" s="1"/>
  <c r="AM216" i="6"/>
  <c r="BB225" i="3"/>
  <c r="K216" i="6" s="1"/>
  <c r="A216" i="6" s="1"/>
  <c r="BC225" i="3" s="1"/>
  <c r="AM239" i="6"/>
  <c r="BB248" i="3"/>
  <c r="K239" i="6" s="1"/>
  <c r="A239" i="6" s="1"/>
  <c r="BC248" i="3" s="1"/>
  <c r="AM222" i="6"/>
  <c r="BB231" i="3"/>
  <c r="K222" i="6" s="1"/>
  <c r="A222" i="6" s="1"/>
  <c r="BC231" i="3" s="1"/>
  <c r="K4" i="6"/>
  <c r="A4" i="6" s="1"/>
  <c r="BC13" i="3" s="1"/>
  <c r="AM17" i="6"/>
  <c r="BB26" i="3"/>
  <c r="A98" i="3"/>
  <c r="AM215" i="6"/>
  <c r="BB224" i="3"/>
  <c r="K215" i="6" s="1"/>
  <c r="A215" i="6" s="1"/>
  <c r="BC224" i="3" s="1"/>
  <c r="A91" i="3"/>
  <c r="K67" i="6"/>
  <c r="A67" i="6" s="1"/>
  <c r="BC76" i="3" s="1"/>
  <c r="K78" i="6"/>
  <c r="A78" i="6" s="1"/>
  <c r="BC87" i="3" s="1"/>
  <c r="A39" i="3"/>
  <c r="G22" i="15" l="1"/>
  <c r="F22" i="15" s="1"/>
  <c r="AB22" i="15"/>
  <c r="AD22" i="15" s="1"/>
  <c r="A87" i="3"/>
  <c r="A133" i="3"/>
  <c r="A229" i="3"/>
  <c r="A152" i="3"/>
  <c r="A244" i="3"/>
  <c r="A191" i="3"/>
  <c r="A245" i="3"/>
  <c r="A250" i="3"/>
  <c r="A256" i="3"/>
  <c r="A209" i="3"/>
  <c r="A135" i="3"/>
  <c r="A33" i="3"/>
  <c r="A193" i="3"/>
  <c r="A260" i="3"/>
  <c r="A199" i="3"/>
  <c r="A130" i="3"/>
  <c r="A238" i="3"/>
  <c r="A83" i="3"/>
  <c r="A128" i="3"/>
  <c r="A145" i="3"/>
  <c r="A233" i="3"/>
  <c r="A141" i="3"/>
  <c r="A108" i="3"/>
  <c r="A76" i="3"/>
  <c r="A231" i="3"/>
  <c r="A225" i="3"/>
  <c r="A196" i="3"/>
  <c r="A132" i="3"/>
  <c r="A179" i="3"/>
  <c r="A56" i="3"/>
  <c r="A182" i="3"/>
  <c r="A234" i="3"/>
  <c r="A216" i="3"/>
  <c r="A223" i="3"/>
  <c r="A247" i="3"/>
  <c r="A241" i="3"/>
  <c r="A255" i="3"/>
  <c r="A97" i="3"/>
  <c r="A175" i="3"/>
  <c r="A236" i="3"/>
  <c r="A212" i="3"/>
  <c r="A259" i="3"/>
  <c r="A262" i="3"/>
  <c r="A198" i="3"/>
  <c r="A30" i="3"/>
  <c r="A213" i="3"/>
  <c r="A160" i="3"/>
  <c r="A183" i="3"/>
  <c r="A122" i="3"/>
  <c r="A186" i="3"/>
  <c r="A90" i="3"/>
  <c r="A89" i="3"/>
  <c r="A117" i="3"/>
  <c r="A46" i="3"/>
  <c r="A264" i="3"/>
  <c r="A154" i="3"/>
  <c r="A265" i="3"/>
  <c r="A180" i="3"/>
  <c r="A197" i="3"/>
  <c r="A243" i="3"/>
  <c r="A218" i="3"/>
  <c r="A181" i="3"/>
  <c r="A162" i="3"/>
  <c r="A121" i="3"/>
  <c r="A138" i="3"/>
  <c r="A192" i="3"/>
  <c r="A270" i="3"/>
  <c r="A263" i="3"/>
  <c r="A172" i="3"/>
  <c r="A147" i="3"/>
  <c r="A77" i="3"/>
  <c r="A257" i="3"/>
  <c r="A224" i="3"/>
  <c r="A248" i="3"/>
  <c r="A143" i="3"/>
  <c r="A237" i="3"/>
  <c r="A93" i="3"/>
  <c r="A170" i="3"/>
  <c r="A189" i="3"/>
  <c r="A167" i="3"/>
  <c r="A222" i="3"/>
  <c r="A269" i="3"/>
  <c r="A68" i="3"/>
  <c r="A142" i="3"/>
  <c r="A137" i="3"/>
  <c r="A80" i="3"/>
  <c r="A155" i="3"/>
  <c r="A161" i="3"/>
  <c r="A62" i="3"/>
  <c r="A221" i="3"/>
  <c r="A173" i="3"/>
  <c r="A51" i="3"/>
  <c r="A184" i="3"/>
  <c r="A240" i="3"/>
  <c r="A206" i="3"/>
  <c r="A40" i="3"/>
  <c r="K90" i="6"/>
  <c r="A90" i="6" s="1"/>
  <c r="BC99" i="3" s="1"/>
  <c r="A38" i="3"/>
  <c r="K26" i="6"/>
  <c r="A26" i="6" s="1"/>
  <c r="BC35" i="3" s="1"/>
  <c r="K57" i="6"/>
  <c r="A57" i="6" s="1"/>
  <c r="BC66" i="3" s="1"/>
  <c r="K11" i="6"/>
  <c r="A11" i="6" s="1"/>
  <c r="BC20" i="3" s="1"/>
  <c r="K17" i="6"/>
  <c r="A17" i="6" s="1"/>
  <c r="BC26" i="3" s="1"/>
  <c r="K33" i="6"/>
  <c r="A33" i="6" s="1"/>
  <c r="BC42" i="3" s="1"/>
  <c r="K50" i="6"/>
  <c r="A50" i="6" s="1"/>
  <c r="BC59" i="3" s="1"/>
  <c r="K54" i="6"/>
  <c r="A54" i="6" s="1"/>
  <c r="BC63" i="3" s="1"/>
  <c r="K22" i="6"/>
  <c r="A22" i="6" s="1"/>
  <c r="BC31" i="3" s="1"/>
  <c r="K98" i="6"/>
  <c r="A98" i="6" s="1"/>
  <c r="BC107" i="3" s="1"/>
  <c r="K8" i="6"/>
  <c r="A8" i="6" s="1"/>
  <c r="BC17" i="3" s="1"/>
  <c r="K93" i="6"/>
  <c r="A93" i="6" s="1"/>
  <c r="BC102" i="3" s="1"/>
  <c r="K48" i="6"/>
  <c r="A48" i="6" s="1"/>
  <c r="BC57" i="3" s="1"/>
  <c r="K65" i="6"/>
  <c r="A65" i="6" s="1"/>
  <c r="BC74" i="3" s="1"/>
  <c r="K41" i="6"/>
  <c r="A41" i="6" s="1"/>
  <c r="BC50" i="3" s="1"/>
  <c r="K70" i="6"/>
  <c r="A70" i="6" s="1"/>
  <c r="BC79" i="3" s="1"/>
  <c r="K69" i="6"/>
  <c r="A69" i="6" s="1"/>
  <c r="BC78" i="3" s="1"/>
  <c r="K56" i="6"/>
  <c r="A56" i="6" s="1"/>
  <c r="BC65" i="3" s="1"/>
  <c r="K39" i="6"/>
  <c r="A39" i="6" s="1"/>
  <c r="BC48" i="3" s="1"/>
  <c r="K9" i="6"/>
  <c r="A9" i="6" s="1"/>
  <c r="BC18" i="3" s="1"/>
  <c r="K66" i="6"/>
  <c r="A66" i="6" s="1"/>
  <c r="BC75" i="3" s="1"/>
  <c r="K13" i="6"/>
  <c r="A13" i="6" s="1"/>
  <c r="BC22" i="3" s="1"/>
  <c r="K58" i="6"/>
  <c r="A58" i="6" s="1"/>
  <c r="BC67" i="3" s="1"/>
  <c r="K15" i="6"/>
  <c r="A15" i="6" s="1"/>
  <c r="BC24" i="3" s="1"/>
  <c r="K83" i="6"/>
  <c r="A83" i="6" s="1"/>
  <c r="BC92" i="3" s="1"/>
  <c r="K72" i="6"/>
  <c r="A72" i="6" s="1"/>
  <c r="BC81" i="3" s="1"/>
  <c r="K5" i="6"/>
  <c r="A5" i="6" s="1"/>
  <c r="BC14" i="3" s="1"/>
  <c r="K40" i="6"/>
  <c r="A40" i="6" s="1"/>
  <c r="BC49" i="3" s="1"/>
  <c r="K63" i="6"/>
  <c r="A63" i="6" s="1"/>
  <c r="BC72" i="3" s="1"/>
  <c r="G23" i="15" l="1"/>
  <c r="F23" i="15" s="1"/>
  <c r="AB23" i="15"/>
  <c r="AD23" i="15" s="1"/>
  <c r="A75" i="3"/>
  <c r="A57" i="3"/>
  <c r="A92" i="3"/>
  <c r="A31" i="3"/>
  <c r="A72" i="3"/>
  <c r="A78" i="3"/>
  <c r="A26" i="3"/>
  <c r="A81" i="3"/>
  <c r="A107" i="3"/>
  <c r="A99" i="3"/>
  <c r="A67" i="3"/>
  <c r="A18" i="3"/>
  <c r="A59" i="3"/>
  <c r="A20" i="3"/>
  <c r="A22" i="3"/>
  <c r="A48" i="3"/>
  <c r="A79" i="3"/>
  <c r="A42" i="3"/>
  <c r="A66" i="3"/>
  <c r="A49" i="3"/>
  <c r="A65" i="3"/>
  <c r="A50" i="3"/>
  <c r="A102" i="3"/>
  <c r="A35" i="3"/>
  <c r="A14" i="3"/>
  <c r="A24" i="3"/>
  <c r="A74" i="3"/>
  <c r="A17" i="3"/>
  <c r="A63" i="3"/>
  <c r="G24" i="15" l="1"/>
  <c r="F24" i="15" s="1"/>
  <c r="AB24" i="15"/>
  <c r="AD24" i="15" s="1"/>
  <c r="G25" i="15" l="1"/>
  <c r="F25" i="15" s="1"/>
  <c r="AB25" i="15"/>
  <c r="AD25" i="15" s="1"/>
  <c r="G26" i="15" l="1"/>
  <c r="F26" i="15" s="1"/>
  <c r="AB26" i="15"/>
  <c r="AD26" i="15" s="1"/>
  <c r="G27" i="15" l="1"/>
  <c r="F27" i="15" s="1"/>
  <c r="AB27" i="15"/>
  <c r="AD27" i="15" s="1"/>
  <c r="G28" i="15" l="1"/>
  <c r="F28" i="15" s="1"/>
  <c r="AB28" i="15"/>
  <c r="AD28" i="15" s="1"/>
  <c r="G29" i="15" l="1"/>
  <c r="F29" i="15" s="1"/>
  <c r="AB29" i="15"/>
  <c r="AD29" i="15" s="1"/>
  <c r="G30" i="15" l="1"/>
  <c r="F30" i="15" s="1"/>
  <c r="AB30" i="15"/>
  <c r="AD30" i="15" s="1"/>
  <c r="G31" i="15" l="1"/>
  <c r="F31" i="15" s="1"/>
  <c r="AB31" i="15"/>
  <c r="AD31" i="15" s="1"/>
  <c r="G32" i="15" l="1"/>
  <c r="F32" i="15" s="1"/>
  <c r="G33" i="15" l="1"/>
  <c r="F33" i="15" s="1"/>
  <c r="AB32" i="15"/>
  <c r="AD32" i="15" s="1"/>
  <c r="G34" i="15" l="1"/>
  <c r="F34" i="15" s="1"/>
  <c r="AB33" i="15"/>
  <c r="AD33" i="15" s="1"/>
  <c r="G35" i="15" l="1"/>
  <c r="F35" i="15" s="1"/>
  <c r="AB34" i="15"/>
  <c r="AD34" i="15" s="1"/>
  <c r="AB35" i="15"/>
  <c r="AD35" i="15" s="1"/>
  <c r="G36" i="15" l="1"/>
  <c r="F36" i="15" s="1"/>
  <c r="AB36" i="15"/>
  <c r="AD36" i="15" s="1"/>
  <c r="G37" i="15" l="1"/>
  <c r="F37" i="15" s="1"/>
  <c r="AB37" i="15"/>
  <c r="AD37" i="15" s="1"/>
  <c r="G38" i="15" l="1"/>
  <c r="F38" i="15" s="1"/>
  <c r="AB38" i="15"/>
  <c r="AD38" i="15" s="1"/>
  <c r="G39" i="15" l="1"/>
  <c r="F39" i="15" s="1"/>
  <c r="AB39" i="15"/>
  <c r="AD39" i="15" s="1"/>
  <c r="G40" i="15" l="1"/>
  <c r="F40" i="15" s="1"/>
  <c r="AB40" i="15"/>
  <c r="AD40" i="15" s="1"/>
  <c r="G41" i="15" l="1"/>
  <c r="F41" i="15" s="1"/>
  <c r="AB41" i="15"/>
  <c r="AD41" i="15" s="1"/>
  <c r="G42" i="15" l="1"/>
  <c r="F42" i="15" s="1"/>
  <c r="AB42" i="15"/>
  <c r="AD42" i="15" s="1"/>
  <c r="G43" i="15" l="1"/>
  <c r="F43" i="15" s="1"/>
  <c r="AB43" i="15"/>
  <c r="AD43" i="15" s="1"/>
  <c r="G44" i="15" l="1"/>
  <c r="F44" i="15" s="1"/>
  <c r="AB44" i="15"/>
  <c r="AD44" i="15" s="1"/>
  <c r="G45" i="15" l="1"/>
  <c r="F45" i="15" s="1"/>
  <c r="AB45" i="15"/>
  <c r="AD45" i="15" s="1"/>
  <c r="G46" i="15" l="1"/>
  <c r="F46" i="15" s="1"/>
  <c r="AB46" i="15"/>
  <c r="AD46" i="15" s="1"/>
  <c r="G47" i="15" l="1"/>
  <c r="F47" i="15" s="1"/>
  <c r="AB47" i="15"/>
  <c r="AD47" i="15" s="1"/>
  <c r="G48" i="15" l="1"/>
  <c r="F48" i="15" s="1"/>
  <c r="AB48" i="15"/>
  <c r="AD48" i="15" s="1"/>
  <c r="G49" i="15" l="1"/>
  <c r="F49" i="15" s="1"/>
  <c r="AB49" i="15"/>
  <c r="AD49" i="15" s="1"/>
  <c r="G50" i="15" l="1"/>
  <c r="F50" i="15" s="1"/>
  <c r="AB50" i="15"/>
  <c r="AD50" i="15" s="1"/>
  <c r="G51" i="15" l="1"/>
  <c r="F51" i="15" s="1"/>
  <c r="AB51" i="15"/>
  <c r="AD51" i="15" s="1"/>
  <c r="G52" i="15" l="1"/>
  <c r="F52" i="15" s="1"/>
  <c r="AB52" i="15"/>
  <c r="AD52" i="15" s="1"/>
  <c r="G53" i="15" l="1"/>
  <c r="F53" i="15" s="1"/>
  <c r="AB53" i="15"/>
  <c r="AD53" i="15" s="1"/>
  <c r="A6" i="14"/>
  <c r="W18" i="15" l="1"/>
  <c r="W19" i="15"/>
  <c r="X19" i="15" s="1"/>
  <c r="B61" i="14"/>
  <c r="B44" i="14"/>
  <c r="B27" i="14"/>
  <c r="B57" i="14"/>
  <c r="B48" i="14"/>
  <c r="B39" i="14"/>
  <c r="B30" i="14"/>
  <c r="B40" i="14"/>
  <c r="B28" i="14"/>
  <c r="B32" i="14"/>
  <c r="B63" i="14"/>
  <c r="B54" i="14"/>
  <c r="B26" i="14"/>
  <c r="B35" i="14"/>
  <c r="B53" i="14"/>
  <c r="B36" i="14"/>
  <c r="B49" i="14"/>
  <c r="B31" i="14"/>
  <c r="B45" i="14"/>
  <c r="B58" i="14"/>
  <c r="B50" i="14"/>
  <c r="B33" i="14"/>
  <c r="B42" i="14"/>
  <c r="B51" i="14"/>
  <c r="B43" i="14"/>
  <c r="B64" i="14"/>
  <c r="B41" i="14"/>
  <c r="B59" i="14"/>
  <c r="B62" i="14"/>
  <c r="B46" i="14"/>
  <c r="B56" i="14"/>
  <c r="B37" i="14"/>
  <c r="B25" i="14"/>
  <c r="B34" i="14"/>
  <c r="B52" i="14"/>
  <c r="B47" i="14"/>
  <c r="B29" i="14"/>
  <c r="B60" i="14"/>
  <c r="B55" i="14"/>
  <c r="B38" i="14"/>
  <c r="G54" i="15"/>
  <c r="F54" i="15" s="1"/>
  <c r="C62" i="14"/>
  <c r="C58" i="14"/>
  <c r="C54" i="14"/>
  <c r="C50" i="14"/>
  <c r="C46" i="14"/>
  <c r="C42" i="14"/>
  <c r="C38" i="14"/>
  <c r="C34" i="14"/>
  <c r="C30" i="14"/>
  <c r="C26" i="14"/>
  <c r="C61" i="14"/>
  <c r="C57" i="14"/>
  <c r="C53" i="14"/>
  <c r="C49" i="14"/>
  <c r="C45" i="14"/>
  <c r="C41" i="14"/>
  <c r="C37" i="14"/>
  <c r="C33" i="14"/>
  <c r="C29" i="14"/>
  <c r="C25" i="14"/>
  <c r="C64" i="14"/>
  <c r="C60" i="14"/>
  <c r="C56" i="14"/>
  <c r="C52" i="14"/>
  <c r="C48" i="14"/>
  <c r="C44" i="14"/>
  <c r="C40" i="14"/>
  <c r="C36" i="14"/>
  <c r="C32" i="14"/>
  <c r="C28" i="14"/>
  <c r="C63" i="14"/>
  <c r="C59" i="14"/>
  <c r="C55" i="14"/>
  <c r="C51" i="14"/>
  <c r="C47" i="14"/>
  <c r="C43" i="14"/>
  <c r="C39" i="14"/>
  <c r="C35" i="14"/>
  <c r="C31" i="14"/>
  <c r="C27" i="14"/>
  <c r="D14" i="14"/>
  <c r="D15" i="14" s="1"/>
  <c r="D16" i="14" s="1"/>
  <c r="D17" i="14" s="1"/>
  <c r="D18" i="14" s="1"/>
  <c r="D19" i="14" s="1"/>
  <c r="D20" i="14" s="1"/>
  <c r="D21" i="14" s="1"/>
  <c r="D22" i="14" s="1"/>
  <c r="D23" i="14" s="1"/>
  <c r="D24" i="14" s="1"/>
  <c r="C24" i="14" s="1"/>
  <c r="D27" i="14"/>
  <c r="D31" i="14"/>
  <c r="D35" i="14"/>
  <c r="D39" i="14"/>
  <c r="D43" i="14"/>
  <c r="D47" i="14"/>
  <c r="D51" i="14"/>
  <c r="D55" i="14"/>
  <c r="D59" i="14"/>
  <c r="D63" i="14"/>
  <c r="D25" i="14"/>
  <c r="D33" i="14"/>
  <c r="D41" i="14"/>
  <c r="D49" i="14"/>
  <c r="D57" i="14"/>
  <c r="D26" i="14"/>
  <c r="D30" i="14"/>
  <c r="D34" i="14"/>
  <c r="D42" i="14"/>
  <c r="D50" i="14"/>
  <c r="D58" i="14"/>
  <c r="D28" i="14"/>
  <c r="D32" i="14"/>
  <c r="D36" i="14"/>
  <c r="D40" i="14"/>
  <c r="D44" i="14"/>
  <c r="D48" i="14"/>
  <c r="D52" i="14"/>
  <c r="D56" i="14"/>
  <c r="D60" i="14"/>
  <c r="D64" i="14"/>
  <c r="D29" i="14"/>
  <c r="D37" i="14"/>
  <c r="D45" i="14"/>
  <c r="D53" i="14"/>
  <c r="D61" i="14"/>
  <c r="D38" i="14"/>
  <c r="D46" i="14"/>
  <c r="D54" i="14"/>
  <c r="D62" i="14"/>
  <c r="AB54" i="15"/>
  <c r="AD54" i="15" s="1"/>
  <c r="B20" i="14" l="1"/>
  <c r="B21" i="14"/>
  <c r="B23" i="14"/>
  <c r="B24" i="14"/>
  <c r="B22" i="14"/>
  <c r="F55" i="15"/>
  <c r="G55" i="15"/>
  <c r="C23" i="14"/>
  <c r="C20" i="14"/>
  <c r="C14" i="14"/>
  <c r="C21" i="14"/>
  <c r="C22" i="14"/>
  <c r="BI4" i="15"/>
  <c r="BI5" i="15"/>
  <c r="C15" i="14" l="1"/>
  <c r="B14" i="14"/>
  <c r="AC55" i="15"/>
  <c r="AC4" i="15"/>
  <c r="BI6" i="15"/>
  <c r="C16" i="14" l="1"/>
  <c r="B15" i="14"/>
  <c r="BH4" i="15"/>
  <c r="AC5" i="15"/>
  <c r="BI7" i="15"/>
  <c r="C17" i="14" l="1"/>
  <c r="B16" i="14"/>
  <c r="BH5" i="15"/>
  <c r="AC6" i="15"/>
  <c r="BI8" i="15"/>
  <c r="C18" i="14" l="1"/>
  <c r="B17" i="14"/>
  <c r="BH6" i="15"/>
  <c r="AC7" i="15"/>
  <c r="BI9" i="15"/>
  <c r="C19" i="14" l="1"/>
  <c r="B19" i="14" s="1"/>
  <c r="B18" i="14"/>
  <c r="BH7" i="15"/>
  <c r="AC8" i="15"/>
  <c r="BI10" i="15"/>
  <c r="BH8" i="15" l="1"/>
  <c r="AC9" i="15"/>
  <c r="BI11" i="15"/>
  <c r="BH9" i="15" l="1"/>
  <c r="AC10" i="15"/>
  <c r="BI12" i="15"/>
  <c r="BH10" i="15" l="1"/>
  <c r="AC11" i="15"/>
  <c r="BI13" i="15"/>
  <c r="BH11" i="15" l="1"/>
  <c r="AC12" i="15"/>
  <c r="BH12" i="15" l="1"/>
  <c r="BI14" i="15"/>
  <c r="AC13" i="15"/>
  <c r="BH13" i="15" l="1"/>
  <c r="BI15" i="15"/>
  <c r="AC14" i="15"/>
  <c r="BH14" i="15" l="1"/>
  <c r="BI16" i="15"/>
  <c r="AC15" i="15"/>
  <c r="BH15" i="15" l="1"/>
  <c r="BI17" i="15"/>
  <c r="AC16" i="15"/>
  <c r="BH16" i="15" l="1"/>
  <c r="BI18" i="15"/>
  <c r="AC17" i="15"/>
  <c r="BH17" i="15" l="1"/>
  <c r="BI19" i="15"/>
  <c r="AC18" i="15"/>
  <c r="BH18" i="15" l="1"/>
  <c r="BI20" i="15"/>
  <c r="AC19" i="15"/>
  <c r="BI21" i="15"/>
  <c r="BH19" i="15" l="1"/>
  <c r="AC20" i="15"/>
  <c r="BH20" i="15" l="1"/>
  <c r="BI22" i="15"/>
  <c r="AC21" i="15"/>
  <c r="BH21" i="15" l="1"/>
  <c r="BI23" i="15"/>
  <c r="AC22" i="15"/>
  <c r="BH22" i="15"/>
  <c r="BI24" i="15" l="1"/>
  <c r="AC23" i="15"/>
  <c r="BH23" i="15" l="1"/>
  <c r="BI25" i="15"/>
  <c r="AC24" i="15"/>
  <c r="BH24" i="15"/>
  <c r="BI26" i="15" l="1"/>
  <c r="AC25" i="15"/>
  <c r="BH25" i="15" l="1"/>
  <c r="BI27" i="15"/>
  <c r="AC26" i="15"/>
  <c r="AC27" i="15" l="1"/>
  <c r="BH26" i="15"/>
  <c r="BI28" i="15"/>
  <c r="AC28" i="15"/>
  <c r="BH27" i="15" l="1"/>
  <c r="BI29" i="15"/>
  <c r="BH28" i="15"/>
  <c r="AC29" i="15"/>
  <c r="BI30" i="15" l="1"/>
  <c r="BH29" i="15"/>
  <c r="AC30" i="15" l="1"/>
  <c r="BI31" i="15"/>
  <c r="BH30" i="15" l="1"/>
  <c r="BI32" i="15"/>
  <c r="AC31" i="15"/>
  <c r="BH31" i="15" l="1"/>
  <c r="AC32" i="15"/>
  <c r="BI33" i="15"/>
  <c r="AC33" i="15" l="1"/>
  <c r="BH32" i="15"/>
  <c r="BI34" i="15"/>
  <c r="BH33" i="15"/>
  <c r="BI35" i="15" l="1"/>
  <c r="AC34" i="15"/>
  <c r="AC35" i="15" l="1"/>
  <c r="BH34" i="15"/>
  <c r="BI36" i="15"/>
  <c r="BH35" i="15"/>
  <c r="AC36" i="15" l="1"/>
  <c r="BI37" i="15"/>
  <c r="BH36" i="15"/>
  <c r="AC37" i="15"/>
  <c r="BI38" i="15" l="1"/>
  <c r="BH37" i="15"/>
  <c r="AC38" i="15" l="1"/>
  <c r="BI39" i="15"/>
  <c r="AC39" i="15" l="1"/>
  <c r="BH38" i="15"/>
  <c r="BI40" i="15"/>
  <c r="BH39" i="15"/>
  <c r="AC40" i="15"/>
  <c r="BI41" i="15" l="1"/>
  <c r="BH40" i="15"/>
  <c r="AC41" i="15" l="1"/>
  <c r="BI42" i="15"/>
  <c r="BH41" i="15"/>
  <c r="AC42" i="15"/>
  <c r="BI43" i="15" l="1"/>
  <c r="BH42" i="15"/>
  <c r="AC43" i="15" l="1"/>
  <c r="BI44" i="15"/>
  <c r="BH43" i="15"/>
  <c r="BI45" i="15"/>
  <c r="AC44" i="15"/>
  <c r="BH44" i="15" l="1"/>
  <c r="BH45" i="15"/>
  <c r="AC45" i="15"/>
  <c r="BI46" i="15"/>
  <c r="AC46" i="15" l="1"/>
  <c r="BI47" i="15"/>
  <c r="AC47" i="15" l="1"/>
  <c r="BI48" i="15"/>
  <c r="BH46" i="15"/>
  <c r="AC48" i="15" l="1"/>
  <c r="BI49" i="15"/>
  <c r="BH47" i="15"/>
  <c r="AC49" i="15" l="1"/>
  <c r="BI50" i="15"/>
  <c r="BH49" i="15"/>
  <c r="BH48" i="15"/>
  <c r="AC50" i="15" l="1"/>
  <c r="BI51" i="15"/>
  <c r="AC51" i="15" l="1"/>
  <c r="BH50" i="15"/>
  <c r="BI53" i="15" l="1"/>
  <c r="BI52" i="15"/>
  <c r="AC52" i="15"/>
  <c r="BH51" i="15"/>
  <c r="BI54" i="15"/>
  <c r="AC53" i="15" l="1"/>
  <c r="AC54" i="15"/>
  <c r="BH52" i="15"/>
  <c r="BH53" i="15" l="1"/>
  <c r="BH54" i="15" l="1"/>
  <c r="BQ115" i="6" l="1"/>
  <c r="N115" i="6"/>
  <c r="X115" i="6" s="1"/>
  <c r="AL115" i="6" l="1"/>
  <c r="Y115" i="6"/>
  <c r="C127" i="12" s="1"/>
  <c r="AA127" i="12" s="1"/>
  <c r="X127" i="12" l="1"/>
  <c r="X128" i="12"/>
  <c r="Y128" i="12" s="1"/>
  <c r="AT116" i="6"/>
  <c r="AT115" i="6"/>
  <c r="B115" i="6"/>
  <c r="A115" i="6" s="1"/>
  <c r="BC124" i="3" s="1"/>
  <c r="Y127" i="12" l="1"/>
  <c r="Y126" i="12"/>
  <c r="Y125" i="12"/>
  <c r="Y124" i="12"/>
  <c r="Y123" i="12"/>
  <c r="Y122" i="12"/>
  <c r="A124" i="3"/>
  <c r="A6" i="3" s="1"/>
  <c r="X18" i="15" l="1"/>
  <c r="BD93" i="3" l="1"/>
  <c r="BD188" i="3"/>
  <c r="BD99" i="3"/>
  <c r="BD20" i="3"/>
  <c r="BD257" i="3"/>
  <c r="BD14" i="3"/>
  <c r="BD183" i="3"/>
  <c r="BD39" i="3"/>
  <c r="BD220" i="3"/>
  <c r="BD216" i="3"/>
  <c r="D14" i="3"/>
  <c r="AQ5" i="6" s="1"/>
  <c r="BD16" i="3"/>
  <c r="BD193" i="3"/>
  <c r="BD181" i="3"/>
  <c r="BD89" i="3"/>
  <c r="BD214" i="3"/>
  <c r="BD42" i="3"/>
  <c r="BD262" i="3"/>
  <c r="BD122" i="3"/>
  <c r="BD53" i="3"/>
  <c r="BD186" i="3"/>
  <c r="BD111" i="3"/>
  <c r="BD215" i="3"/>
  <c r="BD165" i="3"/>
  <c r="BD209" i="3"/>
  <c r="BD101" i="3"/>
  <c r="BD128" i="3"/>
  <c r="BD141" i="3"/>
  <c r="BD137" i="3"/>
  <c r="BD249" i="3"/>
  <c r="BD187" i="3"/>
  <c r="BD180" i="3"/>
  <c r="BD139" i="3"/>
  <c r="BD30" i="3"/>
  <c r="BD125" i="3"/>
  <c r="BD154" i="3"/>
  <c r="BD256" i="3"/>
  <c r="BD127" i="3"/>
  <c r="BD212" i="3"/>
  <c r="BD13" i="3"/>
  <c r="BD65" i="3"/>
  <c r="BD232" i="3"/>
  <c r="BD194" i="3"/>
  <c r="BD158" i="3"/>
  <c r="BD268" i="3"/>
  <c r="BD213" i="3"/>
  <c r="BD43" i="3"/>
  <c r="BD126" i="3"/>
  <c r="BD72" i="3"/>
  <c r="BD97" i="3"/>
  <c r="BD37" i="3"/>
  <c r="BD195" i="3"/>
  <c r="BD110" i="3"/>
  <c r="BD178" i="3"/>
  <c r="BD161" i="3"/>
  <c r="BD235" i="3"/>
  <c r="BD219" i="3"/>
  <c r="BD150" i="3"/>
  <c r="BD159" i="3"/>
  <c r="BD44" i="3"/>
  <c r="BD142" i="3"/>
  <c r="BD260" i="3"/>
  <c r="BD78" i="3"/>
  <c r="BD169" i="3"/>
  <c r="BD229" i="3"/>
  <c r="BD152" i="3"/>
  <c r="BD251" i="3"/>
  <c r="BD104" i="3"/>
  <c r="BD236" i="3"/>
  <c r="BD90" i="3"/>
  <c r="BD227" i="3"/>
  <c r="BD224" i="3"/>
  <c r="BD231" i="3"/>
  <c r="BD242" i="3"/>
  <c r="BD91" i="3"/>
  <c r="BD207" i="3"/>
  <c r="BD208" i="3"/>
  <c r="BD265" i="3"/>
  <c r="BD24" i="3"/>
  <c r="BD202" i="3"/>
  <c r="BD116" i="3"/>
  <c r="BD211" i="3"/>
  <c r="BD124" i="3"/>
  <c r="BD269" i="3"/>
  <c r="BD113" i="3"/>
  <c r="BD86" i="3"/>
  <c r="BD191" i="3"/>
  <c r="BD48" i="3"/>
  <c r="BD19" i="3"/>
  <c r="BD259" i="3"/>
  <c r="BD103" i="3"/>
  <c r="BD82" i="3"/>
  <c r="BD58" i="3"/>
  <c r="BD174" i="3"/>
  <c r="BD80" i="3"/>
  <c r="BD163" i="3"/>
  <c r="BD21" i="3"/>
  <c r="BD49" i="3"/>
  <c r="BD59" i="3"/>
  <c r="BD67" i="3"/>
  <c r="BD179" i="3"/>
  <c r="BD131" i="3"/>
  <c r="BD74" i="3"/>
  <c r="BD197" i="3"/>
  <c r="BD112" i="3"/>
  <c r="BD105" i="3"/>
  <c r="BD92" i="3"/>
  <c r="BD166" i="3"/>
  <c r="BD26" i="3"/>
  <c r="BD225" i="3"/>
  <c r="BD60" i="3"/>
  <c r="BD144" i="3"/>
  <c r="BD75" i="3"/>
  <c r="BD149" i="3"/>
  <c r="BD148" i="3"/>
  <c r="BD32" i="3"/>
  <c r="BD226" i="3"/>
  <c r="BD162" i="3"/>
  <c r="BD210" i="3"/>
  <c r="BD95" i="3"/>
  <c r="BD35" i="3"/>
  <c r="BD230" i="3"/>
  <c r="BD15" i="3"/>
  <c r="BD140" i="3"/>
  <c r="BD200" i="3"/>
  <c r="BD114" i="3"/>
  <c r="BD134" i="3"/>
  <c r="BD146" i="3"/>
  <c r="BD83" i="3"/>
  <c r="BD267" i="3"/>
  <c r="BD94" i="3"/>
  <c r="BD177" i="3"/>
  <c r="BD248" i="3"/>
  <c r="BD50" i="3"/>
  <c r="BD234" i="3"/>
  <c r="BD63" i="3"/>
  <c r="BD261" i="3"/>
  <c r="BD255" i="3"/>
  <c r="BD107" i="3"/>
  <c r="BD130" i="3"/>
  <c r="BD221" i="3"/>
  <c r="BD201" i="3"/>
  <c r="BD109" i="3"/>
  <c r="BD77" i="3"/>
  <c r="BD206" i="3"/>
  <c r="BD33" i="3"/>
  <c r="BD121" i="3"/>
  <c r="BD192" i="3"/>
  <c r="BD223" i="3"/>
  <c r="BD71" i="3"/>
  <c r="BD204" i="3"/>
  <c r="BD239" i="3"/>
  <c r="BD228" i="3"/>
  <c r="BD88" i="3"/>
  <c r="BD98" i="3"/>
  <c r="BD185" i="3"/>
  <c r="BD56" i="3"/>
  <c r="BD147" i="3"/>
  <c r="BD198" i="3"/>
  <c r="BD108" i="3"/>
  <c r="BD244" i="3"/>
  <c r="BD62" i="3"/>
  <c r="BD240" i="3"/>
  <c r="BD41" i="3"/>
  <c r="BD85" i="3"/>
  <c r="BD199" i="3"/>
  <c r="BD164" i="3"/>
  <c r="BD189" i="3"/>
  <c r="BD145" i="3"/>
  <c r="BD17" i="3"/>
  <c r="BD271" i="3"/>
  <c r="BD238" i="3"/>
  <c r="BD31" i="3"/>
  <c r="BD38" i="3"/>
  <c r="BD157" i="3"/>
  <c r="BD106" i="3"/>
  <c r="BD100" i="3"/>
  <c r="BD254" i="3"/>
  <c r="BD196" i="3"/>
  <c r="BD54" i="3"/>
  <c r="BD79" i="3"/>
  <c r="BD247" i="3"/>
  <c r="BD203" i="3"/>
  <c r="BD138" i="3"/>
  <c r="BD47" i="3"/>
  <c r="BD263" i="3"/>
  <c r="BD266" i="3"/>
  <c r="BD87" i="3"/>
  <c r="BD246" i="3"/>
  <c r="BD45" i="3"/>
  <c r="E5" i="12"/>
  <c r="H5" i="12" s="1"/>
  <c r="BD123" i="3"/>
  <c r="BD272" i="3"/>
  <c r="BD170" i="3"/>
  <c r="BD40" i="3"/>
  <c r="BD29" i="3"/>
  <c r="BD151" i="3"/>
  <c r="BD18" i="3"/>
  <c r="BD172" i="3"/>
  <c r="BD55" i="3"/>
  <c r="BD96" i="3"/>
  <c r="BD243" i="3"/>
  <c r="BD264" i="3"/>
  <c r="BD117" i="3"/>
  <c r="BD64" i="3"/>
  <c r="BD241" i="3"/>
  <c r="BD250" i="3"/>
  <c r="BD76" i="3"/>
  <c r="BD218" i="3"/>
  <c r="BD28" i="3"/>
  <c r="BD52" i="3"/>
  <c r="BD25" i="3"/>
  <c r="BD133" i="3"/>
  <c r="BD115" i="3"/>
  <c r="BD23" i="3"/>
  <c r="BD167" i="3"/>
  <c r="BD57" i="3"/>
  <c r="BD118" i="3"/>
  <c r="BD171" i="3"/>
  <c r="BD237" i="3"/>
  <c r="BD205" i="3"/>
  <c r="BD182" i="3"/>
  <c r="BD155" i="3"/>
  <c r="BD69" i="3"/>
  <c r="BD119" i="3"/>
  <c r="BD233" i="3"/>
  <c r="BD84" i="3"/>
  <c r="E4" i="12"/>
  <c r="F4" i="12" s="1"/>
  <c r="BD217" i="3"/>
  <c r="BD73" i="3"/>
  <c r="BD175" i="3"/>
  <c r="BD168" i="3"/>
  <c r="BD135" i="3"/>
  <c r="BD245" i="3"/>
  <c r="BD184" i="3"/>
  <c r="BD68" i="3"/>
  <c r="BD176" i="3"/>
  <c r="BD132" i="3"/>
  <c r="BD102" i="3"/>
  <c r="BD34" i="3"/>
  <c r="BD153" i="3"/>
  <c r="BD22" i="3"/>
  <c r="BD173" i="3"/>
  <c r="BD46" i="3"/>
  <c r="BD129" i="3"/>
  <c r="BD51" i="3"/>
  <c r="BD160" i="3"/>
  <c r="BD66" i="3"/>
  <c r="BD81" i="3"/>
  <c r="BD70" i="3"/>
  <c r="BD156" i="3"/>
  <c r="BD61" i="3"/>
  <c r="BD120" i="3"/>
  <c r="BD222" i="3"/>
  <c r="BD136" i="3"/>
  <c r="BD253" i="3"/>
  <c r="BD143" i="3"/>
  <c r="BD252" i="3"/>
  <c r="BD190" i="3"/>
  <c r="BD36" i="3"/>
  <c r="BD270" i="3"/>
  <c r="BD258" i="3"/>
  <c r="BD27" i="3"/>
  <c r="F5" i="12" l="1"/>
  <c r="D15" i="3"/>
  <c r="AQ6" i="6" s="1"/>
  <c r="C14" i="3"/>
  <c r="A17" i="12" s="1"/>
  <c r="C14" i="37"/>
  <c r="H67" i="26"/>
  <c r="AW4" i="6" l="1"/>
  <c r="AW5" i="6" s="1"/>
  <c r="N4" i="12" s="1"/>
  <c r="G5" i="12"/>
  <c r="I5" i="12" s="1"/>
  <c r="M4" i="12"/>
  <c r="DJ5" i="6"/>
  <c r="C5" i="7"/>
  <c r="AX6" i="6"/>
  <c r="DJ4" i="6"/>
  <c r="AX7" i="6"/>
  <c r="DJ3" i="6"/>
  <c r="AX3" i="6"/>
  <c r="R4" i="12" s="1"/>
  <c r="AW3" i="6"/>
  <c r="O4" i="12" s="1"/>
  <c r="AW6" i="6"/>
  <c r="P4" i="12" s="1"/>
  <c r="M4" i="39" s="1"/>
  <c r="AW7" i="6"/>
  <c r="Q4" i="12" s="1"/>
  <c r="N4" i="39" s="1"/>
  <c r="B14" i="3"/>
  <c r="AP5" i="6" s="1"/>
  <c r="C15" i="3"/>
  <c r="A18" i="12" s="1"/>
  <c r="D16" i="3"/>
  <c r="AQ7" i="6" s="1"/>
  <c r="D6" i="12" l="1"/>
  <c r="E5" i="17" s="1"/>
  <c r="F4" i="17"/>
  <c r="K4" i="39"/>
  <c r="S4" i="12"/>
  <c r="J4" i="39"/>
  <c r="B15" i="3"/>
  <c r="AP6" i="6" s="1"/>
  <c r="D17" i="3"/>
  <c r="D18" i="3" s="1"/>
  <c r="D19" i="3" s="1"/>
  <c r="C16" i="3"/>
  <c r="A19" i="12" s="1"/>
  <c r="E6" i="12" l="1"/>
  <c r="L5" i="12"/>
  <c r="I5" i="39" s="1"/>
  <c r="D7" i="12"/>
  <c r="H7" i="12" s="1"/>
  <c r="F6" i="12"/>
  <c r="B16" i="3"/>
  <c r="AP7" i="6" s="1"/>
  <c r="AQ9" i="6"/>
  <c r="AQ8" i="6"/>
  <c r="C17" i="3"/>
  <c r="C18" i="3" s="1"/>
  <c r="C19" i="3" s="1"/>
  <c r="AQ10" i="6"/>
  <c r="D20" i="3"/>
  <c r="E275" i="12" l="1"/>
  <c r="E274" i="12"/>
  <c r="E34" i="12"/>
  <c r="E254" i="12"/>
  <c r="E69" i="12"/>
  <c r="E90" i="12"/>
  <c r="E53" i="12"/>
  <c r="E32" i="12"/>
  <c r="E178" i="12"/>
  <c r="E175" i="12"/>
  <c r="E198" i="12"/>
  <c r="E134" i="12"/>
  <c r="E101" i="12"/>
  <c r="E111" i="12"/>
  <c r="E223" i="12"/>
  <c r="E109" i="12"/>
  <c r="E132" i="12"/>
  <c r="E229" i="12"/>
  <c r="E253" i="12"/>
  <c r="E196" i="12"/>
  <c r="E163" i="12"/>
  <c r="E227" i="12"/>
  <c r="E269" i="12"/>
  <c r="E161" i="12"/>
  <c r="E225" i="12"/>
  <c r="E25" i="12"/>
  <c r="E106" i="12"/>
  <c r="E226" i="12"/>
  <c r="E271" i="12"/>
  <c r="E17" i="12"/>
  <c r="E56" i="12"/>
  <c r="E173" i="12"/>
  <c r="E131" i="12"/>
  <c r="E129" i="12"/>
  <c r="E176" i="12"/>
  <c r="E166" i="12"/>
  <c r="E164" i="12"/>
  <c r="E115" i="12"/>
  <c r="E263" i="12"/>
  <c r="E55" i="12"/>
  <c r="E72" i="12"/>
  <c r="E104" i="12"/>
  <c r="E88" i="12"/>
  <c r="E236" i="12"/>
  <c r="E195" i="12"/>
  <c r="E193" i="12"/>
  <c r="E47" i="12"/>
  <c r="E230" i="12"/>
  <c r="E228" i="12"/>
  <c r="E179" i="12"/>
  <c r="E221" i="12"/>
  <c r="E113" i="12"/>
  <c r="E38" i="12"/>
  <c r="E177" i="12"/>
  <c r="E138" i="12"/>
  <c r="E118" i="12"/>
  <c r="E116" i="12"/>
  <c r="E272" i="12"/>
  <c r="E208" i="12"/>
  <c r="E182" i="12"/>
  <c r="E180" i="12"/>
  <c r="E181" i="12"/>
  <c r="E145" i="12"/>
  <c r="E122" i="12"/>
  <c r="E58" i="12"/>
  <c r="E114" i="12"/>
  <c r="E130" i="12"/>
  <c r="E194" i="12"/>
  <c r="E256" i="12"/>
  <c r="E162" i="12"/>
  <c r="E127" i="12"/>
  <c r="E191" i="12"/>
  <c r="E128" i="12"/>
  <c r="E143" i="12"/>
  <c r="E160" i="12"/>
  <c r="E159" i="12"/>
  <c r="E112" i="12"/>
  <c r="E239" i="12"/>
  <c r="E133" i="12"/>
  <c r="E260" i="12"/>
  <c r="E257" i="12"/>
  <c r="E258" i="12"/>
  <c r="E255" i="12"/>
  <c r="E170" i="12"/>
  <c r="E141" i="12"/>
  <c r="E42" i="12"/>
  <c r="E29" i="12"/>
  <c r="E33" i="12"/>
  <c r="E21" i="12"/>
  <c r="E35" i="12"/>
  <c r="E85" i="12"/>
  <c r="E259" i="12"/>
  <c r="E244" i="12"/>
  <c r="E241" i="12"/>
  <c r="E242" i="12"/>
  <c r="E240" i="12"/>
  <c r="E251" i="12"/>
  <c r="E167" i="12"/>
  <c r="E74" i="12"/>
  <c r="E146" i="12"/>
  <c r="E210" i="12"/>
  <c r="E71" i="12"/>
  <c r="E87" i="12"/>
  <c r="E103" i="12"/>
  <c r="E207" i="12"/>
  <c r="E192" i="12"/>
  <c r="E238" i="12"/>
  <c r="E224" i="12"/>
  <c r="E30" i="12"/>
  <c r="E144" i="12"/>
  <c r="E45" i="12"/>
  <c r="E78" i="12"/>
  <c r="E75" i="12"/>
  <c r="E76" i="12"/>
  <c r="E73" i="12"/>
  <c r="E165" i="12"/>
  <c r="E233" i="12"/>
  <c r="E205" i="12"/>
  <c r="E40" i="12"/>
  <c r="E107" i="12"/>
  <c r="E110" i="12"/>
  <c r="E105" i="12"/>
  <c r="E82" i="12"/>
  <c r="E157" i="12"/>
  <c r="E62" i="12"/>
  <c r="E59" i="12"/>
  <c r="E60" i="12"/>
  <c r="E57" i="12"/>
  <c r="E189" i="12"/>
  <c r="E150" i="12"/>
  <c r="E48" i="12"/>
  <c r="E231" i="12"/>
  <c r="E44" i="12"/>
  <c r="E222" i="12"/>
  <c r="E108" i="12"/>
  <c r="E148" i="12"/>
  <c r="E46" i="12"/>
  <c r="E50" i="12"/>
  <c r="E158" i="12"/>
  <c r="E273" i="12"/>
  <c r="E117" i="12"/>
  <c r="E125" i="12"/>
  <c r="E147" i="12"/>
  <c r="E218" i="12"/>
  <c r="E261" i="12"/>
  <c r="E77" i="12"/>
  <c r="E186" i="12"/>
  <c r="E197" i="12"/>
  <c r="E31" i="12"/>
  <c r="E266" i="12"/>
  <c r="E168" i="12"/>
  <c r="E102" i="12"/>
  <c r="E19" i="12"/>
  <c r="E136" i="12"/>
  <c r="E262" i="12"/>
  <c r="E79" i="12"/>
  <c r="E70" i="12"/>
  <c r="E18" i="12"/>
  <c r="E27" i="12"/>
  <c r="E66" i="12"/>
  <c r="E135" i="12"/>
  <c r="E94" i="12"/>
  <c r="E200" i="12"/>
  <c r="E91" i="12"/>
  <c r="E199" i="12"/>
  <c r="E264" i="12"/>
  <c r="E22" i="12"/>
  <c r="E98" i="12"/>
  <c r="E26" i="12"/>
  <c r="E80" i="12"/>
  <c r="E36" i="12"/>
  <c r="E213" i="12"/>
  <c r="E61" i="12"/>
  <c r="E86" i="12"/>
  <c r="E89" i="12"/>
  <c r="E151" i="12"/>
  <c r="E206" i="12"/>
  <c r="E92" i="12"/>
  <c r="E202" i="12"/>
  <c r="E152" i="12"/>
  <c r="E154" i="12"/>
  <c r="E95" i="12"/>
  <c r="E96" i="12"/>
  <c r="E149" i="12"/>
  <c r="E212" i="12"/>
  <c r="E215" i="12"/>
  <c r="E216" i="12"/>
  <c r="E142" i="12"/>
  <c r="E126" i="12"/>
  <c r="E252" i="12"/>
  <c r="E63" i="12"/>
  <c r="E183" i="12"/>
  <c r="E51" i="12"/>
  <c r="E93" i="12"/>
  <c r="E20" i="12"/>
  <c r="E211" i="12"/>
  <c r="E184" i="12"/>
  <c r="E64" i="12"/>
  <c r="E245" i="12"/>
  <c r="E24" i="12"/>
  <c r="E54" i="12"/>
  <c r="E99" i="12"/>
  <c r="E39" i="12"/>
  <c r="E209" i="12"/>
  <c r="E246" i="12"/>
  <c r="E171" i="12"/>
  <c r="E81" i="12"/>
  <c r="E119" i="12"/>
  <c r="E49" i="12"/>
  <c r="E234" i="12"/>
  <c r="E137" i="12"/>
  <c r="E174" i="12"/>
  <c r="E248" i="12"/>
  <c r="E83" i="12"/>
  <c r="E37" i="12"/>
  <c r="E41" i="12"/>
  <c r="E84" i="12"/>
  <c r="E243" i="12"/>
  <c r="E214" i="12"/>
  <c r="E270" i="12"/>
  <c r="E190" i="12"/>
  <c r="E43" i="12"/>
  <c r="E139" i="12"/>
  <c r="E187" i="12"/>
  <c r="E52" i="12"/>
  <c r="E140" i="12"/>
  <c r="E155" i="12"/>
  <c r="E172" i="12"/>
  <c r="E169" i="12"/>
  <c r="E203" i="12"/>
  <c r="E204" i="12"/>
  <c r="E201" i="12"/>
  <c r="E220" i="12"/>
  <c r="E235" i="12"/>
  <c r="E232" i="12"/>
  <c r="E267" i="12"/>
  <c r="E268" i="12"/>
  <c r="E153" i="12"/>
  <c r="E217" i="12"/>
  <c r="E249" i="12"/>
  <c r="E265" i="12"/>
  <c r="E156" i="12"/>
  <c r="E185" i="12"/>
  <c r="E121" i="12"/>
  <c r="E219" i="12"/>
  <c r="E120" i="12"/>
  <c r="E247" i="12"/>
  <c r="E67" i="12"/>
  <c r="E100" i="12"/>
  <c r="E97" i="12"/>
  <c r="E123" i="12"/>
  <c r="E65" i="12"/>
  <c r="E28" i="12"/>
  <c r="E16" i="12"/>
  <c r="E237" i="12"/>
  <c r="E68" i="12"/>
  <c r="E250" i="12"/>
  <c r="E188" i="12"/>
  <c r="E124" i="12"/>
  <c r="E23" i="12"/>
  <c r="E7" i="12"/>
  <c r="F7" i="12" s="1"/>
  <c r="B17" i="3"/>
  <c r="AP8" i="6" s="1"/>
  <c r="A20" i="12"/>
  <c r="C20" i="3"/>
  <c r="A21" i="12"/>
  <c r="B18" i="3"/>
  <c r="AP9" i="6" s="1"/>
  <c r="AQ11" i="6"/>
  <c r="D21" i="3"/>
  <c r="C21" i="3" l="1"/>
  <c r="A22" i="12"/>
  <c r="B19" i="3"/>
  <c r="AP10" i="6" s="1"/>
  <c r="AQ12" i="6"/>
  <c r="D22" i="3"/>
  <c r="C22" i="3" l="1"/>
  <c r="A23" i="12"/>
  <c r="B20" i="3"/>
  <c r="AP11" i="6" s="1"/>
  <c r="AQ13" i="6"/>
  <c r="D23" i="3"/>
  <c r="B18" i="26"/>
  <c r="C23" i="3" l="1"/>
  <c r="A24" i="12"/>
  <c r="B21" i="3"/>
  <c r="AP12" i="6" s="1"/>
  <c r="A12" i="11"/>
  <c r="AQ14" i="6"/>
  <c r="D24" i="3"/>
  <c r="C24" i="3" l="1"/>
  <c r="A25" i="12"/>
  <c r="B22" i="3"/>
  <c r="AP13" i="6" s="1"/>
  <c r="AQ15" i="6"/>
  <c r="D25" i="3"/>
  <c r="C25" i="3" l="1"/>
  <c r="A26" i="12"/>
  <c r="B23" i="3"/>
  <c r="AP14" i="6" s="1"/>
  <c r="AQ16" i="6"/>
  <c r="D26" i="3"/>
  <c r="C26" i="3" l="1"/>
  <c r="A27" i="12"/>
  <c r="B24" i="3"/>
  <c r="AP15" i="6" s="1"/>
  <c r="AQ17" i="6"/>
  <c r="D27" i="3"/>
  <c r="C27" i="3" l="1"/>
  <c r="A28" i="12"/>
  <c r="B25" i="3"/>
  <c r="AP16" i="6" s="1"/>
  <c r="AQ18" i="6"/>
  <c r="D28" i="3"/>
  <c r="C28" i="3" l="1"/>
  <c r="A29" i="12"/>
  <c r="B26" i="3"/>
  <c r="AP17" i="6" s="1"/>
  <c r="AQ19" i="6"/>
  <c r="D29" i="3"/>
  <c r="C29" i="3" l="1"/>
  <c r="A30" i="12"/>
  <c r="B27" i="3"/>
  <c r="AP18" i="6" s="1"/>
  <c r="C49" i="18"/>
  <c r="AQ20" i="6"/>
  <c r="D30" i="3"/>
  <c r="C30" i="3" l="1"/>
  <c r="A31" i="12"/>
  <c r="B28" i="3"/>
  <c r="AP19" i="6" s="1"/>
  <c r="Q59" i="14"/>
  <c r="Q21" i="14"/>
  <c r="Q26" i="14"/>
  <c r="Q25" i="14"/>
  <c r="Q62" i="14"/>
  <c r="Q51" i="14"/>
  <c r="Q33" i="14"/>
  <c r="Q50" i="14"/>
  <c r="Q35" i="14"/>
  <c r="Q44" i="14"/>
  <c r="Q22" i="14"/>
  <c r="Q40" i="14"/>
  <c r="Q27" i="14"/>
  <c r="Q34" i="14"/>
  <c r="Q28" i="14"/>
  <c r="Q38" i="14"/>
  <c r="Q36" i="14"/>
  <c r="Q23" i="14"/>
  <c r="Q30" i="14"/>
  <c r="Q64" i="14"/>
  <c r="Q42" i="14"/>
  <c r="Q29" i="14"/>
  <c r="Q45" i="14"/>
  <c r="Q31" i="14"/>
  <c r="Q55" i="14"/>
  <c r="Q37" i="14"/>
  <c r="Q56" i="14"/>
  <c r="Q43" i="14"/>
  <c r="Q32" i="14"/>
  <c r="Q60" i="14"/>
  <c r="Q54" i="14"/>
  <c r="Q52" i="14"/>
  <c r="Q39" i="14"/>
  <c r="Q46" i="14"/>
  <c r="Q48" i="14"/>
  <c r="Q58" i="14"/>
  <c r="Q63" i="14"/>
  <c r="Q57" i="14"/>
  <c r="Q24" i="14"/>
  <c r="Q61" i="14"/>
  <c r="Q41" i="14"/>
  <c r="Q47" i="14"/>
  <c r="Q49" i="14"/>
  <c r="Q20" i="14"/>
  <c r="Q53" i="14"/>
  <c r="AQ21" i="6"/>
  <c r="D31" i="3"/>
  <c r="C31" i="3" l="1"/>
  <c r="A32" i="12"/>
  <c r="B29" i="3"/>
  <c r="AP20" i="6" s="1"/>
  <c r="AQ22" i="6"/>
  <c r="D32" i="3"/>
  <c r="C32" i="3" l="1"/>
  <c r="A33" i="12"/>
  <c r="B30" i="3"/>
  <c r="AP21" i="6" s="1"/>
  <c r="AQ23" i="6"/>
  <c r="D33" i="3"/>
  <c r="C33" i="3" l="1"/>
  <c r="A34" i="12"/>
  <c r="B31" i="3"/>
  <c r="AP22" i="6" s="1"/>
  <c r="AQ24" i="6"/>
  <c r="D34" i="3"/>
  <c r="C34" i="3" l="1"/>
  <c r="A35" i="12"/>
  <c r="B32" i="3"/>
  <c r="AP23" i="6" s="1"/>
  <c r="AQ25" i="6"/>
  <c r="D35" i="3"/>
  <c r="C35" i="3" l="1"/>
  <c r="A36" i="12"/>
  <c r="B33" i="3"/>
  <c r="AP24" i="6" s="1"/>
  <c r="AQ26" i="6"/>
  <c r="D36" i="3"/>
  <c r="C36" i="3" l="1"/>
  <c r="A37" i="12"/>
  <c r="B34" i="3"/>
  <c r="AP25" i="6" s="1"/>
  <c r="AQ27" i="6"/>
  <c r="D37" i="3"/>
  <c r="C37" i="3" l="1"/>
  <c r="A38" i="12"/>
  <c r="B35" i="3"/>
  <c r="AP26" i="6" s="1"/>
  <c r="AQ28" i="6"/>
  <c r="D38" i="3"/>
  <c r="C38" i="3" l="1"/>
  <c r="A39" i="12"/>
  <c r="B36" i="3"/>
  <c r="AP27" i="6" s="1"/>
  <c r="AQ29" i="6"/>
  <c r="D39" i="3"/>
  <c r="C39" i="3" l="1"/>
  <c r="A40" i="12"/>
  <c r="B37" i="3"/>
  <c r="AP28" i="6" s="1"/>
  <c r="AQ30" i="6"/>
  <c r="D40" i="3"/>
  <c r="C40" i="3" l="1"/>
  <c r="A41" i="12"/>
  <c r="B38" i="3"/>
  <c r="AP29" i="6" s="1"/>
  <c r="AQ31" i="6"/>
  <c r="D41" i="3"/>
  <c r="C41" i="3" l="1"/>
  <c r="A42" i="12"/>
  <c r="B39" i="3"/>
  <c r="AP30" i="6" s="1"/>
  <c r="AQ32" i="6"/>
  <c r="D42" i="3"/>
  <c r="C42" i="3" l="1"/>
  <c r="A43" i="12"/>
  <c r="B40" i="3"/>
  <c r="AP31" i="6" s="1"/>
  <c r="AQ33" i="6"/>
  <c r="D43" i="3"/>
  <c r="C43" i="3" l="1"/>
  <c r="A44" i="12"/>
  <c r="B41" i="3"/>
  <c r="AP32" i="6" s="1"/>
  <c r="AQ34" i="6"/>
  <c r="D44" i="3"/>
  <c r="C44" i="3" l="1"/>
  <c r="A45" i="12"/>
  <c r="B42" i="3"/>
  <c r="AP33" i="6" s="1"/>
  <c r="AQ35" i="6"/>
  <c r="D45" i="3"/>
  <c r="C45" i="3" l="1"/>
  <c r="A46" i="12"/>
  <c r="B43" i="3"/>
  <c r="AP34" i="6" s="1"/>
  <c r="AQ36" i="6"/>
  <c r="D46" i="3"/>
  <c r="C46" i="3" l="1"/>
  <c r="A47" i="12"/>
  <c r="B44" i="3"/>
  <c r="AP35" i="6" s="1"/>
  <c r="AQ37" i="6"/>
  <c r="D47" i="3"/>
  <c r="C47" i="3" l="1"/>
  <c r="A48" i="12"/>
  <c r="B45" i="3"/>
  <c r="AP36" i="6" s="1"/>
  <c r="AQ38" i="6"/>
  <c r="D48" i="3"/>
  <c r="C48" i="3" l="1"/>
  <c r="A49" i="12"/>
  <c r="B46" i="3"/>
  <c r="AP37" i="6" s="1"/>
  <c r="AQ39" i="6"/>
  <c r="D49" i="3"/>
  <c r="C49" i="3" l="1"/>
  <c r="A50" i="12"/>
  <c r="B47" i="3"/>
  <c r="AP38" i="6" s="1"/>
  <c r="AQ40" i="6"/>
  <c r="D50" i="3"/>
  <c r="C50" i="3" l="1"/>
  <c r="A51" i="12"/>
  <c r="B48" i="3"/>
  <c r="AP39" i="6" s="1"/>
  <c r="AQ41" i="6"/>
  <c r="D51" i="3"/>
  <c r="C51" i="3" s="1"/>
  <c r="A52" i="12" l="1"/>
  <c r="B49" i="3"/>
  <c r="AP40" i="6" s="1"/>
  <c r="AQ42" i="6"/>
  <c r="D52" i="3"/>
  <c r="C52" i="3" s="1"/>
  <c r="A53" i="12" l="1"/>
  <c r="B50" i="3"/>
  <c r="AP41" i="6" s="1"/>
  <c r="AQ43" i="6"/>
  <c r="D53" i="3"/>
  <c r="C53" i="3" s="1"/>
  <c r="A54" i="12" l="1"/>
  <c r="B51" i="3"/>
  <c r="AP42" i="6" s="1"/>
  <c r="AQ44" i="6"/>
  <c r="D54" i="3"/>
  <c r="C54" i="3" s="1"/>
  <c r="A55" i="12" l="1"/>
  <c r="B52" i="3"/>
  <c r="AP43" i="6" s="1"/>
  <c r="AQ45" i="6"/>
  <c r="D55" i="3"/>
  <c r="C55" i="3" s="1"/>
  <c r="A56" i="12" l="1"/>
  <c r="B53" i="3"/>
  <c r="AP44" i="6" s="1"/>
  <c r="AQ46" i="6"/>
  <c r="D56" i="3"/>
  <c r="C56" i="3" s="1"/>
  <c r="A57" i="12" l="1"/>
  <c r="B54" i="3"/>
  <c r="AP45" i="6" s="1"/>
  <c r="AQ47" i="6"/>
  <c r="D57" i="3"/>
  <c r="C57" i="3" s="1"/>
  <c r="A58" i="12" l="1"/>
  <c r="B55" i="3"/>
  <c r="AP46" i="6" s="1"/>
  <c r="AQ48" i="6"/>
  <c r="D58" i="3"/>
  <c r="C58" i="3" s="1"/>
  <c r="A59" i="12" l="1"/>
  <c r="B56" i="3"/>
  <c r="AP47" i="6" s="1"/>
  <c r="AQ49" i="6"/>
  <c r="D59" i="3"/>
  <c r="C59" i="3" s="1"/>
  <c r="A60" i="12" l="1"/>
  <c r="B57" i="3"/>
  <c r="AP48" i="6" s="1"/>
  <c r="AQ50" i="6"/>
  <c r="D60" i="3"/>
  <c r="C60" i="3" s="1"/>
  <c r="A61" i="12" l="1"/>
  <c r="B58" i="3"/>
  <c r="AP49" i="6" s="1"/>
  <c r="AQ51" i="6"/>
  <c r="D61" i="3"/>
  <c r="C61" i="3" s="1"/>
  <c r="A62" i="12" l="1"/>
  <c r="B59" i="3"/>
  <c r="AP50" i="6" s="1"/>
  <c r="AQ52" i="6"/>
  <c r="D62" i="3"/>
  <c r="C62" i="3" s="1"/>
  <c r="A63" i="12" l="1"/>
  <c r="B60" i="3"/>
  <c r="AP51" i="6" s="1"/>
  <c r="AQ53" i="6"/>
  <c r="D63" i="3"/>
  <c r="C63" i="3" s="1"/>
  <c r="A64" i="12" l="1"/>
  <c r="B61" i="3"/>
  <c r="AP52" i="6" s="1"/>
  <c r="AQ54" i="6"/>
  <c r="D64" i="3"/>
  <c r="C64" i="3" s="1"/>
  <c r="A65" i="12" l="1"/>
  <c r="B62" i="3"/>
  <c r="AP53" i="6" s="1"/>
  <c r="AQ55" i="6"/>
  <c r="D65" i="3"/>
  <c r="C65" i="3" s="1"/>
  <c r="A66" i="12" l="1"/>
  <c r="B63" i="3"/>
  <c r="AP54" i="6" s="1"/>
  <c r="AQ56" i="6"/>
  <c r="D66" i="3"/>
  <c r="C66" i="3" s="1"/>
  <c r="A67" i="12" l="1"/>
  <c r="B64" i="3"/>
  <c r="AP55" i="6" s="1"/>
  <c r="AQ57" i="6"/>
  <c r="D67" i="3"/>
  <c r="C67" i="3" s="1"/>
  <c r="A68" i="12" l="1"/>
  <c r="B65" i="3"/>
  <c r="AP56" i="6" s="1"/>
  <c r="B66" i="3"/>
  <c r="AQ58" i="6"/>
  <c r="D68" i="3"/>
  <c r="C68" i="3" s="1"/>
  <c r="A69" i="12" l="1"/>
  <c r="AP57" i="6"/>
  <c r="AQ59" i="6"/>
  <c r="D69" i="3"/>
  <c r="C69" i="3" s="1"/>
  <c r="A70" i="12" l="1"/>
  <c r="B67" i="3"/>
  <c r="AP58" i="6" s="1"/>
  <c r="AQ60" i="6"/>
  <c r="D70" i="3"/>
  <c r="C70" i="3" s="1"/>
  <c r="A71" i="12" l="1"/>
  <c r="B68" i="3"/>
  <c r="AP59" i="6" s="1"/>
  <c r="AQ61" i="6"/>
  <c r="D71" i="3"/>
  <c r="C71" i="3" s="1"/>
  <c r="A72" i="12" l="1"/>
  <c r="B69" i="3"/>
  <c r="AP60" i="6" s="1"/>
  <c r="AQ62" i="6"/>
  <c r="D72" i="3"/>
  <c r="C72" i="3" s="1"/>
  <c r="A73" i="12" l="1"/>
  <c r="B70" i="3"/>
  <c r="AP61" i="6" s="1"/>
  <c r="AQ63" i="6"/>
  <c r="D73" i="3"/>
  <c r="C73" i="3" s="1"/>
  <c r="A74" i="12" l="1"/>
  <c r="B71" i="3"/>
  <c r="AP62" i="6" s="1"/>
  <c r="AQ64" i="6"/>
  <c r="D74" i="3"/>
  <c r="C74" i="3" s="1"/>
  <c r="A75" i="12" l="1"/>
  <c r="B72" i="3"/>
  <c r="AP63" i="6" s="1"/>
  <c r="AQ65" i="6"/>
  <c r="D75" i="3"/>
  <c r="C75" i="3" s="1"/>
  <c r="A76" i="12" l="1"/>
  <c r="B73" i="3"/>
  <c r="AP64" i="6" s="1"/>
  <c r="AQ66" i="6"/>
  <c r="D76" i="3"/>
  <c r="C76" i="3" s="1"/>
  <c r="A77" i="12" l="1"/>
  <c r="B74" i="3"/>
  <c r="AP65" i="6" s="1"/>
  <c r="AQ67" i="6"/>
  <c r="D77" i="3"/>
  <c r="C77" i="3" s="1"/>
  <c r="A78" i="12" l="1"/>
  <c r="B75" i="3"/>
  <c r="AP66" i="6" s="1"/>
  <c r="AQ68" i="6"/>
  <c r="D78" i="3"/>
  <c r="C78" i="3" s="1"/>
  <c r="A79" i="12" l="1"/>
  <c r="B76" i="3"/>
  <c r="AP67" i="6" s="1"/>
  <c r="AQ69" i="6"/>
  <c r="D79" i="3"/>
  <c r="C79" i="3" s="1"/>
  <c r="A80" i="12" l="1"/>
  <c r="B77" i="3"/>
  <c r="AP68" i="6" s="1"/>
  <c r="AQ70" i="6"/>
  <c r="D80" i="3"/>
  <c r="C80" i="3" s="1"/>
  <c r="A81" i="12" l="1"/>
  <c r="B78" i="3"/>
  <c r="AP69" i="6" s="1"/>
  <c r="AQ71" i="6"/>
  <c r="D81" i="3"/>
  <c r="C81" i="3" s="1"/>
  <c r="A82" i="12" l="1"/>
  <c r="B79" i="3"/>
  <c r="AP70" i="6" s="1"/>
  <c r="AQ72" i="6"/>
  <c r="D82" i="3"/>
  <c r="C82" i="3" s="1"/>
  <c r="A83" i="12" l="1"/>
  <c r="B80" i="3"/>
  <c r="AP71" i="6" s="1"/>
  <c r="AQ73" i="6"/>
  <c r="D83" i="3"/>
  <c r="C83" i="3" s="1"/>
  <c r="A84" i="12" l="1"/>
  <c r="B81" i="3"/>
  <c r="AP72" i="6" s="1"/>
  <c r="AQ74" i="6"/>
  <c r="D84" i="3"/>
  <c r="C84" i="3" s="1"/>
  <c r="A85" i="12" l="1"/>
  <c r="B82" i="3"/>
  <c r="AP73" i="6" s="1"/>
  <c r="AQ75" i="6"/>
  <c r="D85" i="3"/>
  <c r="C85" i="3" s="1"/>
  <c r="A86" i="12" l="1"/>
  <c r="B83" i="3"/>
  <c r="AP74" i="6" s="1"/>
  <c r="AQ76" i="6"/>
  <c r="D86" i="3"/>
  <c r="C86" i="3" s="1"/>
  <c r="A87" i="12" l="1"/>
  <c r="B84" i="3"/>
  <c r="AP75" i="6" s="1"/>
  <c r="AQ77" i="6"/>
  <c r="D87" i="3"/>
  <c r="C87" i="3" s="1"/>
  <c r="A88" i="12" l="1"/>
  <c r="B85" i="3"/>
  <c r="AP76" i="6" s="1"/>
  <c r="AQ78" i="6"/>
  <c r="D88" i="3"/>
  <c r="C88" i="3" s="1"/>
  <c r="A89" i="12" l="1"/>
  <c r="B86" i="3"/>
  <c r="AP77" i="6" s="1"/>
  <c r="AQ79" i="6"/>
  <c r="D89" i="3"/>
  <c r="C89" i="3" s="1"/>
  <c r="A90" i="12" l="1"/>
  <c r="B87" i="3"/>
  <c r="AP78" i="6" s="1"/>
  <c r="AQ80" i="6"/>
  <c r="D90" i="3"/>
  <c r="C90" i="3" s="1"/>
  <c r="A91" i="12" l="1"/>
  <c r="B88" i="3"/>
  <c r="AP79" i="6" s="1"/>
  <c r="AQ81" i="6"/>
  <c r="D91" i="3"/>
  <c r="C91" i="3" s="1"/>
  <c r="A92" i="12" l="1"/>
  <c r="B89" i="3"/>
  <c r="AP80" i="6" s="1"/>
  <c r="AQ82" i="6"/>
  <c r="D92" i="3"/>
  <c r="C92" i="3" s="1"/>
  <c r="A93" i="12" l="1"/>
  <c r="B90" i="3"/>
  <c r="AP81" i="6" s="1"/>
  <c r="AQ83" i="6"/>
  <c r="D93" i="3"/>
  <c r="C93" i="3" s="1"/>
  <c r="A94" i="12" l="1"/>
  <c r="B91" i="3"/>
  <c r="AP82" i="6" s="1"/>
  <c r="AQ84" i="6"/>
  <c r="D94" i="3"/>
  <c r="C94" i="3" s="1"/>
  <c r="A95" i="12" l="1"/>
  <c r="B92" i="3"/>
  <c r="AP83" i="6" s="1"/>
  <c r="AQ85" i="6"/>
  <c r="D95" i="3"/>
  <c r="C95" i="3" s="1"/>
  <c r="A96" i="12" l="1"/>
  <c r="B93" i="3"/>
  <c r="AP84" i="6" s="1"/>
  <c r="AQ86" i="6"/>
  <c r="D96" i="3"/>
  <c r="C96" i="3" s="1"/>
  <c r="A97" i="12" l="1"/>
  <c r="B94" i="3"/>
  <c r="AP85" i="6" s="1"/>
  <c r="D97" i="3"/>
  <c r="C97" i="3" s="1"/>
  <c r="AQ87" i="6"/>
  <c r="A98" i="12" l="1"/>
  <c r="B95" i="3"/>
  <c r="AP86" i="6" s="1"/>
  <c r="D98" i="3"/>
  <c r="C98" i="3" s="1"/>
  <c r="AQ88" i="6"/>
  <c r="A99" i="12" l="1"/>
  <c r="B96" i="3"/>
  <c r="AP87" i="6" s="1"/>
  <c r="D99" i="3"/>
  <c r="C99" i="3" s="1"/>
  <c r="AQ89" i="6"/>
  <c r="A100" i="12" l="1"/>
  <c r="B97" i="3"/>
  <c r="AP88" i="6" s="1"/>
  <c r="D100" i="3"/>
  <c r="C100" i="3" s="1"/>
  <c r="AQ90" i="6"/>
  <c r="A101" i="12" l="1"/>
  <c r="B98" i="3"/>
  <c r="AP89" i="6" s="1"/>
  <c r="D101" i="3"/>
  <c r="C101" i="3" s="1"/>
  <c r="AQ91" i="6"/>
  <c r="A102" i="12" l="1"/>
  <c r="B99" i="3"/>
  <c r="AP90" i="6" s="1"/>
  <c r="D102" i="3"/>
  <c r="C102" i="3" s="1"/>
  <c r="AQ92" i="6"/>
  <c r="A103" i="12" l="1"/>
  <c r="B100" i="3"/>
  <c r="AP91" i="6" s="1"/>
  <c r="D103" i="3"/>
  <c r="C103" i="3" s="1"/>
  <c r="AQ93" i="6"/>
  <c r="A104" i="12" l="1"/>
  <c r="B101" i="3"/>
  <c r="AP92" i="6" s="1"/>
  <c r="D104" i="3"/>
  <c r="C104" i="3" s="1"/>
  <c r="AQ94" i="6"/>
  <c r="A105" i="12" l="1"/>
  <c r="B102" i="3"/>
  <c r="AP93" i="6" s="1"/>
  <c r="D105" i="3"/>
  <c r="C105" i="3" s="1"/>
  <c r="AQ95" i="6"/>
  <c r="A106" i="12" l="1"/>
  <c r="B103" i="3"/>
  <c r="AP94" i="6" s="1"/>
  <c r="D106" i="3"/>
  <c r="C106" i="3" s="1"/>
  <c r="AQ96" i="6"/>
  <c r="A107" i="12" l="1"/>
  <c r="B104" i="3"/>
  <c r="AP95" i="6" s="1"/>
  <c r="D107" i="3"/>
  <c r="C107" i="3" s="1"/>
  <c r="AQ97" i="6"/>
  <c r="A108" i="12" l="1"/>
  <c r="B105" i="3"/>
  <c r="AP96" i="6" s="1"/>
  <c r="D108" i="3"/>
  <c r="C108" i="3" s="1"/>
  <c r="AQ98" i="6"/>
  <c r="A109" i="12" l="1"/>
  <c r="B106" i="3"/>
  <c r="AP97" i="6" s="1"/>
  <c r="D109" i="3"/>
  <c r="C109" i="3" s="1"/>
  <c r="AQ99" i="6"/>
  <c r="A110" i="12" l="1"/>
  <c r="B107" i="3"/>
  <c r="AP98" i="6" s="1"/>
  <c r="D110" i="3"/>
  <c r="C110" i="3" s="1"/>
  <c r="AQ100" i="6"/>
  <c r="A111" i="12" l="1"/>
  <c r="B108" i="3"/>
  <c r="AP99" i="6" s="1"/>
  <c r="D111" i="3"/>
  <c r="C111" i="3" s="1"/>
  <c r="AQ101" i="6"/>
  <c r="A112" i="12" l="1"/>
  <c r="B109" i="3"/>
  <c r="AP100" i="6" s="1"/>
  <c r="D112" i="3"/>
  <c r="C112" i="3" s="1"/>
  <c r="AQ102" i="6"/>
  <c r="A113" i="12" l="1"/>
  <c r="B110" i="3"/>
  <c r="AP101" i="6" s="1"/>
  <c r="D113" i="3"/>
  <c r="C113" i="3" s="1"/>
  <c r="AQ103" i="6"/>
  <c r="A114" i="12" l="1"/>
  <c r="B111" i="3"/>
  <c r="AP102" i="6" s="1"/>
  <c r="B112" i="3"/>
  <c r="D114" i="3"/>
  <c r="C114" i="3" s="1"/>
  <c r="AQ104" i="6"/>
  <c r="A115" i="12" l="1"/>
  <c r="AP103" i="6"/>
  <c r="D115" i="3"/>
  <c r="C115" i="3" s="1"/>
  <c r="AQ105" i="6"/>
  <c r="A116" i="12" l="1"/>
  <c r="B113" i="3"/>
  <c r="AP104" i="6" s="1"/>
  <c r="D116" i="3"/>
  <c r="C116" i="3" s="1"/>
  <c r="AQ106" i="6"/>
  <c r="A117" i="12" l="1"/>
  <c r="B114" i="3"/>
  <c r="AP105" i="6" s="1"/>
  <c r="D117" i="3"/>
  <c r="C117" i="3" s="1"/>
  <c r="AQ107" i="6"/>
  <c r="A118" i="12" l="1"/>
  <c r="B115" i="3"/>
  <c r="AP106" i="6" s="1"/>
  <c r="AQ108" i="6"/>
  <c r="D118" i="3"/>
  <c r="C118" i="3" s="1"/>
  <c r="A119" i="12" l="1"/>
  <c r="B116" i="3"/>
  <c r="AP107" i="6" s="1"/>
  <c r="B117" i="3"/>
  <c r="D119" i="3"/>
  <c r="C119" i="3" s="1"/>
  <c r="AQ109" i="6"/>
  <c r="A120" i="12" l="1"/>
  <c r="AP108" i="6"/>
  <c r="AQ110" i="6"/>
  <c r="D120" i="3"/>
  <c r="C120" i="3" s="1"/>
  <c r="A121" i="12" l="1"/>
  <c r="B118" i="3"/>
  <c r="AP109" i="6" s="1"/>
  <c r="B119" i="3"/>
  <c r="AQ111" i="6"/>
  <c r="D121" i="3"/>
  <c r="C121" i="3" s="1"/>
  <c r="A123" i="12" l="1"/>
  <c r="B120" i="3"/>
  <c r="AP111" i="6" s="1"/>
  <c r="A122" i="12"/>
  <c r="AP110" i="6"/>
  <c r="AQ112" i="6"/>
  <c r="D122" i="3"/>
  <c r="C122" i="3" s="1"/>
  <c r="A124" i="12" l="1"/>
  <c r="B121" i="3"/>
  <c r="AP112" i="6" s="1"/>
  <c r="D123" i="3"/>
  <c r="C123" i="3" s="1"/>
  <c r="AQ113" i="6"/>
  <c r="A125" i="12" l="1"/>
  <c r="B122" i="3"/>
  <c r="AP113" i="6" s="1"/>
  <c r="D124" i="3"/>
  <c r="C124" i="3" s="1"/>
  <c r="AQ114" i="6"/>
  <c r="A126" i="12" l="1"/>
  <c r="B123" i="3"/>
  <c r="AP114" i="6" s="1"/>
  <c r="D125" i="3"/>
  <c r="C125" i="3" s="1"/>
  <c r="AQ115" i="6"/>
  <c r="A127" i="12" l="1"/>
  <c r="B124" i="3"/>
  <c r="AP115" i="6" s="1"/>
  <c r="AQ116" i="6"/>
  <c r="D126" i="3"/>
  <c r="C126" i="3" s="1"/>
  <c r="A128" i="12" l="1"/>
  <c r="B125" i="3"/>
  <c r="AP116" i="6" s="1"/>
  <c r="AQ117" i="6"/>
  <c r="D127" i="3"/>
  <c r="C127" i="3" s="1"/>
  <c r="A129" i="12" l="1"/>
  <c r="B126" i="3"/>
  <c r="AP117" i="6" s="1"/>
  <c r="D128" i="3"/>
  <c r="C128" i="3" s="1"/>
  <c r="AQ118" i="6"/>
  <c r="A130" i="12" l="1"/>
  <c r="B127" i="3"/>
  <c r="AP118" i="6" s="1"/>
  <c r="AQ119" i="6"/>
  <c r="D129" i="3"/>
  <c r="C129" i="3" s="1"/>
  <c r="A131" i="12" l="1"/>
  <c r="B128" i="3"/>
  <c r="AP119" i="6" s="1"/>
  <c r="D130" i="3"/>
  <c r="C130" i="3" s="1"/>
  <c r="AQ120" i="6"/>
  <c r="A132" i="12" l="1"/>
  <c r="B129" i="3"/>
  <c r="AP120" i="6" s="1"/>
  <c r="D131" i="3"/>
  <c r="C131" i="3" s="1"/>
  <c r="AQ121" i="6"/>
  <c r="A133" i="12" l="1"/>
  <c r="B130" i="3"/>
  <c r="AP121" i="6" s="1"/>
  <c r="D132" i="3"/>
  <c r="C132" i="3" s="1"/>
  <c r="AQ122" i="6"/>
  <c r="A134" i="12" l="1"/>
  <c r="B131" i="3"/>
  <c r="AP122" i="6" s="1"/>
  <c r="AQ123" i="6"/>
  <c r="D133" i="3"/>
  <c r="C133" i="3" s="1"/>
  <c r="A135" i="12" l="1"/>
  <c r="B132" i="3"/>
  <c r="AP123" i="6" s="1"/>
  <c r="AQ124" i="6"/>
  <c r="D134" i="3"/>
  <c r="C134" i="3" s="1"/>
  <c r="A136" i="12" l="1"/>
  <c r="B133" i="3"/>
  <c r="AP124" i="6" s="1"/>
  <c r="D135" i="3"/>
  <c r="C135" i="3" s="1"/>
  <c r="AQ125" i="6"/>
  <c r="A137" i="12" l="1"/>
  <c r="B134" i="3"/>
  <c r="AP125" i="6" s="1"/>
  <c r="D136" i="3"/>
  <c r="C136" i="3" s="1"/>
  <c r="AQ126" i="6"/>
  <c r="A138" i="12" l="1"/>
  <c r="B135" i="3"/>
  <c r="AP126" i="6" s="1"/>
  <c r="D137" i="3"/>
  <c r="C137" i="3" s="1"/>
  <c r="AQ127" i="6"/>
  <c r="A139" i="12" l="1"/>
  <c r="B136" i="3"/>
  <c r="AP127" i="6" s="1"/>
  <c r="AQ128" i="6"/>
  <c r="D138" i="3"/>
  <c r="C138" i="3" s="1"/>
  <c r="A140" i="12" l="1"/>
  <c r="B137" i="3"/>
  <c r="AP128" i="6" s="1"/>
  <c r="D139" i="3"/>
  <c r="C139" i="3" s="1"/>
  <c r="AQ129" i="6"/>
  <c r="A141" i="12" l="1"/>
  <c r="B138" i="3"/>
  <c r="AP129" i="6" s="1"/>
  <c r="D140" i="3"/>
  <c r="C140" i="3" s="1"/>
  <c r="AQ130" i="6"/>
  <c r="A142" i="12" l="1"/>
  <c r="B139" i="3"/>
  <c r="AP130" i="6" s="1"/>
  <c r="AQ131" i="6"/>
  <c r="D141" i="3"/>
  <c r="C141" i="3" s="1"/>
  <c r="A143" i="12" l="1"/>
  <c r="B140" i="3"/>
  <c r="AP131" i="6" s="1"/>
  <c r="AQ132" i="6"/>
  <c r="D142" i="3"/>
  <c r="C142" i="3" s="1"/>
  <c r="A144" i="12" l="1"/>
  <c r="B141" i="3"/>
  <c r="AP132" i="6" s="1"/>
  <c r="D143" i="3"/>
  <c r="C143" i="3" s="1"/>
  <c r="AQ133" i="6"/>
  <c r="A145" i="12" l="1"/>
  <c r="B142" i="3"/>
  <c r="AP133" i="6" s="1"/>
  <c r="D144" i="3"/>
  <c r="C144" i="3" s="1"/>
  <c r="AQ134" i="6"/>
  <c r="A146" i="12" l="1"/>
  <c r="B143" i="3"/>
  <c r="AP134" i="6" s="1"/>
  <c r="D145" i="3"/>
  <c r="C145" i="3" s="1"/>
  <c r="AQ135" i="6"/>
  <c r="A147" i="12" l="1"/>
  <c r="B144" i="3"/>
  <c r="AP135" i="6" s="1"/>
  <c r="AQ136" i="6"/>
  <c r="D146" i="3"/>
  <c r="C146" i="3" s="1"/>
  <c r="A148" i="12" l="1"/>
  <c r="B145" i="3"/>
  <c r="AP136" i="6" s="1"/>
  <c r="AQ137" i="6"/>
  <c r="D147" i="3"/>
  <c r="C147" i="3" s="1"/>
  <c r="A149" i="12" l="1"/>
  <c r="B146" i="3"/>
  <c r="AP137" i="6" s="1"/>
  <c r="D148" i="3"/>
  <c r="C148" i="3" s="1"/>
  <c r="AQ138" i="6"/>
  <c r="A150" i="12" l="1"/>
  <c r="B147" i="3"/>
  <c r="AP138" i="6" s="1"/>
  <c r="D149" i="3"/>
  <c r="C149" i="3" s="1"/>
  <c r="AQ139" i="6"/>
  <c r="A151" i="12" l="1"/>
  <c r="B148" i="3"/>
  <c r="AP139" i="6" s="1"/>
  <c r="D150" i="3"/>
  <c r="C150" i="3" s="1"/>
  <c r="AQ140" i="6"/>
  <c r="A152" i="12" l="1"/>
  <c r="B149" i="3"/>
  <c r="AP140" i="6" s="1"/>
  <c r="AQ141" i="6"/>
  <c r="D151" i="3"/>
  <c r="C151" i="3" s="1"/>
  <c r="A153" i="12" l="1"/>
  <c r="B150" i="3"/>
  <c r="AP141" i="6" s="1"/>
  <c r="AQ142" i="6"/>
  <c r="D152" i="3"/>
  <c r="C152" i="3" s="1"/>
  <c r="A154" i="12" l="1"/>
  <c r="B151" i="3"/>
  <c r="AP142" i="6" s="1"/>
  <c r="D153" i="3"/>
  <c r="C153" i="3" s="1"/>
  <c r="AQ143" i="6"/>
  <c r="A155" i="12" l="1"/>
  <c r="B152" i="3"/>
  <c r="AP143" i="6" s="1"/>
  <c r="D154" i="3"/>
  <c r="C154" i="3" s="1"/>
  <c r="AG2" i="12" s="1"/>
  <c r="AQ144" i="6"/>
  <c r="A156" i="12" l="1"/>
  <c r="B153" i="3"/>
  <c r="AP144" i="6" s="1"/>
  <c r="D155" i="3"/>
  <c r="C155" i="3" s="1"/>
  <c r="AQ145" i="6"/>
  <c r="A157" i="12" l="1"/>
  <c r="B154" i="3"/>
  <c r="AP145" i="6" s="1"/>
  <c r="D156" i="3"/>
  <c r="C156" i="3" s="1"/>
  <c r="AQ146" i="6"/>
  <c r="A158" i="12" l="1"/>
  <c r="B155" i="3"/>
  <c r="AP146" i="6" s="1"/>
  <c r="D157" i="3"/>
  <c r="C157" i="3" s="1"/>
  <c r="AQ147" i="6"/>
  <c r="A159" i="12" l="1"/>
  <c r="B156" i="3"/>
  <c r="AP147" i="6" s="1"/>
  <c r="AQ148" i="6"/>
  <c r="D158" i="3"/>
  <c r="C158" i="3" s="1"/>
  <c r="A160" i="12" l="1"/>
  <c r="B157" i="3"/>
  <c r="AP148" i="6" s="1"/>
  <c r="D159" i="3"/>
  <c r="C159" i="3" s="1"/>
  <c r="AQ149" i="6"/>
  <c r="A161" i="12" l="1"/>
  <c r="B158" i="3"/>
  <c r="AP149" i="6" s="1"/>
  <c r="D160" i="3"/>
  <c r="C160" i="3" s="1"/>
  <c r="AQ150" i="6"/>
  <c r="A162" i="12" l="1"/>
  <c r="B159" i="3"/>
  <c r="AP150" i="6" s="1"/>
  <c r="AQ151" i="6"/>
  <c r="D161" i="3"/>
  <c r="C161" i="3" s="1"/>
  <c r="A163" i="12" l="1"/>
  <c r="B160" i="3"/>
  <c r="AP151" i="6" s="1"/>
  <c r="D162" i="3"/>
  <c r="C162" i="3" s="1"/>
  <c r="AQ152" i="6"/>
  <c r="A164" i="12" l="1"/>
  <c r="B161" i="3"/>
  <c r="AP152" i="6" s="1"/>
  <c r="D163" i="3"/>
  <c r="AQ153" i="6"/>
  <c r="C163" i="3" l="1"/>
  <c r="D164" i="3"/>
  <c r="AQ155" i="6" s="1"/>
  <c r="A165" i="12"/>
  <c r="B162" i="3"/>
  <c r="AP153" i="6" s="1"/>
  <c r="AQ154" i="6"/>
  <c r="D165" i="3" l="1"/>
  <c r="C164" i="3"/>
  <c r="A167" i="12" s="1"/>
  <c r="B164" i="3"/>
  <c r="AP155" i="6" s="1"/>
  <c r="A166" i="12"/>
  <c r="B163" i="3"/>
  <c r="AP154" i="6" s="1"/>
  <c r="C165" i="3" l="1"/>
  <c r="A168" i="12" s="1"/>
  <c r="D166" i="3"/>
  <c r="B165" i="3"/>
  <c r="AP156" i="6" s="1"/>
  <c r="AQ156" i="6"/>
  <c r="J120" i="32"/>
  <c r="D167" i="3" l="1"/>
  <c r="B166" i="3"/>
  <c r="AP157" i="6" s="1"/>
  <c r="C166" i="3"/>
  <c r="A169" i="12" s="1"/>
  <c r="AQ157" i="6"/>
  <c r="C167" i="3" l="1"/>
  <c r="A170" i="12" s="1"/>
  <c r="B167" i="3"/>
  <c r="AP158" i="6" s="1"/>
  <c r="D168" i="3"/>
  <c r="AQ158" i="6"/>
  <c r="DK113" i="31"/>
  <c r="I120" i="32" s="1"/>
  <c r="C168" i="3" l="1"/>
  <c r="A171" i="12" s="1"/>
  <c r="B168" i="3"/>
  <c r="AP159" i="6" s="1"/>
  <c r="D169" i="3"/>
  <c r="AQ159" i="6"/>
  <c r="J119" i="32"/>
  <c r="D170" i="3" l="1"/>
  <c r="C169" i="3"/>
  <c r="A172" i="12" s="1"/>
  <c r="B169" i="3"/>
  <c r="AP160" i="6" s="1"/>
  <c r="AQ160" i="6"/>
  <c r="BK111" i="31"/>
  <c r="CI111" i="31"/>
  <c r="CC111" i="31"/>
  <c r="J33" i="17" s="1"/>
  <c r="CH111" i="31"/>
  <c r="CE111" i="31"/>
  <c r="J35" i="17" s="1"/>
  <c r="CD111" i="31"/>
  <c r="J34" i="17" s="1"/>
  <c r="CF111" i="31"/>
  <c r="J36" i="17" s="1"/>
  <c r="CG111" i="31"/>
  <c r="CJ111" i="31"/>
  <c r="CA111" i="31"/>
  <c r="J31" i="17" s="1"/>
  <c r="DJ111" i="31"/>
  <c r="BY111" i="31"/>
  <c r="J29" i="17" s="1"/>
  <c r="DE111" i="31"/>
  <c r="BO111" i="31"/>
  <c r="J19" i="17" s="1"/>
  <c r="DD111" i="31"/>
  <c r="CK111" i="31"/>
  <c r="CW111" i="31"/>
  <c r="CT111" i="31"/>
  <c r="BT111" i="31"/>
  <c r="J24" i="17" s="1"/>
  <c r="DI111" i="31"/>
  <c r="BQ111" i="31"/>
  <c r="J21" i="17" s="1"/>
  <c r="DB111" i="31"/>
  <c r="BV111" i="31"/>
  <c r="J26" i="17" s="1"/>
  <c r="CM111" i="31"/>
  <c r="CX111" i="31"/>
  <c r="CR111" i="31"/>
  <c r="BW111" i="31"/>
  <c r="J27" i="17" s="1"/>
  <c r="CP111" i="31"/>
  <c r="CZ111" i="31"/>
  <c r="BN111" i="31"/>
  <c r="J18" i="17" s="1"/>
  <c r="CQ111" i="31"/>
  <c r="CV111" i="31"/>
  <c r="CS111" i="31"/>
  <c r="BX111" i="31"/>
  <c r="J28" i="17" s="1"/>
  <c r="BS111" i="31"/>
  <c r="J23" i="17" s="1"/>
  <c r="DH111" i="31"/>
  <c r="CN111" i="31"/>
  <c r="CU111" i="31"/>
  <c r="BM111" i="31"/>
  <c r="J17" i="17" s="1"/>
  <c r="CO111" i="31"/>
  <c r="CB111" i="31"/>
  <c r="J32" i="17" s="1"/>
  <c r="BP111" i="31"/>
  <c r="J20" i="17" s="1"/>
  <c r="DA111" i="31"/>
  <c r="DF111" i="31"/>
  <c r="CL111" i="31"/>
  <c r="DC111" i="31"/>
  <c r="BZ111" i="31"/>
  <c r="J30" i="17" s="1"/>
  <c r="CY111" i="31"/>
  <c r="BU111" i="31"/>
  <c r="J25" i="17" s="1"/>
  <c r="BR111" i="31"/>
  <c r="J22" i="17" s="1"/>
  <c r="DG111" i="31"/>
  <c r="C170" i="3" l="1"/>
  <c r="A173" i="12" s="1"/>
  <c r="B170" i="3"/>
  <c r="AP161" i="6" s="1"/>
  <c r="D171" i="3"/>
  <c r="AQ161" i="6"/>
  <c r="J15" i="17"/>
  <c r="J37" i="17"/>
  <c r="Q34" i="17"/>
  <c r="Q20" i="17"/>
  <c r="Q35" i="17"/>
  <c r="Q33" i="17"/>
  <c r="Q30" i="17"/>
  <c r="BL111" i="31"/>
  <c r="J16" i="17" s="1"/>
  <c r="DK112" i="31"/>
  <c r="DK214" i="31" s="1"/>
  <c r="D172" i="3" l="1"/>
  <c r="B171" i="3"/>
  <c r="AP162" i="6" s="1"/>
  <c r="C171" i="3"/>
  <c r="A174" i="12" s="1"/>
  <c r="AQ162" i="6"/>
  <c r="J38" i="17"/>
  <c r="Q16" i="17"/>
  <c r="L17" i="17"/>
  <c r="L28" i="17"/>
  <c r="Q28" i="17"/>
  <c r="L29" i="17"/>
  <c r="Q29" i="17"/>
  <c r="L26" i="17"/>
  <c r="Q26" i="17"/>
  <c r="L18" i="17"/>
  <c r="Q18" i="17"/>
  <c r="L27" i="17"/>
  <c r="Q27" i="17"/>
  <c r="L25" i="17"/>
  <c r="Q25" i="17"/>
  <c r="L31" i="17"/>
  <c r="Q31" i="17"/>
  <c r="L22" i="17"/>
  <c r="Q22" i="17"/>
  <c r="L32" i="17"/>
  <c r="Q32" i="17"/>
  <c r="L19" i="17"/>
  <c r="Q19" i="17"/>
  <c r="L23" i="17"/>
  <c r="Q23" i="17"/>
  <c r="L21" i="17"/>
  <c r="Q21" i="17"/>
  <c r="L24" i="17"/>
  <c r="Q24" i="17"/>
  <c r="L37" i="17"/>
  <c r="Q37" i="17"/>
  <c r="L36" i="17"/>
  <c r="Q36" i="17"/>
  <c r="L20" i="17"/>
  <c r="L34" i="17"/>
  <c r="L30" i="17"/>
  <c r="L35" i="17"/>
  <c r="L33" i="17"/>
  <c r="I119" i="32"/>
  <c r="DK111" i="31"/>
  <c r="D173" i="3" l="1"/>
  <c r="C172" i="3"/>
  <c r="A175" i="12" s="1"/>
  <c r="B172" i="3"/>
  <c r="AP163" i="6" s="1"/>
  <c r="AQ163" i="6"/>
  <c r="J39" i="17"/>
  <c r="Q39" i="17" s="1"/>
  <c r="L16" i="17"/>
  <c r="Q17" i="17"/>
  <c r="L38" i="17"/>
  <c r="Q38" i="17"/>
  <c r="L15" i="17"/>
  <c r="Q15" i="17"/>
  <c r="D4" i="24"/>
  <c r="I118" i="32"/>
  <c r="D174" i="3" l="1"/>
  <c r="B173" i="3"/>
  <c r="AP164" i="6" s="1"/>
  <c r="C173" i="3"/>
  <c r="A176" i="12" s="1"/>
  <c r="AQ164" i="6"/>
  <c r="J40" i="17"/>
  <c r="Q40" i="17" s="1"/>
  <c r="L39" i="17"/>
  <c r="B174" i="3" l="1"/>
  <c r="AP165" i="6" s="1"/>
  <c r="C174" i="3"/>
  <c r="A177" i="12" s="1"/>
  <c r="D175" i="3"/>
  <c r="AQ165" i="6"/>
  <c r="J41" i="17"/>
  <c r="Q41" i="17" s="1"/>
  <c r="L40" i="17"/>
  <c r="B175" i="3" l="1"/>
  <c r="AP166" i="6" s="1"/>
  <c r="D176" i="3"/>
  <c r="C175" i="3"/>
  <c r="A178" i="12" s="1"/>
  <c r="AQ166" i="6"/>
  <c r="J42" i="17"/>
  <c r="Q42" i="17" s="1"/>
  <c r="L41" i="17"/>
  <c r="C176" i="3" l="1"/>
  <c r="A179" i="12" s="1"/>
  <c r="B176" i="3"/>
  <c r="AP167" i="6" s="1"/>
  <c r="D177" i="3"/>
  <c r="AQ167" i="6"/>
  <c r="J43" i="17"/>
  <c r="Q43" i="17" s="1"/>
  <c r="L42" i="17"/>
  <c r="D178" i="3" l="1"/>
  <c r="B177" i="3"/>
  <c r="AP168" i="6" s="1"/>
  <c r="C177" i="3"/>
  <c r="A180" i="12" s="1"/>
  <c r="AQ168" i="6"/>
  <c r="J44" i="17"/>
  <c r="Q44" i="17" s="1"/>
  <c r="L43" i="17"/>
  <c r="C178" i="3" l="1"/>
  <c r="A181" i="12" s="1"/>
  <c r="D179" i="3"/>
  <c r="B178" i="3"/>
  <c r="AP169" i="6" s="1"/>
  <c r="AQ169" i="6"/>
  <c r="J45" i="17"/>
  <c r="Q45" i="17" s="1"/>
  <c r="L44" i="17"/>
  <c r="B179" i="3" l="1"/>
  <c r="AP170" i="6" s="1"/>
  <c r="D180" i="3"/>
  <c r="C179" i="3"/>
  <c r="A182" i="12" s="1"/>
  <c r="AQ170" i="6"/>
  <c r="J46" i="17"/>
  <c r="Q46" i="17" s="1"/>
  <c r="L45" i="17"/>
  <c r="C180" i="3" l="1"/>
  <c r="A183" i="12" s="1"/>
  <c r="B180" i="3"/>
  <c r="AP171" i="6" s="1"/>
  <c r="D181" i="3"/>
  <c r="AQ171" i="6"/>
  <c r="J47" i="17"/>
  <c r="Q47" i="17" s="1"/>
  <c r="L46" i="17"/>
  <c r="C181" i="3" l="1"/>
  <c r="A184" i="12" s="1"/>
  <c r="B181" i="3"/>
  <c r="AP172" i="6" s="1"/>
  <c r="D182" i="3"/>
  <c r="AQ172" i="6"/>
  <c r="J48" i="17"/>
  <c r="Q48" i="17" s="1"/>
  <c r="L47" i="17"/>
  <c r="D183" i="3" l="1"/>
  <c r="B182" i="3"/>
  <c r="AP173" i="6" s="1"/>
  <c r="C182" i="3"/>
  <c r="A185" i="12" s="1"/>
  <c r="AQ173" i="6"/>
  <c r="J49" i="17"/>
  <c r="Q49" i="17" s="1"/>
  <c r="L48" i="17"/>
  <c r="B183" i="3" l="1"/>
  <c r="AP174" i="6" s="1"/>
  <c r="D184" i="3"/>
  <c r="C183" i="3"/>
  <c r="A186" i="12" s="1"/>
  <c r="AQ174" i="6"/>
  <c r="J50" i="17"/>
  <c r="Q50" i="17" s="1"/>
  <c r="L49" i="17"/>
  <c r="D185" i="3" l="1"/>
  <c r="C184" i="3"/>
  <c r="A187" i="12" s="1"/>
  <c r="B184" i="3"/>
  <c r="AP175" i="6" s="1"/>
  <c r="AQ175" i="6"/>
  <c r="J51" i="17"/>
  <c r="Q51" i="17" s="1"/>
  <c r="L50" i="17"/>
  <c r="D186" i="3" l="1"/>
  <c r="C185" i="3"/>
  <c r="A188" i="12" s="1"/>
  <c r="B185" i="3"/>
  <c r="AP176" i="6" s="1"/>
  <c r="AQ176" i="6"/>
  <c r="J52" i="17"/>
  <c r="Q52" i="17" s="1"/>
  <c r="L51" i="17"/>
  <c r="D187" i="3" l="1"/>
  <c r="B186" i="3"/>
  <c r="AP177" i="6" s="1"/>
  <c r="C186" i="3"/>
  <c r="A189" i="12" s="1"/>
  <c r="AQ177" i="6"/>
  <c r="J53" i="17"/>
  <c r="Q53" i="17" s="1"/>
  <c r="L52" i="17"/>
  <c r="B187" i="3" l="1"/>
  <c r="AP178" i="6" s="1"/>
  <c r="D188" i="3"/>
  <c r="C187" i="3"/>
  <c r="A190" i="12" s="1"/>
  <c r="AQ178" i="6"/>
  <c r="J54" i="17"/>
  <c r="Q54" i="17" s="1"/>
  <c r="L53" i="17"/>
  <c r="C188" i="3" l="1"/>
  <c r="A191" i="12" s="1"/>
  <c r="B188" i="3"/>
  <c r="AP179" i="6" s="1"/>
  <c r="D189" i="3"/>
  <c r="AQ179" i="6"/>
  <c r="J55" i="17"/>
  <c r="Q55" i="17" s="1"/>
  <c r="L54" i="17"/>
  <c r="B189" i="3" l="1"/>
  <c r="AP180" i="6" s="1"/>
  <c r="C189" i="3"/>
  <c r="A192" i="12" s="1"/>
  <c r="D190" i="3"/>
  <c r="AQ180" i="6"/>
  <c r="J56" i="17"/>
  <c r="Q56" i="17" s="1"/>
  <c r="L55" i="17"/>
  <c r="D191" i="3" l="1"/>
  <c r="C190" i="3"/>
  <c r="A193" i="12" s="1"/>
  <c r="B190" i="3"/>
  <c r="AP181" i="6" s="1"/>
  <c r="AQ181" i="6"/>
  <c r="J57" i="17"/>
  <c r="Q57" i="17" s="1"/>
  <c r="L56" i="17"/>
  <c r="B191" i="3" l="1"/>
  <c r="AP182" i="6" s="1"/>
  <c r="D192" i="3"/>
  <c r="C191" i="3"/>
  <c r="A194" i="12" s="1"/>
  <c r="AQ182" i="6"/>
  <c r="J58" i="17"/>
  <c r="Q58" i="17" s="1"/>
  <c r="L57" i="17"/>
  <c r="B192" i="3" l="1"/>
  <c r="AP183" i="6" s="1"/>
  <c r="D193" i="3"/>
  <c r="C192" i="3"/>
  <c r="A195" i="12" s="1"/>
  <c r="AQ183" i="6"/>
  <c r="J59" i="17"/>
  <c r="Q59" i="17" s="1"/>
  <c r="L58" i="17"/>
  <c r="C193" i="3" l="1"/>
  <c r="A196" i="12" s="1"/>
  <c r="D194" i="3"/>
  <c r="B193" i="3"/>
  <c r="AP184" i="6" s="1"/>
  <c r="AQ184" i="6"/>
  <c r="J60" i="17"/>
  <c r="Q60" i="17" s="1"/>
  <c r="L59" i="17"/>
  <c r="C194" i="3" l="1"/>
  <c r="A197" i="12" s="1"/>
  <c r="D195" i="3"/>
  <c r="B194" i="3"/>
  <c r="AP185" i="6" s="1"/>
  <c r="AQ185" i="6"/>
  <c r="J61" i="17"/>
  <c r="Q61" i="17" s="1"/>
  <c r="L60" i="17"/>
  <c r="D196" i="3" l="1"/>
  <c r="C195" i="3"/>
  <c r="A198" i="12" s="1"/>
  <c r="B195" i="3"/>
  <c r="AP186" i="6" s="1"/>
  <c r="AQ186" i="6"/>
  <c r="J62" i="17"/>
  <c r="Q62" i="17" s="1"/>
  <c r="L61" i="17"/>
  <c r="C196" i="3" l="1"/>
  <c r="A199" i="12" s="1"/>
  <c r="D197" i="3"/>
  <c r="B196" i="3"/>
  <c r="AP187" i="6" s="1"/>
  <c r="AQ187" i="6"/>
  <c r="J63" i="17"/>
  <c r="Q63" i="17" s="1"/>
  <c r="L62" i="17"/>
  <c r="B197" i="3" l="1"/>
  <c r="AP188" i="6" s="1"/>
  <c r="C197" i="3"/>
  <c r="A200" i="12" s="1"/>
  <c r="D198" i="3"/>
  <c r="AQ188" i="6"/>
  <c r="J64" i="17"/>
  <c r="Q64" i="17" s="1"/>
  <c r="L63" i="17"/>
  <c r="C198" i="3" l="1"/>
  <c r="A201" i="12" s="1"/>
  <c r="B198" i="3"/>
  <c r="AP189" i="6" s="1"/>
  <c r="D199" i="3"/>
  <c r="AQ189" i="6"/>
  <c r="J65" i="17"/>
  <c r="Q65" i="17" s="1"/>
  <c r="L64" i="17"/>
  <c r="D200" i="3" l="1"/>
  <c r="C199" i="3"/>
  <c r="A202" i="12" s="1"/>
  <c r="B199" i="3"/>
  <c r="AP190" i="6" s="1"/>
  <c r="AQ190" i="6"/>
  <c r="J66" i="17"/>
  <c r="J67" i="17" s="1"/>
  <c r="L65" i="17"/>
  <c r="L67" i="17" l="1"/>
  <c r="Q67" i="17"/>
  <c r="C200" i="3"/>
  <c r="A203" i="12" s="1"/>
  <c r="B200" i="3"/>
  <c r="AP191" i="6" s="1"/>
  <c r="D201" i="3"/>
  <c r="AQ191" i="6"/>
  <c r="Q66" i="17"/>
  <c r="J70" i="17"/>
  <c r="L66" i="17"/>
  <c r="L70" i="17" s="1"/>
  <c r="C201" i="3" l="1"/>
  <c r="A204" i="12" s="1"/>
  <c r="B201" i="3"/>
  <c r="AP192" i="6" s="1"/>
  <c r="D202" i="3"/>
  <c r="AQ192" i="6"/>
  <c r="B202" i="3" l="1"/>
  <c r="AP193" i="6" s="1"/>
  <c r="D203" i="3"/>
  <c r="C202" i="3"/>
  <c r="A205" i="12" s="1"/>
  <c r="AQ193" i="6"/>
  <c r="C203" i="3" l="1"/>
  <c r="A206" i="12" s="1"/>
  <c r="B203" i="3"/>
  <c r="AP194" i="6" s="1"/>
  <c r="D204" i="3"/>
  <c r="AQ194" i="6"/>
  <c r="D205" i="3" l="1"/>
  <c r="B204" i="3"/>
  <c r="AP195" i="6" s="1"/>
  <c r="C204" i="3"/>
  <c r="A207" i="12" s="1"/>
  <c r="AQ195" i="6"/>
  <c r="C205" i="3" l="1"/>
  <c r="A208" i="12" s="1"/>
  <c r="B205" i="3"/>
  <c r="AP196" i="6" s="1"/>
  <c r="D206" i="3"/>
  <c r="AQ196" i="6"/>
  <c r="I31" i="36"/>
  <c r="I15" i="36"/>
  <c r="I14" i="36"/>
  <c r="I13" i="36"/>
  <c r="I6" i="36"/>
  <c r="I11" i="36"/>
  <c r="I10" i="36"/>
  <c r="I9" i="36"/>
  <c r="I8" i="36"/>
  <c r="C206" i="3" l="1"/>
  <c r="A209" i="12" s="1"/>
  <c r="D207" i="3"/>
  <c r="B206" i="3"/>
  <c r="AP197" i="6" s="1"/>
  <c r="AQ197" i="6"/>
  <c r="B207" i="3" l="1"/>
  <c r="AP198" i="6" s="1"/>
  <c r="C207" i="3"/>
  <c r="A210" i="12" s="1"/>
  <c r="D208" i="3"/>
  <c r="AQ198" i="6"/>
  <c r="A16" i="20"/>
  <c r="I101" i="32" l="1"/>
  <c r="BH9" i="31"/>
  <c r="BH17" i="31"/>
  <c r="BH25" i="31"/>
  <c r="BI25" i="31" s="1"/>
  <c r="BH33" i="31"/>
  <c r="BI33" i="31" s="1"/>
  <c r="BH41" i="31"/>
  <c r="BI41" i="31" s="1"/>
  <c r="BH49" i="31"/>
  <c r="BI49" i="31" s="1"/>
  <c r="BH57" i="31"/>
  <c r="BI57" i="31" s="1"/>
  <c r="BH65" i="31"/>
  <c r="BI65" i="31" s="1"/>
  <c r="BH73" i="31"/>
  <c r="BI73" i="31" s="1"/>
  <c r="BH81" i="31"/>
  <c r="BI81" i="31" s="1"/>
  <c r="BH89" i="31"/>
  <c r="BI89" i="31" s="1"/>
  <c r="BH97" i="31"/>
  <c r="BI97" i="31" s="1"/>
  <c r="BH18" i="31"/>
  <c r="BH34" i="31"/>
  <c r="BI34" i="31" s="1"/>
  <c r="BH42" i="31"/>
  <c r="BI42" i="31" s="1"/>
  <c r="BH58" i="31"/>
  <c r="BI58" i="31" s="1"/>
  <c r="BH74" i="31"/>
  <c r="BI74" i="31" s="1"/>
  <c r="BH90" i="31"/>
  <c r="BI90" i="31" s="1"/>
  <c r="BH16" i="31"/>
  <c r="G23" i="32" s="1"/>
  <c r="BH40" i="31"/>
  <c r="BI40" i="31" s="1"/>
  <c r="BH64" i="31"/>
  <c r="BI64" i="31" s="1"/>
  <c r="BH80" i="31"/>
  <c r="BI80" i="31" s="1"/>
  <c r="BH10" i="31"/>
  <c r="BH26" i="31"/>
  <c r="BI26" i="31" s="1"/>
  <c r="BH50" i="31"/>
  <c r="BI50" i="31" s="1"/>
  <c r="BH66" i="31"/>
  <c r="BI66" i="31" s="1"/>
  <c r="BH82" i="31"/>
  <c r="BI82" i="31" s="1"/>
  <c r="BH98" i="31"/>
  <c r="BI98" i="31" s="1"/>
  <c r="BH13" i="31"/>
  <c r="G20" i="32" s="1"/>
  <c r="BH21" i="31"/>
  <c r="BI21" i="31" s="1"/>
  <c r="BH29" i="31"/>
  <c r="BI29" i="31" s="1"/>
  <c r="BH37" i="31"/>
  <c r="BI37" i="31" s="1"/>
  <c r="BH45" i="31"/>
  <c r="BI45" i="31" s="1"/>
  <c r="BH53" i="31"/>
  <c r="BI53" i="31" s="1"/>
  <c r="BH61" i="31"/>
  <c r="BI61" i="31" s="1"/>
  <c r="BH69" i="31"/>
  <c r="BI69" i="31" s="1"/>
  <c r="BH77" i="31"/>
  <c r="BI77" i="31" s="1"/>
  <c r="BH93" i="31"/>
  <c r="BI93" i="31" s="1"/>
  <c r="BH101" i="31"/>
  <c r="BI101" i="31" s="1"/>
  <c r="BH11" i="31"/>
  <c r="G18" i="32" s="1"/>
  <c r="BH19" i="31"/>
  <c r="BH27" i="31"/>
  <c r="BI27" i="31" s="1"/>
  <c r="BH35" i="31"/>
  <c r="BI35" i="31" s="1"/>
  <c r="BH43" i="31"/>
  <c r="BI43" i="31" s="1"/>
  <c r="BH51" i="31"/>
  <c r="BI51" i="31" s="1"/>
  <c r="BH59" i="31"/>
  <c r="BI59" i="31" s="1"/>
  <c r="BH67" i="31"/>
  <c r="BI67" i="31" s="1"/>
  <c r="BH75" i="31"/>
  <c r="BI75" i="31" s="1"/>
  <c r="BH83" i="31"/>
  <c r="BI83" i="31" s="1"/>
  <c r="BH91" i="31"/>
  <c r="BI91" i="31" s="1"/>
  <c r="BH99" i="31"/>
  <c r="BI99" i="31" s="1"/>
  <c r="BH85" i="31"/>
  <c r="BI85" i="31" s="1"/>
  <c r="BH104" i="31"/>
  <c r="BI104" i="31" s="1"/>
  <c r="BH12" i="31"/>
  <c r="G19" i="32" s="1"/>
  <c r="BH20" i="31"/>
  <c r="BI20" i="31" s="1"/>
  <c r="BH28" i="31"/>
  <c r="BI28" i="31" s="1"/>
  <c r="BH36" i="31"/>
  <c r="BI36" i="31" s="1"/>
  <c r="BH44" i="31"/>
  <c r="BI44" i="31" s="1"/>
  <c r="BH52" i="31"/>
  <c r="BI52" i="31" s="1"/>
  <c r="BH60" i="31"/>
  <c r="BI60" i="31" s="1"/>
  <c r="BH68" i="31"/>
  <c r="BI68" i="31" s="1"/>
  <c r="BH76" i="31"/>
  <c r="BI76" i="31" s="1"/>
  <c r="BH84" i="31"/>
  <c r="BI84" i="31" s="1"/>
  <c r="BH92" i="31"/>
  <c r="BI92" i="31" s="1"/>
  <c r="BH100" i="31"/>
  <c r="BI100" i="31" s="1"/>
  <c r="BH24" i="31"/>
  <c r="BI24" i="31" s="1"/>
  <c r="BH48" i="31"/>
  <c r="BI48" i="31" s="1"/>
  <c r="BH72" i="31"/>
  <c r="BI72" i="31" s="1"/>
  <c r="BH88" i="31"/>
  <c r="BI88" i="31" s="1"/>
  <c r="BH14" i="31"/>
  <c r="G21" i="32" s="1"/>
  <c r="BH22" i="31"/>
  <c r="BI22" i="31" s="1"/>
  <c r="BH30" i="31"/>
  <c r="BI30" i="31" s="1"/>
  <c r="BH38" i="31"/>
  <c r="BI38" i="31" s="1"/>
  <c r="BH46" i="31"/>
  <c r="BI46" i="31" s="1"/>
  <c r="BH54" i="31"/>
  <c r="BI54" i="31" s="1"/>
  <c r="BH62" i="31"/>
  <c r="BI62" i="31" s="1"/>
  <c r="BH70" i="31"/>
  <c r="BI70" i="31" s="1"/>
  <c r="BH78" i="31"/>
  <c r="BI78" i="31" s="1"/>
  <c r="BH86" i="31"/>
  <c r="BI86" i="31" s="1"/>
  <c r="BH94" i="31"/>
  <c r="BI94" i="31" s="1"/>
  <c r="BH102" i="31"/>
  <c r="BI102" i="31" s="1"/>
  <c r="BH15" i="31"/>
  <c r="G22" i="32" s="1"/>
  <c r="BH31" i="31"/>
  <c r="BI31" i="31" s="1"/>
  <c r="BH39" i="31"/>
  <c r="BI39" i="31" s="1"/>
  <c r="BH55" i="31"/>
  <c r="BI55" i="31" s="1"/>
  <c r="BH71" i="31"/>
  <c r="BI71" i="31" s="1"/>
  <c r="BH87" i="31"/>
  <c r="BI87" i="31" s="1"/>
  <c r="BH103" i="31"/>
  <c r="BI103" i="31" s="1"/>
  <c r="BH32" i="31"/>
  <c r="BI32" i="31" s="1"/>
  <c r="BH56" i="31"/>
  <c r="BI56" i="31" s="1"/>
  <c r="BH96" i="31"/>
  <c r="BI96" i="31" s="1"/>
  <c r="BH23" i="31"/>
  <c r="BI23" i="31" s="1"/>
  <c r="BH47" i="31"/>
  <c r="BI47" i="31" s="1"/>
  <c r="BH63" i="31"/>
  <c r="BI63" i="31" s="1"/>
  <c r="BH79" i="31"/>
  <c r="BI79" i="31" s="1"/>
  <c r="BH95" i="31"/>
  <c r="BI95" i="31" s="1"/>
  <c r="BH5" i="31"/>
  <c r="BH6" i="31"/>
  <c r="BH7" i="31"/>
  <c r="BH8" i="31"/>
  <c r="C208" i="3"/>
  <c r="A211" i="12" s="1"/>
  <c r="B208" i="3"/>
  <c r="AP199" i="6" s="1"/>
  <c r="D209" i="3"/>
  <c r="AQ199" i="6"/>
  <c r="I32" i="32"/>
  <c r="I37" i="32"/>
  <c r="H31" i="32"/>
  <c r="H35" i="32"/>
  <c r="H39" i="32"/>
  <c r="H43" i="32"/>
  <c r="H47" i="32"/>
  <c r="H51" i="32"/>
  <c r="H55" i="32"/>
  <c r="H59" i="32"/>
  <c r="H63" i="32"/>
  <c r="H67" i="32"/>
  <c r="H71" i="32"/>
  <c r="H75" i="32"/>
  <c r="H79" i="32"/>
  <c r="H83" i="32"/>
  <c r="H87" i="32"/>
  <c r="H91" i="32"/>
  <c r="H95" i="32"/>
  <c r="H99" i="32"/>
  <c r="H103" i="32"/>
  <c r="H107" i="32"/>
  <c r="H111" i="32"/>
  <c r="H38" i="32"/>
  <c r="H54" i="32"/>
  <c r="H66" i="32"/>
  <c r="H78" i="32"/>
  <c r="H94" i="32"/>
  <c r="H106" i="32"/>
  <c r="H28" i="32"/>
  <c r="H32" i="32"/>
  <c r="H36" i="32"/>
  <c r="H40" i="32"/>
  <c r="H44" i="32"/>
  <c r="H48" i="32"/>
  <c r="H52" i="32"/>
  <c r="H56" i="32"/>
  <c r="H60" i="32"/>
  <c r="H64" i="32"/>
  <c r="H68" i="32"/>
  <c r="H72" i="32"/>
  <c r="H76" i="32"/>
  <c r="H80" i="32"/>
  <c r="H84" i="32"/>
  <c r="H88" i="32"/>
  <c r="H92" i="32"/>
  <c r="H96" i="32"/>
  <c r="H100" i="32"/>
  <c r="H104" i="32"/>
  <c r="H108" i="32"/>
  <c r="H30" i="32"/>
  <c r="H42" i="32"/>
  <c r="H50" i="32"/>
  <c r="H58" i="32"/>
  <c r="H70" i="32"/>
  <c r="H82" i="32"/>
  <c r="H90" i="32"/>
  <c r="H102" i="32"/>
  <c r="H110" i="32"/>
  <c r="H29" i="32"/>
  <c r="H33" i="32"/>
  <c r="H37" i="32"/>
  <c r="H41" i="32"/>
  <c r="H45" i="32"/>
  <c r="H49" i="32"/>
  <c r="H53" i="32"/>
  <c r="H57" i="32"/>
  <c r="H61" i="32"/>
  <c r="H65" i="32"/>
  <c r="H69" i="32"/>
  <c r="H73" i="32"/>
  <c r="H77" i="32"/>
  <c r="H81" i="32"/>
  <c r="H85" i="32"/>
  <c r="H89" i="32"/>
  <c r="H93" i="32"/>
  <c r="H97" i="32"/>
  <c r="H101" i="32"/>
  <c r="H105" i="32"/>
  <c r="H109" i="32"/>
  <c r="H34" i="32"/>
  <c r="H46" i="32"/>
  <c r="H62" i="32"/>
  <c r="H74" i="32"/>
  <c r="H86" i="32"/>
  <c r="H98" i="32"/>
  <c r="F62" i="32"/>
  <c r="F107" i="32"/>
  <c r="F69" i="32"/>
  <c r="F100" i="32"/>
  <c r="F70" i="32"/>
  <c r="F98" i="32"/>
  <c r="F93" i="32"/>
  <c r="F49" i="32"/>
  <c r="F29" i="32"/>
  <c r="F40" i="32"/>
  <c r="F31" i="32"/>
  <c r="F45" i="32"/>
  <c r="F76" i="32"/>
  <c r="F71" i="32"/>
  <c r="F50" i="32"/>
  <c r="F72" i="32"/>
  <c r="F101" i="32"/>
  <c r="F73" i="32"/>
  <c r="F68" i="32"/>
  <c r="F79" i="32"/>
  <c r="F48" i="32"/>
  <c r="F88" i="32"/>
  <c r="F77" i="32"/>
  <c r="F32" i="32"/>
  <c r="F106" i="32"/>
  <c r="F66" i="32"/>
  <c r="F104" i="32"/>
  <c r="F22" i="32"/>
  <c r="F89" i="32"/>
  <c r="F63" i="32"/>
  <c r="F37" i="32"/>
  <c r="F111" i="32"/>
  <c r="F42" i="32"/>
  <c r="F109" i="32"/>
  <c r="F28" i="32"/>
  <c r="F33" i="32"/>
  <c r="F82" i="32"/>
  <c r="F44" i="32"/>
  <c r="F38" i="32"/>
  <c r="F105" i="32"/>
  <c r="F61" i="32"/>
  <c r="G58" i="32"/>
  <c r="G34" i="32"/>
  <c r="G99" i="32"/>
  <c r="G87" i="32"/>
  <c r="G108" i="32"/>
  <c r="G54" i="32"/>
  <c r="G80" i="32"/>
  <c r="G96" i="32"/>
  <c r="G60" i="32"/>
  <c r="G57" i="32"/>
  <c r="G56" i="32"/>
  <c r="G78" i="32"/>
  <c r="G55" i="32"/>
  <c r="G65" i="32"/>
  <c r="G51" i="32"/>
  <c r="G103" i="32"/>
  <c r="G102" i="32"/>
  <c r="G74" i="32"/>
  <c r="G30" i="32"/>
  <c r="G86" i="32"/>
  <c r="G26" i="32"/>
  <c r="G92" i="32"/>
  <c r="G94" i="32"/>
  <c r="G39" i="32"/>
  <c r="G81" i="32"/>
  <c r="G83" i="32"/>
  <c r="G41" i="32"/>
  <c r="G90" i="32"/>
  <c r="G46" i="32"/>
  <c r="G59" i="32"/>
  <c r="G35" i="32"/>
  <c r="G64" i="32"/>
  <c r="G75" i="32"/>
  <c r="G52" i="32"/>
  <c r="G97" i="32"/>
  <c r="G36" i="32"/>
  <c r="G53" i="32"/>
  <c r="G25" i="32"/>
  <c r="G67" i="32"/>
  <c r="G110" i="32"/>
  <c r="G91" i="32"/>
  <c r="G24" i="32"/>
  <c r="G43" i="32"/>
  <c r="G62" i="32"/>
  <c r="G107" i="32"/>
  <c r="G69" i="32"/>
  <c r="G100" i="32"/>
  <c r="G70" i="32"/>
  <c r="G98" i="32"/>
  <c r="G93" i="32"/>
  <c r="G49" i="32"/>
  <c r="G29" i="32"/>
  <c r="G40" i="32"/>
  <c r="G31" i="32"/>
  <c r="G45" i="32"/>
  <c r="G76" i="32"/>
  <c r="G71" i="32"/>
  <c r="G50" i="32"/>
  <c r="G72" i="32"/>
  <c r="G101" i="32"/>
  <c r="G73" i="32"/>
  <c r="G68" i="32"/>
  <c r="G79" i="32"/>
  <c r="G48" i="32"/>
  <c r="G88" i="32"/>
  <c r="G77" i="32"/>
  <c r="G32" i="32"/>
  <c r="G106" i="32"/>
  <c r="G66" i="32"/>
  <c r="G104" i="32"/>
  <c r="G89" i="32"/>
  <c r="G63" i="32"/>
  <c r="G37" i="32"/>
  <c r="G111" i="32"/>
  <c r="G42" i="32"/>
  <c r="G109" i="32"/>
  <c r="G28" i="32"/>
  <c r="G33" i="32"/>
  <c r="G82" i="32"/>
  <c r="G44" i="32"/>
  <c r="G38" i="32"/>
  <c r="G105" i="32"/>
  <c r="G61" i="32"/>
  <c r="G85" i="32"/>
  <c r="G84" i="32"/>
  <c r="H22" i="20"/>
  <c r="H17" i="32" s="1"/>
  <c r="H26" i="20"/>
  <c r="H21" i="32" s="1"/>
  <c r="F87" i="32"/>
  <c r="F96" i="32"/>
  <c r="F78" i="32"/>
  <c r="F103" i="32"/>
  <c r="F86" i="32"/>
  <c r="F39" i="32"/>
  <c r="F41" i="32"/>
  <c r="F35" i="32"/>
  <c r="F97" i="32"/>
  <c r="F67" i="32"/>
  <c r="F27" i="32"/>
  <c r="F84" i="32"/>
  <c r="H24" i="20"/>
  <c r="H19" i="32" s="1"/>
  <c r="H29" i="20"/>
  <c r="DL17" i="31" s="1"/>
  <c r="H33" i="20"/>
  <c r="DL21" i="31" s="1"/>
  <c r="H37" i="20"/>
  <c r="DL25" i="31" s="1"/>
  <c r="H41" i="20"/>
  <c r="H47" i="20"/>
  <c r="DL35" i="31" s="1"/>
  <c r="H50" i="20"/>
  <c r="H53" i="20"/>
  <c r="H56" i="20"/>
  <c r="H59" i="20"/>
  <c r="H62" i="20"/>
  <c r="H68" i="20"/>
  <c r="H73" i="20"/>
  <c r="DL61" i="31" s="1"/>
  <c r="H79" i="20"/>
  <c r="DL67" i="31" s="1"/>
  <c r="H82" i="20"/>
  <c r="H85" i="20"/>
  <c r="H88" i="20"/>
  <c r="H91" i="20"/>
  <c r="H94" i="20"/>
  <c r="H100" i="20"/>
  <c r="H105" i="20"/>
  <c r="DL93" i="31" s="1"/>
  <c r="H111" i="20"/>
  <c r="DL99" i="31" s="1"/>
  <c r="H114" i="20"/>
  <c r="F12" i="32"/>
  <c r="F16" i="32"/>
  <c r="F14" i="32"/>
  <c r="I68" i="32"/>
  <c r="I46" i="32"/>
  <c r="I97" i="32"/>
  <c r="F95" i="32"/>
  <c r="I106" i="32"/>
  <c r="F58" i="32"/>
  <c r="F108" i="32"/>
  <c r="F60" i="32"/>
  <c r="F55" i="32"/>
  <c r="F102" i="32"/>
  <c r="F26" i="32"/>
  <c r="F81" i="32"/>
  <c r="F90" i="32"/>
  <c r="F64" i="32"/>
  <c r="F36" i="32"/>
  <c r="F110" i="32"/>
  <c r="F24" i="32"/>
  <c r="G47" i="32"/>
  <c r="H25" i="20"/>
  <c r="H20" i="32" s="1"/>
  <c r="H30" i="20"/>
  <c r="H25" i="32" s="1"/>
  <c r="H34" i="20"/>
  <c r="H38" i="20"/>
  <c r="H42" i="20"/>
  <c r="H45" i="20"/>
  <c r="DL33" i="31" s="1"/>
  <c r="H48" i="20"/>
  <c r="H51" i="20"/>
  <c r="DL39" i="31" s="1"/>
  <c r="H54" i="20"/>
  <c r="H60" i="20"/>
  <c r="H65" i="20"/>
  <c r="H71" i="20"/>
  <c r="DL59" i="31" s="1"/>
  <c r="H74" i="20"/>
  <c r="DL62" i="31" s="1"/>
  <c r="H77" i="20"/>
  <c r="I77" i="20" s="1"/>
  <c r="H80" i="20"/>
  <c r="H83" i="20"/>
  <c r="H86" i="20"/>
  <c r="H92" i="20"/>
  <c r="H97" i="20"/>
  <c r="H103" i="20"/>
  <c r="H106" i="20"/>
  <c r="DL94" i="31" s="1"/>
  <c r="H109" i="20"/>
  <c r="DL97" i="31" s="1"/>
  <c r="H112" i="20"/>
  <c r="H115" i="20"/>
  <c r="F15" i="32"/>
  <c r="I91" i="32"/>
  <c r="I88" i="32"/>
  <c r="I65" i="32"/>
  <c r="I92" i="32"/>
  <c r="I74" i="32"/>
  <c r="I109" i="32"/>
  <c r="I52" i="32"/>
  <c r="I102" i="32"/>
  <c r="I38" i="32"/>
  <c r="I103" i="32"/>
  <c r="I89" i="32"/>
  <c r="I94" i="32"/>
  <c r="I87" i="32"/>
  <c r="I28" i="32"/>
  <c r="F99" i="32"/>
  <c r="F80" i="32"/>
  <c r="F56" i="32"/>
  <c r="F51" i="32"/>
  <c r="F30" i="32"/>
  <c r="F94" i="32"/>
  <c r="F21" i="32"/>
  <c r="F59" i="32"/>
  <c r="F52" i="32"/>
  <c r="F25" i="32"/>
  <c r="F91" i="32"/>
  <c r="F43" i="32"/>
  <c r="H23" i="20"/>
  <c r="H18" i="32" s="1"/>
  <c r="H28" i="20"/>
  <c r="H23" i="32" s="1"/>
  <c r="H32" i="20"/>
  <c r="H27" i="32" s="1"/>
  <c r="H36" i="20"/>
  <c r="DL24" i="31" s="1"/>
  <c r="H40" i="20"/>
  <c r="DL28" i="31" s="1"/>
  <c r="H44" i="20"/>
  <c r="H49" i="20"/>
  <c r="I49" i="20" s="1"/>
  <c r="H55" i="20"/>
  <c r="H58" i="20"/>
  <c r="DL46" i="31" s="1"/>
  <c r="H61" i="20"/>
  <c r="H64" i="20"/>
  <c r="H67" i="20"/>
  <c r="H70" i="20"/>
  <c r="H76" i="20"/>
  <c r="H81" i="20"/>
  <c r="DL69" i="31" s="1"/>
  <c r="H87" i="20"/>
  <c r="H90" i="20"/>
  <c r="DL78" i="31" s="1"/>
  <c r="H93" i="20"/>
  <c r="H96" i="20"/>
  <c r="H99" i="20"/>
  <c r="H102" i="20"/>
  <c r="H108" i="20"/>
  <c r="H113" i="20"/>
  <c r="I113" i="20" s="1"/>
  <c r="F13" i="32"/>
  <c r="F17" i="32"/>
  <c r="I78" i="32"/>
  <c r="I55" i="32"/>
  <c r="G95" i="32"/>
  <c r="I83" i="32"/>
  <c r="I80" i="32"/>
  <c r="I45" i="32"/>
  <c r="I75" i="32"/>
  <c r="I70" i="32"/>
  <c r="I72" i="32"/>
  <c r="I39" i="32"/>
  <c r="I57" i="32"/>
  <c r="I36" i="32"/>
  <c r="I30" i="32"/>
  <c r="I81" i="32"/>
  <c r="I90" i="32"/>
  <c r="I79" i="32"/>
  <c r="I64" i="32"/>
  <c r="I108" i="32"/>
  <c r="I62" i="32"/>
  <c r="I104" i="32"/>
  <c r="I42" i="32"/>
  <c r="H89" i="20"/>
  <c r="H27" i="20"/>
  <c r="H22" i="32" s="1"/>
  <c r="F54" i="32"/>
  <c r="I69" i="32"/>
  <c r="I63" i="32"/>
  <c r="I96" i="32"/>
  <c r="I99" i="32"/>
  <c r="I29" i="32"/>
  <c r="I48" i="32"/>
  <c r="I59" i="32"/>
  <c r="I105" i="32"/>
  <c r="I84" i="32"/>
  <c r="I85" i="32"/>
  <c r="I95" i="32"/>
  <c r="I34" i="32"/>
  <c r="I98" i="32"/>
  <c r="I44" i="32"/>
  <c r="I61" i="32"/>
  <c r="I100" i="32"/>
  <c r="I71" i="32"/>
  <c r="I86" i="32"/>
  <c r="I77" i="32"/>
  <c r="I33" i="32"/>
  <c r="H107" i="20"/>
  <c r="DL95" i="31" s="1"/>
  <c r="H95" i="20"/>
  <c r="DL83" i="31" s="1"/>
  <c r="H84" i="20"/>
  <c r="H72" i="20"/>
  <c r="H35" i="20"/>
  <c r="F23" i="32"/>
  <c r="F46" i="32"/>
  <c r="F65" i="32"/>
  <c r="I35" i="32"/>
  <c r="I93" i="32"/>
  <c r="I56" i="32"/>
  <c r="I40" i="32"/>
  <c r="I43" i="32"/>
  <c r="H116" i="20"/>
  <c r="H69" i="20"/>
  <c r="H46" i="20"/>
  <c r="F85" i="32"/>
  <c r="I31" i="32"/>
  <c r="I67" i="32"/>
  <c r="I51" i="32"/>
  <c r="I107" i="32"/>
  <c r="F18" i="32"/>
  <c r="H78" i="20"/>
  <c r="H43" i="20"/>
  <c r="I43" i="20" s="1"/>
  <c r="F53" i="32"/>
  <c r="I50" i="32"/>
  <c r="I76" i="32"/>
  <c r="I58" i="32"/>
  <c r="I41" i="32"/>
  <c r="I111" i="32"/>
  <c r="F20" i="32"/>
  <c r="H104" i="20"/>
  <c r="H57" i="20"/>
  <c r="H31" i="20"/>
  <c r="H26" i="32" s="1"/>
  <c r="F83" i="32"/>
  <c r="F57" i="32"/>
  <c r="I53" i="32"/>
  <c r="I66" i="32"/>
  <c r="I47" i="32"/>
  <c r="I73" i="32"/>
  <c r="I110" i="32"/>
  <c r="H101" i="20"/>
  <c r="H66" i="20"/>
  <c r="F92" i="32"/>
  <c r="I82" i="32"/>
  <c r="I49" i="32"/>
  <c r="I54" i="32"/>
  <c r="I60" i="32"/>
  <c r="F19" i="32"/>
  <c r="H110" i="20"/>
  <c r="H98" i="20"/>
  <c r="H75" i="20"/>
  <c r="DL63" i="31" s="1"/>
  <c r="H63" i="20"/>
  <c r="DL51" i="31" s="1"/>
  <c r="H52" i="20"/>
  <c r="H39" i="20"/>
  <c r="F47" i="32"/>
  <c r="F75" i="32"/>
  <c r="F74" i="32"/>
  <c r="F34" i="32"/>
  <c r="H17" i="20"/>
  <c r="H18" i="20"/>
  <c r="H19" i="20"/>
  <c r="H20" i="20"/>
  <c r="H21" i="20"/>
  <c r="H16" i="32" s="1"/>
  <c r="J109" i="32" l="1"/>
  <c r="I51" i="20"/>
  <c r="J101" i="32"/>
  <c r="I37" i="20"/>
  <c r="BI14" i="31"/>
  <c r="BK14" i="31" s="1"/>
  <c r="BI18" i="31"/>
  <c r="CC18" i="31" s="1"/>
  <c r="G27" i="32"/>
  <c r="H24" i="32"/>
  <c r="BI17" i="31"/>
  <c r="CM17" i="31" s="1"/>
  <c r="I33" i="20"/>
  <c r="BI19" i="31"/>
  <c r="BY19" i="31" s="1"/>
  <c r="BI10" i="31"/>
  <c r="DB10" i="31" s="1"/>
  <c r="BI13" i="31"/>
  <c r="CK13" i="31" s="1"/>
  <c r="J99" i="32"/>
  <c r="I81" i="20"/>
  <c r="BI16" i="31"/>
  <c r="CK16" i="31" s="1"/>
  <c r="BI15" i="31"/>
  <c r="CS15" i="31" s="1"/>
  <c r="BR79" i="31"/>
  <c r="DB79" i="31"/>
  <c r="CS79" i="31"/>
  <c r="CJ79" i="31"/>
  <c r="CG79" i="31"/>
  <c r="CM79" i="31"/>
  <c r="DD79" i="31"/>
  <c r="CT79" i="31"/>
  <c r="CK79" i="31"/>
  <c r="CB79" i="31"/>
  <c r="BK79" i="31"/>
  <c r="CA79" i="31"/>
  <c r="F198" i="24"/>
  <c r="CV79" i="31"/>
  <c r="CL79" i="31"/>
  <c r="CC79" i="31"/>
  <c r="BT79" i="31"/>
  <c r="CY79" i="31"/>
  <c r="CW79" i="31"/>
  <c r="DF79" i="31"/>
  <c r="CN79" i="31"/>
  <c r="CD79" i="31"/>
  <c r="BU79" i="31"/>
  <c r="BL79" i="31"/>
  <c r="CE79" i="31"/>
  <c r="BY79" i="31"/>
  <c r="CX79" i="31"/>
  <c r="CF79" i="31"/>
  <c r="BV79" i="31"/>
  <c r="BM79" i="31"/>
  <c r="DE79" i="31"/>
  <c r="DG79" i="31"/>
  <c r="BQ79" i="31"/>
  <c r="CP79" i="31"/>
  <c r="BX79" i="31"/>
  <c r="BN79" i="31"/>
  <c r="DH79" i="31"/>
  <c r="CI79" i="31"/>
  <c r="BW79" i="31"/>
  <c r="CQ79" i="31"/>
  <c r="BZ79" i="31"/>
  <c r="DJ79" i="31"/>
  <c r="DA79" i="31"/>
  <c r="CR79" i="31"/>
  <c r="DC79" i="31"/>
  <c r="CO79" i="31"/>
  <c r="CU79" i="31"/>
  <c r="BS79" i="31"/>
  <c r="CH79" i="31"/>
  <c r="BP79" i="31"/>
  <c r="DI79" i="31"/>
  <c r="BO79" i="31"/>
  <c r="CZ79" i="31"/>
  <c r="CO87" i="31"/>
  <c r="BX87" i="31"/>
  <c r="DH87" i="31"/>
  <c r="DF87" i="31"/>
  <c r="CJ87" i="31"/>
  <c r="BZ87" i="31"/>
  <c r="CP87" i="31"/>
  <c r="CG87" i="31"/>
  <c r="BP87" i="31"/>
  <c r="CT87" i="31"/>
  <c r="CR87" i="31"/>
  <c r="BM87" i="31"/>
  <c r="DJ87" i="31"/>
  <c r="BN87" i="31"/>
  <c r="BY87" i="31"/>
  <c r="DC87" i="31"/>
  <c r="CI87" i="31"/>
  <c r="CD87" i="31"/>
  <c r="CY87" i="31"/>
  <c r="BL87" i="31"/>
  <c r="BQ87" i="31"/>
  <c r="CU87" i="31"/>
  <c r="BU87" i="31"/>
  <c r="BS87" i="31"/>
  <c r="CB87" i="31"/>
  <c r="DB87" i="31"/>
  <c r="DD87" i="31"/>
  <c r="CM87" i="31"/>
  <c r="DG87" i="31"/>
  <c r="DI87" i="31"/>
  <c r="BK87" i="31"/>
  <c r="CZ87" i="31"/>
  <c r="F206" i="24"/>
  <c r="CV87" i="31"/>
  <c r="CE87" i="31"/>
  <c r="CS87" i="31"/>
  <c r="CL87" i="31"/>
  <c r="CX87" i="31"/>
  <c r="CK87" i="31"/>
  <c r="CW87" i="31"/>
  <c r="CF87" i="31"/>
  <c r="BO87" i="31"/>
  <c r="BT87" i="31"/>
  <c r="DA87" i="31"/>
  <c r="CQ87" i="31"/>
  <c r="BV87" i="31"/>
  <c r="BR87" i="31"/>
  <c r="CA87" i="31"/>
  <c r="CC87" i="31"/>
  <c r="DE87" i="31"/>
  <c r="CN87" i="31"/>
  <c r="CH87" i="31"/>
  <c r="BW87" i="31"/>
  <c r="DJ86" i="31"/>
  <c r="DA86" i="31"/>
  <c r="CR86" i="31"/>
  <c r="BQ86" i="31"/>
  <c r="DG86" i="31"/>
  <c r="CA86" i="31"/>
  <c r="BP86" i="31"/>
  <c r="DB86" i="31"/>
  <c r="CS86" i="31"/>
  <c r="CJ86" i="31"/>
  <c r="CY86" i="31"/>
  <c r="CV86" i="31"/>
  <c r="DE86" i="31"/>
  <c r="BK86" i="31"/>
  <c r="CT86" i="31"/>
  <c r="CK86" i="31"/>
  <c r="CB86" i="31"/>
  <c r="CN86" i="31"/>
  <c r="CH86" i="31"/>
  <c r="BY86" i="31"/>
  <c r="CQ86" i="31"/>
  <c r="CL86" i="31"/>
  <c r="CC86" i="31"/>
  <c r="BT86" i="31"/>
  <c r="BZ86" i="31"/>
  <c r="BW86" i="31"/>
  <c r="DC86" i="31"/>
  <c r="CM86" i="31"/>
  <c r="CD86" i="31"/>
  <c r="BU86" i="31"/>
  <c r="BL86" i="31"/>
  <c r="BO86" i="31"/>
  <c r="DF86" i="31"/>
  <c r="BR86" i="31"/>
  <c r="F205" i="24"/>
  <c r="DI86" i="31"/>
  <c r="CZ86" i="31"/>
  <c r="CE86" i="31"/>
  <c r="BX86" i="31"/>
  <c r="BS86" i="31"/>
  <c r="CF86" i="31"/>
  <c r="BM86" i="31"/>
  <c r="CX86" i="31"/>
  <c r="DH86" i="31"/>
  <c r="CO86" i="31"/>
  <c r="DD86" i="31"/>
  <c r="CP86" i="31"/>
  <c r="CW86" i="31"/>
  <c r="CI86" i="31"/>
  <c r="BV86" i="31"/>
  <c r="CU86" i="31"/>
  <c r="CG86" i="31"/>
  <c r="BN86" i="31"/>
  <c r="BK22" i="31"/>
  <c r="BQ22" i="31"/>
  <c r="CU22" i="31"/>
  <c r="BU22" i="31"/>
  <c r="BS22" i="31"/>
  <c r="BN22" i="31"/>
  <c r="BZ22" i="31"/>
  <c r="DD22" i="31"/>
  <c r="CM22" i="31"/>
  <c r="DG22" i="31"/>
  <c r="DB22" i="31"/>
  <c r="CZ22" i="31"/>
  <c r="BL22" i="31"/>
  <c r="DE22" i="31"/>
  <c r="CN22" i="31"/>
  <c r="BW22" i="31"/>
  <c r="CH22" i="31"/>
  <c r="CC22" i="31"/>
  <c r="CA22" i="31"/>
  <c r="CW22" i="31"/>
  <c r="CF22" i="31"/>
  <c r="BO22" i="31"/>
  <c r="BT22" i="31"/>
  <c r="BR22" i="31"/>
  <c r="BM22" i="31"/>
  <c r="CO22" i="31"/>
  <c r="BX22" i="31"/>
  <c r="DH22" i="31"/>
  <c r="DF22" i="31"/>
  <c r="DA22" i="31"/>
  <c r="DJ22" i="31"/>
  <c r="CG22" i="31"/>
  <c r="CS22" i="31"/>
  <c r="CK22" i="31"/>
  <c r="BV22" i="31"/>
  <c r="BY22" i="31"/>
  <c r="CR22" i="31"/>
  <c r="CV22" i="31"/>
  <c r="CD22" i="31"/>
  <c r="BP22" i="31"/>
  <c r="CQ22" i="31"/>
  <c r="DC22" i="31"/>
  <c r="CP22" i="31"/>
  <c r="CE22" i="31"/>
  <c r="CB22" i="31"/>
  <c r="F141" i="24"/>
  <c r="CI22" i="31"/>
  <c r="CY22" i="31"/>
  <c r="CT22" i="31"/>
  <c r="CL22" i="31"/>
  <c r="DI22" i="31"/>
  <c r="CX22" i="31"/>
  <c r="CJ22" i="31"/>
  <c r="CL84" i="31"/>
  <c r="CC84" i="31"/>
  <c r="BT84" i="31"/>
  <c r="CD84" i="31"/>
  <c r="BV84" i="31"/>
  <c r="BM84" i="31"/>
  <c r="DE84" i="31"/>
  <c r="BN84" i="31"/>
  <c r="DH84" i="31"/>
  <c r="F203" i="24"/>
  <c r="DI84" i="31"/>
  <c r="CZ84" i="31"/>
  <c r="CF84" i="31"/>
  <c r="CT84" i="31"/>
  <c r="CK84" i="31"/>
  <c r="CB84" i="31"/>
  <c r="DJ84" i="31"/>
  <c r="CQ84" i="31"/>
  <c r="BY84" i="31"/>
  <c r="BW84" i="31"/>
  <c r="BQ84" i="31"/>
  <c r="DB84" i="31"/>
  <c r="BR84" i="31"/>
  <c r="BK84" i="31"/>
  <c r="CE84" i="31"/>
  <c r="BO84" i="31"/>
  <c r="DA84" i="31"/>
  <c r="DC84" i="31"/>
  <c r="CW84" i="31"/>
  <c r="DF84" i="31"/>
  <c r="CY84" i="31"/>
  <c r="CS84" i="31"/>
  <c r="CO84" i="31"/>
  <c r="CI84" i="31"/>
  <c r="BZ84" i="31"/>
  <c r="CP84" i="31"/>
  <c r="BU84" i="31"/>
  <c r="CA84" i="31"/>
  <c r="BX84" i="31"/>
  <c r="DD84" i="31"/>
  <c r="CG84" i="31"/>
  <c r="CR84" i="31"/>
  <c r="BP84" i="31"/>
  <c r="DG84" i="31"/>
  <c r="BS84" i="31"/>
  <c r="CJ84" i="31"/>
  <c r="CX84" i="31"/>
  <c r="CV84" i="31"/>
  <c r="CU84" i="31"/>
  <c r="BL84" i="31"/>
  <c r="CM84" i="31"/>
  <c r="CH84" i="31"/>
  <c r="CN84" i="31"/>
  <c r="BL20" i="31"/>
  <c r="BY20" i="31"/>
  <c r="DC20" i="31"/>
  <c r="CJ20" i="31"/>
  <c r="CS20" i="31"/>
  <c r="CQ20" i="31"/>
  <c r="CL20" i="31"/>
  <c r="BZ20" i="31"/>
  <c r="DD20" i="31"/>
  <c r="CM20" i="31"/>
  <c r="BK20" i="31"/>
  <c r="BT20" i="31"/>
  <c r="BR20" i="31"/>
  <c r="BM20" i="31"/>
  <c r="F139" i="24"/>
  <c r="CV20" i="31"/>
  <c r="CE20" i="31"/>
  <c r="DH20" i="31"/>
  <c r="DF20" i="31"/>
  <c r="DA20" i="31"/>
  <c r="DE20" i="31"/>
  <c r="CN20" i="31"/>
  <c r="BW20" i="31"/>
  <c r="CT20" i="31"/>
  <c r="CR20" i="31"/>
  <c r="CP20" i="31"/>
  <c r="CU20" i="31"/>
  <c r="CH20" i="31"/>
  <c r="CA20" i="31"/>
  <c r="CW20" i="31"/>
  <c r="BO20" i="31"/>
  <c r="CD20" i="31"/>
  <c r="CO20" i="31"/>
  <c r="DI20" i="31"/>
  <c r="BS20" i="31"/>
  <c r="CG20" i="31"/>
  <c r="CX20" i="31"/>
  <c r="DB20" i="31"/>
  <c r="BQ20" i="31"/>
  <c r="BV20" i="31"/>
  <c r="CC20" i="31"/>
  <c r="BP20" i="31"/>
  <c r="DG20" i="31"/>
  <c r="CZ20" i="31"/>
  <c r="CF20" i="31"/>
  <c r="CY20" i="31"/>
  <c r="BX20" i="31"/>
  <c r="CI20" i="31"/>
  <c r="DJ20" i="31"/>
  <c r="BU20" i="31"/>
  <c r="CB20" i="31"/>
  <c r="BN20" i="31"/>
  <c r="CK20" i="31"/>
  <c r="CQ67" i="31"/>
  <c r="DE67" i="31"/>
  <c r="CN67" i="31"/>
  <c r="BW67" i="31"/>
  <c r="CH67" i="31"/>
  <c r="BV67" i="31"/>
  <c r="BZ67" i="31"/>
  <c r="BK67" i="31"/>
  <c r="CW67" i="31"/>
  <c r="CF67" i="31"/>
  <c r="BO67" i="31"/>
  <c r="BT67" i="31"/>
  <c r="DI67" i="31"/>
  <c r="CX67" i="31"/>
  <c r="DA67" i="31"/>
  <c r="CO67" i="31"/>
  <c r="BX67" i="31"/>
  <c r="DH67" i="31"/>
  <c r="DF67" i="31"/>
  <c r="CL67" i="31"/>
  <c r="BL67" i="31"/>
  <c r="CY67" i="31"/>
  <c r="CG67" i="31"/>
  <c r="BP67" i="31"/>
  <c r="CT67" i="31"/>
  <c r="CR67" i="31"/>
  <c r="BR67" i="31"/>
  <c r="CJ67" i="31"/>
  <c r="BY67" i="31"/>
  <c r="DC67" i="31"/>
  <c r="CI67" i="31"/>
  <c r="CD67" i="31"/>
  <c r="DB67" i="31"/>
  <c r="CC67" i="31"/>
  <c r="BQ67" i="31"/>
  <c r="CU67" i="31"/>
  <c r="BU67" i="31"/>
  <c r="BS67" i="31"/>
  <c r="CK67" i="31"/>
  <c r="CB67" i="31"/>
  <c r="DD67" i="31"/>
  <c r="CM67" i="31"/>
  <c r="DG67" i="31"/>
  <c r="DJ67" i="31"/>
  <c r="BN67" i="31"/>
  <c r="CA67" i="31"/>
  <c r="CE67" i="31"/>
  <c r="CS67" i="31"/>
  <c r="CP67" i="31"/>
  <c r="CZ67" i="31"/>
  <c r="BM67" i="31"/>
  <c r="F186" i="24"/>
  <c r="CV67" i="31"/>
  <c r="BW101" i="31"/>
  <c r="BN101" i="31"/>
  <c r="DF101" i="31"/>
  <c r="DD101" i="31"/>
  <c r="DI101" i="31"/>
  <c r="CJ101" i="31"/>
  <c r="BO101" i="31"/>
  <c r="DG101" i="31"/>
  <c r="CS101" i="31"/>
  <c r="CP101" i="31"/>
  <c r="CN101" i="31"/>
  <c r="CH101" i="31"/>
  <c r="DJ101" i="31"/>
  <c r="CY101" i="31"/>
  <c r="CG101" i="31"/>
  <c r="CC101" i="31"/>
  <c r="BU101" i="31"/>
  <c r="DH101" i="31"/>
  <c r="F220" i="24"/>
  <c r="DB101" i="31"/>
  <c r="CQ101" i="31"/>
  <c r="BT101" i="31"/>
  <c r="BQ101" i="31"/>
  <c r="DA101" i="31"/>
  <c r="CW101" i="31"/>
  <c r="DC101" i="31"/>
  <c r="CT101" i="31"/>
  <c r="CI101" i="31"/>
  <c r="DE101" i="31"/>
  <c r="CV101" i="31"/>
  <c r="BZ101" i="31"/>
  <c r="BP101" i="31"/>
  <c r="CM101" i="31"/>
  <c r="CD101" i="31"/>
  <c r="BS101" i="31"/>
  <c r="CF101" i="31"/>
  <c r="CO101" i="31"/>
  <c r="BM101" i="31"/>
  <c r="CB101" i="31"/>
  <c r="CU101" i="31"/>
  <c r="BY101" i="31"/>
  <c r="CE101" i="31"/>
  <c r="BX101" i="31"/>
  <c r="CL101" i="31"/>
  <c r="CX101" i="31"/>
  <c r="BV101" i="31"/>
  <c r="CK101" i="31"/>
  <c r="CA101" i="31"/>
  <c r="BL101" i="31"/>
  <c r="BK101" i="31"/>
  <c r="CZ101" i="31"/>
  <c r="BR101" i="31"/>
  <c r="CR101" i="31"/>
  <c r="DB29" i="31"/>
  <c r="BU29" i="31"/>
  <c r="CO29" i="31"/>
  <c r="F148" i="24"/>
  <c r="CU29" i="31"/>
  <c r="CA29" i="31"/>
  <c r="CS29" i="31"/>
  <c r="CH29" i="31"/>
  <c r="DJ29" i="31"/>
  <c r="CP29" i="31"/>
  <c r="DD29" i="31"/>
  <c r="CM29" i="31"/>
  <c r="BQ29" i="31"/>
  <c r="CI29" i="31"/>
  <c r="BS29" i="31"/>
  <c r="CR29" i="31"/>
  <c r="BV29" i="31"/>
  <c r="CV29" i="31"/>
  <c r="CE29" i="31"/>
  <c r="DF29" i="31"/>
  <c r="BY29" i="31"/>
  <c r="CY29" i="31"/>
  <c r="CC29" i="31"/>
  <c r="CN29" i="31"/>
  <c r="BW29" i="31"/>
  <c r="CT29" i="31"/>
  <c r="BM29" i="31"/>
  <c r="CG29" i="31"/>
  <c r="BK29" i="31"/>
  <c r="CF29" i="31"/>
  <c r="BO29" i="31"/>
  <c r="CJ29" i="31"/>
  <c r="DA29" i="31"/>
  <c r="BR29" i="31"/>
  <c r="DI29" i="31"/>
  <c r="BX29" i="31"/>
  <c r="DG29" i="31"/>
  <c r="BZ29" i="31"/>
  <c r="CL29" i="31"/>
  <c r="CX29" i="31"/>
  <c r="CQ29" i="31"/>
  <c r="DC29" i="31"/>
  <c r="CK29" i="31"/>
  <c r="DE29" i="31"/>
  <c r="CZ29" i="31"/>
  <c r="BL29" i="31"/>
  <c r="DH29" i="31"/>
  <c r="BN29" i="31"/>
  <c r="BT29" i="31"/>
  <c r="CB29" i="31"/>
  <c r="BP29" i="31"/>
  <c r="CW29" i="31"/>
  <c r="CD29" i="31"/>
  <c r="DH42" i="31"/>
  <c r="CY42" i="31"/>
  <c r="CP42" i="31"/>
  <c r="CW42" i="31"/>
  <c r="CU42" i="31"/>
  <c r="CG42" i="31"/>
  <c r="DI42" i="31"/>
  <c r="CZ42" i="31"/>
  <c r="CQ42" i="31"/>
  <c r="CH42" i="31"/>
  <c r="CL42" i="31"/>
  <c r="CD42" i="31"/>
  <c r="BP42" i="31"/>
  <c r="DB42" i="31"/>
  <c r="CR42" i="31"/>
  <c r="CI42" i="31"/>
  <c r="BZ42" i="31"/>
  <c r="BX42" i="31"/>
  <c r="CS42" i="31"/>
  <c r="DC42" i="31"/>
  <c r="CT42" i="31"/>
  <c r="CJ42" i="31"/>
  <c r="CA42" i="31"/>
  <c r="BR42" i="31"/>
  <c r="BM42" i="31"/>
  <c r="BV42" i="31"/>
  <c r="CF42" i="31"/>
  <c r="CB42" i="31"/>
  <c r="BS42" i="31"/>
  <c r="DA42" i="31"/>
  <c r="DJ42" i="31"/>
  <c r="DE42" i="31"/>
  <c r="BO42" i="31"/>
  <c r="BT42" i="31"/>
  <c r="BK42" i="31"/>
  <c r="CM42" i="31"/>
  <c r="CV42" i="31"/>
  <c r="CN42" i="31"/>
  <c r="CE42" i="31"/>
  <c r="BL42" i="31"/>
  <c r="DF42" i="31"/>
  <c r="BY42" i="31"/>
  <c r="CK42" i="31"/>
  <c r="BQ42" i="31"/>
  <c r="CC42" i="31"/>
  <c r="DG42" i="31"/>
  <c r="CX42" i="31"/>
  <c r="BN42" i="31"/>
  <c r="BW42" i="31"/>
  <c r="DD42" i="31"/>
  <c r="BU42" i="31"/>
  <c r="F161" i="24"/>
  <c r="CO42" i="31"/>
  <c r="CJ57" i="31"/>
  <c r="CW57" i="31"/>
  <c r="CF57" i="31"/>
  <c r="BO57" i="31"/>
  <c r="BN57" i="31"/>
  <c r="BZ57" i="31"/>
  <c r="DI57" i="31"/>
  <c r="DF57" i="31"/>
  <c r="CO57" i="31"/>
  <c r="BX57" i="31"/>
  <c r="DB57" i="31"/>
  <c r="CZ57" i="31"/>
  <c r="DJ57" i="31"/>
  <c r="CI57" i="31"/>
  <c r="CR57" i="31"/>
  <c r="BY57" i="31"/>
  <c r="DC57" i="31"/>
  <c r="CC57" i="31"/>
  <c r="CA57" i="31"/>
  <c r="BV57" i="31"/>
  <c r="CH57" i="31"/>
  <c r="BQ57" i="31"/>
  <c r="CU57" i="31"/>
  <c r="BR57" i="31"/>
  <c r="BM57" i="31"/>
  <c r="CY57" i="31"/>
  <c r="DG57" i="31"/>
  <c r="DD57" i="31"/>
  <c r="CM57" i="31"/>
  <c r="DA57" i="31"/>
  <c r="CX57" i="31"/>
  <c r="BS57" i="31"/>
  <c r="BU57" i="31"/>
  <c r="BP57" i="31"/>
  <c r="CT57" i="31"/>
  <c r="CE57" i="31"/>
  <c r="CS57" i="31"/>
  <c r="BW57" i="31"/>
  <c r="CK57" i="31"/>
  <c r="F176" i="24"/>
  <c r="CQ57" i="31"/>
  <c r="BK57" i="31"/>
  <c r="DE57" i="31"/>
  <c r="CP57" i="31"/>
  <c r="DH57" i="31"/>
  <c r="CG57" i="31"/>
  <c r="CB57" i="31"/>
  <c r="BT57" i="31"/>
  <c r="CV57" i="31"/>
  <c r="CL57" i="31"/>
  <c r="BL57" i="31"/>
  <c r="CN57" i="31"/>
  <c r="CD57" i="31"/>
  <c r="J60" i="32"/>
  <c r="CG63" i="31"/>
  <c r="BP63" i="31"/>
  <c r="CY63" i="31"/>
  <c r="BK63" i="31"/>
  <c r="BT63" i="31"/>
  <c r="BN63" i="31"/>
  <c r="BR63" i="31"/>
  <c r="BY63" i="31"/>
  <c r="DC63" i="31"/>
  <c r="CK63" i="31"/>
  <c r="DH63" i="31"/>
  <c r="DG63" i="31"/>
  <c r="CS63" i="31"/>
  <c r="BQ63" i="31"/>
  <c r="CU63" i="31"/>
  <c r="BZ63" i="31"/>
  <c r="CT63" i="31"/>
  <c r="CP63" i="31"/>
  <c r="BM63" i="31"/>
  <c r="DD63" i="31"/>
  <c r="CM63" i="31"/>
  <c r="BL63" i="31"/>
  <c r="CI63" i="31"/>
  <c r="BS63" i="31"/>
  <c r="CL63" i="31"/>
  <c r="F182" i="24"/>
  <c r="CV63" i="31"/>
  <c r="CE63" i="31"/>
  <c r="DI63" i="31"/>
  <c r="BU63" i="31"/>
  <c r="CD63" i="31"/>
  <c r="DF63" i="31"/>
  <c r="DE63" i="31"/>
  <c r="CN63" i="31"/>
  <c r="BW63" i="31"/>
  <c r="CX63" i="31"/>
  <c r="CR63" i="31"/>
  <c r="DB63" i="31"/>
  <c r="DA63" i="31"/>
  <c r="CO63" i="31"/>
  <c r="BX63" i="31"/>
  <c r="DJ63" i="31"/>
  <c r="BV63" i="31"/>
  <c r="CQ63" i="31"/>
  <c r="CZ63" i="31"/>
  <c r="CC63" i="31"/>
  <c r="CW63" i="31"/>
  <c r="CF63" i="31"/>
  <c r="BO63" i="31"/>
  <c r="CJ63" i="31"/>
  <c r="CA63" i="31"/>
  <c r="CB63" i="31"/>
  <c r="CH63" i="31"/>
  <c r="DF71" i="31"/>
  <c r="CO71" i="31"/>
  <c r="BX71" i="31"/>
  <c r="CD71" i="31"/>
  <c r="DJ71" i="31"/>
  <c r="CY71" i="31"/>
  <c r="CI71" i="31"/>
  <c r="CX71" i="31"/>
  <c r="CG71" i="31"/>
  <c r="BP71" i="31"/>
  <c r="BS71" i="31"/>
  <c r="CM71" i="31"/>
  <c r="BM71" i="31"/>
  <c r="DA71" i="31"/>
  <c r="CP71" i="31"/>
  <c r="BY71" i="31"/>
  <c r="DG71" i="31"/>
  <c r="DB71" i="31"/>
  <c r="BV71" i="31"/>
  <c r="CU71" i="31"/>
  <c r="CB71" i="31"/>
  <c r="CH71" i="31"/>
  <c r="BQ71" i="31"/>
  <c r="CS71" i="31"/>
  <c r="CQ71" i="31"/>
  <c r="DI71" i="31"/>
  <c r="BL71" i="31"/>
  <c r="BK71" i="31"/>
  <c r="BZ71" i="31"/>
  <c r="DD71" i="31"/>
  <c r="CE71" i="31"/>
  <c r="CC71" i="31"/>
  <c r="CL71" i="31"/>
  <c r="CA71" i="31"/>
  <c r="BR71" i="31"/>
  <c r="CV71" i="31"/>
  <c r="BT71" i="31"/>
  <c r="BO71" i="31"/>
  <c r="BU71" i="31"/>
  <c r="DH71" i="31"/>
  <c r="F190" i="24"/>
  <c r="CW71" i="31"/>
  <c r="CF71" i="31"/>
  <c r="CR71" i="31"/>
  <c r="BW71" i="31"/>
  <c r="BN71" i="31"/>
  <c r="CJ71" i="31"/>
  <c r="DE71" i="31"/>
  <c r="CN71" i="31"/>
  <c r="DC71" i="31"/>
  <c r="CT71" i="31"/>
  <c r="CK71" i="31"/>
  <c r="CZ71" i="31"/>
  <c r="CT78" i="31"/>
  <c r="BL78" i="31"/>
  <c r="CW78" i="31"/>
  <c r="CL78" i="31"/>
  <c r="DF78" i="31"/>
  <c r="CO78" i="31"/>
  <c r="DH78" i="31"/>
  <c r="CX78" i="31"/>
  <c r="CG78" i="31"/>
  <c r="CZ78" i="31"/>
  <c r="CP78" i="31"/>
  <c r="BY78" i="31"/>
  <c r="CR78" i="31"/>
  <c r="CH78" i="31"/>
  <c r="BQ78" i="31"/>
  <c r="F197" i="24"/>
  <c r="CJ78" i="31"/>
  <c r="BZ78" i="31"/>
  <c r="DD78" i="31"/>
  <c r="DB78" i="31"/>
  <c r="BT78" i="31"/>
  <c r="DE78" i="31"/>
  <c r="CN78" i="31"/>
  <c r="CB78" i="31"/>
  <c r="BK78" i="31"/>
  <c r="DA78" i="31"/>
  <c r="BM78" i="31"/>
  <c r="BR78" i="31"/>
  <c r="CQ78" i="31"/>
  <c r="BU78" i="31"/>
  <c r="CU78" i="31"/>
  <c r="CF78" i="31"/>
  <c r="DI78" i="31"/>
  <c r="BS78" i="31"/>
  <c r="CE78" i="31"/>
  <c r="BX78" i="31"/>
  <c r="CM78" i="31"/>
  <c r="CI78" i="31"/>
  <c r="BO78" i="31"/>
  <c r="BP78" i="31"/>
  <c r="BV78" i="31"/>
  <c r="CD78" i="31"/>
  <c r="CY78" i="31"/>
  <c r="DJ78" i="31"/>
  <c r="BN78" i="31"/>
  <c r="CV78" i="31"/>
  <c r="DG78" i="31"/>
  <c r="CS78" i="31"/>
  <c r="CK78" i="31"/>
  <c r="CA78" i="31"/>
  <c r="BW78" i="31"/>
  <c r="CC78" i="31"/>
  <c r="DC78" i="31"/>
  <c r="DB76" i="31"/>
  <c r="CS76" i="31"/>
  <c r="CJ76" i="31"/>
  <c r="CY76" i="31"/>
  <c r="DG76" i="31"/>
  <c r="CV76" i="31"/>
  <c r="CI76" i="31"/>
  <c r="CL76" i="31"/>
  <c r="CC76" i="31"/>
  <c r="BT76" i="31"/>
  <c r="BZ76" i="31"/>
  <c r="BS76" i="31"/>
  <c r="CU76" i="31"/>
  <c r="DD76" i="31"/>
  <c r="CD76" i="31"/>
  <c r="BU76" i="31"/>
  <c r="BL76" i="31"/>
  <c r="BO76" i="31"/>
  <c r="DE76" i="31"/>
  <c r="BX76" i="31"/>
  <c r="BV76" i="31"/>
  <c r="BM76" i="31"/>
  <c r="DC76" i="31"/>
  <c r="CX76" i="31"/>
  <c r="CH76" i="31"/>
  <c r="CQ76" i="31"/>
  <c r="CK76" i="31"/>
  <c r="CN76" i="31"/>
  <c r="CE76" i="31"/>
  <c r="DH76" i="31"/>
  <c r="CM76" i="31"/>
  <c r="CG76" i="31"/>
  <c r="F195" i="24"/>
  <c r="CZ76" i="31"/>
  <c r="BY76" i="31"/>
  <c r="BR76" i="31"/>
  <c r="DJ76" i="31"/>
  <c r="CR76" i="31"/>
  <c r="BK76" i="31"/>
  <c r="DF76" i="31"/>
  <c r="CT76" i="31"/>
  <c r="CB76" i="31"/>
  <c r="CP76" i="31"/>
  <c r="BW76" i="31"/>
  <c r="BN76" i="31"/>
  <c r="CO76" i="31"/>
  <c r="BQ76" i="31"/>
  <c r="DA76" i="31"/>
  <c r="BP76" i="31"/>
  <c r="CF76" i="31"/>
  <c r="DI76" i="31"/>
  <c r="CA76" i="31"/>
  <c r="CW76" i="31"/>
  <c r="BI12" i="31"/>
  <c r="BY59" i="31"/>
  <c r="DC59" i="31"/>
  <c r="CB59" i="31"/>
  <c r="CK59" i="31"/>
  <c r="CR59" i="31"/>
  <c r="BT59" i="31"/>
  <c r="BQ59" i="31"/>
  <c r="CU59" i="31"/>
  <c r="BN59" i="31"/>
  <c r="BZ59" i="31"/>
  <c r="BU59" i="31"/>
  <c r="DB59" i="31"/>
  <c r="DD59" i="31"/>
  <c r="CM59" i="31"/>
  <c r="CZ59" i="31"/>
  <c r="BL59" i="31"/>
  <c r="CQ59" i="31"/>
  <c r="BS59" i="31"/>
  <c r="F178" i="24"/>
  <c r="CV59" i="31"/>
  <c r="CE59" i="31"/>
  <c r="CL59" i="31"/>
  <c r="CT59" i="31"/>
  <c r="BK59" i="31"/>
  <c r="DH59" i="31"/>
  <c r="DE59" i="31"/>
  <c r="CN59" i="31"/>
  <c r="BW59" i="31"/>
  <c r="CA59" i="31"/>
  <c r="CC59" i="31"/>
  <c r="CI59" i="31"/>
  <c r="CX59" i="31"/>
  <c r="CW59" i="31"/>
  <c r="CF59" i="31"/>
  <c r="BO59" i="31"/>
  <c r="BM59" i="31"/>
  <c r="CS59" i="31"/>
  <c r="DG59" i="31"/>
  <c r="CJ59" i="31"/>
  <c r="BR59" i="31"/>
  <c r="CO59" i="31"/>
  <c r="BX59" i="31"/>
  <c r="DA59" i="31"/>
  <c r="DJ59" i="31"/>
  <c r="BV59" i="31"/>
  <c r="CD59" i="31"/>
  <c r="CH59" i="31"/>
  <c r="CY59" i="31"/>
  <c r="DI59" i="31"/>
  <c r="DF59" i="31"/>
  <c r="CG59" i="31"/>
  <c r="BP59" i="31"/>
  <c r="CP59" i="31"/>
  <c r="DC93" i="31"/>
  <c r="CT93" i="31"/>
  <c r="CI93" i="31"/>
  <c r="CX93" i="31"/>
  <c r="DA93" i="31"/>
  <c r="CO93" i="31"/>
  <c r="CP93" i="31"/>
  <c r="CU93" i="31"/>
  <c r="CL93" i="31"/>
  <c r="CA93" i="31"/>
  <c r="CK93" i="31"/>
  <c r="CF93" i="31"/>
  <c r="DH93" i="31"/>
  <c r="CH93" i="31"/>
  <c r="CE93" i="31"/>
  <c r="BV93" i="31"/>
  <c r="BK93" i="31"/>
  <c r="BL93" i="31"/>
  <c r="CC93" i="31"/>
  <c r="DF93" i="31"/>
  <c r="BR93" i="31"/>
  <c r="BO93" i="31"/>
  <c r="DG93" i="31"/>
  <c r="CN93" i="31"/>
  <c r="CW93" i="31"/>
  <c r="CB93" i="31"/>
  <c r="DE93" i="31"/>
  <c r="BW93" i="31"/>
  <c r="CZ93" i="31"/>
  <c r="CS93" i="31"/>
  <c r="DJ93" i="31"/>
  <c r="BZ93" i="31"/>
  <c r="CR93" i="31"/>
  <c r="DB93" i="31"/>
  <c r="BM93" i="31"/>
  <c r="BQ93" i="31"/>
  <c r="CD93" i="31"/>
  <c r="BY93" i="31"/>
  <c r="CG93" i="31"/>
  <c r="BN93" i="31"/>
  <c r="DI93" i="31"/>
  <c r="BU93" i="31"/>
  <c r="CY93" i="31"/>
  <c r="CJ93" i="31"/>
  <c r="BT93" i="31"/>
  <c r="CM93" i="31"/>
  <c r="BS93" i="31"/>
  <c r="CV93" i="31"/>
  <c r="BP93" i="31"/>
  <c r="F212" i="24"/>
  <c r="CQ93" i="31"/>
  <c r="BX93" i="31"/>
  <c r="DD93" i="31"/>
  <c r="CW21" i="31"/>
  <c r="BX21" i="31"/>
  <c r="CL21" i="31"/>
  <c r="BU21" i="31"/>
  <c r="BL21" i="31"/>
  <c r="DJ21" i="31"/>
  <c r="DE21" i="31"/>
  <c r="DC21" i="31"/>
  <c r="CX21" i="31"/>
  <c r="BM21" i="31"/>
  <c r="DG21" i="31"/>
  <c r="CV21" i="31"/>
  <c r="CT21" i="31"/>
  <c r="CO21" i="31"/>
  <c r="CM21" i="31"/>
  <c r="F140" i="24"/>
  <c r="DH21" i="31"/>
  <c r="CY21" i="31"/>
  <c r="CH21" i="31"/>
  <c r="CF21" i="31"/>
  <c r="CD21" i="31"/>
  <c r="BY21" i="31"/>
  <c r="DI21" i="31"/>
  <c r="CZ21" i="31"/>
  <c r="CQ21" i="31"/>
  <c r="BW21" i="31"/>
  <c r="BR21" i="31"/>
  <c r="BP21" i="31"/>
  <c r="BN21" i="31"/>
  <c r="DA21" i="31"/>
  <c r="CR21" i="31"/>
  <c r="CI21" i="31"/>
  <c r="DF21" i="31"/>
  <c r="DD21" i="31"/>
  <c r="DB21" i="31"/>
  <c r="CS21" i="31"/>
  <c r="CJ21" i="31"/>
  <c r="CA21" i="31"/>
  <c r="CU21" i="31"/>
  <c r="CP21" i="31"/>
  <c r="CN21" i="31"/>
  <c r="CC21" i="31"/>
  <c r="BT21" i="31"/>
  <c r="BK21" i="31"/>
  <c r="BV21" i="31"/>
  <c r="BQ21" i="31"/>
  <c r="BO21" i="31"/>
  <c r="CE21" i="31"/>
  <c r="BZ21" i="31"/>
  <c r="CK21" i="31"/>
  <c r="CB21" i="31"/>
  <c r="CG21" i="31"/>
  <c r="BS21" i="31"/>
  <c r="CT80" i="31"/>
  <c r="CJ80" i="31"/>
  <c r="BZ80" i="31"/>
  <c r="DD80" i="31"/>
  <c r="CS80" i="31"/>
  <c r="BS80" i="31"/>
  <c r="DG80" i="31"/>
  <c r="CL80" i="31"/>
  <c r="CB80" i="31"/>
  <c r="BR80" i="31"/>
  <c r="CV80" i="31"/>
  <c r="BW80" i="31"/>
  <c r="DA80" i="31"/>
  <c r="BK80" i="31"/>
  <c r="CD80" i="31"/>
  <c r="BT80" i="31"/>
  <c r="DE80" i="31"/>
  <c r="CN80" i="31"/>
  <c r="CQ80" i="31"/>
  <c r="BO80" i="31"/>
  <c r="BV80" i="31"/>
  <c r="BL80" i="31"/>
  <c r="CW80" i="31"/>
  <c r="CF80" i="31"/>
  <c r="BU80" i="31"/>
  <c r="CY80" i="31"/>
  <c r="BN80" i="31"/>
  <c r="DF80" i="31"/>
  <c r="CO80" i="31"/>
  <c r="BX80" i="31"/>
  <c r="CK80" i="31"/>
  <c r="BM80" i="31"/>
  <c r="F199" i="24"/>
  <c r="DH80" i="31"/>
  <c r="CX80" i="31"/>
  <c r="CG80" i="31"/>
  <c r="BP80" i="31"/>
  <c r="DI80" i="31"/>
  <c r="CM80" i="31"/>
  <c r="DJ80" i="31"/>
  <c r="CZ80" i="31"/>
  <c r="CP80" i="31"/>
  <c r="BY80" i="31"/>
  <c r="CU80" i="31"/>
  <c r="CE80" i="31"/>
  <c r="CI80" i="31"/>
  <c r="DC80" i="31"/>
  <c r="CC80" i="31"/>
  <c r="DB80" i="31"/>
  <c r="CR80" i="31"/>
  <c r="CH80" i="31"/>
  <c r="CA80" i="31"/>
  <c r="BQ80" i="31"/>
  <c r="CC34" i="31"/>
  <c r="BT34" i="31"/>
  <c r="BK34" i="31"/>
  <c r="DF34" i="31"/>
  <c r="CE34" i="31"/>
  <c r="BU34" i="31"/>
  <c r="BL34" i="31"/>
  <c r="CW34" i="31"/>
  <c r="CU34" i="31"/>
  <c r="BN34" i="31"/>
  <c r="BM34" i="31"/>
  <c r="DG34" i="31"/>
  <c r="CL34" i="31"/>
  <c r="CG34" i="31"/>
  <c r="CX34" i="31"/>
  <c r="F153" i="24"/>
  <c r="DH34" i="31"/>
  <c r="CY34" i="31"/>
  <c r="BX34" i="31"/>
  <c r="BV34" i="31"/>
  <c r="CD34" i="31"/>
  <c r="DI34" i="31"/>
  <c r="CZ34" i="31"/>
  <c r="CQ34" i="31"/>
  <c r="DJ34" i="31"/>
  <c r="DC34" i="31"/>
  <c r="CT34" i="31"/>
  <c r="DA34" i="31"/>
  <c r="CR34" i="31"/>
  <c r="CI34" i="31"/>
  <c r="CV34" i="31"/>
  <c r="CF34" i="31"/>
  <c r="BZ34" i="31"/>
  <c r="CS34" i="31"/>
  <c r="CJ34" i="31"/>
  <c r="CA34" i="31"/>
  <c r="CH34" i="31"/>
  <c r="BO34" i="31"/>
  <c r="CP34" i="31"/>
  <c r="CB34" i="31"/>
  <c r="CN34" i="31"/>
  <c r="BS34" i="31"/>
  <c r="BQ34" i="31"/>
  <c r="BW34" i="31"/>
  <c r="DB34" i="31"/>
  <c r="BY34" i="31"/>
  <c r="CO34" i="31"/>
  <c r="CK34" i="31"/>
  <c r="DE34" i="31"/>
  <c r="BR34" i="31"/>
  <c r="DD34" i="31"/>
  <c r="BP34" i="31"/>
  <c r="CM34" i="31"/>
  <c r="DA49" i="31"/>
  <c r="CV49" i="31"/>
  <c r="CE49" i="31"/>
  <c r="BV49" i="31"/>
  <c r="CG49" i="31"/>
  <c r="BL49" i="31"/>
  <c r="DH49" i="31"/>
  <c r="BM49" i="31"/>
  <c r="CN49" i="31"/>
  <c r="BW49" i="31"/>
  <c r="BN49" i="31"/>
  <c r="BS49" i="31"/>
  <c r="CX49" i="31"/>
  <c r="CK49" i="31"/>
  <c r="BK49" i="31"/>
  <c r="CF49" i="31"/>
  <c r="BO49" i="31"/>
  <c r="DG49" i="31"/>
  <c r="DE49" i="31"/>
  <c r="CA49" i="31"/>
  <c r="BQ49" i="31"/>
  <c r="BX49" i="31"/>
  <c r="DJ49" i="31"/>
  <c r="CS49" i="31"/>
  <c r="CQ49" i="31"/>
  <c r="CP49" i="31"/>
  <c r="CY49" i="31"/>
  <c r="BP49" i="31"/>
  <c r="DB49" i="31"/>
  <c r="CH49" i="31"/>
  <c r="CC49" i="31"/>
  <c r="BY49" i="31"/>
  <c r="CW49" i="31"/>
  <c r="DC49" i="31"/>
  <c r="CT49" i="31"/>
  <c r="BT49" i="31"/>
  <c r="BR49" i="31"/>
  <c r="DI49" i="31"/>
  <c r="CJ49" i="31"/>
  <c r="DD49" i="31"/>
  <c r="CM49" i="31"/>
  <c r="CD49" i="31"/>
  <c r="CR49" i="31"/>
  <c r="CI49" i="31"/>
  <c r="BU49" i="31"/>
  <c r="BZ49" i="31"/>
  <c r="CL49" i="31"/>
  <c r="DF49" i="31"/>
  <c r="CZ49" i="31"/>
  <c r="CO49" i="31"/>
  <c r="CB49" i="31"/>
  <c r="F168" i="24"/>
  <c r="CU49" i="31"/>
  <c r="CN47" i="31"/>
  <c r="BW47" i="31"/>
  <c r="BN47" i="31"/>
  <c r="BT47" i="31"/>
  <c r="CY47" i="31"/>
  <c r="CO47" i="31"/>
  <c r="DE47" i="31"/>
  <c r="CF47" i="31"/>
  <c r="BO47" i="31"/>
  <c r="DH47" i="31"/>
  <c r="DF47" i="31"/>
  <c r="CB47" i="31"/>
  <c r="BR47" i="31"/>
  <c r="BX47" i="31"/>
  <c r="DJ47" i="31"/>
  <c r="CW47" i="31"/>
  <c r="CR47" i="31"/>
  <c r="BK47" i="31"/>
  <c r="CX47" i="31"/>
  <c r="BP47" i="31"/>
  <c r="DB47" i="31"/>
  <c r="CI47" i="31"/>
  <c r="CG47" i="31"/>
  <c r="CQ47" i="31"/>
  <c r="CK47" i="31"/>
  <c r="DC47" i="31"/>
  <c r="CT47" i="31"/>
  <c r="BU47" i="31"/>
  <c r="BS47" i="31"/>
  <c r="BZ47" i="31"/>
  <c r="CC47" i="31"/>
  <c r="F166" i="24"/>
  <c r="CU47" i="31"/>
  <c r="CL47" i="31"/>
  <c r="DG47" i="31"/>
  <c r="DA47" i="31"/>
  <c r="CP47" i="31"/>
  <c r="CA47" i="31"/>
  <c r="CV47" i="31"/>
  <c r="CE47" i="31"/>
  <c r="BV47" i="31"/>
  <c r="CH47" i="31"/>
  <c r="BM47" i="31"/>
  <c r="DI47" i="31"/>
  <c r="BL47" i="31"/>
  <c r="CS47" i="31"/>
  <c r="CJ47" i="31"/>
  <c r="BY47" i="31"/>
  <c r="BQ47" i="31"/>
  <c r="DD47" i="31"/>
  <c r="CD47" i="31"/>
  <c r="CM47" i="31"/>
  <c r="CZ47" i="31"/>
  <c r="DD55" i="31"/>
  <c r="CM55" i="31"/>
  <c r="DB55" i="31"/>
  <c r="CY55" i="31"/>
  <c r="BU55" i="31"/>
  <c r="CL55" i="31"/>
  <c r="F174" i="24"/>
  <c r="CV55" i="31"/>
  <c r="CE55" i="31"/>
  <c r="CQ55" i="31"/>
  <c r="CH55" i="31"/>
  <c r="CS55" i="31"/>
  <c r="BV55" i="31"/>
  <c r="DE55" i="31"/>
  <c r="CN55" i="31"/>
  <c r="BW55" i="31"/>
  <c r="CC55" i="31"/>
  <c r="BK55" i="31"/>
  <c r="BM55" i="31"/>
  <c r="BT55" i="31"/>
  <c r="CW55" i="31"/>
  <c r="CF55" i="31"/>
  <c r="BO55" i="31"/>
  <c r="BR55" i="31"/>
  <c r="CX55" i="31"/>
  <c r="CK55" i="31"/>
  <c r="BL55" i="31"/>
  <c r="CO55" i="31"/>
  <c r="BX55" i="31"/>
  <c r="DF55" i="31"/>
  <c r="DA55" i="31"/>
  <c r="CA55" i="31"/>
  <c r="DJ55" i="31"/>
  <c r="DH55" i="31"/>
  <c r="CG55" i="31"/>
  <c r="BP55" i="31"/>
  <c r="CR55" i="31"/>
  <c r="CP55" i="31"/>
  <c r="CT55" i="31"/>
  <c r="CJ55" i="31"/>
  <c r="BQ55" i="31"/>
  <c r="CU55" i="31"/>
  <c r="BS55" i="31"/>
  <c r="BN55" i="31"/>
  <c r="DG55" i="31"/>
  <c r="CI55" i="31"/>
  <c r="DC55" i="31"/>
  <c r="CD55" i="31"/>
  <c r="CB55" i="31"/>
  <c r="BZ55" i="31"/>
  <c r="DI55" i="31"/>
  <c r="BY55" i="31"/>
  <c r="CZ55" i="31"/>
  <c r="CT70" i="31"/>
  <c r="CK70" i="31"/>
  <c r="CB70" i="31"/>
  <c r="CQ70" i="31"/>
  <c r="CI70" i="31"/>
  <c r="CM70" i="31"/>
  <c r="BX70" i="31"/>
  <c r="CL70" i="31"/>
  <c r="CC70" i="31"/>
  <c r="BT70" i="31"/>
  <c r="CF70" i="31"/>
  <c r="BO70" i="31"/>
  <c r="BZ70" i="31"/>
  <c r="BP70" i="31"/>
  <c r="BV70" i="31"/>
  <c r="BM70" i="31"/>
  <c r="DF70" i="31"/>
  <c r="DD70" i="31"/>
  <c r="CH70" i="31"/>
  <c r="DG70" i="31"/>
  <c r="BN70" i="31"/>
  <c r="DH70" i="31"/>
  <c r="CU70" i="31"/>
  <c r="CP70" i="31"/>
  <c r="BK70" i="31"/>
  <c r="CV70" i="31"/>
  <c r="F189" i="24"/>
  <c r="DI70" i="31"/>
  <c r="CZ70" i="31"/>
  <c r="CG70" i="31"/>
  <c r="CE70" i="31"/>
  <c r="CX70" i="31"/>
  <c r="CO70" i="31"/>
  <c r="CS70" i="31"/>
  <c r="BQ70" i="31"/>
  <c r="BU70" i="31"/>
  <c r="DC70" i="31"/>
  <c r="CR70" i="31"/>
  <c r="CY70" i="31"/>
  <c r="CJ70" i="31"/>
  <c r="CA70" i="31"/>
  <c r="DJ70" i="31"/>
  <c r="BL70" i="31"/>
  <c r="CN70" i="31"/>
  <c r="DB70" i="31"/>
  <c r="BS70" i="31"/>
  <c r="BW70" i="31"/>
  <c r="DA70" i="31"/>
  <c r="BR70" i="31"/>
  <c r="CW70" i="31"/>
  <c r="CD70" i="31"/>
  <c r="DE70" i="31"/>
  <c r="BY70" i="31"/>
  <c r="F207" i="24"/>
  <c r="DH88" i="31"/>
  <c r="CY88" i="31"/>
  <c r="CG88" i="31"/>
  <c r="CE88" i="31"/>
  <c r="BP88" i="31"/>
  <c r="CD88" i="31"/>
  <c r="DI88" i="31"/>
  <c r="CZ88" i="31"/>
  <c r="CQ88" i="31"/>
  <c r="BV88" i="31"/>
  <c r="BQ88" i="31"/>
  <c r="DC88" i="31"/>
  <c r="BW88" i="31"/>
  <c r="DA88" i="31"/>
  <c r="CR88" i="31"/>
  <c r="CI88" i="31"/>
  <c r="DE88" i="31"/>
  <c r="CW88" i="31"/>
  <c r="CL88" i="31"/>
  <c r="CV88" i="31"/>
  <c r="CS88" i="31"/>
  <c r="CJ88" i="31"/>
  <c r="CA88" i="31"/>
  <c r="CT88" i="31"/>
  <c r="BZ88" i="31"/>
  <c r="BO88" i="31"/>
  <c r="CN88" i="31"/>
  <c r="CK88" i="31"/>
  <c r="CB88" i="31"/>
  <c r="BS88" i="31"/>
  <c r="CF88" i="31"/>
  <c r="CO88" i="31"/>
  <c r="DB88" i="31"/>
  <c r="BY88" i="31"/>
  <c r="CC88" i="31"/>
  <c r="BT88" i="31"/>
  <c r="BK88" i="31"/>
  <c r="BR88" i="31"/>
  <c r="BX88" i="31"/>
  <c r="CH88" i="31"/>
  <c r="BU88" i="31"/>
  <c r="BL88" i="31"/>
  <c r="DF88" i="31"/>
  <c r="DD88" i="31"/>
  <c r="DJ88" i="31"/>
  <c r="BN88" i="31"/>
  <c r="CP88" i="31"/>
  <c r="CM88" i="31"/>
  <c r="CX88" i="31"/>
  <c r="BM88" i="31"/>
  <c r="CU88" i="31"/>
  <c r="DG88" i="31"/>
  <c r="DH68" i="31"/>
  <c r="DB68" i="31"/>
  <c r="CI68" i="31"/>
  <c r="DG68" i="31"/>
  <c r="CX68" i="31"/>
  <c r="DD68" i="31"/>
  <c r="CH68" i="31"/>
  <c r="CZ68" i="31"/>
  <c r="CR68" i="31"/>
  <c r="CA68" i="31"/>
  <c r="CT68" i="31"/>
  <c r="CD68" i="31"/>
  <c r="BP68" i="31"/>
  <c r="BW68" i="31"/>
  <c r="DC68" i="31"/>
  <c r="CJ68" i="31"/>
  <c r="BS68" i="31"/>
  <c r="CF68" i="31"/>
  <c r="CW68" i="31"/>
  <c r="CO68" i="31"/>
  <c r="CS68" i="31"/>
  <c r="CB68" i="31"/>
  <c r="BK68" i="31"/>
  <c r="BR68" i="31"/>
  <c r="BZ68" i="31"/>
  <c r="BO68" i="31"/>
  <c r="CK68" i="31"/>
  <c r="BT68" i="31"/>
  <c r="DJ68" i="31"/>
  <c r="DF68" i="31"/>
  <c r="CV68" i="31"/>
  <c r="CN68" i="31"/>
  <c r="F187" i="24"/>
  <c r="CC68" i="31"/>
  <c r="BL68" i="31"/>
  <c r="CU68" i="31"/>
  <c r="CP68" i="31"/>
  <c r="BY68" i="31"/>
  <c r="BN68" i="31"/>
  <c r="DI68" i="31"/>
  <c r="BU68" i="31"/>
  <c r="CY68" i="31"/>
  <c r="CG68" i="31"/>
  <c r="CE68" i="31"/>
  <c r="CL68" i="31"/>
  <c r="DE68" i="31"/>
  <c r="BV68" i="31"/>
  <c r="BQ68" i="31"/>
  <c r="BX68" i="31"/>
  <c r="CM68" i="31"/>
  <c r="DA68" i="31"/>
  <c r="BM68" i="31"/>
  <c r="CQ68" i="31"/>
  <c r="CA104" i="31"/>
  <c r="BR104" i="31"/>
  <c r="CR104" i="31"/>
  <c r="CN104" i="31"/>
  <c r="CV104" i="31"/>
  <c r="CS104" i="31"/>
  <c r="BS104" i="31"/>
  <c r="DC104" i="31"/>
  <c r="CD104" i="31"/>
  <c r="CB104" i="31"/>
  <c r="BY104" i="31"/>
  <c r="BM104" i="31"/>
  <c r="BK104" i="31"/>
  <c r="CU104" i="31"/>
  <c r="BQ104" i="31"/>
  <c r="BN104" i="31"/>
  <c r="DJ104" i="31"/>
  <c r="CL104" i="31"/>
  <c r="F223" i="24"/>
  <c r="DF104" i="31"/>
  <c r="CM104" i="31"/>
  <c r="DB104" i="31"/>
  <c r="CZ104" i="31"/>
  <c r="CJ104" i="31"/>
  <c r="BU104" i="31"/>
  <c r="DG104" i="31"/>
  <c r="CX104" i="31"/>
  <c r="CE104" i="31"/>
  <c r="CO104" i="31"/>
  <c r="CG104" i="31"/>
  <c r="DH104" i="31"/>
  <c r="DI104" i="31"/>
  <c r="CY104" i="31"/>
  <c r="CP104" i="31"/>
  <c r="BW104" i="31"/>
  <c r="CC104" i="31"/>
  <c r="BL104" i="31"/>
  <c r="BV104" i="31"/>
  <c r="CK104" i="31"/>
  <c r="CQ104" i="31"/>
  <c r="CH104" i="31"/>
  <c r="BO104" i="31"/>
  <c r="BP104" i="31"/>
  <c r="CW104" i="31"/>
  <c r="CT104" i="31"/>
  <c r="DE104" i="31"/>
  <c r="DD104" i="31"/>
  <c r="DA104" i="31"/>
  <c r="CF104" i="31"/>
  <c r="BT104" i="31"/>
  <c r="BX104" i="31"/>
  <c r="BZ104" i="31"/>
  <c r="CI104" i="31"/>
  <c r="DE51" i="31"/>
  <c r="DC51" i="31"/>
  <c r="BP51" i="31"/>
  <c r="CD51" i="31"/>
  <c r="BR51" i="31"/>
  <c r="CX51" i="31"/>
  <c r="CL51" i="31"/>
  <c r="CW51" i="31"/>
  <c r="CU51" i="31"/>
  <c r="DG51" i="31"/>
  <c r="BV51" i="31"/>
  <c r="CY51" i="31"/>
  <c r="BU51" i="31"/>
  <c r="CA51" i="31"/>
  <c r="CO51" i="31"/>
  <c r="CM51" i="31"/>
  <c r="CS51" i="31"/>
  <c r="BN51" i="31"/>
  <c r="CB51" i="31"/>
  <c r="CQ51" i="31"/>
  <c r="BY51" i="31"/>
  <c r="CG51" i="31"/>
  <c r="CE51" i="31"/>
  <c r="CH51" i="31"/>
  <c r="DA51" i="31"/>
  <c r="BQ51" i="31"/>
  <c r="BT51" i="31"/>
  <c r="BL51" i="31"/>
  <c r="DD51" i="31"/>
  <c r="DH51" i="31"/>
  <c r="BW51" i="31"/>
  <c r="CJ51" i="31"/>
  <c r="CK51" i="31"/>
  <c r="CP51" i="31"/>
  <c r="CV51" i="31"/>
  <c r="CT51" i="31"/>
  <c r="BO51" i="31"/>
  <c r="BS51" i="31"/>
  <c r="BK51" i="31"/>
  <c r="BM51" i="31"/>
  <c r="CN51" i="31"/>
  <c r="CI51" i="31"/>
  <c r="DF51" i="31"/>
  <c r="CZ51" i="31"/>
  <c r="DI51" i="31"/>
  <c r="DJ51" i="31"/>
  <c r="BZ51" i="31"/>
  <c r="DB51" i="31"/>
  <c r="F170" i="24"/>
  <c r="CF51" i="31"/>
  <c r="BX51" i="31"/>
  <c r="CR51" i="31"/>
  <c r="CC51" i="31"/>
  <c r="CR77" i="31"/>
  <c r="BY77" i="31"/>
  <c r="DE77" i="31"/>
  <c r="DB77" i="31"/>
  <c r="CS77" i="31"/>
  <c r="CE77" i="31"/>
  <c r="F196" i="24"/>
  <c r="CI77" i="31"/>
  <c r="BQ77" i="31"/>
  <c r="CO77" i="31"/>
  <c r="CL77" i="31"/>
  <c r="BT77" i="31"/>
  <c r="BU77" i="31"/>
  <c r="CV77" i="31"/>
  <c r="BR77" i="31"/>
  <c r="CY77" i="31"/>
  <c r="BN77" i="31"/>
  <c r="BL77" i="31"/>
  <c r="BS77" i="31"/>
  <c r="DF77" i="31"/>
  <c r="CF77" i="31"/>
  <c r="CZ77" i="31"/>
  <c r="CG77" i="31"/>
  <c r="CM77" i="31"/>
  <c r="CD77" i="31"/>
  <c r="CJ77" i="31"/>
  <c r="CT77" i="31"/>
  <c r="DI77" i="31"/>
  <c r="DC77" i="31"/>
  <c r="DG77" i="31"/>
  <c r="CQ77" i="31"/>
  <c r="CA77" i="31"/>
  <c r="BO77" i="31"/>
  <c r="CH77" i="31"/>
  <c r="BM77" i="31"/>
  <c r="CW77" i="31"/>
  <c r="DD77" i="31"/>
  <c r="DH77" i="31"/>
  <c r="BW77" i="31"/>
  <c r="BK77" i="31"/>
  <c r="CN77" i="31"/>
  <c r="CP77" i="31"/>
  <c r="CX77" i="31"/>
  <c r="CC77" i="31"/>
  <c r="DJ77" i="31"/>
  <c r="BX77" i="31"/>
  <c r="CU77" i="31"/>
  <c r="BZ77" i="31"/>
  <c r="CB77" i="31"/>
  <c r="CK77" i="31"/>
  <c r="DA77" i="31"/>
  <c r="BV77" i="31"/>
  <c r="BP77" i="31"/>
  <c r="DI64" i="31"/>
  <c r="CZ64" i="31"/>
  <c r="CQ64" i="31"/>
  <c r="DJ64" i="31"/>
  <c r="DC64" i="31"/>
  <c r="CP64" i="31"/>
  <c r="CT64" i="31"/>
  <c r="DA64" i="31"/>
  <c r="CR64" i="31"/>
  <c r="CI64" i="31"/>
  <c r="CV64" i="31"/>
  <c r="CF64" i="31"/>
  <c r="BP64" i="31"/>
  <c r="CO64" i="31"/>
  <c r="CS64" i="31"/>
  <c r="CJ64" i="31"/>
  <c r="CA64" i="31"/>
  <c r="CH64" i="31"/>
  <c r="BO64" i="31"/>
  <c r="CN64" i="31"/>
  <c r="CM64" i="31"/>
  <c r="CK64" i="31"/>
  <c r="CB64" i="31"/>
  <c r="BS64" i="31"/>
  <c r="BW64" i="31"/>
  <c r="DB64" i="31"/>
  <c r="BZ64" i="31"/>
  <c r="CC64" i="31"/>
  <c r="BT64" i="31"/>
  <c r="BK64" i="31"/>
  <c r="DF64" i="31"/>
  <c r="CE64" i="31"/>
  <c r="DE64" i="31"/>
  <c r="BU64" i="31"/>
  <c r="BL64" i="31"/>
  <c r="CW64" i="31"/>
  <c r="CU64" i="31"/>
  <c r="BN64" i="31"/>
  <c r="BY64" i="31"/>
  <c r="F183" i="24"/>
  <c r="DH64" i="31"/>
  <c r="CY64" i="31"/>
  <c r="BX64" i="31"/>
  <c r="BV64" i="31"/>
  <c r="CD64" i="31"/>
  <c r="BR64" i="31"/>
  <c r="BM64" i="31"/>
  <c r="DG64" i="31"/>
  <c r="CL64" i="31"/>
  <c r="CG64" i="31"/>
  <c r="BQ64" i="31"/>
  <c r="CX64" i="31"/>
  <c r="DD64" i="31"/>
  <c r="CI41" i="31"/>
  <c r="DC41" i="31"/>
  <c r="CT41" i="31"/>
  <c r="BM41" i="31"/>
  <c r="BY41" i="31"/>
  <c r="CW41" i="31"/>
  <c r="BR41" i="31"/>
  <c r="F160" i="24"/>
  <c r="CU41" i="31"/>
  <c r="CL41" i="31"/>
  <c r="CY41" i="31"/>
  <c r="BK41" i="31"/>
  <c r="CC41" i="31"/>
  <c r="DH41" i="31"/>
  <c r="DD41" i="31"/>
  <c r="CM41" i="31"/>
  <c r="CD41" i="31"/>
  <c r="CK41" i="31"/>
  <c r="DG41" i="31"/>
  <c r="CS41" i="31"/>
  <c r="DF41" i="31"/>
  <c r="CV41" i="31"/>
  <c r="CE41" i="31"/>
  <c r="BV41" i="31"/>
  <c r="BZ41" i="31"/>
  <c r="CP41" i="31"/>
  <c r="CB41" i="31"/>
  <c r="DA41" i="31"/>
  <c r="CN41" i="31"/>
  <c r="BW41" i="31"/>
  <c r="BN41" i="31"/>
  <c r="BL41" i="31"/>
  <c r="BS41" i="31"/>
  <c r="CR41" i="31"/>
  <c r="CQ41" i="31"/>
  <c r="BX41" i="31"/>
  <c r="DJ41" i="31"/>
  <c r="CO41" i="31"/>
  <c r="CX41" i="31"/>
  <c r="CH41" i="31"/>
  <c r="CG41" i="31"/>
  <c r="BO41" i="31"/>
  <c r="BU41" i="31"/>
  <c r="DB41" i="31"/>
  <c r="BT41" i="31"/>
  <c r="CZ41" i="31"/>
  <c r="CA41" i="31"/>
  <c r="DI41" i="31"/>
  <c r="CJ41" i="31"/>
  <c r="BP41" i="31"/>
  <c r="BQ41" i="31"/>
  <c r="CF41" i="31"/>
  <c r="DE41" i="31"/>
  <c r="J51" i="32"/>
  <c r="BW23" i="31"/>
  <c r="CS23" i="31"/>
  <c r="CJ23" i="31"/>
  <c r="CA23" i="31"/>
  <c r="CT23" i="31"/>
  <c r="CO23" i="31"/>
  <c r="CM23" i="31"/>
  <c r="CH23" i="31"/>
  <c r="CV23" i="31"/>
  <c r="CK23" i="31"/>
  <c r="CB23" i="31"/>
  <c r="BS23" i="31"/>
  <c r="CF23" i="31"/>
  <c r="CD23" i="31"/>
  <c r="BY23" i="31"/>
  <c r="CC23" i="31"/>
  <c r="BT23" i="31"/>
  <c r="BK23" i="31"/>
  <c r="BR23" i="31"/>
  <c r="BP23" i="31"/>
  <c r="BN23" i="31"/>
  <c r="BU23" i="31"/>
  <c r="BL23" i="31"/>
  <c r="DF23" i="31"/>
  <c r="DD23" i="31"/>
  <c r="DB23" i="31"/>
  <c r="CW23" i="31"/>
  <c r="BM23" i="31"/>
  <c r="DG23" i="31"/>
  <c r="CU23" i="31"/>
  <c r="CP23" i="31"/>
  <c r="CN23" i="31"/>
  <c r="CL23" i="31"/>
  <c r="F142" i="24"/>
  <c r="DH23" i="31"/>
  <c r="CY23" i="31"/>
  <c r="CG23" i="31"/>
  <c r="CE23" i="31"/>
  <c r="BZ23" i="31"/>
  <c r="BX23" i="31"/>
  <c r="DA23" i="31"/>
  <c r="CR23" i="31"/>
  <c r="CI23" i="31"/>
  <c r="DE23" i="31"/>
  <c r="DC23" i="31"/>
  <c r="CX23" i="31"/>
  <c r="CQ23" i="31"/>
  <c r="BV23" i="31"/>
  <c r="BQ23" i="31"/>
  <c r="BO23" i="31"/>
  <c r="DI23" i="31"/>
  <c r="CZ23" i="31"/>
  <c r="DJ23" i="31"/>
  <c r="DD39" i="31"/>
  <c r="CM39" i="31"/>
  <c r="DI39" i="31"/>
  <c r="BT39" i="31"/>
  <c r="BR39" i="31"/>
  <c r="CK39" i="31"/>
  <c r="F158" i="24"/>
  <c r="CV39" i="31"/>
  <c r="CE39" i="31"/>
  <c r="CX39" i="31"/>
  <c r="DF39" i="31"/>
  <c r="DA39" i="31"/>
  <c r="CI39" i="31"/>
  <c r="DE39" i="31"/>
  <c r="CN39" i="31"/>
  <c r="BW39" i="31"/>
  <c r="CJ39" i="31"/>
  <c r="CR39" i="31"/>
  <c r="BU39" i="31"/>
  <c r="DJ39" i="31"/>
  <c r="CW39" i="31"/>
  <c r="CF39" i="31"/>
  <c r="BO39" i="31"/>
  <c r="BV39" i="31"/>
  <c r="CD39" i="31"/>
  <c r="CY39" i="31"/>
  <c r="CB39" i="31"/>
  <c r="CO39" i="31"/>
  <c r="BX39" i="31"/>
  <c r="CZ39" i="31"/>
  <c r="BK39" i="31"/>
  <c r="BS39" i="31"/>
  <c r="BN39" i="31"/>
  <c r="CG39" i="31"/>
  <c r="BP39" i="31"/>
  <c r="CL39" i="31"/>
  <c r="DG39" i="31"/>
  <c r="DB39" i="31"/>
  <c r="CT39" i="31"/>
  <c r="BQ39" i="31"/>
  <c r="CU39" i="31"/>
  <c r="BM39" i="31"/>
  <c r="CH39" i="31"/>
  <c r="CC39" i="31"/>
  <c r="CP39" i="31"/>
  <c r="CQ39" i="31"/>
  <c r="BL39" i="31"/>
  <c r="BY39" i="31"/>
  <c r="DC39" i="31"/>
  <c r="CS39" i="31"/>
  <c r="CA39" i="31"/>
  <c r="BZ39" i="31"/>
  <c r="DH39" i="31"/>
  <c r="CO62" i="31"/>
  <c r="CK62" i="31"/>
  <c r="CB62" i="31"/>
  <c r="BS62" i="31"/>
  <c r="BX62" i="31"/>
  <c r="DC62" i="31"/>
  <c r="CN62" i="31"/>
  <c r="CC62" i="31"/>
  <c r="BT62" i="31"/>
  <c r="BK62" i="31"/>
  <c r="DJ62" i="31"/>
  <c r="CF62" i="31"/>
  <c r="CD62" i="31"/>
  <c r="BU62" i="31"/>
  <c r="BL62" i="31"/>
  <c r="CX62" i="31"/>
  <c r="CV62" i="31"/>
  <c r="BO62" i="31"/>
  <c r="DF62" i="31"/>
  <c r="BM62" i="31"/>
  <c r="DG62" i="31"/>
  <c r="CM62" i="31"/>
  <c r="CH62" i="31"/>
  <c r="DB62" i="31"/>
  <c r="BZ62" i="31"/>
  <c r="F181" i="24"/>
  <c r="DH62" i="31"/>
  <c r="CY62" i="31"/>
  <c r="BY62" i="31"/>
  <c r="BW62" i="31"/>
  <c r="CE62" i="31"/>
  <c r="BV62" i="31"/>
  <c r="CS62" i="31"/>
  <c r="CJ62" i="31"/>
  <c r="CA62" i="31"/>
  <c r="CL62" i="31"/>
  <c r="BP62" i="31"/>
  <c r="CP62" i="31"/>
  <c r="CT62" i="31"/>
  <c r="BN62" i="31"/>
  <c r="CW62" i="31"/>
  <c r="DI62" i="31"/>
  <c r="DD62" i="31"/>
  <c r="DA62" i="31"/>
  <c r="CG62" i="31"/>
  <c r="CZ62" i="31"/>
  <c r="CU62" i="31"/>
  <c r="CR62" i="31"/>
  <c r="BR62" i="31"/>
  <c r="CQ62" i="31"/>
  <c r="BQ62" i="31"/>
  <c r="CI62" i="31"/>
  <c r="DE62" i="31"/>
  <c r="BV72" i="31"/>
  <c r="BM72" i="31"/>
  <c r="DE72" i="31"/>
  <c r="DC72" i="31"/>
  <c r="CG72" i="31"/>
  <c r="DF72" i="31"/>
  <c r="BN72" i="31"/>
  <c r="DH72" i="31"/>
  <c r="CQ72" i="31"/>
  <c r="CO72" i="31"/>
  <c r="CW72" i="31"/>
  <c r="CU72" i="31"/>
  <c r="F191" i="24"/>
  <c r="DI72" i="31"/>
  <c r="CZ72" i="31"/>
  <c r="CF72" i="31"/>
  <c r="CA72" i="31"/>
  <c r="BZ72" i="31"/>
  <c r="CN72" i="31"/>
  <c r="DJ72" i="31"/>
  <c r="DA72" i="31"/>
  <c r="CR72" i="31"/>
  <c r="BR72" i="31"/>
  <c r="BP72" i="31"/>
  <c r="CI72" i="31"/>
  <c r="CM72" i="31"/>
  <c r="DB72" i="31"/>
  <c r="CS72" i="31"/>
  <c r="CJ72" i="31"/>
  <c r="DD72" i="31"/>
  <c r="CY72" i="31"/>
  <c r="BY72" i="31"/>
  <c r="CV72" i="31"/>
  <c r="CT72" i="31"/>
  <c r="CK72" i="31"/>
  <c r="CB72" i="31"/>
  <c r="CP72" i="31"/>
  <c r="CH72" i="31"/>
  <c r="DG72" i="31"/>
  <c r="BW72" i="31"/>
  <c r="CL72" i="31"/>
  <c r="CC72" i="31"/>
  <c r="BT72" i="31"/>
  <c r="CE72" i="31"/>
  <c r="BK72" i="31"/>
  <c r="BX72" i="31"/>
  <c r="CD72" i="31"/>
  <c r="BU72" i="31"/>
  <c r="BL72" i="31"/>
  <c r="BQ72" i="31"/>
  <c r="BS72" i="31"/>
  <c r="CX72" i="31"/>
  <c r="BO72" i="31"/>
  <c r="CV60" i="31"/>
  <c r="CC60" i="31"/>
  <c r="BT60" i="31"/>
  <c r="BK60" i="31"/>
  <c r="BN60" i="31"/>
  <c r="CG60" i="31"/>
  <c r="CP60" i="31"/>
  <c r="BM60" i="31"/>
  <c r="DG60" i="31"/>
  <c r="CN60" i="31"/>
  <c r="CL60" i="31"/>
  <c r="DC60" i="31"/>
  <c r="CE60" i="31"/>
  <c r="F179" i="24"/>
  <c r="DH60" i="31"/>
  <c r="CY60" i="31"/>
  <c r="BZ60" i="31"/>
  <c r="BX60" i="31"/>
  <c r="CF60" i="31"/>
  <c r="CT60" i="31"/>
  <c r="DI60" i="31"/>
  <c r="CZ60" i="31"/>
  <c r="CQ60" i="31"/>
  <c r="BO60" i="31"/>
  <c r="DE60" i="31"/>
  <c r="DF60" i="31"/>
  <c r="CD60" i="31"/>
  <c r="BU60" i="31"/>
  <c r="DB60" i="31"/>
  <c r="BP60" i="31"/>
  <c r="CR60" i="31"/>
  <c r="CX60" i="31"/>
  <c r="BW60" i="31"/>
  <c r="CJ60" i="31"/>
  <c r="CM60" i="31"/>
  <c r="CU60" i="31"/>
  <c r="CB60" i="31"/>
  <c r="BY60" i="31"/>
  <c r="BR60" i="31"/>
  <c r="BL60" i="31"/>
  <c r="CW60" i="31"/>
  <c r="CO60" i="31"/>
  <c r="DA60" i="31"/>
  <c r="CI60" i="31"/>
  <c r="CH60" i="31"/>
  <c r="BV60" i="31"/>
  <c r="CK60" i="31"/>
  <c r="BS60" i="31"/>
  <c r="DD60" i="31"/>
  <c r="CS60" i="31"/>
  <c r="CA60" i="31"/>
  <c r="BQ60" i="31"/>
  <c r="DJ60" i="31"/>
  <c r="CH85" i="31"/>
  <c r="BQ85" i="31"/>
  <c r="CR85" i="31"/>
  <c r="CY85" i="31"/>
  <c r="BK85" i="31"/>
  <c r="CL85" i="31"/>
  <c r="CZ85" i="31"/>
  <c r="BZ85" i="31"/>
  <c r="DD85" i="31"/>
  <c r="CD85" i="31"/>
  <c r="CK85" i="31"/>
  <c r="DH85" i="31"/>
  <c r="DB85" i="31"/>
  <c r="DE85" i="31"/>
  <c r="CN85" i="31"/>
  <c r="DA85" i="31"/>
  <c r="BL85" i="31"/>
  <c r="CI85" i="31"/>
  <c r="CA85" i="31"/>
  <c r="DF85" i="31"/>
  <c r="CO85" i="31"/>
  <c r="BX85" i="31"/>
  <c r="CB85" i="31"/>
  <c r="CU85" i="31"/>
  <c r="CS85" i="31"/>
  <c r="BO85" i="31"/>
  <c r="F204" i="24"/>
  <c r="CF85" i="31"/>
  <c r="DI85" i="31"/>
  <c r="BT85" i="31"/>
  <c r="CX85" i="31"/>
  <c r="BP85" i="31"/>
  <c r="CJ85" i="31"/>
  <c r="DG85" i="31"/>
  <c r="CP85" i="31"/>
  <c r="DC85" i="31"/>
  <c r="BV85" i="31"/>
  <c r="CC85" i="31"/>
  <c r="BR85" i="31"/>
  <c r="BS85" i="31"/>
  <c r="CT85" i="31"/>
  <c r="CW85" i="31"/>
  <c r="CM85" i="31"/>
  <c r="BU85" i="31"/>
  <c r="CG85" i="31"/>
  <c r="BN85" i="31"/>
  <c r="BM85" i="31"/>
  <c r="CV85" i="31"/>
  <c r="BW85" i="31"/>
  <c r="CE85" i="31"/>
  <c r="DJ85" i="31"/>
  <c r="CQ85" i="31"/>
  <c r="BY85" i="31"/>
  <c r="CP43" i="31"/>
  <c r="CF43" i="31"/>
  <c r="BO43" i="31"/>
  <c r="CY43" i="31"/>
  <c r="BK43" i="31"/>
  <c r="DA43" i="31"/>
  <c r="BT43" i="31"/>
  <c r="BX43" i="31"/>
  <c r="DJ43" i="31"/>
  <c r="CK43" i="31"/>
  <c r="DH43" i="31"/>
  <c r="CG43" i="31"/>
  <c r="CH43" i="31"/>
  <c r="BP43" i="31"/>
  <c r="DB43" i="31"/>
  <c r="BZ43" i="31"/>
  <c r="CW43" i="31"/>
  <c r="BM43" i="31"/>
  <c r="CC43" i="31"/>
  <c r="DC43" i="31"/>
  <c r="CT43" i="31"/>
  <c r="BL43" i="31"/>
  <c r="CI43" i="31"/>
  <c r="CS43" i="31"/>
  <c r="BS43" i="31"/>
  <c r="F162" i="24"/>
  <c r="CU43" i="31"/>
  <c r="CL43" i="31"/>
  <c r="DI43" i="31"/>
  <c r="BU43" i="31"/>
  <c r="CB43" i="31"/>
  <c r="BQ43" i="31"/>
  <c r="DD43" i="31"/>
  <c r="CM43" i="31"/>
  <c r="CD43" i="31"/>
  <c r="CX43" i="31"/>
  <c r="DF43" i="31"/>
  <c r="CR43" i="31"/>
  <c r="DG43" i="31"/>
  <c r="CV43" i="31"/>
  <c r="CE43" i="31"/>
  <c r="BV43" i="31"/>
  <c r="CJ43" i="31"/>
  <c r="CO43" i="31"/>
  <c r="CA43" i="31"/>
  <c r="DE43" i="31"/>
  <c r="CZ43" i="31"/>
  <c r="CN43" i="31"/>
  <c r="BW43" i="31"/>
  <c r="BN43" i="31"/>
  <c r="BY43" i="31"/>
  <c r="BR43" i="31"/>
  <c r="CQ43" i="31"/>
  <c r="CX69" i="31"/>
  <c r="DD69" i="31"/>
  <c r="CI69" i="31"/>
  <c r="DC69" i="31"/>
  <c r="CA69" i="31"/>
  <c r="CZ69" i="31"/>
  <c r="BO69" i="31"/>
  <c r="CP69" i="31"/>
  <c r="CV69" i="31"/>
  <c r="BW69" i="31"/>
  <c r="CR69" i="31"/>
  <c r="DJ69" i="31"/>
  <c r="BS69" i="31"/>
  <c r="CY69" i="31"/>
  <c r="CW69" i="31"/>
  <c r="CF69" i="31"/>
  <c r="DG69" i="31"/>
  <c r="BU69" i="31"/>
  <c r="BZ69" i="31"/>
  <c r="DI69" i="31"/>
  <c r="CG69" i="31"/>
  <c r="BP69" i="31"/>
  <c r="CH69" i="31"/>
  <c r="CU69" i="31"/>
  <c r="CC69" i="31"/>
  <c r="CL69" i="31"/>
  <c r="CO69" i="31"/>
  <c r="CS69" i="31"/>
  <c r="DB69" i="31"/>
  <c r="BY69" i="31"/>
  <c r="BV69" i="31"/>
  <c r="DA69" i="31"/>
  <c r="BQ69" i="31"/>
  <c r="BL69" i="31"/>
  <c r="BT69" i="31"/>
  <c r="CN69" i="31"/>
  <c r="CE69" i="31"/>
  <c r="BR69" i="31"/>
  <c r="BX69" i="31"/>
  <c r="BK69" i="31"/>
  <c r="BN69" i="31"/>
  <c r="F188" i="24"/>
  <c r="DH69" i="31"/>
  <c r="CB69" i="31"/>
  <c r="CK69" i="31"/>
  <c r="DE69" i="31"/>
  <c r="BM69" i="31"/>
  <c r="CM69" i="31"/>
  <c r="DF69" i="31"/>
  <c r="CT69" i="31"/>
  <c r="CQ69" i="31"/>
  <c r="CJ69" i="31"/>
  <c r="CD69" i="31"/>
  <c r="DG98" i="31"/>
  <c r="CX98" i="31"/>
  <c r="CE98" i="31"/>
  <c r="CT98" i="31"/>
  <c r="CL98" i="31"/>
  <c r="CW98" i="31"/>
  <c r="CR98" i="31"/>
  <c r="CQ98" i="31"/>
  <c r="CH98" i="31"/>
  <c r="BO98" i="31"/>
  <c r="BU98" i="31"/>
  <c r="DB98" i="31"/>
  <c r="CO98" i="31"/>
  <c r="BL98" i="31"/>
  <c r="CI98" i="31"/>
  <c r="BZ98" i="31"/>
  <c r="DI98" i="31"/>
  <c r="DE98" i="31"/>
  <c r="CK98" i="31"/>
  <c r="CC98" i="31"/>
  <c r="CN98" i="31"/>
  <c r="CA98" i="31"/>
  <c r="BR98" i="31"/>
  <c r="CV98" i="31"/>
  <c r="CS98" i="31"/>
  <c r="BN98" i="31"/>
  <c r="CB98" i="31"/>
  <c r="CP98" i="31"/>
  <c r="CG98" i="31"/>
  <c r="BQ98" i="31"/>
  <c r="DC98" i="31"/>
  <c r="CF98" i="31"/>
  <c r="DJ98" i="31"/>
  <c r="CU98" i="31"/>
  <c r="BT98" i="31"/>
  <c r="BY98" i="31"/>
  <c r="F217" i="24"/>
  <c r="CM98" i="31"/>
  <c r="DD98" i="31"/>
  <c r="CZ98" i="31"/>
  <c r="CY98" i="31"/>
  <c r="BW98" i="31"/>
  <c r="BP98" i="31"/>
  <c r="BX98" i="31"/>
  <c r="DF98" i="31"/>
  <c r="DH98" i="31"/>
  <c r="BM98" i="31"/>
  <c r="BS98" i="31"/>
  <c r="BK98" i="31"/>
  <c r="CJ98" i="31"/>
  <c r="BV98" i="31"/>
  <c r="DA98" i="31"/>
  <c r="CD98" i="31"/>
  <c r="DH40" i="31"/>
  <c r="BU40" i="31"/>
  <c r="CZ40" i="31"/>
  <c r="BY40" i="31"/>
  <c r="BR40" i="31"/>
  <c r="BP40" i="31"/>
  <c r="CW40" i="31"/>
  <c r="DG40" i="31"/>
  <c r="BM40" i="31"/>
  <c r="CQ40" i="31"/>
  <c r="BN40" i="31"/>
  <c r="DE40" i="31"/>
  <c r="CL40" i="31"/>
  <c r="BO40" i="31"/>
  <c r="CY40" i="31"/>
  <c r="DA40" i="31"/>
  <c r="CI40" i="31"/>
  <c r="CV40" i="31"/>
  <c r="CP40" i="31"/>
  <c r="CG40" i="31"/>
  <c r="CU40" i="31"/>
  <c r="DF40" i="31"/>
  <c r="CR40" i="31"/>
  <c r="CA40" i="31"/>
  <c r="CH40" i="31"/>
  <c r="CE40" i="31"/>
  <c r="BZ40" i="31"/>
  <c r="DB40" i="31"/>
  <c r="CJ40" i="31"/>
  <c r="BS40" i="31"/>
  <c r="BW40" i="31"/>
  <c r="BQ40" i="31"/>
  <c r="DJ40" i="31"/>
  <c r="CN40" i="31"/>
  <c r="CS40" i="31"/>
  <c r="CB40" i="31"/>
  <c r="BK40" i="31"/>
  <c r="DI40" i="31"/>
  <c r="DD40" i="31"/>
  <c r="BX40" i="31"/>
  <c r="CK40" i="31"/>
  <c r="BT40" i="31"/>
  <c r="CX40" i="31"/>
  <c r="CT40" i="31"/>
  <c r="CO40" i="31"/>
  <c r="DC40" i="31"/>
  <c r="CM40" i="31"/>
  <c r="CF40" i="31"/>
  <c r="CD40" i="31"/>
  <c r="BV40" i="31"/>
  <c r="F159" i="24"/>
  <c r="BL40" i="31"/>
  <c r="CC40" i="31"/>
  <c r="CM97" i="31"/>
  <c r="CD97" i="31"/>
  <c r="BS97" i="31"/>
  <c r="CH97" i="31"/>
  <c r="CR97" i="31"/>
  <c r="BQ97" i="31"/>
  <c r="DD97" i="31"/>
  <c r="CE97" i="31"/>
  <c r="BV97" i="31"/>
  <c r="BK97" i="31"/>
  <c r="BU97" i="31"/>
  <c r="BZ97" i="31"/>
  <c r="CZ97" i="31"/>
  <c r="CN97" i="31"/>
  <c r="BW97" i="31"/>
  <c r="BN97" i="31"/>
  <c r="DI97" i="31"/>
  <c r="DF97" i="31"/>
  <c r="CP97" i="31"/>
  <c r="BP97" i="31"/>
  <c r="BO97" i="31"/>
  <c r="DG97" i="31"/>
  <c r="CW97" i="31"/>
  <c r="CS97" i="31"/>
  <c r="BY97" i="31"/>
  <c r="CO97" i="31"/>
  <c r="DJ97" i="31"/>
  <c r="CY97" i="31"/>
  <c r="CJ97" i="31"/>
  <c r="CG97" i="31"/>
  <c r="CK97" i="31"/>
  <c r="BM97" i="31"/>
  <c r="F216" i="24"/>
  <c r="DB97" i="31"/>
  <c r="CQ97" i="31"/>
  <c r="BX97" i="31"/>
  <c r="BT97" i="31"/>
  <c r="DE97" i="31"/>
  <c r="CF97" i="31"/>
  <c r="CU97" i="31"/>
  <c r="CL97" i="31"/>
  <c r="CA97" i="31"/>
  <c r="CV97" i="31"/>
  <c r="CB97" i="31"/>
  <c r="DA97" i="31"/>
  <c r="BL97" i="31"/>
  <c r="CT97" i="31"/>
  <c r="CI97" i="31"/>
  <c r="DH97" i="31"/>
  <c r="CX97" i="31"/>
  <c r="CC97" i="31"/>
  <c r="DC97" i="31"/>
  <c r="BR97" i="31"/>
  <c r="CO33" i="31"/>
  <c r="BX33" i="31"/>
  <c r="DJ33" i="31"/>
  <c r="BV33" i="31"/>
  <c r="CQ33" i="31"/>
  <c r="DB33" i="31"/>
  <c r="CG33" i="31"/>
  <c r="BP33" i="31"/>
  <c r="CY33" i="31"/>
  <c r="BK33" i="31"/>
  <c r="BT33" i="31"/>
  <c r="CH33" i="31"/>
  <c r="BY33" i="31"/>
  <c r="DC33" i="31"/>
  <c r="CK33" i="31"/>
  <c r="DH33" i="31"/>
  <c r="DG33" i="31"/>
  <c r="BN33" i="31"/>
  <c r="BQ33" i="31"/>
  <c r="CU33" i="31"/>
  <c r="BZ33" i="31"/>
  <c r="CT33" i="31"/>
  <c r="CP33" i="31"/>
  <c r="DA33" i="31"/>
  <c r="DD33" i="31"/>
  <c r="CM33" i="31"/>
  <c r="BL33" i="31"/>
  <c r="CI33" i="31"/>
  <c r="BS33" i="31"/>
  <c r="CD33" i="31"/>
  <c r="DE33" i="31"/>
  <c r="CN33" i="31"/>
  <c r="BW33" i="31"/>
  <c r="CX33" i="31"/>
  <c r="CR33" i="31"/>
  <c r="CL33" i="31"/>
  <c r="CZ33" i="31"/>
  <c r="DI33" i="31"/>
  <c r="CJ33" i="31"/>
  <c r="CB33" i="31"/>
  <c r="F152" i="24"/>
  <c r="BU33" i="31"/>
  <c r="CW33" i="31"/>
  <c r="CA33" i="31"/>
  <c r="CV33" i="31"/>
  <c r="DF33" i="31"/>
  <c r="CF33" i="31"/>
  <c r="BR33" i="31"/>
  <c r="BO33" i="31"/>
  <c r="CC33" i="31"/>
  <c r="CE33" i="31"/>
  <c r="BM33" i="31"/>
  <c r="CS33" i="31"/>
  <c r="I36" i="20"/>
  <c r="BS96" i="31"/>
  <c r="DC96" i="31"/>
  <c r="CK96" i="31"/>
  <c r="CT96" i="31"/>
  <c r="BP96" i="31"/>
  <c r="CO96" i="31"/>
  <c r="BK96" i="31"/>
  <c r="CU96" i="31"/>
  <c r="BX96" i="31"/>
  <c r="CG96" i="31"/>
  <c r="DB96" i="31"/>
  <c r="CD96" i="31"/>
  <c r="F215" i="24"/>
  <c r="DF96" i="31"/>
  <c r="CM96" i="31"/>
  <c r="BL96" i="31"/>
  <c r="BU96" i="31"/>
  <c r="CF96" i="31"/>
  <c r="CC96" i="31"/>
  <c r="DG96" i="31"/>
  <c r="CX96" i="31"/>
  <c r="CE96" i="31"/>
  <c r="DI96" i="31"/>
  <c r="DE96" i="31"/>
  <c r="BN96" i="31"/>
  <c r="CZ96" i="31"/>
  <c r="CY96" i="31"/>
  <c r="CP96" i="31"/>
  <c r="BW96" i="31"/>
  <c r="CV96" i="31"/>
  <c r="CN96" i="31"/>
  <c r="DA96" i="31"/>
  <c r="CB96" i="31"/>
  <c r="CQ96" i="31"/>
  <c r="CH96" i="31"/>
  <c r="BO96" i="31"/>
  <c r="CJ96" i="31"/>
  <c r="BQ96" i="31"/>
  <c r="BY96" i="31"/>
  <c r="BT96" i="31"/>
  <c r="CA96" i="31"/>
  <c r="BR96" i="31"/>
  <c r="CW96" i="31"/>
  <c r="DH96" i="31"/>
  <c r="CL96" i="31"/>
  <c r="BM96" i="31"/>
  <c r="CR96" i="31"/>
  <c r="CI96" i="31"/>
  <c r="BZ96" i="31"/>
  <c r="DJ96" i="31"/>
  <c r="BV96" i="31"/>
  <c r="CS96" i="31"/>
  <c r="DD96" i="31"/>
  <c r="CG31" i="31"/>
  <c r="BY31" i="31"/>
  <c r="BQ31" i="31"/>
  <c r="DD31" i="31"/>
  <c r="F150" i="24"/>
  <c r="DE31" i="31"/>
  <c r="CN31" i="31"/>
  <c r="CO31" i="31"/>
  <c r="CU31" i="31"/>
  <c r="BM31" i="31"/>
  <c r="CJ31" i="31"/>
  <c r="CQ31" i="31"/>
  <c r="DB31" i="31"/>
  <c r="CM31" i="31"/>
  <c r="DJ31" i="31"/>
  <c r="BV31" i="31"/>
  <c r="BT31" i="31"/>
  <c r="CH31" i="31"/>
  <c r="CW31" i="31"/>
  <c r="CE31" i="31"/>
  <c r="CY31" i="31"/>
  <c r="BK31" i="31"/>
  <c r="DG31" i="31"/>
  <c r="BN31" i="31"/>
  <c r="CV31" i="31"/>
  <c r="BW31" i="31"/>
  <c r="CK31" i="31"/>
  <c r="CS31" i="31"/>
  <c r="CP31" i="31"/>
  <c r="DA31" i="31"/>
  <c r="CF31" i="31"/>
  <c r="BO31" i="31"/>
  <c r="BZ31" i="31"/>
  <c r="CB31" i="31"/>
  <c r="BS31" i="31"/>
  <c r="CD31" i="31"/>
  <c r="BX31" i="31"/>
  <c r="CZ31" i="31"/>
  <c r="BL31" i="31"/>
  <c r="CR31" i="31"/>
  <c r="DF31" i="31"/>
  <c r="DC31" i="31"/>
  <c r="CA31" i="31"/>
  <c r="CX31" i="31"/>
  <c r="DH31" i="31"/>
  <c r="BR31" i="31"/>
  <c r="BP31" i="31"/>
  <c r="CL31" i="31"/>
  <c r="DI31" i="31"/>
  <c r="BU31" i="31"/>
  <c r="CI31" i="31"/>
  <c r="CT31" i="31"/>
  <c r="CC31" i="31"/>
  <c r="F173" i="24"/>
  <c r="DH54" i="31"/>
  <c r="CY54" i="31"/>
  <c r="CF54" i="31"/>
  <c r="CD54" i="31"/>
  <c r="CL54" i="31"/>
  <c r="CW54" i="31"/>
  <c r="DI54" i="31"/>
  <c r="CZ54" i="31"/>
  <c r="CQ54" i="31"/>
  <c r="BR54" i="31"/>
  <c r="BP54" i="31"/>
  <c r="BO54" i="31"/>
  <c r="BN54" i="31"/>
  <c r="DA54" i="31"/>
  <c r="CR54" i="31"/>
  <c r="CI54" i="31"/>
  <c r="DD54" i="31"/>
  <c r="CN54" i="31"/>
  <c r="CU54" i="31"/>
  <c r="CV54" i="31"/>
  <c r="CS54" i="31"/>
  <c r="CJ54" i="31"/>
  <c r="CA54" i="31"/>
  <c r="CP54" i="31"/>
  <c r="BW54" i="31"/>
  <c r="CG54" i="31"/>
  <c r="CH54" i="31"/>
  <c r="CK54" i="31"/>
  <c r="CB54" i="31"/>
  <c r="BS54" i="31"/>
  <c r="CE54" i="31"/>
  <c r="DJ54" i="31"/>
  <c r="DB54" i="31"/>
  <c r="BZ54" i="31"/>
  <c r="BM54" i="31"/>
  <c r="DG54" i="31"/>
  <c r="CT54" i="31"/>
  <c r="CO54" i="31"/>
  <c r="DF54" i="31"/>
  <c r="BX54" i="31"/>
  <c r="CC54" i="31"/>
  <c r="CM54" i="31"/>
  <c r="BU54" i="31"/>
  <c r="BV54" i="31"/>
  <c r="BT54" i="31"/>
  <c r="BY54" i="31"/>
  <c r="BL54" i="31"/>
  <c r="CX54" i="31"/>
  <c r="BK54" i="31"/>
  <c r="DE54" i="31"/>
  <c r="BQ54" i="31"/>
  <c r="DC54" i="31"/>
  <c r="CB48" i="31"/>
  <c r="BS48" i="31"/>
  <c r="DI48" i="31"/>
  <c r="DD48" i="31"/>
  <c r="BP48" i="31"/>
  <c r="CC48" i="31"/>
  <c r="BT48" i="31"/>
  <c r="BK48" i="31"/>
  <c r="CU48" i="31"/>
  <c r="CS48" i="31"/>
  <c r="DB48" i="31"/>
  <c r="CV48" i="31"/>
  <c r="BL48" i="31"/>
  <c r="DF48" i="31"/>
  <c r="CG48" i="31"/>
  <c r="CE48" i="31"/>
  <c r="CK48" i="31"/>
  <c r="CN48" i="31"/>
  <c r="F167" i="24"/>
  <c r="DG48" i="31"/>
  <c r="CX48" i="31"/>
  <c r="BV48" i="31"/>
  <c r="BQ48" i="31"/>
  <c r="BN48" i="31"/>
  <c r="CL48" i="31"/>
  <c r="DH48" i="31"/>
  <c r="CY48" i="31"/>
  <c r="CP48" i="31"/>
  <c r="DE48" i="31"/>
  <c r="CO48" i="31"/>
  <c r="DA48" i="31"/>
  <c r="BY48" i="31"/>
  <c r="CZ48" i="31"/>
  <c r="CQ48" i="31"/>
  <c r="CH48" i="31"/>
  <c r="CT48" i="31"/>
  <c r="BX48" i="31"/>
  <c r="CD48" i="31"/>
  <c r="BW48" i="31"/>
  <c r="DC48" i="31"/>
  <c r="CR48" i="31"/>
  <c r="CI48" i="31"/>
  <c r="BZ48" i="31"/>
  <c r="CF48" i="31"/>
  <c r="DJ48" i="31"/>
  <c r="BM48" i="31"/>
  <c r="BO48" i="31"/>
  <c r="CA48" i="31"/>
  <c r="BR48" i="31"/>
  <c r="BU48" i="31"/>
  <c r="CM48" i="31"/>
  <c r="CW48" i="31"/>
  <c r="CJ48" i="31"/>
  <c r="CH52" i="31"/>
  <c r="BU52" i="31"/>
  <c r="BL52" i="31"/>
  <c r="DF52" i="31"/>
  <c r="DD52" i="31"/>
  <c r="DJ52" i="31"/>
  <c r="BZ52" i="31"/>
  <c r="BM52" i="31"/>
  <c r="DG52" i="31"/>
  <c r="CU52" i="31"/>
  <c r="CP52" i="31"/>
  <c r="CM52" i="31"/>
  <c r="DB52" i="31"/>
  <c r="F171" i="24"/>
  <c r="DH52" i="31"/>
  <c r="CY52" i="31"/>
  <c r="CG52" i="31"/>
  <c r="CE52" i="31"/>
  <c r="BP52" i="31"/>
  <c r="BY52" i="31"/>
  <c r="DI52" i="31"/>
  <c r="CZ52" i="31"/>
  <c r="CQ52" i="31"/>
  <c r="BV52" i="31"/>
  <c r="BQ52" i="31"/>
  <c r="CW52" i="31"/>
  <c r="BO52" i="31"/>
  <c r="DA52" i="31"/>
  <c r="CR52" i="31"/>
  <c r="CI52" i="31"/>
  <c r="DE52" i="31"/>
  <c r="CO52" i="31"/>
  <c r="BN52" i="31"/>
  <c r="CX52" i="31"/>
  <c r="CS52" i="31"/>
  <c r="CJ52" i="31"/>
  <c r="CA52" i="31"/>
  <c r="CT52" i="31"/>
  <c r="BX52" i="31"/>
  <c r="CL52" i="31"/>
  <c r="CV52" i="31"/>
  <c r="CK52" i="31"/>
  <c r="CB52" i="31"/>
  <c r="BS52" i="31"/>
  <c r="CF52" i="31"/>
  <c r="CN52" i="31"/>
  <c r="CD52" i="31"/>
  <c r="BW52" i="31"/>
  <c r="DC52" i="31"/>
  <c r="CC52" i="31"/>
  <c r="BT52" i="31"/>
  <c r="BK52" i="31"/>
  <c r="BR52" i="31"/>
  <c r="BW99" i="31"/>
  <c r="BN99" i="31"/>
  <c r="DH99" i="31"/>
  <c r="DE99" i="31"/>
  <c r="CO99" i="31"/>
  <c r="CN99" i="31"/>
  <c r="BO99" i="31"/>
  <c r="DG99" i="31"/>
  <c r="CV99" i="31"/>
  <c r="CR99" i="31"/>
  <c r="BX99" i="31"/>
  <c r="BL99" i="31"/>
  <c r="DJ99" i="31"/>
  <c r="CY99" i="31"/>
  <c r="CH99" i="31"/>
  <c r="CF99" i="31"/>
  <c r="DI99" i="31"/>
  <c r="CK99" i="31"/>
  <c r="F218" i="24"/>
  <c r="DB99" i="31"/>
  <c r="CQ99" i="31"/>
  <c r="BU99" i="31"/>
  <c r="BR99" i="31"/>
  <c r="CC99" i="31"/>
  <c r="BP99" i="31"/>
  <c r="DC99" i="31"/>
  <c r="CT99" i="31"/>
  <c r="CI99" i="31"/>
  <c r="DF99" i="31"/>
  <c r="CW99" i="31"/>
  <c r="DA99" i="31"/>
  <c r="CZ99" i="31"/>
  <c r="CU99" i="31"/>
  <c r="CL99" i="31"/>
  <c r="CA99" i="31"/>
  <c r="CS99" i="31"/>
  <c r="BZ99" i="31"/>
  <c r="BQ99" i="31"/>
  <c r="CB99" i="31"/>
  <c r="CM99" i="31"/>
  <c r="CD99" i="31"/>
  <c r="BS99" i="31"/>
  <c r="CG99" i="31"/>
  <c r="CP99" i="31"/>
  <c r="CX99" i="31"/>
  <c r="DD99" i="31"/>
  <c r="BY99" i="31"/>
  <c r="BM99" i="31"/>
  <c r="CJ99" i="31"/>
  <c r="CE99" i="31"/>
  <c r="BV99" i="31"/>
  <c r="BK99" i="31"/>
  <c r="BT99" i="31"/>
  <c r="DJ35" i="31"/>
  <c r="CC35" i="31"/>
  <c r="F154" i="24"/>
  <c r="CV35" i="31"/>
  <c r="CE35" i="31"/>
  <c r="BM35" i="31"/>
  <c r="CI35" i="31"/>
  <c r="DA35" i="31"/>
  <c r="CK35" i="31"/>
  <c r="DE35" i="31"/>
  <c r="CN35" i="31"/>
  <c r="BW35" i="31"/>
  <c r="DI35" i="31"/>
  <c r="BU35" i="31"/>
  <c r="BZ35" i="31"/>
  <c r="BL35" i="31"/>
  <c r="CW35" i="31"/>
  <c r="CF35" i="31"/>
  <c r="BO35" i="31"/>
  <c r="CX35" i="31"/>
  <c r="DG35" i="31"/>
  <c r="CY35" i="31"/>
  <c r="CD35" i="31"/>
  <c r="CO35" i="31"/>
  <c r="BX35" i="31"/>
  <c r="DB35" i="31"/>
  <c r="CJ35" i="31"/>
  <c r="CS35" i="31"/>
  <c r="BS35" i="31"/>
  <c r="CG35" i="31"/>
  <c r="BP35" i="31"/>
  <c r="CQ35" i="31"/>
  <c r="BV35" i="31"/>
  <c r="CH35" i="31"/>
  <c r="CR35" i="31"/>
  <c r="BY35" i="31"/>
  <c r="DC35" i="31"/>
  <c r="CZ35" i="31"/>
  <c r="BK35" i="31"/>
  <c r="BT35" i="31"/>
  <c r="BR35" i="31"/>
  <c r="BQ35" i="31"/>
  <c r="CU35" i="31"/>
  <c r="CL35" i="31"/>
  <c r="DH35" i="31"/>
  <c r="DF35" i="31"/>
  <c r="CP35" i="31"/>
  <c r="DD35" i="31"/>
  <c r="CM35" i="31"/>
  <c r="CA35" i="31"/>
  <c r="CT35" i="31"/>
  <c r="CB35" i="31"/>
  <c r="BN35" i="31"/>
  <c r="BQ61" i="31"/>
  <c r="CU61" i="31"/>
  <c r="BM61" i="31"/>
  <c r="CJ61" i="31"/>
  <c r="CQ61" i="31"/>
  <c r="BR61" i="31"/>
  <c r="DD61" i="31"/>
  <c r="CM61" i="31"/>
  <c r="DJ61" i="31"/>
  <c r="BV61" i="31"/>
  <c r="BT61" i="31"/>
  <c r="CT61" i="31"/>
  <c r="DE61" i="31"/>
  <c r="CN61" i="31"/>
  <c r="BW61" i="31"/>
  <c r="CK61" i="31"/>
  <c r="CS61" i="31"/>
  <c r="DG61" i="31"/>
  <c r="DF61" i="31"/>
  <c r="CO61" i="31"/>
  <c r="BX61" i="31"/>
  <c r="CZ61" i="31"/>
  <c r="BL61" i="31"/>
  <c r="CR61" i="31"/>
  <c r="DB61" i="31"/>
  <c r="CH61" i="31"/>
  <c r="CW61" i="31"/>
  <c r="BO61" i="31"/>
  <c r="CB61" i="31"/>
  <c r="CP61" i="31"/>
  <c r="CG61" i="31"/>
  <c r="CL61" i="31"/>
  <c r="BU61" i="31"/>
  <c r="CC61" i="31"/>
  <c r="BY61" i="31"/>
  <c r="CA61" i="31"/>
  <c r="DH61" i="31"/>
  <c r="CV61" i="31"/>
  <c r="CY61" i="31"/>
  <c r="CI61" i="31"/>
  <c r="CF61" i="31"/>
  <c r="BZ61" i="31"/>
  <c r="CD61" i="31"/>
  <c r="BP61" i="31"/>
  <c r="DI61" i="31"/>
  <c r="BS61" i="31"/>
  <c r="F180" i="24"/>
  <c r="CE61" i="31"/>
  <c r="BK61" i="31"/>
  <c r="BN61" i="31"/>
  <c r="DC61" i="31"/>
  <c r="CX61" i="31"/>
  <c r="DA61" i="31"/>
  <c r="CS82" i="31"/>
  <c r="CJ82" i="31"/>
  <c r="DD82" i="31"/>
  <c r="BS82" i="31"/>
  <c r="BQ82" i="31"/>
  <c r="BV82" i="31"/>
  <c r="CK82" i="31"/>
  <c r="CB82" i="31"/>
  <c r="CQ82" i="31"/>
  <c r="CX82" i="31"/>
  <c r="CH82" i="31"/>
  <c r="BP82" i="31"/>
  <c r="F201" i="24"/>
  <c r="BU82" i="31"/>
  <c r="DF82" i="31"/>
  <c r="BW82" i="31"/>
  <c r="CD82" i="31"/>
  <c r="CF82" i="31"/>
  <c r="BN82" i="31"/>
  <c r="DJ82" i="31"/>
  <c r="BM82" i="31"/>
  <c r="CU82" i="31"/>
  <c r="BL82" i="31"/>
  <c r="BR82" i="31"/>
  <c r="DE82" i="31"/>
  <c r="CP82" i="31"/>
  <c r="DB82" i="31"/>
  <c r="DH82" i="31"/>
  <c r="CI82" i="31"/>
  <c r="CY82" i="31"/>
  <c r="CW82" i="31"/>
  <c r="BZ82" i="31"/>
  <c r="BX82" i="31"/>
  <c r="CZ82" i="31"/>
  <c r="CN82" i="31"/>
  <c r="CV82" i="31"/>
  <c r="CR82" i="31"/>
  <c r="CM82" i="31"/>
  <c r="BT82" i="31"/>
  <c r="CA82" i="31"/>
  <c r="BY82" i="31"/>
  <c r="DG82" i="31"/>
  <c r="BO82" i="31"/>
  <c r="CT82" i="31"/>
  <c r="DI82" i="31"/>
  <c r="CG82" i="31"/>
  <c r="CL82" i="31"/>
  <c r="DA82" i="31"/>
  <c r="CO82" i="31"/>
  <c r="DC82" i="31"/>
  <c r="CC82" i="31"/>
  <c r="CE82" i="31"/>
  <c r="BK82" i="31"/>
  <c r="BQ89" i="31"/>
  <c r="CU89" i="31"/>
  <c r="BT89" i="31"/>
  <c r="BR89" i="31"/>
  <c r="CA89" i="31"/>
  <c r="BK89" i="31"/>
  <c r="DD89" i="31"/>
  <c r="CM89" i="31"/>
  <c r="DF89" i="31"/>
  <c r="DH89" i="31"/>
  <c r="CT89" i="31"/>
  <c r="DA89" i="31"/>
  <c r="F208" i="24"/>
  <c r="CV89" i="31"/>
  <c r="CE89" i="31"/>
  <c r="CR89" i="31"/>
  <c r="CK89" i="31"/>
  <c r="BZ89" i="31"/>
  <c r="CL89" i="31"/>
  <c r="DE89" i="31"/>
  <c r="CN89" i="31"/>
  <c r="BW89" i="31"/>
  <c r="CD89" i="31"/>
  <c r="BN89" i="31"/>
  <c r="DJ89" i="31"/>
  <c r="CB89" i="31"/>
  <c r="CW89" i="31"/>
  <c r="CF89" i="31"/>
  <c r="BO89" i="31"/>
  <c r="BS89" i="31"/>
  <c r="CZ89" i="31"/>
  <c r="CP89" i="31"/>
  <c r="BU89" i="31"/>
  <c r="CO89" i="31"/>
  <c r="BX89" i="31"/>
  <c r="DG89" i="31"/>
  <c r="DB89" i="31"/>
  <c r="CI89" i="31"/>
  <c r="BV89" i="31"/>
  <c r="CY89" i="31"/>
  <c r="BY89" i="31"/>
  <c r="DC89" i="31"/>
  <c r="CH89" i="31"/>
  <c r="CC89" i="31"/>
  <c r="CX89" i="31"/>
  <c r="DI89" i="31"/>
  <c r="CS89" i="31"/>
  <c r="CQ89" i="31"/>
  <c r="BL89" i="31"/>
  <c r="BM89" i="31"/>
  <c r="CJ89" i="31"/>
  <c r="CG89" i="31"/>
  <c r="BP89" i="31"/>
  <c r="CU25" i="31"/>
  <c r="BV25" i="31"/>
  <c r="CG25" i="31"/>
  <c r="F144" i="24"/>
  <c r="DH25" i="31"/>
  <c r="CY25" i="31"/>
  <c r="CF25" i="31"/>
  <c r="CD25" i="31"/>
  <c r="BY25" i="31"/>
  <c r="BW25" i="31"/>
  <c r="DI25" i="31"/>
  <c r="CZ25" i="31"/>
  <c r="CQ25" i="31"/>
  <c r="BR25" i="31"/>
  <c r="BP25" i="31"/>
  <c r="BN25" i="31"/>
  <c r="DA25" i="31"/>
  <c r="CR25" i="31"/>
  <c r="CI25" i="31"/>
  <c r="DD25" i="31"/>
  <c r="DB25" i="31"/>
  <c r="CW25" i="31"/>
  <c r="CS25" i="31"/>
  <c r="CJ25" i="31"/>
  <c r="CA25" i="31"/>
  <c r="CP25" i="31"/>
  <c r="CN25" i="31"/>
  <c r="CL25" i="31"/>
  <c r="CK25" i="31"/>
  <c r="CB25" i="31"/>
  <c r="BS25" i="31"/>
  <c r="CE25" i="31"/>
  <c r="BZ25" i="31"/>
  <c r="BX25" i="31"/>
  <c r="BU25" i="31"/>
  <c r="BL25" i="31"/>
  <c r="DE25" i="31"/>
  <c r="DC25" i="31"/>
  <c r="CX25" i="31"/>
  <c r="CV25" i="31"/>
  <c r="CC25" i="31"/>
  <c r="BO25" i="31"/>
  <c r="BM25" i="31"/>
  <c r="CM25" i="31"/>
  <c r="BT25" i="31"/>
  <c r="DJ25" i="31"/>
  <c r="DG25" i="31"/>
  <c r="CH25" i="31"/>
  <c r="BK25" i="31"/>
  <c r="CT25" i="31"/>
  <c r="CO25" i="31"/>
  <c r="DF25" i="31"/>
  <c r="BQ25" i="31"/>
  <c r="I71" i="20"/>
  <c r="DA56" i="31"/>
  <c r="CR56" i="31"/>
  <c r="CI56" i="31"/>
  <c r="DC56" i="31"/>
  <c r="DJ56" i="31"/>
  <c r="BN56" i="31"/>
  <c r="CT56" i="31"/>
  <c r="CS56" i="31"/>
  <c r="CJ56" i="31"/>
  <c r="CA56" i="31"/>
  <c r="CO56" i="31"/>
  <c r="CM56" i="31"/>
  <c r="CG56" i="31"/>
  <c r="CF56" i="31"/>
  <c r="CK56" i="31"/>
  <c r="CB56" i="31"/>
  <c r="BS56" i="31"/>
  <c r="CD56" i="31"/>
  <c r="BV56" i="31"/>
  <c r="BY56" i="31"/>
  <c r="BX56" i="31"/>
  <c r="CC56" i="31"/>
  <c r="BT56" i="31"/>
  <c r="BK56" i="31"/>
  <c r="BP56" i="31"/>
  <c r="DF56" i="31"/>
  <c r="CW56" i="31"/>
  <c r="BU56" i="31"/>
  <c r="BL56" i="31"/>
  <c r="DD56" i="31"/>
  <c r="DB56" i="31"/>
  <c r="CL56" i="31"/>
  <c r="BW56" i="31"/>
  <c r="BM56" i="31"/>
  <c r="DG56" i="31"/>
  <c r="CP56" i="31"/>
  <c r="CN56" i="31"/>
  <c r="BR56" i="31"/>
  <c r="CV56" i="31"/>
  <c r="F175" i="24"/>
  <c r="DH56" i="31"/>
  <c r="CY56" i="31"/>
  <c r="CE56" i="31"/>
  <c r="BZ56" i="31"/>
  <c r="DE56" i="31"/>
  <c r="CU56" i="31"/>
  <c r="DI56" i="31"/>
  <c r="CZ56" i="31"/>
  <c r="CQ56" i="31"/>
  <c r="BQ56" i="31"/>
  <c r="BO56" i="31"/>
  <c r="CH56" i="31"/>
  <c r="CX56" i="31"/>
  <c r="BT46" i="31"/>
  <c r="BK46" i="31"/>
  <c r="CV46" i="31"/>
  <c r="CT46" i="31"/>
  <c r="CL46" i="31"/>
  <c r="CO46" i="31"/>
  <c r="BL46" i="31"/>
  <c r="DF46" i="31"/>
  <c r="CK46" i="31"/>
  <c r="CF46" i="31"/>
  <c r="BO46" i="31"/>
  <c r="CM46" i="31"/>
  <c r="DH46" i="31"/>
  <c r="CY46" i="31"/>
  <c r="CP46" i="31"/>
  <c r="DI46" i="31"/>
  <c r="CS46" i="31"/>
  <c r="CE46" i="31"/>
  <c r="BX46" i="31"/>
  <c r="CZ46" i="31"/>
  <c r="CQ46" i="31"/>
  <c r="CH46" i="31"/>
  <c r="CU46" i="31"/>
  <c r="BY46" i="31"/>
  <c r="BN46" i="31"/>
  <c r="BP46" i="31"/>
  <c r="CR46" i="31"/>
  <c r="CI46" i="31"/>
  <c r="BZ46" i="31"/>
  <c r="CG46" i="31"/>
  <c r="CN46" i="31"/>
  <c r="DA46" i="31"/>
  <c r="DD46" i="31"/>
  <c r="F165" i="24"/>
  <c r="DJ46" i="31"/>
  <c r="CD46" i="31"/>
  <c r="CJ46" i="31"/>
  <c r="BW46" i="31"/>
  <c r="BM46" i="31"/>
  <c r="CB46" i="31"/>
  <c r="BV46" i="31"/>
  <c r="CC46" i="31"/>
  <c r="DG46" i="31"/>
  <c r="DE46" i="31"/>
  <c r="CA46" i="31"/>
  <c r="BU46" i="31"/>
  <c r="BS46" i="31"/>
  <c r="BQ46" i="31"/>
  <c r="BR46" i="31"/>
  <c r="DB46" i="31"/>
  <c r="CW46" i="31"/>
  <c r="CX46" i="31"/>
  <c r="DC46" i="31"/>
  <c r="CO24" i="31"/>
  <c r="BX24" i="31"/>
  <c r="DG24" i="31"/>
  <c r="DB24" i="31"/>
  <c r="CZ24" i="31"/>
  <c r="BL24" i="31"/>
  <c r="CG24" i="31"/>
  <c r="BP24" i="31"/>
  <c r="CS24" i="31"/>
  <c r="CQ24" i="31"/>
  <c r="CL24" i="31"/>
  <c r="DI24" i="31"/>
  <c r="BY24" i="31"/>
  <c r="DC24" i="31"/>
  <c r="CH24" i="31"/>
  <c r="CC24" i="31"/>
  <c r="CA24" i="31"/>
  <c r="CX24" i="31"/>
  <c r="BQ24" i="31"/>
  <c r="CU24" i="31"/>
  <c r="BT24" i="31"/>
  <c r="BR24" i="31"/>
  <c r="BM24" i="31"/>
  <c r="CJ24" i="31"/>
  <c r="DD24" i="31"/>
  <c r="CM24" i="31"/>
  <c r="DF24" i="31"/>
  <c r="DA24" i="31"/>
  <c r="DJ24" i="31"/>
  <c r="BV24" i="31"/>
  <c r="F143" i="24"/>
  <c r="CV24" i="31"/>
  <c r="CE24" i="31"/>
  <c r="CR24" i="31"/>
  <c r="CP24" i="31"/>
  <c r="CY24" i="31"/>
  <c r="BK24" i="31"/>
  <c r="DE24" i="31"/>
  <c r="CN24" i="31"/>
  <c r="BW24" i="31"/>
  <c r="CD24" i="31"/>
  <c r="CB24" i="31"/>
  <c r="CK24" i="31"/>
  <c r="CW24" i="31"/>
  <c r="CF24" i="31"/>
  <c r="BO24" i="31"/>
  <c r="BS24" i="31"/>
  <c r="BZ24" i="31"/>
  <c r="BN24" i="31"/>
  <c r="BU24" i="31"/>
  <c r="CI24" i="31"/>
  <c r="CT24" i="31"/>
  <c r="DH24" i="31"/>
  <c r="DH44" i="31"/>
  <c r="CY44" i="31"/>
  <c r="CP44" i="31"/>
  <c r="DJ44" i="31"/>
  <c r="CT44" i="31"/>
  <c r="CF44" i="31"/>
  <c r="BQ44" i="31"/>
  <c r="CR44" i="31"/>
  <c r="CI44" i="31"/>
  <c r="BZ44" i="31"/>
  <c r="CK44" i="31"/>
  <c r="CO44" i="31"/>
  <c r="DB44" i="31"/>
  <c r="DA44" i="31"/>
  <c r="CJ44" i="31"/>
  <c r="CA44" i="31"/>
  <c r="BR44" i="31"/>
  <c r="BW44" i="31"/>
  <c r="BU44" i="31"/>
  <c r="CE44" i="31"/>
  <c r="CB44" i="31"/>
  <c r="BS44" i="31"/>
  <c r="CW44" i="31"/>
  <c r="DI44" i="31"/>
  <c r="DD44" i="31"/>
  <c r="BN44" i="31"/>
  <c r="CZ44" i="31"/>
  <c r="CH44" i="31"/>
  <c r="CC44" i="31"/>
  <c r="DE44" i="31"/>
  <c r="BT44" i="31"/>
  <c r="CL44" i="31"/>
  <c r="CM44" i="31"/>
  <c r="CS44" i="31"/>
  <c r="BL44" i="31"/>
  <c r="BX44" i="31"/>
  <c r="BP44" i="31"/>
  <c r="DG44" i="31"/>
  <c r="BM44" i="31"/>
  <c r="DC44" i="31"/>
  <c r="CQ44" i="31"/>
  <c r="CV44" i="31"/>
  <c r="BO44" i="31"/>
  <c r="BK44" i="31"/>
  <c r="CU44" i="31"/>
  <c r="CN44" i="31"/>
  <c r="F163" i="24"/>
  <c r="CX44" i="31"/>
  <c r="BV44" i="31"/>
  <c r="BY44" i="31"/>
  <c r="CG44" i="31"/>
  <c r="CD44" i="31"/>
  <c r="DF44" i="31"/>
  <c r="F210" i="24"/>
  <c r="CV91" i="31"/>
  <c r="CE91" i="31"/>
  <c r="CQ91" i="31"/>
  <c r="CJ91" i="31"/>
  <c r="CS91" i="31"/>
  <c r="CX91" i="31"/>
  <c r="DE91" i="31"/>
  <c r="CN91" i="31"/>
  <c r="BW91" i="31"/>
  <c r="CC91" i="31"/>
  <c r="BM91" i="31"/>
  <c r="BV91" i="31"/>
  <c r="CI91" i="31"/>
  <c r="CW91" i="31"/>
  <c r="CF91" i="31"/>
  <c r="BO91" i="31"/>
  <c r="BR91" i="31"/>
  <c r="CY91" i="31"/>
  <c r="DI91" i="31"/>
  <c r="CA91" i="31"/>
  <c r="CO91" i="31"/>
  <c r="BX91" i="31"/>
  <c r="DF91" i="31"/>
  <c r="DA91" i="31"/>
  <c r="CH91" i="31"/>
  <c r="CL91" i="31"/>
  <c r="CZ91" i="31"/>
  <c r="CG91" i="31"/>
  <c r="BP91" i="31"/>
  <c r="CR91" i="31"/>
  <c r="CP91" i="31"/>
  <c r="BK91" i="31"/>
  <c r="BU91" i="31"/>
  <c r="CK91" i="31"/>
  <c r="BY91" i="31"/>
  <c r="DC91" i="31"/>
  <c r="CD91" i="31"/>
  <c r="CB91" i="31"/>
  <c r="CT91" i="31"/>
  <c r="BT91" i="31"/>
  <c r="BQ91" i="31"/>
  <c r="CU91" i="31"/>
  <c r="BS91" i="31"/>
  <c r="BN91" i="31"/>
  <c r="BZ91" i="31"/>
  <c r="BL91" i="31"/>
  <c r="DH91" i="31"/>
  <c r="DD91" i="31"/>
  <c r="CM91" i="31"/>
  <c r="DB91" i="31"/>
  <c r="DG91" i="31"/>
  <c r="DJ91" i="31"/>
  <c r="DE27" i="31"/>
  <c r="BR27" i="31"/>
  <c r="CT27" i="31"/>
  <c r="CF27" i="31"/>
  <c r="CC27" i="31"/>
  <c r="BT27" i="31"/>
  <c r="BK27" i="31"/>
  <c r="BP27" i="31"/>
  <c r="BN27" i="31"/>
  <c r="DF27" i="31"/>
  <c r="BU27" i="31"/>
  <c r="BL27" i="31"/>
  <c r="DD27" i="31"/>
  <c r="DB27" i="31"/>
  <c r="CW27" i="31"/>
  <c r="CU27" i="31"/>
  <c r="BM27" i="31"/>
  <c r="DG27" i="31"/>
  <c r="CP27" i="31"/>
  <c r="CN27" i="31"/>
  <c r="CL27" i="31"/>
  <c r="CG27" i="31"/>
  <c r="F146" i="24"/>
  <c r="DH27" i="31"/>
  <c r="CY27" i="31"/>
  <c r="CE27" i="31"/>
  <c r="BZ27" i="31"/>
  <c r="BX27" i="31"/>
  <c r="BV27" i="31"/>
  <c r="DI27" i="31"/>
  <c r="CZ27" i="31"/>
  <c r="CQ27" i="31"/>
  <c r="BQ27" i="31"/>
  <c r="BO27" i="31"/>
  <c r="DJ27" i="31"/>
  <c r="DA27" i="31"/>
  <c r="CR27" i="31"/>
  <c r="CI27" i="31"/>
  <c r="DC27" i="31"/>
  <c r="CX27" i="31"/>
  <c r="CV27" i="31"/>
  <c r="CS27" i="31"/>
  <c r="CJ27" i="31"/>
  <c r="CA27" i="31"/>
  <c r="CO27" i="31"/>
  <c r="CM27" i="31"/>
  <c r="CH27" i="31"/>
  <c r="CB27" i="31"/>
  <c r="BS27" i="31"/>
  <c r="CD27" i="31"/>
  <c r="BY27" i="31"/>
  <c r="BW27" i="31"/>
  <c r="CK27" i="31"/>
  <c r="DE53" i="31"/>
  <c r="CW53" i="31"/>
  <c r="CF53" i="31"/>
  <c r="CG53" i="31"/>
  <c r="BQ53" i="31"/>
  <c r="BX53" i="31"/>
  <c r="DG53" i="31"/>
  <c r="DB53" i="31"/>
  <c r="CB53" i="31"/>
  <c r="CP53" i="31"/>
  <c r="BN53" i="31"/>
  <c r="BP53" i="31"/>
  <c r="CS53" i="31"/>
  <c r="CQ53" i="31"/>
  <c r="BK53" i="31"/>
  <c r="BM53" i="31"/>
  <c r="F172" i="24"/>
  <c r="DC53" i="31"/>
  <c r="CH53" i="31"/>
  <c r="CC53" i="31"/>
  <c r="CX53" i="31"/>
  <c r="CL53" i="31"/>
  <c r="CO53" i="31"/>
  <c r="CU53" i="31"/>
  <c r="BT53" i="31"/>
  <c r="BR53" i="31"/>
  <c r="CA53" i="31"/>
  <c r="CK53" i="31"/>
  <c r="BY53" i="31"/>
  <c r="CM53" i="31"/>
  <c r="DF53" i="31"/>
  <c r="CZ53" i="31"/>
  <c r="DI53" i="31"/>
  <c r="DH53" i="31"/>
  <c r="DD53" i="31"/>
  <c r="CE53" i="31"/>
  <c r="CR53" i="31"/>
  <c r="CI53" i="31"/>
  <c r="BZ53" i="31"/>
  <c r="CT53" i="31"/>
  <c r="CN53" i="31"/>
  <c r="BO53" i="31"/>
  <c r="BS53" i="31"/>
  <c r="CY53" i="31"/>
  <c r="BU53" i="31"/>
  <c r="BV53" i="31"/>
  <c r="CJ53" i="31"/>
  <c r="CV53" i="31"/>
  <c r="BW53" i="31"/>
  <c r="CD53" i="31"/>
  <c r="DJ53" i="31"/>
  <c r="DA53" i="31"/>
  <c r="BL53" i="31"/>
  <c r="F185" i="24"/>
  <c r="DH66" i="31"/>
  <c r="CY66" i="31"/>
  <c r="CH66" i="31"/>
  <c r="CF66" i="31"/>
  <c r="BZ66" i="31"/>
  <c r="BP66" i="31"/>
  <c r="DI66" i="31"/>
  <c r="CZ66" i="31"/>
  <c r="CQ66" i="31"/>
  <c r="BW66" i="31"/>
  <c r="BR66" i="31"/>
  <c r="CN66" i="31"/>
  <c r="CO66" i="31"/>
  <c r="CS66" i="31"/>
  <c r="CJ66" i="31"/>
  <c r="CA66" i="31"/>
  <c r="CU66" i="31"/>
  <c r="CE66" i="31"/>
  <c r="DD66" i="31"/>
  <c r="BY66" i="31"/>
  <c r="CK66" i="31"/>
  <c r="CB66" i="31"/>
  <c r="BS66" i="31"/>
  <c r="CG66" i="31"/>
  <c r="BN66" i="31"/>
  <c r="BX66" i="31"/>
  <c r="BO66" i="31"/>
  <c r="CC66" i="31"/>
  <c r="BT66" i="31"/>
  <c r="BK66" i="31"/>
  <c r="BV66" i="31"/>
  <c r="CX66" i="31"/>
  <c r="DC66" i="31"/>
  <c r="DJ66" i="31"/>
  <c r="CL66" i="31"/>
  <c r="DA66" i="31"/>
  <c r="CV66" i="31"/>
  <c r="BQ66" i="31"/>
  <c r="BU66" i="31"/>
  <c r="DF66" i="31"/>
  <c r="CP66" i="31"/>
  <c r="BM66" i="31"/>
  <c r="DE66" i="31"/>
  <c r="CM66" i="31"/>
  <c r="CR66" i="31"/>
  <c r="CT66" i="31"/>
  <c r="BL66" i="31"/>
  <c r="DB66" i="31"/>
  <c r="DG66" i="31"/>
  <c r="CD66" i="31"/>
  <c r="CI66" i="31"/>
  <c r="CW66" i="31"/>
  <c r="DA90" i="31"/>
  <c r="CR90" i="31"/>
  <c r="CI90" i="31"/>
  <c r="DD90" i="31"/>
  <c r="CV90" i="31"/>
  <c r="CH90" i="31"/>
  <c r="CU90" i="31"/>
  <c r="CS90" i="31"/>
  <c r="CJ90" i="31"/>
  <c r="CA90" i="31"/>
  <c r="CP90" i="31"/>
  <c r="BY90" i="31"/>
  <c r="BN90" i="31"/>
  <c r="CM90" i="31"/>
  <c r="CK90" i="31"/>
  <c r="CB90" i="31"/>
  <c r="BS90" i="31"/>
  <c r="CE90" i="31"/>
  <c r="CN90" i="31"/>
  <c r="CX90" i="31"/>
  <c r="BZ90" i="31"/>
  <c r="CC90" i="31"/>
  <c r="BT90" i="31"/>
  <c r="BK90" i="31"/>
  <c r="BQ90" i="31"/>
  <c r="BW90" i="31"/>
  <c r="CG90" i="31"/>
  <c r="BU90" i="31"/>
  <c r="BL90" i="31"/>
  <c r="DE90" i="31"/>
  <c r="DC90" i="31"/>
  <c r="DF90" i="31"/>
  <c r="BV90" i="31"/>
  <c r="BM90" i="31"/>
  <c r="DG90" i="31"/>
  <c r="CT90" i="31"/>
  <c r="CO90" i="31"/>
  <c r="CL90" i="31"/>
  <c r="DJ90" i="31"/>
  <c r="F209" i="24"/>
  <c r="DH90" i="31"/>
  <c r="CY90" i="31"/>
  <c r="CF90" i="31"/>
  <c r="CD90" i="31"/>
  <c r="BO90" i="31"/>
  <c r="BX90" i="31"/>
  <c r="DI90" i="31"/>
  <c r="CZ90" i="31"/>
  <c r="CQ90" i="31"/>
  <c r="BR90" i="31"/>
  <c r="BP90" i="31"/>
  <c r="DB90" i="31"/>
  <c r="CW90" i="31"/>
  <c r="DF81" i="31"/>
  <c r="CN81" i="31"/>
  <c r="CD81" i="31"/>
  <c r="BU81" i="31"/>
  <c r="BL81" i="31"/>
  <c r="CG81" i="31"/>
  <c r="CQ81" i="31"/>
  <c r="CX81" i="31"/>
  <c r="CF81" i="31"/>
  <c r="BV81" i="31"/>
  <c r="BM81" i="31"/>
  <c r="DG81" i="31"/>
  <c r="BK81" i="31"/>
  <c r="BS81" i="31"/>
  <c r="CP81" i="31"/>
  <c r="BX81" i="31"/>
  <c r="BN81" i="31"/>
  <c r="DH81" i="31"/>
  <c r="CM81" i="31"/>
  <c r="CY81" i="31"/>
  <c r="CW81" i="31"/>
  <c r="CH81" i="31"/>
  <c r="BP81" i="31"/>
  <c r="DI81" i="31"/>
  <c r="CZ81" i="31"/>
  <c r="BQ81" i="31"/>
  <c r="BW81" i="31"/>
  <c r="BY81" i="31"/>
  <c r="BZ81" i="31"/>
  <c r="DJ81" i="31"/>
  <c r="DA81" i="31"/>
  <c r="CR81" i="31"/>
  <c r="DE81" i="31"/>
  <c r="CU81" i="31"/>
  <c r="BR81" i="31"/>
  <c r="DB81" i="31"/>
  <c r="CS81" i="31"/>
  <c r="CJ81" i="31"/>
  <c r="CI81" i="31"/>
  <c r="CO81" i="31"/>
  <c r="F200" i="24"/>
  <c r="CV81" i="31"/>
  <c r="CL81" i="31"/>
  <c r="CC81" i="31"/>
  <c r="BT81" i="31"/>
  <c r="DC81" i="31"/>
  <c r="CA81" i="31"/>
  <c r="CB81" i="31"/>
  <c r="BO81" i="31"/>
  <c r="CE81" i="31"/>
  <c r="CT81" i="31"/>
  <c r="DD81" i="31"/>
  <c r="CK81" i="31"/>
  <c r="DG17" i="31"/>
  <c r="CF17" i="31"/>
  <c r="DA17" i="31"/>
  <c r="CV17" i="31"/>
  <c r="CX17" i="31"/>
  <c r="BL17" i="31"/>
  <c r="I75" i="20"/>
  <c r="CC32" i="31"/>
  <c r="BT32" i="31"/>
  <c r="BK32" i="31"/>
  <c r="DJ32" i="31"/>
  <c r="CF32" i="31"/>
  <c r="CP32" i="31"/>
  <c r="BU32" i="31"/>
  <c r="BL32" i="31"/>
  <c r="CX32" i="31"/>
  <c r="CV32" i="31"/>
  <c r="BO32" i="31"/>
  <c r="BV32" i="31"/>
  <c r="BM32" i="31"/>
  <c r="DG32" i="31"/>
  <c r="CM32" i="31"/>
  <c r="CH32" i="31"/>
  <c r="DB32" i="31"/>
  <c r="DF32" i="31"/>
  <c r="BQ32" i="31"/>
  <c r="F151" i="24"/>
  <c r="DH32" i="31"/>
  <c r="CY32" i="31"/>
  <c r="BY32" i="31"/>
  <c r="BW32" i="31"/>
  <c r="CE32" i="31"/>
  <c r="CO32" i="31"/>
  <c r="DI32" i="31"/>
  <c r="CZ32" i="31"/>
  <c r="CQ32" i="31"/>
  <c r="BN32" i="31"/>
  <c r="DD32" i="31"/>
  <c r="CU32" i="31"/>
  <c r="BR32" i="31"/>
  <c r="DA32" i="31"/>
  <c r="CR32" i="31"/>
  <c r="CI32" i="31"/>
  <c r="CW32" i="31"/>
  <c r="CG32" i="31"/>
  <c r="CD32" i="31"/>
  <c r="CS32" i="31"/>
  <c r="CJ32" i="31"/>
  <c r="CA32" i="31"/>
  <c r="CL32" i="31"/>
  <c r="BP32" i="31"/>
  <c r="CT32" i="31"/>
  <c r="DC32" i="31"/>
  <c r="BZ32" i="31"/>
  <c r="CK32" i="31"/>
  <c r="CB32" i="31"/>
  <c r="BX32" i="31"/>
  <c r="DE32" i="31"/>
  <c r="CN32" i="31"/>
  <c r="BS32" i="31"/>
  <c r="BS102" i="31"/>
  <c r="DC102" i="31"/>
  <c r="CF102" i="31"/>
  <c r="CC102" i="31"/>
  <c r="CW102" i="31"/>
  <c r="BU102" i="31"/>
  <c r="BK102" i="31"/>
  <c r="CU102" i="31"/>
  <c r="BT102" i="31"/>
  <c r="BP102" i="31"/>
  <c r="CB102" i="31"/>
  <c r="CT102" i="31"/>
  <c r="F221" i="24"/>
  <c r="DF102" i="31"/>
  <c r="CM102" i="31"/>
  <c r="DD102" i="31"/>
  <c r="DA102" i="31"/>
  <c r="CL102" i="31"/>
  <c r="BN102" i="31"/>
  <c r="DG102" i="31"/>
  <c r="CX102" i="31"/>
  <c r="CE102" i="31"/>
  <c r="CR102" i="31"/>
  <c r="CJ102" i="31"/>
  <c r="DJ102" i="31"/>
  <c r="CK102" i="31"/>
  <c r="CY102" i="31"/>
  <c r="CP102" i="31"/>
  <c r="BW102" i="31"/>
  <c r="CD102" i="31"/>
  <c r="BM102" i="31"/>
  <c r="BY102" i="31"/>
  <c r="BX102" i="31"/>
  <c r="CA102" i="31"/>
  <c r="BR102" i="31"/>
  <c r="CS102" i="31"/>
  <c r="CO102" i="31"/>
  <c r="BL102" i="31"/>
  <c r="CV102" i="31"/>
  <c r="CQ102" i="31"/>
  <c r="CZ102" i="31"/>
  <c r="CI102" i="31"/>
  <c r="CG102" i="31"/>
  <c r="CH102" i="31"/>
  <c r="DH102" i="31"/>
  <c r="BZ102" i="31"/>
  <c r="BV102" i="31"/>
  <c r="BO102" i="31"/>
  <c r="CN102" i="31"/>
  <c r="DE102" i="31"/>
  <c r="DI102" i="31"/>
  <c r="BQ102" i="31"/>
  <c r="DB102" i="31"/>
  <c r="DA38" i="31"/>
  <c r="CR38" i="31"/>
  <c r="CI38" i="31"/>
  <c r="CW38" i="31"/>
  <c r="CT38" i="31"/>
  <c r="CH38" i="31"/>
  <c r="CV38" i="31"/>
  <c r="CS38" i="31"/>
  <c r="CJ38" i="31"/>
  <c r="CA38" i="31"/>
  <c r="CL38" i="31"/>
  <c r="CF38" i="31"/>
  <c r="CD38" i="31"/>
  <c r="BN38" i="31"/>
  <c r="CC38" i="31"/>
  <c r="BT38" i="31"/>
  <c r="BK38" i="31"/>
  <c r="DF38" i="31"/>
  <c r="DD38" i="31"/>
  <c r="BY38" i="31"/>
  <c r="BU38" i="31"/>
  <c r="BL38" i="31"/>
  <c r="DB38" i="31"/>
  <c r="CU38" i="31"/>
  <c r="CP38" i="31"/>
  <c r="DC38" i="31"/>
  <c r="BM38" i="31"/>
  <c r="DG38" i="31"/>
  <c r="CN38" i="31"/>
  <c r="CG38" i="31"/>
  <c r="CE38" i="31"/>
  <c r="BW38" i="31"/>
  <c r="CB38" i="31"/>
  <c r="DE38" i="31"/>
  <c r="CY38" i="31"/>
  <c r="BR38" i="31"/>
  <c r="CQ38" i="31"/>
  <c r="BQ38" i="31"/>
  <c r="F157" i="24"/>
  <c r="BS38" i="31"/>
  <c r="CM38" i="31"/>
  <c r="DI38" i="31"/>
  <c r="BZ38" i="31"/>
  <c r="DJ38" i="31"/>
  <c r="CK38" i="31"/>
  <c r="BO38" i="31"/>
  <c r="CX38" i="31"/>
  <c r="CZ38" i="31"/>
  <c r="BV38" i="31"/>
  <c r="DH38" i="31"/>
  <c r="BX38" i="31"/>
  <c r="BP38" i="31"/>
  <c r="CO38" i="31"/>
  <c r="DG100" i="31"/>
  <c r="CX100" i="31"/>
  <c r="CE100" i="31"/>
  <c r="CS100" i="31"/>
  <c r="CK100" i="31"/>
  <c r="CO100" i="31"/>
  <c r="CV100" i="31"/>
  <c r="CY100" i="31"/>
  <c r="CP100" i="31"/>
  <c r="BW100" i="31"/>
  <c r="CF100" i="31"/>
  <c r="BN100" i="31"/>
  <c r="CL100" i="31"/>
  <c r="CN100" i="31"/>
  <c r="CQ100" i="31"/>
  <c r="CH100" i="31"/>
  <c r="BO100" i="31"/>
  <c r="BT100" i="31"/>
  <c r="DA100" i="31"/>
  <c r="DJ100" i="31"/>
  <c r="CB100" i="31"/>
  <c r="CI100" i="31"/>
  <c r="BZ100" i="31"/>
  <c r="DH100" i="31"/>
  <c r="DD100" i="31"/>
  <c r="CJ100" i="31"/>
  <c r="BY100" i="31"/>
  <c r="BP100" i="31"/>
  <c r="CA100" i="31"/>
  <c r="BR100" i="31"/>
  <c r="CT100" i="31"/>
  <c r="CR100" i="31"/>
  <c r="BM100" i="31"/>
  <c r="DI100" i="31"/>
  <c r="F219" i="24"/>
  <c r="DF100" i="31"/>
  <c r="CM100" i="31"/>
  <c r="DE100" i="31"/>
  <c r="DB100" i="31"/>
  <c r="BL100" i="31"/>
  <c r="BV100" i="31"/>
  <c r="CG100" i="31"/>
  <c r="BU100" i="31"/>
  <c r="CD100" i="31"/>
  <c r="BQ100" i="31"/>
  <c r="BS100" i="31"/>
  <c r="CZ100" i="31"/>
  <c r="BK100" i="31"/>
  <c r="CC100" i="31"/>
  <c r="DC100" i="31"/>
  <c r="BX100" i="31"/>
  <c r="CW100" i="31"/>
  <c r="CU100" i="31"/>
  <c r="CP36" i="31"/>
  <c r="DA36" i="31"/>
  <c r="CR36" i="31"/>
  <c r="CI36" i="31"/>
  <c r="CX36" i="31"/>
  <c r="DF36" i="31"/>
  <c r="CN36" i="31"/>
  <c r="CW36" i="31"/>
  <c r="CS36" i="31"/>
  <c r="CJ36" i="31"/>
  <c r="CA36" i="31"/>
  <c r="CM36" i="31"/>
  <c r="CU36" i="31"/>
  <c r="CL36" i="31"/>
  <c r="BO36" i="31"/>
  <c r="CK36" i="31"/>
  <c r="CB36" i="31"/>
  <c r="BS36" i="31"/>
  <c r="BY36" i="31"/>
  <c r="CG36" i="31"/>
  <c r="CE36" i="31"/>
  <c r="CC36" i="31"/>
  <c r="BT36" i="31"/>
  <c r="BK36" i="31"/>
  <c r="BN36" i="31"/>
  <c r="BV36" i="31"/>
  <c r="BZ36" i="31"/>
  <c r="BU36" i="31"/>
  <c r="BL36" i="31"/>
  <c r="DC36" i="31"/>
  <c r="DJ36" i="31"/>
  <c r="DE36" i="31"/>
  <c r="DD36" i="31"/>
  <c r="BM36" i="31"/>
  <c r="DG36" i="31"/>
  <c r="CO36" i="31"/>
  <c r="CV36" i="31"/>
  <c r="CT36" i="31"/>
  <c r="BX36" i="31"/>
  <c r="F155" i="24"/>
  <c r="DH36" i="31"/>
  <c r="CY36" i="31"/>
  <c r="CD36" i="31"/>
  <c r="CH36" i="31"/>
  <c r="CF36" i="31"/>
  <c r="DB36" i="31"/>
  <c r="BQ36" i="31"/>
  <c r="DI36" i="31"/>
  <c r="CZ36" i="31"/>
  <c r="CQ36" i="31"/>
  <c r="BP36" i="31"/>
  <c r="BW36" i="31"/>
  <c r="BR36" i="31"/>
  <c r="CP83" i="31"/>
  <c r="BY83" i="31"/>
  <c r="DG83" i="31"/>
  <c r="CZ83" i="31"/>
  <c r="BL83" i="31"/>
  <c r="CR83" i="31"/>
  <c r="CB83" i="31"/>
  <c r="CH83" i="31"/>
  <c r="BQ83" i="31"/>
  <c r="CS83" i="31"/>
  <c r="CL83" i="31"/>
  <c r="DI83" i="31"/>
  <c r="CM83" i="31"/>
  <c r="CI83" i="31"/>
  <c r="BZ83" i="31"/>
  <c r="DD83" i="31"/>
  <c r="CE83" i="31"/>
  <c r="CA83" i="31"/>
  <c r="CU83" i="31"/>
  <c r="DA83" i="31"/>
  <c r="BR83" i="31"/>
  <c r="CV83" i="31"/>
  <c r="BT83" i="31"/>
  <c r="BM83" i="31"/>
  <c r="CJ83" i="31"/>
  <c r="CD83" i="31"/>
  <c r="DE83" i="31"/>
  <c r="CN83" i="31"/>
  <c r="DB83" i="31"/>
  <c r="DJ83" i="31"/>
  <c r="BV83" i="31"/>
  <c r="BU83" i="31"/>
  <c r="F202" i="24"/>
  <c r="CW83" i="31"/>
  <c r="CF83" i="31"/>
  <c r="CQ83" i="31"/>
  <c r="CY83" i="31"/>
  <c r="BK83" i="31"/>
  <c r="BS83" i="31"/>
  <c r="DF83" i="31"/>
  <c r="CO83" i="31"/>
  <c r="BX83" i="31"/>
  <c r="CC83" i="31"/>
  <c r="CK83" i="31"/>
  <c r="CT83" i="31"/>
  <c r="DH83" i="31"/>
  <c r="CX83" i="31"/>
  <c r="CG83" i="31"/>
  <c r="BP83" i="31"/>
  <c r="BO83" i="31"/>
  <c r="BW83" i="31"/>
  <c r="BN83" i="31"/>
  <c r="DC83" i="31"/>
  <c r="DC45" i="31"/>
  <c r="CT45" i="31"/>
  <c r="BY45" i="31"/>
  <c r="CH45" i="31"/>
  <c r="CR45" i="31"/>
  <c r="CB45" i="31"/>
  <c r="F164" i="24"/>
  <c r="CU45" i="31"/>
  <c r="CL45" i="31"/>
  <c r="BK45" i="31"/>
  <c r="BT45" i="31"/>
  <c r="CA45" i="31"/>
  <c r="BR45" i="31"/>
  <c r="DD45" i="31"/>
  <c r="CM45" i="31"/>
  <c r="CD45" i="31"/>
  <c r="DH45" i="31"/>
  <c r="DE45" i="31"/>
  <c r="CQ45" i="31"/>
  <c r="BM45" i="31"/>
  <c r="CV45" i="31"/>
  <c r="CE45" i="31"/>
  <c r="BV45" i="31"/>
  <c r="CW45" i="31"/>
  <c r="CK45" i="31"/>
  <c r="BZ45" i="31"/>
  <c r="DF45" i="31"/>
  <c r="CN45" i="31"/>
  <c r="BW45" i="31"/>
  <c r="BN45" i="31"/>
  <c r="CI45" i="31"/>
  <c r="BQ45" i="31"/>
  <c r="CP45" i="31"/>
  <c r="DA45" i="31"/>
  <c r="CF45" i="31"/>
  <c r="BO45" i="31"/>
  <c r="DI45" i="31"/>
  <c r="BU45" i="31"/>
  <c r="CZ45" i="31"/>
  <c r="BS45" i="31"/>
  <c r="BP45" i="31"/>
  <c r="DB45" i="31"/>
  <c r="CJ45" i="31"/>
  <c r="CS45" i="31"/>
  <c r="BL45" i="31"/>
  <c r="CG45" i="31"/>
  <c r="BX45" i="31"/>
  <c r="CX45" i="31"/>
  <c r="DG45" i="31"/>
  <c r="CC45" i="31"/>
  <c r="DJ45" i="31"/>
  <c r="CO45" i="31"/>
  <c r="CY45" i="31"/>
  <c r="DJ50" i="31"/>
  <c r="CJ50" i="31"/>
  <c r="CA50" i="31"/>
  <c r="BR50" i="31"/>
  <c r="BQ50" i="31"/>
  <c r="CL50" i="31"/>
  <c r="BY50" i="31"/>
  <c r="CB50" i="31"/>
  <c r="BS50" i="31"/>
  <c r="DE50" i="31"/>
  <c r="DC50" i="31"/>
  <c r="BO50" i="31"/>
  <c r="DB50" i="31"/>
  <c r="BT50" i="31"/>
  <c r="BK50" i="31"/>
  <c r="CT50" i="31"/>
  <c r="CO50" i="31"/>
  <c r="DA50" i="31"/>
  <c r="CU50" i="31"/>
  <c r="BL50" i="31"/>
  <c r="DF50" i="31"/>
  <c r="CF50" i="31"/>
  <c r="CD50" i="31"/>
  <c r="CG50" i="31"/>
  <c r="CM50" i="31"/>
  <c r="F169" i="24"/>
  <c r="DG50" i="31"/>
  <c r="CX50" i="31"/>
  <c r="BU50" i="31"/>
  <c r="BP50" i="31"/>
  <c r="BM50" i="31"/>
  <c r="CK50" i="31"/>
  <c r="DH50" i="31"/>
  <c r="CY50" i="31"/>
  <c r="CP50" i="31"/>
  <c r="DD50" i="31"/>
  <c r="CN50" i="31"/>
  <c r="CW50" i="31"/>
  <c r="BX50" i="31"/>
  <c r="CR50" i="31"/>
  <c r="CI50" i="31"/>
  <c r="BZ50" i="31"/>
  <c r="CE50" i="31"/>
  <c r="DI50" i="31"/>
  <c r="CV50" i="31"/>
  <c r="BN50" i="31"/>
  <c r="BV50" i="31"/>
  <c r="CQ50" i="31"/>
  <c r="CH50" i="31"/>
  <c r="CS50" i="31"/>
  <c r="CZ50" i="31"/>
  <c r="BW50" i="31"/>
  <c r="CC50" i="31"/>
  <c r="CT74" i="31"/>
  <c r="CK74" i="31"/>
  <c r="CB74" i="31"/>
  <c r="CO74" i="31"/>
  <c r="CX74" i="31"/>
  <c r="BW74" i="31"/>
  <c r="BK74" i="31"/>
  <c r="CL74" i="31"/>
  <c r="CC74" i="31"/>
  <c r="BT74" i="31"/>
  <c r="CA74" i="31"/>
  <c r="CG74" i="31"/>
  <c r="DE74" i="31"/>
  <c r="CD74" i="31"/>
  <c r="BU74" i="31"/>
  <c r="BL74" i="31"/>
  <c r="BP74" i="31"/>
  <c r="CW74" i="31"/>
  <c r="BS74" i="31"/>
  <c r="BV74" i="31"/>
  <c r="BM74" i="31"/>
  <c r="DD74" i="31"/>
  <c r="CY74" i="31"/>
  <c r="CF74" i="31"/>
  <c r="BR74" i="31"/>
  <c r="BN74" i="31"/>
  <c r="DH74" i="31"/>
  <c r="CP74" i="31"/>
  <c r="CN74" i="31"/>
  <c r="CV74" i="31"/>
  <c r="CQ74" i="31"/>
  <c r="F193" i="24"/>
  <c r="DI74" i="31"/>
  <c r="CZ74" i="31"/>
  <c r="CE74" i="31"/>
  <c r="BZ74" i="31"/>
  <c r="BY74" i="31"/>
  <c r="CM74" i="31"/>
  <c r="DB74" i="31"/>
  <c r="CS74" i="31"/>
  <c r="CJ74" i="31"/>
  <c r="DC74" i="31"/>
  <c r="DF74" i="31"/>
  <c r="DG74" i="31"/>
  <c r="CH74" i="31"/>
  <c r="BO74" i="31"/>
  <c r="BX74" i="31"/>
  <c r="CI74" i="31"/>
  <c r="DJ74" i="31"/>
  <c r="CR74" i="31"/>
  <c r="BQ74" i="31"/>
  <c r="DA74" i="31"/>
  <c r="CU74" i="31"/>
  <c r="CH73" i="31"/>
  <c r="BQ73" i="31"/>
  <c r="CR73" i="31"/>
  <c r="CM73" i="31"/>
  <c r="BU73" i="31"/>
  <c r="CJ73" i="31"/>
  <c r="BM73" i="31"/>
  <c r="BZ73" i="31"/>
  <c r="DD73" i="31"/>
  <c r="CD73" i="31"/>
  <c r="CB73" i="31"/>
  <c r="DH73" i="31"/>
  <c r="BW73" i="31"/>
  <c r="BR73" i="31"/>
  <c r="CV73" i="31"/>
  <c r="BS73" i="31"/>
  <c r="BN73" i="31"/>
  <c r="CK73" i="31"/>
  <c r="DG73" i="31"/>
  <c r="DE73" i="31"/>
  <c r="CN73" i="31"/>
  <c r="DB73" i="31"/>
  <c r="DJ73" i="31"/>
  <c r="BT73" i="31"/>
  <c r="CY73" i="31"/>
  <c r="F192" i="24"/>
  <c r="CW73" i="31"/>
  <c r="CF73" i="31"/>
  <c r="CQ73" i="31"/>
  <c r="CS73" i="31"/>
  <c r="CU73" i="31"/>
  <c r="CI73" i="31"/>
  <c r="DF73" i="31"/>
  <c r="CO73" i="31"/>
  <c r="BX73" i="31"/>
  <c r="CC73" i="31"/>
  <c r="BV73" i="31"/>
  <c r="BL73" i="31"/>
  <c r="CE73" i="31"/>
  <c r="CP73" i="31"/>
  <c r="BY73" i="31"/>
  <c r="DC73" i="31"/>
  <c r="DA73" i="31"/>
  <c r="CL73" i="31"/>
  <c r="BK73" i="31"/>
  <c r="CA73" i="31"/>
  <c r="CT73" i="31"/>
  <c r="CZ73" i="31"/>
  <c r="CX73" i="31"/>
  <c r="CG73" i="31"/>
  <c r="BO73" i="31"/>
  <c r="BP73" i="31"/>
  <c r="DI73" i="31"/>
  <c r="BI9" i="31"/>
  <c r="F214" i="24"/>
  <c r="DB95" i="31"/>
  <c r="CQ95" i="31"/>
  <c r="BL95" i="31"/>
  <c r="BU95" i="31"/>
  <c r="BM95" i="31"/>
  <c r="CP95" i="31"/>
  <c r="DC95" i="31"/>
  <c r="CT95" i="31"/>
  <c r="CI95" i="31"/>
  <c r="DI95" i="31"/>
  <c r="CZ95" i="31"/>
  <c r="CG95" i="31"/>
  <c r="CN95" i="31"/>
  <c r="CU95" i="31"/>
  <c r="CL95" i="31"/>
  <c r="CA95" i="31"/>
  <c r="CW95" i="31"/>
  <c r="CC95" i="31"/>
  <c r="DE95" i="31"/>
  <c r="CF95" i="31"/>
  <c r="CM95" i="31"/>
  <c r="CD95" i="31"/>
  <c r="BS95" i="31"/>
  <c r="CJ95" i="31"/>
  <c r="CS95" i="31"/>
  <c r="BT95" i="31"/>
  <c r="DF95" i="31"/>
  <c r="CE95" i="31"/>
  <c r="BV95" i="31"/>
  <c r="BK95" i="31"/>
  <c r="BX95" i="31"/>
  <c r="CB95" i="31"/>
  <c r="DD95" i="31"/>
  <c r="BP95" i="31"/>
  <c r="BW95" i="31"/>
  <c r="BN95" i="31"/>
  <c r="CX95" i="31"/>
  <c r="DH95" i="31"/>
  <c r="CR95" i="31"/>
  <c r="BR95" i="31"/>
  <c r="DJ95" i="31"/>
  <c r="CY95" i="31"/>
  <c r="BY95" i="31"/>
  <c r="CH95" i="31"/>
  <c r="CO95" i="31"/>
  <c r="BQ95" i="31"/>
  <c r="CK95" i="31"/>
  <c r="CV95" i="31"/>
  <c r="BZ95" i="31"/>
  <c r="DA95" i="31"/>
  <c r="DG95" i="31"/>
  <c r="BO95" i="31"/>
  <c r="BW103" i="31"/>
  <c r="BN103" i="31"/>
  <c r="DE103" i="31"/>
  <c r="DA103" i="31"/>
  <c r="BU103" i="31"/>
  <c r="CG103" i="31"/>
  <c r="BO103" i="31"/>
  <c r="DG103" i="31"/>
  <c r="CR103" i="31"/>
  <c r="CO103" i="31"/>
  <c r="DH103" i="31"/>
  <c r="DF103" i="31"/>
  <c r="DJ103" i="31"/>
  <c r="CY103" i="31"/>
  <c r="CF103" i="31"/>
  <c r="CB103" i="31"/>
  <c r="CK103" i="31"/>
  <c r="BZ103" i="31"/>
  <c r="F222" i="24"/>
  <c r="DB103" i="31"/>
  <c r="CQ103" i="31"/>
  <c r="BR103" i="31"/>
  <c r="BP103" i="31"/>
  <c r="BT103" i="31"/>
  <c r="CZ103" i="31"/>
  <c r="DC103" i="31"/>
  <c r="CT103" i="31"/>
  <c r="CI103" i="31"/>
  <c r="DD103" i="31"/>
  <c r="CS103" i="31"/>
  <c r="CX103" i="31"/>
  <c r="CW103" i="31"/>
  <c r="CU103" i="31"/>
  <c r="CL103" i="31"/>
  <c r="CA103" i="31"/>
  <c r="CP103" i="31"/>
  <c r="BX103" i="31"/>
  <c r="BM103" i="31"/>
  <c r="CJ103" i="31"/>
  <c r="CE103" i="31"/>
  <c r="BV103" i="31"/>
  <c r="BK103" i="31"/>
  <c r="BQ103" i="31"/>
  <c r="CN103" i="31"/>
  <c r="CH103" i="31"/>
  <c r="BL103" i="31"/>
  <c r="CD103" i="31"/>
  <c r="BS103" i="31"/>
  <c r="CC103" i="31"/>
  <c r="DI103" i="31"/>
  <c r="CV103" i="31"/>
  <c r="BY103" i="31"/>
  <c r="CM103" i="31"/>
  <c r="F213" i="24"/>
  <c r="DF94" i="31"/>
  <c r="CM94" i="31"/>
  <c r="DJ94" i="31"/>
  <c r="BV94" i="31"/>
  <c r="CG94" i="31"/>
  <c r="BN94" i="31"/>
  <c r="DG94" i="31"/>
  <c r="CX94" i="31"/>
  <c r="CE94" i="31"/>
  <c r="CW94" i="31"/>
  <c r="DH94" i="31"/>
  <c r="BP94" i="31"/>
  <c r="CD94" i="31"/>
  <c r="CY94" i="31"/>
  <c r="CP94" i="31"/>
  <c r="BW94" i="31"/>
  <c r="CK94" i="31"/>
  <c r="CO94" i="31"/>
  <c r="CC94" i="31"/>
  <c r="DB94" i="31"/>
  <c r="CQ94" i="31"/>
  <c r="CH94" i="31"/>
  <c r="BO94" i="31"/>
  <c r="BX94" i="31"/>
  <c r="BT94" i="31"/>
  <c r="DA94" i="31"/>
  <c r="CB94" i="31"/>
  <c r="CI94" i="31"/>
  <c r="BZ94" i="31"/>
  <c r="CZ94" i="31"/>
  <c r="BL94" i="31"/>
  <c r="DE94" i="31"/>
  <c r="BU94" i="31"/>
  <c r="CT94" i="31"/>
  <c r="CA94" i="31"/>
  <c r="BR94" i="31"/>
  <c r="CL94" i="31"/>
  <c r="DI94" i="31"/>
  <c r="CN94" i="31"/>
  <c r="CS94" i="31"/>
  <c r="BK94" i="31"/>
  <c r="CU94" i="31"/>
  <c r="BM94" i="31"/>
  <c r="CJ94" i="31"/>
  <c r="DD94" i="31"/>
  <c r="CF94" i="31"/>
  <c r="BS94" i="31"/>
  <c r="BY94" i="31"/>
  <c r="CV94" i="31"/>
  <c r="BQ94" i="31"/>
  <c r="CR94" i="31"/>
  <c r="DC94" i="31"/>
  <c r="CO30" i="31"/>
  <c r="BV30" i="31"/>
  <c r="CS30" i="31"/>
  <c r="BL30" i="31"/>
  <c r="DB30" i="31"/>
  <c r="CW30" i="31"/>
  <c r="CG30" i="31"/>
  <c r="CU30" i="31"/>
  <c r="CK30" i="31"/>
  <c r="DG30" i="31"/>
  <c r="CN30" i="31"/>
  <c r="CL30" i="31"/>
  <c r="BR30" i="31"/>
  <c r="CD30" i="31"/>
  <c r="DH30" i="31"/>
  <c r="CY30" i="31"/>
  <c r="CC30" i="31"/>
  <c r="BY30" i="31"/>
  <c r="DC30" i="31"/>
  <c r="CT30" i="31"/>
  <c r="CZ30" i="31"/>
  <c r="CQ30" i="31"/>
  <c r="BQ30" i="31"/>
  <c r="BO30" i="31"/>
  <c r="CF30" i="31"/>
  <c r="BX30" i="31"/>
  <c r="CR30" i="31"/>
  <c r="CI30" i="31"/>
  <c r="CX30" i="31"/>
  <c r="DE30" i="31"/>
  <c r="BN30" i="31"/>
  <c r="DJ30" i="31"/>
  <c r="DA30" i="31"/>
  <c r="BT30" i="31"/>
  <c r="BK30" i="31"/>
  <c r="BP30" i="31"/>
  <c r="DD30" i="31"/>
  <c r="BM30" i="31"/>
  <c r="CA30" i="31"/>
  <c r="CP30" i="31"/>
  <c r="BS30" i="31"/>
  <c r="BW30" i="31"/>
  <c r="CM30" i="31"/>
  <c r="BZ30" i="31"/>
  <c r="F149" i="24"/>
  <c r="CH30" i="31"/>
  <c r="DF30" i="31"/>
  <c r="DI30" i="31"/>
  <c r="BU30" i="31"/>
  <c r="CJ30" i="31"/>
  <c r="CV30" i="31"/>
  <c r="CB30" i="31"/>
  <c r="CE30" i="31"/>
  <c r="BS92" i="31"/>
  <c r="BK92" i="31"/>
  <c r="CU92" i="31"/>
  <c r="BN92" i="31"/>
  <c r="BX92" i="31"/>
  <c r="DE92" i="31"/>
  <c r="CT92" i="31"/>
  <c r="DG92" i="31"/>
  <c r="CX92" i="31"/>
  <c r="CE92" i="31"/>
  <c r="CL92" i="31"/>
  <c r="DI92" i="31"/>
  <c r="BQ92" i="31"/>
  <c r="CD92" i="31"/>
  <c r="CY92" i="31"/>
  <c r="CP92" i="31"/>
  <c r="BW92" i="31"/>
  <c r="BY92" i="31"/>
  <c r="CR92" i="31"/>
  <c r="CF92" i="31"/>
  <c r="BV92" i="31"/>
  <c r="CQ92" i="31"/>
  <c r="CH92" i="31"/>
  <c r="BO92" i="31"/>
  <c r="BM92" i="31"/>
  <c r="BU92" i="31"/>
  <c r="DD92" i="31"/>
  <c r="DB92" i="31"/>
  <c r="CM92" i="31"/>
  <c r="BL92" i="31"/>
  <c r="CS92" i="31"/>
  <c r="F211" i="24"/>
  <c r="DA92" i="31"/>
  <c r="DH92" i="31"/>
  <c r="CG92" i="31"/>
  <c r="CI92" i="31"/>
  <c r="CN92" i="31"/>
  <c r="CO92" i="31"/>
  <c r="CA92" i="31"/>
  <c r="CB92" i="31"/>
  <c r="BT92" i="31"/>
  <c r="DF92" i="31"/>
  <c r="CZ92" i="31"/>
  <c r="CJ92" i="31"/>
  <c r="BZ92" i="31"/>
  <c r="DJ92" i="31"/>
  <c r="CC92" i="31"/>
  <c r="DC92" i="31"/>
  <c r="CK92" i="31"/>
  <c r="BP92" i="31"/>
  <c r="BR92" i="31"/>
  <c r="CW92" i="31"/>
  <c r="CV92" i="31"/>
  <c r="BS28" i="31"/>
  <c r="CG28" i="31"/>
  <c r="BP28" i="31"/>
  <c r="CQ28" i="31"/>
  <c r="CL28" i="31"/>
  <c r="CJ28" i="31"/>
  <c r="CS28" i="31"/>
  <c r="BY28" i="31"/>
  <c r="DC28" i="31"/>
  <c r="CC28" i="31"/>
  <c r="CA28" i="31"/>
  <c r="BV28" i="31"/>
  <c r="CH28" i="31"/>
  <c r="F147" i="24"/>
  <c r="BQ28" i="31"/>
  <c r="CU28" i="31"/>
  <c r="BR28" i="31"/>
  <c r="BM28" i="31"/>
  <c r="BK28" i="31"/>
  <c r="BT28" i="31"/>
  <c r="DH28" i="31"/>
  <c r="DD28" i="31"/>
  <c r="CM28" i="31"/>
  <c r="DA28" i="31"/>
  <c r="CY28" i="31"/>
  <c r="DJ28" i="31"/>
  <c r="DG28" i="31"/>
  <c r="CV28" i="31"/>
  <c r="CE28" i="31"/>
  <c r="CP28" i="31"/>
  <c r="CK28" i="31"/>
  <c r="CT28" i="31"/>
  <c r="DE28" i="31"/>
  <c r="CN28" i="31"/>
  <c r="BW28" i="31"/>
  <c r="CB28" i="31"/>
  <c r="BZ28" i="31"/>
  <c r="CI28" i="31"/>
  <c r="CW28" i="31"/>
  <c r="CF28" i="31"/>
  <c r="BO28" i="31"/>
  <c r="BN28" i="31"/>
  <c r="BL28" i="31"/>
  <c r="BU28" i="31"/>
  <c r="CR28" i="31"/>
  <c r="CD28" i="31"/>
  <c r="CO28" i="31"/>
  <c r="BX28" i="31"/>
  <c r="DB28" i="31"/>
  <c r="CZ28" i="31"/>
  <c r="CX28" i="31"/>
  <c r="DI28" i="31"/>
  <c r="DF28" i="31"/>
  <c r="BR75" i="31"/>
  <c r="CV75" i="31"/>
  <c r="BO75" i="31"/>
  <c r="BM75" i="31"/>
  <c r="BU75" i="31"/>
  <c r="DJ75" i="31"/>
  <c r="DE75" i="31"/>
  <c r="CN75" i="31"/>
  <c r="DA75" i="31"/>
  <c r="CY75" i="31"/>
  <c r="DH75" i="31"/>
  <c r="DC75" i="31"/>
  <c r="F194" i="24"/>
  <c r="CW75" i="31"/>
  <c r="CF75" i="31"/>
  <c r="CM75" i="31"/>
  <c r="CE75" i="31"/>
  <c r="CK75" i="31"/>
  <c r="CI75" i="31"/>
  <c r="DF75" i="31"/>
  <c r="CO75" i="31"/>
  <c r="BX75" i="31"/>
  <c r="CB75" i="31"/>
  <c r="BK75" i="31"/>
  <c r="BT75" i="31"/>
  <c r="BV75" i="31"/>
  <c r="CX75" i="31"/>
  <c r="CG75" i="31"/>
  <c r="BP75" i="31"/>
  <c r="BN75" i="31"/>
  <c r="CT75" i="31"/>
  <c r="DG75" i="31"/>
  <c r="CU75" i="31"/>
  <c r="CP75" i="31"/>
  <c r="BY75" i="31"/>
  <c r="DB75" i="31"/>
  <c r="CZ75" i="31"/>
  <c r="BW75" i="31"/>
  <c r="CJ75" i="31"/>
  <c r="CS75" i="31"/>
  <c r="CH75" i="31"/>
  <c r="BQ75" i="31"/>
  <c r="CQ75" i="31"/>
  <c r="CL75" i="31"/>
  <c r="DI75" i="31"/>
  <c r="BS75" i="31"/>
  <c r="CD75" i="31"/>
  <c r="BZ75" i="31"/>
  <c r="DD75" i="31"/>
  <c r="CC75" i="31"/>
  <c r="CA75" i="31"/>
  <c r="CR75" i="31"/>
  <c r="BL75" i="31"/>
  <c r="BI11" i="31"/>
  <c r="CO37" i="31"/>
  <c r="BX37" i="31"/>
  <c r="DA37" i="31"/>
  <c r="BL37" i="31"/>
  <c r="BT37" i="31"/>
  <c r="BR37" i="31"/>
  <c r="CG37" i="31"/>
  <c r="BP37" i="31"/>
  <c r="CP37" i="31"/>
  <c r="DH37" i="31"/>
  <c r="DF37" i="31"/>
  <c r="CX37" i="31"/>
  <c r="BY37" i="31"/>
  <c r="DC37" i="31"/>
  <c r="CB37" i="31"/>
  <c r="CT37" i="31"/>
  <c r="CR37" i="31"/>
  <c r="BM37" i="31"/>
  <c r="CA37" i="31"/>
  <c r="BQ37" i="31"/>
  <c r="CU37" i="31"/>
  <c r="BN37" i="31"/>
  <c r="CI37" i="31"/>
  <c r="CD37" i="31"/>
  <c r="CQ37" i="31"/>
  <c r="DD37" i="31"/>
  <c r="CM37" i="31"/>
  <c r="DJ37" i="31"/>
  <c r="BU37" i="31"/>
  <c r="BS37" i="31"/>
  <c r="BK37" i="31"/>
  <c r="F156" i="24"/>
  <c r="CV37" i="31"/>
  <c r="CE37" i="31"/>
  <c r="CY37" i="31"/>
  <c r="DG37" i="31"/>
  <c r="DB37" i="31"/>
  <c r="CL37" i="31"/>
  <c r="CW37" i="31"/>
  <c r="CF37" i="31"/>
  <c r="BO37" i="31"/>
  <c r="BZ37" i="31"/>
  <c r="CH37" i="31"/>
  <c r="CZ37" i="31"/>
  <c r="CC37" i="31"/>
  <c r="CN37" i="31"/>
  <c r="BW37" i="31"/>
  <c r="CS37" i="31"/>
  <c r="BV37" i="31"/>
  <c r="CJ37" i="31"/>
  <c r="DI37" i="31"/>
  <c r="DE37" i="31"/>
  <c r="CK37" i="31"/>
  <c r="BT26" i="31"/>
  <c r="CG26" i="31"/>
  <c r="BP26" i="31"/>
  <c r="CR26" i="31"/>
  <c r="CP26" i="31"/>
  <c r="CY26" i="31"/>
  <c r="BK26" i="31"/>
  <c r="BQ26" i="31"/>
  <c r="CU26" i="31"/>
  <c r="BS26" i="31"/>
  <c r="BN26" i="31"/>
  <c r="DD26" i="31"/>
  <c r="CM26" i="31"/>
  <c r="DB26" i="31"/>
  <c r="CZ26" i="31"/>
  <c r="F145" i="24"/>
  <c r="CV26" i="31"/>
  <c r="CE26" i="31"/>
  <c r="CQ26" i="31"/>
  <c r="CL26" i="31"/>
  <c r="DI26" i="31"/>
  <c r="BY26" i="31"/>
  <c r="CD26" i="31"/>
  <c r="CK26" i="31"/>
  <c r="CI26" i="31"/>
  <c r="CN26" i="31"/>
  <c r="CC26" i="31"/>
  <c r="BZ26" i="31"/>
  <c r="BU26" i="31"/>
  <c r="CF26" i="31"/>
  <c r="BR26" i="31"/>
  <c r="BL26" i="31"/>
  <c r="BX26" i="31"/>
  <c r="DA26" i="31"/>
  <c r="CX26" i="31"/>
  <c r="DC26" i="31"/>
  <c r="CB26" i="31"/>
  <c r="CJ26" i="31"/>
  <c r="CO26" i="31"/>
  <c r="DF26" i="31"/>
  <c r="DJ26" i="31"/>
  <c r="CT26" i="31"/>
  <c r="DE26" i="31"/>
  <c r="CW26" i="31"/>
  <c r="BW26" i="31"/>
  <c r="CH26" i="31"/>
  <c r="BO26" i="31"/>
  <c r="CA26" i="31"/>
  <c r="BM26" i="31"/>
  <c r="CS26" i="31"/>
  <c r="BV26" i="31"/>
  <c r="DH26" i="31"/>
  <c r="DG26" i="31"/>
  <c r="BM58" i="31"/>
  <c r="DG58" i="31"/>
  <c r="CO58" i="31"/>
  <c r="CM58" i="31"/>
  <c r="BQ58" i="31"/>
  <c r="CP58" i="31"/>
  <c r="F177" i="24"/>
  <c r="DH58" i="31"/>
  <c r="CY58" i="31"/>
  <c r="CD58" i="31"/>
  <c r="BY58" i="31"/>
  <c r="DD58" i="31"/>
  <c r="DJ58" i="31"/>
  <c r="DI58" i="31"/>
  <c r="CZ58" i="31"/>
  <c r="CQ58" i="31"/>
  <c r="BP58" i="31"/>
  <c r="BN58" i="31"/>
  <c r="CG58" i="31"/>
  <c r="CV58" i="31"/>
  <c r="DA58" i="31"/>
  <c r="CR58" i="31"/>
  <c r="CI58" i="31"/>
  <c r="DB58" i="31"/>
  <c r="DF58" i="31"/>
  <c r="CE58" i="31"/>
  <c r="CF58" i="31"/>
  <c r="CS58" i="31"/>
  <c r="CJ58" i="31"/>
  <c r="CA58" i="31"/>
  <c r="CN58" i="31"/>
  <c r="CL58" i="31"/>
  <c r="CW58" i="31"/>
  <c r="BX58" i="31"/>
  <c r="CK58" i="31"/>
  <c r="CB58" i="31"/>
  <c r="BS58" i="31"/>
  <c r="BZ58" i="31"/>
  <c r="BR58" i="31"/>
  <c r="BW58" i="31"/>
  <c r="BV58" i="31"/>
  <c r="BU58" i="31"/>
  <c r="BL58" i="31"/>
  <c r="DC58" i="31"/>
  <c r="CX58" i="31"/>
  <c r="CH58" i="31"/>
  <c r="CT58" i="31"/>
  <c r="CU58" i="31"/>
  <c r="CC58" i="31"/>
  <c r="BT58" i="31"/>
  <c r="BO58" i="31"/>
  <c r="BK58" i="31"/>
  <c r="DE58" i="31"/>
  <c r="DD65" i="31"/>
  <c r="F184" i="24"/>
  <c r="CV65" i="31"/>
  <c r="DE65" i="31"/>
  <c r="CN65" i="31"/>
  <c r="CW65" i="31"/>
  <c r="CF65" i="31"/>
  <c r="CO65" i="31"/>
  <c r="BX65" i="31"/>
  <c r="CG65" i="31"/>
  <c r="BP65" i="31"/>
  <c r="BQ65" i="31"/>
  <c r="CU65" i="31"/>
  <c r="DI65" i="31"/>
  <c r="BU65" i="31"/>
  <c r="CP65" i="31"/>
  <c r="BN65" i="31"/>
  <c r="BM65" i="31"/>
  <c r="CX65" i="31"/>
  <c r="DG65" i="31"/>
  <c r="BS65" i="31"/>
  <c r="CR65" i="31"/>
  <c r="BY65" i="31"/>
  <c r="CJ65" i="31"/>
  <c r="CS65" i="31"/>
  <c r="DF65" i="31"/>
  <c r="BL65" i="31"/>
  <c r="DC65" i="31"/>
  <c r="BV65" i="31"/>
  <c r="CH65" i="31"/>
  <c r="CL65" i="31"/>
  <c r="CK65" i="31"/>
  <c r="CM65" i="31"/>
  <c r="BK65" i="31"/>
  <c r="BT65" i="31"/>
  <c r="BR65" i="31"/>
  <c r="CD65" i="31"/>
  <c r="BW65" i="31"/>
  <c r="CT65" i="31"/>
  <c r="BZ65" i="31"/>
  <c r="CB65" i="31"/>
  <c r="CC65" i="31"/>
  <c r="CQ65" i="31"/>
  <c r="DJ65" i="31"/>
  <c r="DB65" i="31"/>
  <c r="CZ65" i="31"/>
  <c r="DA65" i="31"/>
  <c r="CE65" i="31"/>
  <c r="CY65" i="31"/>
  <c r="BO65" i="31"/>
  <c r="CA65" i="31"/>
  <c r="CI65" i="31"/>
  <c r="DH65" i="31"/>
  <c r="B209" i="3"/>
  <c r="AP200" i="6" s="1"/>
  <c r="D210" i="3"/>
  <c r="C209" i="3"/>
  <c r="A212" i="12" s="1"/>
  <c r="AQ200" i="6"/>
  <c r="BI8" i="31"/>
  <c r="BI7" i="31"/>
  <c r="BI6" i="31"/>
  <c r="BI5" i="31"/>
  <c r="J74" i="32"/>
  <c r="J75" i="32"/>
  <c r="H15" i="32"/>
  <c r="H14" i="32"/>
  <c r="H13" i="32"/>
  <c r="DL5" i="31"/>
  <c r="J97" i="32"/>
  <c r="I45" i="20"/>
  <c r="I109" i="20"/>
  <c r="I79" i="20"/>
  <c r="I111" i="20"/>
  <c r="J32" i="32"/>
  <c r="J100" i="32"/>
  <c r="J90" i="32"/>
  <c r="J22" i="32"/>
  <c r="J87" i="32"/>
  <c r="I90" i="20"/>
  <c r="J40" i="32"/>
  <c r="I40" i="20"/>
  <c r="I105" i="20"/>
  <c r="I63" i="20"/>
  <c r="J38" i="32"/>
  <c r="J28" i="32"/>
  <c r="J37" i="32"/>
  <c r="J104" i="32"/>
  <c r="J77" i="32"/>
  <c r="J68" i="32"/>
  <c r="J50" i="32"/>
  <c r="J31" i="32"/>
  <c r="J93" i="32"/>
  <c r="J69" i="32"/>
  <c r="J53" i="32"/>
  <c r="J46" i="32"/>
  <c r="DL37" i="31"/>
  <c r="DL101" i="31"/>
  <c r="G16" i="32"/>
  <c r="J16" i="32" s="1"/>
  <c r="J59" i="32"/>
  <c r="J21" i="32"/>
  <c r="J27" i="32"/>
  <c r="J44" i="32"/>
  <c r="J63" i="32"/>
  <c r="J66" i="32"/>
  <c r="J88" i="32"/>
  <c r="J73" i="32"/>
  <c r="J71" i="32"/>
  <c r="J98" i="32"/>
  <c r="J107" i="32"/>
  <c r="J58" i="32"/>
  <c r="J91" i="32"/>
  <c r="I95" i="20"/>
  <c r="G17" i="32"/>
  <c r="J17" i="32" s="1"/>
  <c r="J56" i="32"/>
  <c r="J47" i="32"/>
  <c r="J92" i="32"/>
  <c r="J57" i="32"/>
  <c r="J54" i="32"/>
  <c r="J94" i="32"/>
  <c r="J80" i="32"/>
  <c r="J34" i="32"/>
  <c r="J83" i="32"/>
  <c r="J65" i="32"/>
  <c r="J52" i="32"/>
  <c r="J30" i="32"/>
  <c r="J84" i="32"/>
  <c r="J23" i="32"/>
  <c r="J24" i="32"/>
  <c r="J20" i="32"/>
  <c r="J110" i="32"/>
  <c r="J64" i="32"/>
  <c r="J81" i="32"/>
  <c r="J102" i="32"/>
  <c r="J55" i="32"/>
  <c r="J42" i="32"/>
  <c r="J25" i="32"/>
  <c r="DL65" i="31"/>
  <c r="I107" i="20"/>
  <c r="DL31" i="31"/>
  <c r="I29" i="20"/>
  <c r="J85" i="32"/>
  <c r="I47" i="20"/>
  <c r="J95" i="32"/>
  <c r="J18" i="32"/>
  <c r="J36" i="32"/>
  <c r="J26" i="32"/>
  <c r="J108" i="32"/>
  <c r="J61" i="32"/>
  <c r="J82" i="32"/>
  <c r="J89" i="32"/>
  <c r="J106" i="32"/>
  <c r="J48" i="32"/>
  <c r="J76" i="32"/>
  <c r="J29" i="32"/>
  <c r="J70" i="32"/>
  <c r="J62" i="32"/>
  <c r="J43" i="32"/>
  <c r="J67" i="32"/>
  <c r="J35" i="32"/>
  <c r="J41" i="32"/>
  <c r="J39" i="32"/>
  <c r="J86" i="32"/>
  <c r="J103" i="32"/>
  <c r="J78" i="32"/>
  <c r="J96" i="32"/>
  <c r="J105" i="32"/>
  <c r="J33" i="32"/>
  <c r="J111" i="32"/>
  <c r="J79" i="32"/>
  <c r="J72" i="32"/>
  <c r="J45" i="32"/>
  <c r="J49" i="32"/>
  <c r="DL86" i="31"/>
  <c r="I98" i="20"/>
  <c r="DL15" i="31"/>
  <c r="I27" i="20"/>
  <c r="DL90" i="31"/>
  <c r="I102" i="20"/>
  <c r="I86" i="20"/>
  <c r="DL74" i="31"/>
  <c r="I54" i="20"/>
  <c r="DL42" i="31"/>
  <c r="DL44" i="31"/>
  <c r="I56" i="20"/>
  <c r="I104" i="20"/>
  <c r="DL92" i="31"/>
  <c r="I46" i="20"/>
  <c r="DL34" i="31"/>
  <c r="DL23" i="31"/>
  <c r="I35" i="20"/>
  <c r="I108" i="20"/>
  <c r="DL96" i="31"/>
  <c r="DL81" i="31"/>
  <c r="I93" i="20"/>
  <c r="DL64" i="31"/>
  <c r="I76" i="20"/>
  <c r="DL49" i="31"/>
  <c r="I61" i="20"/>
  <c r="DL32" i="31"/>
  <c r="I44" i="20"/>
  <c r="DL16" i="31"/>
  <c r="I28" i="20"/>
  <c r="I92" i="20"/>
  <c r="DL80" i="31"/>
  <c r="I60" i="20"/>
  <c r="DL48" i="31"/>
  <c r="DL18" i="31"/>
  <c r="I30" i="20"/>
  <c r="DL79" i="31"/>
  <c r="I91" i="20"/>
  <c r="DL47" i="31"/>
  <c r="I59" i="20"/>
  <c r="DL10" i="31"/>
  <c r="I22" i="20"/>
  <c r="DL27" i="31"/>
  <c r="I39" i="20"/>
  <c r="DL54" i="31"/>
  <c r="I66" i="20"/>
  <c r="I72" i="20"/>
  <c r="DL60" i="31"/>
  <c r="DL30" i="31"/>
  <c r="I42" i="20"/>
  <c r="DL76" i="31"/>
  <c r="I88" i="20"/>
  <c r="DL29" i="31"/>
  <c r="I41" i="20"/>
  <c r="I74" i="20"/>
  <c r="DL40" i="31"/>
  <c r="I52" i="20"/>
  <c r="I110" i="20"/>
  <c r="DL98" i="31"/>
  <c r="DL89" i="31"/>
  <c r="I101" i="20"/>
  <c r="DL19" i="31"/>
  <c r="I31" i="20"/>
  <c r="I116" i="20"/>
  <c r="DL104" i="31"/>
  <c r="I84" i="20"/>
  <c r="DL72" i="31"/>
  <c r="DL77" i="31"/>
  <c r="I89" i="20"/>
  <c r="DL87" i="31"/>
  <c r="I99" i="20"/>
  <c r="DL75" i="31"/>
  <c r="I87" i="20"/>
  <c r="DL55" i="31"/>
  <c r="I67" i="20"/>
  <c r="DL43" i="31"/>
  <c r="I55" i="20"/>
  <c r="J19" i="32"/>
  <c r="DL103" i="31"/>
  <c r="I115" i="20"/>
  <c r="DL91" i="31"/>
  <c r="I103" i="20"/>
  <c r="DL71" i="31"/>
  <c r="I83" i="20"/>
  <c r="DL26" i="31"/>
  <c r="I38" i="20"/>
  <c r="DL88" i="31"/>
  <c r="I100" i="20"/>
  <c r="DL73" i="31"/>
  <c r="I85" i="20"/>
  <c r="I68" i="20"/>
  <c r="DL56" i="31"/>
  <c r="DL41" i="31"/>
  <c r="I53" i="20"/>
  <c r="I78" i="20"/>
  <c r="DL66" i="31"/>
  <c r="DL57" i="31"/>
  <c r="I69" i="20"/>
  <c r="DL58" i="31"/>
  <c r="I70" i="20"/>
  <c r="DL11" i="31"/>
  <c r="I23" i="20"/>
  <c r="DL13" i="31"/>
  <c r="I25" i="20"/>
  <c r="DL12" i="31"/>
  <c r="I24" i="20"/>
  <c r="I73" i="20"/>
  <c r="I58" i="20"/>
  <c r="I106" i="20"/>
  <c r="DL45" i="31"/>
  <c r="I57" i="20"/>
  <c r="DL84" i="31"/>
  <c r="I96" i="20"/>
  <c r="DL52" i="31"/>
  <c r="I64" i="20"/>
  <c r="DL20" i="31"/>
  <c r="I32" i="20"/>
  <c r="I112" i="20"/>
  <c r="DL100" i="31"/>
  <c r="DL85" i="31"/>
  <c r="I97" i="20"/>
  <c r="I80" i="20"/>
  <c r="DL68" i="31"/>
  <c r="DL53" i="31"/>
  <c r="I65" i="20"/>
  <c r="I48" i="20"/>
  <c r="DL36" i="31"/>
  <c r="DL22" i="31"/>
  <c r="I34" i="20"/>
  <c r="DL102" i="31"/>
  <c r="I114" i="20"/>
  <c r="I94" i="20"/>
  <c r="DL82" i="31"/>
  <c r="DL70" i="31"/>
  <c r="I82" i="20"/>
  <c r="I62" i="20"/>
  <c r="DL50" i="31"/>
  <c r="DL38" i="31"/>
  <c r="I50" i="20"/>
  <c r="DL14" i="31"/>
  <c r="I26" i="20"/>
  <c r="I18" i="20"/>
  <c r="DL6" i="31"/>
  <c r="G12" i="32"/>
  <c r="J12" i="32" s="1"/>
  <c r="DL9" i="31"/>
  <c r="I21" i="20"/>
  <c r="H15" i="20"/>
  <c r="I15" i="20" s="1"/>
  <c r="H12" i="32"/>
  <c r="I17" i="20"/>
  <c r="G13" i="32"/>
  <c r="J13" i="32" s="1"/>
  <c r="G15" i="32"/>
  <c r="J15" i="32" s="1"/>
  <c r="DL8" i="31"/>
  <c r="I20" i="20"/>
  <c r="G14" i="32"/>
  <c r="J14" i="32" s="1"/>
  <c r="I19" i="20"/>
  <c r="DL7" i="31"/>
  <c r="CN18" i="31" l="1"/>
  <c r="BZ16" i="31"/>
  <c r="CV16" i="31"/>
  <c r="BY16" i="31"/>
  <c r="CW16" i="31"/>
  <c r="DI18" i="31"/>
  <c r="DB18" i="31"/>
  <c r="CK18" i="31"/>
  <c r="BK18" i="31"/>
  <c r="BR18" i="31"/>
  <c r="CF18" i="31"/>
  <c r="DC18" i="31"/>
  <c r="CX18" i="31"/>
  <c r="CT18" i="31"/>
  <c r="CM18" i="31"/>
  <c r="CP18" i="31"/>
  <c r="BP18" i="31"/>
  <c r="CI18" i="31"/>
  <c r="CA18" i="31"/>
  <c r="BM18" i="31"/>
  <c r="BW18" i="31"/>
  <c r="DD18" i="31"/>
  <c r="CR18" i="31"/>
  <c r="CG18" i="31"/>
  <c r="BO18" i="31"/>
  <c r="DH18" i="31"/>
  <c r="BV18" i="31"/>
  <c r="CE18" i="31"/>
  <c r="CS18" i="31"/>
  <c r="CD18" i="31"/>
  <c r="BY18" i="31"/>
  <c r="DJ18" i="31"/>
  <c r="CJ18" i="31"/>
  <c r="BU18" i="31"/>
  <c r="CH18" i="31"/>
  <c r="CV18" i="31"/>
  <c r="BN18" i="31"/>
  <c r="BZ18" i="31"/>
  <c r="DA18" i="31"/>
  <c r="BX18" i="31"/>
  <c r="CL18" i="31"/>
  <c r="DE18" i="31"/>
  <c r="CW18" i="31"/>
  <c r="BT18" i="31"/>
  <c r="F137" i="24"/>
  <c r="BS18" i="31"/>
  <c r="CU18" i="31"/>
  <c r="DF18" i="31"/>
  <c r="CO18" i="31"/>
  <c r="DG18" i="31"/>
  <c r="CB18" i="31"/>
  <c r="CZ18" i="31"/>
  <c r="CQ18" i="31"/>
  <c r="BL18" i="31"/>
  <c r="BQ18" i="31"/>
  <c r="CY18" i="31"/>
  <c r="DB14" i="31"/>
  <c r="BN16" i="31"/>
  <c r="DI16" i="31"/>
  <c r="BP16" i="31"/>
  <c r="CR16" i="31"/>
  <c r="CH16" i="31"/>
  <c r="CZ16" i="31"/>
  <c r="CI16" i="31"/>
  <c r="DE16" i="31"/>
  <c r="CQ16" i="31"/>
  <c r="CD16" i="31"/>
  <c r="DJ14" i="31"/>
  <c r="BV14" i="31"/>
  <c r="CP13" i="31"/>
  <c r="BM13" i="31"/>
  <c r="DI14" i="31"/>
  <c r="DA14" i="31"/>
  <c r="CD13" i="31"/>
  <c r="CN13" i="31"/>
  <c r="BT13" i="31"/>
  <c r="CD14" i="31"/>
  <c r="CK14" i="31"/>
  <c r="BO13" i="31"/>
  <c r="DI13" i="31"/>
  <c r="BY13" i="31"/>
  <c r="CT14" i="31"/>
  <c r="DE14" i="31"/>
  <c r="DC17" i="31"/>
  <c r="BS17" i="31"/>
  <c r="CA17" i="31"/>
  <c r="BP17" i="31"/>
  <c r="BY17" i="31"/>
  <c r="BM17" i="31"/>
  <c r="CN17" i="31"/>
  <c r="BU17" i="31"/>
  <c r="BQ17" i="31"/>
  <c r="CJ17" i="31"/>
  <c r="BR17" i="31"/>
  <c r="CY17" i="31"/>
  <c r="DF17" i="31"/>
  <c r="CW17" i="31"/>
  <c r="CE17" i="31"/>
  <c r="BW17" i="31"/>
  <c r="CS17" i="31"/>
  <c r="BN17" i="31"/>
  <c r="DH17" i="31"/>
  <c r="BX17" i="31"/>
  <c r="BO17" i="31"/>
  <c r="CK17" i="31"/>
  <c r="BK17" i="31"/>
  <c r="DD17" i="31"/>
  <c r="CQ17" i="31"/>
  <c r="F136" i="24"/>
  <c r="DB17" i="31"/>
  <c r="CU17" i="31"/>
  <c r="DE17" i="31"/>
  <c r="BT17" i="31"/>
  <c r="DJ17" i="31"/>
  <c r="CZ17" i="31"/>
  <c r="CO17" i="31"/>
  <c r="BV17" i="31"/>
  <c r="CL17" i="31"/>
  <c r="CG17" i="31"/>
  <c r="CC17" i="31"/>
  <c r="CI17" i="31"/>
  <c r="DI17" i="31"/>
  <c r="CT17" i="31"/>
  <c r="BZ17" i="31"/>
  <c r="CB17" i="31"/>
  <c r="CH17" i="31"/>
  <c r="CP17" i="31"/>
  <c r="CR17" i="31"/>
  <c r="CD17" i="31"/>
  <c r="CA19" i="31"/>
  <c r="BL19" i="31"/>
  <c r="CW19" i="31"/>
  <c r="CO19" i="31"/>
  <c r="CC19" i="31"/>
  <c r="CU19" i="31"/>
  <c r="BP19" i="31"/>
  <c r="CZ19" i="31"/>
  <c r="DE19" i="31"/>
  <c r="DI19" i="31"/>
  <c r="DJ19" i="31"/>
  <c r="BZ19" i="31"/>
  <c r="CE19" i="31"/>
  <c r="CJ19" i="31"/>
  <c r="CI19" i="31"/>
  <c r="BO19" i="31"/>
  <c r="CL19" i="31"/>
  <c r="BU19" i="31"/>
  <c r="BV19" i="31"/>
  <c r="BW19" i="31"/>
  <c r="CV19" i="31"/>
  <c r="CR19" i="31"/>
  <c r="BQ19" i="31"/>
  <c r="DG19" i="31"/>
  <c r="CT19" i="31"/>
  <c r="BS19" i="31"/>
  <c r="CX19" i="31"/>
  <c r="CS19" i="31"/>
  <c r="DA19" i="31"/>
  <c r="BX19" i="31"/>
  <c r="BM19" i="31"/>
  <c r="DB19" i="31"/>
  <c r="CB19" i="31"/>
  <c r="BR19" i="31"/>
  <c r="CD19" i="31"/>
  <c r="DC19" i="31"/>
  <c r="CY19" i="31"/>
  <c r="BN19" i="31"/>
  <c r="DD19" i="31"/>
  <c r="CK19" i="31"/>
  <c r="CH19" i="31"/>
  <c r="CG19" i="31"/>
  <c r="DF19" i="31"/>
  <c r="DH19" i="31"/>
  <c r="CN19" i="31"/>
  <c r="BK19" i="31"/>
  <c r="CF19" i="31"/>
  <c r="CM19" i="31"/>
  <c r="CQ19" i="31"/>
  <c r="F138" i="24"/>
  <c r="CP19" i="31"/>
  <c r="BT19" i="31"/>
  <c r="DJ16" i="31"/>
  <c r="CT16" i="31"/>
  <c r="DF16" i="31"/>
  <c r="CM16" i="31"/>
  <c r="CS16" i="31"/>
  <c r="CG16" i="31"/>
  <c r="BV16" i="31"/>
  <c r="CB16" i="31"/>
  <c r="BL16" i="31"/>
  <c r="CX16" i="31"/>
  <c r="DD16" i="31"/>
  <c r="CA16" i="31"/>
  <c r="BS16" i="31"/>
  <c r="BO16" i="31"/>
  <c r="DH16" i="31"/>
  <c r="CP16" i="31"/>
  <c r="CE16" i="31"/>
  <c r="CC16" i="31"/>
  <c r="DC16" i="31"/>
  <c r="BK16" i="31"/>
  <c r="CF16" i="31"/>
  <c r="DA16" i="31"/>
  <c r="CJ16" i="31"/>
  <c r="F135" i="24"/>
  <c r="BM16" i="31"/>
  <c r="DB16" i="31"/>
  <c r="BX16" i="31"/>
  <c r="BU16" i="31"/>
  <c r="BW16" i="31"/>
  <c r="BR16" i="31"/>
  <c r="CU16" i="31"/>
  <c r="DG16" i="31"/>
  <c r="CO16" i="31"/>
  <c r="CY16" i="31"/>
  <c r="CN16" i="31"/>
  <c r="BT16" i="31"/>
  <c r="BQ16" i="31"/>
  <c r="CL16" i="31"/>
  <c r="DF13" i="31"/>
  <c r="CY13" i="31"/>
  <c r="BZ13" i="31"/>
  <c r="BN14" i="31"/>
  <c r="DF14" i="31"/>
  <c r="BM14" i="31"/>
  <c r="CR13" i="31"/>
  <c r="CT13" i="31"/>
  <c r="DD13" i="31"/>
  <c r="DD14" i="31"/>
  <c r="BP14" i="31"/>
  <c r="CQ14" i="31"/>
  <c r="CA13" i="31"/>
  <c r="DE13" i="31"/>
  <c r="BU14" i="31"/>
  <c r="BX14" i="31"/>
  <c r="BW13" i="31"/>
  <c r="BL13" i="31"/>
  <c r="CE14" i="31"/>
  <c r="BZ14" i="31"/>
  <c r="BP13" i="31"/>
  <c r="BK13" i="31"/>
  <c r="CV14" i="31"/>
  <c r="CS14" i="31"/>
  <c r="DB13" i="31"/>
  <c r="CU13" i="31"/>
  <c r="CQ13" i="31"/>
  <c r="DH13" i="31"/>
  <c r="DJ13" i="31"/>
  <c r="CC13" i="31"/>
  <c r="BX13" i="31"/>
  <c r="CJ14" i="31"/>
  <c r="BQ14" i="31"/>
  <c r="F133" i="24"/>
  <c r="DH14" i="31"/>
  <c r="CO14" i="31"/>
  <c r="BW14" i="31"/>
  <c r="CX14" i="31"/>
  <c r="BQ13" i="31"/>
  <c r="CM13" i="31"/>
  <c r="CZ13" i="31"/>
  <c r="F132" i="24"/>
  <c r="DC13" i="31"/>
  <c r="CG13" i="31"/>
  <c r="CE13" i="31"/>
  <c r="CA14" i="31"/>
  <c r="CC14" i="31"/>
  <c r="CR14" i="31"/>
  <c r="CP14" i="31"/>
  <c r="CH14" i="31"/>
  <c r="CN14" i="31"/>
  <c r="CL14" i="31"/>
  <c r="DA13" i="31"/>
  <c r="CJ13" i="31"/>
  <c r="CL13" i="31"/>
  <c r="CV13" i="31"/>
  <c r="BU13" i="31"/>
  <c r="BS13" i="31"/>
  <c r="CM14" i="31"/>
  <c r="CI14" i="31"/>
  <c r="CB14" i="31"/>
  <c r="CG14" i="31"/>
  <c r="BO14" i="31"/>
  <c r="CZ14" i="31"/>
  <c r="CX13" i="31"/>
  <c r="CS13" i="31"/>
  <c r="CF13" i="31"/>
  <c r="CO13" i="31"/>
  <c r="BV13" i="31"/>
  <c r="CB13" i="31"/>
  <c r="CU14" i="31"/>
  <c r="DG14" i="31"/>
  <c r="DC14" i="31"/>
  <c r="BT14" i="31"/>
  <c r="CF14" i="31"/>
  <c r="BR14" i="31"/>
  <c r="CW13" i="31"/>
  <c r="CI13" i="31"/>
  <c r="BR13" i="31"/>
  <c r="CH13" i="31"/>
  <c r="DG13" i="31"/>
  <c r="BN13" i="31"/>
  <c r="BS14" i="31"/>
  <c r="CY14" i="31"/>
  <c r="BY14" i="31"/>
  <c r="BL14" i="31"/>
  <c r="CW14" i="31"/>
  <c r="CH15" i="31"/>
  <c r="CU15" i="31"/>
  <c r="CK15" i="31"/>
  <c r="DF15" i="31"/>
  <c r="CO15" i="31"/>
  <c r="CC15" i="31"/>
  <c r="CY15" i="31"/>
  <c r="CF15" i="31"/>
  <c r="BO15" i="31"/>
  <c r="BY15" i="31"/>
  <c r="DI15" i="31"/>
  <c r="CI15" i="31"/>
  <c r="DG15" i="31"/>
  <c r="BZ15" i="31"/>
  <c r="CQ15" i="31"/>
  <c r="BM15" i="31"/>
  <c r="BK15" i="31"/>
  <c r="CD15" i="31"/>
  <c r="CT15" i="31"/>
  <c r="CV15" i="31"/>
  <c r="DH15" i="31"/>
  <c r="CZ15" i="31"/>
  <c r="CP15" i="31"/>
  <c r="BT15" i="31"/>
  <c r="DJ15" i="31"/>
  <c r="CW15" i="31"/>
  <c r="CX15" i="31"/>
  <c r="F134" i="24"/>
  <c r="BW15" i="31"/>
  <c r="DB15" i="31"/>
  <c r="BR15" i="31"/>
  <c r="CL15" i="31"/>
  <c r="CR15" i="31"/>
  <c r="BP15" i="31"/>
  <c r="BQ15" i="31"/>
  <c r="CE15" i="31"/>
  <c r="BL15" i="31"/>
  <c r="BX15" i="31"/>
  <c r="CA15" i="31"/>
  <c r="DA15" i="31"/>
  <c r="BN15" i="31"/>
  <c r="BV15" i="31"/>
  <c r="CG15" i="31"/>
  <c r="BU15" i="31"/>
  <c r="BS15" i="31"/>
  <c r="CJ15" i="31"/>
  <c r="DC15" i="31"/>
  <c r="CM15" i="31"/>
  <c r="DE15" i="31"/>
  <c r="CN15" i="31"/>
  <c r="DD15" i="31"/>
  <c r="CB15" i="31"/>
  <c r="DE10" i="31"/>
  <c r="CF10" i="31"/>
  <c r="CI10" i="31"/>
  <c r="CU10" i="31"/>
  <c r="DJ10" i="31"/>
  <c r="CZ10" i="31"/>
  <c r="CK10" i="31"/>
  <c r="BO10" i="31"/>
  <c r="BU10" i="31"/>
  <c r="BL10" i="31"/>
  <c r="BQ10" i="31"/>
  <c r="DF10" i="31"/>
  <c r="BR10" i="31"/>
  <c r="CN10" i="31"/>
  <c r="DH10" i="31"/>
  <c r="DI10" i="31"/>
  <c r="DA10" i="31"/>
  <c r="BK10" i="31"/>
  <c r="BX10" i="31"/>
  <c r="CS10" i="31"/>
  <c r="BN10" i="31"/>
  <c r="BW10" i="31"/>
  <c r="CP10" i="31"/>
  <c r="CM10" i="31"/>
  <c r="CY10" i="31"/>
  <c r="CO10" i="31"/>
  <c r="BM10" i="31"/>
  <c r="BY10" i="31"/>
  <c r="CJ10" i="31"/>
  <c r="CE10" i="31"/>
  <c r="DD10" i="31"/>
  <c r="CR10" i="31"/>
  <c r="DG10" i="31"/>
  <c r="CQ10" i="31"/>
  <c r="CB10" i="31"/>
  <c r="DC10" i="31"/>
  <c r="CV10" i="31"/>
  <c r="CT10" i="31"/>
  <c r="BP10" i="31"/>
  <c r="CA10" i="31"/>
  <c r="CH10" i="31"/>
  <c r="CW10" i="31"/>
  <c r="CC10" i="31"/>
  <c r="F129" i="24"/>
  <c r="BZ10" i="31"/>
  <c r="CG10" i="31"/>
  <c r="BT10" i="31"/>
  <c r="CD10" i="31"/>
  <c r="CX10" i="31"/>
  <c r="CL10" i="31"/>
  <c r="BS10" i="31"/>
  <c r="BV10" i="31"/>
  <c r="CO11" i="31"/>
  <c r="BY11" i="31"/>
  <c r="DE11" i="31"/>
  <c r="CD11" i="31"/>
  <c r="CF11" i="31"/>
  <c r="CM11" i="31"/>
  <c r="CS11" i="31"/>
  <c r="CK11" i="31"/>
  <c r="CB11" i="31"/>
  <c r="BS11" i="31"/>
  <c r="BZ11" i="31"/>
  <c r="BW11" i="31"/>
  <c r="BN11" i="31"/>
  <c r="CC11" i="31"/>
  <c r="BT11" i="31"/>
  <c r="BK11" i="31"/>
  <c r="BO11" i="31"/>
  <c r="DF11" i="31"/>
  <c r="CT11" i="31"/>
  <c r="BM11" i="31"/>
  <c r="DG11" i="31"/>
  <c r="CP11" i="31"/>
  <c r="CL11" i="31"/>
  <c r="CG11" i="31"/>
  <c r="BP11" i="31"/>
  <c r="F130" i="24"/>
  <c r="DH11" i="31"/>
  <c r="CY11" i="31"/>
  <c r="CE11" i="31"/>
  <c r="BX11" i="31"/>
  <c r="BV11" i="31"/>
  <c r="CX11" i="31"/>
  <c r="DI11" i="31"/>
  <c r="CZ11" i="31"/>
  <c r="CQ11" i="31"/>
  <c r="BQ11" i="31"/>
  <c r="DJ11" i="31"/>
  <c r="BR11" i="31"/>
  <c r="CA11" i="31"/>
  <c r="DC11" i="31"/>
  <c r="DD11" i="31"/>
  <c r="DA11" i="31"/>
  <c r="DB11" i="31"/>
  <c r="BU11" i="31"/>
  <c r="CN11" i="31"/>
  <c r="CR11" i="31"/>
  <c r="CW11" i="31"/>
  <c r="CJ11" i="31"/>
  <c r="CV11" i="31"/>
  <c r="BL11" i="31"/>
  <c r="CH11" i="31"/>
  <c r="CU11" i="31"/>
  <c r="CI11" i="31"/>
  <c r="DF12" i="31"/>
  <c r="CP12" i="31"/>
  <c r="BL12" i="31"/>
  <c r="CR12" i="31"/>
  <c r="BN12" i="31"/>
  <c r="BS12" i="31"/>
  <c r="DA12" i="31"/>
  <c r="CY12" i="31"/>
  <c r="BZ12" i="31"/>
  <c r="BY12" i="31"/>
  <c r="DC12" i="31"/>
  <c r="CC12" i="31"/>
  <c r="CJ12" i="31"/>
  <c r="CS12" i="31"/>
  <c r="BQ12" i="31"/>
  <c r="CU12" i="31"/>
  <c r="BR12" i="31"/>
  <c r="BV12" i="31"/>
  <c r="CH12" i="31"/>
  <c r="DD12" i="31"/>
  <c r="CM12" i="31"/>
  <c r="CZ12" i="31"/>
  <c r="BK12" i="31"/>
  <c r="BT12" i="31"/>
  <c r="F131" i="24"/>
  <c r="CV12" i="31"/>
  <c r="CE12" i="31"/>
  <c r="CL12" i="31"/>
  <c r="DH12" i="31"/>
  <c r="DE12" i="31"/>
  <c r="CN12" i="31"/>
  <c r="BW12" i="31"/>
  <c r="CA12" i="31"/>
  <c r="CT12" i="31"/>
  <c r="DJ12" i="31"/>
  <c r="CW12" i="31"/>
  <c r="CF12" i="31"/>
  <c r="BO12" i="31"/>
  <c r="BM12" i="31"/>
  <c r="CI12" i="31"/>
  <c r="CO12" i="31"/>
  <c r="BX12" i="31"/>
  <c r="DB12" i="31"/>
  <c r="DI12" i="31"/>
  <c r="BU12" i="31"/>
  <c r="CD12" i="31"/>
  <c r="BP12" i="31"/>
  <c r="CQ12" i="31"/>
  <c r="CK12" i="31"/>
  <c r="CX12" i="31"/>
  <c r="CB12" i="31"/>
  <c r="DG12" i="31"/>
  <c r="CG12" i="31"/>
  <c r="CH9" i="31"/>
  <c r="CD9" i="31"/>
  <c r="DF9" i="31"/>
  <c r="CF9" i="31"/>
  <c r="CZ9" i="31"/>
  <c r="CQ9" i="31"/>
  <c r="BW9" i="31"/>
  <c r="CC9" i="31"/>
  <c r="CK9" i="31"/>
  <c r="CR9" i="31"/>
  <c r="CI9" i="31"/>
  <c r="BM9" i="31"/>
  <c r="BQ9" i="31"/>
  <c r="BY9" i="31"/>
  <c r="CJ9" i="31"/>
  <c r="CA9" i="31"/>
  <c r="DC9" i="31"/>
  <c r="CW9" i="31"/>
  <c r="BO9" i="31"/>
  <c r="F128" i="24"/>
  <c r="CB9" i="31"/>
  <c r="BS9" i="31"/>
  <c r="CO9" i="31"/>
  <c r="CL9" i="31"/>
  <c r="DI9" i="31"/>
  <c r="BT9" i="31"/>
  <c r="BK9" i="31"/>
  <c r="CE9" i="31"/>
  <c r="BZ9" i="31"/>
  <c r="CS9" i="31"/>
  <c r="DG9" i="31"/>
  <c r="CT9" i="31"/>
  <c r="CX9" i="31"/>
  <c r="DJ9" i="31"/>
  <c r="BL9" i="31"/>
  <c r="CY9" i="31"/>
  <c r="DE9" i="31"/>
  <c r="CG9" i="31"/>
  <c r="BU9" i="31"/>
  <c r="CM9" i="31"/>
  <c r="DH9" i="31"/>
  <c r="CV9" i="31"/>
  <c r="DA9" i="31"/>
  <c r="BP9" i="31"/>
  <c r="BN9" i="31"/>
  <c r="CP9" i="31"/>
  <c r="CN9" i="31"/>
  <c r="BV9" i="31"/>
  <c r="DD9" i="31"/>
  <c r="BR9" i="31"/>
  <c r="CU9" i="31"/>
  <c r="DB9" i="31"/>
  <c r="BX9" i="31"/>
  <c r="C210" i="3"/>
  <c r="A213" i="12" s="1"/>
  <c r="B210" i="3"/>
  <c r="AP201" i="6" s="1"/>
  <c r="D211" i="3"/>
  <c r="AQ201" i="6"/>
  <c r="BV8" i="31"/>
  <c r="BM8" i="31"/>
  <c r="DG8" i="31"/>
  <c r="CX8" i="31"/>
  <c r="CG8" i="31"/>
  <c r="BP8" i="31"/>
  <c r="CT8" i="31"/>
  <c r="CB8" i="31"/>
  <c r="BS8" i="31"/>
  <c r="DE8" i="31"/>
  <c r="BW8" i="31"/>
  <c r="BN8" i="31"/>
  <c r="DH8" i="31"/>
  <c r="CY8" i="31"/>
  <c r="CP8" i="31"/>
  <c r="BY8" i="31"/>
  <c r="DC8" i="31"/>
  <c r="F127" i="24"/>
  <c r="DI8" i="31"/>
  <c r="CZ8" i="31"/>
  <c r="CQ8" i="31"/>
  <c r="CH8" i="31"/>
  <c r="BQ8" i="31"/>
  <c r="CU8" i="31"/>
  <c r="CS8" i="31"/>
  <c r="CN8" i="31"/>
  <c r="BO8" i="31"/>
  <c r="DJ8" i="31"/>
  <c r="DA8" i="31"/>
  <c r="CR8" i="31"/>
  <c r="CI8" i="31"/>
  <c r="BZ8" i="31"/>
  <c r="DD8" i="31"/>
  <c r="CM8" i="31"/>
  <c r="DB8" i="31"/>
  <c r="CJ8" i="31"/>
  <c r="CA8" i="31"/>
  <c r="CV8" i="31"/>
  <c r="CE8" i="31"/>
  <c r="BR8" i="31"/>
  <c r="CL8" i="31"/>
  <c r="CC8" i="31"/>
  <c r="BT8" i="31"/>
  <c r="BK8" i="31"/>
  <c r="CW8" i="31"/>
  <c r="CF8" i="31"/>
  <c r="CK8" i="31"/>
  <c r="CD8" i="31"/>
  <c r="BU8" i="31"/>
  <c r="BL8" i="31"/>
  <c r="DF8" i="31"/>
  <c r="CO8" i="31"/>
  <c r="BX8" i="31"/>
  <c r="BR7" i="31"/>
  <c r="CV7" i="31"/>
  <c r="CE7" i="31"/>
  <c r="BV7" i="31"/>
  <c r="BM7" i="31"/>
  <c r="DG7" i="31"/>
  <c r="DD7" i="31"/>
  <c r="DE7" i="31"/>
  <c r="CN7" i="31"/>
  <c r="BW7" i="31"/>
  <c r="BN7" i="31"/>
  <c r="DH7" i="31"/>
  <c r="CY7" i="31"/>
  <c r="CM7" i="31"/>
  <c r="F126" i="24"/>
  <c r="CW7" i="31"/>
  <c r="CF7" i="31"/>
  <c r="BO7" i="31"/>
  <c r="DI7" i="31"/>
  <c r="CZ7" i="31"/>
  <c r="CQ7" i="31"/>
  <c r="BZ7" i="31"/>
  <c r="BU7" i="31"/>
  <c r="BL7" i="31"/>
  <c r="DF7" i="31"/>
  <c r="CO7" i="31"/>
  <c r="BX7" i="31"/>
  <c r="DJ7" i="31"/>
  <c r="DA7" i="31"/>
  <c r="CR7" i="31"/>
  <c r="CI7" i="31"/>
  <c r="CX7" i="31"/>
  <c r="CG7" i="31"/>
  <c r="BP7" i="31"/>
  <c r="DB7" i="31"/>
  <c r="CS7" i="31"/>
  <c r="CJ7" i="31"/>
  <c r="CA7" i="31"/>
  <c r="CD7" i="31"/>
  <c r="CP7" i="31"/>
  <c r="BY7" i="31"/>
  <c r="DC7" i="31"/>
  <c r="CT7" i="31"/>
  <c r="CK7" i="31"/>
  <c r="CB7" i="31"/>
  <c r="BS7" i="31"/>
  <c r="CH7" i="31"/>
  <c r="BQ7" i="31"/>
  <c r="CU7" i="31"/>
  <c r="CL7" i="31"/>
  <c r="CC7" i="31"/>
  <c r="BT7" i="31"/>
  <c r="BK7" i="31"/>
  <c r="BV6" i="31"/>
  <c r="BM6" i="31"/>
  <c r="DG6" i="31"/>
  <c r="CX6" i="31"/>
  <c r="CG6" i="31"/>
  <c r="BP6" i="31"/>
  <c r="F125" i="24"/>
  <c r="DB6" i="31"/>
  <c r="CS6" i="31"/>
  <c r="CJ6" i="31"/>
  <c r="CA6" i="31"/>
  <c r="BR6" i="31"/>
  <c r="CV6" i="31"/>
  <c r="CE6" i="31"/>
  <c r="DA6" i="31"/>
  <c r="CM6" i="31"/>
  <c r="CT6" i="31"/>
  <c r="CK6" i="31"/>
  <c r="CB6" i="31"/>
  <c r="BS6" i="31"/>
  <c r="DE6" i="31"/>
  <c r="CN6" i="31"/>
  <c r="BW6" i="31"/>
  <c r="CL6" i="31"/>
  <c r="CC6" i="31"/>
  <c r="BT6" i="31"/>
  <c r="BK6" i="31"/>
  <c r="CW6" i="31"/>
  <c r="CF6" i="31"/>
  <c r="BO6" i="31"/>
  <c r="CZ6" i="31"/>
  <c r="CH6" i="31"/>
  <c r="CU6" i="31"/>
  <c r="DJ6" i="31"/>
  <c r="CI6" i="31"/>
  <c r="DD6" i="31"/>
  <c r="CD6" i="31"/>
  <c r="BU6" i="31"/>
  <c r="BL6" i="31"/>
  <c r="DF6" i="31"/>
  <c r="CO6" i="31"/>
  <c r="BX6" i="31"/>
  <c r="BN6" i="31"/>
  <c r="DH6" i="31"/>
  <c r="CY6" i="31"/>
  <c r="CP6" i="31"/>
  <c r="BY6" i="31"/>
  <c r="DC6" i="31"/>
  <c r="DI6" i="31"/>
  <c r="CQ6" i="31"/>
  <c r="BQ6" i="31"/>
  <c r="CR6" i="31"/>
  <c r="BZ6" i="31"/>
  <c r="BV5" i="31"/>
  <c r="BL5" i="31"/>
  <c r="DG5" i="31"/>
  <c r="CP5" i="31"/>
  <c r="BY5" i="31"/>
  <c r="DC5" i="31"/>
  <c r="BM5" i="31"/>
  <c r="DH5" i="31"/>
  <c r="CY5" i="31"/>
  <c r="CH5" i="31"/>
  <c r="BP5" i="31"/>
  <c r="CU5" i="31"/>
  <c r="F124" i="24"/>
  <c r="DI5" i="31"/>
  <c r="CZ5" i="31"/>
  <c r="CQ5" i="31"/>
  <c r="BZ5" i="31"/>
  <c r="DD5" i="31"/>
  <c r="CM5" i="31"/>
  <c r="DJ5" i="31"/>
  <c r="DA5" i="31"/>
  <c r="CR5" i="31"/>
  <c r="CI5" i="31"/>
  <c r="BQ5" i="31"/>
  <c r="CV5" i="31"/>
  <c r="CE5" i="31"/>
  <c r="DB5" i="31"/>
  <c r="CS5" i="31"/>
  <c r="CJ5" i="31"/>
  <c r="CA5" i="31"/>
  <c r="DE5" i="31"/>
  <c r="CN5" i="31"/>
  <c r="BW5" i="31"/>
  <c r="CT5" i="31"/>
  <c r="CK5" i="31"/>
  <c r="CB5" i="31"/>
  <c r="BR5" i="31"/>
  <c r="CW5" i="31"/>
  <c r="CF5" i="31"/>
  <c r="BN5" i="31"/>
  <c r="CL5" i="31"/>
  <c r="CC5" i="31"/>
  <c r="BS5" i="31"/>
  <c r="DF5" i="31"/>
  <c r="CO5" i="31"/>
  <c r="BX5" i="31"/>
  <c r="BT5" i="31"/>
  <c r="CD5" i="31"/>
  <c r="BU5" i="31"/>
  <c r="BK5" i="31"/>
  <c r="CX5" i="31"/>
  <c r="CG5" i="31"/>
  <c r="BO5" i="31"/>
  <c r="DL4" i="31"/>
  <c r="DK51" i="31"/>
  <c r="DK103" i="31"/>
  <c r="DK67" i="31"/>
  <c r="DK30" i="31"/>
  <c r="DK46" i="31"/>
  <c r="DK78" i="31"/>
  <c r="DK55" i="31"/>
  <c r="DK83" i="31"/>
  <c r="DK35" i="31"/>
  <c r="DK93" i="31"/>
  <c r="DK74" i="31"/>
  <c r="DK72" i="31"/>
  <c r="DK88" i="31"/>
  <c r="DK104" i="31"/>
  <c r="DK38" i="31"/>
  <c r="DK70" i="31"/>
  <c r="DK94" i="31"/>
  <c r="DK27" i="31"/>
  <c r="DK100" i="31"/>
  <c r="DK63" i="31"/>
  <c r="DK80" i="31"/>
  <c r="DK42" i="31"/>
  <c r="DK47" i="31"/>
  <c r="DK37" i="31"/>
  <c r="DK53" i="31"/>
  <c r="DK85" i="31"/>
  <c r="DK101" i="31"/>
  <c r="DK24" i="31"/>
  <c r="DK56" i="31"/>
  <c r="DK22" i="31"/>
  <c r="DK54" i="31"/>
  <c r="DK86" i="31"/>
  <c r="DK102" i="31"/>
  <c r="DK23" i="31"/>
  <c r="DK87" i="31"/>
  <c r="DK98" i="31"/>
  <c r="DK77" i="31"/>
  <c r="DK25" i="31"/>
  <c r="DK41" i="31"/>
  <c r="DK57" i="31"/>
  <c r="DK73" i="31"/>
  <c r="DK89" i="31"/>
  <c r="DK45" i="31"/>
  <c r="DK61" i="31"/>
  <c r="DK65" i="31"/>
  <c r="DK97" i="31"/>
  <c r="DK33" i="31"/>
  <c r="DK20" i="31"/>
  <c r="I27" i="32" s="1"/>
  <c r="DK52" i="31"/>
  <c r="DK34" i="31"/>
  <c r="DK50" i="31"/>
  <c r="DK66" i="31"/>
  <c r="DK82" i="31"/>
  <c r="DK43" i="31"/>
  <c r="DK99" i="31"/>
  <c r="DK71" i="31"/>
  <c r="DK79" i="31"/>
  <c r="DK32" i="31"/>
  <c r="DK28" i="31"/>
  <c r="DK44" i="31"/>
  <c r="DK60" i="31"/>
  <c r="DK76" i="31"/>
  <c r="DK62" i="31"/>
  <c r="DK91" i="31"/>
  <c r="DK48" i="31"/>
  <c r="DK39" i="31"/>
  <c r="DK21" i="31"/>
  <c r="DK69" i="31"/>
  <c r="DK40" i="31"/>
  <c r="DK59" i="31"/>
  <c r="DK31" i="31"/>
  <c r="DK96" i="31"/>
  <c r="DK49" i="31"/>
  <c r="DK81" i="31"/>
  <c r="DK36" i="31"/>
  <c r="DK68" i="31"/>
  <c r="DK84" i="31"/>
  <c r="DK29" i="31"/>
  <c r="DK64" i="31"/>
  <c r="DK26" i="31"/>
  <c r="DK58" i="31"/>
  <c r="DK90" i="31"/>
  <c r="DK75" i="31"/>
  <c r="DK92" i="31"/>
  <c r="DK95" i="31"/>
  <c r="DK17" i="31" l="1"/>
  <c r="I24" i="32" s="1"/>
  <c r="DK18" i="31"/>
  <c r="I25" i="32" s="1"/>
  <c r="DK19" i="31"/>
  <c r="I26" i="32" s="1"/>
  <c r="DK16" i="31"/>
  <c r="I23" i="32" s="1"/>
  <c r="DK14" i="31"/>
  <c r="I21" i="32" s="1"/>
  <c r="DK13" i="31"/>
  <c r="I20" i="32" s="1"/>
  <c r="DK15" i="31"/>
  <c r="I22" i="32" s="1"/>
  <c r="DK10" i="31"/>
  <c r="I17" i="32" s="1"/>
  <c r="DK12" i="31"/>
  <c r="I19" i="32" s="1"/>
  <c r="DK9" i="31"/>
  <c r="I16" i="32" s="1"/>
  <c r="DK11" i="31"/>
  <c r="I18" i="32" s="1"/>
  <c r="C211" i="3"/>
  <c r="A214" i="12" s="1"/>
  <c r="B211" i="3"/>
  <c r="AP202" i="6" s="1"/>
  <c r="D212" i="3"/>
  <c r="AQ202" i="6"/>
  <c r="CE4" i="31"/>
  <c r="I35" i="17" s="1"/>
  <c r="CF4" i="31"/>
  <c r="I36" i="17" s="1"/>
  <c r="DK8" i="31"/>
  <c r="I15" i="32" s="1"/>
  <c r="CG4" i="31"/>
  <c r="I37" i="17" s="1"/>
  <c r="DF4" i="31"/>
  <c r="CX4" i="31"/>
  <c r="CA4" i="31"/>
  <c r="I31" i="17" s="1"/>
  <c r="CV4" i="31"/>
  <c r="CP4" i="31"/>
  <c r="I46" i="17" s="1"/>
  <c r="CL4" i="31"/>
  <c r="I42" i="17" s="1"/>
  <c r="CJ4" i="31"/>
  <c r="I40" i="17" s="1"/>
  <c r="BT4" i="31"/>
  <c r="I24" i="17" s="1"/>
  <c r="BV4" i="31"/>
  <c r="I26" i="17" s="1"/>
  <c r="BQ4" i="31"/>
  <c r="I21" i="17" s="1"/>
  <c r="BK4" i="31"/>
  <c r="DK5" i="31"/>
  <c r="I12" i="32" s="1"/>
  <c r="DK6" i="31"/>
  <c r="I13" i="32" s="1"/>
  <c r="DG4" i="31"/>
  <c r="I63" i="17" s="1"/>
  <c r="DH4" i="31"/>
  <c r="BM4" i="31"/>
  <c r="I17" i="17" s="1"/>
  <c r="DI4" i="31"/>
  <c r="CW4" i="31"/>
  <c r="DB4" i="31"/>
  <c r="CT4" i="31"/>
  <c r="I50" i="17" s="1"/>
  <c r="CO4" i="31"/>
  <c r="I45" i="17" s="1"/>
  <c r="CK4" i="31"/>
  <c r="I41" i="17" s="1"/>
  <c r="CI4" i="31"/>
  <c r="I39" i="17" s="1"/>
  <c r="CC4" i="31"/>
  <c r="I33" i="17" s="1"/>
  <c r="BY4" i="31"/>
  <c r="I29" i="17" s="1"/>
  <c r="BU4" i="31"/>
  <c r="I25" i="17" s="1"/>
  <c r="BO4" i="31"/>
  <c r="I19" i="17" s="1"/>
  <c r="CY4" i="31"/>
  <c r="BL4" i="31"/>
  <c r="I16" i="17" s="1"/>
  <c r="DE4" i="31"/>
  <c r="DC4" i="31"/>
  <c r="I59" i="17" s="1"/>
  <c r="DA4" i="31"/>
  <c r="CR4" i="31"/>
  <c r="I48" i="17" s="1"/>
  <c r="CN4" i="31"/>
  <c r="I44" i="17" s="1"/>
  <c r="CU4" i="31"/>
  <c r="CH4" i="31"/>
  <c r="I38" i="17" s="1"/>
  <c r="CB4" i="31"/>
  <c r="I32" i="17" s="1"/>
  <c r="BX4" i="31"/>
  <c r="I28" i="17" s="1"/>
  <c r="BS4" i="31"/>
  <c r="I23" i="17" s="1"/>
  <c r="BP4" i="31"/>
  <c r="I20" i="17" s="1"/>
  <c r="DK7" i="31"/>
  <c r="I14" i="32" s="1"/>
  <c r="DJ4" i="31"/>
  <c r="I66" i="17" s="1"/>
  <c r="I67" i="17" s="1"/>
  <c r="DD4" i="31"/>
  <c r="I60" i="17" s="1"/>
  <c r="CZ4" i="31"/>
  <c r="I56" i="17" s="1"/>
  <c r="CQ4" i="31"/>
  <c r="I47" i="17" s="1"/>
  <c r="CM4" i="31"/>
  <c r="I43" i="17" s="1"/>
  <c r="CS4" i="31"/>
  <c r="CD4" i="31"/>
  <c r="I34" i="17" s="1"/>
  <c r="BZ4" i="31"/>
  <c r="I30" i="17" s="1"/>
  <c r="BW4" i="31"/>
  <c r="I27" i="17" s="1"/>
  <c r="BR4" i="31"/>
  <c r="I22" i="17" s="1"/>
  <c r="BN4" i="31"/>
  <c r="I18" i="17" s="1"/>
  <c r="B212" i="3" l="1"/>
  <c r="AP203" i="6" s="1"/>
  <c r="C212" i="3"/>
  <c r="D213" i="3"/>
  <c r="AQ203" i="6"/>
  <c r="I49" i="17"/>
  <c r="P49" i="17" s="1"/>
  <c r="I15" i="17"/>
  <c r="P15" i="17" s="1"/>
  <c r="I53" i="17"/>
  <c r="I55" i="17"/>
  <c r="I65" i="17"/>
  <c r="I51" i="17"/>
  <c r="I57" i="17"/>
  <c r="P57" i="17" s="1"/>
  <c r="I52" i="17"/>
  <c r="P52" i="17" s="1"/>
  <c r="I58" i="17"/>
  <c r="P58" i="17" s="1"/>
  <c r="I64" i="17"/>
  <c r="I61" i="17"/>
  <c r="P61" i="17" s="1"/>
  <c r="I54" i="17"/>
  <c r="P54" i="17" s="1"/>
  <c r="I62" i="17"/>
  <c r="P62" i="17" s="1"/>
  <c r="P30" i="17"/>
  <c r="P45" i="17"/>
  <c r="P23" i="17"/>
  <c r="P39" i="17"/>
  <c r="P26" i="17"/>
  <c r="P17" i="17"/>
  <c r="P48" i="17"/>
  <c r="P40" i="17"/>
  <c r="P31" i="17"/>
  <c r="DK4" i="31"/>
  <c r="C4" i="24" s="1"/>
  <c r="P27" i="17"/>
  <c r="P41" i="17"/>
  <c r="P43" i="17"/>
  <c r="P66" i="17"/>
  <c r="P47" i="17"/>
  <c r="P34" i="17"/>
  <c r="P56" i="17"/>
  <c r="A215" i="12" l="1"/>
  <c r="C213" i="3"/>
  <c r="A216" i="12" s="1"/>
  <c r="B213" i="3"/>
  <c r="AP204" i="6" s="1"/>
  <c r="D214" i="3"/>
  <c r="AQ204" i="6"/>
  <c r="P53" i="17"/>
  <c r="I70" i="17"/>
  <c r="P67" i="17"/>
  <c r="P18" i="17"/>
  <c r="P16" i="17"/>
  <c r="P63" i="17"/>
  <c r="P38" i="17"/>
  <c r="P32" i="17"/>
  <c r="P51" i="17"/>
  <c r="P60" i="17"/>
  <c r="P22" i="17"/>
  <c r="P36" i="17"/>
  <c r="P20" i="17"/>
  <c r="P25" i="17"/>
  <c r="P55" i="17"/>
  <c r="P35" i="17"/>
  <c r="P33" i="17"/>
  <c r="P21" i="17"/>
  <c r="P28" i="17"/>
  <c r="P29" i="17"/>
  <c r="P44" i="17"/>
  <c r="P42" i="17"/>
  <c r="P50" i="17"/>
  <c r="P46" i="17"/>
  <c r="P19" i="17"/>
  <c r="P59" i="17"/>
  <c r="P37" i="17"/>
  <c r="P24" i="17"/>
  <c r="P65" i="17"/>
  <c r="P64" i="17"/>
  <c r="C214" i="3" l="1"/>
  <c r="A217" i="12" s="1"/>
  <c r="D215" i="3"/>
  <c r="B214" i="3"/>
  <c r="AP205" i="6" s="1"/>
  <c r="AQ205" i="6"/>
  <c r="C215" i="3" l="1"/>
  <c r="A218" i="12" s="1"/>
  <c r="D216" i="3"/>
  <c r="B215" i="3"/>
  <c r="AP206" i="6" s="1"/>
  <c r="AQ206" i="6"/>
  <c r="B216" i="3" l="1"/>
  <c r="AP207" i="6" s="1"/>
  <c r="D217" i="3"/>
  <c r="C216" i="3"/>
  <c r="A219" i="12" s="1"/>
  <c r="AQ207" i="6"/>
  <c r="I46" i="36"/>
  <c r="I49" i="36"/>
  <c r="I48" i="36"/>
  <c r="D218" i="3" l="1"/>
  <c r="C217" i="3"/>
  <c r="B217" i="3"/>
  <c r="AP208" i="6" s="1"/>
  <c r="AQ208" i="6"/>
  <c r="E45" i="26"/>
  <c r="F32" i="11" s="1"/>
  <c r="H32" i="11"/>
  <c r="H33" i="11" s="1"/>
  <c r="A220" i="12" l="1"/>
  <c r="C218" i="3"/>
  <c r="A221" i="12" s="1"/>
  <c r="B218" i="3"/>
  <c r="AP209" i="6" s="1"/>
  <c r="D219" i="3"/>
  <c r="AQ209" i="6"/>
  <c r="C219" i="3" l="1"/>
  <c r="D220" i="3"/>
  <c r="B219" i="3"/>
  <c r="AP210" i="6" s="1"/>
  <c r="AQ210" i="6"/>
  <c r="A222" i="12" l="1"/>
  <c r="D221" i="3"/>
  <c r="C220" i="3"/>
  <c r="A223" i="12" s="1"/>
  <c r="B220" i="3"/>
  <c r="AP211" i="6" s="1"/>
  <c r="AQ211" i="6"/>
  <c r="AG3" i="12" l="1"/>
  <c r="D222" i="3"/>
  <c r="C221" i="3"/>
  <c r="A224" i="12" s="1"/>
  <c r="B221" i="3"/>
  <c r="AP212" i="6" s="1"/>
  <c r="AQ212" i="6"/>
  <c r="AG4" i="12" l="1"/>
  <c r="B222" i="3"/>
  <c r="AP213" i="6" s="1"/>
  <c r="D223" i="3"/>
  <c r="C222" i="3"/>
  <c r="A225" i="12" s="1"/>
  <c r="AQ213" i="6"/>
  <c r="AG5" i="12" l="1"/>
  <c r="C223" i="3"/>
  <c r="A226" i="12" s="1"/>
  <c r="B223" i="3"/>
  <c r="AP214" i="6" s="1"/>
  <c r="D224" i="3"/>
  <c r="AQ214" i="6"/>
  <c r="AG6" i="12" l="1"/>
  <c r="B224" i="3"/>
  <c r="AP215" i="6" s="1"/>
  <c r="C224" i="3"/>
  <c r="A227" i="12" s="1"/>
  <c r="D225" i="3"/>
  <c r="AQ215" i="6"/>
  <c r="AG7" i="12" l="1"/>
  <c r="B225" i="3"/>
  <c r="AP216" i="6" s="1"/>
  <c r="D226" i="3"/>
  <c r="C225" i="3"/>
  <c r="A228" i="12" s="1"/>
  <c r="AQ216" i="6"/>
  <c r="AG8" i="12" l="1"/>
  <c r="B226" i="3"/>
  <c r="AP217" i="6" s="1"/>
  <c r="C226" i="3"/>
  <c r="A229" i="12" s="1"/>
  <c r="D227" i="3"/>
  <c r="AQ217" i="6"/>
  <c r="AG9" i="12" l="1"/>
  <c r="D228" i="3"/>
  <c r="C227" i="3"/>
  <c r="A230" i="12" s="1"/>
  <c r="B227" i="3"/>
  <c r="AP218" i="6" s="1"/>
  <c r="AQ218" i="6"/>
  <c r="AG10" i="12" l="1"/>
  <c r="D229" i="3"/>
  <c r="C228" i="3"/>
  <c r="A231" i="12" s="1"/>
  <c r="B228" i="3"/>
  <c r="AP219" i="6" s="1"/>
  <c r="AQ219" i="6"/>
  <c r="AG11" i="12" l="1"/>
  <c r="C229" i="3"/>
  <c r="A232" i="12" s="1"/>
  <c r="B229" i="3"/>
  <c r="AP220" i="6" s="1"/>
  <c r="D230" i="3"/>
  <c r="AQ220" i="6"/>
  <c r="AG12" i="12" l="1"/>
  <c r="C230" i="3"/>
  <c r="A233" i="12" s="1"/>
  <c r="D231" i="3"/>
  <c r="B230" i="3"/>
  <c r="AP221" i="6" s="1"/>
  <c r="AQ221" i="6"/>
  <c r="AG13" i="12" l="1"/>
  <c r="C231" i="3"/>
  <c r="A234" i="12" s="1"/>
  <c r="B231" i="3"/>
  <c r="AP222" i="6" s="1"/>
  <c r="D232" i="3"/>
  <c r="AQ222" i="6"/>
  <c r="AG14" i="12" l="1"/>
  <c r="C232" i="3"/>
  <c r="A235" i="12" s="1"/>
  <c r="B232" i="3"/>
  <c r="AP223" i="6" s="1"/>
  <c r="D233" i="3"/>
  <c r="AQ223" i="6"/>
  <c r="AG15" i="12" l="1"/>
  <c r="B233" i="3"/>
  <c r="AP224" i="6" s="1"/>
  <c r="D234" i="3"/>
  <c r="C233" i="3"/>
  <c r="A236" i="12" s="1"/>
  <c r="AQ224" i="6"/>
  <c r="AG16" i="12" l="1"/>
  <c r="D235" i="3"/>
  <c r="C234" i="3"/>
  <c r="A237" i="12" s="1"/>
  <c r="B234" i="3"/>
  <c r="AP225" i="6" s="1"/>
  <c r="AQ225" i="6"/>
  <c r="AG17" i="12" l="1"/>
  <c r="D236" i="3"/>
  <c r="B235" i="3"/>
  <c r="AP226" i="6" s="1"/>
  <c r="C235" i="3"/>
  <c r="A238" i="12" s="1"/>
  <c r="AQ226" i="6"/>
  <c r="AG18" i="12" l="1"/>
  <c r="C236" i="3"/>
  <c r="A239" i="12" s="1"/>
  <c r="D237" i="3"/>
  <c r="B236" i="3"/>
  <c r="AP227" i="6" s="1"/>
  <c r="AQ227" i="6"/>
  <c r="AG19" i="12" l="1"/>
  <c r="D238" i="3"/>
  <c r="C237" i="3"/>
  <c r="A240" i="12" s="1"/>
  <c r="B237" i="3"/>
  <c r="AP228" i="6" s="1"/>
  <c r="AQ228" i="6"/>
  <c r="AG20" i="12" l="1"/>
  <c r="C238" i="3"/>
  <c r="A241" i="12" s="1"/>
  <c r="D239" i="3"/>
  <c r="B238" i="3"/>
  <c r="AP229" i="6" s="1"/>
  <c r="AQ229" i="6"/>
  <c r="AG21" i="12" l="1"/>
  <c r="AQ230" i="6"/>
  <c r="B239" i="3"/>
  <c r="AP230" i="6" s="1"/>
  <c r="D240" i="3"/>
  <c r="C239" i="3"/>
  <c r="A242" i="12" s="1"/>
  <c r="AG22" i="12" l="1"/>
  <c r="D241" i="3"/>
  <c r="B240" i="3"/>
  <c r="AP231" i="6" s="1"/>
  <c r="C240" i="3"/>
  <c r="A243" i="12" s="1"/>
  <c r="AQ231" i="6"/>
  <c r="AG23" i="12" l="1"/>
  <c r="C241" i="3"/>
  <c r="A244" i="12" s="1"/>
  <c r="D242" i="3"/>
  <c r="B241" i="3"/>
  <c r="AP232" i="6" s="1"/>
  <c r="AQ232" i="6"/>
  <c r="AG24" i="12" l="1"/>
  <c r="C242" i="3"/>
  <c r="A245" i="12" s="1"/>
  <c r="B242" i="3"/>
  <c r="AP233" i="6" s="1"/>
  <c r="D243" i="3"/>
  <c r="AQ233" i="6"/>
  <c r="AG25" i="12" l="1"/>
  <c r="D244" i="3"/>
  <c r="C243" i="3"/>
  <c r="A246" i="12" s="1"/>
  <c r="B243" i="3"/>
  <c r="AP234" i="6" s="1"/>
  <c r="AQ234" i="6"/>
  <c r="AG26" i="12" l="1"/>
  <c r="D245" i="3"/>
  <c r="C244" i="3"/>
  <c r="A247" i="12" s="1"/>
  <c r="B244" i="3"/>
  <c r="AP235" i="6" s="1"/>
  <c r="AQ235" i="6"/>
  <c r="AG27" i="12" l="1"/>
  <c r="C245" i="3"/>
  <c r="A248" i="12" s="1"/>
  <c r="D246" i="3"/>
  <c r="B245" i="3"/>
  <c r="AP236" i="6" s="1"/>
  <c r="AQ236" i="6"/>
  <c r="AG28" i="12" l="1"/>
  <c r="D247" i="3"/>
  <c r="C246" i="3"/>
  <c r="A249" i="12" s="1"/>
  <c r="B246" i="3"/>
  <c r="AP237" i="6" s="1"/>
  <c r="AQ237" i="6"/>
  <c r="AG29" i="12" l="1"/>
  <c r="C247" i="3"/>
  <c r="A250" i="12" s="1"/>
  <c r="D248" i="3"/>
  <c r="B247" i="3"/>
  <c r="AP238" i="6" s="1"/>
  <c r="AQ238" i="6"/>
  <c r="AG30" i="12" l="1"/>
  <c r="B248" i="3"/>
  <c r="AP239" i="6" s="1"/>
  <c r="D249" i="3"/>
  <c r="C248" i="3"/>
  <c r="A251" i="12" s="1"/>
  <c r="AQ239" i="6"/>
  <c r="AG31" i="12" l="1"/>
  <c r="C249" i="3"/>
  <c r="A252" i="12" s="1"/>
  <c r="B249" i="3"/>
  <c r="AP240" i="6" s="1"/>
  <c r="D250" i="3"/>
  <c r="AQ240" i="6"/>
  <c r="AG32" i="12" l="1"/>
  <c r="B250" i="3"/>
  <c r="AP241" i="6" s="1"/>
  <c r="C250" i="3"/>
  <c r="A253" i="12" s="1"/>
  <c r="D251" i="3"/>
  <c r="AQ241" i="6"/>
  <c r="AG33" i="12" l="1"/>
  <c r="B251" i="3"/>
  <c r="AP242" i="6" s="1"/>
  <c r="D252" i="3"/>
  <c r="C251" i="3"/>
  <c r="A254" i="12" s="1"/>
  <c r="AQ242" i="6"/>
  <c r="AG34" i="12" l="1"/>
  <c r="C252" i="3"/>
  <c r="A255" i="12" s="1"/>
  <c r="D253" i="3"/>
  <c r="B252" i="3"/>
  <c r="AP243" i="6" s="1"/>
  <c r="AQ243" i="6"/>
  <c r="AG35" i="12" l="1"/>
  <c r="D254" i="3"/>
  <c r="B253" i="3"/>
  <c r="AP244" i="6" s="1"/>
  <c r="C253" i="3"/>
  <c r="A256" i="12" s="1"/>
  <c r="AQ244" i="6"/>
  <c r="AG36" i="12" l="1"/>
  <c r="B254" i="3"/>
  <c r="AP245" i="6" s="1"/>
  <c r="C254" i="3"/>
  <c r="A257" i="12" s="1"/>
  <c r="D255" i="3"/>
  <c r="AQ245" i="6"/>
  <c r="AG37" i="12" l="1"/>
  <c r="D256" i="3"/>
  <c r="C255" i="3"/>
  <c r="A258" i="12" s="1"/>
  <c r="B255" i="3"/>
  <c r="AP246" i="6" s="1"/>
  <c r="AQ246" i="6"/>
  <c r="AG38" i="12" l="1"/>
  <c r="B256" i="3"/>
  <c r="AP247" i="6" s="1"/>
  <c r="D257" i="3"/>
  <c r="C256" i="3"/>
  <c r="A259" i="12" s="1"/>
  <c r="AQ247" i="6"/>
  <c r="AG39" i="12" l="1"/>
  <c r="B257" i="3"/>
  <c r="AP248" i="6" s="1"/>
  <c r="D258" i="3"/>
  <c r="C257" i="3"/>
  <c r="A260" i="12" s="1"/>
  <c r="AQ248" i="6"/>
  <c r="AG40" i="12" l="1"/>
  <c r="B258" i="3"/>
  <c r="AP249" i="6" s="1"/>
  <c r="D259" i="3"/>
  <c r="C258" i="3"/>
  <c r="A261" i="12" s="1"/>
  <c r="AQ249" i="6"/>
  <c r="AG41" i="12" l="1"/>
  <c r="B259" i="3"/>
  <c r="AP250" i="6" s="1"/>
  <c r="D260" i="3"/>
  <c r="C259" i="3"/>
  <c r="A262" i="12" s="1"/>
  <c r="AQ250" i="6"/>
  <c r="AG42" i="12" l="1"/>
  <c r="C260" i="3"/>
  <c r="A263" i="12" s="1"/>
  <c r="B260" i="3"/>
  <c r="AP251" i="6" s="1"/>
  <c r="D261" i="3"/>
  <c r="AQ251" i="6"/>
  <c r="AG43" i="12" l="1"/>
  <c r="D262" i="3"/>
  <c r="C261" i="3"/>
  <c r="A264" i="12" s="1"/>
  <c r="B261" i="3"/>
  <c r="AP252" i="6" s="1"/>
  <c r="AQ252" i="6"/>
  <c r="AG44" i="12" l="1"/>
  <c r="C262" i="3"/>
  <c r="A265" i="12" s="1"/>
  <c r="D263" i="3"/>
  <c r="B262" i="3"/>
  <c r="AP253" i="6" s="1"/>
  <c r="AQ253" i="6"/>
  <c r="AG45" i="12" l="1"/>
  <c r="C263" i="3"/>
  <c r="A266" i="12" s="1"/>
  <c r="D264" i="3"/>
  <c r="B263" i="3"/>
  <c r="AP254" i="6" s="1"/>
  <c r="AQ254" i="6"/>
  <c r="AG46" i="12" l="1"/>
  <c r="D265" i="3"/>
  <c r="B264" i="3"/>
  <c r="AP255" i="6" s="1"/>
  <c r="C264" i="3"/>
  <c r="A267" i="12" s="1"/>
  <c r="AQ255" i="6"/>
  <c r="AG47" i="12" l="1"/>
  <c r="C265" i="3"/>
  <c r="A268" i="12" s="1"/>
  <c r="D266" i="3"/>
  <c r="B265" i="3"/>
  <c r="AP256" i="6" s="1"/>
  <c r="AQ256" i="6"/>
  <c r="AG48" i="12" l="1"/>
  <c r="B266" i="3"/>
  <c r="AP257" i="6" s="1"/>
  <c r="D267" i="3"/>
  <c r="C266" i="3"/>
  <c r="A269" i="12" s="1"/>
  <c r="AQ257" i="6"/>
  <c r="AG49" i="12" l="1"/>
  <c r="D268" i="3"/>
  <c r="C267" i="3"/>
  <c r="A270" i="12" s="1"/>
  <c r="B267" i="3"/>
  <c r="AP258" i="6" s="1"/>
  <c r="AQ258" i="6"/>
  <c r="AG50" i="12" l="1"/>
  <c r="B268" i="3"/>
  <c r="AP259" i="6" s="1"/>
  <c r="D269" i="3"/>
  <c r="C268" i="3"/>
  <c r="A271" i="12" s="1"/>
  <c r="AQ259" i="6"/>
  <c r="AG51" i="12" l="1"/>
  <c r="B269" i="3"/>
  <c r="AP260" i="6" s="1"/>
  <c r="C269" i="3"/>
  <c r="A272" i="12" s="1"/>
  <c r="D270" i="3"/>
  <c r="AQ260" i="6"/>
  <c r="AG52" i="12" l="1"/>
  <c r="B270" i="3"/>
  <c r="AP261" i="6" s="1"/>
  <c r="C270" i="3"/>
  <c r="A273" i="12" s="1"/>
  <c r="D271" i="3"/>
  <c r="AQ261" i="6"/>
  <c r="AG53" i="12" l="1"/>
  <c r="D272" i="3"/>
  <c r="C271" i="3"/>
  <c r="A274" i="12" s="1"/>
  <c r="B271" i="3"/>
  <c r="AP262" i="6" s="1"/>
  <c r="AQ262" i="6"/>
  <c r="AG54" i="12" l="1"/>
  <c r="C272" i="3"/>
  <c r="A275" i="12" s="1"/>
  <c r="B272" i="3"/>
  <c r="AP263" i="6" s="1"/>
  <c r="AQ263" i="6"/>
  <c r="D12" i="35" l="1"/>
  <c r="AX13" i="6" l="1"/>
  <c r="DJ8" i="6"/>
  <c r="DJ7" i="6"/>
  <c r="AX14" i="6"/>
  <c r="DJ9" i="6"/>
  <c r="F5" i="17"/>
  <c r="C8" i="7"/>
  <c r="AX10" i="6"/>
  <c r="R5" i="12" s="1"/>
  <c r="AW13" i="6"/>
  <c r="P5" i="12" s="1"/>
  <c r="M5" i="39" s="1"/>
  <c r="AW11" i="6"/>
  <c r="AW12" i="6" s="1"/>
  <c r="N5" i="12" s="1"/>
  <c r="AW10" i="6"/>
  <c r="O5" i="12" s="1"/>
  <c r="K5" i="39" s="1"/>
  <c r="AW14" i="6"/>
  <c r="Q5" i="12" s="1"/>
  <c r="N5" i="39" s="1"/>
  <c r="G7" i="12"/>
  <c r="M5" i="12"/>
  <c r="J5" i="39" s="1"/>
  <c r="D8" i="12" l="1"/>
  <c r="I7" i="12"/>
  <c r="F8" i="12" l="1"/>
  <c r="E6" i="17"/>
  <c r="D9" i="12"/>
  <c r="H9" i="12" s="1"/>
  <c r="E8" i="12"/>
  <c r="L6" i="12"/>
  <c r="I6" i="39" s="1"/>
  <c r="F75" i="12" l="1"/>
  <c r="F244" i="12"/>
  <c r="F77" i="12"/>
  <c r="F69" i="12"/>
  <c r="F264" i="12"/>
  <c r="F172" i="12"/>
  <c r="F54" i="12"/>
  <c r="F110" i="12"/>
  <c r="F22" i="12"/>
  <c r="F267" i="12"/>
  <c r="F148" i="12"/>
  <c r="F97" i="12"/>
  <c r="F17" i="12"/>
  <c r="F261" i="12"/>
  <c r="F173" i="12"/>
  <c r="F170" i="12"/>
  <c r="F260" i="12"/>
  <c r="F259" i="12"/>
  <c r="F99" i="12"/>
  <c r="F238" i="12"/>
  <c r="F88" i="12"/>
  <c r="F29" i="12"/>
  <c r="F185" i="12"/>
  <c r="F243" i="12"/>
  <c r="F186" i="12"/>
  <c r="F199" i="12"/>
  <c r="F68" i="12"/>
  <c r="F149" i="12"/>
  <c r="F171" i="12"/>
  <c r="F145" i="12"/>
  <c r="F45" i="12"/>
  <c r="F195" i="12"/>
  <c r="F128" i="12"/>
  <c r="F33" i="12"/>
  <c r="F144" i="12"/>
  <c r="F37" i="12"/>
  <c r="F143" i="12"/>
  <c r="F23" i="12"/>
  <c r="F225" i="12"/>
  <c r="F272" i="12"/>
  <c r="F231" i="12"/>
  <c r="F85" i="12"/>
  <c r="F21" i="12"/>
  <c r="F222" i="12"/>
  <c r="F252" i="12"/>
  <c r="F213" i="12"/>
  <c r="F121" i="12"/>
  <c r="F224" i="12"/>
  <c r="F20" i="12"/>
  <c r="F112" i="12"/>
  <c r="F160" i="12"/>
  <c r="F65" i="12"/>
  <c r="F125" i="12"/>
  <c r="F215" i="12"/>
  <c r="F203" i="12"/>
  <c r="F217" i="12"/>
  <c r="F129" i="12"/>
  <c r="F117" i="12"/>
  <c r="F271" i="12"/>
  <c r="F218" i="12"/>
  <c r="F105" i="12"/>
  <c r="F116" i="12"/>
  <c r="F108" i="12"/>
  <c r="F84" i="12"/>
  <c r="F214" i="12"/>
  <c r="F177" i="12"/>
  <c r="F24" i="12"/>
  <c r="F168" i="12"/>
  <c r="F269" i="12"/>
  <c r="F245" i="12"/>
  <c r="F196" i="12"/>
  <c r="F120" i="12"/>
  <c r="F154" i="12"/>
  <c r="F256" i="12"/>
  <c r="F42" i="12"/>
  <c r="F134" i="12"/>
  <c r="F58" i="12"/>
  <c r="F146" i="12"/>
  <c r="F147" i="12"/>
  <c r="F50" i="12"/>
  <c r="F163" i="12"/>
  <c r="F219" i="12"/>
  <c r="F176" i="12"/>
  <c r="F130" i="12"/>
  <c r="F153" i="12"/>
  <c r="F198" i="12"/>
  <c r="F181" i="12"/>
  <c r="F190" i="12"/>
  <c r="F59" i="12"/>
  <c r="F46" i="12"/>
  <c r="F31" i="12"/>
  <c r="F87" i="12"/>
  <c r="F40" i="12"/>
  <c r="F51" i="12"/>
  <c r="F86" i="12"/>
  <c r="F66" i="12"/>
  <c r="F233" i="12"/>
  <c r="F83" i="12"/>
  <c r="F182" i="12"/>
  <c r="F67" i="12"/>
  <c r="F242" i="12"/>
  <c r="F270" i="12"/>
  <c r="F52" i="12"/>
  <c r="F76" i="12"/>
  <c r="F194" i="12"/>
  <c r="F236" i="12"/>
  <c r="F49" i="12"/>
  <c r="F192" i="12"/>
  <c r="F220" i="12"/>
  <c r="F98" i="12"/>
  <c r="F43" i="12"/>
  <c r="F123" i="12"/>
  <c r="F138" i="12"/>
  <c r="F150" i="12"/>
  <c r="F237" i="12"/>
  <c r="F183" i="12"/>
  <c r="F101" i="12"/>
  <c r="F107" i="12"/>
  <c r="F208" i="12"/>
  <c r="F115" i="12"/>
  <c r="F94" i="12"/>
  <c r="F152" i="12"/>
  <c r="F109" i="12"/>
  <c r="F136" i="12"/>
  <c r="F158" i="12"/>
  <c r="F156" i="12"/>
  <c r="F92" i="12"/>
  <c r="F106" i="12"/>
  <c r="F137" i="12"/>
  <c r="F113" i="12"/>
  <c r="F187" i="12"/>
  <c r="F169" i="12"/>
  <c r="F39" i="12"/>
  <c r="F28" i="12"/>
  <c r="F140" i="12"/>
  <c r="F57" i="12"/>
  <c r="E9" i="12"/>
  <c r="F9" i="12" s="1"/>
  <c r="F155" i="12"/>
  <c r="F89" i="12"/>
  <c r="F258" i="12"/>
  <c r="F212" i="12"/>
  <c r="F241" i="12"/>
  <c r="F248" i="12"/>
  <c r="F71" i="12"/>
  <c r="F132" i="12"/>
  <c r="F189" i="12"/>
  <c r="F18" i="12"/>
  <c r="F70" i="12"/>
  <c r="F62" i="12"/>
  <c r="F179" i="12"/>
  <c r="F257" i="12"/>
  <c r="F232" i="12"/>
  <c r="F79" i="12"/>
  <c r="F74" i="12"/>
  <c r="F93" i="12"/>
  <c r="F166" i="12"/>
  <c r="F135" i="12"/>
  <c r="F119" i="12"/>
  <c r="F274" i="12"/>
  <c r="F161" i="12"/>
  <c r="F90" i="12"/>
  <c r="F118" i="12"/>
  <c r="F178" i="12"/>
  <c r="F127" i="12"/>
  <c r="F47" i="12"/>
  <c r="F141" i="12"/>
  <c r="F188" i="12"/>
  <c r="F162" i="12"/>
  <c r="F81" i="12"/>
  <c r="F207" i="12"/>
  <c r="F216" i="12"/>
  <c r="F131" i="12"/>
  <c r="F253" i="12"/>
  <c r="F56" i="12"/>
  <c r="F44" i="12"/>
  <c r="F191" i="12"/>
  <c r="F229" i="12"/>
  <c r="F96" i="12"/>
  <c r="F48" i="12"/>
  <c r="F165" i="12"/>
  <c r="F53" i="12"/>
  <c r="F122" i="12"/>
  <c r="F205" i="12"/>
  <c r="F275" i="12"/>
  <c r="F126" i="12"/>
  <c r="F184" i="12"/>
  <c r="F227" i="12"/>
  <c r="F234" i="12"/>
  <c r="F41" i="12"/>
  <c r="F100" i="12"/>
  <c r="F249" i="12"/>
  <c r="F262" i="12"/>
  <c r="F95" i="12"/>
  <c r="F265" i="12"/>
  <c r="F223" i="12"/>
  <c r="F201" i="12"/>
  <c r="F133" i="12"/>
  <c r="F16" i="12"/>
  <c r="F63" i="12"/>
  <c r="F240" i="12"/>
  <c r="F72" i="12"/>
  <c r="F239" i="12"/>
  <c r="F209" i="12"/>
  <c r="F235" i="12"/>
  <c r="F230" i="12"/>
  <c r="F200" i="12"/>
  <c r="F114" i="12"/>
  <c r="F61" i="12"/>
  <c r="F38" i="12"/>
  <c r="F104" i="12"/>
  <c r="F255" i="12"/>
  <c r="F26" i="12"/>
  <c r="F180" i="12"/>
  <c r="F102" i="12"/>
  <c r="F103" i="12"/>
  <c r="F175" i="12"/>
  <c r="F36" i="12"/>
  <c r="F55" i="12"/>
  <c r="F157" i="12"/>
  <c r="F204" i="12"/>
  <c r="F268" i="12"/>
  <c r="F91" i="12"/>
  <c r="F73" i="12"/>
  <c r="F254" i="12"/>
  <c r="F78" i="12"/>
  <c r="F64" i="12"/>
  <c r="F19" i="12"/>
  <c r="F206" i="12"/>
  <c r="F139" i="12"/>
  <c r="F221" i="12"/>
  <c r="F193" i="12"/>
  <c r="F124" i="12"/>
  <c r="F266" i="12"/>
  <c r="F228" i="12"/>
  <c r="F273" i="12"/>
  <c r="F164" i="12"/>
  <c r="F34" i="12"/>
  <c r="F211" i="12"/>
  <c r="F60" i="12"/>
  <c r="F226" i="12"/>
  <c r="F142" i="12"/>
  <c r="F251" i="12"/>
  <c r="F263" i="12"/>
  <c r="F151" i="12"/>
  <c r="F210" i="12"/>
  <c r="F202" i="12"/>
  <c r="F250" i="12"/>
  <c r="F111" i="12"/>
  <c r="F27" i="12"/>
  <c r="F247" i="12"/>
  <c r="F246" i="12"/>
  <c r="F82" i="12"/>
  <c r="F32" i="12"/>
  <c r="F197" i="12"/>
  <c r="F159" i="12"/>
  <c r="F167" i="12"/>
  <c r="F80" i="12"/>
  <c r="F174" i="12"/>
  <c r="F25" i="12"/>
  <c r="F30" i="12"/>
  <c r="F35" i="12"/>
  <c r="C11" i="7" l="1"/>
  <c r="AX20" i="6"/>
  <c r="F6" i="17"/>
  <c r="AX21" i="6"/>
  <c r="M6" i="12"/>
  <c r="G9" i="12"/>
  <c r="AW18" i="6"/>
  <c r="AW19" i="6" s="1"/>
  <c r="N6" i="12" s="1"/>
  <c r="DJ11" i="6"/>
  <c r="AX17" i="6"/>
  <c r="R6" i="12" s="1"/>
  <c r="AX18" i="6"/>
  <c r="AX19" i="6" s="1"/>
  <c r="DJ12" i="6"/>
  <c r="DJ13" i="6"/>
  <c r="AW20" i="6"/>
  <c r="P6" i="12" s="1"/>
  <c r="M6" i="39" s="1"/>
  <c r="AW21" i="6"/>
  <c r="Q6" i="12" s="1"/>
  <c r="N6" i="39" s="1"/>
  <c r="AW17" i="6"/>
  <c r="O6" i="12" s="1"/>
  <c r="K6" i="39" s="1"/>
  <c r="I9" i="12" l="1"/>
  <c r="D10" i="12"/>
  <c r="J6" i="39"/>
  <c r="E7" i="17" l="1"/>
  <c r="E10" i="12"/>
  <c r="F10" i="12"/>
  <c r="L7" i="12"/>
  <c r="I7" i="39" s="1"/>
  <c r="D11" i="12"/>
  <c r="G168" i="12" l="1"/>
  <c r="H11" i="12"/>
  <c r="G70" i="12"/>
  <c r="G219" i="12"/>
  <c r="G58" i="12"/>
  <c r="G140" i="12"/>
  <c r="G104" i="12"/>
  <c r="G76" i="12"/>
  <c r="G179" i="12"/>
  <c r="G220" i="12"/>
  <c r="G81" i="12"/>
  <c r="G75" i="12"/>
  <c r="G25" i="12"/>
  <c r="G193" i="12"/>
  <c r="G194" i="12"/>
  <c r="G233" i="12"/>
  <c r="G157" i="12"/>
  <c r="G255" i="12"/>
  <c r="G89" i="12"/>
  <c r="G51" i="12"/>
  <c r="G38" i="12"/>
  <c r="G94" i="12"/>
  <c r="G275" i="12"/>
  <c r="G37" i="12"/>
  <c r="G88" i="12"/>
  <c r="G59" i="12"/>
  <c r="G118" i="12"/>
  <c r="G41" i="12"/>
  <c r="G116" i="12"/>
  <c r="G203" i="12"/>
  <c r="G225" i="12"/>
  <c r="G259" i="12"/>
  <c r="G98" i="12"/>
  <c r="G110" i="12"/>
  <c r="G190" i="12"/>
  <c r="G228" i="12"/>
  <c r="G191" i="12"/>
  <c r="G52" i="12"/>
  <c r="G68" i="12"/>
  <c r="G269" i="12"/>
  <c r="G93" i="12"/>
  <c r="G55" i="12"/>
  <c r="G16" i="12"/>
  <c r="G215" i="12"/>
  <c r="G132" i="12"/>
  <c r="G188" i="12"/>
  <c r="G241" i="12"/>
  <c r="G17" i="12"/>
  <c r="G187" i="12"/>
  <c r="G214" i="12"/>
  <c r="G148" i="12"/>
  <c r="G176" i="12"/>
  <c r="G170" i="12"/>
  <c r="G221" i="12"/>
  <c r="G102" i="12"/>
  <c r="G45" i="12"/>
  <c r="G213" i="12"/>
  <c r="G44" i="12"/>
  <c r="G178" i="12"/>
  <c r="G108" i="12"/>
  <c r="G54" i="12"/>
  <c r="G207" i="12"/>
  <c r="G242" i="12"/>
  <c r="G205" i="12"/>
  <c r="G34" i="12"/>
  <c r="G260" i="12"/>
  <c r="G197" i="12"/>
  <c r="G204" i="12"/>
  <c r="G134" i="12"/>
  <c r="G175" i="12"/>
  <c r="G266" i="12"/>
  <c r="G229" i="12"/>
  <c r="G62" i="12"/>
  <c r="G50" i="12"/>
  <c r="G238" i="12"/>
  <c r="G166" i="12"/>
  <c r="G106" i="12"/>
  <c r="G261" i="12"/>
  <c r="G272" i="12"/>
  <c r="G85" i="12"/>
  <c r="G20" i="12"/>
  <c r="G109" i="12"/>
  <c r="G142" i="12"/>
  <c r="G64" i="12"/>
  <c r="G46" i="12"/>
  <c r="G171" i="12"/>
  <c r="G249" i="12"/>
  <c r="G23" i="12"/>
  <c r="G83" i="12"/>
  <c r="G223" i="12"/>
  <c r="G32" i="12"/>
  <c r="G208" i="12"/>
  <c r="G200" i="12"/>
  <c r="G117" i="12"/>
  <c r="G243" i="12"/>
  <c r="G136" i="12"/>
  <c r="G173" i="12"/>
  <c r="G36" i="12"/>
  <c r="G160" i="12"/>
  <c r="G80" i="12"/>
  <c r="G28" i="12"/>
  <c r="G256" i="12"/>
  <c r="G252" i="12"/>
  <c r="G209" i="12"/>
  <c r="G196" i="12"/>
  <c r="G152" i="12"/>
  <c r="G250" i="12"/>
  <c r="G130" i="12"/>
  <c r="G227" i="12"/>
  <c r="G254" i="12"/>
  <c r="G153" i="12"/>
  <c r="G177" i="12"/>
  <c r="G21" i="12"/>
  <c r="G172" i="12"/>
  <c r="G206" i="12"/>
  <c r="G156" i="12"/>
  <c r="G192" i="12"/>
  <c r="G40" i="12"/>
  <c r="G127" i="12"/>
  <c r="G135" i="12"/>
  <c r="G186" i="12"/>
  <c r="G22" i="12"/>
  <c r="G159" i="12"/>
  <c r="G234" i="12"/>
  <c r="G169" i="12"/>
  <c r="G201" i="12"/>
  <c r="G247" i="12"/>
  <c r="G141" i="12"/>
  <c r="G270" i="12"/>
  <c r="G35" i="12"/>
  <c r="G112" i="12"/>
  <c r="G107" i="12"/>
  <c r="G138" i="12"/>
  <c r="G126" i="12"/>
  <c r="G165" i="12"/>
  <c r="G155" i="12"/>
  <c r="G164" i="12"/>
  <c r="G103" i="12"/>
  <c r="G263" i="12"/>
  <c r="G87" i="12"/>
  <c r="G24" i="12"/>
  <c r="G33" i="12"/>
  <c r="G167" i="12"/>
  <c r="G211" i="12"/>
  <c r="G39" i="12"/>
  <c r="G99" i="12"/>
  <c r="G144" i="12"/>
  <c r="G77" i="12"/>
  <c r="G218" i="12"/>
  <c r="G217" i="12"/>
  <c r="G124" i="12"/>
  <c r="G226" i="12"/>
  <c r="G237" i="12"/>
  <c r="G212" i="12"/>
  <c r="G139" i="12"/>
  <c r="G131" i="12"/>
  <c r="G231" i="12"/>
  <c r="G145" i="12"/>
  <c r="G182" i="12"/>
  <c r="G82" i="12"/>
  <c r="G235" i="12"/>
  <c r="G101" i="12"/>
  <c r="G43" i="12"/>
  <c r="G210" i="12"/>
  <c r="G114" i="12"/>
  <c r="G240" i="12"/>
  <c r="G92" i="12"/>
  <c r="G174" i="12"/>
  <c r="G202" i="12"/>
  <c r="G27" i="12"/>
  <c r="G273" i="12"/>
  <c r="G31" i="12"/>
  <c r="G19" i="12"/>
  <c r="G162" i="12"/>
  <c r="G236" i="12"/>
  <c r="G65" i="12"/>
  <c r="G66" i="12"/>
  <c r="G244" i="12"/>
  <c r="G121" i="12"/>
  <c r="G84" i="12"/>
  <c r="G257" i="12"/>
  <c r="G123" i="12"/>
  <c r="G129" i="12"/>
  <c r="G26" i="12"/>
  <c r="G232" i="12"/>
  <c r="G18" i="12"/>
  <c r="G100" i="12"/>
  <c r="G268" i="12"/>
  <c r="G151" i="12"/>
  <c r="G189" i="12"/>
  <c r="G271" i="12"/>
  <c r="G224" i="12"/>
  <c r="G258" i="12"/>
  <c r="G163" i="12"/>
  <c r="E11" i="12"/>
  <c r="F11" i="12" s="1"/>
  <c r="G90" i="12"/>
  <c r="G78" i="12"/>
  <c r="G63" i="12"/>
  <c r="G265" i="12"/>
  <c r="G199" i="12"/>
  <c r="G60" i="12"/>
  <c r="G198" i="12"/>
  <c r="G91" i="12"/>
  <c r="G274" i="12"/>
  <c r="G230" i="12"/>
  <c r="G264" i="12"/>
  <c r="G137" i="12"/>
  <c r="G146" i="12"/>
  <c r="G120" i="12"/>
  <c r="G86" i="12"/>
  <c r="G180" i="12"/>
  <c r="G158" i="12"/>
  <c r="G29" i="12"/>
  <c r="G71" i="12"/>
  <c r="G73" i="12"/>
  <c r="G150" i="12"/>
  <c r="G30" i="12"/>
  <c r="G222" i="12"/>
  <c r="G69" i="12"/>
  <c r="G67" i="12"/>
  <c r="G251" i="12"/>
  <c r="G161" i="12"/>
  <c r="G128" i="12"/>
  <c r="G95" i="12"/>
  <c r="G57" i="12"/>
  <c r="G97" i="12"/>
  <c r="G262" i="12"/>
  <c r="G184" i="12"/>
  <c r="G111" i="12"/>
  <c r="G253" i="12"/>
  <c r="G195" i="12"/>
  <c r="G119" i="12"/>
  <c r="G79" i="12"/>
  <c r="G61" i="12"/>
  <c r="G72" i="12"/>
  <c r="G185" i="12"/>
  <c r="G154" i="12"/>
  <c r="G53" i="12"/>
  <c r="G246" i="12"/>
  <c r="G245" i="12"/>
  <c r="G115" i="12"/>
  <c r="G183" i="12"/>
  <c r="G113" i="12"/>
  <c r="G216" i="12"/>
  <c r="G143" i="12"/>
  <c r="G125" i="12"/>
  <c r="G248" i="12"/>
  <c r="G147" i="12"/>
  <c r="G49" i="12"/>
  <c r="G48" i="12"/>
  <c r="G133" i="12"/>
  <c r="G122" i="12"/>
  <c r="G56" i="12"/>
  <c r="G42" i="12"/>
  <c r="G96" i="12"/>
  <c r="G47" i="12"/>
  <c r="G149" i="12"/>
  <c r="G239" i="12"/>
  <c r="G181" i="12"/>
  <c r="G74" i="12"/>
  <c r="G267" i="12"/>
  <c r="G105" i="12"/>
  <c r="C14" i="7" l="1"/>
  <c r="F7" i="17"/>
  <c r="AY25" i="6"/>
  <c r="AX28" i="6"/>
  <c r="AX29" i="6"/>
  <c r="M7" i="12"/>
  <c r="G11" i="12"/>
  <c r="I11" i="12" s="1"/>
  <c r="DJ15" i="6"/>
  <c r="AW28" i="6"/>
  <c r="P7" i="12" s="1"/>
  <c r="M7" i="39" s="1"/>
  <c r="DJ17" i="6"/>
  <c r="AW29" i="6"/>
  <c r="Q7" i="12" s="1"/>
  <c r="N7" i="39" s="1"/>
  <c r="AX26" i="6"/>
  <c r="AX27" i="6" s="1"/>
  <c r="AW26" i="6"/>
  <c r="AW27" i="6" s="1"/>
  <c r="N7" i="12" s="1"/>
  <c r="AW25" i="6"/>
  <c r="O7" i="12" s="1"/>
  <c r="K7" i="39" s="1"/>
  <c r="DJ16" i="6"/>
  <c r="AX25" i="6"/>
  <c r="R7" i="12" s="1"/>
  <c r="X264" i="6" l="1"/>
  <c r="W264" i="6"/>
  <c r="U264" i="6"/>
  <c r="Q264" i="6"/>
  <c r="R264" i="6"/>
  <c r="O264" i="6"/>
  <c r="V264" i="6"/>
  <c r="BH12" i="6"/>
  <c r="BL12" i="6" s="1"/>
  <c r="BG11" i="6"/>
  <c r="BK11" i="6" s="1"/>
  <c r="BH8" i="6"/>
  <c r="BL8" i="6" s="1"/>
  <c r="BH11" i="6"/>
  <c r="BL11" i="6" s="1"/>
  <c r="A17" i="7"/>
  <c r="A19" i="7"/>
  <c r="BH14" i="6"/>
  <c r="BL14" i="6" s="1"/>
  <c r="N264" i="6"/>
  <c r="P264" i="6"/>
  <c r="S264" i="6"/>
  <c r="T264" i="6"/>
  <c r="BG15" i="6"/>
  <c r="BK15" i="6" s="1"/>
  <c r="BG14" i="6"/>
  <c r="BK14" i="6" s="1"/>
  <c r="BH15" i="6"/>
  <c r="BL15" i="6" s="1"/>
  <c r="BH9" i="6"/>
  <c r="BL9" i="6" s="1"/>
  <c r="BG12" i="6"/>
  <c r="BK12" i="6" s="1"/>
  <c r="BG9" i="6"/>
  <c r="BK9" i="6" s="1"/>
  <c r="BF8" i="6"/>
  <c r="BG10" i="6"/>
  <c r="BK10" i="6" s="1"/>
  <c r="BF14" i="6"/>
  <c r="BF7" i="6"/>
  <c r="BF11" i="6"/>
  <c r="BH13" i="6"/>
  <c r="BL13" i="6" s="1"/>
  <c r="BH10" i="6"/>
  <c r="BL10" i="6" s="1"/>
  <c r="BG13" i="6"/>
  <c r="BK13" i="6" s="1"/>
  <c r="BG8" i="6"/>
  <c r="BK8" i="6" s="1"/>
  <c r="BG7" i="6"/>
  <c r="BK7" i="6" s="1"/>
  <c r="BF15" i="6"/>
  <c r="BF13" i="6"/>
  <c r="BH7" i="6"/>
  <c r="BL7" i="6" s="1"/>
  <c r="BF9" i="6"/>
  <c r="BF12" i="6"/>
  <c r="BG6" i="6"/>
  <c r="BH6" i="6"/>
  <c r="BF10" i="6"/>
  <c r="BF6" i="6"/>
  <c r="AI2" i="2"/>
  <c r="J7" i="39"/>
  <c r="M10" i="12"/>
  <c r="AI4" i="12" l="1"/>
  <c r="AI6" i="12"/>
  <c r="AI9" i="12"/>
  <c r="AI2" i="12"/>
  <c r="AI10" i="12"/>
  <c r="AI7" i="12"/>
  <c r="AI5" i="12"/>
  <c r="AI8" i="12"/>
  <c r="AI3" i="12"/>
  <c r="AI12" i="12"/>
  <c r="AI17" i="12"/>
  <c r="AI15" i="12"/>
  <c r="AI24" i="12"/>
  <c r="AI11" i="12"/>
  <c r="AI13" i="12"/>
  <c r="AI19" i="12"/>
  <c r="AI21" i="12"/>
  <c r="AI18" i="12"/>
  <c r="AI14" i="12"/>
  <c r="AI22" i="12"/>
  <c r="AI16" i="12"/>
  <c r="AI20" i="12"/>
  <c r="AI23" i="12"/>
  <c r="BF16" i="6"/>
  <c r="BF18" i="6" s="1"/>
  <c r="BJ6" i="6"/>
  <c r="BI6" i="6"/>
  <c r="BI12" i="6"/>
  <c r="BJ12" i="6"/>
  <c r="BI15" i="6"/>
  <c r="BJ15" i="6"/>
  <c r="BI14" i="6"/>
  <c r="BJ14" i="6"/>
  <c r="BK6" i="6"/>
  <c r="BG16" i="6"/>
  <c r="BG18" i="6" s="1"/>
  <c r="BI10" i="6"/>
  <c r="BJ10" i="6"/>
  <c r="BI9" i="6"/>
  <c r="BJ9" i="6"/>
  <c r="BI13" i="6"/>
  <c r="BJ13" i="6"/>
  <c r="BI7" i="6"/>
  <c r="BJ7" i="6"/>
  <c r="S7" i="12"/>
  <c r="M11" i="12"/>
  <c r="S6" i="12"/>
  <c r="S5" i="12"/>
  <c r="AI27" i="12"/>
  <c r="AI37" i="12"/>
  <c r="AI48" i="12"/>
  <c r="AI45" i="12"/>
  <c r="AI34" i="12"/>
  <c r="AI53" i="12"/>
  <c r="AI54" i="12"/>
  <c r="AI26" i="12"/>
  <c r="AI38" i="12"/>
  <c r="AI43" i="12"/>
  <c r="AI29" i="12"/>
  <c r="AI36" i="12"/>
  <c r="AI40" i="12"/>
  <c r="AI35" i="12"/>
  <c r="AI31" i="12"/>
  <c r="AI49" i="12"/>
  <c r="AI47" i="12"/>
  <c r="AI25" i="12"/>
  <c r="AI32" i="12"/>
  <c r="AI39" i="12"/>
  <c r="AI42" i="12"/>
  <c r="AI51" i="12"/>
  <c r="AI50" i="12"/>
  <c r="AI30" i="12"/>
  <c r="AI44" i="12"/>
  <c r="AI41" i="12"/>
  <c r="AI52" i="12"/>
  <c r="AI28" i="12"/>
  <c r="AI46" i="12"/>
  <c r="AI33" i="12"/>
  <c r="BH16" i="6"/>
  <c r="BH18" i="6" s="1"/>
  <c r="BL6" i="6"/>
  <c r="BI11" i="6"/>
  <c r="BJ11" i="6"/>
  <c r="BI8" i="6"/>
  <c r="BJ8" i="6"/>
  <c r="I187" i="12" l="1"/>
  <c r="I190" i="12"/>
  <c r="I202" i="12"/>
  <c r="I219" i="12"/>
  <c r="I188" i="12"/>
  <c r="I193" i="12"/>
  <c r="I195" i="12"/>
  <c r="I209" i="12"/>
  <c r="I264" i="12"/>
  <c r="I189" i="12"/>
  <c r="I203" i="12"/>
  <c r="I201" i="12"/>
  <c r="I191" i="12"/>
  <c r="I167" i="12"/>
  <c r="I205" i="12"/>
  <c r="I207" i="12"/>
  <c r="I211" i="12"/>
  <c r="I274" i="12"/>
  <c r="I206" i="12"/>
  <c r="I208" i="12"/>
  <c r="I262" i="12"/>
  <c r="I196" i="12"/>
  <c r="I221" i="12"/>
  <c r="I214" i="12"/>
  <c r="I263" i="12"/>
  <c r="I266" i="12"/>
  <c r="I199" i="12"/>
  <c r="I194" i="12"/>
  <c r="I270" i="12"/>
  <c r="I210" i="12"/>
  <c r="I204" i="12"/>
  <c r="I218" i="12"/>
  <c r="I168" i="12"/>
  <c r="I212" i="12"/>
  <c r="I200" i="12"/>
  <c r="I268" i="12"/>
  <c r="I220" i="12"/>
  <c r="I192" i="12"/>
  <c r="I198" i="12"/>
  <c r="I217" i="12"/>
  <c r="I215" i="12"/>
  <c r="I222" i="12"/>
  <c r="I170" i="12"/>
  <c r="I225" i="12"/>
  <c r="I172" i="12"/>
  <c r="I176" i="12"/>
  <c r="I175" i="12"/>
  <c r="I232" i="12"/>
  <c r="I235" i="12"/>
  <c r="I238" i="12"/>
  <c r="I239" i="12"/>
  <c r="I272" i="12"/>
  <c r="I197" i="12"/>
  <c r="I224" i="12"/>
  <c r="I173" i="12"/>
  <c r="I177" i="12"/>
  <c r="I181" i="12"/>
  <c r="I234" i="12"/>
  <c r="I236" i="12"/>
  <c r="I169" i="12"/>
  <c r="I216" i="12"/>
  <c r="I223" i="12"/>
  <c r="I174" i="12"/>
  <c r="I228" i="12"/>
  <c r="I178" i="12"/>
  <c r="I229" i="12"/>
  <c r="I231" i="12"/>
  <c r="I182" i="12"/>
  <c r="I184" i="12"/>
  <c r="I185" i="12"/>
  <c r="I180" i="12"/>
  <c r="I230" i="12"/>
  <c r="I241" i="12"/>
  <c r="I244" i="12"/>
  <c r="I248" i="12"/>
  <c r="I250" i="12"/>
  <c r="I251" i="12"/>
  <c r="I253" i="12"/>
  <c r="I255" i="12"/>
  <c r="I260" i="12"/>
  <c r="I242" i="12"/>
  <c r="I171" i="12"/>
  <c r="I179" i="12"/>
  <c r="I240" i="12"/>
  <c r="I247" i="12"/>
  <c r="I249" i="12"/>
  <c r="I256" i="12"/>
  <c r="I267" i="12"/>
  <c r="I269" i="12"/>
  <c r="I273" i="12"/>
  <c r="I261" i="12"/>
  <c r="I275" i="12"/>
  <c r="I233" i="12"/>
  <c r="I226" i="12"/>
  <c r="I227" i="12"/>
  <c r="I183" i="12"/>
  <c r="I237" i="12"/>
  <c r="I243" i="12"/>
  <c r="I245" i="12"/>
  <c r="I252" i="12"/>
  <c r="I254" i="12"/>
  <c r="I257" i="12"/>
  <c r="I258" i="12"/>
  <c r="I259" i="12"/>
  <c r="I265" i="12"/>
  <c r="I213" i="12"/>
  <c r="I186" i="12"/>
  <c r="I246" i="12"/>
  <c r="I271" i="12"/>
  <c r="BM15" i="6"/>
  <c r="BC15" i="6" s="1"/>
  <c r="BM13" i="6"/>
  <c r="BC13" i="6" s="1"/>
  <c r="BM14" i="6"/>
  <c r="BC14" i="6" s="1"/>
  <c r="BM11" i="6"/>
  <c r="BC11" i="6" s="1"/>
  <c r="BM8" i="6"/>
  <c r="BC8" i="6" s="1"/>
  <c r="BM9" i="6"/>
  <c r="BC9" i="6" s="1"/>
  <c r="BM10" i="6"/>
  <c r="BC10" i="6" s="1"/>
  <c r="BM12" i="6"/>
  <c r="BC12" i="6" s="1"/>
  <c r="L53" i="39"/>
  <c r="I73" i="12"/>
  <c r="I125" i="12"/>
  <c r="I21" i="12"/>
  <c r="L56" i="39"/>
  <c r="I24" i="12"/>
  <c r="I128" i="12"/>
  <c r="I76" i="12"/>
  <c r="L49" i="39"/>
  <c r="I69" i="12"/>
  <c r="I17" i="12"/>
  <c r="I121" i="12"/>
  <c r="L54" i="39"/>
  <c r="I74" i="12"/>
  <c r="I22" i="12"/>
  <c r="I126" i="12"/>
  <c r="I71" i="12"/>
  <c r="I19" i="12"/>
  <c r="L51" i="39"/>
  <c r="I123" i="12"/>
  <c r="L55" i="39"/>
  <c r="I23" i="12"/>
  <c r="I75" i="12"/>
  <c r="I127" i="12"/>
  <c r="I18" i="12"/>
  <c r="I70" i="12"/>
  <c r="L50" i="39"/>
  <c r="I122" i="12"/>
  <c r="L52" i="39"/>
  <c r="I124" i="12"/>
  <c r="I72" i="12"/>
  <c r="I20" i="12"/>
  <c r="L48" i="39"/>
  <c r="I120" i="12"/>
  <c r="I16" i="12"/>
  <c r="I68" i="12"/>
  <c r="L62" i="39"/>
  <c r="I82" i="12"/>
  <c r="I134" i="12"/>
  <c r="I30" i="12"/>
  <c r="L15" i="39"/>
  <c r="I139" i="12"/>
  <c r="I35" i="12"/>
  <c r="I87" i="12"/>
  <c r="L18" i="39"/>
  <c r="I38" i="12"/>
  <c r="I142" i="12"/>
  <c r="I90" i="12"/>
  <c r="I140" i="12"/>
  <c r="I36" i="12"/>
  <c r="L16" i="39"/>
  <c r="I88" i="12"/>
  <c r="I33" i="12"/>
  <c r="L13" i="39"/>
  <c r="I137" i="12"/>
  <c r="I85" i="12"/>
  <c r="I29" i="12"/>
  <c r="L61" i="39"/>
  <c r="I81" i="12"/>
  <c r="I133" i="12"/>
  <c r="I89" i="12"/>
  <c r="L17" i="39"/>
  <c r="I141" i="12"/>
  <c r="I37" i="12"/>
  <c r="L60" i="39"/>
  <c r="I80" i="12"/>
  <c r="I132" i="12"/>
  <c r="I28" i="12"/>
  <c r="I27" i="12"/>
  <c r="L59" i="39"/>
  <c r="I131" i="12"/>
  <c r="I79" i="12"/>
  <c r="I31" i="12"/>
  <c r="I135" i="12"/>
  <c r="I83" i="12"/>
  <c r="L63" i="39"/>
  <c r="I86" i="12"/>
  <c r="L14" i="39"/>
  <c r="I138" i="12"/>
  <c r="I34" i="12"/>
  <c r="L64" i="39"/>
  <c r="I32" i="12"/>
  <c r="I84" i="12"/>
  <c r="I136" i="12"/>
  <c r="I129" i="12"/>
  <c r="L57" i="39"/>
  <c r="I25" i="12"/>
  <c r="I77" i="12"/>
  <c r="I78" i="12"/>
  <c r="I130" i="12"/>
  <c r="L58" i="39"/>
  <c r="I26" i="12"/>
  <c r="S10" i="12"/>
  <c r="S11" i="12" s="1"/>
  <c r="I148" i="12"/>
  <c r="I96" i="12"/>
  <c r="I44" i="12"/>
  <c r="L24" i="39"/>
  <c r="I154" i="12"/>
  <c r="I50" i="12"/>
  <c r="I102" i="12"/>
  <c r="L30" i="39"/>
  <c r="BM7" i="6"/>
  <c r="BC7" i="6" s="1"/>
  <c r="I118" i="12"/>
  <c r="I66" i="12"/>
  <c r="L46" i="39"/>
  <c r="I64" i="12"/>
  <c r="I116" i="12"/>
  <c r="L44" i="39"/>
  <c r="I98" i="12"/>
  <c r="I150" i="12"/>
  <c r="I46" i="12"/>
  <c r="L26" i="39"/>
  <c r="I45" i="12"/>
  <c r="I97" i="12"/>
  <c r="I149" i="12"/>
  <c r="L25" i="39"/>
  <c r="I43" i="12"/>
  <c r="I95" i="12"/>
  <c r="I147" i="12"/>
  <c r="L23" i="39"/>
  <c r="I114" i="12"/>
  <c r="I166" i="12"/>
  <c r="I62" i="12"/>
  <c r="L42" i="39"/>
  <c r="BI16" i="6"/>
  <c r="I94" i="12"/>
  <c r="I42" i="12"/>
  <c r="I146" i="12"/>
  <c r="L22" i="39"/>
  <c r="I115" i="12"/>
  <c r="I63" i="12"/>
  <c r="L43" i="39"/>
  <c r="I163" i="12"/>
  <c r="I59" i="12"/>
  <c r="I111" i="12"/>
  <c r="L39" i="39"/>
  <c r="I47" i="12"/>
  <c r="I151" i="12"/>
  <c r="I99" i="12"/>
  <c r="L27" i="39"/>
  <c r="I55" i="12"/>
  <c r="I107" i="12"/>
  <c r="I159" i="12"/>
  <c r="L35" i="39"/>
  <c r="I117" i="12"/>
  <c r="I65" i="12"/>
  <c r="L45" i="39"/>
  <c r="I39" i="12"/>
  <c r="I143" i="12"/>
  <c r="I91" i="12"/>
  <c r="L8" i="12"/>
  <c r="L19" i="39"/>
  <c r="I101" i="12"/>
  <c r="I153" i="12"/>
  <c r="I49" i="12"/>
  <c r="L29" i="39"/>
  <c r="I161" i="12"/>
  <c r="I109" i="12"/>
  <c r="I57" i="12"/>
  <c r="L37" i="39"/>
  <c r="I67" i="12"/>
  <c r="I119" i="12"/>
  <c r="L47" i="39"/>
  <c r="I155" i="12"/>
  <c r="I103" i="12"/>
  <c r="I51" i="12"/>
  <c r="L31" i="39"/>
  <c r="BK16" i="6"/>
  <c r="BJ16" i="6"/>
  <c r="BM6" i="6"/>
  <c r="BL16" i="6"/>
  <c r="I53" i="12"/>
  <c r="I105" i="12"/>
  <c r="I157" i="12"/>
  <c r="L33" i="39"/>
  <c r="I92" i="12"/>
  <c r="I144" i="12"/>
  <c r="I40" i="12"/>
  <c r="L20" i="39"/>
  <c r="I60" i="12"/>
  <c r="I164" i="12"/>
  <c r="I112" i="12"/>
  <c r="L40" i="39"/>
  <c r="I110" i="12"/>
  <c r="I162" i="12"/>
  <c r="I58" i="12"/>
  <c r="L38" i="39"/>
  <c r="I108" i="12"/>
  <c r="I160" i="12"/>
  <c r="I56" i="12"/>
  <c r="L36" i="39"/>
  <c r="I113" i="12"/>
  <c r="I165" i="12"/>
  <c r="I61" i="12"/>
  <c r="L41" i="39"/>
  <c r="I106" i="12"/>
  <c r="I158" i="12"/>
  <c r="I54" i="12"/>
  <c r="L34" i="39"/>
  <c r="I52" i="12"/>
  <c r="I104" i="12"/>
  <c r="I156" i="12"/>
  <c r="L32" i="39"/>
  <c r="I48" i="12"/>
  <c r="I152" i="12"/>
  <c r="I100" i="12"/>
  <c r="L28" i="39"/>
  <c r="I41" i="12"/>
  <c r="I93" i="12"/>
  <c r="I145" i="12"/>
  <c r="L21" i="39"/>
  <c r="N8" i="12"/>
  <c r="AJ11" i="12" l="1"/>
  <c r="AJ8" i="12"/>
  <c r="AJ2" i="12"/>
  <c r="L4" i="39" s="1"/>
  <c r="AJ5" i="12"/>
  <c r="AJ9" i="12"/>
  <c r="AJ10" i="12"/>
  <c r="AJ7" i="12"/>
  <c r="AJ6" i="12"/>
  <c r="AJ3" i="12"/>
  <c r="AJ4" i="12"/>
  <c r="BD13" i="6"/>
  <c r="BE13" i="6"/>
  <c r="BE14" i="6"/>
  <c r="BD14" i="6"/>
  <c r="BE15" i="6"/>
  <c r="BD15" i="6"/>
  <c r="BD10" i="6"/>
  <c r="BE10" i="6"/>
  <c r="BD8" i="6"/>
  <c r="BE8" i="6"/>
  <c r="BE12" i="6"/>
  <c r="BD12" i="6"/>
  <c r="BD9" i="6"/>
  <c r="BE9" i="6"/>
  <c r="BE11" i="6"/>
  <c r="BD11" i="6"/>
  <c r="AJ16" i="12"/>
  <c r="AJ19" i="12"/>
  <c r="AJ13" i="12"/>
  <c r="AJ21" i="12"/>
  <c r="AJ15" i="12"/>
  <c r="AJ17" i="12"/>
  <c r="AJ12" i="12"/>
  <c r="AJ24" i="12"/>
  <c r="AJ23" i="12"/>
  <c r="AJ20" i="12"/>
  <c r="AJ22" i="12"/>
  <c r="AJ14" i="12"/>
  <c r="AJ18" i="12"/>
  <c r="AJ30" i="12"/>
  <c r="AJ29" i="12"/>
  <c r="AJ33" i="12"/>
  <c r="AJ51" i="12"/>
  <c r="AJ31" i="12"/>
  <c r="AJ49" i="12"/>
  <c r="AJ53" i="12"/>
  <c r="AJ37" i="12"/>
  <c r="AJ39" i="12"/>
  <c r="AJ46" i="12"/>
  <c r="AJ40" i="12"/>
  <c r="AJ34" i="12"/>
  <c r="AJ36" i="12"/>
  <c r="AJ52" i="12"/>
  <c r="AJ50" i="12"/>
  <c r="AJ48" i="12"/>
  <c r="AJ28" i="12"/>
  <c r="AJ41" i="12"/>
  <c r="AJ25" i="12"/>
  <c r="AJ26" i="12"/>
  <c r="AJ44" i="12"/>
  <c r="AJ42" i="12"/>
  <c r="AJ47" i="12"/>
  <c r="AJ38" i="12"/>
  <c r="AJ27" i="12"/>
  <c r="AJ32" i="12"/>
  <c r="AJ54" i="12"/>
  <c r="AJ45" i="12"/>
  <c r="AJ35" i="12"/>
  <c r="AJ43" i="12"/>
  <c r="BM16" i="6"/>
  <c r="BO7" i="6" s="1"/>
  <c r="BC6" i="6"/>
  <c r="I8" i="39"/>
  <c r="M8" i="12"/>
  <c r="BE7" i="6"/>
  <c r="BD7" i="6"/>
  <c r="BL18" i="6"/>
  <c r="BJ18" i="6"/>
  <c r="BD6" i="6"/>
  <c r="BI18" i="6"/>
  <c r="BE6" i="6"/>
  <c r="BK18" i="6"/>
  <c r="P8" i="12"/>
  <c r="O8" i="12"/>
  <c r="AR8" i="12" l="1"/>
  <c r="AR9" i="12"/>
  <c r="AR6" i="12"/>
  <c r="AR3" i="12"/>
  <c r="AR4" i="12"/>
  <c r="AR2" i="12"/>
  <c r="AR10" i="12"/>
  <c r="AR11" i="12"/>
  <c r="AR5" i="12"/>
  <c r="AR7" i="12"/>
  <c r="AN8" i="12"/>
  <c r="AN7" i="12"/>
  <c r="AN4" i="12"/>
  <c r="AN2" i="12"/>
  <c r="AN11" i="12"/>
  <c r="AN5" i="12"/>
  <c r="AN6" i="12"/>
  <c r="AN9" i="12"/>
  <c r="AN3" i="12"/>
  <c r="AN10" i="12"/>
  <c r="AN24" i="12"/>
  <c r="AN22" i="12"/>
  <c r="AN14" i="12"/>
  <c r="AN18" i="12"/>
  <c r="AN16" i="12"/>
  <c r="AN21" i="12"/>
  <c r="AN19" i="12"/>
  <c r="AN15" i="12"/>
  <c r="AN13" i="12"/>
  <c r="AN23" i="12"/>
  <c r="AN17" i="12"/>
  <c r="AN20" i="12"/>
  <c r="AN12" i="12"/>
  <c r="AR22" i="12"/>
  <c r="AR23" i="12"/>
  <c r="AR14" i="12"/>
  <c r="AR20" i="12"/>
  <c r="AR18" i="12"/>
  <c r="AR16" i="12"/>
  <c r="AR19" i="12"/>
  <c r="AR13" i="12"/>
  <c r="AR17" i="12"/>
  <c r="AR12" i="12"/>
  <c r="AR21" i="12"/>
  <c r="AR24" i="12"/>
  <c r="AR15" i="12"/>
  <c r="AR31" i="12"/>
  <c r="AR28" i="12"/>
  <c r="AR29" i="12"/>
  <c r="AR26" i="12"/>
  <c r="AR25" i="12"/>
  <c r="AR30" i="12"/>
  <c r="AR27" i="12"/>
  <c r="AR36" i="12"/>
  <c r="AR32" i="12"/>
  <c r="AR38" i="12"/>
  <c r="AR41" i="12"/>
  <c r="AR33" i="12"/>
  <c r="AR39" i="12"/>
  <c r="AR35" i="12"/>
  <c r="AR34" i="12"/>
  <c r="AR37" i="12"/>
  <c r="AR40" i="12"/>
  <c r="L7" i="39"/>
  <c r="AR42" i="12"/>
  <c r="AR43" i="12"/>
  <c r="AR45" i="12"/>
  <c r="AR46" i="12"/>
  <c r="AR47" i="12"/>
  <c r="AR44" i="12"/>
  <c r="AR48" i="12"/>
  <c r="AR49" i="12"/>
  <c r="AR54" i="12"/>
  <c r="AR52" i="12"/>
  <c r="AR53" i="12"/>
  <c r="AR50" i="12"/>
  <c r="AR51" i="12"/>
  <c r="M8" i="39"/>
  <c r="BN16" i="6"/>
  <c r="D24" i="18" s="1"/>
  <c r="L6" i="39"/>
  <c r="AN30" i="12"/>
  <c r="AN32" i="12"/>
  <c r="AN33" i="12"/>
  <c r="AN51" i="12"/>
  <c r="AN36" i="12"/>
  <c r="AN31" i="12"/>
  <c r="AN54" i="12"/>
  <c r="AN28" i="12"/>
  <c r="AN41" i="12"/>
  <c r="AN25" i="12"/>
  <c r="AN35" i="12"/>
  <c r="AN39" i="12"/>
  <c r="AN42" i="12"/>
  <c r="AN47" i="12"/>
  <c r="AN34" i="12"/>
  <c r="AN52" i="12"/>
  <c r="AN50" i="12"/>
  <c r="AN29" i="12"/>
  <c r="AN49" i="12"/>
  <c r="AN53" i="12"/>
  <c r="AN26" i="12"/>
  <c r="AN46" i="12"/>
  <c r="AN44" i="12"/>
  <c r="AN27" i="12"/>
  <c r="AN48" i="12"/>
  <c r="AN45" i="12"/>
  <c r="AN43" i="12"/>
  <c r="AN37" i="12"/>
  <c r="AN40" i="12"/>
  <c r="AN38" i="12"/>
  <c r="L5" i="39"/>
  <c r="L8" i="39"/>
  <c r="BE16" i="6"/>
  <c r="BD16" i="6"/>
  <c r="BC16" i="6"/>
  <c r="K8" i="39"/>
  <c r="J8" i="39"/>
  <c r="BM18" i="6"/>
  <c r="BK20" i="6" s="1"/>
  <c r="G7" i="28" s="1"/>
  <c r="E56" i="26" s="1"/>
  <c r="BO8" i="6"/>
  <c r="BO12" i="6"/>
  <c r="BO9" i="6"/>
  <c r="BO10" i="6"/>
  <c r="BO15" i="6"/>
  <c r="BO11" i="6"/>
  <c r="BO13" i="6"/>
  <c r="BO14" i="6"/>
  <c r="BO6" i="6"/>
  <c r="R8" i="12"/>
  <c r="Q8" i="12"/>
  <c r="AT2" i="12" l="1"/>
  <c r="AT5" i="12"/>
  <c r="AT9" i="12"/>
  <c r="AT10" i="12"/>
  <c r="AT7" i="12"/>
  <c r="AT6" i="12"/>
  <c r="AT3" i="12"/>
  <c r="AT4" i="12"/>
  <c r="AT8" i="12"/>
  <c r="AT11" i="12"/>
  <c r="AS10" i="12"/>
  <c r="AS11" i="12"/>
  <c r="AS7" i="12"/>
  <c r="AS4" i="12"/>
  <c r="AS8" i="12"/>
  <c r="AS9" i="12"/>
  <c r="AS2" i="12"/>
  <c r="AS5" i="12"/>
  <c r="AS6" i="12"/>
  <c r="AS3" i="12"/>
  <c r="AQ7" i="12"/>
  <c r="AK7" i="12"/>
  <c r="AP7" i="12"/>
  <c r="AO7" i="12"/>
  <c r="AL7" i="12"/>
  <c r="AM7" i="12"/>
  <c r="AP3" i="12"/>
  <c r="AO3" i="12"/>
  <c r="AK3" i="12"/>
  <c r="AQ3" i="12"/>
  <c r="AM3" i="12"/>
  <c r="AL3" i="12"/>
  <c r="AK11" i="12"/>
  <c r="AL11" i="12"/>
  <c r="AM11" i="12"/>
  <c r="AO11" i="12"/>
  <c r="AQ11" i="12"/>
  <c r="AP11" i="12"/>
  <c r="AQ8" i="12"/>
  <c r="AM8" i="12"/>
  <c r="AO8" i="12"/>
  <c r="AL8" i="12"/>
  <c r="AP8" i="12"/>
  <c r="AK8" i="12"/>
  <c r="AQ10" i="12"/>
  <c r="AK10" i="12"/>
  <c r="AL10" i="12"/>
  <c r="AO10" i="12"/>
  <c r="AM10" i="12"/>
  <c r="AP10" i="12"/>
  <c r="AK9" i="12"/>
  <c r="AQ9" i="12"/>
  <c r="AO9" i="12"/>
  <c r="AP9" i="12"/>
  <c r="AL9" i="12"/>
  <c r="AM9" i="12"/>
  <c r="AK2" i="12"/>
  <c r="AQ2" i="12"/>
  <c r="AL2" i="12"/>
  <c r="AP2" i="12"/>
  <c r="AO2" i="12"/>
  <c r="AM2" i="12"/>
  <c r="M215" i="12"/>
  <c r="V215" i="12" s="1"/>
  <c r="M218" i="12"/>
  <c r="V218" i="12" s="1"/>
  <c r="M192" i="12"/>
  <c r="V192" i="12" s="1"/>
  <c r="M198" i="12"/>
  <c r="V198" i="12" s="1"/>
  <c r="M205" i="12"/>
  <c r="V205" i="12" s="1"/>
  <c r="M262" i="12"/>
  <c r="V262" i="12" s="1"/>
  <c r="M212" i="12"/>
  <c r="V212" i="12" s="1"/>
  <c r="M169" i="12"/>
  <c r="V169" i="12" s="1"/>
  <c r="M208" i="12"/>
  <c r="V208" i="12" s="1"/>
  <c r="M200" i="12"/>
  <c r="V200" i="12" s="1"/>
  <c r="M199" i="12"/>
  <c r="V199" i="12" s="1"/>
  <c r="M196" i="12"/>
  <c r="V196" i="12" s="1"/>
  <c r="M272" i="12"/>
  <c r="V272" i="12" s="1"/>
  <c r="M266" i="12"/>
  <c r="V266" i="12" s="1"/>
  <c r="M190" i="12"/>
  <c r="V190" i="12" s="1"/>
  <c r="M197" i="12"/>
  <c r="V197" i="12" s="1"/>
  <c r="M168" i="12"/>
  <c r="V168" i="12" s="1"/>
  <c r="M209" i="12"/>
  <c r="V209" i="12" s="1"/>
  <c r="M211" i="12"/>
  <c r="V211" i="12" s="1"/>
  <c r="M202" i="12"/>
  <c r="V202" i="12" s="1"/>
  <c r="M220" i="12"/>
  <c r="V220" i="12" s="1"/>
  <c r="M274" i="12"/>
  <c r="V274" i="12" s="1"/>
  <c r="M204" i="12"/>
  <c r="V204" i="12" s="1"/>
  <c r="M187" i="12"/>
  <c r="V187" i="12" s="1"/>
  <c r="M217" i="12"/>
  <c r="V217" i="12" s="1"/>
  <c r="M188" i="12"/>
  <c r="V188" i="12" s="1"/>
  <c r="M219" i="12"/>
  <c r="V219" i="12" s="1"/>
  <c r="M207" i="12"/>
  <c r="V207" i="12" s="1"/>
  <c r="M189" i="12"/>
  <c r="V189" i="12" s="1"/>
  <c r="M216" i="12"/>
  <c r="V216" i="12" s="1"/>
  <c r="M221" i="12"/>
  <c r="V221" i="12" s="1"/>
  <c r="M214" i="12"/>
  <c r="V214" i="12" s="1"/>
  <c r="M210" i="12"/>
  <c r="V210" i="12" s="1"/>
  <c r="M269" i="12"/>
  <c r="V269" i="12" s="1"/>
  <c r="M194" i="12"/>
  <c r="V194" i="12" s="1"/>
  <c r="M193" i="12"/>
  <c r="V193" i="12" s="1"/>
  <c r="M191" i="12"/>
  <c r="V191" i="12" s="1"/>
  <c r="M195" i="12"/>
  <c r="V195" i="12" s="1"/>
  <c r="M167" i="12"/>
  <c r="V167" i="12" s="1"/>
  <c r="M203" i="12"/>
  <c r="V203" i="12" s="1"/>
  <c r="M270" i="12"/>
  <c r="V270" i="12" s="1"/>
  <c r="M206" i="12"/>
  <c r="V206" i="12" s="1"/>
  <c r="M264" i="12"/>
  <c r="V264" i="12" s="1"/>
  <c r="M175" i="12"/>
  <c r="V175" i="12" s="1"/>
  <c r="M226" i="12"/>
  <c r="V226" i="12" s="1"/>
  <c r="M227" i="12"/>
  <c r="V227" i="12" s="1"/>
  <c r="M176" i="12"/>
  <c r="V176" i="12" s="1"/>
  <c r="M174" i="12"/>
  <c r="V174" i="12" s="1"/>
  <c r="M177" i="12"/>
  <c r="V177" i="12" s="1"/>
  <c r="M232" i="12"/>
  <c r="V232" i="12" s="1"/>
  <c r="M238" i="12"/>
  <c r="V238" i="12" s="1"/>
  <c r="M240" i="12"/>
  <c r="V240" i="12" s="1"/>
  <c r="M170" i="12"/>
  <c r="V170" i="12" s="1"/>
  <c r="M171" i="12"/>
  <c r="V171" i="12" s="1"/>
  <c r="M173" i="12"/>
  <c r="V173" i="12" s="1"/>
  <c r="M183" i="12"/>
  <c r="V183" i="12" s="1"/>
  <c r="M185" i="12"/>
  <c r="V185" i="12" s="1"/>
  <c r="M213" i="12"/>
  <c r="V213" i="12" s="1"/>
  <c r="W213" i="12" s="1"/>
  <c r="M223" i="12"/>
  <c r="V223" i="12" s="1"/>
  <c r="M222" i="12"/>
  <c r="V222" i="12" s="1"/>
  <c r="M172" i="12"/>
  <c r="V172" i="12" s="1"/>
  <c r="M225" i="12"/>
  <c r="V225" i="12" s="1"/>
  <c r="M224" i="12"/>
  <c r="V224" i="12" s="1"/>
  <c r="M228" i="12"/>
  <c r="V228" i="12" s="1"/>
  <c r="M230" i="12"/>
  <c r="V230" i="12" s="1"/>
  <c r="M178" i="12"/>
  <c r="V178" i="12" s="1"/>
  <c r="M181" i="12"/>
  <c r="V181" i="12" s="1"/>
  <c r="M179" i="12"/>
  <c r="V179" i="12" s="1"/>
  <c r="M180" i="12"/>
  <c r="V180" i="12" s="1"/>
  <c r="M233" i="12"/>
  <c r="V233" i="12" s="1"/>
  <c r="M186" i="12"/>
  <c r="V186" i="12" s="1"/>
  <c r="M239" i="12"/>
  <c r="V239" i="12" s="1"/>
  <c r="M201" i="12"/>
  <c r="V201" i="12" s="1"/>
  <c r="M229" i="12"/>
  <c r="V229" i="12" s="1"/>
  <c r="M234" i="12"/>
  <c r="V234" i="12" s="1"/>
  <c r="M184" i="12"/>
  <c r="V184" i="12" s="1"/>
  <c r="M236" i="12"/>
  <c r="V236" i="12" s="1"/>
  <c r="M237" i="12"/>
  <c r="V237" i="12" s="1"/>
  <c r="M241" i="12"/>
  <c r="V241" i="12" s="1"/>
  <c r="M246" i="12"/>
  <c r="V246" i="12" s="1"/>
  <c r="M254" i="12"/>
  <c r="V254" i="12" s="1"/>
  <c r="M256" i="12"/>
  <c r="V256" i="12" s="1"/>
  <c r="M259" i="12"/>
  <c r="V259" i="12" s="1"/>
  <c r="M261" i="12"/>
  <c r="V261" i="12" s="1"/>
  <c r="M265" i="12"/>
  <c r="V265" i="12" s="1"/>
  <c r="M268" i="12"/>
  <c r="V268" i="12" s="1"/>
  <c r="M182" i="12"/>
  <c r="V182" i="12" s="1"/>
  <c r="M235" i="12"/>
  <c r="V235" i="12" s="1"/>
  <c r="M242" i="12"/>
  <c r="V242" i="12" s="1"/>
  <c r="M247" i="12"/>
  <c r="V247" i="12" s="1"/>
  <c r="M253" i="12"/>
  <c r="V253" i="12" s="1"/>
  <c r="M267" i="12"/>
  <c r="V267" i="12" s="1"/>
  <c r="M231" i="12"/>
  <c r="V231" i="12" s="1"/>
  <c r="M243" i="12"/>
  <c r="V243" i="12" s="1"/>
  <c r="M248" i="12"/>
  <c r="V248" i="12" s="1"/>
  <c r="M251" i="12"/>
  <c r="V251" i="12" s="1"/>
  <c r="M257" i="12"/>
  <c r="V257" i="12" s="1"/>
  <c r="M271" i="12"/>
  <c r="V271" i="12" s="1"/>
  <c r="M244" i="12"/>
  <c r="V244" i="12" s="1"/>
  <c r="M250" i="12"/>
  <c r="V250" i="12" s="1"/>
  <c r="M258" i="12"/>
  <c r="V258" i="12" s="1"/>
  <c r="M260" i="12"/>
  <c r="V260" i="12" s="1"/>
  <c r="M245" i="12"/>
  <c r="V245" i="12" s="1"/>
  <c r="M249" i="12"/>
  <c r="V249" i="12" s="1"/>
  <c r="M255" i="12"/>
  <c r="V255" i="12" s="1"/>
  <c r="M275" i="12"/>
  <c r="V275" i="12" s="1"/>
  <c r="W275" i="12" s="1"/>
  <c r="M263" i="12"/>
  <c r="V263" i="12" s="1"/>
  <c r="M252" i="12"/>
  <c r="V252" i="12" s="1"/>
  <c r="M273" i="12"/>
  <c r="V273" i="12" s="1"/>
  <c r="AC274" i="12"/>
  <c r="AC275" i="12"/>
  <c r="AC273" i="12"/>
  <c r="AM5" i="12"/>
  <c r="AL5" i="12"/>
  <c r="AQ5" i="12"/>
  <c r="AK5" i="12"/>
  <c r="AP5" i="12"/>
  <c r="AO5" i="12"/>
  <c r="AM6" i="12"/>
  <c r="AO6" i="12"/>
  <c r="AK6" i="12"/>
  <c r="AL6" i="12"/>
  <c r="AQ6" i="12"/>
  <c r="AP6" i="12"/>
  <c r="AL4" i="12"/>
  <c r="AM4" i="12"/>
  <c r="AK4" i="12"/>
  <c r="AQ4" i="12"/>
  <c r="AO4" i="12"/>
  <c r="AP4" i="12"/>
  <c r="E52" i="17"/>
  <c r="E50" i="17"/>
  <c r="E51" i="17"/>
  <c r="E67" i="17"/>
  <c r="E39" i="17"/>
  <c r="E37" i="17"/>
  <c r="E43" i="17"/>
  <c r="E32" i="17"/>
  <c r="E27" i="17"/>
  <c r="E38" i="17"/>
  <c r="E25" i="17"/>
  <c r="E29" i="17"/>
  <c r="E36" i="17"/>
  <c r="E33" i="17"/>
  <c r="E34" i="17"/>
  <c r="E53" i="17"/>
  <c r="E46" i="17"/>
  <c r="E55" i="17"/>
  <c r="E49" i="17"/>
  <c r="E28" i="17"/>
  <c r="E60" i="17"/>
  <c r="E64" i="17"/>
  <c r="E59" i="17"/>
  <c r="E62" i="17"/>
  <c r="E57" i="17"/>
  <c r="E54" i="17"/>
  <c r="E35" i="17"/>
  <c r="E61" i="17"/>
  <c r="AS21" i="12"/>
  <c r="AS19" i="12"/>
  <c r="AS15" i="12"/>
  <c r="AS13" i="12"/>
  <c r="AS17" i="12"/>
  <c r="AS12" i="12"/>
  <c r="AS24" i="12"/>
  <c r="AS23" i="12"/>
  <c r="AS20" i="12"/>
  <c r="AS16" i="12"/>
  <c r="AS22" i="12"/>
  <c r="AS14" i="12"/>
  <c r="AS18" i="12"/>
  <c r="AS28" i="12"/>
  <c r="AS31" i="12"/>
  <c r="AS26" i="12"/>
  <c r="AS27" i="12"/>
  <c r="AS30" i="12"/>
  <c r="AS25" i="12"/>
  <c r="AS29" i="12"/>
  <c r="AT16" i="12"/>
  <c r="AT17" i="12"/>
  <c r="AT12" i="12"/>
  <c r="AT21" i="12"/>
  <c r="AT24" i="12"/>
  <c r="AT15" i="12"/>
  <c r="AT23" i="12"/>
  <c r="AT20" i="12"/>
  <c r="AT22" i="12"/>
  <c r="AT14" i="12"/>
  <c r="AT18" i="12"/>
  <c r="AT19" i="12"/>
  <c r="AT13" i="12"/>
  <c r="AT25" i="12"/>
  <c r="AT30" i="12"/>
  <c r="AT28" i="12"/>
  <c r="AT29" i="12"/>
  <c r="AT31" i="12"/>
  <c r="AT26" i="12"/>
  <c r="AT27" i="12"/>
  <c r="E31" i="17"/>
  <c r="E30" i="17"/>
  <c r="AL20" i="12"/>
  <c r="AO20" i="12"/>
  <c r="AM20" i="12"/>
  <c r="AQ20" i="12"/>
  <c r="AP20" i="12"/>
  <c r="AK20" i="12"/>
  <c r="AK15" i="12"/>
  <c r="AP15" i="12"/>
  <c r="AM15" i="12"/>
  <c r="AL15" i="12"/>
  <c r="AQ15" i="12"/>
  <c r="AO15" i="12"/>
  <c r="AP18" i="12"/>
  <c r="AO18" i="12"/>
  <c r="AQ18" i="12"/>
  <c r="AK18" i="12"/>
  <c r="AM18" i="12"/>
  <c r="AL18" i="12"/>
  <c r="E24" i="17"/>
  <c r="E56" i="17"/>
  <c r="AQ17" i="12"/>
  <c r="AP17" i="12"/>
  <c r="AK17" i="12"/>
  <c r="AM17" i="12"/>
  <c r="AL17" i="12"/>
  <c r="AO17" i="12"/>
  <c r="AM19" i="12"/>
  <c r="AP19" i="12"/>
  <c r="AL19" i="12"/>
  <c r="AK19" i="12"/>
  <c r="AQ19" i="12"/>
  <c r="AO19" i="12"/>
  <c r="AP14" i="12"/>
  <c r="AL14" i="12"/>
  <c r="AK14" i="12"/>
  <c r="AQ14" i="12"/>
  <c r="AO14" i="12"/>
  <c r="AM14" i="12"/>
  <c r="AP23" i="12"/>
  <c r="AL23" i="12"/>
  <c r="AK23" i="12"/>
  <c r="AQ23" i="12"/>
  <c r="AO23" i="12"/>
  <c r="AM23" i="12"/>
  <c r="AQ21" i="12"/>
  <c r="AO21" i="12"/>
  <c r="AL21" i="12"/>
  <c r="AK21" i="12"/>
  <c r="AP21" i="12"/>
  <c r="AM21" i="12"/>
  <c r="AK22" i="12"/>
  <c r="AM22" i="12"/>
  <c r="AP22" i="12"/>
  <c r="AQ22" i="12"/>
  <c r="AO22" i="12"/>
  <c r="AL22" i="12"/>
  <c r="AP12" i="12"/>
  <c r="AL12" i="12"/>
  <c r="AQ12" i="12"/>
  <c r="AM12" i="12"/>
  <c r="AO12" i="12"/>
  <c r="AK12" i="12"/>
  <c r="AL13" i="12"/>
  <c r="AQ13" i="12"/>
  <c r="AK13" i="12"/>
  <c r="AM13" i="12"/>
  <c r="AP13" i="12"/>
  <c r="AO13" i="12"/>
  <c r="AK16" i="12"/>
  <c r="AP16" i="12"/>
  <c r="AO16" i="12"/>
  <c r="AM16" i="12"/>
  <c r="AQ16" i="12"/>
  <c r="AL16" i="12"/>
  <c r="AL24" i="12"/>
  <c r="AO24" i="12"/>
  <c r="AP24" i="12"/>
  <c r="AM24" i="12"/>
  <c r="AQ24" i="12"/>
  <c r="AK24" i="12"/>
  <c r="E63" i="17"/>
  <c r="E58" i="17"/>
  <c r="E23" i="17"/>
  <c r="E65" i="17"/>
  <c r="E22" i="17"/>
  <c r="E21" i="17"/>
  <c r="AS36" i="12"/>
  <c r="AS35" i="12"/>
  <c r="AS39" i="12"/>
  <c r="AS37" i="12"/>
  <c r="AS40" i="12"/>
  <c r="AS38" i="12"/>
  <c r="AS41" i="12"/>
  <c r="AS34" i="12"/>
  <c r="AS32" i="12"/>
  <c r="AS33" i="12"/>
  <c r="AT38" i="12"/>
  <c r="AT39" i="12"/>
  <c r="AT35" i="12"/>
  <c r="AT40" i="12"/>
  <c r="AT36" i="12"/>
  <c r="AT34" i="12"/>
  <c r="AT32" i="12"/>
  <c r="AT33" i="12"/>
  <c r="AT37" i="12"/>
  <c r="AT41" i="12"/>
  <c r="M69" i="12"/>
  <c r="V69" i="12" s="1"/>
  <c r="M17" i="12"/>
  <c r="V17" i="12" s="1"/>
  <c r="M121" i="12"/>
  <c r="V121" i="12" s="1"/>
  <c r="M122" i="12"/>
  <c r="V122" i="12" s="1"/>
  <c r="M70" i="12"/>
  <c r="V70" i="12" s="1"/>
  <c r="M18" i="12"/>
  <c r="V18" i="12" s="1"/>
  <c r="M33" i="12"/>
  <c r="V33" i="12" s="1"/>
  <c r="M137" i="12"/>
  <c r="V137" i="12" s="1"/>
  <c r="M85" i="12"/>
  <c r="V85" i="12" s="1"/>
  <c r="M138" i="12"/>
  <c r="V138" i="12" s="1"/>
  <c r="M34" i="12"/>
  <c r="V34" i="12" s="1"/>
  <c r="M86" i="12"/>
  <c r="V86" i="12" s="1"/>
  <c r="M128" i="12"/>
  <c r="V128" i="12" s="1"/>
  <c r="M24" i="12"/>
  <c r="V24" i="12" s="1"/>
  <c r="M76" i="12"/>
  <c r="V76" i="12" s="1"/>
  <c r="M129" i="12"/>
  <c r="V129" i="12" s="1"/>
  <c r="M25" i="12"/>
  <c r="V25" i="12" s="1"/>
  <c r="M77" i="12"/>
  <c r="V77" i="12" s="1"/>
  <c r="M127" i="12"/>
  <c r="V127" i="12" s="1"/>
  <c r="M23" i="12"/>
  <c r="V23" i="12" s="1"/>
  <c r="M75" i="12"/>
  <c r="V75" i="12" s="1"/>
  <c r="E20" i="17"/>
  <c r="E18" i="17"/>
  <c r="M28" i="12"/>
  <c r="V28" i="12" s="1"/>
  <c r="M132" i="12"/>
  <c r="V132" i="12" s="1"/>
  <c r="M80" i="12"/>
  <c r="V80" i="12" s="1"/>
  <c r="M35" i="12"/>
  <c r="V35" i="12" s="1"/>
  <c r="M87" i="12"/>
  <c r="V87" i="12" s="1"/>
  <c r="M139" i="12"/>
  <c r="V139" i="12" s="1"/>
  <c r="M36" i="12"/>
  <c r="V36" i="12" s="1"/>
  <c r="M88" i="12"/>
  <c r="V88" i="12" s="1"/>
  <c r="M140" i="12"/>
  <c r="V140" i="12" s="1"/>
  <c r="M71" i="12"/>
  <c r="V71" i="12" s="1"/>
  <c r="M19" i="12"/>
  <c r="V19" i="12" s="1"/>
  <c r="M123" i="12"/>
  <c r="V123" i="12" s="1"/>
  <c r="M37" i="12"/>
  <c r="V37" i="12" s="1"/>
  <c r="M141" i="12"/>
  <c r="V141" i="12" s="1"/>
  <c r="M89" i="12"/>
  <c r="V89" i="12" s="1"/>
  <c r="M125" i="12"/>
  <c r="V125" i="12" s="1"/>
  <c r="M21" i="12"/>
  <c r="V21" i="12" s="1"/>
  <c r="M73" i="12"/>
  <c r="V73" i="12" s="1"/>
  <c r="M74" i="12"/>
  <c r="V74" i="12" s="1"/>
  <c r="M22" i="12"/>
  <c r="V22" i="12" s="1"/>
  <c r="M126" i="12"/>
  <c r="V126" i="12" s="1"/>
  <c r="E17" i="17"/>
  <c r="M134" i="12"/>
  <c r="V134" i="12" s="1"/>
  <c r="M82" i="12"/>
  <c r="V82" i="12" s="1"/>
  <c r="M30" i="12"/>
  <c r="V30" i="12" s="1"/>
  <c r="M142" i="12"/>
  <c r="V142" i="12" s="1"/>
  <c r="M38" i="12"/>
  <c r="V38" i="12" s="1"/>
  <c r="M90" i="12"/>
  <c r="V90" i="12" s="1"/>
  <c r="M16" i="12"/>
  <c r="V16" i="12" s="1"/>
  <c r="M120" i="12"/>
  <c r="V120" i="12" s="1"/>
  <c r="M68" i="12"/>
  <c r="V68" i="12" s="1"/>
  <c r="M84" i="12"/>
  <c r="V84" i="12" s="1"/>
  <c r="M32" i="12"/>
  <c r="V32" i="12" s="1"/>
  <c r="M136" i="12"/>
  <c r="V136" i="12" s="1"/>
  <c r="M31" i="12"/>
  <c r="V31" i="12" s="1"/>
  <c r="M83" i="12"/>
  <c r="V83" i="12" s="1"/>
  <c r="M135" i="12"/>
  <c r="V135" i="12" s="1"/>
  <c r="M26" i="12"/>
  <c r="V26" i="12" s="1"/>
  <c r="M130" i="12"/>
  <c r="V130" i="12" s="1"/>
  <c r="M78" i="12"/>
  <c r="V78" i="12" s="1"/>
  <c r="M72" i="12"/>
  <c r="V72" i="12" s="1"/>
  <c r="M124" i="12"/>
  <c r="V124" i="12" s="1"/>
  <c r="M20" i="12"/>
  <c r="V20" i="12" s="1"/>
  <c r="E40" i="17"/>
  <c r="E16" i="17"/>
  <c r="E15" i="17"/>
  <c r="E26" i="17"/>
  <c r="M79" i="12"/>
  <c r="V79" i="12" s="1"/>
  <c r="M27" i="12"/>
  <c r="V27" i="12" s="1"/>
  <c r="M131" i="12"/>
  <c r="V131" i="12" s="1"/>
  <c r="M81" i="12"/>
  <c r="V81" i="12" s="1"/>
  <c r="M133" i="12"/>
  <c r="V133" i="12" s="1"/>
  <c r="M29" i="12"/>
  <c r="V29" i="12" s="1"/>
  <c r="E19" i="17"/>
  <c r="E66" i="17"/>
  <c r="AS42" i="12"/>
  <c r="AT42" i="12"/>
  <c r="AS45" i="12"/>
  <c r="AS44" i="12"/>
  <c r="AS46" i="12"/>
  <c r="AS43" i="12"/>
  <c r="AS47" i="12"/>
  <c r="AT46" i="12"/>
  <c r="AT47" i="12"/>
  <c r="AT43" i="12"/>
  <c r="AT44" i="12"/>
  <c r="AT45" i="12"/>
  <c r="E42" i="17"/>
  <c r="E41" i="17"/>
  <c r="E44" i="17"/>
  <c r="AS51" i="12"/>
  <c r="AS54" i="12"/>
  <c r="AS49" i="12"/>
  <c r="AS50" i="12"/>
  <c r="N8" i="39"/>
  <c r="AS52" i="12"/>
  <c r="AS48" i="12"/>
  <c r="AS53" i="12"/>
  <c r="AT54" i="12"/>
  <c r="AT52" i="12"/>
  <c r="AT51" i="12"/>
  <c r="AT53" i="12"/>
  <c r="AT50" i="12"/>
  <c r="AT48" i="12"/>
  <c r="AT49" i="12"/>
  <c r="E45" i="17"/>
  <c r="E48" i="17"/>
  <c r="E47" i="17"/>
  <c r="D11" i="20"/>
  <c r="I9" i="17"/>
  <c r="R1" i="15"/>
  <c r="R54" i="15" s="1"/>
  <c r="S54" i="15" s="1"/>
  <c r="AE54" i="15" s="1"/>
  <c r="F2" i="11"/>
  <c r="O11" i="14"/>
  <c r="E18" i="26"/>
  <c r="B19" i="26" s="1"/>
  <c r="BJ20" i="6"/>
  <c r="G6" i="28" s="1"/>
  <c r="E57" i="26" s="1"/>
  <c r="F57" i="26" s="1"/>
  <c r="AM37" i="12"/>
  <c r="AQ37" i="12"/>
  <c r="AK37" i="12"/>
  <c r="AP37" i="12"/>
  <c r="AO37" i="12"/>
  <c r="AL37" i="12"/>
  <c r="M51" i="12"/>
  <c r="V51" i="12" s="1"/>
  <c r="M155" i="12"/>
  <c r="V155" i="12" s="1"/>
  <c r="M103" i="12"/>
  <c r="V103" i="12" s="1"/>
  <c r="AM27" i="12"/>
  <c r="AP27" i="12"/>
  <c r="M41" i="12"/>
  <c r="V41" i="12" s="1"/>
  <c r="M145" i="12"/>
  <c r="V145" i="12" s="1"/>
  <c r="AK27" i="12"/>
  <c r="AQ27" i="12"/>
  <c r="AO27" i="12"/>
  <c r="AL27" i="12"/>
  <c r="M93" i="12"/>
  <c r="V93" i="12" s="1"/>
  <c r="AK53" i="12"/>
  <c r="AQ53" i="12"/>
  <c r="AM53" i="12"/>
  <c r="AO53" i="12"/>
  <c r="AL53" i="12"/>
  <c r="AP53" i="12"/>
  <c r="M119" i="12"/>
  <c r="V119" i="12" s="1"/>
  <c r="M67" i="12"/>
  <c r="V67" i="12" s="1"/>
  <c r="AQ52" i="12"/>
  <c r="AP52" i="12"/>
  <c r="AK52" i="12"/>
  <c r="AO52" i="12"/>
  <c r="AM52" i="12"/>
  <c r="M66" i="12"/>
  <c r="V66" i="12" s="1"/>
  <c r="AL52" i="12"/>
  <c r="M118" i="12"/>
  <c r="V118" i="12" s="1"/>
  <c r="AL39" i="12"/>
  <c r="M53" i="12"/>
  <c r="V53" i="12" s="1"/>
  <c r="AO39" i="12"/>
  <c r="AK39" i="12"/>
  <c r="AQ39" i="12"/>
  <c r="AM39" i="12"/>
  <c r="AP39" i="12"/>
  <c r="M105" i="12"/>
  <c r="V105" i="12" s="1"/>
  <c r="M157" i="12"/>
  <c r="V157" i="12" s="1"/>
  <c r="AL28" i="12"/>
  <c r="M94" i="12"/>
  <c r="V94" i="12" s="1"/>
  <c r="M146" i="12"/>
  <c r="V146" i="12" s="1"/>
  <c r="AP28" i="12"/>
  <c r="AK28" i="12"/>
  <c r="M42" i="12"/>
  <c r="V42" i="12" s="1"/>
  <c r="AO28" i="12"/>
  <c r="AM28" i="12"/>
  <c r="AQ28" i="12"/>
  <c r="AM51" i="12"/>
  <c r="AO51" i="12"/>
  <c r="AQ51" i="12"/>
  <c r="AP51" i="12"/>
  <c r="AL51" i="12"/>
  <c r="M117" i="12"/>
  <c r="V117" i="12" s="1"/>
  <c r="AK51" i="12"/>
  <c r="M65" i="12"/>
  <c r="V65" i="12" s="1"/>
  <c r="AK43" i="12"/>
  <c r="M161" i="12"/>
  <c r="V161" i="12" s="1"/>
  <c r="AL43" i="12"/>
  <c r="AO43" i="12"/>
  <c r="M109" i="12"/>
  <c r="V109" i="12" s="1"/>
  <c r="M57" i="12"/>
  <c r="V57" i="12" s="1"/>
  <c r="AP43" i="12"/>
  <c r="AM43" i="12"/>
  <c r="AQ43" i="12"/>
  <c r="AM44" i="12"/>
  <c r="AQ44" i="12"/>
  <c r="AK44" i="12"/>
  <c r="M110" i="12"/>
  <c r="V110" i="12" s="1"/>
  <c r="M162" i="12"/>
  <c r="V162" i="12" s="1"/>
  <c r="AO44" i="12"/>
  <c r="AL44" i="12"/>
  <c r="M58" i="12"/>
  <c r="V58" i="12" s="1"/>
  <c r="AP44" i="12"/>
  <c r="AL49" i="12"/>
  <c r="AQ49" i="12"/>
  <c r="AM49" i="12"/>
  <c r="AP49" i="12"/>
  <c r="M115" i="12"/>
  <c r="V115" i="12" s="1"/>
  <c r="M63" i="12"/>
  <c r="V63" i="12" s="1"/>
  <c r="AK49" i="12"/>
  <c r="AO49" i="12"/>
  <c r="AK34" i="12"/>
  <c r="AQ34" i="12"/>
  <c r="AO34" i="12"/>
  <c r="AL34" i="12"/>
  <c r="M152" i="12"/>
  <c r="V152" i="12" s="1"/>
  <c r="AM34" i="12"/>
  <c r="M48" i="12"/>
  <c r="V48" i="12" s="1"/>
  <c r="M100" i="12"/>
  <c r="V100" i="12" s="1"/>
  <c r="AP34" i="12"/>
  <c r="AQ35" i="12"/>
  <c r="M153" i="12"/>
  <c r="V153" i="12" s="1"/>
  <c r="AL35" i="12"/>
  <c r="M49" i="12"/>
  <c r="V49" i="12" s="1"/>
  <c r="AP35" i="12"/>
  <c r="AK35" i="12"/>
  <c r="AO35" i="12"/>
  <c r="AM35" i="12"/>
  <c r="M101" i="12"/>
  <c r="V101" i="12" s="1"/>
  <c r="AQ54" i="12"/>
  <c r="AO54" i="12"/>
  <c r="AL54" i="12"/>
  <c r="AM54" i="12"/>
  <c r="AP54" i="12"/>
  <c r="AK54" i="12"/>
  <c r="AL33" i="12"/>
  <c r="AO33" i="12"/>
  <c r="M99" i="12"/>
  <c r="V99" i="12" s="1"/>
  <c r="AP33" i="12"/>
  <c r="AM33" i="12"/>
  <c r="AQ33" i="12"/>
  <c r="M47" i="12"/>
  <c r="V47" i="12" s="1"/>
  <c r="AK33" i="12"/>
  <c r="M151" i="12"/>
  <c r="V151" i="12" s="1"/>
  <c r="AL38" i="12"/>
  <c r="M156" i="12"/>
  <c r="V156" i="12" s="1"/>
  <c r="AM38" i="12"/>
  <c r="M104" i="12"/>
  <c r="V104" i="12" s="1"/>
  <c r="AQ38" i="12"/>
  <c r="AO38" i="12"/>
  <c r="AK38" i="12"/>
  <c r="M52" i="12"/>
  <c r="V52" i="12" s="1"/>
  <c r="AP38" i="12"/>
  <c r="AL45" i="12"/>
  <c r="M163" i="12"/>
  <c r="V163" i="12" s="1"/>
  <c r="M111" i="12"/>
  <c r="V111" i="12" s="1"/>
  <c r="AO45" i="12"/>
  <c r="AM45" i="12"/>
  <c r="AQ45" i="12"/>
  <c r="AP45" i="12"/>
  <c r="AK45" i="12"/>
  <c r="M59" i="12"/>
  <c r="V59" i="12" s="1"/>
  <c r="AM46" i="12"/>
  <c r="AQ46" i="12"/>
  <c r="M164" i="12"/>
  <c r="V164" i="12" s="1"/>
  <c r="AL46" i="12"/>
  <c r="M112" i="12"/>
  <c r="V112" i="12" s="1"/>
  <c r="AK46" i="12"/>
  <c r="AO46" i="12"/>
  <c r="M60" i="12"/>
  <c r="V60" i="12" s="1"/>
  <c r="AP46" i="12"/>
  <c r="AM29" i="12"/>
  <c r="M95" i="12"/>
  <c r="V95" i="12" s="1"/>
  <c r="M43" i="12"/>
  <c r="V43" i="12" s="1"/>
  <c r="AK29" i="12"/>
  <c r="M147" i="12"/>
  <c r="V147" i="12" s="1"/>
  <c r="AL29" i="12"/>
  <c r="AP29" i="12"/>
  <c r="AQ29" i="12"/>
  <c r="AO29" i="12"/>
  <c r="M61" i="12"/>
  <c r="V61" i="12" s="1"/>
  <c r="AO47" i="12"/>
  <c r="AK47" i="12"/>
  <c r="AQ47" i="12"/>
  <c r="M113" i="12"/>
  <c r="V113" i="12" s="1"/>
  <c r="AM47" i="12"/>
  <c r="M165" i="12"/>
  <c r="V165" i="12" s="1"/>
  <c r="AL47" i="12"/>
  <c r="AP47" i="12"/>
  <c r="AK25" i="12"/>
  <c r="AP25" i="12"/>
  <c r="M39" i="12"/>
  <c r="V39" i="12" s="1"/>
  <c r="AQ25" i="12"/>
  <c r="AL25" i="12"/>
  <c r="M143" i="12"/>
  <c r="V143" i="12" s="1"/>
  <c r="AO25" i="12"/>
  <c r="AM25" i="12"/>
  <c r="M91" i="12"/>
  <c r="V91" i="12" s="1"/>
  <c r="AQ31" i="12"/>
  <c r="AP31" i="12"/>
  <c r="AK31" i="12"/>
  <c r="M45" i="12"/>
  <c r="V45" i="12" s="1"/>
  <c r="M149" i="12"/>
  <c r="V149" i="12" s="1"/>
  <c r="AL31" i="12"/>
  <c r="M97" i="12"/>
  <c r="V97" i="12" s="1"/>
  <c r="AM31" i="12"/>
  <c r="AO31" i="12"/>
  <c r="M150" i="12"/>
  <c r="V150" i="12" s="1"/>
  <c r="AL32" i="12"/>
  <c r="M46" i="12"/>
  <c r="V46" i="12" s="1"/>
  <c r="AP32" i="12"/>
  <c r="AM32" i="12"/>
  <c r="AQ32" i="12"/>
  <c r="AK32" i="12"/>
  <c r="M98" i="12"/>
  <c r="V98" i="12" s="1"/>
  <c r="AO32" i="12"/>
  <c r="AL40" i="12"/>
  <c r="M158" i="12"/>
  <c r="V158" i="12" s="1"/>
  <c r="AQ40" i="12"/>
  <c r="AM40" i="12"/>
  <c r="AO40" i="12"/>
  <c r="AK40" i="12"/>
  <c r="AP40" i="12"/>
  <c r="M54" i="12"/>
  <c r="V54" i="12" s="1"/>
  <c r="M106" i="12"/>
  <c r="V106" i="12" s="1"/>
  <c r="M114" i="12"/>
  <c r="V114" i="12" s="1"/>
  <c r="AP48" i="12"/>
  <c r="AL48" i="12"/>
  <c r="AQ48" i="12"/>
  <c r="AO48" i="12"/>
  <c r="AK48" i="12"/>
  <c r="M62" i="12"/>
  <c r="V62" i="12" s="1"/>
  <c r="AM48" i="12"/>
  <c r="M166" i="12"/>
  <c r="V166" i="12" s="1"/>
  <c r="W166" i="12" s="1"/>
  <c r="AM26" i="12"/>
  <c r="M144" i="12"/>
  <c r="V144" i="12" s="1"/>
  <c r="M40" i="12"/>
  <c r="V40" i="12" s="1"/>
  <c r="M92" i="12"/>
  <c r="V92" i="12" s="1"/>
  <c r="AK26" i="12"/>
  <c r="AO26" i="12"/>
  <c r="AP26" i="12"/>
  <c r="AL26" i="12"/>
  <c r="AQ26" i="12"/>
  <c r="AO50" i="12"/>
  <c r="AP50" i="12"/>
  <c r="AL50" i="12"/>
  <c r="M64" i="12"/>
  <c r="V64" i="12" s="1"/>
  <c r="AK50" i="12"/>
  <c r="AQ50" i="12"/>
  <c r="AM50" i="12"/>
  <c r="M116" i="12"/>
  <c r="V116" i="12" s="1"/>
  <c r="M56" i="12"/>
  <c r="V56" i="12" s="1"/>
  <c r="AP42" i="12"/>
  <c r="AM42" i="12"/>
  <c r="M108" i="12"/>
  <c r="V108" i="12" s="1"/>
  <c r="AO42" i="12"/>
  <c r="AK42" i="12"/>
  <c r="AQ42" i="12"/>
  <c r="AL42" i="12"/>
  <c r="M160" i="12"/>
  <c r="V160" i="12" s="1"/>
  <c r="AM41" i="12"/>
  <c r="M159" i="12"/>
  <c r="V159" i="12" s="1"/>
  <c r="AQ41" i="12"/>
  <c r="AL41" i="12"/>
  <c r="M107" i="12"/>
  <c r="V107" i="12" s="1"/>
  <c r="AK41" i="12"/>
  <c r="AP41" i="12"/>
  <c r="M55" i="12"/>
  <c r="V55" i="12" s="1"/>
  <c r="AO41" i="12"/>
  <c r="AP36" i="12"/>
  <c r="M102" i="12"/>
  <c r="V102" i="12" s="1"/>
  <c r="AO36" i="12"/>
  <c r="AL36" i="12"/>
  <c r="M50" i="12"/>
  <c r="V50" i="12" s="1"/>
  <c r="AK36" i="12"/>
  <c r="M154" i="12"/>
  <c r="V154" i="12" s="1"/>
  <c r="AM36" i="12"/>
  <c r="AQ36" i="12"/>
  <c r="AL30" i="12"/>
  <c r="AQ30" i="12"/>
  <c r="M96" i="12"/>
  <c r="V96" i="12" s="1"/>
  <c r="AP30" i="12"/>
  <c r="AK30" i="12"/>
  <c r="M148" i="12"/>
  <c r="V148" i="12" s="1"/>
  <c r="AO30" i="12"/>
  <c r="AM30" i="12"/>
  <c r="M44" i="12"/>
  <c r="V44" i="12" s="1"/>
  <c r="F56" i="26"/>
  <c r="BL20" i="6"/>
  <c r="G8" i="28" s="1"/>
  <c r="E55" i="26" s="1"/>
  <c r="F55" i="26" s="1"/>
  <c r="F23" i="17" l="1"/>
  <c r="F40" i="17"/>
  <c r="F38" i="17"/>
  <c r="F34" i="17"/>
  <c r="F45" i="17"/>
  <c r="W260" i="12"/>
  <c r="W273" i="12"/>
  <c r="W255" i="12"/>
  <c r="W258" i="12"/>
  <c r="W231" i="12"/>
  <c r="W201" i="12"/>
  <c r="W191" i="12"/>
  <c r="W184" i="12"/>
  <c r="W182" i="12"/>
  <c r="W186" i="12"/>
  <c r="W243" i="12"/>
  <c r="W271" i="12"/>
  <c r="W247" i="12"/>
  <c r="W268" i="12"/>
  <c r="W256" i="12"/>
  <c r="W237" i="12"/>
  <c r="W229" i="12"/>
  <c r="W233" i="12"/>
  <c r="W178" i="12"/>
  <c r="W225" i="12"/>
  <c r="W171" i="12"/>
  <c r="W232" i="12"/>
  <c r="W227" i="12"/>
  <c r="W206" i="12"/>
  <c r="W195" i="12"/>
  <c r="W269" i="12"/>
  <c r="W216" i="12"/>
  <c r="W188" i="12"/>
  <c r="W274" i="12"/>
  <c r="W209" i="12"/>
  <c r="W266" i="12"/>
  <c r="W200" i="12"/>
  <c r="W262" i="12"/>
  <c r="W218" i="12"/>
  <c r="O191" i="12"/>
  <c r="O201" i="12"/>
  <c r="O194" i="12"/>
  <c r="O187" i="12"/>
  <c r="O209" i="12"/>
  <c r="O207" i="12"/>
  <c r="O274" i="12"/>
  <c r="O202" i="12"/>
  <c r="O192" i="12"/>
  <c r="O215" i="12"/>
  <c r="O264" i="12"/>
  <c r="O210" i="12"/>
  <c r="O218" i="12"/>
  <c r="O195" i="12"/>
  <c r="O216" i="12"/>
  <c r="O196" i="12"/>
  <c r="O200" i="12"/>
  <c r="O221" i="12"/>
  <c r="O212" i="12"/>
  <c r="O197" i="12"/>
  <c r="O262" i="12"/>
  <c r="O193" i="12"/>
  <c r="O198" i="12"/>
  <c r="O270" i="12"/>
  <c r="O205" i="12"/>
  <c r="O272" i="12"/>
  <c r="O268" i="12"/>
  <c r="O169" i="12"/>
  <c r="O213" i="12"/>
  <c r="O217" i="12"/>
  <c r="O188" i="12"/>
  <c r="O199" i="12"/>
  <c r="O203" i="12"/>
  <c r="O168" i="12"/>
  <c r="O208" i="12"/>
  <c r="O167" i="12"/>
  <c r="O189" i="12"/>
  <c r="O211" i="12"/>
  <c r="O223" i="12"/>
  <c r="O172" i="12"/>
  <c r="O226" i="12"/>
  <c r="O234" i="12"/>
  <c r="O179" i="12"/>
  <c r="O235" i="12"/>
  <c r="O220" i="12"/>
  <c r="O214" i="12"/>
  <c r="O170" i="12"/>
  <c r="O224" i="12"/>
  <c r="O175" i="12"/>
  <c r="O227" i="12"/>
  <c r="O181" i="12"/>
  <c r="O182" i="12"/>
  <c r="O206" i="12"/>
  <c r="O266" i="12"/>
  <c r="O222" i="12"/>
  <c r="O225" i="12"/>
  <c r="O173" i="12"/>
  <c r="O176" i="12"/>
  <c r="O177" i="12"/>
  <c r="O233" i="12"/>
  <c r="O183" i="12"/>
  <c r="O238" i="12"/>
  <c r="O185" i="12"/>
  <c r="O186" i="12"/>
  <c r="O240" i="12"/>
  <c r="O178" i="12"/>
  <c r="O239" i="12"/>
  <c r="O242" i="12"/>
  <c r="O243" i="12"/>
  <c r="O249" i="12"/>
  <c r="O252" i="12"/>
  <c r="O259" i="12"/>
  <c r="O273" i="12"/>
  <c r="O271" i="12"/>
  <c r="O275" i="12"/>
  <c r="O263" i="12"/>
  <c r="O265" i="12"/>
  <c r="O204" i="12"/>
  <c r="O232" i="12"/>
  <c r="O184" i="12"/>
  <c r="O190" i="12"/>
  <c r="O219" i="12"/>
  <c r="O174" i="12"/>
  <c r="O229" i="12"/>
  <c r="O230" i="12"/>
  <c r="O245" i="12"/>
  <c r="O246" i="12"/>
  <c r="O251" i="12"/>
  <c r="O253" i="12"/>
  <c r="O254" i="12"/>
  <c r="O257" i="12"/>
  <c r="O258" i="12"/>
  <c r="O260" i="12"/>
  <c r="O228" i="12"/>
  <c r="O231" i="12"/>
  <c r="O180" i="12"/>
  <c r="O237" i="12"/>
  <c r="O236" i="12"/>
  <c r="O241" i="12"/>
  <c r="O244" i="12"/>
  <c r="O256" i="12"/>
  <c r="O255" i="12"/>
  <c r="O171" i="12"/>
  <c r="O248" i="12"/>
  <c r="O267" i="12"/>
  <c r="O261" i="12"/>
  <c r="O269" i="12"/>
  <c r="O250" i="12"/>
  <c r="O247" i="12"/>
  <c r="W257" i="12"/>
  <c r="W242" i="12"/>
  <c r="W265" i="12"/>
  <c r="W254" i="12"/>
  <c r="W236" i="12"/>
  <c r="W180" i="12"/>
  <c r="W230" i="12"/>
  <c r="W172" i="12"/>
  <c r="W185" i="12"/>
  <c r="W170" i="12"/>
  <c r="W177" i="12"/>
  <c r="W226" i="12"/>
  <c r="W270" i="12"/>
  <c r="W210" i="12"/>
  <c r="W189" i="12"/>
  <c r="W217" i="12"/>
  <c r="W220" i="12"/>
  <c r="W168" i="12"/>
  <c r="W272" i="12"/>
  <c r="W208" i="12"/>
  <c r="W205" i="12"/>
  <c r="W215" i="12"/>
  <c r="K167" i="12"/>
  <c r="K215" i="12"/>
  <c r="K207" i="12"/>
  <c r="K187" i="12"/>
  <c r="K262" i="12"/>
  <c r="K191" i="12"/>
  <c r="K217" i="12"/>
  <c r="K221" i="12"/>
  <c r="K208" i="12"/>
  <c r="K209" i="12"/>
  <c r="K270" i="12"/>
  <c r="K206" i="12"/>
  <c r="K196" i="12"/>
  <c r="K199" i="12"/>
  <c r="K219" i="12"/>
  <c r="K189" i="12"/>
  <c r="K198" i="12"/>
  <c r="K202" i="12"/>
  <c r="K192" i="12"/>
  <c r="K205" i="12"/>
  <c r="K195" i="12"/>
  <c r="K193" i="12"/>
  <c r="K194" i="12"/>
  <c r="K274" i="12"/>
  <c r="K169" i="12"/>
  <c r="K213" i="12"/>
  <c r="K204" i="12"/>
  <c r="K211" i="12"/>
  <c r="K203" i="12"/>
  <c r="K197" i="12"/>
  <c r="K216" i="12"/>
  <c r="K201" i="12"/>
  <c r="K210" i="12"/>
  <c r="K214" i="12"/>
  <c r="K272" i="12"/>
  <c r="K261" i="12"/>
  <c r="K263" i="12"/>
  <c r="K171" i="12"/>
  <c r="K226" i="12"/>
  <c r="K181" i="12"/>
  <c r="K182" i="12"/>
  <c r="K237" i="12"/>
  <c r="K241" i="12"/>
  <c r="K220" i="12"/>
  <c r="K188" i="12"/>
  <c r="K223" i="12"/>
  <c r="K222" i="12"/>
  <c r="K172" i="12"/>
  <c r="K173" i="12"/>
  <c r="K175" i="12"/>
  <c r="K177" i="12"/>
  <c r="K229" i="12"/>
  <c r="K228" i="12"/>
  <c r="K178" i="12"/>
  <c r="K232" i="12"/>
  <c r="K180" i="12"/>
  <c r="K233" i="12"/>
  <c r="K185" i="12"/>
  <c r="K183" i="12"/>
  <c r="K239" i="12"/>
  <c r="K168" i="12"/>
  <c r="K212" i="12"/>
  <c r="K218" i="12"/>
  <c r="K224" i="12"/>
  <c r="K225" i="12"/>
  <c r="K231" i="12"/>
  <c r="K179" i="12"/>
  <c r="K184" i="12"/>
  <c r="K266" i="12"/>
  <c r="K186" i="12"/>
  <c r="K245" i="12"/>
  <c r="K248" i="12"/>
  <c r="K253" i="12"/>
  <c r="K257" i="12"/>
  <c r="K264" i="12"/>
  <c r="K265" i="12"/>
  <c r="K200" i="12"/>
  <c r="K230" i="12"/>
  <c r="K170" i="12"/>
  <c r="K176" i="12"/>
  <c r="K235" i="12"/>
  <c r="K238" i="12"/>
  <c r="K243" i="12"/>
  <c r="K244" i="12"/>
  <c r="K252" i="12"/>
  <c r="K255" i="12"/>
  <c r="K258" i="12"/>
  <c r="K260" i="12"/>
  <c r="K174" i="12"/>
  <c r="K236" i="12"/>
  <c r="K240" i="12"/>
  <c r="K190" i="12"/>
  <c r="K268" i="12"/>
  <c r="K227" i="12"/>
  <c r="K234" i="12"/>
  <c r="K242" i="12"/>
  <c r="K247" i="12"/>
  <c r="K250" i="12"/>
  <c r="K254" i="12"/>
  <c r="K256" i="12"/>
  <c r="K271" i="12"/>
  <c r="K273" i="12"/>
  <c r="K275" i="12"/>
  <c r="K269" i="12"/>
  <c r="K251" i="12"/>
  <c r="K267" i="12"/>
  <c r="K246" i="12"/>
  <c r="K249" i="12"/>
  <c r="K259" i="12"/>
  <c r="W252" i="12"/>
  <c r="W249" i="12"/>
  <c r="W250" i="12"/>
  <c r="W251" i="12"/>
  <c r="W267" i="12"/>
  <c r="W235" i="12"/>
  <c r="W261" i="12"/>
  <c r="W246" i="12"/>
  <c r="W239" i="12"/>
  <c r="W179" i="12"/>
  <c r="W228" i="12"/>
  <c r="W222" i="12"/>
  <c r="W183" i="12"/>
  <c r="W240" i="12"/>
  <c r="W174" i="12"/>
  <c r="W175" i="12"/>
  <c r="W203" i="12"/>
  <c r="W193" i="12"/>
  <c r="W214" i="12"/>
  <c r="W207" i="12"/>
  <c r="W187" i="12"/>
  <c r="W202" i="12"/>
  <c r="W197" i="12"/>
  <c r="W196" i="12"/>
  <c r="W169" i="12"/>
  <c r="W198" i="12"/>
  <c r="L270" i="12"/>
  <c r="L266" i="12"/>
  <c r="L197" i="12"/>
  <c r="L274" i="12"/>
  <c r="L263" i="12"/>
  <c r="L191" i="12"/>
  <c r="L221" i="12"/>
  <c r="L219" i="12"/>
  <c r="L194" i="12"/>
  <c r="L210" i="12"/>
  <c r="L262" i="12"/>
  <c r="L207" i="12"/>
  <c r="L200" i="12"/>
  <c r="L167" i="12"/>
  <c r="L189" i="12"/>
  <c r="L208" i="12"/>
  <c r="L218" i="12"/>
  <c r="L213" i="12"/>
  <c r="L188" i="12"/>
  <c r="L192" i="12"/>
  <c r="L203" i="12"/>
  <c r="L187" i="12"/>
  <c r="L216" i="12"/>
  <c r="L204" i="12"/>
  <c r="L205" i="12"/>
  <c r="L217" i="12"/>
  <c r="L214" i="12"/>
  <c r="L169" i="12"/>
  <c r="L196" i="12"/>
  <c r="L209" i="12"/>
  <c r="L190" i="12"/>
  <c r="L202" i="12"/>
  <c r="L199" i="12"/>
  <c r="L212" i="12"/>
  <c r="L198" i="12"/>
  <c r="L201" i="12"/>
  <c r="L215" i="12"/>
  <c r="L211" i="12"/>
  <c r="L264" i="12"/>
  <c r="L168" i="12"/>
  <c r="L193" i="12"/>
  <c r="L206" i="12"/>
  <c r="L223" i="12"/>
  <c r="L173" i="12"/>
  <c r="L175" i="12"/>
  <c r="L180" i="12"/>
  <c r="L231" i="12"/>
  <c r="L181" i="12"/>
  <c r="L233" i="12"/>
  <c r="L183" i="12"/>
  <c r="L238" i="12"/>
  <c r="L195" i="12"/>
  <c r="L268" i="12"/>
  <c r="L224" i="12"/>
  <c r="L171" i="12"/>
  <c r="L174" i="12"/>
  <c r="L178" i="12"/>
  <c r="L230" i="12"/>
  <c r="L232" i="12"/>
  <c r="L234" i="12"/>
  <c r="L184" i="12"/>
  <c r="L170" i="12"/>
  <c r="L227" i="12"/>
  <c r="L228" i="12"/>
  <c r="L179" i="12"/>
  <c r="L182" i="12"/>
  <c r="L236" i="12"/>
  <c r="L237" i="12"/>
  <c r="L222" i="12"/>
  <c r="L235" i="12"/>
  <c r="L185" i="12"/>
  <c r="L243" i="12"/>
  <c r="L244" i="12"/>
  <c r="L245" i="12"/>
  <c r="L247" i="12"/>
  <c r="L249" i="12"/>
  <c r="L254" i="12"/>
  <c r="L256" i="12"/>
  <c r="L257" i="12"/>
  <c r="L267" i="12"/>
  <c r="L269" i="12"/>
  <c r="L275" i="12"/>
  <c r="L261" i="12"/>
  <c r="L240" i="12"/>
  <c r="L242" i="12"/>
  <c r="L248" i="12"/>
  <c r="L250" i="12"/>
  <c r="L252" i="12"/>
  <c r="L255" i="12"/>
  <c r="L259" i="12"/>
  <c r="L272" i="12"/>
  <c r="L226" i="12"/>
  <c r="L186" i="12"/>
  <c r="L220" i="12"/>
  <c r="L172" i="12"/>
  <c r="L229" i="12"/>
  <c r="L239" i="12"/>
  <c r="L241" i="12"/>
  <c r="L246" i="12"/>
  <c r="L260" i="12"/>
  <c r="L265" i="12"/>
  <c r="L271" i="12"/>
  <c r="L225" i="12"/>
  <c r="L176" i="12"/>
  <c r="L177" i="12"/>
  <c r="L273" i="12"/>
  <c r="L258" i="12"/>
  <c r="L251" i="12"/>
  <c r="L253" i="12"/>
  <c r="P196" i="12"/>
  <c r="P193" i="12"/>
  <c r="P263" i="12"/>
  <c r="P191" i="12"/>
  <c r="P218" i="12"/>
  <c r="P219" i="12"/>
  <c r="P213" i="12"/>
  <c r="P214" i="12"/>
  <c r="P268" i="12"/>
  <c r="P269" i="12"/>
  <c r="P220" i="12"/>
  <c r="P189" i="12"/>
  <c r="P274" i="12"/>
  <c r="P202" i="12"/>
  <c r="P212" i="12"/>
  <c r="P215" i="12"/>
  <c r="P216" i="12"/>
  <c r="P270" i="12"/>
  <c r="P192" i="12"/>
  <c r="P203" i="12"/>
  <c r="P204" i="12"/>
  <c r="P205" i="12"/>
  <c r="P266" i="12"/>
  <c r="P188" i="12"/>
  <c r="P207" i="12"/>
  <c r="P262" i="12"/>
  <c r="P210" i="12"/>
  <c r="P187" i="12"/>
  <c r="P201" i="12"/>
  <c r="P194" i="12"/>
  <c r="P190" i="12"/>
  <c r="P197" i="12"/>
  <c r="P211" i="12"/>
  <c r="P209" i="12"/>
  <c r="P168" i="12"/>
  <c r="P217" i="12"/>
  <c r="P199" i="12"/>
  <c r="P272" i="12"/>
  <c r="P200" i="12"/>
  <c r="P169" i="12"/>
  <c r="P198" i="12"/>
  <c r="P195" i="12"/>
  <c r="P167" i="12"/>
  <c r="P222" i="12"/>
  <c r="P171" i="12"/>
  <c r="P172" i="12"/>
  <c r="P225" i="12"/>
  <c r="P173" i="12"/>
  <c r="P177" i="12"/>
  <c r="P180" i="12"/>
  <c r="P233" i="12"/>
  <c r="P183" i="12"/>
  <c r="P238" i="12"/>
  <c r="P170" i="12"/>
  <c r="P223" i="12"/>
  <c r="P176" i="12"/>
  <c r="P227" i="12"/>
  <c r="P230" i="12"/>
  <c r="P231" i="12"/>
  <c r="P181" i="12"/>
  <c r="P232" i="12"/>
  <c r="P234" i="12"/>
  <c r="P221" i="12"/>
  <c r="P208" i="12"/>
  <c r="P226" i="12"/>
  <c r="P175" i="12"/>
  <c r="P229" i="12"/>
  <c r="P178" i="12"/>
  <c r="P236" i="12"/>
  <c r="P239" i="12"/>
  <c r="P206" i="12"/>
  <c r="P224" i="12"/>
  <c r="P179" i="12"/>
  <c r="P184" i="12"/>
  <c r="P243" i="12"/>
  <c r="P256" i="12"/>
  <c r="P258" i="12"/>
  <c r="P260" i="12"/>
  <c r="P271" i="12"/>
  <c r="P264" i="12"/>
  <c r="P267" i="12"/>
  <c r="P242" i="12"/>
  <c r="P174" i="12"/>
  <c r="P186" i="12"/>
  <c r="P237" i="12"/>
  <c r="P240" i="12"/>
  <c r="P247" i="12"/>
  <c r="P248" i="12"/>
  <c r="P257" i="12"/>
  <c r="P273" i="12"/>
  <c r="P265" i="12"/>
  <c r="P275" i="12"/>
  <c r="P244" i="12"/>
  <c r="P228" i="12"/>
  <c r="P235" i="12"/>
  <c r="P185" i="12"/>
  <c r="P249" i="12"/>
  <c r="P250" i="12"/>
  <c r="P251" i="12"/>
  <c r="P255" i="12"/>
  <c r="P261" i="12"/>
  <c r="P182" i="12"/>
  <c r="P241" i="12"/>
  <c r="P245" i="12"/>
  <c r="P252" i="12"/>
  <c r="P254" i="12"/>
  <c r="P259" i="12"/>
  <c r="P253" i="12"/>
  <c r="P246" i="12"/>
  <c r="W263" i="12"/>
  <c r="W245" i="12"/>
  <c r="W244" i="12"/>
  <c r="W248" i="12"/>
  <c r="W253" i="12"/>
  <c r="W259" i="12"/>
  <c r="W241" i="12"/>
  <c r="W234" i="12"/>
  <c r="W181" i="12"/>
  <c r="W224" i="12"/>
  <c r="W223" i="12"/>
  <c r="W173" i="12"/>
  <c r="W238" i="12"/>
  <c r="W176" i="12"/>
  <c r="W264" i="12"/>
  <c r="W167" i="12"/>
  <c r="W194" i="12"/>
  <c r="W221" i="12"/>
  <c r="W219" i="12"/>
  <c r="W204" i="12"/>
  <c r="W211" i="12"/>
  <c r="W190" i="12"/>
  <c r="W199" i="12"/>
  <c r="W212" i="12"/>
  <c r="W192" i="12"/>
  <c r="N204" i="12"/>
  <c r="T204" i="12" s="1"/>
  <c r="N209" i="12"/>
  <c r="T209" i="12" s="1"/>
  <c r="N262" i="12"/>
  <c r="T262" i="12" s="1"/>
  <c r="N199" i="12"/>
  <c r="N214" i="12"/>
  <c r="T214" i="12" s="1"/>
  <c r="N217" i="12"/>
  <c r="T217" i="12" s="1"/>
  <c r="N167" i="12"/>
  <c r="T167" i="12" s="1"/>
  <c r="N215" i="12"/>
  <c r="N187" i="12"/>
  <c r="T187" i="12" s="1"/>
  <c r="N194" i="12"/>
  <c r="T194" i="12" s="1"/>
  <c r="N206" i="12"/>
  <c r="T206" i="12" s="1"/>
  <c r="N203" i="12"/>
  <c r="N190" i="12"/>
  <c r="T190" i="12" s="1"/>
  <c r="N191" i="12"/>
  <c r="T191" i="12" s="1"/>
  <c r="N201" i="12"/>
  <c r="T201" i="12" s="1"/>
  <c r="N268" i="12"/>
  <c r="N208" i="12"/>
  <c r="T208" i="12" s="1"/>
  <c r="N266" i="12"/>
  <c r="T266" i="12" s="1"/>
  <c r="N200" i="12"/>
  <c r="N267" i="12"/>
  <c r="T267" i="12" s="1"/>
  <c r="N221" i="12"/>
  <c r="T221" i="12" s="1"/>
  <c r="N193" i="12"/>
  <c r="T193" i="12" s="1"/>
  <c r="N205" i="12"/>
  <c r="N213" i="12"/>
  <c r="T213" i="12" s="1"/>
  <c r="N207" i="12"/>
  <c r="T207" i="12" s="1"/>
  <c r="N218" i="12"/>
  <c r="T218" i="12" s="1"/>
  <c r="N212" i="12"/>
  <c r="T212" i="12" s="1"/>
  <c r="N269" i="12"/>
  <c r="N189" i="12"/>
  <c r="T189" i="12" s="1"/>
  <c r="N274" i="12"/>
  <c r="T274" i="12" s="1"/>
  <c r="N192" i="12"/>
  <c r="T192" i="12" s="1"/>
  <c r="N196" i="12"/>
  <c r="N211" i="12"/>
  <c r="T211" i="12" s="1"/>
  <c r="N264" i="12"/>
  <c r="T264" i="12" s="1"/>
  <c r="N270" i="12"/>
  <c r="N168" i="12"/>
  <c r="T168" i="12" s="1"/>
  <c r="N219" i="12"/>
  <c r="T219" i="12" s="1"/>
  <c r="N220" i="12"/>
  <c r="T220" i="12" s="1"/>
  <c r="N198" i="12"/>
  <c r="T198" i="12" s="1"/>
  <c r="N216" i="12"/>
  <c r="T216" i="12" s="1"/>
  <c r="N272" i="12"/>
  <c r="T272" i="12" s="1"/>
  <c r="N210" i="12"/>
  <c r="T210" i="12" s="1"/>
  <c r="N188" i="12"/>
  <c r="T188" i="12" s="1"/>
  <c r="N226" i="12"/>
  <c r="T226" i="12" s="1"/>
  <c r="N173" i="12"/>
  <c r="T173" i="12" s="1"/>
  <c r="N229" i="12"/>
  <c r="T229" i="12" s="1"/>
  <c r="N230" i="12"/>
  <c r="T230" i="12" s="1"/>
  <c r="N177" i="12"/>
  <c r="N178" i="12"/>
  <c r="N231" i="12"/>
  <c r="T231" i="12" s="1"/>
  <c r="N179" i="12"/>
  <c r="N182" i="12"/>
  <c r="T182" i="12" s="1"/>
  <c r="N183" i="12"/>
  <c r="T183" i="12" s="1"/>
  <c r="N238" i="12"/>
  <c r="T238" i="12" s="1"/>
  <c r="N237" i="12"/>
  <c r="T237" i="12" s="1"/>
  <c r="N239" i="12"/>
  <c r="N241" i="12"/>
  <c r="T241" i="12" s="1"/>
  <c r="N169" i="12"/>
  <c r="T169" i="12" s="1"/>
  <c r="N195" i="12"/>
  <c r="T195" i="12" s="1"/>
  <c r="N225" i="12"/>
  <c r="T225" i="12" s="1"/>
  <c r="N224" i="12"/>
  <c r="T224" i="12" s="1"/>
  <c r="N175" i="12"/>
  <c r="T175" i="12" s="1"/>
  <c r="N234" i="12"/>
  <c r="T234" i="12" s="1"/>
  <c r="N184" i="12"/>
  <c r="N235" i="12"/>
  <c r="T235" i="12" s="1"/>
  <c r="N202" i="12"/>
  <c r="T202" i="12" s="1"/>
  <c r="N170" i="12"/>
  <c r="T170" i="12" s="1"/>
  <c r="N223" i="12"/>
  <c r="T223" i="12" s="1"/>
  <c r="N228" i="12"/>
  <c r="T228" i="12" s="1"/>
  <c r="N227" i="12"/>
  <c r="T227" i="12" s="1"/>
  <c r="N233" i="12"/>
  <c r="N181" i="12"/>
  <c r="T181" i="12" s="1"/>
  <c r="N236" i="12"/>
  <c r="T236" i="12" s="1"/>
  <c r="N185" i="12"/>
  <c r="T185" i="12" s="1"/>
  <c r="N197" i="12"/>
  <c r="T197" i="12" s="1"/>
  <c r="N174" i="12"/>
  <c r="T174" i="12" s="1"/>
  <c r="N176" i="12"/>
  <c r="T176" i="12" s="1"/>
  <c r="N171" i="12"/>
  <c r="T171" i="12" s="1"/>
  <c r="N232" i="12"/>
  <c r="T232" i="12" s="1"/>
  <c r="N180" i="12"/>
  <c r="T180" i="12" s="1"/>
  <c r="N186" i="12"/>
  <c r="N243" i="12"/>
  <c r="T243" i="12" s="1"/>
  <c r="N245" i="12"/>
  <c r="T245" i="12" s="1"/>
  <c r="N249" i="12"/>
  <c r="T249" i="12" s="1"/>
  <c r="N250" i="12"/>
  <c r="T250" i="12" s="1"/>
  <c r="N251" i="12"/>
  <c r="T251" i="12" s="1"/>
  <c r="N271" i="12"/>
  <c r="T271" i="12" s="1"/>
  <c r="N222" i="12"/>
  <c r="N172" i="12"/>
  <c r="T172" i="12" s="1"/>
  <c r="N240" i="12"/>
  <c r="T240" i="12" s="1"/>
  <c r="N242" i="12"/>
  <c r="N244" i="12"/>
  <c r="N246" i="12"/>
  <c r="T246" i="12" s="1"/>
  <c r="N248" i="12"/>
  <c r="T248" i="12" s="1"/>
  <c r="N252" i="12"/>
  <c r="T252" i="12" s="1"/>
  <c r="N253" i="12"/>
  <c r="N254" i="12"/>
  <c r="N258" i="12"/>
  <c r="T258" i="12" s="1"/>
  <c r="N259" i="12"/>
  <c r="T259" i="12" s="1"/>
  <c r="N265" i="12"/>
  <c r="N273" i="12"/>
  <c r="T273" i="12" s="1"/>
  <c r="N256" i="12"/>
  <c r="T256" i="12" s="1"/>
  <c r="N263" i="12"/>
  <c r="N275" i="12"/>
  <c r="T275" i="12" s="1"/>
  <c r="N247" i="12"/>
  <c r="T247" i="12" s="1"/>
  <c r="N261" i="12"/>
  <c r="T261" i="12" s="1"/>
  <c r="N255" i="12"/>
  <c r="N257" i="12"/>
  <c r="T257" i="12" s="1"/>
  <c r="N260" i="12"/>
  <c r="T260" i="12" s="1"/>
  <c r="J194" i="12"/>
  <c r="J198" i="12"/>
  <c r="J262" i="12"/>
  <c r="J204" i="12"/>
  <c r="J202" i="12"/>
  <c r="J274" i="12"/>
  <c r="J206" i="12"/>
  <c r="J190" i="12"/>
  <c r="J217" i="12"/>
  <c r="J265" i="12"/>
  <c r="J209" i="12"/>
  <c r="J212" i="12"/>
  <c r="J210" i="12"/>
  <c r="J216" i="12"/>
  <c r="J200" i="12"/>
  <c r="J203" i="12"/>
  <c r="J189" i="12"/>
  <c r="J213" i="12"/>
  <c r="J193" i="12"/>
  <c r="J196" i="12"/>
  <c r="J207" i="12"/>
  <c r="J218" i="12"/>
  <c r="J188" i="12"/>
  <c r="J268" i="12"/>
  <c r="J221" i="12"/>
  <c r="J214" i="12"/>
  <c r="J199" i="12"/>
  <c r="J191" i="12"/>
  <c r="J219" i="12"/>
  <c r="J195" i="12"/>
  <c r="J208" i="12"/>
  <c r="J168" i="12"/>
  <c r="J220" i="12"/>
  <c r="J192" i="12"/>
  <c r="J270" i="12"/>
  <c r="J187" i="12"/>
  <c r="J201" i="12"/>
  <c r="J211" i="12"/>
  <c r="J167" i="12"/>
  <c r="J223" i="12"/>
  <c r="J173" i="12"/>
  <c r="J177" i="12"/>
  <c r="J230" i="12"/>
  <c r="J231" i="12"/>
  <c r="J234" i="12"/>
  <c r="J235" i="12"/>
  <c r="J236" i="12"/>
  <c r="J186" i="12"/>
  <c r="J272" i="12"/>
  <c r="J197" i="12"/>
  <c r="J215" i="12"/>
  <c r="J172" i="12"/>
  <c r="J225" i="12"/>
  <c r="J226" i="12"/>
  <c r="J179" i="12"/>
  <c r="J178" i="12"/>
  <c r="J233" i="12"/>
  <c r="J232" i="12"/>
  <c r="J205" i="12"/>
  <c r="J169" i="12"/>
  <c r="J170" i="12"/>
  <c r="J224" i="12"/>
  <c r="J175" i="12"/>
  <c r="J227" i="12"/>
  <c r="J229" i="12"/>
  <c r="J181" i="12"/>
  <c r="J180" i="12"/>
  <c r="J182" i="12"/>
  <c r="J184" i="12"/>
  <c r="J183" i="12"/>
  <c r="J237" i="12"/>
  <c r="J241" i="12"/>
  <c r="J222" i="12"/>
  <c r="J176" i="12"/>
  <c r="J228" i="12"/>
  <c r="J245" i="12"/>
  <c r="J247" i="12"/>
  <c r="J250" i="12"/>
  <c r="J251" i="12"/>
  <c r="J252" i="12"/>
  <c r="J258" i="12"/>
  <c r="J264" i="12"/>
  <c r="J267" i="12"/>
  <c r="J261" i="12"/>
  <c r="J266" i="12"/>
  <c r="J275" i="12"/>
  <c r="J238" i="12"/>
  <c r="J240" i="12"/>
  <c r="J242" i="12"/>
  <c r="J174" i="12"/>
  <c r="J243" i="12"/>
  <c r="J244" i="12"/>
  <c r="J253" i="12"/>
  <c r="J256" i="12"/>
  <c r="J259" i="12"/>
  <c r="J269" i="12"/>
  <c r="J171" i="12"/>
  <c r="J239" i="12"/>
  <c r="J246" i="12"/>
  <c r="J249" i="12"/>
  <c r="J260" i="12"/>
  <c r="J263" i="12"/>
  <c r="J185" i="12"/>
  <c r="J271" i="12"/>
  <c r="J248" i="12"/>
  <c r="J254" i="12"/>
  <c r="J255" i="12"/>
  <c r="J257" i="12"/>
  <c r="J273" i="12"/>
  <c r="AD271" i="12"/>
  <c r="AD273" i="12"/>
  <c r="AD272" i="12"/>
  <c r="AD274" i="12"/>
  <c r="AD275" i="12"/>
  <c r="R55" i="15"/>
  <c r="S55" i="15" s="1"/>
  <c r="AE55" i="15" s="1"/>
  <c r="AW55" i="15" s="1"/>
  <c r="G50" i="17"/>
  <c r="G51" i="17"/>
  <c r="G52" i="17"/>
  <c r="G59" i="17"/>
  <c r="G61" i="17"/>
  <c r="G64" i="17"/>
  <c r="G60" i="17"/>
  <c r="G57" i="17"/>
  <c r="G56" i="17"/>
  <c r="G62" i="17"/>
  <c r="G58" i="17"/>
  <c r="G63" i="17"/>
  <c r="G65" i="17"/>
  <c r="G54" i="17"/>
  <c r="G46" i="17"/>
  <c r="G34" i="17"/>
  <c r="G37" i="17"/>
  <c r="G31" i="17"/>
  <c r="G15" i="17"/>
  <c r="G24" i="17"/>
  <c r="G26" i="17"/>
  <c r="G18" i="17"/>
  <c r="G45" i="17"/>
  <c r="G44" i="17"/>
  <c r="G43" i="17"/>
  <c r="G36" i="17"/>
  <c r="G41" i="17"/>
  <c r="G29" i="17"/>
  <c r="G30" i="17"/>
  <c r="G21" i="17"/>
  <c r="G22" i="17"/>
  <c r="G23" i="17"/>
  <c r="G67" i="17"/>
  <c r="G53" i="17"/>
  <c r="G49" i="17"/>
  <c r="G39" i="17"/>
  <c r="G38" i="17"/>
  <c r="G40" i="17"/>
  <c r="G28" i="17"/>
  <c r="G32" i="17"/>
  <c r="G20" i="17"/>
  <c r="G25" i="17"/>
  <c r="G66" i="17"/>
  <c r="G55" i="17"/>
  <c r="G47" i="17"/>
  <c r="G48" i="17"/>
  <c r="G35" i="17"/>
  <c r="G42" i="17"/>
  <c r="G33" i="17"/>
  <c r="G27" i="17"/>
  <c r="G16" i="17"/>
  <c r="G17" i="17"/>
  <c r="G19" i="17"/>
  <c r="F30" i="17"/>
  <c r="F51" i="17"/>
  <c r="F24" i="17"/>
  <c r="F33" i="17"/>
  <c r="F46" i="17"/>
  <c r="F50" i="17"/>
  <c r="F52" i="17"/>
  <c r="F59" i="17"/>
  <c r="F58" i="17"/>
  <c r="F53" i="17"/>
  <c r="F37" i="17"/>
  <c r="F31" i="17"/>
  <c r="AD33" i="12"/>
  <c r="AD85" i="12"/>
  <c r="AC86" i="12"/>
  <c r="AC137" i="12"/>
  <c r="AC85" i="12"/>
  <c r="AC34" i="12"/>
  <c r="AD139" i="12"/>
  <c r="AC33" i="12"/>
  <c r="AD34" i="12"/>
  <c r="AD137" i="12"/>
  <c r="AD138" i="12"/>
  <c r="AC138" i="12"/>
  <c r="AD86" i="12"/>
  <c r="AC140" i="12"/>
  <c r="AD87" i="12"/>
  <c r="AC139" i="12"/>
  <c r="AC35" i="12"/>
  <c r="AD35" i="12"/>
  <c r="AD88" i="12"/>
  <c r="AD140" i="12"/>
  <c r="AC87" i="12"/>
  <c r="F42" i="17"/>
  <c r="F27" i="17"/>
  <c r="F36" i="17"/>
  <c r="F26" i="17"/>
  <c r="F44" i="17"/>
  <c r="F35" i="17"/>
  <c r="F28" i="17"/>
  <c r="F43" i="17"/>
  <c r="F41" i="17"/>
  <c r="F29" i="17"/>
  <c r="F32" i="17"/>
  <c r="R29" i="15"/>
  <c r="S29" i="15" s="1"/>
  <c r="AE29" i="15" s="1"/>
  <c r="R5" i="15"/>
  <c r="S5" i="15" s="1"/>
  <c r="AE5" i="15" s="1"/>
  <c r="R33" i="15"/>
  <c r="S33" i="15" s="1"/>
  <c r="AE33" i="15" s="1"/>
  <c r="R7" i="15"/>
  <c r="S7" i="15" s="1"/>
  <c r="AE7" i="15" s="1"/>
  <c r="R13" i="15"/>
  <c r="S13" i="15" s="1"/>
  <c r="AE13" i="15" s="1"/>
  <c r="R15" i="15"/>
  <c r="S15" i="15" s="1"/>
  <c r="AE15" i="15" s="1"/>
  <c r="C18" i="37"/>
  <c r="AD16" i="12"/>
  <c r="AD17" i="12"/>
  <c r="AD112" i="12"/>
  <c r="AD147" i="12"/>
  <c r="AD83" i="12"/>
  <c r="AD19" i="12"/>
  <c r="AD94" i="12"/>
  <c r="AD30" i="12"/>
  <c r="AD52" i="12"/>
  <c r="AD97" i="12"/>
  <c r="AD25" i="12"/>
  <c r="AD72" i="12"/>
  <c r="AD127" i="12"/>
  <c r="AD63" i="12"/>
  <c r="AD122" i="12"/>
  <c r="AD58" i="12"/>
  <c r="AD108" i="12"/>
  <c r="AD125" i="12"/>
  <c r="AD57" i="12"/>
  <c r="AD32" i="12"/>
  <c r="AD107" i="12"/>
  <c r="AD43" i="12"/>
  <c r="AD118" i="12"/>
  <c r="AD38" i="12"/>
  <c r="AD68" i="12"/>
  <c r="AD105" i="12"/>
  <c r="AD37" i="12"/>
  <c r="AD154" i="12"/>
  <c r="AD27" i="12"/>
  <c r="AD22" i="12"/>
  <c r="AD89" i="12"/>
  <c r="AD64" i="12"/>
  <c r="AD134" i="12"/>
  <c r="AD121" i="12"/>
  <c r="AD80" i="12"/>
  <c r="AD131" i="12"/>
  <c r="AD67" i="12"/>
  <c r="AD142" i="12"/>
  <c r="AD78" i="12"/>
  <c r="AD144" i="12"/>
  <c r="AD149" i="12"/>
  <c r="AD77" i="12"/>
  <c r="AD40" i="12"/>
  <c r="AD111" i="12"/>
  <c r="AD47" i="12"/>
  <c r="AD106" i="12"/>
  <c r="AD42" i="12"/>
  <c r="AD76" i="12"/>
  <c r="AD109" i="12"/>
  <c r="AD41" i="12"/>
  <c r="AD128" i="12"/>
  <c r="AD91" i="12"/>
  <c r="AD102" i="12"/>
  <c r="AD36" i="12"/>
  <c r="AD132" i="12"/>
  <c r="AD69" i="12"/>
  <c r="AD24" i="12"/>
  <c r="AD46" i="12"/>
  <c r="AD113" i="12"/>
  <c r="AD104" i="12"/>
  <c r="AD79" i="12"/>
  <c r="AD73" i="12"/>
  <c r="AD123" i="12"/>
  <c r="AD54" i="12"/>
  <c r="AD53" i="12"/>
  <c r="AD48" i="12"/>
  <c r="AD115" i="12"/>
  <c r="AD51" i="12"/>
  <c r="AD126" i="12"/>
  <c r="AD62" i="12"/>
  <c r="AD116" i="12"/>
  <c r="AD129" i="12"/>
  <c r="AD61" i="12"/>
  <c r="AD136" i="12"/>
  <c r="AD21" i="12"/>
  <c r="AD95" i="12"/>
  <c r="AD31" i="12"/>
  <c r="AD90" i="12"/>
  <c r="AD26" i="12"/>
  <c r="AD44" i="12"/>
  <c r="AD93" i="12"/>
  <c r="AD20" i="12"/>
  <c r="AD96" i="12"/>
  <c r="AD75" i="12"/>
  <c r="AD150" i="12"/>
  <c r="AD70" i="12"/>
  <c r="AD141" i="12"/>
  <c r="AD148" i="12"/>
  <c r="AD99" i="12"/>
  <c r="AD110" i="12"/>
  <c r="AD84" i="12"/>
  <c r="AD45" i="12"/>
  <c r="AD143" i="12"/>
  <c r="AD74" i="12"/>
  <c r="AD145" i="12"/>
  <c r="AD59" i="12"/>
  <c r="AD100" i="12"/>
  <c r="AD222" i="12"/>
  <c r="AD212" i="12"/>
  <c r="AD217" i="12"/>
  <c r="AD206" i="12"/>
  <c r="AD81" i="12"/>
  <c r="AD124" i="12"/>
  <c r="AD146" i="12"/>
  <c r="AD151" i="12"/>
  <c r="AD65" i="12"/>
  <c r="AD18" i="12"/>
  <c r="AD23" i="12"/>
  <c r="AD28" i="12"/>
  <c r="AD184" i="12"/>
  <c r="AD173" i="12"/>
  <c r="AD162" i="12"/>
  <c r="AD188" i="12"/>
  <c r="AD177" i="12"/>
  <c r="AD182" i="12"/>
  <c r="AD164" i="12"/>
  <c r="AD169" i="12"/>
  <c r="AD158" i="12"/>
  <c r="AD117" i="12"/>
  <c r="AD50" i="12"/>
  <c r="AD39" i="12"/>
  <c r="AD56" i="12"/>
  <c r="AD101" i="12"/>
  <c r="AD66" i="12"/>
  <c r="AD55" i="12"/>
  <c r="AD120" i="12"/>
  <c r="AD200" i="12"/>
  <c r="AD189" i="12"/>
  <c r="AD178" i="12"/>
  <c r="AD168" i="12"/>
  <c r="AD204" i="12"/>
  <c r="AD193" i="12"/>
  <c r="AD198" i="12"/>
  <c r="AD196" i="12"/>
  <c r="AD201" i="12"/>
  <c r="AD190" i="12"/>
  <c r="AD49" i="12"/>
  <c r="AD114" i="12"/>
  <c r="AD152" i="12"/>
  <c r="AD29" i="12"/>
  <c r="AD130" i="12"/>
  <c r="AD157" i="12"/>
  <c r="AD210" i="12"/>
  <c r="AD161" i="12"/>
  <c r="AD180" i="12"/>
  <c r="AD185" i="12"/>
  <c r="AD174" i="12"/>
  <c r="AD153" i="12"/>
  <c r="AD82" i="12"/>
  <c r="AD71" i="12"/>
  <c r="AD133" i="12"/>
  <c r="AD98" i="12"/>
  <c r="AD103" i="12"/>
  <c r="AD216" i="12"/>
  <c r="AD205" i="12"/>
  <c r="AD194" i="12"/>
  <c r="AD156" i="12"/>
  <c r="AD221" i="12"/>
  <c r="AD209" i="12"/>
  <c r="AD214" i="12"/>
  <c r="AD60" i="12"/>
  <c r="AD119" i="12"/>
  <c r="AD92" i="12"/>
  <c r="AD135" i="12"/>
  <c r="AD220" i="12"/>
  <c r="AD172" i="12"/>
  <c r="AD167" i="12"/>
  <c r="AD215" i="12"/>
  <c r="AD207" i="12"/>
  <c r="AD223" i="12"/>
  <c r="AD176" i="12"/>
  <c r="AD170" i="12"/>
  <c r="AD160" i="12"/>
  <c r="AD163" i="12"/>
  <c r="AD175" i="12"/>
  <c r="AD171" i="12"/>
  <c r="AD192" i="12"/>
  <c r="AD218" i="12"/>
  <c r="AD197" i="12"/>
  <c r="AD195" i="12"/>
  <c r="AD186" i="12"/>
  <c r="AD199" i="12"/>
  <c r="AD203" i="12"/>
  <c r="AD211" i="12"/>
  <c r="AD213" i="12"/>
  <c r="AD202" i="12"/>
  <c r="AD165" i="12"/>
  <c r="AD179" i="12"/>
  <c r="AD159" i="12"/>
  <c r="AD191" i="12"/>
  <c r="AD155" i="12"/>
  <c r="AD181" i="12"/>
  <c r="AD208" i="12"/>
  <c r="AD166" i="12"/>
  <c r="AD224" i="12"/>
  <c r="AD226" i="12"/>
  <c r="AD219" i="12"/>
  <c r="AD183" i="12"/>
  <c r="AD187" i="12"/>
  <c r="AD225" i="12"/>
  <c r="AD227" i="12"/>
  <c r="AD228" i="12"/>
  <c r="AD229" i="12"/>
  <c r="AD230" i="12"/>
  <c r="AD231" i="12"/>
  <c r="AD232" i="12"/>
  <c r="AD233" i="12"/>
  <c r="AD235" i="12"/>
  <c r="AD234" i="12"/>
  <c r="AD236" i="12"/>
  <c r="AD238" i="12"/>
  <c r="AD237" i="12"/>
  <c r="AD239" i="12"/>
  <c r="AD241" i="12"/>
  <c r="AD240" i="12"/>
  <c r="AD243" i="12"/>
  <c r="AD242" i="12"/>
  <c r="AD244" i="12"/>
  <c r="AD245" i="12"/>
  <c r="AD246" i="12"/>
  <c r="AD247" i="12"/>
  <c r="AD248" i="12"/>
  <c r="AD249" i="12"/>
  <c r="AD250" i="12"/>
  <c r="AD251" i="12"/>
  <c r="AD253" i="12"/>
  <c r="AD252" i="12"/>
  <c r="AD255" i="12"/>
  <c r="AD254" i="12"/>
  <c r="AD256" i="12"/>
  <c r="AD257" i="12"/>
  <c r="AD258" i="12"/>
  <c r="AD259" i="12"/>
  <c r="AD261" i="12"/>
  <c r="AD260" i="12"/>
  <c r="AD262" i="12"/>
  <c r="AD265" i="12"/>
  <c r="AD263" i="12"/>
  <c r="AD264" i="12"/>
  <c r="AD267" i="12"/>
  <c r="AD266" i="12"/>
  <c r="AD268" i="12"/>
  <c r="AD269" i="12"/>
  <c r="AD270" i="12"/>
  <c r="AC17" i="12"/>
  <c r="AC88" i="12"/>
  <c r="AC24" i="12"/>
  <c r="AC43" i="12"/>
  <c r="AC90" i="12"/>
  <c r="AC26" i="12"/>
  <c r="AC111" i="12"/>
  <c r="AC133" i="12"/>
  <c r="AC65" i="12"/>
  <c r="AC136" i="12"/>
  <c r="AC52" i="12"/>
  <c r="AC99" i="12"/>
  <c r="AC134" i="12"/>
  <c r="AC54" i="12"/>
  <c r="AC108" i="12"/>
  <c r="AC39" i="12"/>
  <c r="AC97" i="12"/>
  <c r="AC25" i="12"/>
  <c r="AC80" i="12"/>
  <c r="AC154" i="12"/>
  <c r="AC27" i="12"/>
  <c r="AC98" i="12"/>
  <c r="AC18" i="12"/>
  <c r="AC95" i="12"/>
  <c r="AC125" i="12"/>
  <c r="AC57" i="12"/>
  <c r="AC76" i="12"/>
  <c r="AC147" i="12"/>
  <c r="AC19" i="12"/>
  <c r="AC94" i="12"/>
  <c r="AC30" i="12"/>
  <c r="AC119" i="12"/>
  <c r="AC141" i="12"/>
  <c r="AC69" i="12"/>
  <c r="AC59" i="12"/>
  <c r="AC73" i="12"/>
  <c r="AC110" i="12"/>
  <c r="AC89" i="12"/>
  <c r="AC72" i="12"/>
  <c r="AC74" i="12"/>
  <c r="AC144" i="12"/>
  <c r="AC79" i="12"/>
  <c r="AC117" i="12"/>
  <c r="AC49" i="12"/>
  <c r="AC104" i="12"/>
  <c r="AC36" i="12"/>
  <c r="AC67" i="12"/>
  <c r="AC118" i="12"/>
  <c r="AC38" i="12"/>
  <c r="AC135" i="12"/>
  <c r="AC149" i="12"/>
  <c r="AC77" i="12"/>
  <c r="AC64" i="12"/>
  <c r="AC122" i="12"/>
  <c r="AC146" i="12"/>
  <c r="AC82" i="12"/>
  <c r="AC132" i="12"/>
  <c r="AC63" i="12"/>
  <c r="AC109" i="12"/>
  <c r="AC41" i="12"/>
  <c r="AC60" i="12"/>
  <c r="AC115" i="12"/>
  <c r="AC142" i="12"/>
  <c r="AC78" i="12"/>
  <c r="AC152" i="12"/>
  <c r="AC121" i="12"/>
  <c r="AC53" i="12"/>
  <c r="AC20" i="12"/>
  <c r="AC44" i="12"/>
  <c r="AC126" i="12"/>
  <c r="AC124" i="12"/>
  <c r="AC105" i="12"/>
  <c r="AC150" i="12"/>
  <c r="AC45" i="12"/>
  <c r="AC32" i="12"/>
  <c r="AC127" i="12"/>
  <c r="AC92" i="12"/>
  <c r="AC46" i="12"/>
  <c r="AC148" i="12"/>
  <c r="AC56" i="12"/>
  <c r="AC103" i="12"/>
  <c r="AC123" i="12"/>
  <c r="AC58" i="12"/>
  <c r="AC116" i="12"/>
  <c r="AC47" i="12"/>
  <c r="AC101" i="12"/>
  <c r="AC29" i="12"/>
  <c r="AC84" i="12"/>
  <c r="AC21" i="12"/>
  <c r="AC102" i="12"/>
  <c r="AC22" i="12"/>
  <c r="AC107" i="12"/>
  <c r="AC129" i="12"/>
  <c r="AC61" i="12"/>
  <c r="AC128" i="12"/>
  <c r="AC48" i="12"/>
  <c r="AC91" i="12"/>
  <c r="AC130" i="12"/>
  <c r="AC66" i="12"/>
  <c r="AC96" i="12"/>
  <c r="AC31" i="12"/>
  <c r="AC93" i="12"/>
  <c r="AC120" i="12"/>
  <c r="AC83" i="12"/>
  <c r="AC62" i="12"/>
  <c r="AC55" i="12"/>
  <c r="AC37" i="12"/>
  <c r="AC131" i="12"/>
  <c r="AC114" i="12"/>
  <c r="AC145" i="12"/>
  <c r="AC28" i="12"/>
  <c r="AC151" i="12"/>
  <c r="AC112" i="12"/>
  <c r="AC40" i="12"/>
  <c r="AC75" i="12"/>
  <c r="AC106" i="12"/>
  <c r="AC42" i="12"/>
  <c r="AC143" i="12"/>
  <c r="AC153" i="12"/>
  <c r="AC81" i="12"/>
  <c r="AC68" i="12"/>
  <c r="AC70" i="12"/>
  <c r="AC71" i="12"/>
  <c r="AC113" i="12"/>
  <c r="AC100" i="12"/>
  <c r="AC50" i="12"/>
  <c r="AC51" i="12"/>
  <c r="AC23" i="12"/>
  <c r="AC207" i="12"/>
  <c r="AC217" i="12"/>
  <c r="AC171" i="12"/>
  <c r="AC156" i="12"/>
  <c r="AC221" i="12"/>
  <c r="AC205" i="12"/>
  <c r="AC198" i="12"/>
  <c r="AC191" i="12"/>
  <c r="AC208" i="12"/>
  <c r="AC193" i="12"/>
  <c r="AC202" i="12"/>
  <c r="AC169" i="12"/>
  <c r="AC162" i="12"/>
  <c r="AC187" i="12"/>
  <c r="AC172" i="12"/>
  <c r="AC157" i="12"/>
  <c r="AC220" i="12"/>
  <c r="AC155" i="12"/>
  <c r="AC160" i="12"/>
  <c r="AC223" i="12"/>
  <c r="AC209" i="12"/>
  <c r="AC163" i="12"/>
  <c r="AC185" i="12"/>
  <c r="AC178" i="12"/>
  <c r="AC203" i="12"/>
  <c r="AC188" i="12"/>
  <c r="AC173" i="12"/>
  <c r="AC167" i="12"/>
  <c r="AC159" i="12"/>
  <c r="AC176" i="12"/>
  <c r="AC161" i="12"/>
  <c r="AC170" i="12"/>
  <c r="AC179" i="12"/>
  <c r="AC201" i="12"/>
  <c r="AC194" i="12"/>
  <c r="AC204" i="12"/>
  <c r="AC189" i="12"/>
  <c r="AC182" i="12"/>
  <c r="AC175" i="12"/>
  <c r="AC192" i="12"/>
  <c r="AC177" i="12"/>
  <c r="AC186" i="12"/>
  <c r="AC195" i="12"/>
  <c r="AC214" i="12"/>
  <c r="AC200" i="12"/>
  <c r="AC215" i="12"/>
  <c r="AC196" i="12"/>
  <c r="AC206" i="12"/>
  <c r="AC197" i="12"/>
  <c r="AC210" i="12"/>
  <c r="AC181" i="12"/>
  <c r="AC213" i="12"/>
  <c r="AC174" i="12"/>
  <c r="AC212" i="12"/>
  <c r="AC166" i="12"/>
  <c r="AC158" i="12"/>
  <c r="AC211" i="12"/>
  <c r="AC168" i="12"/>
  <c r="AC184" i="12"/>
  <c r="AC199" i="12"/>
  <c r="AC190" i="12"/>
  <c r="AC216" i="12"/>
  <c r="AC183" i="12"/>
  <c r="AC180" i="12"/>
  <c r="AC164" i="12"/>
  <c r="AC165" i="12"/>
  <c r="AC222" i="12"/>
  <c r="AC219" i="12"/>
  <c r="AC218" i="12"/>
  <c r="AC224" i="12"/>
  <c r="AC225" i="12"/>
  <c r="AC227" i="12"/>
  <c r="AC226" i="12"/>
  <c r="AC229" i="12"/>
  <c r="AC228" i="12"/>
  <c r="AC231" i="12"/>
  <c r="AC230" i="12"/>
  <c r="AC232" i="12"/>
  <c r="AC233" i="12"/>
  <c r="AC234" i="12"/>
  <c r="AC235" i="12"/>
  <c r="AC236" i="12"/>
  <c r="AC237" i="12"/>
  <c r="AC238" i="12"/>
  <c r="AC239" i="12"/>
  <c r="AC240" i="12"/>
  <c r="AC242" i="12"/>
  <c r="AC241" i="12"/>
  <c r="AC244" i="12"/>
  <c r="AC243" i="12"/>
  <c r="AC245" i="12"/>
  <c r="AC248" i="12"/>
  <c r="AC247" i="12"/>
  <c r="AC246" i="12"/>
  <c r="AC250" i="12"/>
  <c r="AC249" i="12"/>
  <c r="AC251" i="12"/>
  <c r="AC252" i="12"/>
  <c r="AC255" i="12"/>
  <c r="AC253" i="12"/>
  <c r="AC254" i="12"/>
  <c r="AC256" i="12"/>
  <c r="AC257" i="12"/>
  <c r="AC258" i="12"/>
  <c r="AC260" i="12"/>
  <c r="AC259" i="12"/>
  <c r="AC261" i="12"/>
  <c r="AC264" i="12"/>
  <c r="AC262" i="12"/>
  <c r="AC263" i="12"/>
  <c r="AC265" i="12"/>
  <c r="AC266" i="12"/>
  <c r="AC268" i="12"/>
  <c r="AC270" i="12"/>
  <c r="AC267" i="12"/>
  <c r="AC269" i="12"/>
  <c r="AC271" i="12"/>
  <c r="AC272" i="12"/>
  <c r="F67" i="17"/>
  <c r="AC16" i="12"/>
  <c r="F54" i="17"/>
  <c r="F62" i="17"/>
  <c r="R9" i="15"/>
  <c r="S9" i="15" s="1"/>
  <c r="Q19" i="14" s="1"/>
  <c r="R50" i="15"/>
  <c r="S50" i="15" s="1"/>
  <c r="AE50" i="15" s="1"/>
  <c r="R26" i="15"/>
  <c r="S26" i="15" s="1"/>
  <c r="AE26" i="15" s="1"/>
  <c r="R19" i="15"/>
  <c r="S19" i="15" s="1"/>
  <c r="AE19" i="15" s="1"/>
  <c r="R32" i="15"/>
  <c r="S32" i="15" s="1"/>
  <c r="AE32" i="15" s="1"/>
  <c r="R48" i="15"/>
  <c r="S48" i="15" s="1"/>
  <c r="AE48" i="15" s="1"/>
  <c r="F49" i="17"/>
  <c r="F55" i="17"/>
  <c r="F56" i="17"/>
  <c r="F60" i="17"/>
  <c r="R35" i="15"/>
  <c r="S35" i="15" s="1"/>
  <c r="AE35" i="15" s="1"/>
  <c r="R44" i="15"/>
  <c r="S44" i="15" s="1"/>
  <c r="AE44" i="15" s="1"/>
  <c r="R45" i="15"/>
  <c r="S45" i="15" s="1"/>
  <c r="AE45" i="15" s="1"/>
  <c r="R12" i="15"/>
  <c r="S12" i="15" s="1"/>
  <c r="AE12" i="15" s="1"/>
  <c r="F64" i="17"/>
  <c r="F57" i="17"/>
  <c r="F63" i="17"/>
  <c r="R10" i="15"/>
  <c r="S10" i="15" s="1"/>
  <c r="AE10" i="15" s="1"/>
  <c r="R17" i="15"/>
  <c r="S17" i="15" s="1"/>
  <c r="AE17" i="15" s="1"/>
  <c r="R41" i="15"/>
  <c r="S41" i="15" s="1"/>
  <c r="AE41" i="15" s="1"/>
  <c r="R49" i="15"/>
  <c r="S49" i="15" s="1"/>
  <c r="AE49" i="15" s="1"/>
  <c r="R51" i="15"/>
  <c r="S51" i="15" s="1"/>
  <c r="AE51" i="15" s="1"/>
  <c r="R42" i="15"/>
  <c r="S42" i="15" s="1"/>
  <c r="AE42" i="15" s="1"/>
  <c r="R21" i="15"/>
  <c r="S21" i="15" s="1"/>
  <c r="AE21" i="15" s="1"/>
  <c r="R8" i="15"/>
  <c r="S8" i="15" s="1"/>
  <c r="AE8" i="15" s="1"/>
  <c r="R38" i="15"/>
  <c r="S38" i="15" s="1"/>
  <c r="AE38" i="15" s="1"/>
  <c r="R36" i="15"/>
  <c r="S36" i="15" s="1"/>
  <c r="AE36" i="15" s="1"/>
  <c r="AS36" i="15" s="1"/>
  <c r="F21" i="17"/>
  <c r="F61" i="17"/>
  <c r="W67" i="12"/>
  <c r="W133" i="12"/>
  <c r="F25" i="17"/>
  <c r="W119" i="12"/>
  <c r="F22" i="17"/>
  <c r="F65" i="17"/>
  <c r="W116" i="12"/>
  <c r="W29" i="12"/>
  <c r="W81" i="12"/>
  <c r="W68" i="12"/>
  <c r="P124" i="12"/>
  <c r="P72" i="12"/>
  <c r="P20" i="12"/>
  <c r="N84" i="12"/>
  <c r="N136" i="12"/>
  <c r="N32" i="12"/>
  <c r="N16" i="12"/>
  <c r="N120" i="12"/>
  <c r="N68" i="12"/>
  <c r="K142" i="12"/>
  <c r="K38" i="12"/>
  <c r="K90" i="12"/>
  <c r="L30" i="12"/>
  <c r="L134" i="12"/>
  <c r="L82" i="12"/>
  <c r="N126" i="12"/>
  <c r="N22" i="12"/>
  <c r="N74" i="12"/>
  <c r="L22" i="12"/>
  <c r="L126" i="12"/>
  <c r="L74" i="12"/>
  <c r="K73" i="12"/>
  <c r="K125" i="12"/>
  <c r="K21" i="12"/>
  <c r="O125" i="12"/>
  <c r="O73" i="12"/>
  <c r="R73" i="12" s="1"/>
  <c r="O21" i="12"/>
  <c r="K89" i="12"/>
  <c r="K37" i="12"/>
  <c r="K141" i="12"/>
  <c r="P37" i="12"/>
  <c r="P89" i="12"/>
  <c r="P141" i="12"/>
  <c r="N123" i="12"/>
  <c r="N71" i="12"/>
  <c r="N19" i="12"/>
  <c r="L71" i="12"/>
  <c r="L123" i="12"/>
  <c r="L19" i="12"/>
  <c r="J36" i="12"/>
  <c r="J140" i="12"/>
  <c r="J88" i="12"/>
  <c r="P88" i="12"/>
  <c r="P36" i="12"/>
  <c r="P140" i="12"/>
  <c r="O139" i="12"/>
  <c r="O35" i="12"/>
  <c r="O87" i="12"/>
  <c r="L75" i="12"/>
  <c r="L23" i="12"/>
  <c r="L127" i="12"/>
  <c r="K127" i="12"/>
  <c r="K75" i="12"/>
  <c r="K23" i="12"/>
  <c r="L77" i="12"/>
  <c r="L129" i="12"/>
  <c r="L25" i="12"/>
  <c r="O76" i="12"/>
  <c r="O24" i="12"/>
  <c r="O128" i="12"/>
  <c r="J128" i="12"/>
  <c r="J24" i="12"/>
  <c r="J76" i="12"/>
  <c r="N34" i="12"/>
  <c r="N138" i="12"/>
  <c r="N86" i="12"/>
  <c r="P34" i="12"/>
  <c r="P138" i="12"/>
  <c r="P86" i="12"/>
  <c r="O85" i="12"/>
  <c r="O137" i="12"/>
  <c r="O33" i="12"/>
  <c r="K85" i="12"/>
  <c r="K33" i="12"/>
  <c r="K137" i="12"/>
  <c r="P122" i="12"/>
  <c r="P18" i="12"/>
  <c r="P70" i="12"/>
  <c r="J18" i="12"/>
  <c r="J70" i="12"/>
  <c r="J122" i="12"/>
  <c r="K18" i="12"/>
  <c r="K70" i="12"/>
  <c r="K122" i="12"/>
  <c r="L81" i="12"/>
  <c r="L133" i="12"/>
  <c r="L29" i="12"/>
  <c r="N17" i="12"/>
  <c r="N69" i="12"/>
  <c r="N121" i="12"/>
  <c r="O79" i="12"/>
  <c r="O27" i="12"/>
  <c r="O131" i="12"/>
  <c r="F15" i="17"/>
  <c r="W20" i="12"/>
  <c r="W130" i="12"/>
  <c r="W134" i="12"/>
  <c r="W73" i="12"/>
  <c r="W71" i="12"/>
  <c r="W132" i="12"/>
  <c r="W23" i="12"/>
  <c r="W129" i="12"/>
  <c r="W122" i="12"/>
  <c r="J20" i="12"/>
  <c r="J72" i="12"/>
  <c r="J124" i="12"/>
  <c r="K20" i="12"/>
  <c r="K124" i="12"/>
  <c r="K72" i="12"/>
  <c r="J26" i="12"/>
  <c r="J78" i="12"/>
  <c r="J130" i="12"/>
  <c r="O83" i="12"/>
  <c r="O135" i="12"/>
  <c r="O31" i="12"/>
  <c r="P135" i="12"/>
  <c r="P31" i="12"/>
  <c r="P83" i="12"/>
  <c r="K136" i="12"/>
  <c r="K84" i="12"/>
  <c r="K32" i="12"/>
  <c r="P68" i="12"/>
  <c r="P16" i="12"/>
  <c r="P120" i="12"/>
  <c r="J16" i="12"/>
  <c r="J68" i="12"/>
  <c r="J120" i="12"/>
  <c r="L68" i="12"/>
  <c r="L16" i="12"/>
  <c r="L120" i="12"/>
  <c r="J38" i="12"/>
  <c r="J90" i="12"/>
  <c r="J142" i="12"/>
  <c r="O142" i="12"/>
  <c r="O90" i="12"/>
  <c r="O38" i="12"/>
  <c r="O82" i="12"/>
  <c r="O30" i="12"/>
  <c r="O134" i="12"/>
  <c r="P82" i="12"/>
  <c r="P30" i="12"/>
  <c r="P134" i="12"/>
  <c r="O74" i="12"/>
  <c r="O22" i="12"/>
  <c r="O126" i="12"/>
  <c r="N73" i="12"/>
  <c r="N125" i="12"/>
  <c r="N21" i="12"/>
  <c r="P21" i="12"/>
  <c r="P73" i="12"/>
  <c r="P125" i="12"/>
  <c r="J141" i="12"/>
  <c r="J37" i="12"/>
  <c r="J89" i="12"/>
  <c r="P19" i="12"/>
  <c r="P71" i="12"/>
  <c r="P123" i="12"/>
  <c r="J123" i="12"/>
  <c r="J19" i="12"/>
  <c r="J71" i="12"/>
  <c r="O88" i="12"/>
  <c r="O36" i="12"/>
  <c r="O140" i="12"/>
  <c r="L36" i="12"/>
  <c r="L140" i="12"/>
  <c r="L88" i="12"/>
  <c r="P87" i="12"/>
  <c r="P139" i="12"/>
  <c r="P35" i="12"/>
  <c r="J28" i="12"/>
  <c r="J80" i="12"/>
  <c r="J132" i="12"/>
  <c r="L80" i="12"/>
  <c r="L28" i="12"/>
  <c r="L132" i="12"/>
  <c r="J23" i="12"/>
  <c r="J127" i="12"/>
  <c r="J75" i="12"/>
  <c r="O75" i="12"/>
  <c r="O127" i="12"/>
  <c r="R127" i="12" s="1"/>
  <c r="O23" i="12"/>
  <c r="N77" i="12"/>
  <c r="T77" i="12" s="1"/>
  <c r="N129" i="12"/>
  <c r="N25" i="12"/>
  <c r="K25" i="12"/>
  <c r="K77" i="12"/>
  <c r="K129" i="12"/>
  <c r="K128" i="12"/>
  <c r="K24" i="12"/>
  <c r="K76" i="12"/>
  <c r="O138" i="12"/>
  <c r="O86" i="12"/>
  <c r="O34" i="12"/>
  <c r="L138" i="12"/>
  <c r="L34" i="12"/>
  <c r="L86" i="12"/>
  <c r="L70" i="12"/>
  <c r="L18" i="12"/>
  <c r="L122" i="12"/>
  <c r="O122" i="12"/>
  <c r="R122" i="12" s="1"/>
  <c r="O18" i="12"/>
  <c r="O70" i="12"/>
  <c r="P133" i="12"/>
  <c r="P29" i="12"/>
  <c r="P81" i="12"/>
  <c r="K29" i="12"/>
  <c r="K81" i="12"/>
  <c r="K133" i="12"/>
  <c r="P17" i="12"/>
  <c r="P121" i="12"/>
  <c r="P69" i="12"/>
  <c r="O69" i="12"/>
  <c r="O121" i="12"/>
  <c r="O17" i="12"/>
  <c r="J79" i="12"/>
  <c r="J131" i="12"/>
  <c r="J27" i="12"/>
  <c r="F18" i="17"/>
  <c r="W131" i="12"/>
  <c r="W124" i="12"/>
  <c r="W26" i="12"/>
  <c r="W120" i="12"/>
  <c r="W126" i="12"/>
  <c r="W21" i="12"/>
  <c r="W28" i="12"/>
  <c r="W127" i="12"/>
  <c r="W76" i="12"/>
  <c r="W121" i="12"/>
  <c r="N78" i="12"/>
  <c r="N26" i="12"/>
  <c r="N130" i="12"/>
  <c r="K31" i="12"/>
  <c r="K135" i="12"/>
  <c r="K83" i="12"/>
  <c r="L20" i="12"/>
  <c r="L124" i="12"/>
  <c r="L72" i="12"/>
  <c r="O20" i="12"/>
  <c r="O72" i="12"/>
  <c r="O124" i="12"/>
  <c r="P78" i="12"/>
  <c r="P130" i="12"/>
  <c r="P26" i="12"/>
  <c r="O26" i="12"/>
  <c r="O130" i="12"/>
  <c r="O78" i="12"/>
  <c r="J135" i="12"/>
  <c r="J31" i="12"/>
  <c r="J83" i="12"/>
  <c r="P136" i="12"/>
  <c r="P84" i="12"/>
  <c r="P32" i="12"/>
  <c r="L84" i="12"/>
  <c r="L136" i="12"/>
  <c r="L32" i="12"/>
  <c r="K68" i="12"/>
  <c r="K120" i="12"/>
  <c r="K16" i="12"/>
  <c r="N90" i="12"/>
  <c r="N142" i="12"/>
  <c r="N38" i="12"/>
  <c r="J30" i="12"/>
  <c r="J82" i="12"/>
  <c r="J134" i="12"/>
  <c r="J126" i="12"/>
  <c r="J74" i="12"/>
  <c r="J22" i="12"/>
  <c r="L125" i="12"/>
  <c r="L21" i="12"/>
  <c r="L73" i="12"/>
  <c r="L89" i="12"/>
  <c r="L141" i="12"/>
  <c r="L37" i="12"/>
  <c r="N37" i="12"/>
  <c r="N89" i="12"/>
  <c r="N141" i="12"/>
  <c r="O71" i="12"/>
  <c r="O123" i="12"/>
  <c r="O19" i="12"/>
  <c r="K88" i="12"/>
  <c r="K36" i="12"/>
  <c r="K140" i="12"/>
  <c r="L139" i="12"/>
  <c r="L35" i="12"/>
  <c r="L87" i="12"/>
  <c r="K87" i="12"/>
  <c r="K139" i="12"/>
  <c r="K35" i="12"/>
  <c r="N28" i="12"/>
  <c r="N132" i="12"/>
  <c r="N80" i="12"/>
  <c r="J77" i="12"/>
  <c r="J129" i="12"/>
  <c r="J25" i="12"/>
  <c r="N76" i="12"/>
  <c r="N128" i="12"/>
  <c r="N24" i="12"/>
  <c r="P85" i="12"/>
  <c r="P33" i="12"/>
  <c r="P137" i="12"/>
  <c r="J85" i="12"/>
  <c r="J33" i="12"/>
  <c r="J137" i="12"/>
  <c r="N70" i="12"/>
  <c r="N18" i="12"/>
  <c r="N122" i="12"/>
  <c r="J29" i="12"/>
  <c r="J81" i="12"/>
  <c r="J133" i="12"/>
  <c r="J69" i="12"/>
  <c r="J121" i="12"/>
  <c r="J17" i="12"/>
  <c r="L17" i="12"/>
  <c r="L121" i="12"/>
  <c r="L69" i="12"/>
  <c r="K27" i="12"/>
  <c r="K79" i="12"/>
  <c r="K131" i="12"/>
  <c r="P79" i="12"/>
  <c r="P27" i="12"/>
  <c r="P131" i="12"/>
  <c r="F16" i="17"/>
  <c r="W27" i="12"/>
  <c r="W72" i="12"/>
  <c r="W16" i="12"/>
  <c r="W30" i="12"/>
  <c r="W22" i="12"/>
  <c r="W125" i="12"/>
  <c r="W123" i="12"/>
  <c r="W77" i="12"/>
  <c r="W24" i="12"/>
  <c r="W18" i="12"/>
  <c r="W17" i="12"/>
  <c r="N124" i="12"/>
  <c r="N20" i="12"/>
  <c r="N72" i="12"/>
  <c r="L78" i="12"/>
  <c r="L130" i="12"/>
  <c r="L26" i="12"/>
  <c r="K130" i="12"/>
  <c r="K26" i="12"/>
  <c r="K78" i="12"/>
  <c r="N135" i="12"/>
  <c r="N31" i="12"/>
  <c r="N83" i="12"/>
  <c r="L83" i="12"/>
  <c r="L135" i="12"/>
  <c r="L31" i="12"/>
  <c r="J136" i="12"/>
  <c r="J32" i="12"/>
  <c r="J84" i="12"/>
  <c r="O32" i="12"/>
  <c r="O84" i="12"/>
  <c r="O136" i="12"/>
  <c r="O120" i="12"/>
  <c r="O68" i="12"/>
  <c r="O16" i="12"/>
  <c r="L90" i="12"/>
  <c r="L142" i="12"/>
  <c r="L38" i="12"/>
  <c r="P142" i="12"/>
  <c r="P38" i="12"/>
  <c r="P90" i="12"/>
  <c r="N30" i="12"/>
  <c r="N82" i="12"/>
  <c r="T82" i="12" s="1"/>
  <c r="N134" i="12"/>
  <c r="T134" i="12" s="1"/>
  <c r="K134" i="12"/>
  <c r="K82" i="12"/>
  <c r="K30" i="12"/>
  <c r="P22" i="12"/>
  <c r="P74" i="12"/>
  <c r="P126" i="12"/>
  <c r="K74" i="12"/>
  <c r="K22" i="12"/>
  <c r="K126" i="12"/>
  <c r="J21" i="12"/>
  <c r="J125" i="12"/>
  <c r="J73" i="12"/>
  <c r="O141" i="12"/>
  <c r="O89" i="12"/>
  <c r="O37" i="12"/>
  <c r="R37" i="12" s="1"/>
  <c r="K19" i="12"/>
  <c r="K123" i="12"/>
  <c r="K71" i="12"/>
  <c r="N36" i="12"/>
  <c r="N88" i="12"/>
  <c r="T88" i="12" s="1"/>
  <c r="N140" i="12"/>
  <c r="J139" i="12"/>
  <c r="J87" i="12"/>
  <c r="J35" i="12"/>
  <c r="N35" i="12"/>
  <c r="N87" i="12"/>
  <c r="N139" i="12"/>
  <c r="O80" i="12"/>
  <c r="O132" i="12"/>
  <c r="O28" i="12"/>
  <c r="P132" i="12"/>
  <c r="P28" i="12"/>
  <c r="P80" i="12"/>
  <c r="K80" i="12"/>
  <c r="K28" i="12"/>
  <c r="K132" i="12"/>
  <c r="P127" i="12"/>
  <c r="P75" i="12"/>
  <c r="P23" i="12"/>
  <c r="N75" i="12"/>
  <c r="N23" i="12"/>
  <c r="N127" i="12"/>
  <c r="O25" i="12"/>
  <c r="R25" i="12" s="1"/>
  <c r="O77" i="12"/>
  <c r="R77" i="12" s="1"/>
  <c r="O129" i="12"/>
  <c r="P77" i="12"/>
  <c r="P25" i="12"/>
  <c r="P129" i="12"/>
  <c r="L24" i="12"/>
  <c r="L76" i="12"/>
  <c r="L128" i="12"/>
  <c r="P24" i="12"/>
  <c r="P76" i="12"/>
  <c r="P128" i="12"/>
  <c r="K138" i="12"/>
  <c r="K86" i="12"/>
  <c r="K34" i="12"/>
  <c r="J34" i="12"/>
  <c r="J86" i="12"/>
  <c r="J138" i="12"/>
  <c r="L33" i="12"/>
  <c r="L85" i="12"/>
  <c r="L137" i="12"/>
  <c r="N85" i="12"/>
  <c r="N137" i="12"/>
  <c r="N33" i="12"/>
  <c r="O29" i="12"/>
  <c r="O133" i="12"/>
  <c r="O81" i="12"/>
  <c r="N133" i="12"/>
  <c r="N29" i="12"/>
  <c r="N81" i="12"/>
  <c r="K17" i="12"/>
  <c r="K69" i="12"/>
  <c r="K121" i="12"/>
  <c r="N79" i="12"/>
  <c r="N131" i="12"/>
  <c r="N27" i="12"/>
  <c r="L79" i="12"/>
  <c r="L27" i="12"/>
  <c r="L131" i="12"/>
  <c r="F20" i="17"/>
  <c r="F19" i="17"/>
  <c r="F17" i="17"/>
  <c r="F66" i="17"/>
  <c r="W79" i="12"/>
  <c r="W78" i="12"/>
  <c r="W82" i="12"/>
  <c r="W74" i="12"/>
  <c r="W19" i="12"/>
  <c r="W80" i="12"/>
  <c r="W75" i="12"/>
  <c r="W25" i="12"/>
  <c r="W128" i="12"/>
  <c r="W70" i="12"/>
  <c r="W69" i="12"/>
  <c r="F39" i="17"/>
  <c r="F48" i="17"/>
  <c r="E70" i="17"/>
  <c r="R52" i="15"/>
  <c r="S52" i="15" s="1"/>
  <c r="AE52" i="15" s="1"/>
  <c r="R53" i="15"/>
  <c r="S53" i="15" s="1"/>
  <c r="AE53" i="15" s="1"/>
  <c r="AS54" i="15" s="1"/>
  <c r="R43" i="15"/>
  <c r="S43" i="15" s="1"/>
  <c r="AE43" i="15" s="1"/>
  <c r="R40" i="15"/>
  <c r="S40" i="15" s="1"/>
  <c r="AE40" i="15" s="1"/>
  <c r="R31" i="15"/>
  <c r="S31" i="15" s="1"/>
  <c r="AE31" i="15" s="1"/>
  <c r="AS32" i="15" s="1"/>
  <c r="R23" i="15"/>
  <c r="S23" i="15" s="1"/>
  <c r="AE23" i="15" s="1"/>
  <c r="R27" i="15"/>
  <c r="S27" i="15" s="1"/>
  <c r="AE27" i="15" s="1"/>
  <c r="R30" i="15"/>
  <c r="S30" i="15" s="1"/>
  <c r="AE30" i="15" s="1"/>
  <c r="R16" i="15"/>
  <c r="S16" i="15" s="1"/>
  <c r="AE16" i="15" s="1"/>
  <c r="R39" i="15"/>
  <c r="S39" i="15" s="1"/>
  <c r="AE39" i="15" s="1"/>
  <c r="AS39" i="15" s="1"/>
  <c r="R34" i="15"/>
  <c r="S34" i="15" s="1"/>
  <c r="AE34" i="15" s="1"/>
  <c r="R46" i="15"/>
  <c r="S46" i="15" s="1"/>
  <c r="AE46" i="15" s="1"/>
  <c r="R24" i="15"/>
  <c r="S24" i="15" s="1"/>
  <c r="AE24" i="15" s="1"/>
  <c r="F47" i="17"/>
  <c r="R47" i="15"/>
  <c r="S47" i="15" s="1"/>
  <c r="AE47" i="15" s="1"/>
  <c r="R11" i="15"/>
  <c r="S11" i="15" s="1"/>
  <c r="AE11" i="15" s="1"/>
  <c r="R14" i="15"/>
  <c r="S14" i="15" s="1"/>
  <c r="AE14" i="15" s="1"/>
  <c r="R28" i="15"/>
  <c r="S28" i="15" s="1"/>
  <c r="AE28" i="15" s="1"/>
  <c r="R18" i="15"/>
  <c r="S18" i="15" s="1"/>
  <c r="AE18" i="15" s="1"/>
  <c r="R37" i="15"/>
  <c r="S37" i="15" s="1"/>
  <c r="AE37" i="15" s="1"/>
  <c r="R3" i="15"/>
  <c r="S3" i="15" s="1"/>
  <c r="Q13" i="14" s="1"/>
  <c r="R25" i="15"/>
  <c r="S25" i="15" s="1"/>
  <c r="AE25" i="15" s="1"/>
  <c r="R20" i="15"/>
  <c r="S20" i="15" s="1"/>
  <c r="AE20" i="15" s="1"/>
  <c r="R4" i="15"/>
  <c r="S4" i="15" s="1"/>
  <c r="Q14" i="14" s="1"/>
  <c r="R6" i="15"/>
  <c r="S6" i="15" s="1"/>
  <c r="Q16" i="14" s="1"/>
  <c r="R22" i="15"/>
  <c r="S22" i="15" s="1"/>
  <c r="AE22" i="15" s="1"/>
  <c r="W65" i="12"/>
  <c r="L71" i="17"/>
  <c r="W148" i="12"/>
  <c r="W55" i="12"/>
  <c r="W64" i="12"/>
  <c r="W66" i="12"/>
  <c r="W44" i="12"/>
  <c r="W102" i="12"/>
  <c r="W108" i="12"/>
  <c r="W117" i="12"/>
  <c r="W118" i="12"/>
  <c r="W50" i="12"/>
  <c r="W159" i="12"/>
  <c r="W92" i="12"/>
  <c r="N96" i="12"/>
  <c r="N44" i="12"/>
  <c r="N148" i="12"/>
  <c r="W96" i="12"/>
  <c r="L154" i="12"/>
  <c r="L50" i="12"/>
  <c r="L102" i="12"/>
  <c r="K154" i="12"/>
  <c r="K50" i="12"/>
  <c r="K102" i="12"/>
  <c r="N55" i="12"/>
  <c r="N159" i="12"/>
  <c r="N107" i="12"/>
  <c r="W107" i="12"/>
  <c r="L55" i="12"/>
  <c r="L159" i="12"/>
  <c r="L107" i="12"/>
  <c r="J56" i="12"/>
  <c r="J160" i="12"/>
  <c r="J108" i="12"/>
  <c r="O56" i="12"/>
  <c r="O160" i="12"/>
  <c r="O108" i="12"/>
  <c r="P116" i="12"/>
  <c r="P64" i="12"/>
  <c r="O64" i="12"/>
  <c r="O116" i="12"/>
  <c r="O144" i="12"/>
  <c r="O40" i="12"/>
  <c r="O92" i="12"/>
  <c r="W40" i="12"/>
  <c r="L166" i="12"/>
  <c r="L62" i="12"/>
  <c r="L114" i="12"/>
  <c r="P114" i="12"/>
  <c r="P62" i="12"/>
  <c r="P166" i="12"/>
  <c r="W106" i="12"/>
  <c r="N54" i="12"/>
  <c r="N158" i="12"/>
  <c r="N106" i="12"/>
  <c r="K54" i="12"/>
  <c r="K106" i="12"/>
  <c r="K158" i="12"/>
  <c r="P150" i="12"/>
  <c r="P98" i="12"/>
  <c r="P46" i="12"/>
  <c r="K46" i="12"/>
  <c r="K98" i="12"/>
  <c r="K150" i="12"/>
  <c r="W97" i="12"/>
  <c r="J45" i="12"/>
  <c r="J97" i="12"/>
  <c r="J149" i="12"/>
  <c r="L91" i="12"/>
  <c r="L143" i="12"/>
  <c r="L39" i="12"/>
  <c r="P91" i="12"/>
  <c r="P39" i="12"/>
  <c r="P143" i="12"/>
  <c r="O113" i="12"/>
  <c r="O165" i="12"/>
  <c r="O61" i="12"/>
  <c r="W113" i="12"/>
  <c r="W61" i="12"/>
  <c r="K43" i="12"/>
  <c r="K147" i="12"/>
  <c r="K95" i="12"/>
  <c r="W95" i="12"/>
  <c r="N112" i="12"/>
  <c r="N164" i="12"/>
  <c r="N60" i="12"/>
  <c r="W164" i="12"/>
  <c r="J59" i="12"/>
  <c r="J111" i="12"/>
  <c r="J163" i="12"/>
  <c r="N59" i="12"/>
  <c r="N111" i="12"/>
  <c r="N163" i="12"/>
  <c r="O52" i="12"/>
  <c r="O104" i="12"/>
  <c r="O156" i="12"/>
  <c r="P104" i="12"/>
  <c r="P52" i="12"/>
  <c r="P156" i="12"/>
  <c r="K104" i="12"/>
  <c r="K52" i="12"/>
  <c r="K156" i="12"/>
  <c r="W151" i="12"/>
  <c r="L99" i="12"/>
  <c r="L151" i="12"/>
  <c r="L47" i="12"/>
  <c r="K99" i="12"/>
  <c r="K151" i="12"/>
  <c r="K47" i="12"/>
  <c r="L49" i="12"/>
  <c r="L101" i="12"/>
  <c r="L153" i="12"/>
  <c r="W49" i="12"/>
  <c r="O48" i="12"/>
  <c r="O152" i="12"/>
  <c r="O100" i="12"/>
  <c r="W152" i="12"/>
  <c r="J152" i="12"/>
  <c r="J100" i="12"/>
  <c r="J48" i="12"/>
  <c r="W115" i="12"/>
  <c r="K63" i="12"/>
  <c r="K115" i="12"/>
  <c r="N110" i="12"/>
  <c r="N58" i="12"/>
  <c r="N162" i="12"/>
  <c r="P110" i="12"/>
  <c r="P58" i="12"/>
  <c r="P162" i="12"/>
  <c r="O109" i="12"/>
  <c r="O161" i="12"/>
  <c r="O57" i="12"/>
  <c r="K161" i="12"/>
  <c r="K109" i="12"/>
  <c r="K57" i="12"/>
  <c r="O117" i="12"/>
  <c r="O65" i="12"/>
  <c r="P42" i="12"/>
  <c r="P146" i="12"/>
  <c r="P94" i="12"/>
  <c r="J94" i="12"/>
  <c r="J146" i="12"/>
  <c r="J42" i="12"/>
  <c r="K146" i="12"/>
  <c r="K42" i="12"/>
  <c r="K94" i="12"/>
  <c r="L105" i="12"/>
  <c r="L157" i="12"/>
  <c r="L53" i="12"/>
  <c r="W53" i="12"/>
  <c r="O66" i="12"/>
  <c r="O118" i="12"/>
  <c r="O67" i="12"/>
  <c r="O119" i="12"/>
  <c r="P119" i="12"/>
  <c r="P67" i="12"/>
  <c r="N93" i="12"/>
  <c r="N41" i="12"/>
  <c r="N145" i="12"/>
  <c r="W41" i="12"/>
  <c r="W155" i="12"/>
  <c r="O103" i="12"/>
  <c r="O51" i="12"/>
  <c r="O155" i="12"/>
  <c r="P96" i="12"/>
  <c r="P44" i="12"/>
  <c r="P148" i="12"/>
  <c r="W154" i="12"/>
  <c r="N154" i="12"/>
  <c r="N50" i="12"/>
  <c r="N102" i="12"/>
  <c r="K55" i="12"/>
  <c r="K159" i="12"/>
  <c r="K107" i="12"/>
  <c r="W160" i="12"/>
  <c r="N56" i="12"/>
  <c r="N160" i="12"/>
  <c r="N108" i="12"/>
  <c r="W56" i="12"/>
  <c r="J64" i="12"/>
  <c r="J116" i="12"/>
  <c r="N64" i="12"/>
  <c r="N116" i="12"/>
  <c r="N92" i="12"/>
  <c r="N40" i="12"/>
  <c r="N144" i="12"/>
  <c r="W144" i="12"/>
  <c r="W62" i="12"/>
  <c r="K166" i="12"/>
  <c r="K62" i="12"/>
  <c r="K114" i="12"/>
  <c r="W54" i="12"/>
  <c r="L106" i="12"/>
  <c r="L54" i="12"/>
  <c r="L158" i="12"/>
  <c r="N150" i="12"/>
  <c r="N98" i="12"/>
  <c r="N46" i="12"/>
  <c r="L98" i="12"/>
  <c r="L150" i="12"/>
  <c r="L46" i="12"/>
  <c r="W150" i="12"/>
  <c r="K97" i="12"/>
  <c r="K149" i="12"/>
  <c r="K45" i="12"/>
  <c r="O149" i="12"/>
  <c r="O97" i="12"/>
  <c r="R97" i="12" s="1"/>
  <c r="O45" i="12"/>
  <c r="N39" i="12"/>
  <c r="N143" i="12"/>
  <c r="T143" i="12" s="1"/>
  <c r="N91" i="12"/>
  <c r="W37" i="12"/>
  <c r="W32" i="12"/>
  <c r="W36" i="12"/>
  <c r="W31" i="12"/>
  <c r="W38" i="12"/>
  <c r="W35" i="12"/>
  <c r="W34" i="12"/>
  <c r="W33" i="12"/>
  <c r="W39" i="12"/>
  <c r="K165" i="12"/>
  <c r="K113" i="12"/>
  <c r="K61" i="12"/>
  <c r="P113" i="12"/>
  <c r="P61" i="12"/>
  <c r="P165" i="12"/>
  <c r="N95" i="12"/>
  <c r="N147" i="12"/>
  <c r="N43" i="12"/>
  <c r="W147" i="12"/>
  <c r="L95" i="12"/>
  <c r="L43" i="12"/>
  <c r="L147" i="12"/>
  <c r="J164" i="12"/>
  <c r="J112" i="12"/>
  <c r="J60" i="12"/>
  <c r="P60" i="12"/>
  <c r="P164" i="12"/>
  <c r="P112" i="12"/>
  <c r="O163" i="12"/>
  <c r="O111" i="12"/>
  <c r="O59" i="12"/>
  <c r="W111" i="12"/>
  <c r="W52" i="12"/>
  <c r="W104" i="12"/>
  <c r="J99" i="12"/>
  <c r="J47" i="12"/>
  <c r="J151" i="12"/>
  <c r="O47" i="12"/>
  <c r="O99" i="12"/>
  <c r="O151" i="12"/>
  <c r="N153" i="12"/>
  <c r="T153" i="12" s="1"/>
  <c r="N101" i="12"/>
  <c r="N49" i="12"/>
  <c r="T49" i="12" s="1"/>
  <c r="K101" i="12"/>
  <c r="K153" i="12"/>
  <c r="K49" i="12"/>
  <c r="W100" i="12"/>
  <c r="K100" i="12"/>
  <c r="K48" i="12"/>
  <c r="K152" i="12"/>
  <c r="N115" i="12"/>
  <c r="N63" i="12"/>
  <c r="O115" i="12"/>
  <c r="O63" i="12"/>
  <c r="O110" i="12"/>
  <c r="O162" i="12"/>
  <c r="O58" i="12"/>
  <c r="W162" i="12"/>
  <c r="L58" i="12"/>
  <c r="L162" i="12"/>
  <c r="L110" i="12"/>
  <c r="W57" i="12"/>
  <c r="W161" i="12"/>
  <c r="J117" i="12"/>
  <c r="J65" i="12"/>
  <c r="P65" i="12"/>
  <c r="P117" i="12"/>
  <c r="L42" i="12"/>
  <c r="L146" i="12"/>
  <c r="L94" i="12"/>
  <c r="O42" i="12"/>
  <c r="O94" i="12"/>
  <c r="O146" i="12"/>
  <c r="R146" i="12" s="1"/>
  <c r="W157" i="12"/>
  <c r="P157" i="12"/>
  <c r="P105" i="12"/>
  <c r="P53" i="12"/>
  <c r="K157" i="12"/>
  <c r="K53" i="12"/>
  <c r="K105" i="12"/>
  <c r="L66" i="12"/>
  <c r="L118" i="12"/>
  <c r="P118" i="12"/>
  <c r="P66" i="12"/>
  <c r="K67" i="12"/>
  <c r="K119" i="12"/>
  <c r="J119" i="12"/>
  <c r="J67" i="12"/>
  <c r="P93" i="12"/>
  <c r="P145" i="12"/>
  <c r="P41" i="12"/>
  <c r="O145" i="12"/>
  <c r="O41" i="12"/>
  <c r="O93" i="12"/>
  <c r="W51" i="12"/>
  <c r="J103" i="12"/>
  <c r="J155" i="12"/>
  <c r="J51" i="12"/>
  <c r="J96" i="12"/>
  <c r="J44" i="12"/>
  <c r="J148" i="12"/>
  <c r="K96" i="12"/>
  <c r="K148" i="12"/>
  <c r="K44" i="12"/>
  <c r="J50" i="12"/>
  <c r="J154" i="12"/>
  <c r="J102" i="12"/>
  <c r="O55" i="12"/>
  <c r="O107" i="12"/>
  <c r="O159" i="12"/>
  <c r="P107" i="12"/>
  <c r="P159" i="12"/>
  <c r="P55" i="12"/>
  <c r="K56" i="12"/>
  <c r="K108" i="12"/>
  <c r="K160" i="12"/>
  <c r="P144" i="12"/>
  <c r="P40" i="12"/>
  <c r="P92" i="12"/>
  <c r="J92" i="12"/>
  <c r="J144" i="12"/>
  <c r="J40" i="12"/>
  <c r="L144" i="12"/>
  <c r="L40" i="12"/>
  <c r="L92" i="12"/>
  <c r="J166" i="12"/>
  <c r="J62" i="12"/>
  <c r="J114" i="12"/>
  <c r="O114" i="12"/>
  <c r="O62" i="12"/>
  <c r="O166" i="12"/>
  <c r="O54" i="12"/>
  <c r="O158" i="12"/>
  <c r="O106" i="12"/>
  <c r="R106" i="12" s="1"/>
  <c r="P54" i="12"/>
  <c r="P106" i="12"/>
  <c r="P158" i="12"/>
  <c r="W98" i="12"/>
  <c r="O98" i="12"/>
  <c r="O150" i="12"/>
  <c r="O46" i="12"/>
  <c r="N45" i="12"/>
  <c r="N97" i="12"/>
  <c r="N149" i="12"/>
  <c r="W149" i="12"/>
  <c r="P149" i="12"/>
  <c r="P45" i="12"/>
  <c r="P97" i="12"/>
  <c r="W142" i="12"/>
  <c r="W139" i="12"/>
  <c r="W143" i="12"/>
  <c r="W136" i="12"/>
  <c r="W141" i="12"/>
  <c r="W135" i="12"/>
  <c r="W138" i="12"/>
  <c r="W140" i="12"/>
  <c r="W137" i="12"/>
  <c r="O39" i="12"/>
  <c r="O91" i="12"/>
  <c r="O143" i="12"/>
  <c r="W165" i="12"/>
  <c r="J113" i="12"/>
  <c r="J61" i="12"/>
  <c r="J165" i="12"/>
  <c r="P147" i="12"/>
  <c r="P95" i="12"/>
  <c r="P43" i="12"/>
  <c r="J95" i="12"/>
  <c r="J43" i="12"/>
  <c r="J147" i="12"/>
  <c r="O112" i="12"/>
  <c r="O164" i="12"/>
  <c r="O60" i="12"/>
  <c r="W112" i="12"/>
  <c r="L60" i="12"/>
  <c r="L164" i="12"/>
  <c r="L112" i="12"/>
  <c r="P111" i="12"/>
  <c r="P163" i="12"/>
  <c r="P59" i="12"/>
  <c r="W163" i="12"/>
  <c r="J156" i="12"/>
  <c r="J52" i="12"/>
  <c r="J104" i="12"/>
  <c r="L104" i="12"/>
  <c r="L52" i="12"/>
  <c r="L156" i="12"/>
  <c r="W47" i="12"/>
  <c r="W99" i="12"/>
  <c r="J49" i="12"/>
  <c r="J101" i="12"/>
  <c r="J153" i="12"/>
  <c r="W153" i="12"/>
  <c r="W48" i="12"/>
  <c r="N48" i="12"/>
  <c r="N152" i="12"/>
  <c r="N100" i="12"/>
  <c r="J115" i="12"/>
  <c r="J63" i="12"/>
  <c r="L63" i="12"/>
  <c r="L115" i="12"/>
  <c r="W58" i="12"/>
  <c r="W110" i="12"/>
  <c r="P109" i="12"/>
  <c r="P57" i="12"/>
  <c r="P161" i="12"/>
  <c r="W109" i="12"/>
  <c r="J161" i="12"/>
  <c r="J57" i="12"/>
  <c r="J109" i="12"/>
  <c r="N65" i="12"/>
  <c r="N117" i="12"/>
  <c r="N94" i="12"/>
  <c r="N146" i="12"/>
  <c r="N42" i="12"/>
  <c r="W146" i="12"/>
  <c r="W105" i="12"/>
  <c r="J53" i="12"/>
  <c r="J157" i="12"/>
  <c r="J105" i="12"/>
  <c r="N118" i="12"/>
  <c r="N66" i="12"/>
  <c r="N67" i="12"/>
  <c r="N119" i="12"/>
  <c r="W93" i="12"/>
  <c r="J93" i="12"/>
  <c r="J41" i="12"/>
  <c r="J145" i="12"/>
  <c r="L93" i="12"/>
  <c r="L41" i="12"/>
  <c r="L145" i="12"/>
  <c r="K51" i="12"/>
  <c r="K155" i="12"/>
  <c r="K103" i="12"/>
  <c r="P155" i="12"/>
  <c r="P51" i="12"/>
  <c r="P103" i="12"/>
  <c r="L44" i="12"/>
  <c r="L96" i="12"/>
  <c r="L148" i="12"/>
  <c r="O96" i="12"/>
  <c r="O148" i="12"/>
  <c r="O44" i="12"/>
  <c r="P102" i="12"/>
  <c r="P50" i="12"/>
  <c r="P154" i="12"/>
  <c r="O50" i="12"/>
  <c r="O102" i="12"/>
  <c r="O154" i="12"/>
  <c r="J159" i="12"/>
  <c r="J55" i="12"/>
  <c r="J107" i="12"/>
  <c r="P108" i="12"/>
  <c r="P160" i="12"/>
  <c r="P56" i="12"/>
  <c r="L108" i="12"/>
  <c r="L160" i="12"/>
  <c r="L56" i="12"/>
  <c r="L64" i="12"/>
  <c r="L116" i="12"/>
  <c r="K116" i="12"/>
  <c r="K64" i="12"/>
  <c r="K92" i="12"/>
  <c r="K144" i="12"/>
  <c r="K40" i="12"/>
  <c r="N62" i="12"/>
  <c r="N114" i="12"/>
  <c r="N166" i="12"/>
  <c r="W114" i="12"/>
  <c r="J54" i="12"/>
  <c r="J158" i="12"/>
  <c r="J106" i="12"/>
  <c r="W158" i="12"/>
  <c r="J98" i="12"/>
  <c r="J150" i="12"/>
  <c r="J46" i="12"/>
  <c r="W46" i="12"/>
  <c r="L45" i="12"/>
  <c r="L149" i="12"/>
  <c r="L97" i="12"/>
  <c r="W45" i="12"/>
  <c r="W87" i="12"/>
  <c r="W90" i="12"/>
  <c r="W86" i="12"/>
  <c r="W84" i="12"/>
  <c r="W88" i="12"/>
  <c r="W89" i="12"/>
  <c r="W85" i="12"/>
  <c r="W83" i="12"/>
  <c r="W91" i="12"/>
  <c r="K91" i="12"/>
  <c r="K39" i="12"/>
  <c r="K143" i="12"/>
  <c r="J143" i="12"/>
  <c r="J91" i="12"/>
  <c r="J39" i="12"/>
  <c r="L165" i="12"/>
  <c r="L113" i="12"/>
  <c r="L61" i="12"/>
  <c r="N113" i="12"/>
  <c r="N165" i="12"/>
  <c r="N61" i="12"/>
  <c r="O43" i="12"/>
  <c r="O95" i="12"/>
  <c r="O147" i="12"/>
  <c r="W43" i="12"/>
  <c r="W60" i="12"/>
  <c r="K164" i="12"/>
  <c r="K60" i="12"/>
  <c r="K112" i="12"/>
  <c r="W59" i="12"/>
  <c r="L59" i="12"/>
  <c r="L111" i="12"/>
  <c r="L163" i="12"/>
  <c r="K111" i="12"/>
  <c r="K163" i="12"/>
  <c r="K59" i="12"/>
  <c r="N52" i="12"/>
  <c r="N104" i="12"/>
  <c r="N156" i="12"/>
  <c r="W156" i="12"/>
  <c r="P151" i="12"/>
  <c r="P47" i="12"/>
  <c r="P99" i="12"/>
  <c r="N47" i="12"/>
  <c r="N99" i="12"/>
  <c r="N151" i="12"/>
  <c r="W101" i="12"/>
  <c r="O153" i="12"/>
  <c r="O49" i="12"/>
  <c r="O101" i="12"/>
  <c r="P49" i="12"/>
  <c r="P101" i="12"/>
  <c r="P153" i="12"/>
  <c r="L152" i="12"/>
  <c r="L100" i="12"/>
  <c r="L48" i="12"/>
  <c r="P152" i="12"/>
  <c r="P100" i="12"/>
  <c r="P48" i="12"/>
  <c r="W63" i="12"/>
  <c r="P115" i="12"/>
  <c r="Q115" i="12" s="1"/>
  <c r="P63" i="12"/>
  <c r="Q63" i="12" s="1"/>
  <c r="K58" i="12"/>
  <c r="K162" i="12"/>
  <c r="K110" i="12"/>
  <c r="J110" i="12"/>
  <c r="J58" i="12"/>
  <c r="J162" i="12"/>
  <c r="L109" i="12"/>
  <c r="L161" i="12"/>
  <c r="L57" i="12"/>
  <c r="N161" i="12"/>
  <c r="N109" i="12"/>
  <c r="N57" i="12"/>
  <c r="K117" i="12"/>
  <c r="K65" i="12"/>
  <c r="L117" i="12"/>
  <c r="L65" i="12"/>
  <c r="W42" i="12"/>
  <c r="W94" i="12"/>
  <c r="O53" i="12"/>
  <c r="O105" i="12"/>
  <c r="O157" i="12"/>
  <c r="N157" i="12"/>
  <c r="N53" i="12"/>
  <c r="N105" i="12"/>
  <c r="K66" i="12"/>
  <c r="K118" i="12"/>
  <c r="J66" i="12"/>
  <c r="J118" i="12"/>
  <c r="L67" i="12"/>
  <c r="L119" i="12"/>
  <c r="K41" i="12"/>
  <c r="K93" i="12"/>
  <c r="K145" i="12"/>
  <c r="W145" i="12"/>
  <c r="W103" i="12"/>
  <c r="N51" i="12"/>
  <c r="N155" i="12"/>
  <c r="N103" i="12"/>
  <c r="L155" i="12"/>
  <c r="L103" i="12"/>
  <c r="L51" i="12"/>
  <c r="B21" i="25"/>
  <c r="B9" i="11"/>
  <c r="C21" i="25"/>
  <c r="Q17" i="14"/>
  <c r="AS55" i="15"/>
  <c r="T52" i="12" l="1"/>
  <c r="R159" i="12"/>
  <c r="R47" i="12"/>
  <c r="R142" i="12"/>
  <c r="T20" i="12"/>
  <c r="T29" i="12"/>
  <c r="T89" i="12"/>
  <c r="T141" i="12"/>
  <c r="AW43" i="15"/>
  <c r="AW51" i="15"/>
  <c r="Q28" i="12"/>
  <c r="Q36" i="12"/>
  <c r="Q24" i="12"/>
  <c r="Q164" i="12"/>
  <c r="Q142" i="12"/>
  <c r="AW27" i="15"/>
  <c r="Q140" i="12"/>
  <c r="Q112" i="12"/>
  <c r="T254" i="12"/>
  <c r="Z254" i="12" s="1"/>
  <c r="T186" i="12"/>
  <c r="U186" i="12" s="1"/>
  <c r="T178" i="12"/>
  <c r="U178" i="12" s="1"/>
  <c r="T265" i="12"/>
  <c r="U265" i="12" s="1"/>
  <c r="T253" i="12"/>
  <c r="U253" i="12" s="1"/>
  <c r="T244" i="12"/>
  <c r="Z244" i="12" s="1"/>
  <c r="T222" i="12"/>
  <c r="Z222" i="12" s="1"/>
  <c r="T184" i="12"/>
  <c r="Z182" i="12" s="1"/>
  <c r="T239" i="12"/>
  <c r="U239" i="12" s="1"/>
  <c r="T177" i="12"/>
  <c r="U177" i="12" s="1"/>
  <c r="T196" i="12"/>
  <c r="T269" i="12"/>
  <c r="U267" i="12" s="1"/>
  <c r="T268" i="12"/>
  <c r="T203" i="12"/>
  <c r="Z203" i="12" s="1"/>
  <c r="T215" i="12"/>
  <c r="U215" i="12" s="1"/>
  <c r="T199" i="12"/>
  <c r="T255" i="12"/>
  <c r="U255" i="12" s="1"/>
  <c r="T263" i="12"/>
  <c r="Z257" i="12" s="1"/>
  <c r="T242" i="12"/>
  <c r="Z242" i="12" s="1"/>
  <c r="T233" i="12"/>
  <c r="Z227" i="12" s="1"/>
  <c r="T179" i="12"/>
  <c r="U179" i="12" s="1"/>
  <c r="T270" i="12"/>
  <c r="Z270" i="12" s="1"/>
  <c r="T205" i="12"/>
  <c r="U205" i="12" s="1"/>
  <c r="T200" i="12"/>
  <c r="U200" i="12" s="1"/>
  <c r="U257" i="12"/>
  <c r="Z275" i="12"/>
  <c r="U275" i="12"/>
  <c r="Z249" i="12"/>
  <c r="U249" i="12"/>
  <c r="Z174" i="12"/>
  <c r="U174" i="12"/>
  <c r="U223" i="12"/>
  <c r="Z223" i="12"/>
  <c r="Z225" i="12"/>
  <c r="U225" i="12"/>
  <c r="U226" i="12"/>
  <c r="U216" i="12"/>
  <c r="Z216" i="12"/>
  <c r="Z168" i="12"/>
  <c r="U168" i="12"/>
  <c r="Z213" i="12"/>
  <c r="U213" i="12"/>
  <c r="Q254" i="12"/>
  <c r="Q182" i="12"/>
  <c r="Q250" i="12"/>
  <c r="Q228" i="12"/>
  <c r="Q273" i="12"/>
  <c r="Q240" i="12"/>
  <c r="Q242" i="12"/>
  <c r="Q260" i="12"/>
  <c r="Q184" i="12"/>
  <c r="Q239" i="12"/>
  <c r="Q175" i="12"/>
  <c r="Q234" i="12"/>
  <c r="Q230" i="12"/>
  <c r="Q170" i="12"/>
  <c r="Q180" i="12"/>
  <c r="Q172" i="12"/>
  <c r="Q195" i="12"/>
  <c r="Q272" i="12"/>
  <c r="Q209" i="12"/>
  <c r="Q194" i="12"/>
  <c r="Q262" i="12"/>
  <c r="Q205" i="12"/>
  <c r="Q270" i="12"/>
  <c r="Q202" i="12"/>
  <c r="Q269" i="12"/>
  <c r="Q219" i="12"/>
  <c r="Q193" i="12"/>
  <c r="R247" i="12"/>
  <c r="R267" i="12"/>
  <c r="R256" i="12"/>
  <c r="R237" i="12"/>
  <c r="R260" i="12"/>
  <c r="R253" i="12"/>
  <c r="R230" i="12"/>
  <c r="R190" i="12"/>
  <c r="R265" i="12"/>
  <c r="R273" i="12"/>
  <c r="R243" i="12"/>
  <c r="R240" i="12"/>
  <c r="R183" i="12"/>
  <c r="R173" i="12"/>
  <c r="R206" i="12"/>
  <c r="R175" i="12"/>
  <c r="R220" i="12"/>
  <c r="R226" i="12"/>
  <c r="R189" i="12"/>
  <c r="R203" i="12"/>
  <c r="R213" i="12"/>
  <c r="R205" i="12"/>
  <c r="R262" i="12"/>
  <c r="R200" i="12"/>
  <c r="R218" i="12"/>
  <c r="R192" i="12"/>
  <c r="R209" i="12"/>
  <c r="R191" i="12"/>
  <c r="U259" i="12"/>
  <c r="U252" i="12"/>
  <c r="Z252" i="12"/>
  <c r="U271" i="12"/>
  <c r="Z271" i="12"/>
  <c r="Z245" i="12"/>
  <c r="U245" i="12"/>
  <c r="Z170" i="12"/>
  <c r="U170" i="12"/>
  <c r="Z234" i="12"/>
  <c r="U234" i="12"/>
  <c r="Z237" i="12"/>
  <c r="U237" i="12"/>
  <c r="U188" i="12"/>
  <c r="Z188" i="12"/>
  <c r="U192" i="12"/>
  <c r="Z212" i="12"/>
  <c r="U212" i="12"/>
  <c r="U201" i="12"/>
  <c r="Z201" i="12"/>
  <c r="Z206" i="12"/>
  <c r="U206" i="12"/>
  <c r="Z167" i="12"/>
  <c r="U167" i="12"/>
  <c r="Q246" i="12"/>
  <c r="Q252" i="12"/>
  <c r="Q261" i="12"/>
  <c r="Q249" i="12"/>
  <c r="Q244" i="12"/>
  <c r="Q257" i="12"/>
  <c r="Q237" i="12"/>
  <c r="Q267" i="12"/>
  <c r="Q258" i="12"/>
  <c r="Q179" i="12"/>
  <c r="Q236" i="12"/>
  <c r="Q226" i="12"/>
  <c r="Q232" i="12"/>
  <c r="Q227" i="12"/>
  <c r="Q238" i="12"/>
  <c r="Q177" i="12"/>
  <c r="Q171" i="12"/>
  <c r="Q198" i="12"/>
  <c r="Q199" i="12"/>
  <c r="Q211" i="12"/>
  <c r="Q201" i="12"/>
  <c r="Q207" i="12"/>
  <c r="Q204" i="12"/>
  <c r="Q216" i="12"/>
  <c r="Q274" i="12"/>
  <c r="Q268" i="12"/>
  <c r="Q218" i="12"/>
  <c r="Q196" i="12"/>
  <c r="R250" i="12"/>
  <c r="R248" i="12"/>
  <c r="R244" i="12"/>
  <c r="R180" i="12"/>
  <c r="R258" i="12"/>
  <c r="R251" i="12"/>
  <c r="R229" i="12"/>
  <c r="R184" i="12"/>
  <c r="R263" i="12"/>
  <c r="R259" i="12"/>
  <c r="R242" i="12"/>
  <c r="S242" i="12" s="1"/>
  <c r="R186" i="12"/>
  <c r="R233" i="12"/>
  <c r="R225" i="12"/>
  <c r="R182" i="12"/>
  <c r="R224" i="12"/>
  <c r="R235" i="12"/>
  <c r="R172" i="12"/>
  <c r="R167" i="12"/>
  <c r="R199" i="12"/>
  <c r="R169" i="12"/>
  <c r="R270" i="12"/>
  <c r="R197" i="12"/>
  <c r="R196" i="12"/>
  <c r="R210" i="12"/>
  <c r="R202" i="12"/>
  <c r="R187" i="12"/>
  <c r="Z256" i="12"/>
  <c r="U256" i="12"/>
  <c r="U258" i="12"/>
  <c r="Z248" i="12"/>
  <c r="U248" i="12"/>
  <c r="Z240" i="12"/>
  <c r="U240" i="12"/>
  <c r="U251" i="12"/>
  <c r="Z251" i="12"/>
  <c r="Z243" i="12"/>
  <c r="U243" i="12"/>
  <c r="U171" i="12"/>
  <c r="Z171" i="12"/>
  <c r="U185" i="12"/>
  <c r="Z185" i="12"/>
  <c r="U227" i="12"/>
  <c r="U202" i="12"/>
  <c r="Z202" i="12"/>
  <c r="Z175" i="12"/>
  <c r="U175" i="12"/>
  <c r="Z169" i="12"/>
  <c r="U169" i="12"/>
  <c r="U238" i="12"/>
  <c r="Z238" i="12"/>
  <c r="U229" i="12"/>
  <c r="Z229" i="12"/>
  <c r="U210" i="12"/>
  <c r="Z210" i="12"/>
  <c r="U220" i="12"/>
  <c r="Z220" i="12"/>
  <c r="U274" i="12"/>
  <c r="Z274" i="12"/>
  <c r="Z218" i="12"/>
  <c r="U218" i="12"/>
  <c r="U193" i="12"/>
  <c r="Z191" i="12"/>
  <c r="U191" i="12"/>
  <c r="U194" i="12"/>
  <c r="U217" i="12"/>
  <c r="Z217" i="12"/>
  <c r="Z209" i="12"/>
  <c r="U209" i="12"/>
  <c r="Q253" i="12"/>
  <c r="Q245" i="12"/>
  <c r="Q255" i="12"/>
  <c r="Q185" i="12"/>
  <c r="Q275" i="12"/>
  <c r="Q248" i="12"/>
  <c r="Q186" i="12"/>
  <c r="Q264" i="12"/>
  <c r="Q256" i="12"/>
  <c r="Q224" i="12"/>
  <c r="Q178" i="12"/>
  <c r="Q208" i="12"/>
  <c r="Q181" i="12"/>
  <c r="Q176" i="12"/>
  <c r="Q183" i="12"/>
  <c r="Q173" i="12"/>
  <c r="Q222" i="12"/>
  <c r="Q169" i="12"/>
  <c r="Q217" i="12"/>
  <c r="Q197" i="12"/>
  <c r="Q187" i="12"/>
  <c r="Q188" i="12"/>
  <c r="Q203" i="12"/>
  <c r="Q215" i="12"/>
  <c r="Q189" i="12"/>
  <c r="Q214" i="12"/>
  <c r="Q191" i="12"/>
  <c r="R269" i="12"/>
  <c r="R171" i="12"/>
  <c r="R241" i="12"/>
  <c r="S241" i="12" s="1"/>
  <c r="R231" i="12"/>
  <c r="R257" i="12"/>
  <c r="R246" i="12"/>
  <c r="S246" i="12" s="1"/>
  <c r="R174" i="12"/>
  <c r="R232" i="12"/>
  <c r="R275" i="12"/>
  <c r="S275" i="12" s="1"/>
  <c r="R252" i="12"/>
  <c r="R239" i="12"/>
  <c r="R185" i="12"/>
  <c r="R177" i="12"/>
  <c r="R222" i="12"/>
  <c r="R181" i="12"/>
  <c r="S181" i="12" s="1"/>
  <c r="R170" i="12"/>
  <c r="R179" i="12"/>
  <c r="R223" i="12"/>
  <c r="S223" i="12" s="1"/>
  <c r="R208" i="12"/>
  <c r="R188" i="12"/>
  <c r="R268" i="12"/>
  <c r="R198" i="12"/>
  <c r="R212" i="12"/>
  <c r="R216" i="12"/>
  <c r="R264" i="12"/>
  <c r="R274" i="12"/>
  <c r="R194" i="12"/>
  <c r="Z260" i="12"/>
  <c r="U260" i="12"/>
  <c r="U247" i="12"/>
  <c r="Z247" i="12"/>
  <c r="U273" i="12"/>
  <c r="Z273" i="12"/>
  <c r="Z246" i="12"/>
  <c r="U246" i="12"/>
  <c r="Z172" i="12"/>
  <c r="U172" i="12"/>
  <c r="U250" i="12"/>
  <c r="Z250" i="12"/>
  <c r="U176" i="12"/>
  <c r="Z176" i="12"/>
  <c r="U236" i="12"/>
  <c r="Z236" i="12"/>
  <c r="Z228" i="12"/>
  <c r="U228" i="12"/>
  <c r="U235" i="12"/>
  <c r="Z235" i="12"/>
  <c r="Z224" i="12"/>
  <c r="U224" i="12"/>
  <c r="Z241" i="12"/>
  <c r="U241" i="12"/>
  <c r="U183" i="12"/>
  <c r="Z183" i="12"/>
  <c r="Z173" i="12"/>
  <c r="U173" i="12"/>
  <c r="Z272" i="12"/>
  <c r="U272" i="12"/>
  <c r="Z219" i="12"/>
  <c r="U219" i="12"/>
  <c r="Z211" i="12"/>
  <c r="U211" i="12"/>
  <c r="U189" i="12"/>
  <c r="Z189" i="12"/>
  <c r="U207" i="12"/>
  <c r="Z207" i="12"/>
  <c r="Z221" i="12"/>
  <c r="U221" i="12"/>
  <c r="U208" i="12"/>
  <c r="Z208" i="12"/>
  <c r="Z190" i="12"/>
  <c r="U190" i="12"/>
  <c r="Z187" i="12"/>
  <c r="U187" i="12"/>
  <c r="Z214" i="12"/>
  <c r="U214" i="12"/>
  <c r="U204" i="12"/>
  <c r="Z204" i="12"/>
  <c r="Q259" i="12"/>
  <c r="Q241" i="12"/>
  <c r="Q251" i="12"/>
  <c r="Q235" i="12"/>
  <c r="Q265" i="12"/>
  <c r="Q247" i="12"/>
  <c r="Q174" i="12"/>
  <c r="Q271" i="12"/>
  <c r="Q243" i="12"/>
  <c r="Q206" i="12"/>
  <c r="Q229" i="12"/>
  <c r="Q221" i="12"/>
  <c r="Q231" i="12"/>
  <c r="Q223" i="12"/>
  <c r="Q233" i="12"/>
  <c r="Q225" i="12"/>
  <c r="Q167" i="12"/>
  <c r="Q200" i="12"/>
  <c r="Q168" i="12"/>
  <c r="Q190" i="12"/>
  <c r="Q210" i="12"/>
  <c r="Q266" i="12"/>
  <c r="Q192" i="12"/>
  <c r="Q212" i="12"/>
  <c r="Q220" i="12"/>
  <c r="Q213" i="12"/>
  <c r="Q263" i="12"/>
  <c r="R261" i="12"/>
  <c r="S261" i="12" s="1"/>
  <c r="R255" i="12"/>
  <c r="R236" i="12"/>
  <c r="R228" i="12"/>
  <c r="S228" i="12" s="1"/>
  <c r="R254" i="12"/>
  <c r="R245" i="12"/>
  <c r="R219" i="12"/>
  <c r="R204" i="12"/>
  <c r="S204" i="12" s="1"/>
  <c r="R271" i="12"/>
  <c r="R249" i="12"/>
  <c r="R178" i="12"/>
  <c r="S178" i="12" s="1"/>
  <c r="R238" i="12"/>
  <c r="R176" i="12"/>
  <c r="R266" i="12"/>
  <c r="R227" i="12"/>
  <c r="R214" i="12"/>
  <c r="R234" i="12"/>
  <c r="R211" i="12"/>
  <c r="R168" i="12"/>
  <c r="R217" i="12"/>
  <c r="R272" i="12"/>
  <c r="R193" i="12"/>
  <c r="R221" i="12"/>
  <c r="R195" i="12"/>
  <c r="S195" i="12" s="1"/>
  <c r="R215" i="12"/>
  <c r="R207" i="12"/>
  <c r="R201" i="12"/>
  <c r="T155" i="12"/>
  <c r="T85" i="12"/>
  <c r="T36" i="12"/>
  <c r="T118" i="12"/>
  <c r="T35" i="12"/>
  <c r="T117" i="12"/>
  <c r="T63" i="12"/>
  <c r="T67" i="12"/>
  <c r="T163" i="12"/>
  <c r="T55" i="12"/>
  <c r="T19" i="12"/>
  <c r="Q18" i="14"/>
  <c r="G70" i="17"/>
  <c r="AW29" i="15"/>
  <c r="T140" i="12"/>
  <c r="T90" i="12"/>
  <c r="T165" i="12"/>
  <c r="AW34" i="15"/>
  <c r="AS35" i="15"/>
  <c r="AW33" i="15"/>
  <c r="AS49" i="15"/>
  <c r="Q15" i="14"/>
  <c r="AW48" i="15"/>
  <c r="AS16" i="15"/>
  <c r="AS15" i="15"/>
  <c r="R85" i="12"/>
  <c r="AS33" i="15"/>
  <c r="AW36" i="15"/>
  <c r="R29" i="12"/>
  <c r="Q25" i="12"/>
  <c r="T18" i="12"/>
  <c r="T28" i="12"/>
  <c r="R18" i="12"/>
  <c r="R23" i="12"/>
  <c r="T109" i="12"/>
  <c r="T133" i="12"/>
  <c r="Q75" i="12"/>
  <c r="T23" i="12"/>
  <c r="R141" i="12"/>
  <c r="Q26" i="12"/>
  <c r="AS13" i="15"/>
  <c r="Q74" i="12"/>
  <c r="AW42" i="15"/>
  <c r="AW20" i="15"/>
  <c r="AE4" i="15"/>
  <c r="AW5" i="15" s="1"/>
  <c r="R147" i="12"/>
  <c r="AS20" i="15"/>
  <c r="AW19" i="15"/>
  <c r="Q128" i="12"/>
  <c r="T30" i="12"/>
  <c r="R32" i="12"/>
  <c r="Q27" i="12"/>
  <c r="T70" i="12"/>
  <c r="T25" i="12"/>
  <c r="Q127" i="12"/>
  <c r="T80" i="12"/>
  <c r="R72" i="12"/>
  <c r="R75" i="12"/>
  <c r="T81" i="12"/>
  <c r="Q129" i="12"/>
  <c r="T75" i="12"/>
  <c r="R102" i="12"/>
  <c r="AW26" i="15"/>
  <c r="R90" i="12"/>
  <c r="AS18" i="15"/>
  <c r="Q59" i="12"/>
  <c r="R150" i="12"/>
  <c r="AS19" i="15"/>
  <c r="Q48" i="12"/>
  <c r="AW18" i="15"/>
  <c r="AW37" i="15"/>
  <c r="AS11" i="15"/>
  <c r="AS48" i="15"/>
  <c r="AW50" i="15"/>
  <c r="AS51" i="15"/>
  <c r="R133" i="12"/>
  <c r="Q131" i="12"/>
  <c r="AS52" i="15"/>
  <c r="Q22" i="12"/>
  <c r="AS50" i="15"/>
  <c r="AW13" i="15"/>
  <c r="AW11" i="15"/>
  <c r="T139" i="12"/>
  <c r="AS29" i="15"/>
  <c r="AW49" i="15"/>
  <c r="AW21" i="15"/>
  <c r="AS42" i="15"/>
  <c r="AW45" i="15"/>
  <c r="AW52" i="15"/>
  <c r="AE9" i="15"/>
  <c r="AW10" i="15" s="1"/>
  <c r="AW16" i="15"/>
  <c r="AS45" i="15"/>
  <c r="AS17" i="15"/>
  <c r="AS21" i="15"/>
  <c r="AW22" i="15"/>
  <c r="T38" i="12"/>
  <c r="T126" i="12"/>
  <c r="T83" i="12"/>
  <c r="T71" i="12"/>
  <c r="R19" i="12"/>
  <c r="T123" i="12"/>
  <c r="T131" i="12"/>
  <c r="T26" i="12"/>
  <c r="R82" i="12"/>
  <c r="AS23" i="15"/>
  <c r="AW54" i="15"/>
  <c r="AW39" i="15"/>
  <c r="AS25" i="15"/>
  <c r="AW23" i="15"/>
  <c r="T33" i="12"/>
  <c r="AS24" i="15"/>
  <c r="Q23" i="12"/>
  <c r="Q132" i="12"/>
  <c r="R84" i="12"/>
  <c r="R124" i="12"/>
  <c r="T129" i="12"/>
  <c r="R21" i="12"/>
  <c r="T105" i="12"/>
  <c r="R101" i="12"/>
  <c r="R50" i="12"/>
  <c r="R98" i="12"/>
  <c r="AS22" i="15"/>
  <c r="T87" i="12"/>
  <c r="R89" i="12"/>
  <c r="Q126" i="12"/>
  <c r="T72" i="12"/>
  <c r="Q70" i="12"/>
  <c r="AS26" i="15"/>
  <c r="R105" i="12"/>
  <c r="Q100" i="12"/>
  <c r="Q47" i="12"/>
  <c r="R44" i="12"/>
  <c r="T42" i="12"/>
  <c r="Q90" i="12"/>
  <c r="R120" i="12"/>
  <c r="Q130" i="12"/>
  <c r="Q16" i="12"/>
  <c r="Q152" i="12"/>
  <c r="R148" i="12"/>
  <c r="Q77" i="12"/>
  <c r="T127" i="12"/>
  <c r="R68" i="12"/>
  <c r="Q79" i="12"/>
  <c r="R70" i="12"/>
  <c r="AW32" i="15"/>
  <c r="AW24" i="15"/>
  <c r="AW53" i="15"/>
  <c r="R96" i="12"/>
  <c r="T94" i="12"/>
  <c r="R81" i="12"/>
  <c r="Q76" i="12"/>
  <c r="R129" i="12"/>
  <c r="Q80" i="12"/>
  <c r="T122" i="12"/>
  <c r="T132" i="12"/>
  <c r="R20" i="12"/>
  <c r="AW17" i="15"/>
  <c r="AW25" i="15"/>
  <c r="AS53" i="15"/>
  <c r="R53" i="12"/>
  <c r="Q38" i="12"/>
  <c r="R136" i="12"/>
  <c r="T124" i="12"/>
  <c r="Q78" i="12"/>
  <c r="R38" i="12"/>
  <c r="T37" i="12"/>
  <c r="Q88" i="12"/>
  <c r="R28" i="12"/>
  <c r="T74" i="12"/>
  <c r="T27" i="12"/>
  <c r="Q33" i="12"/>
  <c r="R140" i="12"/>
  <c r="R35" i="12"/>
  <c r="T32" i="12"/>
  <c r="T135" i="12"/>
  <c r="Q122" i="12"/>
  <c r="T34" i="12"/>
  <c r="T79" i="12"/>
  <c r="R80" i="12"/>
  <c r="T24" i="12"/>
  <c r="R71" i="12"/>
  <c r="R130" i="12"/>
  <c r="T78" i="12"/>
  <c r="R69" i="12"/>
  <c r="Q29" i="12"/>
  <c r="R86" i="12"/>
  <c r="Q139" i="12"/>
  <c r="Q71" i="12"/>
  <c r="T21" i="12"/>
  <c r="R22" i="12"/>
  <c r="Q82" i="12"/>
  <c r="Q120" i="12"/>
  <c r="Q135" i="12"/>
  <c r="R27" i="12"/>
  <c r="T17" i="12"/>
  <c r="R33" i="12"/>
  <c r="Q138" i="12"/>
  <c r="R128" i="12"/>
  <c r="R87" i="12"/>
  <c r="Q89" i="12"/>
  <c r="T120" i="12"/>
  <c r="T84" i="12"/>
  <c r="Q137" i="12"/>
  <c r="T128" i="12"/>
  <c r="T142" i="12"/>
  <c r="Q32" i="12"/>
  <c r="R26" i="12"/>
  <c r="Q69" i="12"/>
  <c r="Q133" i="12"/>
  <c r="R138" i="12"/>
  <c r="Q87" i="12"/>
  <c r="Q19" i="12"/>
  <c r="Q125" i="12"/>
  <c r="T125" i="12"/>
  <c r="R74" i="12"/>
  <c r="R134" i="12"/>
  <c r="R31" i="12"/>
  <c r="R79" i="12"/>
  <c r="R137" i="12"/>
  <c r="Q34" i="12"/>
  <c r="R24" i="12"/>
  <c r="Q37" i="12"/>
  <c r="Q20" i="12"/>
  <c r="T31" i="12"/>
  <c r="T76" i="12"/>
  <c r="Q84" i="12"/>
  <c r="T130" i="12"/>
  <c r="R17" i="12"/>
  <c r="Q121" i="12"/>
  <c r="R36" i="12"/>
  <c r="Q73" i="12"/>
  <c r="T73" i="12"/>
  <c r="Q134" i="12"/>
  <c r="R30" i="12"/>
  <c r="Q68" i="12"/>
  <c r="Q83" i="12"/>
  <c r="R135" i="12"/>
  <c r="T121" i="12"/>
  <c r="T86" i="12"/>
  <c r="R76" i="12"/>
  <c r="R139" i="12"/>
  <c r="Q72" i="12"/>
  <c r="AS31" i="15"/>
  <c r="T137" i="12"/>
  <c r="R132" i="12"/>
  <c r="Q85" i="12"/>
  <c r="R123" i="12"/>
  <c r="Q136" i="12"/>
  <c r="R78" i="12"/>
  <c r="R121" i="12"/>
  <c r="Q17" i="12"/>
  <c r="Q81" i="12"/>
  <c r="R34" i="12"/>
  <c r="Q35" i="12"/>
  <c r="R88" i="12"/>
  <c r="Q123" i="12"/>
  <c r="Q21" i="12"/>
  <c r="R126" i="12"/>
  <c r="Q30" i="12"/>
  <c r="Q31" i="12"/>
  <c r="R83" i="12"/>
  <c r="R131" i="12"/>
  <c r="T69" i="12"/>
  <c r="Q18" i="12"/>
  <c r="Q86" i="12"/>
  <c r="T138" i="12"/>
  <c r="Q141" i="12"/>
  <c r="R125" i="12"/>
  <c r="T22" i="12"/>
  <c r="T68" i="12"/>
  <c r="T136" i="12"/>
  <c r="Q124" i="12"/>
  <c r="F70" i="17"/>
  <c r="AS38" i="15"/>
  <c r="AS37" i="15"/>
  <c r="AS43" i="15"/>
  <c r="AS44" i="15"/>
  <c r="AS12" i="15"/>
  <c r="AW35" i="15"/>
  <c r="AW38" i="15"/>
  <c r="T157" i="12"/>
  <c r="R153" i="12"/>
  <c r="Q50" i="12"/>
  <c r="AW28" i="15"/>
  <c r="AS34" i="15"/>
  <c r="AS28" i="15"/>
  <c r="AW12" i="15"/>
  <c r="AW44" i="15"/>
  <c r="R43" i="12"/>
  <c r="T114" i="12"/>
  <c r="Q56" i="12"/>
  <c r="R54" i="12"/>
  <c r="AS27" i="15"/>
  <c r="T99" i="12"/>
  <c r="Q151" i="12"/>
  <c r="Q149" i="12"/>
  <c r="T46" i="12"/>
  <c r="T50" i="12"/>
  <c r="T40" i="12"/>
  <c r="AW40" i="15"/>
  <c r="AW15" i="15"/>
  <c r="AW31" i="15"/>
  <c r="AW47" i="15"/>
  <c r="AS40" i="15"/>
  <c r="AS47" i="15"/>
  <c r="AS30" i="15"/>
  <c r="AW46" i="15"/>
  <c r="AE6" i="15"/>
  <c r="AW7" i="15" s="1"/>
  <c r="AE3" i="15"/>
  <c r="AW4" i="15" s="1"/>
  <c r="AS14" i="15"/>
  <c r="AW41" i="15"/>
  <c r="AS46" i="15"/>
  <c r="AW14" i="15"/>
  <c r="AW30" i="15"/>
  <c r="T151" i="12"/>
  <c r="Q155" i="12"/>
  <c r="R55" i="12"/>
  <c r="R151" i="12"/>
  <c r="AS41" i="15"/>
  <c r="T53" i="12"/>
  <c r="Q153" i="12"/>
  <c r="R49" i="12"/>
  <c r="Q160" i="12"/>
  <c r="T66" i="12"/>
  <c r="T146" i="12"/>
  <c r="Q111" i="12"/>
  <c r="Q154" i="12"/>
  <c r="R166" i="12"/>
  <c r="S166" i="12" s="1"/>
  <c r="R42" i="12"/>
  <c r="R157" i="12"/>
  <c r="Q51" i="12"/>
  <c r="T91" i="12"/>
  <c r="T102" i="12"/>
  <c r="Q95" i="12"/>
  <c r="T104" i="12"/>
  <c r="Q163" i="12"/>
  <c r="Q45" i="12"/>
  <c r="R149" i="12"/>
  <c r="T62" i="12"/>
  <c r="R99" i="12"/>
  <c r="T101" i="12"/>
  <c r="T39" i="12"/>
  <c r="T154" i="12"/>
  <c r="Q97" i="12"/>
  <c r="R114" i="12"/>
  <c r="R115" i="12"/>
  <c r="Q43" i="12"/>
  <c r="Q161" i="12"/>
  <c r="Q92" i="12"/>
  <c r="Q117" i="12"/>
  <c r="T108" i="12"/>
  <c r="R45" i="12"/>
  <c r="Q101" i="12"/>
  <c r="T47" i="12"/>
  <c r="Q108" i="12"/>
  <c r="R154" i="12"/>
  <c r="Q103" i="12"/>
  <c r="R46" i="12"/>
  <c r="R62" i="12"/>
  <c r="R63" i="12"/>
  <c r="T61" i="12"/>
  <c r="T156" i="12"/>
  <c r="R95" i="12"/>
  <c r="T166" i="12"/>
  <c r="Z166" i="12" s="1"/>
  <c r="R158" i="12"/>
  <c r="R107" i="12"/>
  <c r="T92" i="12"/>
  <c r="R94" i="12"/>
  <c r="Q146" i="12"/>
  <c r="R161" i="12"/>
  <c r="T147" i="12"/>
  <c r="R39" i="12"/>
  <c r="Q107" i="12"/>
  <c r="Q41" i="12"/>
  <c r="Q118" i="12"/>
  <c r="Q157" i="12"/>
  <c r="T115" i="12"/>
  <c r="R59" i="12"/>
  <c r="Q165" i="12"/>
  <c r="T158" i="12"/>
  <c r="Q54" i="12"/>
  <c r="R110" i="12"/>
  <c r="T144" i="12"/>
  <c r="T64" i="12"/>
  <c r="Q44" i="12"/>
  <c r="R103" i="12"/>
  <c r="T41" i="12"/>
  <c r="R119" i="12"/>
  <c r="Q42" i="12"/>
  <c r="R109" i="12"/>
  <c r="T162" i="12"/>
  <c r="R48" i="12"/>
  <c r="Q52" i="12"/>
  <c r="R52" i="12"/>
  <c r="T60" i="12"/>
  <c r="Q143" i="12"/>
  <c r="Q62" i="12"/>
  <c r="R144" i="12"/>
  <c r="Q116" i="12"/>
  <c r="T159" i="12"/>
  <c r="T45" i="12"/>
  <c r="T103" i="12"/>
  <c r="T161" i="12"/>
  <c r="Q57" i="12"/>
  <c r="T100" i="12"/>
  <c r="R60" i="12"/>
  <c r="Q147" i="12"/>
  <c r="Q40" i="12"/>
  <c r="R93" i="12"/>
  <c r="Q145" i="12"/>
  <c r="Q65" i="12"/>
  <c r="R111" i="12"/>
  <c r="Q60" i="12"/>
  <c r="T43" i="12"/>
  <c r="Q61" i="12"/>
  <c r="T98" i="12"/>
  <c r="T160" i="12"/>
  <c r="Q96" i="12"/>
  <c r="T93" i="12"/>
  <c r="R67" i="12"/>
  <c r="R65" i="12"/>
  <c r="Q162" i="12"/>
  <c r="T58" i="12"/>
  <c r="Q104" i="12"/>
  <c r="T164" i="12"/>
  <c r="R61" i="12"/>
  <c r="Q39" i="12"/>
  <c r="Q46" i="12"/>
  <c r="T54" i="12"/>
  <c r="Q114" i="12"/>
  <c r="R116" i="12"/>
  <c r="R108" i="12"/>
  <c r="T148" i="12"/>
  <c r="Q49" i="12"/>
  <c r="Q99" i="12"/>
  <c r="T113" i="12"/>
  <c r="Q102" i="12"/>
  <c r="T119" i="12"/>
  <c r="Q109" i="12"/>
  <c r="T152" i="12"/>
  <c r="R164" i="12"/>
  <c r="R143" i="12"/>
  <c r="T149" i="12"/>
  <c r="Q158" i="12"/>
  <c r="Q144" i="12"/>
  <c r="Q55" i="12"/>
  <c r="R41" i="12"/>
  <c r="Q93" i="12"/>
  <c r="Q53" i="12"/>
  <c r="R58" i="12"/>
  <c r="R163" i="12"/>
  <c r="Q113" i="12"/>
  <c r="T150" i="12"/>
  <c r="T56" i="12"/>
  <c r="R155" i="12"/>
  <c r="Q67" i="12"/>
  <c r="R118" i="12"/>
  <c r="Q94" i="12"/>
  <c r="R117" i="12"/>
  <c r="R57" i="12"/>
  <c r="Q58" i="12"/>
  <c r="T110" i="12"/>
  <c r="R100" i="12"/>
  <c r="R156" i="12"/>
  <c r="T111" i="12"/>
  <c r="T112" i="12"/>
  <c r="R165" i="12"/>
  <c r="Q91" i="12"/>
  <c r="Q98" i="12"/>
  <c r="R92" i="12"/>
  <c r="R64" i="12"/>
  <c r="R160" i="12"/>
  <c r="T44" i="12"/>
  <c r="T51" i="12"/>
  <c r="T57" i="12"/>
  <c r="T65" i="12"/>
  <c r="T48" i="12"/>
  <c r="R112" i="12"/>
  <c r="R91" i="12"/>
  <c r="T97" i="12"/>
  <c r="Q106" i="12"/>
  <c r="Q159" i="12"/>
  <c r="R145" i="12"/>
  <c r="Q66" i="12"/>
  <c r="Q105" i="12"/>
  <c r="R162" i="12"/>
  <c r="T95" i="12"/>
  <c r="T116" i="12"/>
  <c r="Q148" i="12"/>
  <c r="R51" i="12"/>
  <c r="T145" i="12"/>
  <c r="Q119" i="12"/>
  <c r="R66" i="12"/>
  <c r="Q110" i="12"/>
  <c r="R152" i="12"/>
  <c r="Q156" i="12"/>
  <c r="R104" i="12"/>
  <c r="T59" i="12"/>
  <c r="R113" i="12"/>
  <c r="Q150" i="12"/>
  <c r="T106" i="12"/>
  <c r="Q166" i="12"/>
  <c r="R40" i="12"/>
  <c r="Q64" i="12"/>
  <c r="R56" i="12"/>
  <c r="T107" i="12"/>
  <c r="T96" i="12"/>
  <c r="C16" i="26"/>
  <c r="G16" i="26"/>
  <c r="E16" i="26"/>
  <c r="AW8" i="15"/>
  <c r="AS8" i="15"/>
  <c r="S71" i="12" l="1"/>
  <c r="U270" i="12"/>
  <c r="Z186" i="12"/>
  <c r="Z255" i="12"/>
  <c r="U254" i="12"/>
  <c r="Z178" i="12"/>
  <c r="Z253" i="12"/>
  <c r="U203" i="12"/>
  <c r="Z215" i="12"/>
  <c r="Z205" i="12"/>
  <c r="U242" i="12"/>
  <c r="E26" i="25"/>
  <c r="C26" i="25"/>
  <c r="B26" i="25"/>
  <c r="Z239" i="12"/>
  <c r="U244" i="12"/>
  <c r="U222" i="12"/>
  <c r="S238" i="12"/>
  <c r="S171" i="12"/>
  <c r="S207" i="12"/>
  <c r="S211" i="12"/>
  <c r="S266" i="12"/>
  <c r="S255" i="12"/>
  <c r="S185" i="12"/>
  <c r="U269" i="12"/>
  <c r="U199" i="12"/>
  <c r="Z263" i="12"/>
  <c r="S208" i="12"/>
  <c r="Z226" i="12"/>
  <c r="S198" i="12"/>
  <c r="Z230" i="12"/>
  <c r="U233" i="12"/>
  <c r="S168" i="12"/>
  <c r="Z193" i="12"/>
  <c r="Z192" i="12"/>
  <c r="Z198" i="12"/>
  <c r="Z232" i="12"/>
  <c r="U182" i="12"/>
  <c r="Z269" i="12"/>
  <c r="Z199" i="12"/>
  <c r="Z265" i="12"/>
  <c r="S201" i="12"/>
  <c r="S221" i="12"/>
  <c r="S227" i="12"/>
  <c r="S268" i="12"/>
  <c r="S257" i="12"/>
  <c r="Z194" i="12"/>
  <c r="U266" i="12"/>
  <c r="Z264" i="12"/>
  <c r="U231" i="12"/>
  <c r="Z261" i="12"/>
  <c r="U198" i="12"/>
  <c r="U230" i="12"/>
  <c r="Z233" i="12"/>
  <c r="U232" i="12"/>
  <c r="U263" i="12"/>
  <c r="Z268" i="12"/>
  <c r="U196" i="12"/>
  <c r="Z184" i="12"/>
  <c r="Z181" i="12"/>
  <c r="Z180" i="12"/>
  <c r="S193" i="12"/>
  <c r="S249" i="12"/>
  <c r="S245" i="12"/>
  <c r="S188" i="12"/>
  <c r="S170" i="12"/>
  <c r="Z266" i="12"/>
  <c r="U264" i="12"/>
  <c r="Z231" i="12"/>
  <c r="Z258" i="12"/>
  <c r="U261" i="12"/>
  <c r="S224" i="12"/>
  <c r="U262" i="12"/>
  <c r="Z200" i="12"/>
  <c r="Z179" i="12"/>
  <c r="U195" i="12"/>
  <c r="Z197" i="12"/>
  <c r="Z259" i="12"/>
  <c r="U268" i="12"/>
  <c r="Z196" i="12"/>
  <c r="Z177" i="12"/>
  <c r="U184" i="12"/>
  <c r="U181" i="12"/>
  <c r="U180" i="12"/>
  <c r="S215" i="12"/>
  <c r="S272" i="12"/>
  <c r="S239" i="12"/>
  <c r="Z262" i="12"/>
  <c r="Z195" i="12"/>
  <c r="U197" i="12"/>
  <c r="Z267" i="12"/>
  <c r="S274" i="12"/>
  <c r="S234" i="12"/>
  <c r="S176" i="12"/>
  <c r="S254" i="12"/>
  <c r="S182" i="12"/>
  <c r="S217" i="12"/>
  <c r="S219" i="12"/>
  <c r="S236" i="12"/>
  <c r="S264" i="12"/>
  <c r="S179" i="12"/>
  <c r="S177" i="12"/>
  <c r="S269" i="12"/>
  <c r="S210" i="12"/>
  <c r="S169" i="12"/>
  <c r="S235" i="12"/>
  <c r="S233" i="12"/>
  <c r="S263" i="12"/>
  <c r="S258" i="12"/>
  <c r="S250" i="12"/>
  <c r="S209" i="12"/>
  <c r="S262" i="12"/>
  <c r="S189" i="12"/>
  <c r="S206" i="12"/>
  <c r="S243" i="12"/>
  <c r="S230" i="12"/>
  <c r="S256" i="12"/>
  <c r="S216" i="12"/>
  <c r="S232" i="12"/>
  <c r="S231" i="12"/>
  <c r="S196" i="12"/>
  <c r="S199" i="12"/>
  <c r="S186" i="12"/>
  <c r="S184" i="12"/>
  <c r="S180" i="12"/>
  <c r="S192" i="12"/>
  <c r="S205" i="12"/>
  <c r="S226" i="12"/>
  <c r="S173" i="12"/>
  <c r="S273" i="12"/>
  <c r="S253" i="12"/>
  <c r="S267" i="12"/>
  <c r="S271" i="12"/>
  <c r="S194" i="12"/>
  <c r="S212" i="12"/>
  <c r="S174" i="12"/>
  <c r="S187" i="12"/>
  <c r="S197" i="12"/>
  <c r="S167" i="12"/>
  <c r="S229" i="12"/>
  <c r="S244" i="12"/>
  <c r="S218" i="12"/>
  <c r="S213" i="12"/>
  <c r="S220" i="12"/>
  <c r="S183" i="12"/>
  <c r="S265" i="12"/>
  <c r="S260" i="12"/>
  <c r="S247" i="12"/>
  <c r="S214" i="12"/>
  <c r="S222" i="12"/>
  <c r="S252" i="12"/>
  <c r="S202" i="12"/>
  <c r="S270" i="12"/>
  <c r="S172" i="12"/>
  <c r="S225" i="12"/>
  <c r="S259" i="12"/>
  <c r="S251" i="12"/>
  <c r="S248" i="12"/>
  <c r="S191" i="12"/>
  <c r="S200" i="12"/>
  <c r="S203" i="12"/>
  <c r="S175" i="12"/>
  <c r="S240" i="12"/>
  <c r="S190" i="12"/>
  <c r="S237" i="12"/>
  <c r="AS5" i="15"/>
  <c r="S17" i="12"/>
  <c r="S72" i="12"/>
  <c r="S140" i="12"/>
  <c r="AS9" i="15"/>
  <c r="S145" i="12"/>
  <c r="AS10" i="15"/>
  <c r="S146" i="12"/>
  <c r="S88" i="12"/>
  <c r="S18" i="12"/>
  <c r="S42" i="12"/>
  <c r="S128" i="12"/>
  <c r="S95" i="12"/>
  <c r="S139" i="12"/>
  <c r="S73" i="12"/>
  <c r="S101" i="12"/>
  <c r="U139" i="12"/>
  <c r="AT53" i="15"/>
  <c r="AT54" i="15"/>
  <c r="S52" i="12"/>
  <c r="AT22" i="15"/>
  <c r="AT52" i="15"/>
  <c r="AW9" i="15"/>
  <c r="Z67" i="12"/>
  <c r="AT25" i="15"/>
  <c r="U131" i="12"/>
  <c r="AT55" i="15"/>
  <c r="AT21" i="15"/>
  <c r="AT19" i="15"/>
  <c r="AT18" i="15"/>
  <c r="AT20" i="15"/>
  <c r="S121" i="12"/>
  <c r="S27" i="12"/>
  <c r="S20" i="12"/>
  <c r="S31" i="12"/>
  <c r="S68" i="12"/>
  <c r="AT37" i="15"/>
  <c r="U36" i="12"/>
  <c r="S148" i="12"/>
  <c r="S131" i="12"/>
  <c r="S135" i="12"/>
  <c r="S119" i="12"/>
  <c r="S122" i="12"/>
  <c r="AT16" i="15"/>
  <c r="U87" i="12"/>
  <c r="S53" i="12"/>
  <c r="S104" i="12"/>
  <c r="S37" i="12"/>
  <c r="S70" i="12"/>
  <c r="Z137" i="12"/>
  <c r="S24" i="12"/>
  <c r="AT35" i="15"/>
  <c r="AT33" i="15"/>
  <c r="AT36" i="15"/>
  <c r="U122" i="12"/>
  <c r="AT26" i="15"/>
  <c r="S84" i="12"/>
  <c r="AT38" i="15"/>
  <c r="Z136" i="12"/>
  <c r="U67" i="12"/>
  <c r="U123" i="12"/>
  <c r="S96" i="12"/>
  <c r="S21" i="12"/>
  <c r="Z117" i="12"/>
  <c r="U138" i="12"/>
  <c r="S126" i="12"/>
  <c r="Z70" i="12"/>
  <c r="AT24" i="15"/>
  <c r="AT34" i="15"/>
  <c r="U19" i="12"/>
  <c r="S23" i="12"/>
  <c r="S132" i="12"/>
  <c r="S19" i="12"/>
  <c r="AT23" i="15"/>
  <c r="AT39" i="15"/>
  <c r="S67" i="12"/>
  <c r="S105" i="12"/>
  <c r="S97" i="12"/>
  <c r="Z66" i="12"/>
  <c r="AT40" i="15"/>
  <c r="S125" i="12"/>
  <c r="S34" i="12"/>
  <c r="S79" i="12"/>
  <c r="U124" i="12"/>
  <c r="S80" i="12"/>
  <c r="U32" i="12"/>
  <c r="U26" i="12"/>
  <c r="U25" i="12"/>
  <c r="U82" i="12"/>
  <c r="S76" i="12"/>
  <c r="U18" i="12"/>
  <c r="U34" i="12"/>
  <c r="U33" i="12"/>
  <c r="Z68" i="12"/>
  <c r="U68" i="12"/>
  <c r="S78" i="12"/>
  <c r="S77" i="12"/>
  <c r="U137" i="12"/>
  <c r="U121" i="12"/>
  <c r="Z121" i="12"/>
  <c r="S30" i="12"/>
  <c r="S29" i="12"/>
  <c r="S28" i="12"/>
  <c r="S36" i="12"/>
  <c r="S35" i="12"/>
  <c r="U130" i="12"/>
  <c r="Z129" i="12"/>
  <c r="U129" i="12"/>
  <c r="Z130" i="12"/>
  <c r="U72" i="12"/>
  <c r="S133" i="12"/>
  <c r="S134" i="12"/>
  <c r="S138" i="12"/>
  <c r="S25" i="12"/>
  <c r="S26" i="12"/>
  <c r="S33" i="12"/>
  <c r="S32" i="12"/>
  <c r="S85" i="12"/>
  <c r="S86" i="12"/>
  <c r="U77" i="12"/>
  <c r="Z77" i="12"/>
  <c r="Z78" i="12"/>
  <c r="U78" i="12"/>
  <c r="U22" i="12"/>
  <c r="Z22" i="12"/>
  <c r="S83" i="12"/>
  <c r="S81" i="12"/>
  <c r="S82" i="12"/>
  <c r="U20" i="12"/>
  <c r="U28" i="12"/>
  <c r="U31" i="12"/>
  <c r="Z28" i="12"/>
  <c r="Z29" i="12"/>
  <c r="Z25" i="12"/>
  <c r="U29" i="12"/>
  <c r="U30" i="12"/>
  <c r="Z27" i="12"/>
  <c r="Z31" i="12"/>
  <c r="U27" i="12"/>
  <c r="Z26" i="12"/>
  <c r="Z30" i="12"/>
  <c r="S137" i="12"/>
  <c r="S136" i="12"/>
  <c r="S74" i="12"/>
  <c r="U81" i="12"/>
  <c r="U80" i="12"/>
  <c r="Z82" i="12"/>
  <c r="Z83" i="12"/>
  <c r="U84" i="12"/>
  <c r="Z80" i="12"/>
  <c r="U83" i="12"/>
  <c r="Z81" i="12"/>
  <c r="S87" i="12"/>
  <c r="U17" i="12"/>
  <c r="Z17" i="12"/>
  <c r="S130" i="12"/>
  <c r="S129" i="12"/>
  <c r="S123" i="12"/>
  <c r="S120" i="12"/>
  <c r="U73" i="12"/>
  <c r="Z72" i="12"/>
  <c r="Z73" i="12"/>
  <c r="Z71" i="12"/>
  <c r="U71" i="12"/>
  <c r="Z123" i="12"/>
  <c r="Z125" i="12"/>
  <c r="U125" i="12"/>
  <c r="Z124" i="12"/>
  <c r="S75" i="12"/>
  <c r="U70" i="12"/>
  <c r="Z120" i="12"/>
  <c r="U120" i="12"/>
  <c r="S22" i="12"/>
  <c r="S127" i="12"/>
  <c r="U132" i="12"/>
  <c r="Z132" i="12"/>
  <c r="U134" i="12"/>
  <c r="Z133" i="12"/>
  <c r="Z134" i="12"/>
  <c r="Z135" i="12"/>
  <c r="Z131" i="12"/>
  <c r="U135" i="12"/>
  <c r="U133" i="12"/>
  <c r="U136" i="12"/>
  <c r="U69" i="12"/>
  <c r="Z69" i="12"/>
  <c r="U85" i="12"/>
  <c r="U86" i="12"/>
  <c r="U74" i="12"/>
  <c r="U76" i="12"/>
  <c r="U75" i="12"/>
  <c r="Z76" i="12"/>
  <c r="Z74" i="12"/>
  <c r="Z75" i="12"/>
  <c r="Z122" i="12"/>
  <c r="S124" i="12"/>
  <c r="U128" i="12"/>
  <c r="Z128" i="12"/>
  <c r="Z127" i="12"/>
  <c r="U127" i="12"/>
  <c r="U126" i="12"/>
  <c r="Z126" i="12"/>
  <c r="Z19" i="12"/>
  <c r="Z18" i="12"/>
  <c r="Z21" i="12"/>
  <c r="Z20" i="12"/>
  <c r="U21" i="12"/>
  <c r="S69" i="12"/>
  <c r="U23" i="12"/>
  <c r="U24" i="12"/>
  <c r="Z24" i="12"/>
  <c r="Z23" i="12"/>
  <c r="U79" i="12"/>
  <c r="Z79" i="12"/>
  <c r="AT31" i="15"/>
  <c r="AT46" i="15"/>
  <c r="AT27" i="15"/>
  <c r="AS4" i="15"/>
  <c r="S41" i="12"/>
  <c r="AT49" i="15"/>
  <c r="AT28" i="15"/>
  <c r="AT32" i="15"/>
  <c r="AT29" i="15"/>
  <c r="S43" i="12"/>
  <c r="AT30" i="15"/>
  <c r="AT17" i="15"/>
  <c r="U166" i="12"/>
  <c r="Z33" i="12"/>
  <c r="Z32" i="12"/>
  <c r="S49" i="12"/>
  <c r="AT42" i="15"/>
  <c r="AT47" i="15"/>
  <c r="AW6" i="15"/>
  <c r="V24" i="15" s="1"/>
  <c r="V25" i="15" s="1"/>
  <c r="AT43" i="15"/>
  <c r="U35" i="12"/>
  <c r="AT45" i="15"/>
  <c r="AT41" i="15"/>
  <c r="AT44" i="15"/>
  <c r="AS7" i="15"/>
  <c r="AT51" i="15"/>
  <c r="V23" i="15"/>
  <c r="AT48" i="15"/>
  <c r="AT50" i="15"/>
  <c r="V26" i="15" a="1"/>
  <c r="V26" i="15" s="1"/>
  <c r="AN3" i="15" s="1"/>
  <c r="U66" i="12"/>
  <c r="V27" i="15" a="1"/>
  <c r="V27" i="15" s="1"/>
  <c r="AO25" i="15" s="1"/>
  <c r="AS6" i="15"/>
  <c r="U49" i="12"/>
  <c r="S165" i="12"/>
  <c r="S147" i="12"/>
  <c r="U102" i="12"/>
  <c r="S157" i="12"/>
  <c r="Z84" i="12"/>
  <c r="S158" i="12"/>
  <c r="S156" i="12"/>
  <c r="S114" i="12"/>
  <c r="S113" i="12"/>
  <c r="S99" i="12"/>
  <c r="U153" i="12"/>
  <c r="U117" i="12"/>
  <c r="Z155" i="12"/>
  <c r="U154" i="12"/>
  <c r="S63" i="12"/>
  <c r="S92" i="12"/>
  <c r="S66" i="12"/>
  <c r="S118" i="12"/>
  <c r="S61" i="12"/>
  <c r="S149" i="12"/>
  <c r="S39" i="12"/>
  <c r="S93" i="12"/>
  <c r="S45" i="12"/>
  <c r="S94" i="12"/>
  <c r="U42" i="12"/>
  <c r="U115" i="12"/>
  <c r="S58" i="12"/>
  <c r="U99" i="12"/>
  <c r="S107" i="12"/>
  <c r="Z165" i="12"/>
  <c r="U165" i="12"/>
  <c r="S44" i="12"/>
  <c r="S57" i="12"/>
  <c r="Z85" i="12"/>
  <c r="U88" i="12"/>
  <c r="U108" i="12"/>
  <c r="U55" i="12"/>
  <c r="Z53" i="12"/>
  <c r="U61" i="12"/>
  <c r="S56" i="12"/>
  <c r="S54" i="12"/>
  <c r="Z106" i="12"/>
  <c r="Z104" i="12"/>
  <c r="U106" i="12"/>
  <c r="U104" i="12"/>
  <c r="Z105" i="12"/>
  <c r="U105" i="12"/>
  <c r="S162" i="12"/>
  <c r="S161" i="12"/>
  <c r="S55" i="12"/>
  <c r="U97" i="12"/>
  <c r="Z97" i="12"/>
  <c r="Z65" i="12"/>
  <c r="U65" i="12"/>
  <c r="Z44" i="12"/>
  <c r="U44" i="12"/>
  <c r="Z111" i="12"/>
  <c r="U111" i="12"/>
  <c r="U150" i="12"/>
  <c r="Z150" i="12"/>
  <c r="S164" i="12"/>
  <c r="S116" i="12"/>
  <c r="S115" i="12"/>
  <c r="Z58" i="12"/>
  <c r="U58" i="12"/>
  <c r="Z88" i="12"/>
  <c r="U89" i="12"/>
  <c r="U93" i="12"/>
  <c r="Z87" i="12"/>
  <c r="Z86" i="12"/>
  <c r="Z91" i="12"/>
  <c r="U92" i="12"/>
  <c r="Z93" i="12"/>
  <c r="Z89" i="12"/>
  <c r="Z92" i="12"/>
  <c r="U90" i="12"/>
  <c r="Z90" i="12"/>
  <c r="U91" i="12"/>
  <c r="Z103" i="12"/>
  <c r="U103" i="12"/>
  <c r="Z101" i="12"/>
  <c r="U101" i="12"/>
  <c r="Z102" i="12"/>
  <c r="U60" i="12"/>
  <c r="Z60" i="12"/>
  <c r="U162" i="12"/>
  <c r="Z162" i="12"/>
  <c r="Z34" i="12"/>
  <c r="U40" i="12"/>
  <c r="Z39" i="12"/>
  <c r="Z37" i="12"/>
  <c r="Z35" i="12"/>
  <c r="Z41" i="12"/>
  <c r="U37" i="12"/>
  <c r="Z36" i="12"/>
  <c r="U38" i="12"/>
  <c r="Z40" i="12"/>
  <c r="Z38" i="12"/>
  <c r="U41" i="12"/>
  <c r="U39" i="12"/>
  <c r="Z141" i="12"/>
  <c r="U141" i="12"/>
  <c r="Z142" i="12"/>
  <c r="Z143" i="12"/>
  <c r="Z139" i="12"/>
  <c r="Z144" i="12"/>
  <c r="U144" i="12"/>
  <c r="U143" i="12"/>
  <c r="Z140" i="12"/>
  <c r="Z138" i="12"/>
  <c r="U140" i="12"/>
  <c r="Z108" i="12"/>
  <c r="Z62" i="12"/>
  <c r="U52" i="12"/>
  <c r="Z52" i="12"/>
  <c r="S89" i="12"/>
  <c r="S91" i="12"/>
  <c r="S90" i="12"/>
  <c r="Z57" i="12"/>
  <c r="U57" i="12"/>
  <c r="S160" i="12"/>
  <c r="S159" i="12"/>
  <c r="Z151" i="12"/>
  <c r="Z152" i="12"/>
  <c r="U152" i="12"/>
  <c r="U151" i="12"/>
  <c r="U119" i="12"/>
  <c r="Z119" i="12"/>
  <c r="U113" i="12"/>
  <c r="Z113" i="12"/>
  <c r="Z147" i="12"/>
  <c r="U147" i="12"/>
  <c r="U148" i="12"/>
  <c r="Z148" i="12"/>
  <c r="U43" i="12"/>
  <c r="Z43" i="12"/>
  <c r="Z118" i="12"/>
  <c r="S144" i="12"/>
  <c r="S103" i="12"/>
  <c r="S102" i="12"/>
  <c r="S109" i="12"/>
  <c r="S110" i="12"/>
  <c r="U146" i="12"/>
  <c r="U109" i="12"/>
  <c r="U96" i="12"/>
  <c r="Z96" i="12"/>
  <c r="S40" i="12"/>
  <c r="S38" i="12"/>
  <c r="S150" i="12"/>
  <c r="S151" i="12"/>
  <c r="S152" i="12"/>
  <c r="U142" i="12"/>
  <c r="U145" i="12"/>
  <c r="Z145" i="12"/>
  <c r="U116" i="12"/>
  <c r="Z116" i="12"/>
  <c r="U114" i="12"/>
  <c r="Z115" i="12"/>
  <c r="S112" i="12"/>
  <c r="Z51" i="12"/>
  <c r="U51" i="12"/>
  <c r="Z49" i="12"/>
  <c r="U50" i="12"/>
  <c r="Z50" i="12"/>
  <c r="S62" i="12"/>
  <c r="S64" i="12"/>
  <c r="S100" i="12"/>
  <c r="S98" i="12"/>
  <c r="S117" i="12"/>
  <c r="S155" i="12"/>
  <c r="S154" i="12"/>
  <c r="S153" i="12"/>
  <c r="S163" i="12"/>
  <c r="U149" i="12"/>
  <c r="Z149" i="12"/>
  <c r="U54" i="12"/>
  <c r="Z54" i="12"/>
  <c r="U163" i="12"/>
  <c r="U164" i="12"/>
  <c r="Z163" i="12"/>
  <c r="Z164" i="12"/>
  <c r="S65" i="12"/>
  <c r="U160" i="12"/>
  <c r="Z160" i="12"/>
  <c r="S60" i="12"/>
  <c r="S59" i="12"/>
  <c r="U118" i="12"/>
  <c r="Z45" i="12"/>
  <c r="U45" i="12"/>
  <c r="Z146" i="12"/>
  <c r="Z114" i="12"/>
  <c r="Z107" i="12"/>
  <c r="U107" i="12"/>
  <c r="Z59" i="12"/>
  <c r="U59" i="12"/>
  <c r="S51" i="12"/>
  <c r="S50" i="12"/>
  <c r="Z95" i="12"/>
  <c r="U94" i="12"/>
  <c r="U95" i="12"/>
  <c r="Z94" i="12"/>
  <c r="Z42" i="12"/>
  <c r="U47" i="12"/>
  <c r="Z46" i="12"/>
  <c r="U48" i="12"/>
  <c r="U46" i="12"/>
  <c r="Z47" i="12"/>
  <c r="Z48" i="12"/>
  <c r="Z112" i="12"/>
  <c r="U112" i="12"/>
  <c r="U110" i="12"/>
  <c r="Z110" i="12"/>
  <c r="Z56" i="12"/>
  <c r="Z55" i="12"/>
  <c r="U56" i="12"/>
  <c r="S141" i="12"/>
  <c r="S142" i="12"/>
  <c r="S143" i="12"/>
  <c r="S106" i="12"/>
  <c r="S108" i="12"/>
  <c r="Z98" i="12"/>
  <c r="U98" i="12"/>
  <c r="S111" i="12"/>
  <c r="U100" i="12"/>
  <c r="Z100" i="12"/>
  <c r="Z161" i="12"/>
  <c r="U161" i="12"/>
  <c r="Z157" i="12"/>
  <c r="Z154" i="12"/>
  <c r="U159" i="12"/>
  <c r="Z156" i="12"/>
  <c r="Z158" i="12"/>
  <c r="U156" i="12"/>
  <c r="Z153" i="12"/>
  <c r="Z159" i="12"/>
  <c r="U158" i="12"/>
  <c r="U157" i="12"/>
  <c r="U155" i="12"/>
  <c r="S48" i="12"/>
  <c r="S46" i="12"/>
  <c r="S47" i="12"/>
  <c r="Z64" i="12"/>
  <c r="U64" i="12"/>
  <c r="Z63" i="12"/>
  <c r="U63" i="12"/>
  <c r="U62" i="12"/>
  <c r="Z61" i="12"/>
  <c r="Z99" i="12"/>
  <c r="Z109" i="12"/>
  <c r="U53" i="12"/>
  <c r="AF16" i="15" l="1"/>
  <c r="AU16" i="15" s="1"/>
  <c r="H19" i="17"/>
  <c r="H35" i="17"/>
  <c r="H51" i="17"/>
  <c r="H16" i="17"/>
  <c r="H56" i="17"/>
  <c r="H29" i="17"/>
  <c r="H45" i="17"/>
  <c r="H61" i="17"/>
  <c r="H26" i="17"/>
  <c r="H42" i="17"/>
  <c r="H58" i="17"/>
  <c r="H20" i="17"/>
  <c r="H44" i="17"/>
  <c r="H23" i="17"/>
  <c r="H39" i="17"/>
  <c r="H55" i="17"/>
  <c r="H32" i="17"/>
  <c r="H17" i="17"/>
  <c r="H33" i="17"/>
  <c r="H49" i="17"/>
  <c r="H65" i="17"/>
  <c r="H30" i="17"/>
  <c r="H46" i="17"/>
  <c r="H62" i="17"/>
  <c r="H24" i="17"/>
  <c r="H52" i="17"/>
  <c r="H27" i="17"/>
  <c r="H43" i="17"/>
  <c r="H59" i="17"/>
  <c r="H40" i="17"/>
  <c r="H21" i="17"/>
  <c r="H37" i="17"/>
  <c r="H53" i="17"/>
  <c r="H18" i="17"/>
  <c r="H34" i="17"/>
  <c r="H50" i="17"/>
  <c r="H66" i="17"/>
  <c r="H28" i="17"/>
  <c r="H60" i="17"/>
  <c r="H67" i="17"/>
  <c r="H31" i="17"/>
  <c r="H47" i="17"/>
  <c r="H63" i="17"/>
  <c r="H48" i="17"/>
  <c r="H25" i="17"/>
  <c r="H41" i="17"/>
  <c r="H57" i="17"/>
  <c r="H22" i="17"/>
  <c r="H38" i="17"/>
  <c r="H54" i="17"/>
  <c r="H15" i="17"/>
  <c r="H36" i="17"/>
  <c r="H64" i="17"/>
  <c r="AN11" i="15"/>
  <c r="AT13" i="15"/>
  <c r="AT14" i="15"/>
  <c r="AT15" i="15"/>
  <c r="AF55" i="15"/>
  <c r="AU55" i="15" s="1"/>
  <c r="AT11" i="15"/>
  <c r="AT12" i="15"/>
  <c r="AO41" i="15"/>
  <c r="AO36" i="15"/>
  <c r="AO22" i="15"/>
  <c r="AF38" i="15"/>
  <c r="AU38" i="15" s="1"/>
  <c r="AF50" i="15"/>
  <c r="AU50" i="15" s="1"/>
  <c r="AF24" i="15"/>
  <c r="AU24" i="15" s="1"/>
  <c r="AF18" i="15"/>
  <c r="AU18" i="15" s="1"/>
  <c r="AF13" i="15"/>
  <c r="AU13" i="15" s="1"/>
  <c r="AF43" i="15"/>
  <c r="AU43" i="15" s="1"/>
  <c r="AO38" i="15"/>
  <c r="AO53" i="15"/>
  <c r="AO47" i="15"/>
  <c r="AO18" i="15"/>
  <c r="AO29" i="15"/>
  <c r="AO11" i="15"/>
  <c r="AO3" i="15"/>
  <c r="AO27" i="15"/>
  <c r="AO51" i="15"/>
  <c r="AO9" i="15"/>
  <c r="AT9" i="15"/>
  <c r="AT10" i="15"/>
  <c r="AN46" i="15"/>
  <c r="AN41" i="15"/>
  <c r="AN29" i="15"/>
  <c r="AN49" i="15"/>
  <c r="AN9" i="15"/>
  <c r="AN47" i="15"/>
  <c r="AN37" i="15"/>
  <c r="AF28" i="15"/>
  <c r="AU28" i="15" s="1"/>
  <c r="AF11" i="15"/>
  <c r="AU11" i="15" s="1"/>
  <c r="AF21" i="15"/>
  <c r="AU21" i="15" s="1"/>
  <c r="AF3" i="15"/>
  <c r="AU3" i="15" s="1"/>
  <c r="AF41" i="15"/>
  <c r="AU41" i="15" s="1"/>
  <c r="AF5" i="15"/>
  <c r="AU5" i="15" s="1"/>
  <c r="AF27" i="15"/>
  <c r="AU27" i="15" s="1"/>
  <c r="AF10" i="15"/>
  <c r="AU10" i="15" s="1"/>
  <c r="AN32" i="15"/>
  <c r="AN7" i="15"/>
  <c r="AN8" i="15"/>
  <c r="AF47" i="15"/>
  <c r="AU47" i="15" s="1"/>
  <c r="AF26" i="15"/>
  <c r="AU26" i="15" s="1"/>
  <c r="AF34" i="15"/>
  <c r="AU34" i="15" s="1"/>
  <c r="AF37" i="15"/>
  <c r="AU37" i="15" s="1"/>
  <c r="AF40" i="15"/>
  <c r="AU40" i="15" s="1"/>
  <c r="AF51" i="15"/>
  <c r="AU51" i="15" s="1"/>
  <c r="AF9" i="15"/>
  <c r="AU9" i="15" s="1"/>
  <c r="AF4" i="15"/>
  <c r="AF35" i="15"/>
  <c r="AU35" i="15" s="1"/>
  <c r="AF30" i="15"/>
  <c r="AU30" i="15" s="1"/>
  <c r="AF44" i="15"/>
  <c r="AU44" i="15" s="1"/>
  <c r="AF36" i="15"/>
  <c r="AU36" i="15" s="1"/>
  <c r="AN30" i="15"/>
  <c r="AN17" i="15"/>
  <c r="AN50" i="15"/>
  <c r="AO40" i="15"/>
  <c r="AO28" i="15"/>
  <c r="AO10" i="15"/>
  <c r="AO52" i="15"/>
  <c r="AO33" i="15"/>
  <c r="AO12" i="15"/>
  <c r="AO19" i="15"/>
  <c r="AO42" i="15"/>
  <c r="AO44" i="15"/>
  <c r="AO31" i="15"/>
  <c r="AO39" i="15"/>
  <c r="AO34" i="15"/>
  <c r="AO48" i="15"/>
  <c r="AF14" i="15"/>
  <c r="AU14" i="15" s="1"/>
  <c r="AF6" i="15"/>
  <c r="AF48" i="15"/>
  <c r="AU48" i="15" s="1"/>
  <c r="AF45" i="15"/>
  <c r="AF22" i="15"/>
  <c r="AF52" i="15"/>
  <c r="AU52" i="15" s="1"/>
  <c r="AF39" i="15"/>
  <c r="AU39" i="15" s="1"/>
  <c r="AF31" i="15"/>
  <c r="AU31" i="15" s="1"/>
  <c r="AF25" i="15"/>
  <c r="AF54" i="15"/>
  <c r="AU54" i="15" s="1"/>
  <c r="AF33" i="15"/>
  <c r="AF8" i="15"/>
  <c r="AU8" i="15" s="1"/>
  <c r="AF53" i="15"/>
  <c r="AU53" i="15" s="1"/>
  <c r="AO6" i="15"/>
  <c r="AO20" i="15"/>
  <c r="AO21" i="15"/>
  <c r="AO55" i="15"/>
  <c r="AO13" i="15"/>
  <c r="AO45" i="15"/>
  <c r="AO16" i="15"/>
  <c r="AO24" i="15"/>
  <c r="AO30" i="15"/>
  <c r="AO8" i="15"/>
  <c r="AO26" i="15"/>
  <c r="AO15" i="15"/>
  <c r="AO49" i="15"/>
  <c r="AO5" i="15"/>
  <c r="AF19" i="15"/>
  <c r="AU19" i="15" s="1"/>
  <c r="AF46" i="15"/>
  <c r="AU46" i="15" s="1"/>
  <c r="AF15" i="15"/>
  <c r="AU15" i="15" s="1"/>
  <c r="AF20" i="15"/>
  <c r="AU20" i="15" s="1"/>
  <c r="AF7" i="15"/>
  <c r="AU7" i="15" s="1"/>
  <c r="AF17" i="15"/>
  <c r="AU17" i="15" s="1"/>
  <c r="AF12" i="15"/>
  <c r="AF42" i="15"/>
  <c r="AU42" i="15" s="1"/>
  <c r="AF32" i="15"/>
  <c r="AU32" i="15" s="1"/>
  <c r="AF23" i="15"/>
  <c r="AU23" i="15" s="1"/>
  <c r="AF49" i="15"/>
  <c r="AU49" i="15" s="1"/>
  <c r="AF29" i="15"/>
  <c r="AU29" i="15" s="1"/>
  <c r="AO46" i="15"/>
  <c r="AO32" i="15"/>
  <c r="AO4" i="15"/>
  <c r="AO54" i="15"/>
  <c r="AO7" i="15"/>
  <c r="AO14" i="15"/>
  <c r="AO17" i="15"/>
  <c r="AO50" i="15"/>
  <c r="AO35" i="15"/>
  <c r="AO43" i="15"/>
  <c r="AO37" i="15"/>
  <c r="AO23" i="15"/>
  <c r="AN16" i="15"/>
  <c r="AN26" i="15"/>
  <c r="AN51" i="15"/>
  <c r="AN10" i="15"/>
  <c r="AN5" i="15"/>
  <c r="AN31" i="15"/>
  <c r="AN28" i="15"/>
  <c r="AN34" i="15"/>
  <c r="AN39" i="15"/>
  <c r="AN15" i="15"/>
  <c r="AN20" i="15"/>
  <c r="AN36" i="15"/>
  <c r="AN40" i="15"/>
  <c r="AN14" i="15"/>
  <c r="AN33" i="15"/>
  <c r="AN48" i="15"/>
  <c r="AN22" i="15"/>
  <c r="AN4" i="15"/>
  <c r="AN27" i="15"/>
  <c r="AN13" i="15"/>
  <c r="AN55" i="15"/>
  <c r="AN23" i="15"/>
  <c r="AN43" i="15"/>
  <c r="AN21" i="15"/>
  <c r="AN6" i="15"/>
  <c r="AN42" i="15"/>
  <c r="AN38" i="15"/>
  <c r="AN18" i="15"/>
  <c r="AN54" i="15"/>
  <c r="AN44" i="15"/>
  <c r="AN45" i="15"/>
  <c r="AN12" i="15"/>
  <c r="AN24" i="15"/>
  <c r="AN25" i="15"/>
  <c r="AN53" i="15"/>
  <c r="AN35" i="15"/>
  <c r="AN52" i="15"/>
  <c r="AN19" i="15"/>
  <c r="AU12" i="15"/>
  <c r="AG54" i="15"/>
  <c r="AG14" i="15"/>
  <c r="AG48" i="15"/>
  <c r="AG23" i="15"/>
  <c r="AG7" i="15"/>
  <c r="AG4" i="15"/>
  <c r="AG30" i="15"/>
  <c r="AG39" i="15"/>
  <c r="AG50" i="15"/>
  <c r="AG8" i="15"/>
  <c r="AG49" i="15"/>
  <c r="AG41" i="15"/>
  <c r="AG40" i="15"/>
  <c r="AG34" i="15"/>
  <c r="AG17" i="15"/>
  <c r="AG31" i="15"/>
  <c r="AG5" i="15"/>
  <c r="AG19" i="15"/>
  <c r="AG52" i="15"/>
  <c r="AG22" i="15"/>
  <c r="AG12" i="15"/>
  <c r="AG36" i="15"/>
  <c r="AG24" i="15"/>
  <c r="AG44" i="15"/>
  <c r="AG43" i="15"/>
  <c r="AG20" i="15"/>
  <c r="AG18" i="15"/>
  <c r="AG13" i="15"/>
  <c r="AG15" i="15"/>
  <c r="AG42" i="15"/>
  <c r="AG21" i="15"/>
  <c r="AG25" i="15"/>
  <c r="AG51" i="15"/>
  <c r="AG9" i="15"/>
  <c r="AG16" i="15"/>
  <c r="AG45" i="15"/>
  <c r="AG26" i="15"/>
  <c r="AG29" i="15"/>
  <c r="AG53" i="15"/>
  <c r="AG46" i="15"/>
  <c r="AG47" i="15"/>
  <c r="AG55" i="15"/>
  <c r="AG11" i="15"/>
  <c r="AG3" i="15"/>
  <c r="AG28" i="15"/>
  <c r="AG35" i="15"/>
  <c r="AG10" i="15"/>
  <c r="AG33" i="15"/>
  <c r="AG38" i="15"/>
  <c r="AG37" i="15"/>
  <c r="AG27" i="15"/>
  <c r="AG6" i="15"/>
  <c r="AG32" i="15"/>
  <c r="AJ16" i="15" l="1"/>
  <c r="AK44" i="15"/>
  <c r="AI33" i="15"/>
  <c r="AH39" i="15"/>
  <c r="AL30" i="15"/>
  <c r="H70" i="17"/>
  <c r="V70" i="17" s="1"/>
  <c r="D35" i="18" s="1"/>
  <c r="K15" i="17"/>
  <c r="V15" i="17"/>
  <c r="K57" i="17"/>
  <c r="R55" i="39" s="1"/>
  <c r="V57" i="17"/>
  <c r="R57" i="17" s="1"/>
  <c r="V63" i="17"/>
  <c r="R63" i="17" s="1"/>
  <c r="K63" i="17"/>
  <c r="R61" i="39" s="1"/>
  <c r="V60" i="17"/>
  <c r="R60" i="17" s="1"/>
  <c r="K60" i="17"/>
  <c r="R58" i="39" s="1"/>
  <c r="V34" i="17"/>
  <c r="R34" i="17" s="1"/>
  <c r="K34" i="17"/>
  <c r="R32" i="39" s="1"/>
  <c r="V21" i="17"/>
  <c r="R21" i="17" s="1"/>
  <c r="K21" i="17"/>
  <c r="R19" i="39" s="1"/>
  <c r="K27" i="17"/>
  <c r="R25" i="39" s="1"/>
  <c r="V27" i="17"/>
  <c r="R27" i="17" s="1"/>
  <c r="K46" i="17"/>
  <c r="R44" i="39" s="1"/>
  <c r="V46" i="17"/>
  <c r="R46" i="17" s="1"/>
  <c r="V33" i="17"/>
  <c r="R33" i="17" s="1"/>
  <c r="K33" i="17"/>
  <c r="R31" i="39" s="1"/>
  <c r="V39" i="17"/>
  <c r="R39" i="17" s="1"/>
  <c r="K39" i="17"/>
  <c r="R37" i="39" s="1"/>
  <c r="K58" i="17"/>
  <c r="R56" i="39" s="1"/>
  <c r="V58" i="17"/>
  <c r="R58" i="17" s="1"/>
  <c r="V45" i="17"/>
  <c r="R45" i="17" s="1"/>
  <c r="K45" i="17"/>
  <c r="R43" i="39" s="1"/>
  <c r="K51" i="17"/>
  <c r="R49" i="39" s="1"/>
  <c r="V51" i="17"/>
  <c r="R51" i="17" s="1"/>
  <c r="K54" i="17"/>
  <c r="R52" i="39" s="1"/>
  <c r="V54" i="17"/>
  <c r="R54" i="17" s="1"/>
  <c r="K41" i="17"/>
  <c r="R39" i="39" s="1"/>
  <c r="V41" i="17"/>
  <c r="R41" i="17" s="1"/>
  <c r="V47" i="17"/>
  <c r="R47" i="17" s="1"/>
  <c r="K47" i="17"/>
  <c r="R45" i="39" s="1"/>
  <c r="V28" i="17"/>
  <c r="R28" i="17" s="1"/>
  <c r="K28" i="17"/>
  <c r="R26" i="39" s="1"/>
  <c r="V18" i="17"/>
  <c r="R18" i="17" s="1"/>
  <c r="K18" i="17"/>
  <c r="R16" i="39" s="1"/>
  <c r="V40" i="17"/>
  <c r="R40" i="17" s="1"/>
  <c r="K40" i="17"/>
  <c r="R38" i="39" s="1"/>
  <c r="V52" i="17"/>
  <c r="R52" i="17" s="1"/>
  <c r="K52" i="17"/>
  <c r="R50" i="39" s="1"/>
  <c r="V30" i="17"/>
  <c r="R30" i="17" s="1"/>
  <c r="K30" i="17"/>
  <c r="R28" i="39" s="1"/>
  <c r="V17" i="17"/>
  <c r="R17" i="17" s="1"/>
  <c r="K17" i="17"/>
  <c r="R15" i="39" s="1"/>
  <c r="K23" i="17"/>
  <c r="R21" i="39" s="1"/>
  <c r="V23" i="17"/>
  <c r="R23" i="17" s="1"/>
  <c r="K42" i="17"/>
  <c r="R40" i="39" s="1"/>
  <c r="V42" i="17"/>
  <c r="R42" i="17" s="1"/>
  <c r="K29" i="17"/>
  <c r="R27" i="39" s="1"/>
  <c r="V29" i="17"/>
  <c r="R29" i="17" s="1"/>
  <c r="K35" i="17"/>
  <c r="R33" i="39" s="1"/>
  <c r="V35" i="17"/>
  <c r="R35" i="17" s="1"/>
  <c r="K64" i="17"/>
  <c r="R62" i="39" s="1"/>
  <c r="V64" i="17"/>
  <c r="R64" i="17" s="1"/>
  <c r="K38" i="17"/>
  <c r="R36" i="39" s="1"/>
  <c r="V38" i="17"/>
  <c r="R38" i="17" s="1"/>
  <c r="V25" i="17"/>
  <c r="R25" i="17" s="1"/>
  <c r="K25" i="17"/>
  <c r="R23" i="39" s="1"/>
  <c r="V31" i="17"/>
  <c r="R31" i="17" s="1"/>
  <c r="K31" i="17"/>
  <c r="R29" i="39" s="1"/>
  <c r="V66" i="17"/>
  <c r="R66" i="17" s="1"/>
  <c r="K66" i="17"/>
  <c r="R64" i="39" s="1"/>
  <c r="K53" i="17"/>
  <c r="R51" i="39" s="1"/>
  <c r="V53" i="17"/>
  <c r="R53" i="17" s="1"/>
  <c r="V59" i="17"/>
  <c r="R59" i="17" s="1"/>
  <c r="K59" i="17"/>
  <c r="R57" i="39" s="1"/>
  <c r="V24" i="17"/>
  <c r="R24" i="17" s="1"/>
  <c r="K24" i="17"/>
  <c r="R22" i="39" s="1"/>
  <c r="K65" i="17"/>
  <c r="R63" i="39" s="1"/>
  <c r="V65" i="17"/>
  <c r="R65" i="17" s="1"/>
  <c r="V32" i="17"/>
  <c r="R32" i="17" s="1"/>
  <c r="K32" i="17"/>
  <c r="R30" i="39" s="1"/>
  <c r="V44" i="17"/>
  <c r="R44" i="17" s="1"/>
  <c r="K44" i="17"/>
  <c r="R42" i="39" s="1"/>
  <c r="V26" i="17"/>
  <c r="R26" i="17" s="1"/>
  <c r="K26" i="17"/>
  <c r="R24" i="39" s="1"/>
  <c r="K56" i="17"/>
  <c r="R54" i="39" s="1"/>
  <c r="V56" i="17"/>
  <c r="R56" i="17" s="1"/>
  <c r="V19" i="17"/>
  <c r="R19" i="17" s="1"/>
  <c r="K19" i="17"/>
  <c r="R17" i="39" s="1"/>
  <c r="V36" i="17"/>
  <c r="R36" i="17" s="1"/>
  <c r="K36" i="17"/>
  <c r="R34" i="39" s="1"/>
  <c r="K22" i="17"/>
  <c r="R20" i="39" s="1"/>
  <c r="V22" i="17"/>
  <c r="R22" i="17" s="1"/>
  <c r="K48" i="17"/>
  <c r="R46" i="39" s="1"/>
  <c r="V48" i="17"/>
  <c r="R48" i="17" s="1"/>
  <c r="K67" i="17"/>
  <c r="V67" i="17"/>
  <c r="R67" i="17" s="1"/>
  <c r="S67" i="17" s="1"/>
  <c r="V50" i="17"/>
  <c r="R50" i="17" s="1"/>
  <c r="K50" i="17"/>
  <c r="R48" i="39" s="1"/>
  <c r="K37" i="17"/>
  <c r="R35" i="39" s="1"/>
  <c r="V37" i="17"/>
  <c r="R37" i="17" s="1"/>
  <c r="K43" i="17"/>
  <c r="R41" i="39" s="1"/>
  <c r="V43" i="17"/>
  <c r="R43" i="17" s="1"/>
  <c r="V62" i="17"/>
  <c r="R62" i="17" s="1"/>
  <c r="K62" i="17"/>
  <c r="R60" i="39" s="1"/>
  <c r="K49" i="17"/>
  <c r="R47" i="39" s="1"/>
  <c r="V49" i="17"/>
  <c r="R49" i="17" s="1"/>
  <c r="K55" i="17"/>
  <c r="R53" i="39" s="1"/>
  <c r="V55" i="17"/>
  <c r="R55" i="17" s="1"/>
  <c r="V20" i="17"/>
  <c r="R20" i="17" s="1"/>
  <c r="K20" i="17"/>
  <c r="R18" i="39" s="1"/>
  <c r="V61" i="17"/>
  <c r="R61" i="17" s="1"/>
  <c r="K61" i="17"/>
  <c r="R59" i="39" s="1"/>
  <c r="K16" i="17"/>
  <c r="R14" i="39" s="1"/>
  <c r="V16" i="17"/>
  <c r="R16" i="17" s="1"/>
  <c r="AI11" i="15"/>
  <c r="AI24" i="15"/>
  <c r="AI55" i="15"/>
  <c r="AJ9" i="15"/>
  <c r="AK5" i="15"/>
  <c r="AH34" i="15"/>
  <c r="AH44" i="15"/>
  <c r="AL13" i="15"/>
  <c r="AK38" i="15"/>
  <c r="AL43" i="15"/>
  <c r="AH50" i="15"/>
  <c r="AK18" i="15"/>
  <c r="AH8" i="15"/>
  <c r="AL28" i="15"/>
  <c r="AH26" i="15"/>
  <c r="AL51" i="15"/>
  <c r="AK15" i="15"/>
  <c r="AH12" i="15"/>
  <c r="AK54" i="15"/>
  <c r="AL6" i="15"/>
  <c r="AI41" i="15"/>
  <c r="AM45" i="15"/>
  <c r="AK45" i="15"/>
  <c r="AH31" i="15"/>
  <c r="AM25" i="15"/>
  <c r="AL41" i="15"/>
  <c r="AK27" i="15"/>
  <c r="AL21" i="15"/>
  <c r="AL22" i="15"/>
  <c r="AH3" i="15"/>
  <c r="AL46" i="15"/>
  <c r="AL25" i="15"/>
  <c r="AM22" i="15"/>
  <c r="AM23" i="15"/>
  <c r="AI25" i="15"/>
  <c r="AK22" i="15"/>
  <c r="AL14" i="15"/>
  <c r="AM31" i="15"/>
  <c r="AJ45" i="15"/>
  <c r="AI4" i="15"/>
  <c r="AI22" i="15"/>
  <c r="AI45" i="15"/>
  <c r="AJ53" i="15"/>
  <c r="AJ17" i="15"/>
  <c r="AK33" i="15"/>
  <c r="AH25" i="15"/>
  <c r="AU22" i="15"/>
  <c r="AV23" i="15" s="1"/>
  <c r="AU45" i="15"/>
  <c r="AV46" i="15" s="1"/>
  <c r="AK6" i="15"/>
  <c r="AU4" i="15"/>
  <c r="AI37" i="15"/>
  <c r="AK35" i="15"/>
  <c r="AM36" i="15"/>
  <c r="AH19" i="15"/>
  <c r="AJ8" i="15"/>
  <c r="AJ4" i="15"/>
  <c r="AK14" i="15"/>
  <c r="AU25" i="15"/>
  <c r="AV31" i="15" s="1"/>
  <c r="AL10" i="15"/>
  <c r="AK31" i="15"/>
  <c r="AM6" i="15"/>
  <c r="AK32" i="15"/>
  <c r="AJ47" i="15"/>
  <c r="AI40" i="15"/>
  <c r="AL7" i="15"/>
  <c r="AL33" i="15"/>
  <c r="AJ39" i="15"/>
  <c r="AH6" i="15"/>
  <c r="AH33" i="15"/>
  <c r="AK39" i="15"/>
  <c r="AL31" i="15"/>
  <c r="AJ22" i="15"/>
  <c r="AL45" i="15"/>
  <c r="AJ6" i="15"/>
  <c r="AH13" i="15"/>
  <c r="AL52" i="15"/>
  <c r="AJ49" i="15"/>
  <c r="AM48" i="15"/>
  <c r="AM39" i="15"/>
  <c r="AU33" i="15"/>
  <c r="AV38" i="15" s="1"/>
  <c r="AJ33" i="15"/>
  <c r="AJ25" i="15"/>
  <c r="AJ31" i="15"/>
  <c r="AI39" i="15"/>
  <c r="AL39" i="15"/>
  <c r="AH22" i="15"/>
  <c r="AU6" i="15"/>
  <c r="AM33" i="15"/>
  <c r="AK25" i="15"/>
  <c r="AI31" i="15"/>
  <c r="AH45" i="15"/>
  <c r="AK41" i="15"/>
  <c r="AJ29" i="15"/>
  <c r="AL42" i="15"/>
  <c r="AI20" i="15"/>
  <c r="AI43" i="15"/>
  <c r="AI54" i="15"/>
  <c r="AJ50" i="15"/>
  <c r="AK51" i="15"/>
  <c r="AI6" i="15"/>
  <c r="AQ6" i="15" s="1"/>
  <c r="AH41" i="15"/>
  <c r="AJ13" i="15"/>
  <c r="AM3" i="15"/>
  <c r="AJ41" i="15"/>
  <c r="AM13" i="15"/>
  <c r="AL40" i="15"/>
  <c r="AH48" i="15"/>
  <c r="AK3" i="15"/>
  <c r="AJ44" i="15"/>
  <c r="AL53" i="15"/>
  <c r="AL18" i="15"/>
  <c r="AM52" i="15"/>
  <c r="AK53" i="15"/>
  <c r="AH52" i="15"/>
  <c r="AL48" i="15"/>
  <c r="AM27" i="15"/>
  <c r="AL27" i="15"/>
  <c r="AI21" i="15"/>
  <c r="AJ24" i="15"/>
  <c r="AM9" i="15"/>
  <c r="AH18" i="15"/>
  <c r="AJ55" i="15"/>
  <c r="AH24" i="15"/>
  <c r="AL36" i="15"/>
  <c r="AJ30" i="15"/>
  <c r="AL34" i="15"/>
  <c r="AI10" i="15"/>
  <c r="AH55" i="15"/>
  <c r="AK34" i="15"/>
  <c r="AI48" i="15"/>
  <c r="AK48" i="15"/>
  <c r="AK10" i="15"/>
  <c r="AM10" i="15"/>
  <c r="AM18" i="15"/>
  <c r="AJ18" i="15"/>
  <c r="AH27" i="15"/>
  <c r="AK24" i="15"/>
  <c r="AL24" i="15"/>
  <c r="AH21" i="15"/>
  <c r="AH30" i="15"/>
  <c r="AM53" i="15"/>
  <c r="AH53" i="15"/>
  <c r="AI52" i="15"/>
  <c r="AJ48" i="15"/>
  <c r="AH10" i="15"/>
  <c r="AJ10" i="15"/>
  <c r="AI18" i="15"/>
  <c r="AI27" i="15"/>
  <c r="AM24" i="15"/>
  <c r="AJ21" i="15"/>
  <c r="AJ11" i="15"/>
  <c r="AK37" i="15"/>
  <c r="AM30" i="15"/>
  <c r="AI53" i="15"/>
  <c r="AJ52" i="15"/>
  <c r="AK52" i="15"/>
  <c r="AJ27" i="15"/>
  <c r="AK21" i="15"/>
  <c r="AM21" i="15"/>
  <c r="AL11" i="15"/>
  <c r="AM28" i="15"/>
  <c r="AI9" i="15"/>
  <c r="AM43" i="15"/>
  <c r="AM50" i="15"/>
  <c r="AL26" i="15"/>
  <c r="AH23" i="15"/>
  <c r="AM46" i="15"/>
  <c r="AJ51" i="15"/>
  <c r="AV16" i="15"/>
  <c r="AM41" i="15"/>
  <c r="AI13" i="15"/>
  <c r="AJ3" i="15"/>
  <c r="AL3" i="15"/>
  <c r="AI38" i="15"/>
  <c r="AM44" i="15"/>
  <c r="AI44" i="15"/>
  <c r="AL37" i="15"/>
  <c r="AI35" i="15"/>
  <c r="AK26" i="15"/>
  <c r="AI5" i="15"/>
  <c r="AK13" i="15"/>
  <c r="AI3" i="15"/>
  <c r="AM40" i="15"/>
  <c r="AL44" i="15"/>
  <c r="AK47" i="15"/>
  <c r="AV19" i="15"/>
  <c r="AM32" i="15"/>
  <c r="AH7" i="15"/>
  <c r="AH54" i="15"/>
  <c r="AI51" i="15"/>
  <c r="AJ43" i="15"/>
  <c r="AV18" i="15"/>
  <c r="AL50" i="15"/>
  <c r="AH5" i="15"/>
  <c r="AH38" i="15"/>
  <c r="AK40" i="15"/>
  <c r="AJ40" i="15"/>
  <c r="AK28" i="15"/>
  <c r="AI28" i="15"/>
  <c r="AH35" i="15"/>
  <c r="AJ26" i="15"/>
  <c r="AM26" i="15"/>
  <c r="AI47" i="15"/>
  <c r="AI23" i="15"/>
  <c r="AJ32" i="15"/>
  <c r="AJ7" i="15"/>
  <c r="AH15" i="15"/>
  <c r="AJ54" i="15"/>
  <c r="AH51" i="15"/>
  <c r="AK43" i="15"/>
  <c r="AK50" i="15"/>
  <c r="AL5" i="15"/>
  <c r="AJ5" i="15"/>
  <c r="AM38" i="15"/>
  <c r="AJ38" i="15"/>
  <c r="AH40" i="15"/>
  <c r="AJ28" i="15"/>
  <c r="AH28" i="15"/>
  <c r="AI26" i="15"/>
  <c r="AH47" i="15"/>
  <c r="AM47" i="15"/>
  <c r="AH16" i="15"/>
  <c r="AM49" i="15"/>
  <c r="AL23" i="15"/>
  <c r="AH32" i="15"/>
  <c r="AH17" i="15"/>
  <c r="AK7" i="15"/>
  <c r="AM15" i="15"/>
  <c r="AL54" i="15"/>
  <c r="AM54" i="15"/>
  <c r="AM51" i="15"/>
  <c r="AH43" i="15"/>
  <c r="AI50" i="15"/>
  <c r="AM5" i="15"/>
  <c r="AL38" i="15"/>
  <c r="AL47" i="15"/>
  <c r="AI16" i="15"/>
  <c r="AL32" i="15"/>
  <c r="AI12" i="15"/>
  <c r="AM19" i="15"/>
  <c r="AL8" i="15"/>
  <c r="AI8" i="15"/>
  <c r="AM14" i="15"/>
  <c r="AM55" i="15"/>
  <c r="AL55" i="15"/>
  <c r="AV21" i="15"/>
  <c r="AH11" i="15"/>
  <c r="AM11" i="15"/>
  <c r="AV44" i="15"/>
  <c r="AI36" i="15"/>
  <c r="AM37" i="15"/>
  <c r="AI30" i="15"/>
  <c r="AJ35" i="15"/>
  <c r="AL35" i="15"/>
  <c r="AI34" i="15"/>
  <c r="AL4" i="15"/>
  <c r="AL9" i="15"/>
  <c r="AK9" i="15"/>
  <c r="AM16" i="15"/>
  <c r="AM29" i="15"/>
  <c r="AL49" i="15"/>
  <c r="AI49" i="15"/>
  <c r="AK23" i="15"/>
  <c r="AJ23" i="15"/>
  <c r="AI32" i="15"/>
  <c r="AJ42" i="15"/>
  <c r="AM17" i="15"/>
  <c r="AK17" i="15"/>
  <c r="AI7" i="15"/>
  <c r="AM7" i="15"/>
  <c r="AM20" i="15"/>
  <c r="AI15" i="15"/>
  <c r="AI46" i="15"/>
  <c r="AH46" i="15"/>
  <c r="AL19" i="15"/>
  <c r="AK19" i="15"/>
  <c r="AL12" i="15"/>
  <c r="AK12" i="15"/>
  <c r="AI29" i="15"/>
  <c r="AI42" i="15"/>
  <c r="AK20" i="15"/>
  <c r="AJ20" i="15"/>
  <c r="AV54" i="15"/>
  <c r="AI19" i="15"/>
  <c r="AV20" i="15"/>
  <c r="AK8" i="15"/>
  <c r="AM8" i="15"/>
  <c r="AI14" i="15"/>
  <c r="AJ14" i="15"/>
  <c r="AK55" i="15"/>
  <c r="AK11" i="15"/>
  <c r="AH36" i="15"/>
  <c r="AJ36" i="15"/>
  <c r="AJ37" i="15"/>
  <c r="AK30" i="15"/>
  <c r="AM35" i="15"/>
  <c r="AV42" i="15"/>
  <c r="AJ34" i="15"/>
  <c r="AH4" i="15"/>
  <c r="AM4" i="15"/>
  <c r="AH9" i="15"/>
  <c r="AV55" i="15"/>
  <c r="AL16" i="15"/>
  <c r="AK29" i="15"/>
  <c r="AL29" i="15"/>
  <c r="AK49" i="15"/>
  <c r="AH49" i="15"/>
  <c r="AM42" i="15"/>
  <c r="AK42" i="15"/>
  <c r="AL17" i="15"/>
  <c r="AI17" i="15"/>
  <c r="AH20" i="15"/>
  <c r="AL15" i="15"/>
  <c r="AJ15" i="15"/>
  <c r="AJ46" i="15"/>
  <c r="AK46" i="15"/>
  <c r="AJ19" i="15"/>
  <c r="AM12" i="15"/>
  <c r="AJ12" i="15"/>
  <c r="AH14" i="15"/>
  <c r="AK36" i="15"/>
  <c r="AH37" i="15"/>
  <c r="AV43" i="15"/>
  <c r="AM34" i="15"/>
  <c r="AK4" i="15"/>
  <c r="AV17" i="15"/>
  <c r="AK16" i="15"/>
  <c r="AH29" i="15"/>
  <c r="AH42" i="15"/>
  <c r="AV15" i="15"/>
  <c r="AL20" i="15"/>
  <c r="AP39" i="15" l="1"/>
  <c r="AQ33" i="15"/>
  <c r="AQ22" i="15"/>
  <c r="AP36" i="15"/>
  <c r="AQ11" i="15"/>
  <c r="AP33" i="15"/>
  <c r="AQ28" i="15"/>
  <c r="AP3" i="15"/>
  <c r="AQ55" i="15"/>
  <c r="AP13" i="15"/>
  <c r="AP50" i="15"/>
  <c r="AP34" i="15"/>
  <c r="AQ30" i="15"/>
  <c r="E50" i="36"/>
  <c r="S61" i="17"/>
  <c r="S62" i="17"/>
  <c r="E51" i="36"/>
  <c r="S19" i="17"/>
  <c r="E8" i="36"/>
  <c r="S26" i="17"/>
  <c r="E15" i="36"/>
  <c r="E21" i="36"/>
  <c r="S32" i="17"/>
  <c r="S24" i="17"/>
  <c r="E13" i="36"/>
  <c r="E20" i="36"/>
  <c r="S31" i="17"/>
  <c r="E6" i="36"/>
  <c r="S17" i="17"/>
  <c r="S52" i="17"/>
  <c r="E7" i="36"/>
  <c r="S18" i="17"/>
  <c r="S47" i="17"/>
  <c r="E36" i="36"/>
  <c r="E34" i="36"/>
  <c r="S45" i="17"/>
  <c r="S39" i="17"/>
  <c r="E28" i="36"/>
  <c r="E10" i="36"/>
  <c r="S21" i="17"/>
  <c r="S60" i="17"/>
  <c r="S16" i="17"/>
  <c r="E5" i="36"/>
  <c r="E38" i="36"/>
  <c r="S49" i="17"/>
  <c r="S43" i="17"/>
  <c r="E37" i="36"/>
  <c r="S48" i="17"/>
  <c r="E45" i="36"/>
  <c r="S56" i="17"/>
  <c r="S65" i="17"/>
  <c r="S64" i="17"/>
  <c r="E53" i="36"/>
  <c r="S29" i="17"/>
  <c r="E18" i="36"/>
  <c r="E12" i="36"/>
  <c r="S23" i="17"/>
  <c r="S41" i="17"/>
  <c r="E30" i="36"/>
  <c r="S51" i="17"/>
  <c r="S58" i="17"/>
  <c r="E47" i="36"/>
  <c r="E16" i="36"/>
  <c r="S27" i="17"/>
  <c r="V71" i="17"/>
  <c r="E35" i="18" s="1"/>
  <c r="R15" i="17"/>
  <c r="E29" i="36" s="1"/>
  <c r="S20" i="17"/>
  <c r="E9" i="36"/>
  <c r="S50" i="17"/>
  <c r="S36" i="17"/>
  <c r="E25" i="36"/>
  <c r="E33" i="36"/>
  <c r="S44" i="17"/>
  <c r="E48" i="36"/>
  <c r="S59" i="17"/>
  <c r="S66" i="17"/>
  <c r="S25" i="17"/>
  <c r="E14" i="36"/>
  <c r="S30" i="17"/>
  <c r="E19" i="36"/>
  <c r="S40" i="17"/>
  <c r="S28" i="17"/>
  <c r="E17" i="36"/>
  <c r="E22" i="36"/>
  <c r="S33" i="17"/>
  <c r="E23" i="36"/>
  <c r="S34" i="17"/>
  <c r="S63" i="17"/>
  <c r="E52" i="36"/>
  <c r="K70" i="17"/>
  <c r="K71" i="17" s="1"/>
  <c r="R13" i="39"/>
  <c r="S55" i="17"/>
  <c r="E44" i="36"/>
  <c r="E26" i="36"/>
  <c r="S37" i="17"/>
  <c r="S22" i="17"/>
  <c r="E11" i="36"/>
  <c r="S53" i="17"/>
  <c r="E42" i="36"/>
  <c r="S38" i="17"/>
  <c r="E27" i="36"/>
  <c r="S35" i="17"/>
  <c r="E24" i="36"/>
  <c r="S42" i="17"/>
  <c r="E31" i="36"/>
  <c r="S54" i="17"/>
  <c r="E43" i="36"/>
  <c r="S46" i="17"/>
  <c r="E35" i="36"/>
  <c r="E46" i="36"/>
  <c r="S57" i="17"/>
  <c r="AP44" i="15"/>
  <c r="AP27" i="15"/>
  <c r="AQ4" i="15"/>
  <c r="AV51" i="15"/>
  <c r="AV39" i="15"/>
  <c r="AQ13" i="15"/>
  <c r="AV48" i="15"/>
  <c r="AQ51" i="15"/>
  <c r="AQ24" i="15"/>
  <c r="AQ21" i="15"/>
  <c r="AP8" i="15"/>
  <c r="AP31" i="15"/>
  <c r="AQ42" i="15"/>
  <c r="AQ43" i="15"/>
  <c r="AV32" i="15"/>
  <c r="AP12" i="15"/>
  <c r="AP19" i="15"/>
  <c r="AP45" i="15"/>
  <c r="AQ25" i="15"/>
  <c r="AP46" i="15"/>
  <c r="AP26" i="15"/>
  <c r="AP25" i="15"/>
  <c r="AQ41" i="15"/>
  <c r="AV25" i="15"/>
  <c r="AP23" i="15"/>
  <c r="AQ18" i="15"/>
  <c r="AQ31" i="15"/>
  <c r="AV12" i="15"/>
  <c r="AQ45" i="15"/>
  <c r="AP21" i="15"/>
  <c r="AP22" i="15"/>
  <c r="AQ14" i="15"/>
  <c r="AQ20" i="15"/>
  <c r="AV24" i="15"/>
  <c r="AQ46" i="15"/>
  <c r="AQ7" i="15"/>
  <c r="AV22" i="15"/>
  <c r="AQ54" i="15"/>
  <c r="AQ53" i="15"/>
  <c r="AQ52" i="15"/>
  <c r="AP18" i="15"/>
  <c r="AQ39" i="15"/>
  <c r="AP6" i="15"/>
  <c r="AP41" i="15"/>
  <c r="AQ40" i="15"/>
  <c r="AQ10" i="15"/>
  <c r="AV47" i="15"/>
  <c r="AV28" i="15"/>
  <c r="AV45" i="15"/>
  <c r="AV29" i="15"/>
  <c r="AV50" i="15"/>
  <c r="AV30" i="15"/>
  <c r="AV36" i="15"/>
  <c r="AV53" i="15"/>
  <c r="AQ37" i="15"/>
  <c r="AV26" i="15"/>
  <c r="AV27" i="15"/>
  <c r="AV52" i="15"/>
  <c r="AV49" i="15"/>
  <c r="AV14" i="15"/>
  <c r="AV34" i="15"/>
  <c r="AP55" i="15"/>
  <c r="AV11" i="15"/>
  <c r="AQ35" i="15"/>
  <c r="AP5" i="15"/>
  <c r="AP48" i="15"/>
  <c r="AQ38" i="15"/>
  <c r="AV37" i="15"/>
  <c r="AV33" i="15"/>
  <c r="AV41" i="15"/>
  <c r="AV40" i="15"/>
  <c r="AV13" i="15"/>
  <c r="AQ26" i="15"/>
  <c r="AV35" i="15"/>
  <c r="AQ16" i="15"/>
  <c r="AP52" i="15"/>
  <c r="AQ9" i="15"/>
  <c r="AP40" i="15"/>
  <c r="AQ44" i="15"/>
  <c r="AQ29" i="15"/>
  <c r="AP43" i="15"/>
  <c r="AQ48" i="15"/>
  <c r="AQ36" i="15"/>
  <c r="AQ27" i="15"/>
  <c r="AP9" i="15"/>
  <c r="AP17" i="15"/>
  <c r="AP30" i="15"/>
  <c r="AQ34" i="15"/>
  <c r="AP24" i="15"/>
  <c r="AP53" i="15"/>
  <c r="AQ3" i="15"/>
  <c r="AP10" i="15"/>
  <c r="AP7" i="15"/>
  <c r="AP28" i="15"/>
  <c r="AP35" i="15"/>
  <c r="AQ5" i="15"/>
  <c r="AP47" i="15"/>
  <c r="AP11" i="15"/>
  <c r="AP4" i="15"/>
  <c r="AP15" i="15"/>
  <c r="AQ23" i="15"/>
  <c r="AP54" i="15"/>
  <c r="AP49" i="15"/>
  <c r="AP32" i="15"/>
  <c r="AQ8" i="15"/>
  <c r="AQ32" i="15"/>
  <c r="AP51" i="15"/>
  <c r="AQ50" i="15"/>
  <c r="AQ12" i="15"/>
  <c r="AP38" i="15"/>
  <c r="AP16" i="15"/>
  <c r="AQ47" i="15"/>
  <c r="AQ15" i="15"/>
  <c r="AQ17" i="15"/>
  <c r="AQ19" i="15"/>
  <c r="AQ49" i="15"/>
  <c r="AP20" i="15"/>
  <c r="AP29" i="15"/>
  <c r="AP42" i="15"/>
  <c r="AP37" i="15"/>
  <c r="AP14" i="15"/>
  <c r="E54" i="36" l="1"/>
  <c r="E55" i="36"/>
  <c r="E49" i="36"/>
  <c r="E41" i="36"/>
  <c r="E40" i="36"/>
  <c r="E39" i="36"/>
  <c r="F42" i="36"/>
  <c r="G42" i="36" s="1"/>
  <c r="H42" i="36" s="1"/>
  <c r="E32" i="36"/>
  <c r="F31" i="36"/>
  <c r="G31" i="36" s="1"/>
  <c r="H31" i="36" s="1"/>
  <c r="F11" i="36"/>
  <c r="G11" i="36" s="1"/>
  <c r="H11" i="36" s="1"/>
  <c r="F35" i="36"/>
  <c r="G35" i="36" s="1"/>
  <c r="H35" i="36" s="1"/>
  <c r="F18" i="36"/>
  <c r="G18" i="36" s="1"/>
  <c r="H18" i="36" s="1"/>
  <c r="F46" i="36"/>
  <c r="G46" i="36" s="1"/>
  <c r="H46" i="36" s="1"/>
  <c r="F23" i="36"/>
  <c r="G23" i="36" s="1"/>
  <c r="H23" i="36" s="1"/>
  <c r="AR30" i="15"/>
  <c r="F22" i="36"/>
  <c r="G22" i="36" s="1"/>
  <c r="H22" i="36" s="1"/>
  <c r="F14" i="36"/>
  <c r="G14" i="36" s="1"/>
  <c r="H14" i="36" s="1"/>
  <c r="F45" i="36"/>
  <c r="G45" i="36" s="1"/>
  <c r="H45" i="36" s="1"/>
  <c r="F43" i="36"/>
  <c r="G43" i="36" s="1"/>
  <c r="H43" i="36" s="1"/>
  <c r="F9" i="36"/>
  <c r="G9" i="36" s="1"/>
  <c r="H9" i="36" s="1"/>
  <c r="F53" i="36"/>
  <c r="G53" i="36" s="1"/>
  <c r="H53" i="36" s="1"/>
  <c r="F33" i="36"/>
  <c r="G33" i="36" s="1"/>
  <c r="H33" i="36" s="1"/>
  <c r="F44" i="36"/>
  <c r="G44" i="36" s="1"/>
  <c r="H44" i="36" s="1"/>
  <c r="AR22" i="15"/>
  <c r="F24" i="36"/>
  <c r="G24" i="36" s="1"/>
  <c r="H24" i="36" s="1"/>
  <c r="F30" i="36"/>
  <c r="G30" i="36" s="1"/>
  <c r="H30" i="36" s="1"/>
  <c r="F26" i="36"/>
  <c r="G26" i="36" s="1"/>
  <c r="H26" i="36" s="1"/>
  <c r="F38" i="36"/>
  <c r="G38" i="36" s="1"/>
  <c r="H38" i="36" s="1"/>
  <c r="F16" i="36"/>
  <c r="G16" i="36" s="1"/>
  <c r="H16" i="36" s="1"/>
  <c r="F12" i="36"/>
  <c r="G12" i="36" s="1"/>
  <c r="H12" i="36" s="1"/>
  <c r="F10" i="36"/>
  <c r="G10" i="36" s="1"/>
  <c r="H10" i="36" s="1"/>
  <c r="F34" i="36"/>
  <c r="G34" i="36" s="1"/>
  <c r="H34" i="36" s="1"/>
  <c r="F7" i="36"/>
  <c r="G7" i="36" s="1"/>
  <c r="H7" i="36" s="1"/>
  <c r="F6" i="36"/>
  <c r="G6" i="36" s="1"/>
  <c r="H6" i="36" s="1"/>
  <c r="F52" i="36"/>
  <c r="G52" i="36" s="1"/>
  <c r="H52" i="36" s="1"/>
  <c r="F25" i="36"/>
  <c r="G25" i="36" s="1"/>
  <c r="H25" i="36" s="1"/>
  <c r="F5" i="36"/>
  <c r="G5" i="36" s="1"/>
  <c r="H5" i="36" s="1"/>
  <c r="F13" i="36"/>
  <c r="G13" i="36" s="1"/>
  <c r="H13" i="36" s="1"/>
  <c r="F15" i="36"/>
  <c r="G15" i="36" s="1"/>
  <c r="H15" i="36" s="1"/>
  <c r="F51" i="36"/>
  <c r="G51" i="36" s="1"/>
  <c r="H51" i="36" s="1"/>
  <c r="F37" i="36"/>
  <c r="G37" i="36" s="1"/>
  <c r="H37" i="36" s="1"/>
  <c r="F20" i="36"/>
  <c r="G20" i="36" s="1"/>
  <c r="H20" i="36" s="1"/>
  <c r="F21" i="36"/>
  <c r="G21" i="36" s="1"/>
  <c r="H21" i="36" s="1"/>
  <c r="F50" i="36"/>
  <c r="G50" i="36" s="1"/>
  <c r="H50" i="36" s="1"/>
  <c r="F17" i="36"/>
  <c r="G17" i="36" s="1"/>
  <c r="H17" i="36" s="1"/>
  <c r="F19" i="36"/>
  <c r="G19" i="36" s="1"/>
  <c r="H19" i="36" s="1"/>
  <c r="F47" i="36"/>
  <c r="G47" i="36" s="1"/>
  <c r="H47" i="36" s="1"/>
  <c r="F28" i="36"/>
  <c r="G28" i="36" s="1"/>
  <c r="H28" i="36" s="1"/>
  <c r="F36" i="36"/>
  <c r="G36" i="36" s="1"/>
  <c r="H36" i="36" s="1"/>
  <c r="F8" i="36"/>
  <c r="G8" i="36" s="1"/>
  <c r="H8" i="36" s="1"/>
  <c r="S15" i="17"/>
  <c r="F29" i="36" s="1"/>
  <c r="G29" i="36" s="1"/>
  <c r="H29" i="36" s="1"/>
  <c r="E4" i="36"/>
  <c r="R71" i="17"/>
  <c r="E32" i="18" s="1"/>
  <c r="R70" i="17"/>
  <c r="AR13" i="15"/>
  <c r="AR46" i="15"/>
  <c r="AR15" i="15"/>
  <c r="AR43" i="15"/>
  <c r="AR44" i="15"/>
  <c r="AR25" i="15"/>
  <c r="AR26" i="15"/>
  <c r="AR42" i="15"/>
  <c r="AR41" i="15"/>
  <c r="AR31" i="15"/>
  <c r="AR45" i="15"/>
  <c r="AR8" i="15"/>
  <c r="AR27" i="15"/>
  <c r="AR7" i="15"/>
  <c r="AR28" i="15"/>
  <c r="AR39" i="15"/>
  <c r="AR6" i="15"/>
  <c r="AR37" i="15"/>
  <c r="AR35" i="15"/>
  <c r="AR55" i="15"/>
  <c r="AR54" i="15"/>
  <c r="AR40" i="15"/>
  <c r="AR53" i="15"/>
  <c r="AR38" i="15"/>
  <c r="AR52" i="15"/>
  <c r="AR12" i="15"/>
  <c r="AR29" i="15"/>
  <c r="AR9" i="15"/>
  <c r="AR24" i="15"/>
  <c r="AR11" i="15"/>
  <c r="AR14" i="15"/>
  <c r="AR18" i="15"/>
  <c r="AR23" i="15"/>
  <c r="AR34" i="15"/>
  <c r="AR48" i="15"/>
  <c r="AR36" i="15"/>
  <c r="AR10" i="15"/>
  <c r="AR5" i="15"/>
  <c r="AR33" i="15"/>
  <c r="AR32" i="15"/>
  <c r="AR17" i="15"/>
  <c r="AR47" i="15"/>
  <c r="AR16" i="15"/>
  <c r="AR19" i="15"/>
  <c r="AR51" i="15"/>
  <c r="AR49" i="15"/>
  <c r="AR50" i="15"/>
  <c r="AR21" i="15"/>
  <c r="AR20" i="15"/>
  <c r="F27" i="36" l="1"/>
  <c r="G27" i="36" s="1"/>
  <c r="H27" i="36" s="1"/>
  <c r="F54" i="36"/>
  <c r="G54" i="36" s="1"/>
  <c r="H54" i="36" s="1"/>
  <c r="F55" i="36"/>
  <c r="G55" i="36" s="1"/>
  <c r="H55" i="36" s="1"/>
  <c r="F49" i="36"/>
  <c r="G49" i="36" s="1"/>
  <c r="H49" i="36" s="1"/>
  <c r="F48" i="36"/>
  <c r="G48" i="36" s="1"/>
  <c r="H48" i="36" s="1"/>
  <c r="F41" i="36"/>
  <c r="G41" i="36" s="1"/>
  <c r="H41" i="36" s="1"/>
  <c r="F40" i="36"/>
  <c r="G40" i="36" s="1"/>
  <c r="H40" i="36" s="1"/>
  <c r="F39" i="36"/>
  <c r="G39" i="36" s="1"/>
  <c r="H39" i="36" s="1"/>
  <c r="F32" i="36"/>
  <c r="G32" i="36" s="1"/>
  <c r="H32" i="36" s="1"/>
  <c r="S71" i="17"/>
  <c r="E33" i="18" s="1"/>
  <c r="S70" i="17"/>
  <c r="D33" i="18" s="1"/>
  <c r="F4" i="36"/>
  <c r="G4" i="36" s="1"/>
  <c r="H4" i="36" s="1"/>
  <c r="D32" i="18"/>
  <c r="C12" i="37" l="1"/>
  <c r="B21" i="26" l="1"/>
  <c r="B25" i="26" l="1"/>
  <c r="H7" i="11" s="1"/>
  <c r="B22" i="26" s="1"/>
  <c r="B24" i="26" s="1"/>
  <c r="B43" i="26" s="1"/>
  <c r="C43" i="26" l="1"/>
  <c r="D15" i="35"/>
  <c r="I4" i="17"/>
  <c r="B5" i="39" l="1"/>
  <c r="J4" i="17"/>
  <c r="E21" i="26" l="1"/>
  <c r="E25" i="26" s="1"/>
  <c r="H21" i="11" s="1"/>
  <c r="E22" i="26" s="1"/>
  <c r="E24" i="26" l="1"/>
  <c r="B45" i="26" s="1"/>
  <c r="D17" i="35" s="1"/>
  <c r="I6" i="17" l="1"/>
  <c r="C7" i="37"/>
  <c r="F21" i="26"/>
  <c r="J6" i="17" l="1"/>
  <c r="B7" i="39"/>
  <c r="B14" i="39" s="1"/>
  <c r="H21" i="26"/>
  <c r="H24" i="26" s="1"/>
  <c r="I16" i="11" s="1"/>
  <c r="F25" i="26"/>
  <c r="J27" i="11" s="1"/>
  <c r="F22" i="26" l="1"/>
  <c r="H25" i="26"/>
  <c r="J16" i="11" s="1"/>
  <c r="C21" i="26"/>
  <c r="C25" i="26" s="1"/>
  <c r="H22" i="26" l="1"/>
  <c r="F24" i="26"/>
  <c r="B27" i="26"/>
  <c r="B26" i="11" s="1"/>
  <c r="H11" i="11"/>
  <c r="B47" i="26" l="1"/>
  <c r="B46" i="26"/>
  <c r="C16" i="11"/>
  <c r="C22" i="26"/>
  <c r="C24" i="26" s="1"/>
  <c r="B44" i="26" s="1"/>
  <c r="D18" i="35" l="1"/>
  <c r="C46" i="26"/>
  <c r="C8" i="37"/>
  <c r="I7" i="17"/>
  <c r="C11" i="37"/>
  <c r="C47" i="26"/>
  <c r="M18" i="17"/>
  <c r="T18" i="17" s="1"/>
  <c r="N33" i="17"/>
  <c r="N20" i="17"/>
  <c r="D16" i="35"/>
  <c r="M40" i="17"/>
  <c r="T40" i="17" s="1"/>
  <c r="N54" i="17"/>
  <c r="M51" i="17"/>
  <c r="T51" i="17" s="1"/>
  <c r="N63" i="17"/>
  <c r="N29" i="17"/>
  <c r="N53" i="17"/>
  <c r="N60" i="17"/>
  <c r="N49" i="17"/>
  <c r="N59" i="17"/>
  <c r="M48" i="17"/>
  <c r="T48" i="17" s="1"/>
  <c r="M46" i="17"/>
  <c r="T46" i="17" s="1"/>
  <c r="M24" i="17"/>
  <c r="T24" i="17" s="1"/>
  <c r="N62" i="17"/>
  <c r="M19" i="17"/>
  <c r="T19" i="17" s="1"/>
  <c r="N45" i="17"/>
  <c r="M35" i="17"/>
  <c r="T35" i="17" s="1"/>
  <c r="M34" i="17"/>
  <c r="T34" i="17" s="1"/>
  <c r="N41" i="17"/>
  <c r="M26" i="17"/>
  <c r="T26" i="17" s="1"/>
  <c r="N57" i="17"/>
  <c r="N15" i="17"/>
  <c r="N16" i="17"/>
  <c r="N55" i="17"/>
  <c r="N39" i="17"/>
  <c r="M45" i="17"/>
  <c r="T45" i="17" s="1"/>
  <c r="M30" i="17"/>
  <c r="T30" i="17" s="1"/>
  <c r="M33" i="17"/>
  <c r="T33" i="17" s="1"/>
  <c r="N23" i="17"/>
  <c r="N47" i="17"/>
  <c r="M31" i="17"/>
  <c r="T31" i="17" s="1"/>
  <c r="M50" i="17"/>
  <c r="T50" i="17" s="1"/>
  <c r="N65" i="17"/>
  <c r="M62" i="17"/>
  <c r="T62" i="17" s="1"/>
  <c r="N64" i="17"/>
  <c r="M43" i="17"/>
  <c r="T43" i="17" s="1"/>
  <c r="M41" i="17"/>
  <c r="T41" i="17" s="1"/>
  <c r="M22" i="17"/>
  <c r="T22" i="17" s="1"/>
  <c r="M65" i="17"/>
  <c r="T65" i="17" s="1"/>
  <c r="M27" i="17"/>
  <c r="T27" i="17" s="1"/>
  <c r="N50" i="17"/>
  <c r="M67" i="17"/>
  <c r="T67" i="17" s="1"/>
  <c r="C44" i="26"/>
  <c r="N40" i="17"/>
  <c r="N52" i="17"/>
  <c r="N18" i="17"/>
  <c r="U18" i="17" s="1"/>
  <c r="M15" i="17"/>
  <c r="M16" i="17"/>
  <c r="T16" i="17" s="1"/>
  <c r="M55" i="17"/>
  <c r="T55" i="17" s="1"/>
  <c r="N19" i="17"/>
  <c r="N17" i="17"/>
  <c r="N36" i="17"/>
  <c r="M23" i="17"/>
  <c r="T23" i="17" s="1"/>
  <c r="N27" i="17"/>
  <c r="N32" i="17"/>
  <c r="M42" i="17"/>
  <c r="T42" i="17" s="1"/>
  <c r="N37" i="17"/>
  <c r="M57" i="17"/>
  <c r="T57" i="17" s="1"/>
  <c r="M52" i="17"/>
  <c r="T52" i="17" s="1"/>
  <c r="N44" i="17"/>
  <c r="M54" i="17"/>
  <c r="T54" i="17" s="1"/>
  <c r="C15" i="37"/>
  <c r="N30" i="17"/>
  <c r="N46" i="17"/>
  <c r="N24" i="17"/>
  <c r="N31" i="17"/>
  <c r="M49" i="17"/>
  <c r="T49" i="17" s="1"/>
  <c r="M39" i="17"/>
  <c r="T39" i="17" s="1"/>
  <c r="M37" i="17"/>
  <c r="T37" i="17" s="1"/>
  <c r="M63" i="17"/>
  <c r="T63" i="17" s="1"/>
  <c r="M29" i="17"/>
  <c r="T29" i="17" s="1"/>
  <c r="N25" i="17"/>
  <c r="M60" i="17"/>
  <c r="T60" i="17" s="1"/>
  <c r="N38" i="17"/>
  <c r="M21" i="17"/>
  <c r="T21" i="17" s="1"/>
  <c r="M47" i="17"/>
  <c r="T47" i="17" s="1"/>
  <c r="M36" i="17"/>
  <c r="T36" i="17" s="1"/>
  <c r="N61" i="17"/>
  <c r="N22" i="17"/>
  <c r="I5" i="17"/>
  <c r="N66" i="17"/>
  <c r="N58" i="17"/>
  <c r="N56" i="17"/>
  <c r="M28" i="17"/>
  <c r="T28" i="17" s="1"/>
  <c r="N48" i="17"/>
  <c r="N51" i="17"/>
  <c r="M66" i="17"/>
  <c r="T66" i="17" s="1"/>
  <c r="M56" i="17"/>
  <c r="T56" i="17" s="1"/>
  <c r="M38" i="17"/>
  <c r="T38" i="17" s="1"/>
  <c r="N21" i="17"/>
  <c r="N34" i="17"/>
  <c r="M59" i="17"/>
  <c r="T59" i="17" s="1"/>
  <c r="M17" i="17"/>
  <c r="T17" i="17" s="1"/>
  <c r="N43" i="17"/>
  <c r="N42" i="17"/>
  <c r="M61" i="17"/>
  <c r="T61" i="17" s="1"/>
  <c r="M20" i="17"/>
  <c r="T20" i="17" s="1"/>
  <c r="N67" i="17"/>
  <c r="U67" i="17" s="1"/>
  <c r="M44" i="17"/>
  <c r="T44" i="17" s="1"/>
  <c r="M58" i="17"/>
  <c r="T58" i="17" s="1"/>
  <c r="M32" i="17"/>
  <c r="T32" i="17" s="1"/>
  <c r="N35" i="17"/>
  <c r="M53" i="17"/>
  <c r="T53" i="17" s="1"/>
  <c r="N26" i="17"/>
  <c r="M25" i="17"/>
  <c r="T25" i="17" s="1"/>
  <c r="N28" i="17"/>
  <c r="M64" i="17"/>
  <c r="T64" i="17" s="1"/>
  <c r="G57" i="26" l="1"/>
  <c r="G55" i="26"/>
  <c r="G56" i="26"/>
  <c r="J7" i="17"/>
  <c r="B8" i="39"/>
  <c r="U34" i="17"/>
  <c r="U22" i="17"/>
  <c r="U46" i="17"/>
  <c r="U26" i="17"/>
  <c r="U31" i="17"/>
  <c r="U48" i="17"/>
  <c r="U40" i="17"/>
  <c r="U24" i="17"/>
  <c r="U30" i="17"/>
  <c r="U19" i="17"/>
  <c r="U50" i="17"/>
  <c r="U66" i="17"/>
  <c r="U52" i="17"/>
  <c r="U65" i="17"/>
  <c r="U39" i="17"/>
  <c r="U57" i="17"/>
  <c r="U49" i="17"/>
  <c r="U63" i="17"/>
  <c r="U44" i="17"/>
  <c r="U45" i="17"/>
  <c r="U21" i="17"/>
  <c r="U32" i="17"/>
  <c r="U17" i="17"/>
  <c r="U64" i="17"/>
  <c r="U16" i="17"/>
  <c r="U41" i="17"/>
  <c r="U53" i="17"/>
  <c r="U54" i="17"/>
  <c r="U33" i="17"/>
  <c r="U37" i="17"/>
  <c r="U23" i="17"/>
  <c r="U25" i="17"/>
  <c r="U36" i="17"/>
  <c r="U55" i="17"/>
  <c r="U60" i="17"/>
  <c r="U20" i="17"/>
  <c r="U42" i="17"/>
  <c r="U56" i="17"/>
  <c r="U28" i="17"/>
  <c r="U35" i="17"/>
  <c r="U43" i="17"/>
  <c r="U51" i="17"/>
  <c r="U58" i="17"/>
  <c r="U61" i="17"/>
  <c r="U38" i="17"/>
  <c r="U27" i="17"/>
  <c r="U47" i="17"/>
  <c r="U62" i="17"/>
  <c r="U59" i="17"/>
  <c r="U29" i="17"/>
  <c r="U15" i="17"/>
  <c r="AD15" i="36"/>
  <c r="AD46" i="36"/>
  <c r="AD34" i="36"/>
  <c r="AD31" i="36"/>
  <c r="AD52" i="36"/>
  <c r="AD50" i="36"/>
  <c r="AD22" i="36"/>
  <c r="AD51" i="36"/>
  <c r="AD16" i="36"/>
  <c r="AD37" i="36"/>
  <c r="AD17" i="36"/>
  <c r="AD38" i="36"/>
  <c r="AD6" i="36"/>
  <c r="AD20" i="36"/>
  <c r="AD23" i="36"/>
  <c r="AD21" i="36"/>
  <c r="AD18" i="36"/>
  <c r="AD42" i="36"/>
  <c r="X37" i="17"/>
  <c r="X31" i="17"/>
  <c r="X54" i="17"/>
  <c r="X45" i="17"/>
  <c r="X57" i="17"/>
  <c r="X35" i="17"/>
  <c r="X19" i="17"/>
  <c r="X64" i="17"/>
  <c r="X42" i="17"/>
  <c r="X18" i="17"/>
  <c r="X61" i="17"/>
  <c r="X40" i="17"/>
  <c r="X22" i="17"/>
  <c r="X65" i="17"/>
  <c r="X49" i="17"/>
  <c r="X51" i="17"/>
  <c r="X29" i="17"/>
  <c r="X53" i="17"/>
  <c r="X28" i="17"/>
  <c r="X38" i="17"/>
  <c r="X47" i="17"/>
  <c r="X30" i="17"/>
  <c r="X60" i="17"/>
  <c r="X17" i="17"/>
  <c r="X55" i="17"/>
  <c r="X46" i="17"/>
  <c r="X27" i="17"/>
  <c r="X15" i="17"/>
  <c r="X52" i="17"/>
  <c r="X36" i="17"/>
  <c r="X41" i="17"/>
  <c r="X67" i="17"/>
  <c r="X50" i="17"/>
  <c r="X39" i="17"/>
  <c r="X26" i="17"/>
  <c r="X25" i="17"/>
  <c r="X48" i="17"/>
  <c r="X43" i="17"/>
  <c r="X16" i="17"/>
  <c r="X59" i="17"/>
  <c r="X24" i="17"/>
  <c r="J5" i="17"/>
  <c r="L4" i="17" s="1"/>
  <c r="C50" i="36" s="1"/>
  <c r="X62" i="17"/>
  <c r="X21" i="17"/>
  <c r="X58" i="17"/>
  <c r="B6" i="39"/>
  <c r="X44" i="17"/>
  <c r="X34" i="17"/>
  <c r="X66" i="17"/>
  <c r="X32" i="17"/>
  <c r="X63" i="17"/>
  <c r="X23" i="17"/>
  <c r="X56" i="17"/>
  <c r="X33" i="17"/>
  <c r="X20" i="17"/>
  <c r="AD9" i="36"/>
  <c r="C9" i="36"/>
  <c r="AD53" i="36"/>
  <c r="C53" i="36"/>
  <c r="C30" i="36"/>
  <c r="AD30" i="36"/>
  <c r="C5" i="36"/>
  <c r="AD5" i="36"/>
  <c r="C12" i="36"/>
  <c r="AD12" i="36"/>
  <c r="C47" i="36"/>
  <c r="AD47" i="36"/>
  <c r="AD8" i="36"/>
  <c r="C8" i="36"/>
  <c r="AD13" i="36"/>
  <c r="C13" i="36"/>
  <c r="C28" i="36"/>
  <c r="AD28" i="36"/>
  <c r="C35" i="36"/>
  <c r="AD35" i="36"/>
  <c r="C43" i="36"/>
  <c r="AD43" i="36"/>
  <c r="AD11" i="36"/>
  <c r="C11" i="36"/>
  <c r="C14" i="36"/>
  <c r="AD14" i="36"/>
  <c r="AE13" i="36"/>
  <c r="T15" i="17"/>
  <c r="C32" i="36" s="1"/>
  <c r="M70" i="17"/>
  <c r="AD45" i="36"/>
  <c r="C45" i="36"/>
  <c r="C44" i="36"/>
  <c r="AD44" i="36"/>
  <c r="AD33" i="36"/>
  <c r="C33" i="36"/>
  <c r="AD10" i="36"/>
  <c r="C10" i="36"/>
  <c r="AD26" i="36"/>
  <c r="C26" i="36"/>
  <c r="AD25" i="36"/>
  <c r="C25" i="36"/>
  <c r="C19" i="36"/>
  <c r="AD19" i="36"/>
  <c r="C36" i="36"/>
  <c r="AD36" i="36"/>
  <c r="C24" i="36"/>
  <c r="AD24" i="36"/>
  <c r="C7" i="36"/>
  <c r="AD7" i="36"/>
  <c r="N70" i="17"/>
  <c r="B15" i="39" l="1"/>
  <c r="B16" i="39" s="1"/>
  <c r="B12" i="39"/>
  <c r="F62" i="26"/>
  <c r="AD4" i="36"/>
  <c r="C4" i="36"/>
  <c r="C27" i="36"/>
  <c r="AD27" i="36"/>
  <c r="C54" i="36"/>
  <c r="AD54" i="36"/>
  <c r="N71" i="17"/>
  <c r="C42" i="36"/>
  <c r="C46" i="36"/>
  <c r="C18" i="36"/>
  <c r="C6" i="36"/>
  <c r="C16" i="36"/>
  <c r="C52" i="36"/>
  <c r="C15" i="36"/>
  <c r="C21" i="36"/>
  <c r="D21" i="36" s="1"/>
  <c r="C51" i="36"/>
  <c r="C17" i="36"/>
  <c r="C22" i="36"/>
  <c r="C31" i="36"/>
  <c r="C23" i="36"/>
  <c r="C38" i="36"/>
  <c r="C37" i="36"/>
  <c r="C34" i="36"/>
  <c r="C20" i="36"/>
  <c r="C55" i="36"/>
  <c r="AD55" i="36"/>
  <c r="AD49" i="36"/>
  <c r="C49" i="36"/>
  <c r="C48" i="36"/>
  <c r="AD48" i="36"/>
  <c r="D13" i="36"/>
  <c r="D48" i="36"/>
  <c r="AE12" i="36"/>
  <c r="C41" i="36"/>
  <c r="AD41" i="36"/>
  <c r="D7" i="36"/>
  <c r="AE55" i="36"/>
  <c r="AE38" i="36"/>
  <c r="AE48" i="36"/>
  <c r="D36" i="36"/>
  <c r="AE5" i="36"/>
  <c r="AD40" i="36"/>
  <c r="AE54" i="36"/>
  <c r="D42" i="36"/>
  <c r="D32" i="36"/>
  <c r="C40" i="36"/>
  <c r="AE18" i="36"/>
  <c r="D49" i="36"/>
  <c r="D5" i="36"/>
  <c r="D33" i="36"/>
  <c r="D45" i="36"/>
  <c r="AD39" i="36"/>
  <c r="C39" i="36"/>
  <c r="AE10" i="36"/>
  <c r="AE36" i="36"/>
  <c r="AE4" i="36"/>
  <c r="D40" i="36"/>
  <c r="D8" i="36"/>
  <c r="AE44" i="36"/>
  <c r="D41" i="36"/>
  <c r="AE45" i="36"/>
  <c r="AE41" i="36"/>
  <c r="D44" i="36"/>
  <c r="AE8" i="36"/>
  <c r="AE49" i="36"/>
  <c r="AD32" i="36"/>
  <c r="D18" i="36"/>
  <c r="AE32" i="36"/>
  <c r="D4" i="36"/>
  <c r="AE7" i="36"/>
  <c r="D10" i="36"/>
  <c r="AE33" i="36"/>
  <c r="D55" i="36"/>
  <c r="AE42" i="36"/>
  <c r="D54" i="36"/>
  <c r="AE40" i="36"/>
  <c r="D12" i="36"/>
  <c r="D38" i="36"/>
  <c r="AE21" i="36"/>
  <c r="AE29" i="36"/>
  <c r="AE9" i="36"/>
  <c r="D9" i="36"/>
  <c r="AE31" i="36"/>
  <c r="D31" i="36"/>
  <c r="AE34" i="36"/>
  <c r="D34" i="36"/>
  <c r="D11" i="36"/>
  <c r="AE11" i="36"/>
  <c r="AE27" i="36"/>
  <c r="D27" i="36"/>
  <c r="D28" i="18"/>
  <c r="G28" i="18" s="1"/>
  <c r="C6" i="37"/>
  <c r="AE52" i="36"/>
  <c r="D52" i="36"/>
  <c r="D47" i="36"/>
  <c r="AE47" i="36"/>
  <c r="D46" i="36"/>
  <c r="AE46" i="36"/>
  <c r="X72" i="17"/>
  <c r="C4" i="37" s="1"/>
  <c r="X71" i="17"/>
  <c r="E30" i="18" s="1"/>
  <c r="X70" i="17"/>
  <c r="D19" i="36"/>
  <c r="AE19" i="36"/>
  <c r="AE14" i="36"/>
  <c r="D14" i="36"/>
  <c r="D28" i="36"/>
  <c r="AE28" i="36"/>
  <c r="AE35" i="36"/>
  <c r="D35" i="36"/>
  <c r="D30" i="36"/>
  <c r="AE30" i="36"/>
  <c r="C5" i="37"/>
  <c r="D29" i="18"/>
  <c r="G29" i="18" s="1"/>
  <c r="D17" i="36"/>
  <c r="AE17" i="36"/>
  <c r="AE6" i="36"/>
  <c r="D6" i="36"/>
  <c r="D53" i="36"/>
  <c r="AE53" i="36"/>
  <c r="AE51" i="36"/>
  <c r="D51" i="36"/>
  <c r="D24" i="36"/>
  <c r="AE24" i="36"/>
  <c r="AE23" i="36"/>
  <c r="D23" i="36"/>
  <c r="D16" i="36"/>
  <c r="AE16" i="36"/>
  <c r="D43" i="36"/>
  <c r="AE43" i="36"/>
  <c r="AE20" i="36"/>
  <c r="D20" i="36"/>
  <c r="D15" i="36"/>
  <c r="AE15" i="36"/>
  <c r="AE26" i="36"/>
  <c r="D26" i="36"/>
  <c r="AD29" i="36"/>
  <c r="C29" i="36"/>
  <c r="D29" i="36" s="1"/>
  <c r="D22" i="36"/>
  <c r="AE22" i="36"/>
  <c r="D50" i="36"/>
  <c r="AE50" i="36"/>
  <c r="AE39" i="36"/>
  <c r="D39" i="36"/>
  <c r="N64" i="39"/>
  <c r="N16" i="39"/>
  <c r="M59" i="39"/>
  <c r="N36" i="39"/>
  <c r="M13" i="39"/>
  <c r="N59" i="39"/>
  <c r="N14" i="39"/>
  <c r="M46" i="39"/>
  <c r="N23" i="39"/>
  <c r="M53" i="39"/>
  <c r="M16" i="39"/>
  <c r="N37" i="39"/>
  <c r="N26" i="39"/>
  <c r="M30" i="39"/>
  <c r="N62" i="39"/>
  <c r="M27" i="39"/>
  <c r="N63" i="39"/>
  <c r="M40" i="39"/>
  <c r="N42" i="39"/>
  <c r="N22" i="39"/>
  <c r="N41" i="39"/>
  <c r="N58" i="39"/>
  <c r="M33" i="39"/>
  <c r="M28" i="39"/>
  <c r="M50" i="39"/>
  <c r="M31" i="39"/>
  <c r="M57" i="39"/>
  <c r="M47" i="39"/>
  <c r="N45" i="39"/>
  <c r="M62" i="39"/>
  <c r="M51" i="39"/>
  <c r="M20" i="39"/>
  <c r="N53" i="39"/>
  <c r="M37" i="39"/>
  <c r="N33" i="39"/>
  <c r="N18" i="39"/>
  <c r="M60" i="39"/>
  <c r="N29" i="39"/>
  <c r="M26" i="39"/>
  <c r="M55" i="39"/>
  <c r="M41" i="39"/>
  <c r="M34" i="39"/>
  <c r="M38" i="39"/>
  <c r="M29" i="39"/>
  <c r="N39" i="39"/>
  <c r="M44" i="39"/>
  <c r="N52" i="39"/>
  <c r="M48" i="39"/>
  <c r="N57" i="39"/>
  <c r="N61" i="39"/>
  <c r="N54" i="39"/>
  <c r="N34" i="39"/>
  <c r="M15" i="39"/>
  <c r="M23" i="39"/>
  <c r="M24" i="39"/>
  <c r="M21" i="39"/>
  <c r="M17" i="39"/>
  <c r="M35" i="39"/>
  <c r="N17" i="39"/>
  <c r="N28" i="39"/>
  <c r="M54" i="39"/>
  <c r="M43" i="39"/>
  <c r="M42" i="39"/>
  <c r="N32" i="39"/>
  <c r="M63" i="39"/>
  <c r="M18" i="39"/>
  <c r="N35" i="39"/>
  <c r="N21" i="39"/>
  <c r="N31" i="39"/>
  <c r="M49" i="39"/>
  <c r="M39" i="39"/>
  <c r="N51" i="39"/>
  <c r="N46" i="39"/>
  <c r="N48" i="39"/>
  <c r="N27" i="39"/>
  <c r="N43" i="39"/>
  <c r="N47" i="39"/>
  <c r="N15" i="39"/>
  <c r="N44" i="39"/>
  <c r="N19" i="39"/>
  <c r="M25" i="39"/>
  <c r="B11" i="39"/>
  <c r="B13" i="39" s="1"/>
  <c r="N56" i="39"/>
  <c r="M52" i="39"/>
  <c r="M22" i="39"/>
  <c r="M45" i="39"/>
  <c r="M61" i="39"/>
  <c r="N30" i="39"/>
  <c r="N50" i="39"/>
  <c r="N38" i="39"/>
  <c r="N24" i="39"/>
  <c r="N60" i="39"/>
  <c r="M56" i="39"/>
  <c r="N49" i="39"/>
  <c r="N25" i="39"/>
  <c r="N55" i="39"/>
  <c r="M14" i="39"/>
  <c r="M58" i="39"/>
  <c r="M19" i="39"/>
  <c r="N40" i="39"/>
  <c r="N13" i="39"/>
  <c r="M64" i="39"/>
  <c r="M32" i="39"/>
  <c r="M36" i="39"/>
  <c r="N20" i="39"/>
  <c r="D25" i="36"/>
  <c r="AE25" i="36"/>
  <c r="D37" i="36"/>
  <c r="AE37" i="36"/>
  <c r="I62" i="26" l="1"/>
  <c r="H62" i="26"/>
  <c r="F63" i="26"/>
  <c r="D30" i="18"/>
  <c r="D11" i="35"/>
  <c r="I63" i="26" l="1"/>
  <c r="C13" i="37"/>
  <c r="H63" i="26"/>
  <c r="AA19" i="39" l="1"/>
  <c r="AA45" i="39"/>
  <c r="AA32" i="39"/>
  <c r="AA40" i="39"/>
  <c r="AA61" i="39"/>
  <c r="AA51" i="39"/>
  <c r="AA58" i="39"/>
  <c r="AA55" i="39"/>
  <c r="AA31" i="39"/>
  <c r="AA59" i="39"/>
  <c r="AA50" i="39"/>
  <c r="AA64" i="39"/>
  <c r="H66" i="26"/>
  <c r="AA27" i="39"/>
  <c r="AA25" i="39"/>
  <c r="AA20" i="39"/>
  <c r="AA29" i="39"/>
  <c r="AA42" i="39"/>
  <c r="AA15" i="39"/>
  <c r="AA43" i="39"/>
  <c r="AA33" i="39"/>
  <c r="AA49" i="39"/>
  <c r="AA52" i="39"/>
  <c r="AA35" i="39"/>
  <c r="AA34" i="39"/>
  <c r="AA36" i="39"/>
  <c r="AA63" i="39"/>
  <c r="AA46" i="39"/>
  <c r="AA53" i="39"/>
  <c r="AA54" i="39"/>
  <c r="AA14" i="39"/>
  <c r="AA44" i="39"/>
  <c r="AA21" i="39"/>
  <c r="AA47" i="39"/>
  <c r="AA37" i="39"/>
  <c r="AA39" i="39"/>
  <c r="AA56" i="39"/>
  <c r="AA38" i="39"/>
  <c r="AA30" i="39"/>
  <c r="AA17" i="39"/>
  <c r="AA60" i="39"/>
  <c r="AA41" i="39"/>
  <c r="AA18" i="39"/>
  <c r="AA48" i="39"/>
  <c r="AA24" i="39"/>
  <c r="AA23" i="39"/>
  <c r="AA57" i="39"/>
  <c r="AA26" i="39"/>
  <c r="AA13" i="39"/>
  <c r="AA22" i="39"/>
  <c r="AA16" i="39"/>
  <c r="AA62" i="39"/>
  <c r="AA28" i="39"/>
  <c r="AB28" i="39"/>
  <c r="AB16" i="39"/>
  <c r="AC16" i="39" s="1"/>
  <c r="AB22" i="39"/>
  <c r="AC22" i="39" s="1"/>
  <c r="AB41" i="39"/>
  <c r="AB56" i="39"/>
  <c r="AB14" i="39"/>
  <c r="AB13" i="39"/>
  <c r="AC13" i="39" s="1"/>
  <c r="AB26" i="39"/>
  <c r="AB21" i="39"/>
  <c r="AC21" i="39" s="1"/>
  <c r="AB33" i="39"/>
  <c r="AC33" i="39" s="1"/>
  <c r="AB38" i="39"/>
  <c r="AC38" i="39" s="1"/>
  <c r="AB40" i="39"/>
  <c r="AC40" i="39" s="1"/>
  <c r="AB44" i="39"/>
  <c r="AB34" i="39"/>
  <c r="AC34" i="39" s="1"/>
  <c r="AB25" i="39"/>
  <c r="AC25" i="39" s="1"/>
  <c r="AB35" i="39"/>
  <c r="AB46" i="39"/>
  <c r="AC46" i="39" s="1"/>
  <c r="AB17" i="39"/>
  <c r="AB52" i="39"/>
  <c r="AC52" i="39" s="1"/>
  <c r="AB54" i="39"/>
  <c r="AB43" i="39"/>
  <c r="AB61" i="39"/>
  <c r="AC61" i="39" s="1"/>
  <c r="AB59" i="39"/>
  <c r="AC59" i="39" s="1"/>
  <c r="AB47" i="39"/>
  <c r="AC47" i="39" s="1"/>
  <c r="AB24" i="39"/>
  <c r="AC24" i="39" s="1"/>
  <c r="AB62" i="39"/>
  <c r="AC62" i="39" s="1"/>
  <c r="AB53" i="39"/>
  <c r="AC53" i="39" s="1"/>
  <c r="AB29" i="39"/>
  <c r="AC29" i="39" s="1"/>
  <c r="AB31" i="39"/>
  <c r="AC31" i="39" s="1"/>
  <c r="AB57" i="39"/>
  <c r="AB15" i="39"/>
  <c r="AC15" i="39" s="1"/>
  <c r="AB37" i="39"/>
  <c r="AC37" i="39" s="1"/>
  <c r="AB30" i="39"/>
  <c r="AC30" i="39" s="1"/>
  <c r="AB36" i="39"/>
  <c r="AC36" i="39" s="1"/>
  <c r="AB58" i="39"/>
  <c r="AC58" i="39" s="1"/>
  <c r="AB49" i="39"/>
  <c r="AC49" i="39" s="1"/>
  <c r="I66" i="26"/>
  <c r="AB60" i="39"/>
  <c r="AC60" i="39" s="1"/>
  <c r="AB50" i="39"/>
  <c r="AC50" i="39" s="1"/>
  <c r="AB63" i="39"/>
  <c r="AC63" i="39" s="1"/>
  <c r="AB20" i="39"/>
  <c r="AB45" i="39"/>
  <c r="AC45" i="39" s="1"/>
  <c r="AB64" i="39"/>
  <c r="AC64" i="39" s="1"/>
  <c r="AB23" i="39"/>
  <c r="AB32" i="39"/>
  <c r="AC32" i="39" s="1"/>
  <c r="AB27" i="39"/>
  <c r="AC27" i="39" s="1"/>
  <c r="AB39" i="39"/>
  <c r="AC39" i="39" s="1"/>
  <c r="AB18" i="39"/>
  <c r="AC18" i="39" s="1"/>
  <c r="AB48" i="39"/>
  <c r="AC48" i="39" s="1"/>
  <c r="AB42" i="39"/>
  <c r="AC42" i="39" s="1"/>
  <c r="AB19" i="39"/>
  <c r="AC19" i="39" s="1"/>
  <c r="AB55" i="39"/>
  <c r="AB51" i="39"/>
  <c r="AC51" i="39" s="1"/>
  <c r="AC43" i="39" l="1"/>
  <c r="AC23" i="39"/>
  <c r="AC17" i="39"/>
  <c r="AC20" i="39"/>
  <c r="AC28" i="39"/>
  <c r="AC35" i="39"/>
  <c r="AC55" i="39"/>
  <c r="AC57" i="39"/>
  <c r="AC54" i="39"/>
  <c r="AC41" i="39"/>
  <c r="AC26" i="39"/>
  <c r="C50" i="18"/>
  <c r="H69" i="26"/>
  <c r="C53" i="18" s="1"/>
  <c r="B61" i="18" s="1"/>
  <c r="H71" i="26"/>
  <c r="AC14" i="39"/>
  <c r="J66" i="26"/>
  <c r="I71" i="26"/>
  <c r="AC44" i="39"/>
  <c r="AC56" i="3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11" authorId="0" shapeId="0" xr:uid="{00000000-0006-0000-0400-000001000000}">
      <text>
        <r>
          <rPr>
            <sz val="9"/>
            <color indexed="81"/>
            <rFont val="Tahoma"/>
            <family val="2"/>
          </rPr>
          <t xml:space="preserve">If your service has multiple types of intervention, and records demand in separate streams of data, then you may need to split it into several modalities. 
An example of this would be a diagnostic service, where you may have different types of X-rays, each of which may take a slightly different amount of time to complete.
</t>
        </r>
      </text>
    </comment>
    <comment ref="A13" authorId="0" shapeId="0" xr:uid="{00000000-0006-0000-0400-000002000000}">
      <text>
        <r>
          <rPr>
            <sz val="9"/>
            <color indexed="81"/>
            <rFont val="Tahoma"/>
            <family val="2"/>
          </rPr>
          <t>If your elective capacity is also regularly used for planned, or scheduled activity such as routine screenings, then you will need to estimate how much of your elective capacity needs to be reserved (or 'carved out') for this purpose.
An example of the type of activity that would fall into this category is planned CT scans following cancer treatment.</t>
        </r>
      </text>
    </comment>
    <comment ref="A15" authorId="0" shapeId="0" xr:uid="{00000000-0006-0000-0400-000003000000}">
      <text>
        <r>
          <rPr>
            <sz val="9"/>
            <color indexed="81"/>
            <rFont val="Tahoma"/>
            <family val="2"/>
          </rPr>
          <t>If your elective capacity is also regularly used for same-day, or emergency activity, then you will need to estimate how much of your elective capacity needs to be reserved (or 'carved out') for this purpose.
An example of the kind of activity that falls into this category is a walk-in patient who is seen on the same day.</t>
        </r>
      </text>
    </comment>
    <comment ref="A17" authorId="0" shapeId="0" xr:uid="{00000000-0006-0000-0400-000004000000}">
      <text>
        <r>
          <rPr>
            <sz val="9"/>
            <color indexed="81"/>
            <rFont val="Tahoma"/>
            <family val="2"/>
          </rPr>
          <t>Choose whatever units are most applicable to your service. 
If you have multiple modalities, where the clinic slots are different lengths, you can either estimate the typical clinic slot lengths for each modality, or normalise your clinics to a standard baseline.
An example of this would be 2 types of follow up appointments, where one (a) takes 20 minutes and the other (b) takes 30 minutes. 
You could use (a) as your baseline for a single slot, so (b) is effectively 1.5 slots.</t>
        </r>
      </text>
    </comment>
    <comment ref="A19" authorId="0" shapeId="0" xr:uid="{00000000-0006-0000-0400-000005000000}">
      <text>
        <r>
          <rPr>
            <sz val="9"/>
            <color indexed="81"/>
            <rFont val="Tahoma"/>
            <family val="2"/>
          </rPr>
          <t>The lower bound for percentile calculation is used to estimate the lower range of required capacity. 
This is normally set to the 65th percentile of variation of demand, and will be suitable for most services. 
If your service is highly variable, or has a high urgency profile (eg cancer or other 2 week wait services), then it may be appropriate to choose a higher percentile value.
The trade off with a higher percentile value is that the required capacity estimate will be higher, therefore incurring higher resourcing costs.</t>
        </r>
      </text>
    </comment>
    <comment ref="A21" authorId="0" shapeId="0" xr:uid="{00000000-0006-0000-0400-000006000000}">
      <text>
        <r>
          <rPr>
            <sz val="9"/>
            <color indexed="81"/>
            <rFont val="Tahoma"/>
            <family val="2"/>
          </rPr>
          <t xml:space="preserve">This will set the names of the different levels of urgency. 
Note that the model will automatically calculate the proportion of different urgencies based on the demand data you have entered, and the baseline period you select in the 'SPC Chart' section. </t>
        </r>
      </text>
    </comment>
    <comment ref="G26" authorId="0" shapeId="0" xr:uid="{00000000-0006-0000-0400-000007000000}">
      <text>
        <r>
          <rPr>
            <sz val="9"/>
            <color indexed="81"/>
            <rFont val="Tahoma"/>
            <family val="2"/>
          </rPr>
          <t>Update this field with the most current waiting list information you possess - this will help you track your waiting list position against the calculated sustainable wait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0500-000001000000}">
      <text>
        <r>
          <rPr>
            <sz val="9"/>
            <color indexed="81"/>
            <rFont val="Tahoma"/>
            <family val="2"/>
          </rPr>
          <t xml:space="preserve">Enter the date that your demand data starts from here. 
You can enter up to </t>
        </r>
        <r>
          <rPr>
            <b/>
            <sz val="9"/>
            <color indexed="81"/>
            <rFont val="Tahoma"/>
            <family val="2"/>
          </rPr>
          <t>five years</t>
        </r>
        <r>
          <rPr>
            <sz val="9"/>
            <color indexed="81"/>
            <rFont val="Tahoma"/>
            <family val="2"/>
          </rPr>
          <t xml:space="preserve"> worth of data, aggregated by week, for each modality.
If you do not enter anything, the worksheet will assume a generic 'week' number (starting at the first week calendar week of the year).
Please ensure that your demand data includes all sources of demand for your service, and is as clean as possible (ie. removal of duplicate entries, and other such data quality errors).</t>
        </r>
      </text>
    </comment>
    <comment ref="BE10" authorId="0" shapeId="0" xr:uid="{00000000-0006-0000-0500-000003000000}">
      <text>
        <r>
          <rPr>
            <b/>
            <sz val="9"/>
            <color indexed="81"/>
            <rFont val="Tahoma"/>
            <family val="2"/>
          </rPr>
          <t xml:space="preserve">Use this option with care
</t>
        </r>
        <r>
          <rPr>
            <sz val="9"/>
            <color indexed="81"/>
            <rFont val="Tahoma"/>
            <family val="2"/>
          </rPr>
          <t xml:space="preserve">
Select 'Yes' to exclude data points for a given date from being used in calculations. 
Only use this function for events that have been investigated and confirmed as one-off events that are unlikely to occur again, and may unduly bias your data.
If you have any doubts about using this option, it is probably safer to keep the data points in your analysis.
</t>
        </r>
      </text>
    </comment>
    <comment ref="I12" authorId="0" shapeId="0" xr:uid="{00000000-0006-0000-0500-000004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N12" authorId="0" shapeId="0" xr:uid="{00000000-0006-0000-0500-000005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S12" authorId="0" shapeId="0" xr:uid="{00000000-0006-0000-0500-000006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X12" authorId="0" shapeId="0" xr:uid="{00000000-0006-0000-0500-000007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AC12" authorId="0" shapeId="0" xr:uid="{00000000-0006-0000-0500-000008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AH12" authorId="0" shapeId="0" xr:uid="{00000000-0006-0000-0500-000009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 ref="AM12" authorId="0" shapeId="0" xr:uid="{00000000-0006-0000-0500-00000A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G4" authorId="0" shapeId="0" xr:uid="{00000000-0006-0000-0600-000001000000}">
      <text>
        <r>
          <rPr>
            <sz val="9"/>
            <color indexed="81"/>
            <rFont val="Tahoma"/>
            <family val="2"/>
          </rPr>
          <t>Dev note - Formula used:
Sum based on modality and selected length of baseline period in SPC chart. 
Note this is total baseline period, including all seasons.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C1" authorId="0" shapeId="0" xr:uid="{00000000-0006-0000-0700-000001000000}">
      <text>
        <r>
          <rPr>
            <sz val="9"/>
            <color indexed="81"/>
            <rFont val="Tahoma"/>
            <family val="2"/>
          </rPr>
          <t>This sheet allows you to set the baseline that you will use to estimate your future demand.
You can select up to 52 weeks of historic demand data, which can be further divided into seasons - up to 4 - using the options to the left of the sheet.
The baseline period should appear as a set of shaded blocks to the right.
Please make sure you investigate any exception markers (labelled 1, 2, 3, 4) and have a clear understanding of your data before proceeding to the next parts of the model.
Please note that your demand data has been transformed into the units you originally selected in the 'Setup' sheet - this is so the demand shown here better reflects the impact of a given patient on your workload.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3" authorId="0" shapeId="0" xr:uid="{00000000-0006-0000-0C00-000001000000}">
      <text>
        <r>
          <rPr>
            <sz val="9"/>
            <color indexed="81"/>
            <rFont val="Tahoma"/>
            <family val="2"/>
          </rPr>
          <t>If you do not enter a value here, the program will assume a start date of today.</t>
        </r>
      </text>
    </comment>
    <comment ref="B4" authorId="1" shapeId="0" xr:uid="{00000000-0006-0000-0C00-000002000000}">
      <text>
        <r>
          <rPr>
            <sz val="9"/>
            <color indexed="81"/>
            <rFont val="Tahoma"/>
            <family val="2"/>
          </rPr>
          <t>This is automatically set to 1 year after the start date</t>
        </r>
      </text>
    </comment>
    <comment ref="B6" authorId="1" shapeId="0" xr:uid="{00000000-0006-0000-0C00-000003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1" shapeId="0" xr:uid="{00000000-0006-0000-0C00-000004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14" authorId="0" shapeId="0" xr:uid="{00000000-0006-0000-0C00-000005000000}">
      <text>
        <r>
          <rPr>
            <sz val="9"/>
            <color indexed="81"/>
            <rFont val="Tahoma"/>
            <family val="2"/>
          </rPr>
          <t xml:space="preserve">Enter your clinic/theatre/session slots here for your </t>
        </r>
        <r>
          <rPr>
            <b/>
            <sz val="9"/>
            <color indexed="81"/>
            <rFont val="Tahoma"/>
            <family val="2"/>
          </rPr>
          <t>core</t>
        </r>
        <r>
          <rPr>
            <sz val="9"/>
            <color indexed="81"/>
            <rFont val="Tahoma"/>
            <family val="2"/>
          </rPr>
          <t xml:space="preserve"> capacity:
This is</t>
        </r>
        <r>
          <rPr>
            <b/>
            <sz val="9"/>
            <color indexed="81"/>
            <rFont val="Tahoma"/>
            <family val="2"/>
          </rPr>
          <t xml:space="preserve"> routine</t>
        </r>
        <r>
          <rPr>
            <sz val="9"/>
            <color indexed="81"/>
            <rFont val="Tahoma"/>
            <family val="2"/>
          </rPr>
          <t xml:space="preserve"> capacity run at </t>
        </r>
        <r>
          <rPr>
            <b/>
            <sz val="9"/>
            <color indexed="81"/>
            <rFont val="Tahoma"/>
            <family val="2"/>
          </rPr>
          <t>normal</t>
        </r>
        <r>
          <rPr>
            <sz val="9"/>
            <color indexed="81"/>
            <rFont val="Tahoma"/>
            <family val="2"/>
          </rPr>
          <t xml:space="preserve"> cost. 
When counting the weeks/year that they run, please take into account:
* Bank holidays for day-specific clinics (eg. Mondays and Fridays)
* Leave - study and annual
* Any other commitments that may affect your capacity availability</t>
        </r>
      </text>
    </comment>
    <comment ref="N14" authorId="0" shapeId="0" xr:uid="{00000000-0006-0000-0C00-000006000000}">
      <text>
        <r>
          <rPr>
            <sz val="9"/>
            <color indexed="81"/>
            <rFont val="Tahoma"/>
            <family val="2"/>
          </rPr>
          <t xml:space="preserve">Enter your clinic/theatre/session slots here for your ad-hoc capacity:
This is any capacity run at </t>
        </r>
        <r>
          <rPr>
            <b/>
            <sz val="9"/>
            <color indexed="81"/>
            <rFont val="Tahoma"/>
            <family val="2"/>
          </rPr>
          <t>plus cost</t>
        </r>
        <r>
          <rPr>
            <sz val="9"/>
            <color indexed="81"/>
            <rFont val="Tahoma"/>
            <family val="2"/>
          </rPr>
          <t xml:space="preserve">. 
Examples of the type of capacity you may include here:
* Planned waiting list initiatives
* Locum sessions
</t>
        </r>
      </text>
    </comment>
    <comment ref="E16" authorId="0" shapeId="0" xr:uid="{00000000-0006-0000-0C00-000007000000}">
      <text>
        <r>
          <rPr>
            <sz val="9"/>
            <color indexed="81"/>
            <rFont val="Tahoma"/>
            <family val="2"/>
          </rPr>
          <t>How often does your session run per year? 
Please ensure you take account of bank holidays:
eg. there will be at least 4 Monday bank holidays a year.
Please also account for leave (study, annual etc.) in your calculation.</t>
        </r>
      </text>
    </comment>
    <comment ref="F16" authorId="0" shapeId="0" xr:uid="{00000000-0006-0000-0C00-000008000000}">
      <text>
        <r>
          <rPr>
            <sz val="9"/>
            <color indexed="81"/>
            <rFont val="Tahoma"/>
            <family val="2"/>
          </rPr>
          <t>Please enter the number of slots/minutes/points etc. that you have per session here.</t>
        </r>
      </text>
    </comment>
    <comment ref="G16" authorId="0" shapeId="0" xr:uid="{00000000-0006-0000-0C00-000009000000}">
      <text>
        <r>
          <rPr>
            <sz val="9"/>
            <color indexed="81"/>
            <rFont val="Tahoma"/>
            <family val="2"/>
          </rPr>
          <t>If you are running a group therapy service, then put the group size here. 
Otherwise, leave this value as 1.</t>
        </r>
      </text>
    </comment>
    <comment ref="S16" authorId="0" shapeId="0" xr:uid="{00000000-0006-0000-0C00-00000A000000}">
      <text>
        <r>
          <rPr>
            <sz val="9"/>
            <color indexed="81"/>
            <rFont val="Tahoma"/>
            <family val="2"/>
          </rPr>
          <t>If you are running a group therapy service, then put the group size here. 
Otherwise, leave this value as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0D00-000001000000}">
      <text>
        <r>
          <rPr>
            <sz val="9"/>
            <color indexed="81"/>
            <rFont val="Tahoma"/>
            <family val="2"/>
          </rPr>
          <t>This sheet can be used to help you anticipate pinch points in your capacity through the year.
If you have a clinical resource that is essential for operating a clinic/list, then list them in the table on the left below.
This can include:
* Key members of staff (eg. consultants)
* Equipment (eg. scanners)
* Facilities (eg. theatres)
You can list up to 5 periods when you know that these resources will not be available.</t>
        </r>
      </text>
    </comment>
    <comment ref="D8" authorId="0" shapeId="0" xr:uid="{00000000-0006-0000-0D00-000002000000}">
      <text>
        <r>
          <rPr>
            <sz val="9"/>
            <color indexed="81"/>
            <rFont val="Tahoma"/>
            <family val="2"/>
          </rPr>
          <t xml:space="preserve">The workbook will accept dates based on the </t>
        </r>
        <r>
          <rPr>
            <i/>
            <sz val="9"/>
            <color indexed="81"/>
            <rFont val="Tahoma"/>
            <family val="2"/>
          </rPr>
          <t xml:space="preserve">week starting </t>
        </r>
        <r>
          <rPr>
            <sz val="9"/>
            <color indexed="81"/>
            <rFont val="Tahoma"/>
            <family val="2"/>
          </rPr>
          <t>(on Mondays).
If you enter an incomplete period (ie. no ending date) then that period will be ignored.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1" authorId="0" shapeId="0" xr:uid="{00000000-0006-0000-0E00-000001000000}">
      <text>
        <r>
          <rPr>
            <sz val="9"/>
            <color indexed="81"/>
            <rFont val="Tahoma"/>
            <family val="2"/>
          </rPr>
          <t xml:space="preserve">Choose critical resources that are needed for your core or ad hoc sessions to run. 
Note that if you link to more than one key resource, then </t>
        </r>
        <r>
          <rPr>
            <b/>
            <sz val="9"/>
            <color indexed="81"/>
            <rFont val="Tahoma"/>
            <family val="2"/>
          </rPr>
          <t>all</t>
        </r>
        <r>
          <rPr>
            <sz val="9"/>
            <color indexed="81"/>
            <rFont val="Tahoma"/>
            <family val="2"/>
          </rPr>
          <t xml:space="preserve"> the stated resources must be available in a given week for the session to run. </t>
        </r>
      </text>
    </comment>
    <comment ref="J11" authorId="1" shapeId="0" xr:uid="{00000000-0006-0000-0E00-000002000000}">
      <text>
        <r>
          <rPr>
            <sz val="9"/>
            <color indexed="81"/>
            <rFont val="Tahoma"/>
            <family val="2"/>
          </rPr>
          <t xml:space="preserve">Your adjusted maximum capacity is what you can provide, based on your key resource limitations.
If your adjusted maximum capacity is </t>
        </r>
        <r>
          <rPr>
            <b/>
            <sz val="9"/>
            <color indexed="81"/>
            <rFont val="Tahoma"/>
            <family val="2"/>
          </rPr>
          <t>less</t>
        </r>
        <r>
          <rPr>
            <sz val="9"/>
            <color indexed="81"/>
            <rFont val="Tahoma"/>
            <family val="2"/>
          </rPr>
          <t xml:space="preserve"> than what you entered on the 'Capacity' sheet, there is a risk that you may underdeliver capacity for the year.
If the values shown here are 'Over' then you are theoretically capable of delivering your expected capacity.</t>
        </r>
      </text>
    </comment>
    <comment ref="J117" authorId="1" shapeId="0" xr:uid="{00000000-0006-0000-0E00-000003000000}">
      <text>
        <r>
          <rPr>
            <b/>
            <sz val="9"/>
            <color indexed="81"/>
            <rFont val="Tahoma"/>
            <family val="2"/>
          </rPr>
          <t>Sai:</t>
        </r>
        <r>
          <rPr>
            <sz val="9"/>
            <color indexed="81"/>
            <rFont val="Tahoma"/>
            <family val="2"/>
          </rPr>
          <t xml:space="preserve">
Change this to show colours - red = less than expected no. weeks
Orange = expected no. weeks
Blue = more than expected no. weeks - we will assume original level of capacity as stated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Sai</author>
    <author>Khunpha, Keith</author>
  </authors>
  <commentList>
    <comment ref="B6" authorId="0" shapeId="0" xr:uid="{00000000-0006-0000-0F00-000001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0" shapeId="0" xr:uid="{00000000-0006-0000-0F00-000002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21" authorId="1" shapeId="0" xr:uid="{00000000-0006-0000-0F00-000003000000}">
      <text>
        <r>
          <rPr>
            <sz val="9"/>
            <color indexed="81"/>
            <rFont val="Tahoma"/>
            <family val="2"/>
          </rPr>
          <t>Use this section to set up your ad hoc clinics by week. 
If you have linked your ad hoc clinics to a critical resource, then unavailable weeks will be greyed out in the table to the right.</t>
        </r>
      </text>
    </comment>
    <comment ref="E21" authorId="1" shapeId="0" xr:uid="{00000000-0006-0000-0F00-000004000000}">
      <text>
        <r>
          <rPr>
            <sz val="9"/>
            <color indexed="81"/>
            <rFont val="Tahoma"/>
            <family val="2"/>
          </rPr>
          <t>The values calculated based on your selection of active weeks will be based on the following rules:
* If you selected the same or less weeks as what was stated on the capacity sheet, then the capacity/wk for each week will stay the same.
* If you selected more than the number of weeks you originally stated, then the sheet will assume that you are delivering the same amount of work, phased evenly across the selected weeks.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1" authorId="0" shapeId="0" xr:uid="{00000000-0006-0000-1000-000001000000}">
      <text>
        <r>
          <rPr>
            <b/>
            <sz val="9"/>
            <color indexed="81"/>
            <rFont val="Tahoma"/>
            <family val="2"/>
          </rPr>
          <t>Khunpha, Keith:</t>
        </r>
        <r>
          <rPr>
            <sz val="9"/>
            <color indexed="81"/>
            <rFont val="Tahoma"/>
            <family val="2"/>
          </rPr>
          <t xml:space="preserve">
</t>
        </r>
      </text>
    </comment>
    <comment ref="T3" authorId="0" shapeId="0" xr:uid="{00000000-0006-0000-1000-000002000000}">
      <text>
        <r>
          <rPr>
            <b/>
            <sz val="9"/>
            <color indexed="81"/>
            <rFont val="Tahoma"/>
            <family val="2"/>
          </rPr>
          <t xml:space="preserve">Dev note:
</t>
        </r>
        <r>
          <rPr>
            <sz val="9"/>
            <color indexed="81"/>
            <rFont val="Tahoma"/>
            <family val="2"/>
          </rPr>
          <t>Rules - if any errors are found (ie. half a date pair for a period is entered), then treat that an empty entry.
Check will involve returning a value of 1 if wk index lies between a period defined as unavailable by the user. 
If a total sum &gt; 0 is returned, then that resource is not available for that week.</t>
        </r>
      </text>
    </comment>
    <comment ref="A5" authorId="0" shapeId="0" xr:uid="{FE127D31-F9E8-4B10-AC1D-D64021B8F728}">
      <text>
        <r>
          <rPr>
            <b/>
            <sz val="9"/>
            <color indexed="81"/>
            <rFont val="Tahoma"/>
            <family val="2"/>
          </rPr>
          <t xml:space="preserve">Note
</t>
        </r>
        <r>
          <rPr>
            <sz val="9"/>
            <color indexed="81"/>
            <rFont val="Tahoma"/>
            <family val="2"/>
          </rPr>
          <t>Included to make date selection more intuitive.</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Sai</author>
  </authors>
  <commentList>
    <comment ref="E1" authorId="0" shapeId="0" xr:uid="{00000000-0006-0000-1100-000001000000}">
      <text>
        <r>
          <rPr>
            <b/>
            <sz val="9"/>
            <color indexed="81"/>
            <rFont val="Tahoma"/>
            <family val="2"/>
          </rPr>
          <t xml:space="preserve">Dev note:
</t>
        </r>
        <r>
          <rPr>
            <sz val="9"/>
            <color indexed="81"/>
            <rFont val="Tahoma"/>
            <family val="2"/>
          </rPr>
          <t>1 = basic
2 = complex</t>
        </r>
      </text>
    </comment>
    <comment ref="H2" authorId="0" shapeId="0" xr:uid="{00000000-0006-0000-1100-000002000000}">
      <text>
        <r>
          <rPr>
            <b/>
            <sz val="9"/>
            <color indexed="81"/>
            <rFont val="Tahoma"/>
            <family val="2"/>
          </rPr>
          <t xml:space="preserve">Dev note:
</t>
        </r>
        <r>
          <rPr>
            <sz val="9"/>
            <color indexed="81"/>
            <rFont val="Tahoma"/>
            <family val="2"/>
          </rPr>
          <t>If the check on the week/resource returns 0 AND the user has selected 'planning calculator' then this will return 0 (ie. active)
If user has selected 'basic' on capacity sheet, then this will always return 0 (ie. active)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1200-000001000000}">
      <text>
        <r>
          <rPr>
            <sz val="9"/>
            <color indexed="81"/>
            <rFont val="Tahoma"/>
            <family val="2"/>
          </rPr>
          <t>You can either estimate the parameter values directly, or enter the volume of related activity outcomes - the sheet will then calculate the % values, using the baseline you selected in the 'SPC' tab as the denominator.
If you have multiple modalities where each modality may take a different time to treat a patient, and your activity is recorded on a per-patient basis, then you may want to use the patient-to-activity outcome calculator.
This 'Parameters calculator' sheet can be enabled by selecting 'Volume' in the box to the right, and 'Patients' in the 'Units' cell below.</t>
        </r>
      </text>
    </comment>
    <comment ref="B3" authorId="0" shapeId="0" xr:uid="{00000000-0006-0000-1200-000002000000}">
      <text>
        <r>
          <rPr>
            <sz val="9"/>
            <color indexed="81"/>
            <rFont val="Tahoma"/>
            <family val="2"/>
          </rPr>
          <t>The activity outcome values here will be compared against an estimated baseline of demand which can be selected in cell "C3".
If you would like to change this (eg. you have a sample of 20 weeks that you are comfortable using), then please enter the appropriate number (in weeks) in the cell to the right.
Please note that if you do this, you are assuming that the weekly demand - as estimated from your baseline data - is consistent enough to be scaled to the new time period.
If this assumption re: demand is not valid - then you should enter your estimated ROTT, NASR (Discharge) and NASL (% and discharge) rates as percentages, using your historic measurements as a guide.</t>
        </r>
      </text>
    </comment>
    <comment ref="B4" authorId="0" shapeId="0" xr:uid="{00000000-0006-0000-1200-000003000000}">
      <text>
        <r>
          <rPr>
            <sz val="9"/>
            <color indexed="81"/>
            <rFont val="Tahoma"/>
            <family val="2"/>
          </rPr>
          <t>Enter the units that you would like to use - please ensure that you stick to one type of unit on this sheet (eg. patients / points / minutes). 
If you have multiple modalities where treatment takes different amounts of time, and you are entering your data in terms of patients, then please use the Parameters Calculator to help you scale your figures.</t>
        </r>
      </text>
    </comment>
    <comment ref="H7" authorId="0" shapeId="0" xr:uid="{00000000-0006-0000-1200-000004000000}">
      <text>
        <r>
          <rPr>
            <b/>
            <sz val="9"/>
            <color indexed="81"/>
            <rFont val="Tahoma"/>
            <family val="2"/>
          </rPr>
          <t xml:space="preserve">Patients removed from the waiting list for
Reasons Other Than Treatment (ROTT)
</t>
        </r>
        <r>
          <rPr>
            <sz val="9"/>
            <color indexed="81"/>
            <rFont val="Tahoma"/>
            <family val="2"/>
          </rPr>
          <t xml:space="preserve">
These consist of the following:
* Patients who were reomved from the waiting list before being booked into a clinical slot
Some examples include:
* Inappropriate referrals
</t>
        </r>
      </text>
    </comment>
    <comment ref="H11" authorId="0" shapeId="0" xr:uid="{00000000-0006-0000-1200-000005000000}">
      <text>
        <r>
          <rPr>
            <b/>
            <sz val="9"/>
            <color indexed="81"/>
            <rFont val="Tahoma"/>
            <family val="2"/>
          </rPr>
          <t xml:space="preserve">Non-attendances (slot reused), discharged
</t>
        </r>
        <r>
          <rPr>
            <sz val="9"/>
            <color indexed="81"/>
            <rFont val="Tahoma"/>
            <family val="2"/>
          </rPr>
          <t xml:space="preserve">These are patients who match the following criteria:
</t>
        </r>
        <r>
          <rPr>
            <b/>
            <sz val="9"/>
            <color indexed="81"/>
            <rFont val="Tahoma"/>
            <family val="2"/>
          </rPr>
          <t xml:space="preserve">
* </t>
        </r>
        <r>
          <rPr>
            <sz val="9"/>
            <color indexed="81"/>
            <rFont val="Tahoma"/>
            <family val="2"/>
          </rPr>
          <t>The patient did not attend their appointment 
* They were subsequently removed from the waiting list
* Their clinical  slot was reused for someone else
An example of this is:
A patient who cancels their appointment a month ahead of time (so it can be reused), and who then declines further treatment.</t>
        </r>
      </text>
    </comment>
    <comment ref="C16" authorId="0" shapeId="0" xr:uid="{00000000-0006-0000-1200-000006000000}">
      <text>
        <r>
          <rPr>
            <b/>
            <sz val="9"/>
            <color indexed="81"/>
            <rFont val="Tahoma"/>
            <family val="2"/>
          </rPr>
          <t>Slots required = 
Demand - (ROTT + NASR discharge) + NASL Rebooked</t>
        </r>
        <r>
          <rPr>
            <sz val="9"/>
            <color indexed="81"/>
            <rFont val="Tahoma"/>
            <family val="2"/>
          </rPr>
          <t xml:space="preserve">
This is an estimate of the aggregate clinical slots required (not accounting for variability).
We use this to help us calculate parameter values using the normalised baseline demand as a guide.</t>
        </r>
      </text>
    </comment>
    <comment ref="J16" authorId="0" shapeId="0" xr:uid="{00000000-0006-0000-1200-000007000000}">
      <text>
        <r>
          <rPr>
            <b/>
            <sz val="9"/>
            <color indexed="81"/>
            <rFont val="Tahoma"/>
            <family val="2"/>
          </rPr>
          <t xml:space="preserve">Non-attendances (rebooked)
</t>
        </r>
        <r>
          <rPr>
            <sz val="9"/>
            <color indexed="81"/>
            <rFont val="Tahoma"/>
            <family val="2"/>
          </rPr>
          <t xml:space="preserve">
These are patients who did not attend, resulting in a 'lost' clinical slot, and need to be rebooked to ensure they receive the treatment they need.
</t>
        </r>
      </text>
    </comment>
    <comment ref="H21" authorId="0" shapeId="0" xr:uid="{00000000-0006-0000-1200-000008000000}">
      <text>
        <r>
          <rPr>
            <b/>
            <sz val="9"/>
            <color indexed="81"/>
            <rFont val="Tahoma"/>
            <family val="2"/>
          </rPr>
          <t xml:space="preserve">Non-attendances (slot lost)
</t>
        </r>
        <r>
          <rPr>
            <sz val="9"/>
            <color indexed="81"/>
            <rFont val="Tahoma"/>
            <family val="2"/>
          </rPr>
          <t xml:space="preserve">
These are patients who did not attend their appointment, and the appointment could not be used for another patient.
This could be a patient who:
* Did not attend (DNA'd) on the day
* Cancelled their appointment at short notice (eg 48 hours), and the appointment could not be routinely rebooked for another patient.</t>
        </r>
      </text>
    </comment>
    <comment ref="B26" authorId="0" shapeId="0" xr:uid="{00000000-0006-0000-1200-000009000000}">
      <text>
        <r>
          <rPr>
            <sz val="9"/>
            <color indexed="81"/>
            <rFont val="Tahoma"/>
            <family val="2"/>
          </rPr>
          <t>These are expected attendances - the assumption is that a patient who has not been discharged as ROTT or following a non-attendance of any kind will attend their appointment.</t>
        </r>
      </text>
    </comment>
    <comment ref="J27" authorId="0" shapeId="0" xr:uid="{00000000-0006-0000-1200-00000A000000}">
      <text>
        <r>
          <rPr>
            <b/>
            <sz val="9"/>
            <color indexed="81"/>
            <rFont val="Tahoma"/>
            <family val="2"/>
          </rPr>
          <t xml:space="preserve">Non-attendances (slot lost), discharged
</t>
        </r>
        <r>
          <rPr>
            <sz val="9"/>
            <color indexed="81"/>
            <rFont val="Tahoma"/>
            <family val="2"/>
          </rPr>
          <t>These are patients who were discharged following a non-attendance where the slot was lost.</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5" authorId="0" shapeId="0" xr:uid="{00000000-0006-0000-1300-000001000000}">
      <text>
        <r>
          <rPr>
            <sz val="9"/>
            <color indexed="81"/>
            <rFont val="Tahoma"/>
            <family val="2"/>
          </rPr>
          <t xml:space="preserve">Please enter parameter activity volumes </t>
        </r>
        <r>
          <rPr>
            <b/>
            <sz val="9"/>
            <color indexed="81"/>
            <rFont val="Tahoma"/>
            <family val="2"/>
          </rPr>
          <t>by patient</t>
        </r>
        <r>
          <rPr>
            <sz val="9"/>
            <color indexed="81"/>
            <rFont val="Tahoma"/>
            <family val="2"/>
          </rPr>
          <t xml:space="preserve"> for your different modalities on this page. 
This sheet is intended to help you calculate the appropriate % rates, if you are running multiple modalities, where the different modalities also run with differing unit rates:
eg. in one modality, a patient takes 25 minutes, while another modality a patient takes 10 minutes
Use this sheet if you have recorded activity on a per-patient basis, and need to convert these into the appropriate units - the sheet will do this automatically for you, and calculate an overall % value based on the sum of all of your modalities.
</t>
        </r>
        <r>
          <rPr>
            <b/>
            <sz val="9"/>
            <color indexed="81"/>
            <rFont val="Tahoma"/>
            <family val="2"/>
          </rPr>
          <t xml:space="preserve">Important note
</t>
        </r>
        <r>
          <rPr>
            <sz val="9"/>
            <color indexed="81"/>
            <rFont val="Tahoma"/>
            <family val="2"/>
          </rPr>
          <t xml:space="preserve">This data is based on activity over the baseline period you have selected in the 'SPC' sheet. This can be overridden (assuming that the per-week demand is reasonably consistent) by entering an alternative number of weeks in the shaded cell.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29" authorId="0" shapeId="0" xr:uid="{00000000-0006-0000-1400-000001000000}">
      <text>
        <r>
          <rPr>
            <b/>
            <sz val="9"/>
            <color indexed="81"/>
            <rFont val="Tahoma"/>
            <family val="2"/>
          </rPr>
          <t xml:space="preserve">Dev note:
</t>
        </r>
        <r>
          <rPr>
            <sz val="9"/>
            <color indexed="81"/>
            <rFont val="Tahoma"/>
            <family val="2"/>
          </rPr>
          <t>We are using this as a control device for the reassignment of formula in the main parameters page</t>
        </r>
      </text>
    </comment>
    <comment ref="I29" authorId="0" shapeId="0" xr:uid="{00000000-0006-0000-1400-000002000000}">
      <text>
        <r>
          <rPr>
            <b/>
            <sz val="9"/>
            <color indexed="81"/>
            <rFont val="Tahoma"/>
            <family val="2"/>
          </rPr>
          <t>These columns will be used to highlight relevant cells on the parameters page for editing, so they are either editable, or refer to calculated values.</t>
        </r>
      </text>
    </comment>
    <comment ref="B34" authorId="0" shapeId="0" xr:uid="{00000000-0006-0000-1400-000003000000}">
      <text>
        <r>
          <rPr>
            <b/>
            <sz val="9"/>
            <color indexed="81"/>
            <rFont val="Tahoma"/>
            <family val="2"/>
          </rPr>
          <t xml:space="preserve">Note for developers: 
</t>
        </r>
        <r>
          <rPr>
            <sz val="9"/>
            <color indexed="81"/>
            <rFont val="Tahoma"/>
            <family val="2"/>
          </rPr>
          <t>1 = Yes
2 = No</t>
        </r>
      </text>
    </comment>
    <comment ref="C34" authorId="0" shapeId="0" xr:uid="{00000000-0006-0000-1400-000004000000}">
      <text>
        <r>
          <rPr>
            <b/>
            <sz val="9"/>
            <color indexed="81"/>
            <rFont val="Tahoma"/>
            <family val="2"/>
          </rPr>
          <t xml:space="preserve">Dev note:
</t>
        </r>
        <r>
          <rPr>
            <sz val="9"/>
            <color indexed="81"/>
            <rFont val="Tahoma"/>
            <family val="2"/>
          </rPr>
          <t>Cross check to prevent changing parameter values if:
* user selects 'No' on warning to proceed</t>
        </r>
      </text>
    </comment>
    <comment ref="A38" authorId="0" shapeId="0" xr:uid="{00000000-0006-0000-1400-000005000000}">
      <text>
        <r>
          <rPr>
            <b/>
            <sz val="9"/>
            <color indexed="81"/>
            <rFont val="Tahoma"/>
            <family val="2"/>
          </rPr>
          <t xml:space="preserve">Dev note:
</t>
        </r>
        <r>
          <rPr>
            <sz val="9"/>
            <color indexed="81"/>
            <rFont val="Tahoma"/>
            <family val="2"/>
          </rPr>
          <t xml:space="preserve">This is a rearrangement of the basic formula:
Required capacity = Demand - ROTT + Rebookings
Denominator definitions: 
NASR% and NASL% use </t>
        </r>
        <r>
          <rPr>
            <i/>
            <sz val="9"/>
            <color indexed="81"/>
            <rFont val="Tahoma"/>
            <family val="2"/>
          </rPr>
          <t xml:space="preserve">booked </t>
        </r>
        <r>
          <rPr>
            <sz val="9"/>
            <color indexed="81"/>
            <rFont val="Tahoma"/>
            <family val="2"/>
          </rPr>
          <t xml:space="preserve">appointments as the denominator for % (ie. all patients who are given a booking regardless of activity outcome)
NASL Discharge% uses NASL as the denominator
Using the above definitions, we can expand the original formula using the values on this worksheet as follows:
(1)   Required capacity = Demand - [Demand * ROTT%] - [bookings * NASR DC%] + [bookings * NASL% * (1 - NASL DC%)]
</t>
        </r>
        <r>
          <rPr>
            <i/>
            <sz val="9"/>
            <color indexed="81"/>
            <rFont val="Tahoma"/>
            <family val="2"/>
          </rPr>
          <t>Where DC = Discharge</t>
        </r>
        <r>
          <rPr>
            <sz val="9"/>
            <color indexed="81"/>
            <rFont val="Tahoma"/>
            <family val="2"/>
          </rPr>
          <t xml:space="preserve">
Note that </t>
        </r>
        <r>
          <rPr>
            <i/>
            <sz val="9"/>
            <color indexed="81"/>
            <rFont val="Tahoma"/>
            <family val="2"/>
          </rPr>
          <t>bookings</t>
        </r>
        <r>
          <rPr>
            <sz val="9"/>
            <color indexed="81"/>
            <rFont val="Tahoma"/>
            <family val="2"/>
          </rPr>
          <t xml:space="preserve"> can be defined as:
(2)   Bookings = Demand - ROTT
= Demand - (Demand * ROTT%)
= Demand*(1 - ROTT%) 
In addition, </t>
        </r>
        <r>
          <rPr>
            <i/>
            <sz val="9"/>
            <color indexed="81"/>
            <rFont val="Tahoma"/>
            <family val="2"/>
          </rPr>
          <t xml:space="preserve">Rebookings% </t>
        </r>
        <r>
          <rPr>
            <sz val="9"/>
            <color indexed="81"/>
            <rFont val="Tahoma"/>
            <family val="2"/>
          </rPr>
          <t>can be defined as 
(3)  NASL Rebookings% = (1- NASL DC%)
Inserting (2) and (3) into (1) gives us the following:
Required capacity = Bookings * - (Bookings * NASR DC%) + [Bookings * (NASL% * NASL Rebookings%)]
= Bookings * (1 - NASR DC% + [NASL% * NASL Rebookings%])
= [Demand * (1 - ROTT%)] * (1 - NASR DC% + [NASL% * NASL Rebookings%])</t>
        </r>
      </text>
    </comment>
    <comment ref="E40" authorId="0" shapeId="0" xr:uid="{00000000-0006-0000-1400-000006000000}">
      <text>
        <r>
          <rPr>
            <b/>
            <sz val="9"/>
            <color indexed="81"/>
            <rFont val="Tahoma"/>
            <family val="2"/>
          </rPr>
          <t xml:space="preserve">Dev note:
</t>
        </r>
        <r>
          <rPr>
            <sz val="9"/>
            <color indexed="81"/>
            <rFont val="Tahoma"/>
            <family val="2"/>
          </rPr>
          <t>Formula is based on:
Attendances = Demand * (1-ROTT%) * (1 - NASRDC% - NASL%*NASLDC%)
This is an expanded version of the basic logic:
Attendances = Bookings - NASRDischarge - NASL + NASLRebookings
Where Bookings = Demand*(1 - ROTT%)
Full logic is as follows:
  Attendances = Bookings - (Bookings * NASRDC%) - (Bookings * NASL%) + (Bookings * NASL% * NASLRebooking%)
Substituting for Bookings = Demand * (1 - ROTT%)
  Attendances = Demand * (1 - ROTT%) * [1 - NASRDC% - NASL% + (NASL% * NASLRebooking%)]
Simplifying:
  Attendances = Demand * (1 - ROTT%) * [1 - NASRDC% - NASL%(1 - NASLRebooking%)]
Given that 1 - NASLRebooking% = NASLDC%
  Attendances = Demand * (1 - ROTT%) * (1 - NASRDC% - NASL%*NASLDC%)</t>
        </r>
      </text>
    </comment>
    <comment ref="C43" authorId="0" shapeId="0" xr:uid="{00000000-0006-0000-1400-000007000000}">
      <text>
        <r>
          <rPr>
            <b/>
            <sz val="9"/>
            <color indexed="81"/>
            <rFont val="Tahoma"/>
            <family val="2"/>
          </rPr>
          <t xml:space="preserve">Dev note:
</t>
        </r>
        <r>
          <rPr>
            <sz val="9"/>
            <color indexed="81"/>
            <rFont val="Tahoma"/>
            <family val="2"/>
          </rPr>
          <t>Demand * (1-ROTT%) = booked appts</t>
        </r>
      </text>
    </comment>
    <comment ref="A51" authorId="0" shapeId="0" xr:uid="{00000000-0006-0000-1400-000008000000}">
      <text>
        <r>
          <rPr>
            <b/>
            <sz val="9"/>
            <color indexed="81"/>
            <rFont val="Tahoma"/>
            <family val="2"/>
          </rPr>
          <t xml:space="preserve">Dev note:
</t>
        </r>
        <r>
          <rPr>
            <sz val="9"/>
            <color indexed="81"/>
            <rFont val="Tahoma"/>
            <family val="2"/>
          </rPr>
          <t>We will be taking inputs from the main page, and converting everything in terms of weeks to standardise the calculation method.</t>
        </r>
      </text>
    </comment>
    <comment ref="F51" authorId="0" shapeId="0" xr:uid="{00000000-0006-0000-1400-000009000000}">
      <text>
        <r>
          <rPr>
            <b/>
            <sz val="9"/>
            <color indexed="81"/>
            <rFont val="Tahoma"/>
            <family val="2"/>
          </rPr>
          <t xml:space="preserve">Dev Note:
</t>
        </r>
        <r>
          <rPr>
            <sz val="9"/>
            <color indexed="81"/>
            <rFont val="Tahoma"/>
            <family val="2"/>
          </rPr>
          <t xml:space="preserve">We make a simplifying assumption here: 
Demand (by priority) can be estimated using approximate percentage split as provided in aggregate in the Demand (calculations) page, with mean demand then normalised to 52 weeks.
With this assumption, we will use the following formula:
(1)  Ideal WL size = Demand * (Start + (End - Start)/2)
Rebookings will be calculated as follows:
(2)  Rebooking waits = Demand * Rebook wait (wks)
Combining (1) - and expanding this to account for the multiple priorities - and (2):
Ideal WL size = Demand * 
(
    [Urgency 1% *(Start1 + (End1 - Start1)/2)] 
+  [Urgency 2% *(Start2 + (End2 - Start2)/2)]
+  [Urgency 3% *(Start3 + (End3 - Start3)/2)]
+  RebookingWait
)
</t>
        </r>
      </text>
    </comment>
    <comment ref="L51" authorId="0" shapeId="0" xr:uid="{00000000-0006-0000-1400-00000A000000}">
      <text>
        <r>
          <rPr>
            <b/>
            <sz val="9"/>
            <color indexed="81"/>
            <rFont val="Tahoma"/>
            <family val="2"/>
          </rPr>
          <t xml:space="preserve">Dev Note:
</t>
        </r>
        <r>
          <rPr>
            <sz val="9"/>
            <color indexed="81"/>
            <rFont val="Tahoma"/>
            <family val="2"/>
          </rPr>
          <t>The following table will e used to construct the bar charts showing the pathway lengths on the Pathway sheet</t>
        </r>
      </text>
    </comment>
    <comment ref="H61" authorId="0" shapeId="0" xr:uid="{00000000-0006-0000-1400-00000B000000}">
      <text>
        <r>
          <rPr>
            <b/>
            <sz val="9"/>
            <color indexed="81"/>
            <rFont val="Tahoma"/>
            <family val="2"/>
          </rPr>
          <t xml:space="preserve">Dev Note:
</t>
        </r>
        <r>
          <rPr>
            <sz val="9"/>
            <color indexed="81"/>
            <rFont val="Tahoma"/>
            <family val="2"/>
          </rPr>
          <t>Establishing a range (+/- 5%) as an approximate target for WL size</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G5" authorId="0" shapeId="0" xr:uid="{00000000-0006-0000-1500-000001000000}">
      <text>
        <r>
          <rPr>
            <sz val="9"/>
            <color indexed="81"/>
            <rFont val="Tahoma"/>
            <family val="2"/>
          </rPr>
          <t xml:space="preserve">This is based on the proportion of demand by urgency as entered on the 'Demand' sheet.
You can override this value using the dropdown to the right, and by entering values in the column below it.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Khunpha, Keith</author>
    <author>Bytheway, Mark</author>
  </authors>
  <commentList>
    <comment ref="B4" authorId="0" shapeId="0" xr:uid="{00000000-0006-0000-1600-000001000000}">
      <text>
        <r>
          <rPr>
            <b/>
            <sz val="9"/>
            <color indexed="81"/>
            <rFont val="Tahoma"/>
            <family val="2"/>
          </rPr>
          <t xml:space="preserve">Interpreting this chart:
</t>
        </r>
        <r>
          <rPr>
            <sz val="9"/>
            <color indexed="81"/>
            <rFont val="Tahoma"/>
            <family val="2"/>
          </rPr>
          <t xml:space="preserve">Capacity (core + ad hoc) should be within the bounds of required capacity to maintain a stable waiting list. </t>
        </r>
      </text>
    </comment>
    <comment ref="B13" authorId="0" shapeId="0" xr:uid="{00000000-0006-0000-1600-000002000000}">
      <text>
        <r>
          <rPr>
            <sz val="9"/>
            <color indexed="81"/>
            <rFont val="Tahoma"/>
            <family val="2"/>
          </rPr>
          <t xml:space="preserve">This will default to the start date entered in the 'Capacity' sheet if no value is entered. </t>
        </r>
      </text>
    </comment>
    <comment ref="B27" authorId="1" shapeId="0" xr:uid="{D26E3232-55BB-49B8-B842-FC8D35EDBF6B}">
      <text>
        <r>
          <rPr>
            <sz val="9"/>
            <color indexed="81"/>
            <rFont val="Tahoma"/>
            <family val="2"/>
          </rPr>
          <t xml:space="preserve">
Please note that these percentiles are adjusted for rebookings/DNAs/Cancellations/ROTT so the figures displayed will not mirror what is shown on the SPC chart in the SPC chart tab.</t>
        </r>
      </text>
    </comment>
    <comment ref="B30" authorId="0" shapeId="0" xr:uid="{00000000-0006-0000-1600-000003000000}">
      <text>
        <r>
          <rPr>
            <sz val="9"/>
            <color indexed="81"/>
            <rFont val="Tahoma"/>
            <family val="2"/>
          </rPr>
          <t>This will be used to calculate the expected yearly demand, which is useful for projecting expected activity.
Do not use this value for required capacity calculations!</t>
        </r>
      </text>
    </comment>
    <comment ref="B38" authorId="0" shapeId="0" xr:uid="{00000000-0006-0000-1600-000004000000}">
      <text>
        <r>
          <rPr>
            <b/>
            <sz val="9"/>
            <color indexed="81"/>
            <rFont val="Tahoma"/>
            <family val="2"/>
          </rPr>
          <t xml:space="preserve">Interpreting this chart:
</t>
        </r>
        <r>
          <rPr>
            <sz val="9"/>
            <color indexed="81"/>
            <rFont val="Tahoma"/>
            <family val="2"/>
          </rPr>
          <t>The current waiting list size should lie between, or below the sustainable waiting list bounds.
If the current waiting list size is above both bounds, then your patients are more likely to wait longer than the expected wait times defined in the 'Pathway' sheet.</t>
        </r>
      </text>
    </comment>
    <comment ref="B55" authorId="0" shapeId="0" xr:uid="{D71E0CF8-73C1-41F0-91D4-79D2747073EA}">
      <text>
        <r>
          <rPr>
            <sz val="9"/>
            <color indexed="81"/>
            <rFont val="Tahoma"/>
            <family val="2"/>
          </rPr>
          <t>This calculator is intended to help you get a rough idea of the number of additional slots per week you will need for waiting list clearances.
This will not change any of the other figures in the model.</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1" authorId="0" shapeId="0" xr:uid="{00000000-0006-0000-1800-000001000000}">
      <text>
        <r>
          <rPr>
            <b/>
            <sz val="9"/>
            <color indexed="81"/>
            <rFont val="Tahoma"/>
            <family val="2"/>
          </rPr>
          <t xml:space="preserve">Dev Note:
</t>
        </r>
        <r>
          <rPr>
            <sz val="9"/>
            <color indexed="81"/>
            <rFont val="Tahoma"/>
            <family val="2"/>
          </rPr>
          <t>Have linked back to original values on sheets in the actual calculations - figures shown here are for reference only</t>
        </r>
      </text>
    </comment>
    <comment ref="P12" authorId="0" shapeId="0" xr:uid="{00000000-0006-0000-1800-000002000000}">
      <text>
        <r>
          <rPr>
            <b/>
            <sz val="9"/>
            <color indexed="81"/>
            <rFont val="Tahoma"/>
            <family val="2"/>
          </rPr>
          <t xml:space="preserve">Dev note:
</t>
        </r>
        <r>
          <rPr>
            <sz val="9"/>
            <color indexed="81"/>
            <rFont val="Tahoma"/>
            <family val="2"/>
          </rPr>
          <t>This is here to allow us to change the units based on user choice on the Summary page.</t>
        </r>
      </text>
    </comment>
    <comment ref="G14" authorId="0" shapeId="0" xr:uid="{00000000-0006-0000-1800-000003000000}">
      <text>
        <r>
          <rPr>
            <b/>
            <sz val="9"/>
            <color indexed="81"/>
            <rFont val="Tahoma"/>
            <family val="2"/>
          </rPr>
          <t>Khunpha, Keith:</t>
        </r>
        <r>
          <rPr>
            <sz val="9"/>
            <color indexed="81"/>
            <rFont val="Tahoma"/>
            <family val="2"/>
          </rPr>
          <t xml:space="preserve">
Use mean for both planned and emergency;
for emergency, may need to provide option for other metrics (eg. percentile)?
Also note: will set to "" if Emergency option in Setup is not set to "Yes"</t>
        </r>
      </text>
    </comment>
    <comment ref="H14" authorId="0" shapeId="0" xr:uid="{00000000-0006-0000-1800-000004000000}">
      <text>
        <r>
          <rPr>
            <b/>
            <sz val="9"/>
            <color indexed="81"/>
            <rFont val="Tahoma"/>
            <family val="2"/>
          </rPr>
          <t>Khunpha, Keith:</t>
        </r>
        <r>
          <rPr>
            <sz val="9"/>
            <color indexed="81"/>
            <rFont val="Tahoma"/>
            <family val="2"/>
          </rPr>
          <t xml:space="preserve">
Link to planned mean value, when suitable named range is created</t>
        </r>
      </text>
    </comment>
    <comment ref="D70" authorId="0" shapeId="0" xr:uid="{00000000-0006-0000-1800-000005000000}">
      <text>
        <r>
          <rPr>
            <b/>
            <sz val="9"/>
            <color indexed="81"/>
            <rFont val="Tahoma"/>
            <family val="2"/>
          </rPr>
          <t>Averaging values for simplified display</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1A00-000001000000}">
      <text>
        <r>
          <rPr>
            <sz val="9"/>
            <color indexed="81"/>
            <rFont val="Tahoma"/>
            <family val="2"/>
          </rPr>
          <t>Enter a date you would like to start planning from. 
If this cell is left blank, it will default to the start of next week.</t>
        </r>
      </text>
    </comment>
    <comment ref="B25" authorId="0" shapeId="0" xr:uid="{00000000-0006-0000-1A00-000002000000}">
      <text>
        <r>
          <rPr>
            <sz val="9"/>
            <color indexed="81"/>
            <rFont val="Tahoma"/>
            <family val="2"/>
          </rPr>
          <t>This will allow you to cancel your core and ad hoc capacity for a given week.</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I3" authorId="0" shapeId="0" xr:uid="{00000000-0006-0000-1B00-000001000000}">
      <text>
        <r>
          <rPr>
            <b/>
            <sz val="9"/>
            <color indexed="81"/>
            <rFont val="Tahoma"/>
            <family val="2"/>
          </rPr>
          <t xml:space="preserve">Dev note:
</t>
        </r>
        <r>
          <rPr>
            <sz val="9"/>
            <color indexed="81"/>
            <rFont val="Tahoma"/>
            <family val="2"/>
          </rPr>
          <t>Special case - if this is selected, then all available capacity is set to zero.</t>
        </r>
      </text>
    </comment>
  </commentList>
</comments>
</file>

<file path=xl/sharedStrings.xml><?xml version="1.0" encoding="utf-8"?>
<sst xmlns="http://schemas.openxmlformats.org/spreadsheetml/2006/main" count="1725" uniqueCount="1215">
  <si>
    <t>Version</t>
  </si>
  <si>
    <t>Date</t>
  </si>
  <si>
    <t>Author</t>
  </si>
  <si>
    <t>Changes</t>
  </si>
  <si>
    <t>0.1a</t>
  </si>
  <si>
    <t>Sai Khunpha</t>
  </si>
  <si>
    <t>Document creation, including VBA setup code</t>
  </si>
  <si>
    <t>0.2d</t>
  </si>
  <si>
    <t>First draft; for initial design concepts</t>
  </si>
  <si>
    <t>0.3a</t>
  </si>
  <si>
    <t>Revamp of underlying VBA code to simplify basic mechanics, and revisit basic structure</t>
  </si>
  <si>
    <t>Notes</t>
  </si>
  <si>
    <t>Leave space for new parameter layout, and advanced/basic capacity split. 
Note that both demand and capacity figures need to have some level of time sensitivity functionality built-in, to help users identify pinch points caused by mismatches</t>
  </si>
  <si>
    <t>Yes/No</t>
  </si>
  <si>
    <t>Units</t>
  </si>
  <si>
    <t>Units Lookup</t>
  </si>
  <si>
    <t>Percentile Range</t>
  </si>
  <si>
    <t>Week Starting</t>
  </si>
  <si>
    <t>Points Lookup</t>
  </si>
  <si>
    <t>Patients</t>
  </si>
  <si>
    <t>Yes</t>
  </si>
  <si>
    <t>Minutes</t>
  </si>
  <si>
    <t>No</t>
  </si>
  <si>
    <t>Points</t>
  </si>
  <si>
    <t>Overall</t>
  </si>
  <si>
    <t>Each modality invidually</t>
  </si>
  <si>
    <t>Dummy number list</t>
  </si>
  <si>
    <t>Provider Name:</t>
  </si>
  <si>
    <t>Service Name:</t>
  </si>
  <si>
    <t>Unit of work:</t>
  </si>
  <si>
    <t>Lower bound for percentile calculation:</t>
  </si>
  <si>
    <t>Modality 1 Name:</t>
  </si>
  <si>
    <t>Modality 1</t>
  </si>
  <si>
    <t>Modality 2 Name:</t>
  </si>
  <si>
    <t>Modality 2</t>
  </si>
  <si>
    <t>Modality 3 Name:</t>
  </si>
  <si>
    <t>Modality 3</t>
  </si>
  <si>
    <t>Modality 4 Name:</t>
  </si>
  <si>
    <t>Modality 4</t>
  </si>
  <si>
    <t>Modality 5 Name:</t>
  </si>
  <si>
    <t>Modality 5</t>
  </si>
  <si>
    <t>Modality 6 Name:</t>
  </si>
  <si>
    <t>Modality 6</t>
  </si>
  <si>
    <t>Modality 7 Name:</t>
  </si>
  <si>
    <t>Modality 7</t>
  </si>
  <si>
    <t>Modality 8 Name:</t>
  </si>
  <si>
    <t>Modality 8</t>
  </si>
  <si>
    <t>Modality 9 Name:</t>
  </si>
  <si>
    <t>Modality 9</t>
  </si>
  <si>
    <t>Modality 10 Name:</t>
  </si>
  <si>
    <t>Modality 10</t>
  </si>
  <si>
    <t>Setup</t>
  </si>
  <si>
    <t>SplitA</t>
  </si>
  <si>
    <t>[Hide]</t>
  </si>
  <si>
    <t>MaxRows:</t>
  </si>
  <si>
    <t>This column is used to find the max number of rows [A6]</t>
  </si>
  <si>
    <t>Mins per point:</t>
  </si>
  <si>
    <t>Week</t>
  </si>
  <si>
    <t>Total</t>
  </si>
  <si>
    <t>2WW</t>
  </si>
  <si>
    <t>Urgent</t>
  </si>
  <si>
    <t>Routine</t>
  </si>
  <si>
    <t>Emergency</t>
  </si>
  <si>
    <t>Totals test: checks if totals values per week are blank to assist in determining max rows</t>
  </si>
  <si>
    <t>Total blank</t>
  </si>
  <si>
    <t>Urgencies:</t>
  </si>
  <si>
    <t>Unit translation (non-emergency)</t>
  </si>
  <si>
    <t>Unit translation (emergency)</t>
  </si>
  <si>
    <t>Week Starting:</t>
  </si>
  <si>
    <t>Sum</t>
  </si>
  <si>
    <t>Mean 1</t>
  </si>
  <si>
    <t>Mean 2</t>
  </si>
  <si>
    <t>Sigma1</t>
  </si>
  <si>
    <t>MRA1</t>
  </si>
  <si>
    <t>Sigma2</t>
  </si>
  <si>
    <t>MRA2</t>
  </si>
  <si>
    <t>Moving Range</t>
  </si>
  <si>
    <t>ROTT</t>
  </si>
  <si>
    <t>% Urgency 1</t>
  </si>
  <si>
    <t>% Urgency 2</t>
  </si>
  <si>
    <t>% Urgency 3</t>
  </si>
  <si>
    <t>Denom (adjusted)</t>
  </si>
  <si>
    <t>Total 1</t>
  </si>
  <si>
    <t>Total 2</t>
  </si>
  <si>
    <t>Total 3</t>
  </si>
  <si>
    <t>Adjusted Total 1</t>
  </si>
  <si>
    <t>Adjusted Total 2</t>
  </si>
  <si>
    <t>Adjusted Total 3</t>
  </si>
  <si>
    <t>Overall Total</t>
  </si>
  <si>
    <t>%</t>
  </si>
  <si>
    <t>Volume</t>
  </si>
  <si>
    <t>3. NASR: Discharged (as % of booked appts)</t>
  </si>
  <si>
    <t>Incoming demand</t>
  </si>
  <si>
    <t>Patient leaves pathway, not having used a clinical slot</t>
  </si>
  <si>
    <t>7. NASL: Rebooked (as % of NASL)</t>
  </si>
  <si>
    <t>5. NASL (as % of booked appts)</t>
  </si>
  <si>
    <t>Clinical slot required</t>
  </si>
  <si>
    <t>6. NASL: Discharged (as % of NASL)</t>
  </si>
  <si>
    <t>Patient leaves pathway, having used a clinical slot</t>
  </si>
  <si>
    <t>Demand</t>
  </si>
  <si>
    <t>NASR DC</t>
  </si>
  <si>
    <t>NASL</t>
  </si>
  <si>
    <t>NASL DC</t>
  </si>
  <si>
    <t>NASL Rebook</t>
  </si>
  <si>
    <t>Modality</t>
  </si>
  <si>
    <t>Please enter your demand information (per week) below</t>
  </si>
  <si>
    <t>Mean 4</t>
  </si>
  <si>
    <t>MRA3</t>
  </si>
  <si>
    <t>Mean 3</t>
  </si>
  <si>
    <t>Sigma3</t>
  </si>
  <si>
    <t>MRA4</t>
  </si>
  <si>
    <t>Sigma4</t>
  </si>
  <si>
    <t>Exclusion flag</t>
  </si>
  <si>
    <t>Exclude data point?</t>
  </si>
  <si>
    <t>Note that you can enter up to 5 years (260 rows) of data - the sheet will extend itself if more than 52 weeks of data are entered.</t>
  </si>
  <si>
    <t>Elective data</t>
  </si>
  <si>
    <t>[note that we transform blank rows (set by exclusion flag) into na() values, to ensure that they do not show up as points in final charts]</t>
  </si>
  <si>
    <t>SplitB</t>
  </si>
  <si>
    <t>SplitC</t>
  </si>
  <si>
    <t>SplitD</t>
  </si>
  <si>
    <t>SplitAStart</t>
  </si>
  <si>
    <t>SplitAEnd</t>
  </si>
  <si>
    <t>SplitBStart</t>
  </si>
  <si>
    <t>SplitBEnd</t>
  </si>
  <si>
    <t>SplitCStart</t>
  </si>
  <si>
    <t>SplitCEnd</t>
  </si>
  <si>
    <t>SplitDStart</t>
  </si>
  <si>
    <t>SplitDEnd</t>
  </si>
  <si>
    <t>Display type:</t>
  </si>
  <si>
    <t>Demand page restructured to allow &gt; 52 wks of data (max 260); advanced demand module methods integrated into SPC analysis</t>
  </si>
  <si>
    <t>Year</t>
  </si>
  <si>
    <t>Date axis labels</t>
  </si>
  <si>
    <t>Date (2nd level) - use only if dates are being used</t>
  </si>
  <si>
    <t>Max value</t>
  </si>
  <si>
    <t>Selected Value</t>
  </si>
  <si>
    <t>Length</t>
  </si>
  <si>
    <t>min start</t>
  </si>
  <si>
    <t>Range height</t>
  </si>
  <si>
    <t>Total data points</t>
  </si>
  <si>
    <t>Lower B</t>
  </si>
  <si>
    <t>Upper B</t>
  </si>
  <si>
    <t>Exclusions</t>
  </si>
  <si>
    <t>LCL</t>
  </si>
  <si>
    <t>sigma-2</t>
  </si>
  <si>
    <t>sigma-1</t>
  </si>
  <si>
    <t>mean</t>
  </si>
  <si>
    <t>sigma+1</t>
  </si>
  <si>
    <t>sigma+2</t>
  </si>
  <si>
    <t>UCL</t>
  </si>
  <si>
    <t>Baseline period:</t>
  </si>
  <si>
    <t>Start</t>
  </si>
  <si>
    <t>End</t>
  </si>
  <si>
    <t>Index</t>
  </si>
  <si>
    <t>Type</t>
  </si>
  <si>
    <t>Week reference</t>
  </si>
  <si>
    <t>Season</t>
  </si>
  <si>
    <t>Sigma-2</t>
  </si>
  <si>
    <t>Sigma-1</t>
  </si>
  <si>
    <t>Mean</t>
  </si>
  <si>
    <t>Sigma+1</t>
  </si>
  <si>
    <t>Sigma+2</t>
  </si>
  <si>
    <t>Sigma</t>
  </si>
  <si>
    <t>valid seasons:</t>
  </si>
  <si>
    <t>Exception rules here</t>
  </si>
  <si>
    <t>Percentile values</t>
  </si>
  <si>
    <t>PercLower</t>
  </si>
  <si>
    <t>PercUpper</t>
  </si>
  <si>
    <t>Lower</t>
  </si>
  <si>
    <t>Upper</t>
  </si>
  <si>
    <t>Lookup values for week index</t>
  </si>
  <si>
    <t>2(1)</t>
  </si>
  <si>
    <t>4(1)</t>
  </si>
  <si>
    <t>3(1)</t>
  </si>
  <si>
    <t>Control (large)</t>
  </si>
  <si>
    <t>Control (med)</t>
  </si>
  <si>
    <t>Control (small)</t>
  </si>
  <si>
    <t>Non-random jump</t>
  </si>
  <si>
    <t>1. A data point is more than 3 sigma (Σ) from the mean</t>
  </si>
  <si>
    <t>2: 2 out of 3 points are more than 2 sigma (Σ) from the mean, with all 3 on the same side of the mean</t>
  </si>
  <si>
    <t>4: a run of 9 or more points on the same side of the mean</t>
  </si>
  <si>
    <t>Special Cause Variation markers</t>
  </si>
  <si>
    <t>Up/down trend (6 pts)</t>
  </si>
  <si>
    <t>Long term bias (9 pts)</t>
  </si>
  <si>
    <t>Sum(Chart)</t>
  </si>
  <si>
    <t>unused</t>
  </si>
  <si>
    <t>unused (1)</t>
  </si>
  <si>
    <t>Calculation data series</t>
  </si>
  <si>
    <t>Baseline selection</t>
  </si>
  <si>
    <t>Include 2nd Season?</t>
  </si>
  <si>
    <t>Season 2 ends:</t>
  </si>
  <si>
    <t>Include 3rd Season?</t>
  </si>
  <si>
    <t>Season 3 ends:</t>
  </si>
  <si>
    <t>Include 4th Season?</t>
  </si>
  <si>
    <t>Season 4 begins:</t>
  </si>
  <si>
    <t>1 Season</t>
  </si>
  <si>
    <t>1+ Seasons</t>
  </si>
  <si>
    <t>SPC Type</t>
  </si>
  <si>
    <t>Show SPC values:</t>
  </si>
  <si>
    <t>Show percentile values:</t>
  </si>
  <si>
    <t>3: 6 consecutively rising or falling points</t>
  </si>
  <si>
    <t>Wks</t>
  </si>
  <si>
    <t>Baseline based</t>
  </si>
  <si>
    <t>Urg 1</t>
  </si>
  <si>
    <t>Urg 2</t>
  </si>
  <si>
    <t>Urg 3</t>
  </si>
  <si>
    <t>Overall Adjusted Total</t>
  </si>
  <si>
    <t>Checking urgency splits</t>
  </si>
  <si>
    <t>Note that will be based on adjusted units in all cases</t>
  </si>
  <si>
    <t>Total (Adjusted)</t>
  </si>
  <si>
    <t>Modality list</t>
  </si>
  <si>
    <t>User input</t>
  </si>
  <si>
    <t>Display text</t>
  </si>
  <si>
    <t>Default name</t>
  </si>
  <si>
    <t>All</t>
  </si>
  <si>
    <t>Adjustment</t>
  </si>
  <si>
    <t>Perc_total</t>
  </si>
  <si>
    <t>2. ROTT (as % of incoming elective demand)</t>
  </si>
  <si>
    <t>Emergency activity analysis</t>
  </si>
  <si>
    <t>This section will be used to provide an estimate for carve out from capacity. This document will always assume that capacity will be reserved from stated available stuff</t>
  </si>
  <si>
    <t>Enter data by:</t>
  </si>
  <si>
    <t>Week starting:</t>
  </si>
  <si>
    <t>Overall (Manual entry)</t>
  </si>
  <si>
    <t>Total blank columns</t>
  </si>
  <si>
    <t>Sum of values</t>
  </si>
  <si>
    <t>Total (Patients)</t>
  </si>
  <si>
    <t>Unit translation</t>
  </si>
  <si>
    <t>Please enter your planned demand information (per week) below</t>
  </si>
  <si>
    <t>Note that you can enter up to 52 weeks of data only here</t>
  </si>
  <si>
    <t>sample period as set in SPC section (across all seasonalities)</t>
  </si>
  <si>
    <t>Mean1</t>
  </si>
  <si>
    <t>Perc Lower1</t>
  </si>
  <si>
    <t>Perc Upper1</t>
  </si>
  <si>
    <t>Mean2</t>
  </si>
  <si>
    <t>Perc Lower2</t>
  </si>
  <si>
    <t>Perc Upper2</t>
  </si>
  <si>
    <t>Mean3</t>
  </si>
  <si>
    <t>Perc Lower3</t>
  </si>
  <si>
    <t>Perc Upper3</t>
  </si>
  <si>
    <t>Mean4</t>
  </si>
  <si>
    <t>Perc Lower4</t>
  </si>
  <si>
    <t>Perc Upper4</t>
  </si>
  <si>
    <t>Season 1</t>
  </si>
  <si>
    <t>Season 2</t>
  </si>
  <si>
    <t>Season 3</t>
  </si>
  <si>
    <t>Season 4</t>
  </si>
  <si>
    <t>Starting point: [user defined]</t>
  </si>
  <si>
    <t>Wk index start</t>
  </si>
  <si>
    <t>Wk index end</t>
  </si>
  <si>
    <t>Emergency carve out</t>
  </si>
  <si>
    <t>Planned carve out</t>
  </si>
  <si>
    <t>Wk index</t>
  </si>
  <si>
    <t>Summary</t>
  </si>
  <si>
    <t>Adjustments</t>
  </si>
  <si>
    <t>NASR / DC</t>
  </si>
  <si>
    <t>Clinic Name</t>
  </si>
  <si>
    <t>Weeks Per Year</t>
  </si>
  <si>
    <t>Average Per Week (52 Weeks)</t>
  </si>
  <si>
    <t>Totals</t>
  </si>
  <si>
    <t>SPC Chart calculations</t>
  </si>
  <si>
    <t>σ</t>
  </si>
  <si>
    <t>-2σ</t>
  </si>
  <si>
    <t>-1σ</t>
  </si>
  <si>
    <t>+1σ</t>
  </si>
  <si>
    <t>+2σ</t>
  </si>
  <si>
    <t>Axis Label</t>
  </si>
  <si>
    <t>Lower Control Limit</t>
  </si>
  <si>
    <t>Upper Control Limit</t>
  </si>
  <si>
    <t>Lower Percentile Bound</t>
  </si>
  <si>
    <t>Upper Percentile Bound</t>
  </si>
  <si>
    <t>Planned Demand</t>
  </si>
  <si>
    <t>Range Start</t>
  </si>
  <si>
    <t>Range End</t>
  </si>
  <si>
    <t>Baseline Selection</t>
  </si>
  <si>
    <t>Exception Rules</t>
  </si>
  <si>
    <t>2 (1)</t>
  </si>
  <si>
    <t>3 (1)</t>
  </si>
  <si>
    <t>4 (1)</t>
  </si>
  <si>
    <t>0.3d</t>
  </si>
  <si>
    <t>Paul Bullard</t>
  </si>
  <si>
    <t>Added: Planned (SPC) section and Capacity (simple) sections</t>
  </si>
  <si>
    <t>MRA</t>
  </si>
  <si>
    <t>PLB</t>
  </si>
  <si>
    <t>PUP</t>
  </si>
  <si>
    <t>Selected Range</t>
  </si>
  <si>
    <t>SK: Bug fix - SPC seasonal selection options were linked to non-existent macro - now corrected.
PB: Planned (SPC) range bug fixed</t>
  </si>
  <si>
    <t>Main data</t>
  </si>
  <si>
    <t>Show emergencies:</t>
  </si>
  <si>
    <t>Unit translation (for final output and calculations)</t>
  </si>
  <si>
    <t>Sum (for charts)</t>
  </si>
  <si>
    <t>Addition of Emergencies</t>
  </si>
  <si>
    <t>0.3e</t>
  </si>
  <si>
    <t>Updated controls for main SPC section - now resets baseline range to 1 if a season overflows past 52 weeks; exception is Season 1, which will recalculate season length to max datapoint.
Format changes to UCL, Mean, LCL (dotted), addition of summed elective + emergency 
Emergency care summary stats now available, can be used for final calculations.</t>
  </si>
  <si>
    <t>Average range</t>
  </si>
  <si>
    <t>to do: bring everything together into summary page
minor fixes: adjusted planned SPC (baseline period column chart) to include first data point [previously ignored]
Replaced dummy data in Planned with more typical pattern of data entry</t>
  </si>
  <si>
    <t>Resource Availability</t>
  </si>
  <si>
    <t>Week Start</t>
  </si>
  <si>
    <t>Capacity match?</t>
  </si>
  <si>
    <t>Frequency from calculator</t>
  </si>
  <si>
    <t>Display:</t>
  </si>
  <si>
    <t>Clinic Lookup for Capacity Graph Dropdown</t>
  </si>
  <si>
    <t>0.3f</t>
  </si>
  <si>
    <t>Updated planned SPC to dynamic chart, now updates based on the date range entered in the planned sheet.
Additional Capacity sheets (Capacity Resource Configuration, Adv Capacity Planning (hide), Capacity Outputs) created. Capacity Resource configuration hides based on simple/advanced calculator selected.</t>
  </si>
  <si>
    <t>0.3g</t>
  </si>
  <si>
    <t>VBA coding edits: updated cell edit test to use address comparison, as only single cell ranges are being checked - is more intuitive to read than range check.</t>
  </si>
  <si>
    <t>Required capacity</t>
  </si>
  <si>
    <t>Available capacity</t>
  </si>
  <si>
    <t>Show by:</t>
  </si>
  <si>
    <t>Current</t>
  </si>
  <si>
    <t>Sustainable</t>
  </si>
  <si>
    <t>Clearance</t>
  </si>
  <si>
    <t>MidPoint</t>
  </si>
  <si>
    <t>Activity parameters</t>
  </si>
  <si>
    <t>Enter values by:</t>
  </si>
  <si>
    <t>NASR - DC</t>
  </si>
  <si>
    <t>NASL - DC</t>
  </si>
  <si>
    <t>Adjusted</t>
  </si>
  <si>
    <t>Adjusted totals</t>
  </si>
  <si>
    <t>Dev notes for calculations:</t>
  </si>
  <si>
    <t>ROTT % denominator = Demand</t>
  </si>
  <si>
    <t>NASR DC denominator = Demand (- ROTT)</t>
  </si>
  <si>
    <t>NASL denominator = Demand (- ROTT)</t>
  </si>
  <si>
    <t>NASL DC denominator = Demand (- ROTT)</t>
  </si>
  <si>
    <t>NASL Rebook denominator = Demand (- ROTT) - this is inferred from the NASL DC value</t>
  </si>
  <si>
    <t>Your selected baseline period is:</t>
  </si>
  <si>
    <t>Estimated % values</t>
  </si>
  <si>
    <t>Patient to units activity calculator</t>
  </si>
  <si>
    <t>0.3h</t>
  </si>
  <si>
    <t>Changed activity sheets - will be using the Parameters page as main input, with addition of 'patients to units' converter for recorded outcomes in case of multiple modalities</t>
  </si>
  <si>
    <t>Would you like to use the patient-to-unit activity outcome calculator?</t>
  </si>
  <si>
    <t>Baseline selection for activity</t>
  </si>
  <si>
    <t>Baseline period (wks)</t>
  </si>
  <si>
    <t>Baseline demand</t>
  </si>
  <si>
    <t>Overall (normalised per wk)</t>
  </si>
  <si>
    <t>Parameter calcluation switch</t>
  </si>
  <si>
    <t>Calc perc</t>
  </si>
  <si>
    <t>Calc expected vol</t>
  </si>
  <si>
    <t>Entered perc</t>
  </si>
  <si>
    <t>Entered vol</t>
  </si>
  <si>
    <t>NASRDC</t>
  </si>
  <si>
    <t>NASLDC</t>
  </si>
  <si>
    <t>1. Est. Demand</t>
  </si>
  <si>
    <t>Based on selected baseline period in SPC sheet,</t>
  </si>
  <si>
    <t>Addition of new standard VBA code: ProtectSheet  - will allow specified sheet to be temporarily unprotected to allow dynamic changes for formatting/input purposes
sub version i - removed check boxes to see how this affects file size.</t>
  </si>
  <si>
    <t>Expected attendances</t>
  </si>
  <si>
    <t>Expected attendances = Demand - ROTT + rebookings</t>
  </si>
  <si>
    <t>Calculated value cell addresses:</t>
  </si>
  <si>
    <t>Locked Vol</t>
  </si>
  <si>
    <t>Locked Percent</t>
  </si>
  <si>
    <t>Adjusted Perc calc</t>
  </si>
  <si>
    <r>
      <t xml:space="preserve">Removals from WL for </t>
    </r>
    <r>
      <rPr>
        <u/>
        <sz val="8"/>
        <color theme="1"/>
        <rFont val="Arial"/>
        <family val="2"/>
      </rPr>
      <t>R</t>
    </r>
    <r>
      <rPr>
        <sz val="8"/>
        <color theme="1"/>
        <rFont val="Arial"/>
        <family val="2"/>
      </rPr>
      <t xml:space="preserve">easons </t>
    </r>
    <r>
      <rPr>
        <u/>
        <sz val="8"/>
        <color theme="1"/>
        <rFont val="Arial"/>
        <family val="2"/>
      </rPr>
      <t>O</t>
    </r>
    <r>
      <rPr>
        <sz val="8"/>
        <color theme="1"/>
        <rFont val="Arial"/>
        <family val="2"/>
      </rPr>
      <t xml:space="preserve">ther </t>
    </r>
    <r>
      <rPr>
        <u/>
        <sz val="8"/>
        <color theme="1"/>
        <rFont val="Arial"/>
        <family val="2"/>
      </rPr>
      <t>T</t>
    </r>
    <r>
      <rPr>
        <sz val="8"/>
        <color theme="1"/>
        <rFont val="Arial"/>
        <family val="2"/>
      </rPr>
      <t xml:space="preserve">han </t>
    </r>
    <r>
      <rPr>
        <u/>
        <sz val="8"/>
        <color theme="1"/>
        <rFont val="Arial"/>
        <family val="2"/>
      </rPr>
      <t>T</t>
    </r>
    <r>
      <rPr>
        <sz val="8"/>
        <color theme="1"/>
        <rFont val="Arial"/>
        <family val="2"/>
      </rPr>
      <t>reatment</t>
    </r>
  </si>
  <si>
    <r>
      <rPr>
        <u/>
        <sz val="9"/>
        <color theme="1"/>
        <rFont val="Arial"/>
        <family val="2"/>
      </rPr>
      <t>N</t>
    </r>
    <r>
      <rPr>
        <sz val="9"/>
        <color theme="1"/>
        <rFont val="Arial"/>
        <family val="2"/>
      </rPr>
      <t>on-</t>
    </r>
    <r>
      <rPr>
        <u/>
        <sz val="9"/>
        <color theme="1"/>
        <rFont val="Arial"/>
        <family val="2"/>
      </rPr>
      <t>A</t>
    </r>
    <r>
      <rPr>
        <sz val="9"/>
        <color theme="1"/>
        <rFont val="Arial"/>
        <family val="2"/>
      </rPr>
      <t>ttendance (</t>
    </r>
    <r>
      <rPr>
        <u/>
        <sz val="9"/>
        <color theme="1"/>
        <rFont val="Arial"/>
        <family val="2"/>
      </rPr>
      <t>S</t>
    </r>
    <r>
      <rPr>
        <sz val="9"/>
        <color theme="1"/>
        <rFont val="Arial"/>
        <family val="2"/>
      </rPr>
      <t xml:space="preserve">lot </t>
    </r>
    <r>
      <rPr>
        <u/>
        <sz val="9"/>
        <color theme="1"/>
        <rFont val="Arial"/>
        <family val="2"/>
      </rPr>
      <t>L</t>
    </r>
    <r>
      <rPr>
        <sz val="9"/>
        <color theme="1"/>
        <rFont val="Arial"/>
        <family val="2"/>
      </rPr>
      <t>ost)</t>
    </r>
  </si>
  <si>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R</t>
    </r>
    <r>
      <rPr>
        <sz val="8"/>
        <color theme="1"/>
        <rFont val="Arial"/>
        <family val="2"/>
      </rPr>
      <t>eused) - Discharged</t>
    </r>
  </si>
  <si>
    <t>Vol cells</t>
  </si>
  <si>
    <t>Perc cells</t>
  </si>
  <si>
    <t>G7</t>
  </si>
  <si>
    <t>G11</t>
  </si>
  <si>
    <t>G21</t>
  </si>
  <si>
    <t>I27</t>
  </si>
  <si>
    <t>H7</t>
  </si>
  <si>
    <t>H11</t>
  </si>
  <si>
    <t>H21</t>
  </si>
  <si>
    <t>J27</t>
  </si>
  <si>
    <t>Parameters calculator (hide)'!B25</t>
  </si>
  <si>
    <t>Parameters calculator (hide)'!C25</t>
  </si>
  <si>
    <t>Parameters calculator (hide)'!E25</t>
  </si>
  <si>
    <t>Parameters calculator (hide)'!F25</t>
  </si>
  <si>
    <t>Parameters calculator (hide)'!B24</t>
  </si>
  <si>
    <t>Parameters calculator (hide)'!C24</t>
  </si>
  <si>
    <t>Parameters calculator (hide)'!E24</t>
  </si>
  <si>
    <t>Parameters calculator (hide)'!F24</t>
  </si>
  <si>
    <t>Parameters calculator (hide)'!C16</t>
  </si>
  <si>
    <t>Parameters calculator (hide)'!E16</t>
  </si>
  <si>
    <t>Parameters calculator (hide)'!G16</t>
  </si>
  <si>
    <t>Parameters calculator (hide)'!I16</t>
  </si>
  <si>
    <t>How many attendances did you actually record over your sample period?</t>
  </si>
  <si>
    <t>8. Expected Attendances</t>
  </si>
  <si>
    <t>Clinical slots used</t>
  </si>
  <si>
    <r>
      <t xml:space="preserve">This is </t>
    </r>
    <r>
      <rPr>
        <u/>
        <sz val="8"/>
        <color theme="1"/>
        <rFont val="Arial"/>
        <family val="2"/>
      </rPr>
      <t>NOT</t>
    </r>
    <r>
      <rPr>
        <sz val="8"/>
        <color theme="1"/>
        <rFont val="Arial"/>
        <family val="2"/>
      </rPr>
      <t xml:space="preserve"> required capacity:</t>
    </r>
  </si>
  <si>
    <t>We have not accounted for variation.</t>
  </si>
  <si>
    <t>Volume Calc</t>
  </si>
  <si>
    <t>Percent Calc</t>
  </si>
  <si>
    <t>Volume Entered</t>
  </si>
  <si>
    <t>Percent Entered</t>
  </si>
  <si>
    <t>B22</t>
  </si>
  <si>
    <t>C22</t>
  </si>
  <si>
    <t>E22</t>
  </si>
  <si>
    <t>F22</t>
  </si>
  <si>
    <t>B21</t>
  </si>
  <si>
    <t>C21</t>
  </si>
  <si>
    <t>E21</t>
  </si>
  <si>
    <t>F21</t>
  </si>
  <si>
    <t>SPC Chart</t>
  </si>
  <si>
    <t>Planned</t>
  </si>
  <si>
    <t>Planned SPC</t>
  </si>
  <si>
    <t>Capacity</t>
  </si>
  <si>
    <t>Worksheet</t>
  </si>
  <si>
    <t>Transformation from pt to modality: for % entered figures, we will scale according to the baseline demand</t>
  </si>
  <si>
    <t>Baseline link:</t>
  </si>
  <si>
    <t>Estimated demand (aggregate):</t>
  </si>
  <si>
    <t>Estimated attendances (aggregate):</t>
  </si>
  <si>
    <t>Aggregate values are summarised in the Parameters tab - click here to go back to the Parameters sheet</t>
  </si>
  <si>
    <t>Modifier for required capacity:</t>
  </si>
  <si>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Rebooked</t>
    </r>
  </si>
  <si>
    <r>
      <t>Non-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Discharged</t>
    </r>
  </si>
  <si>
    <t>Days</t>
  </si>
  <si>
    <t>Weeks</t>
  </si>
  <si>
    <t>Seen by</t>
  </si>
  <si>
    <t>This is the back end of the parameters and Pathway tabs. Note that this combines the functionality of the parameters and parameters calculator sections.</t>
  </si>
  <si>
    <t>Final parameter outputs for use in calculations</t>
  </si>
  <si>
    <t>NASLRebook</t>
  </si>
  <si>
    <t>Pathway parameters</t>
  </si>
  <si>
    <t>Urgency</t>
  </si>
  <si>
    <t>Adjusted available capacity</t>
  </si>
  <si>
    <t>[Demand (at appropriate percentile) * (1-ROTT%)]  *  [1 - NASRDC% + (NASL% * NASLRebook%)]</t>
  </si>
  <si>
    <t>For Chart</t>
  </si>
  <si>
    <t>Urgency % (of total)</t>
  </si>
  <si>
    <t>Waiting list calculations</t>
  </si>
  <si>
    <t>Calculated WL size (adjusted)</t>
  </si>
  <si>
    <t>Total WL size (adjusted)</t>
  </si>
  <si>
    <t>Total WL size (Pts)</t>
  </si>
  <si>
    <t>Current WL Size Calculation</t>
  </si>
  <si>
    <t>NASL Rebookings</t>
  </si>
  <si>
    <t>Calculate required demand in order to keep pace with incoming demand. The following values will be used:</t>
  </si>
  <si>
    <t>For display in Pathway sheet</t>
  </si>
  <si>
    <t>By time</t>
  </si>
  <si>
    <t>Overall pt-unit adjust</t>
  </si>
  <si>
    <t>Rebooking waits</t>
  </si>
  <si>
    <r>
      <t xml:space="preserve">Does </t>
    </r>
    <r>
      <rPr>
        <b/>
        <sz val="11"/>
        <color theme="1"/>
        <rFont val="Arial"/>
        <family val="2"/>
      </rPr>
      <t>planned</t>
    </r>
    <r>
      <rPr>
        <sz val="11"/>
        <color theme="1"/>
        <rFont val="Arial"/>
        <family val="2"/>
      </rPr>
      <t xml:space="preserve"> activity constitute a significant portion of your workload?</t>
    </r>
  </si>
  <si>
    <r>
      <t xml:space="preserve">Is there a significant amount of </t>
    </r>
    <r>
      <rPr>
        <b/>
        <sz val="11"/>
        <color theme="1"/>
        <rFont val="Arial"/>
        <family val="2"/>
      </rPr>
      <t>same day</t>
    </r>
    <r>
      <rPr>
        <sz val="11"/>
        <color theme="1"/>
        <rFont val="Arial"/>
        <family val="2"/>
      </rPr>
      <t xml:space="preserve"> (eg. emergency) activity?</t>
    </r>
  </si>
  <si>
    <t>Select a start date:</t>
  </si>
  <si>
    <t>Month</t>
  </si>
  <si>
    <t>Reference week start</t>
  </si>
  <si>
    <t>Pts</t>
  </si>
  <si>
    <t xml:space="preserve">Sustainable waiting list size </t>
  </si>
  <si>
    <t>Current waiting list size</t>
  </si>
  <si>
    <t>Parsing by urgency and modality</t>
  </si>
  <si>
    <t>Chart title:</t>
  </si>
  <si>
    <t>Core capacity</t>
  </si>
  <si>
    <t>Carve out</t>
  </si>
  <si>
    <t>Ad-Hoc capacity</t>
  </si>
  <si>
    <t>End date</t>
  </si>
  <si>
    <t>Basic</t>
  </si>
  <si>
    <t>Planning calculator</t>
  </si>
  <si>
    <t>Capacity calculator</t>
  </si>
  <si>
    <t>Group size</t>
  </si>
  <si>
    <t>This section sets up the parameters for the critical capacity resource allocation etc.</t>
  </si>
  <si>
    <t xml:space="preserve">Critical resource </t>
  </si>
  <si>
    <t>Period 1</t>
  </si>
  <si>
    <t>Period 2</t>
  </si>
  <si>
    <t>Period 3</t>
  </si>
  <si>
    <t>Period 4</t>
  </si>
  <si>
    <t>Period 5</t>
  </si>
  <si>
    <t>Check if resource if active within a given week</t>
  </si>
  <si>
    <t>Resource list</t>
  </si>
  <si>
    <t>Resource link</t>
  </si>
  <si>
    <t>Key resource 1</t>
  </si>
  <si>
    <t>Key resource 2</t>
  </si>
  <si>
    <t>Key resource 3</t>
  </si>
  <si>
    <t>Capacity (time based)</t>
  </si>
  <si>
    <t>Total weeks active</t>
  </si>
  <si>
    <t>Capacity / clinic (adjusted)</t>
  </si>
  <si>
    <t>Capacity (time based) - adjusted</t>
  </si>
  <si>
    <t>Core clinic list</t>
  </si>
  <si>
    <t>Stated capacity</t>
  </si>
  <si>
    <t>Ad hoc capacity</t>
  </si>
  <si>
    <t>Total capacity (adjusted)</t>
  </si>
  <si>
    <t>Total capacity (basic)</t>
  </si>
  <si>
    <t>Adjusted (minimum) capacity</t>
  </si>
  <si>
    <t>Adjusted for critical resources</t>
  </si>
  <si>
    <t>Ad hoc (planned) clinic list</t>
  </si>
  <si>
    <t>Type switch</t>
  </si>
  <si>
    <t>Capacity date axis labels</t>
  </si>
  <si>
    <t>Regular capacity</t>
  </si>
  <si>
    <t>Clinic index name</t>
  </si>
  <si>
    <t>Core capacity:</t>
  </si>
  <si>
    <t>Ad hoc capacity:</t>
  </si>
  <si>
    <t>Capacity - Link your sessions to your key resources here</t>
  </si>
  <si>
    <t>Start date</t>
  </si>
  <si>
    <t>Please enter up to 5 periods when your critical resources are unavailable</t>
  </si>
  <si>
    <t>Historic activity</t>
  </si>
  <si>
    <t>Capacity summary</t>
  </si>
  <si>
    <t>Critical resources</t>
  </si>
  <si>
    <t>Show:</t>
  </si>
  <si>
    <t>Core</t>
  </si>
  <si>
    <t>Ad hoc</t>
  </si>
  <si>
    <t>X</t>
  </si>
  <si>
    <t>Calculated from table below</t>
  </si>
  <si>
    <t>No. wks</t>
  </si>
  <si>
    <t>Capacity / wk</t>
  </si>
  <si>
    <t>As stated in "Capacity" sheet</t>
  </si>
  <si>
    <t>Chart label</t>
  </si>
  <si>
    <t>Unadjusted baseline</t>
  </si>
  <si>
    <t>Breakdown:</t>
  </si>
  <si>
    <t>Units:</t>
  </si>
  <si>
    <t>Completed Parameters page.
Revamped capacity page - final versions now in place.
Added Pathways calculation page to set pathway lengths.
Summary page added - now shows summary statistics for both WL size and required vs. available capacity.</t>
  </si>
  <si>
    <t xml:space="preserve">To do: 
Future ad hoc planning page (mirror initial ad-hoc capacity section)
Text notes to accompany summary detailing outputs.
Lock locations for sheets and check codes used to dynamically lock cells.
Guidance text and info points to be added.
</t>
  </si>
  <si>
    <t>Show details</t>
  </si>
  <si>
    <t>Available</t>
  </si>
  <si>
    <t xml:space="preserve">  Core</t>
  </si>
  <si>
    <t xml:space="preserve">  Ad hoc</t>
  </si>
  <si>
    <t>Per week</t>
  </si>
  <si>
    <t>Other values for further calculations</t>
  </si>
  <si>
    <t>-</t>
  </si>
  <si>
    <t>Scroll down to see waiting list summary information</t>
  </si>
  <si>
    <t>'Parameters'!$C$3</t>
  </si>
  <si>
    <t>Difference</t>
  </si>
  <si>
    <t xml:space="preserve">  Average</t>
  </si>
  <si>
    <t>Demand split</t>
  </si>
  <si>
    <t>Actual attendances</t>
  </si>
  <si>
    <t>Inconsistency flag</t>
  </si>
  <si>
    <t>sense check against manually entered attendances.</t>
  </si>
  <si>
    <t>estimated demand based on attendances</t>
  </si>
  <si>
    <t>Based on this attendance level, the estimated demand is:</t>
  </si>
  <si>
    <t>Planning</t>
  </si>
  <si>
    <t>Change capacity</t>
  </si>
  <si>
    <t>Session name</t>
  </si>
  <si>
    <t>Session description [1]</t>
  </si>
  <si>
    <t>Session description [2]</t>
  </si>
  <si>
    <t>Change capacity?</t>
  </si>
  <si>
    <t>Start date:</t>
  </si>
  <si>
    <t>Week commencing</t>
  </si>
  <si>
    <t>Weeknum</t>
  </si>
  <si>
    <t>Required</t>
  </si>
  <si>
    <t>Set to zero</t>
  </si>
  <si>
    <t>Remove all capacity</t>
  </si>
  <si>
    <t>Set to 0</t>
  </si>
  <si>
    <t>This sheet contains the list used for provider and service names.</t>
  </si>
  <si>
    <t xml:space="preserve">Enter the full list of names you would like to use under the appropriate headings. The model will automatically adjust the drop down menus to fit. </t>
  </si>
  <si>
    <t>When you are done customising your list, press the button below to hide this sheet.</t>
  </si>
  <si>
    <t>Providers</t>
  </si>
  <si>
    <t>Services</t>
  </si>
  <si>
    <t>Data item</t>
  </si>
  <si>
    <t>Mean Demand</t>
  </si>
  <si>
    <t>Mean demand - unadjusted</t>
  </si>
  <si>
    <t>Lower Bound</t>
  </si>
  <si>
    <t>Lower bound of required capacity</t>
  </si>
  <si>
    <t>Upper Bound</t>
  </si>
  <si>
    <t>Upper bound of required capacity</t>
  </si>
  <si>
    <t>Non attendances (slot lost) as % - denominator is total bookings (ie. Demand - ROTT)</t>
  </si>
  <si>
    <t>NASL DNADischarge</t>
  </si>
  <si>
    <t>Non attendances (slot lost - discharged) as % - denominator is NASL</t>
  </si>
  <si>
    <t>NASR</t>
  </si>
  <si>
    <t>Non attendances (slot reused) as % - denominator is total bookings (ie. Demand - ROTT)</t>
  </si>
  <si>
    <t>NASR Discharge</t>
  </si>
  <si>
    <t>Non attendances (slot reused - discharged) as % - denominator is NASR</t>
  </si>
  <si>
    <t>Rebookings</t>
  </si>
  <si>
    <t>Rebookings following non-attendance (slot lost) as % - denominator is NASL (value can also be considered as 1 - NASL Discharge %)</t>
  </si>
  <si>
    <t>Total available capacity (ad hoc + core)</t>
  </si>
  <si>
    <t>Ideal WL size</t>
  </si>
  <si>
    <t>Maximum sustainable waiting list size</t>
  </si>
  <si>
    <t>Current WL size</t>
  </si>
  <si>
    <t>Stated current WL size</t>
  </si>
  <si>
    <t>ROTT as % - denominator is Demand</t>
  </si>
  <si>
    <t>Urgent%</t>
  </si>
  <si>
    <t>% urgent (optional)</t>
  </si>
  <si>
    <t>Point adjustment status</t>
  </si>
  <si>
    <t>1 if units are not in patients, 0 if in patients</t>
  </si>
  <si>
    <t>Point Adjustment Value</t>
  </si>
  <si>
    <t>Adjust to relevant unit conversion. If multiple modalities, use aggregate value.</t>
  </si>
  <si>
    <t>Chart title</t>
  </si>
  <si>
    <t>2Gether NHS Foundation Trust</t>
  </si>
  <si>
    <t>Aintree University Hospital NHS Foundation Trust</t>
  </si>
  <si>
    <t>Airedale NHS Foundation Trust</t>
  </si>
  <si>
    <t>Alder Hey Children's NHS Foundation Trust</t>
  </si>
  <si>
    <t>Ashford And St Peter's Hospitals NHS Foundation Trust</t>
  </si>
  <si>
    <t>Avon And Wiltshire Mental Health Partnership NHS Trust</t>
  </si>
  <si>
    <t>Barking, Havering And Redbridge University Hospitals NHS Trust</t>
  </si>
  <si>
    <t>Barnet, Enfield And Haringey Mental Health NHS Trust</t>
  </si>
  <si>
    <t>Barnsley Hospital NHS Foundation Trust</t>
  </si>
  <si>
    <t>Barts Health NHS Trust</t>
  </si>
  <si>
    <t>Basildon And Thurrock University Hospitals NHS Foundation Trust</t>
  </si>
  <si>
    <t>Bedford Hospital NHS Trust</t>
  </si>
  <si>
    <t>Berkshire Healthcare NHS Foundation Trust</t>
  </si>
  <si>
    <t>Birmingham And Solihull Mental Health NHS Foundation Trust</t>
  </si>
  <si>
    <t>Birmingham Community Healthcare NHS Foundation Trust</t>
  </si>
  <si>
    <t>Birmingham Women's And Children's NHS Foundation Trust</t>
  </si>
  <si>
    <t>Black Country Partnership NHS Foundation Trust</t>
  </si>
  <si>
    <t>Blackpool Teaching Hospitals NHS Foundation Trust</t>
  </si>
  <si>
    <t>Bolton NHS Foundation Trust</t>
  </si>
  <si>
    <t>Bradford District Care NHS Foundation Trust</t>
  </si>
  <si>
    <t>Bradford Teaching Hospitals NHS Foundation Trust</t>
  </si>
  <si>
    <t>Bridgewater Community Healthcare NHS Foundation Trust</t>
  </si>
  <si>
    <t>Brighton And Sussex University Hospitals NHS Trust</t>
  </si>
  <si>
    <t>Buckinghamshire Healthcare NHS Trust</t>
  </si>
  <si>
    <t>Burton Hospitals NHS Foundation Trust</t>
  </si>
  <si>
    <t>Calderdale And Huddersfield NHS Foundation Trust</t>
  </si>
  <si>
    <t>Cambridge University Hospitals NHS Foundation Trust</t>
  </si>
  <si>
    <t>Cambridgeshire And Peterborough NHS Foundation Trust</t>
  </si>
  <si>
    <t>Cambridgeshire Community Services NHS Trust</t>
  </si>
  <si>
    <t>Camden And Islington NHS Foundation Trust</t>
  </si>
  <si>
    <t>Central And North West London NHS Foundation Trust</t>
  </si>
  <si>
    <t>Central London Community Healthcare NHS Trust</t>
  </si>
  <si>
    <t>Chelsea And Westminster Hospital NHS Foundation Trust</t>
  </si>
  <si>
    <t>Cheshire And Wirral Partnership NHS Foundation Trust</t>
  </si>
  <si>
    <t>Chesterfield Royal Hospital NHS Foundation Trust</t>
  </si>
  <si>
    <t>City Hospitals Sunderland NHS Foundation Trust</t>
  </si>
  <si>
    <t>Colchester Hospital University NHS Foundation Trust</t>
  </si>
  <si>
    <t>Cornwall Partnership NHS Foundation Trust</t>
  </si>
  <si>
    <t>Countess Of Chester Hospital NHS Foundation Trust</t>
  </si>
  <si>
    <t>County Durham And Darlington NHS Foundation Trust</t>
  </si>
  <si>
    <t>Coventry And Warwickshire Partnership NHS Trust</t>
  </si>
  <si>
    <t>Croydon Health Services NHS Trust</t>
  </si>
  <si>
    <t>Cumbria Partnership NHS Foundation Trust</t>
  </si>
  <si>
    <t>Dartford And Gravesham NHS Trust</t>
  </si>
  <si>
    <t>Derby Teaching Hospitals NHS Foundation Trust</t>
  </si>
  <si>
    <t>Derbyshire Community Health Services NHS Foundation Trust</t>
  </si>
  <si>
    <t>Derbyshire Healthcare NHS Foundation Trust</t>
  </si>
  <si>
    <t>Devon Partnership NHS Trust</t>
  </si>
  <si>
    <t>Doncaster And Bassetlaw Teaching Hospitals NHS Foundation Trust</t>
  </si>
  <si>
    <t>Dorset County Hospital NHS Foundation Trust</t>
  </si>
  <si>
    <t>Dorset Healthcare University NHS Foundation Trust</t>
  </si>
  <si>
    <t>Dudley And Walsall Mental Health Partnership NHS Trust</t>
  </si>
  <si>
    <t>East And North Hertfordshire NHS Trust</t>
  </si>
  <si>
    <t>East Cheshire NHS Trust</t>
  </si>
  <si>
    <t>East Kent Hospitals University NHS Foundation Trust</t>
  </si>
  <si>
    <t>East Lancashire Hospitals NHS Trust</t>
  </si>
  <si>
    <t>East London NHS Foundation Trust</t>
  </si>
  <si>
    <t>East Midlands Ambulance Service NHS Trust</t>
  </si>
  <si>
    <t>East Of England Ambulance Service NHS Trust</t>
  </si>
  <si>
    <t>East Sussex Healthcare NHS Trust</t>
  </si>
  <si>
    <t>Epsom And St Helier University Hospitals NHS Trust</t>
  </si>
  <si>
    <t>Essex Partnership University NHS Foundation Trust</t>
  </si>
  <si>
    <t>Frimley Health NHS Foundation Trust</t>
  </si>
  <si>
    <t>Gateshead Health NHS Foundation Trust</t>
  </si>
  <si>
    <t>George Eliot Hospital NHS Trust</t>
  </si>
  <si>
    <t>Gloucestershire Care Services NHS Trust</t>
  </si>
  <si>
    <t>Gloucestershire Hospitals NHS Foundation Trust</t>
  </si>
  <si>
    <t>Great Ormond Street Hospital For Children NHS Foundation Trust</t>
  </si>
  <si>
    <t>Great Western Hospitals NHS Foundation Trust</t>
  </si>
  <si>
    <t>Greater Manchester Mental Health NHS Foundation Trust</t>
  </si>
  <si>
    <t>Guy's And St Thomas' NHS Foundation Trust</t>
  </si>
  <si>
    <t>Hampshire Hospitals NHS Foundation Trust</t>
  </si>
  <si>
    <t>Harrogate And District NHS Foundation Trust</t>
  </si>
  <si>
    <t>Heart Of England NHS Foundation Trust</t>
  </si>
  <si>
    <t>Hertfordshire Community NHS Trust</t>
  </si>
  <si>
    <t>Hertfordshire Partnership University NHS Foundation Trust</t>
  </si>
  <si>
    <t>Homerton University Hospital NHS Foundation Trust</t>
  </si>
  <si>
    <t>Hounslow And Richmond Community Healthcare NHS Trust</t>
  </si>
  <si>
    <t>Hull And East Yorkshire Hospitals NHS Trust</t>
  </si>
  <si>
    <t>Humber NHS Foundation Trust</t>
  </si>
  <si>
    <t>Imperial College Healthcare NHS Trust</t>
  </si>
  <si>
    <t>Ipswich Hospital NHS Trust</t>
  </si>
  <si>
    <t>Isle Of Wight NHS Trust</t>
  </si>
  <si>
    <t>James Paget University Hospitals NHS Foundation Trust</t>
  </si>
  <si>
    <t>Kent And Medway NHS And Social Care Partnership Trust</t>
  </si>
  <si>
    <t>Kent Community Health NHS Foundation Trust</t>
  </si>
  <si>
    <t>Kettering General Hospital NHS Foundation Trust</t>
  </si>
  <si>
    <t>King's College Hospital NHS Foundation Trust</t>
  </si>
  <si>
    <t>Kingston Hospital NHS Foundation Trust</t>
  </si>
  <si>
    <t>Lancashire Care NHS Foundation Trust</t>
  </si>
  <si>
    <t>Lancashire Teaching Hospitals NHS Foundation Trust</t>
  </si>
  <si>
    <t>Leeds And York Partnership NHS Foundation Trust</t>
  </si>
  <si>
    <t>Leeds Community Healthcare NHS Trust</t>
  </si>
  <si>
    <t>Leeds Teaching Hospitals NHS Trust</t>
  </si>
  <si>
    <t>Leicestershire Partnership NHS Trust</t>
  </si>
  <si>
    <t>Lewisham And Greenwich NHS Trust</t>
  </si>
  <si>
    <t>Lincolnshire Community Health Services NHS Trust</t>
  </si>
  <si>
    <t>Lincolnshire Partnership NHS Foundation Trust</t>
  </si>
  <si>
    <t>Liverpool Community Health NHS Trust</t>
  </si>
  <si>
    <t>Liverpool Heart And Chest Hospital NHS Foundation Trust</t>
  </si>
  <si>
    <t>Liverpool Women's NHS Foundation Trust</t>
  </si>
  <si>
    <t>London Ambulance Service NHS Trust</t>
  </si>
  <si>
    <t>London North West University Healthcare NHS Trust</t>
  </si>
  <si>
    <t>Luton And Dunstable University Hospital NHS Foundation Trust</t>
  </si>
  <si>
    <t>Maidstone And Tunbridge Wells NHS Trust</t>
  </si>
  <si>
    <t>Manchester University NHS Foundation Trust</t>
  </si>
  <si>
    <t>Medway NHS Foundation Trust</t>
  </si>
  <si>
    <t>Mersey Care NHS Foundation Trust</t>
  </si>
  <si>
    <t>Mid Cheshire Hospitals NHS Foundation Trust</t>
  </si>
  <si>
    <t>Mid Essex Hospital Services NHS Trust</t>
  </si>
  <si>
    <t>Mid Staffordshire NHS Foundation Trust</t>
  </si>
  <si>
    <t>Mid Yorkshire Hospitals NHS Trust</t>
  </si>
  <si>
    <t>Milton Keynes University Hospital NHS Foundation Trust</t>
  </si>
  <si>
    <t>Moorfields Eye Hospital NHS Foundation Trust</t>
  </si>
  <si>
    <t>Norfolk And Norwich University Hospitals NHS Foundation Trust</t>
  </si>
  <si>
    <t>Norfolk And Suffolk NHS Foundation Trust</t>
  </si>
  <si>
    <t>Norfolk Community Health And Care NHS Trust</t>
  </si>
  <si>
    <t>North Bristol NHS Trust</t>
  </si>
  <si>
    <t>North Cumbria University Hospitals NHS Trust</t>
  </si>
  <si>
    <t>North East Ambulance Service NHS Foundation Trust</t>
  </si>
  <si>
    <t>North East London NHS Foundation Trust</t>
  </si>
  <si>
    <t>North Middlesex University Hospital NHS Trust</t>
  </si>
  <si>
    <t>North Staffordshire Combined Healthcare NHS Trust</t>
  </si>
  <si>
    <t>North Tees And Hartlepool NHS Foundation Trust</t>
  </si>
  <si>
    <t>North West Ambulance Service NHS Trust</t>
  </si>
  <si>
    <t>North West Anglia NHS Foundation Trust</t>
  </si>
  <si>
    <t>North West Boroughs Healthcare NHS Foundation Trust</t>
  </si>
  <si>
    <t>Northampton General Hospital NHS Trust</t>
  </si>
  <si>
    <t>Northamptonshire Healthcare NHS Foundation Trust</t>
  </si>
  <si>
    <t>Northern Devon Healthcare NHS Trust</t>
  </si>
  <si>
    <t>Northern Lincolnshire And Goole NHS Foundation Trust</t>
  </si>
  <si>
    <t>Northumberland, Tyne And Wear NHS Foundation Trust</t>
  </si>
  <si>
    <t>Northumbria Healthcare NHS Foundation Trust</t>
  </si>
  <si>
    <t>Nottingham University Hospitals NHS Trust</t>
  </si>
  <si>
    <t>Nottinghamshire Healthcare NHS Foundation Trust</t>
  </si>
  <si>
    <t>Oxford Health NHS Foundation Trust</t>
  </si>
  <si>
    <t>Oxford University Hospitals NHS Foundation Trust</t>
  </si>
  <si>
    <t>Oxleas NHS Foundation Trust</t>
  </si>
  <si>
    <t>Pennine Acute Hospitals NHS Trust</t>
  </si>
  <si>
    <t>Pennine Care NHS Foundation Trust</t>
  </si>
  <si>
    <t>Plymouth Hospitals NHS Trust</t>
  </si>
  <si>
    <t>Poole Hospital NHS Foundation Trust</t>
  </si>
  <si>
    <t>Portsmouth Hospitals NHS Trust</t>
  </si>
  <si>
    <t>Public Health Wales NHS Trust</t>
  </si>
  <si>
    <t>Queen Victoria Hospital NHS Foundation Trust</t>
  </si>
  <si>
    <t>Rotherham Doncaster And South Humber NHS Foundation Trust</t>
  </si>
  <si>
    <t>Royal Berkshire NHS Foundation Trust</t>
  </si>
  <si>
    <t>Royal Brompton &amp; Harefield NHS Foundation Trust</t>
  </si>
  <si>
    <t>Royal Cornwall Hospitals NHS Trust</t>
  </si>
  <si>
    <t>Royal Devon And Exeter NHS Foundation Trust</t>
  </si>
  <si>
    <t>Royal Free London NHS Foundation Trust</t>
  </si>
  <si>
    <t>Royal Liverpool And Broadgreen University Hospitals NHS Trust</t>
  </si>
  <si>
    <t>Royal National Orthopaedic Hospital NHS Trust</t>
  </si>
  <si>
    <t>Royal Papworth Hospital NHS Foundation Trust</t>
  </si>
  <si>
    <t>Royal Surrey County Hospital NHS Foundation Trust</t>
  </si>
  <si>
    <t>Royal United Hospitals Bath NHS Foundation Trust</t>
  </si>
  <si>
    <t>Salford Royal NHS Foundation Trust</t>
  </si>
  <si>
    <t>Salisbury NHS Foundation Trust</t>
  </si>
  <si>
    <t>Sandwell And West Birmingham Hospitals NHS Trust</t>
  </si>
  <si>
    <t>Sheffield Children's NHS Foundation Trust</t>
  </si>
  <si>
    <t>Sheffield Health &amp; Social Care NHS Foundation Trust</t>
  </si>
  <si>
    <t>Sheffield Teaching Hospitals NHS Foundation Trust</t>
  </si>
  <si>
    <t>Sherwood Forest Hospitals NHS Foundation Trust</t>
  </si>
  <si>
    <t>Shrewsbury And Telford Hospital NHS Trust</t>
  </si>
  <si>
    <t>Shropshire Community Health NHS Trust</t>
  </si>
  <si>
    <t>Solent NHS Trust</t>
  </si>
  <si>
    <t>Somerset Partnership NHS Foundation Trust</t>
  </si>
  <si>
    <t>South Central Ambulance Service NHS Foundation Trust</t>
  </si>
  <si>
    <t>South East Coast Ambulance Service NHS Foundation Trust</t>
  </si>
  <si>
    <t>South London And Maudsley NHS Foundation Trust</t>
  </si>
  <si>
    <t>South Staffordshire And Shropshire Healthcare NHS Foundation Trust</t>
  </si>
  <si>
    <t>South Tees Hospitals NHS Foundation Trust</t>
  </si>
  <si>
    <t>South Tyneside NHS Foundation Trust</t>
  </si>
  <si>
    <t>South Warwickshire NHS Foundation Trust</t>
  </si>
  <si>
    <t>South West London And St George's Mental Health NHS Trust</t>
  </si>
  <si>
    <t>South West Yorkshire Partnership NHS Foundation Trust</t>
  </si>
  <si>
    <t>South Western Ambulance Service NHS Foundation Trust</t>
  </si>
  <si>
    <t>Southend University Hospital NHS Foundation Trust</t>
  </si>
  <si>
    <t>Southern Health NHS Foundation Trust</t>
  </si>
  <si>
    <t>Southport And Ormskirk Hospital NHS Trust</t>
  </si>
  <si>
    <t>St George's University Hospitals NHS Foundation Trust</t>
  </si>
  <si>
    <t>St Helens And Knowsley Hospital Services NHS Trust</t>
  </si>
  <si>
    <t>Staffordshire And Stoke On Trent Partnership NHS Trust</t>
  </si>
  <si>
    <t>Stockport NHS Foundation Trust</t>
  </si>
  <si>
    <t>Surrey And Borders Partnership NHS Foundation Trust</t>
  </si>
  <si>
    <t>Surrey And Sussex Healthcare NHS Trust</t>
  </si>
  <si>
    <t>Sussex Community NHS Foundation Trust</t>
  </si>
  <si>
    <t>Sussex Partnership NHS Foundation Trust</t>
  </si>
  <si>
    <t>Tameside And Glossop Integrated Care NHS Foundation Trust</t>
  </si>
  <si>
    <t>Taunton And Somerset NHS Foundation Trust</t>
  </si>
  <si>
    <t>Tavistock And Portman NHS Foundation Trust</t>
  </si>
  <si>
    <t>Tees, Esk And Wear Valleys NHS Foundation Trust</t>
  </si>
  <si>
    <t>The Christie NHS Foundation Trust</t>
  </si>
  <si>
    <t>The Clatterbridge Cancer Centre NHS Foundation Trust</t>
  </si>
  <si>
    <t>The Dudley Group NHS Foundation Trust</t>
  </si>
  <si>
    <t>The Hillingdon Hospitals NHS Foundation Trust</t>
  </si>
  <si>
    <t>The Newcastle Upon Tyne Hospitals NHS Foundation Trust</t>
  </si>
  <si>
    <t>The Princess Alexandra Hospital NHS Trust</t>
  </si>
  <si>
    <t>The Queen Elizabeth Hospital, King's Lynn, NHS Foundation Trust</t>
  </si>
  <si>
    <t>The Robert Jones And Agnes Hunt Orthopaedic Hospital NHS Foundation Trust</t>
  </si>
  <si>
    <t>The Rotherham NHS Foundation Trust</t>
  </si>
  <si>
    <t>The Royal Bournemouth And Christchurch Hospitals NHS Foundation Trust</t>
  </si>
  <si>
    <t>The Royal Marsden NHS Foundation Trust</t>
  </si>
  <si>
    <t>The Royal Orthopaedic Hospital NHS Foundation Trust</t>
  </si>
  <si>
    <t>The Royal Wolverhampton NHS Trust</t>
  </si>
  <si>
    <t>The Walton Centre NHS Foundation Trust</t>
  </si>
  <si>
    <t>Torbay And South Devon NHS Foundation Trust</t>
  </si>
  <si>
    <t>United Lincolnshire Hospitals NHS Trust</t>
  </si>
  <si>
    <t>University College London Hospitals NHS Foundation Trust</t>
  </si>
  <si>
    <t>University Hospital Southampton NHS Foundation Trust</t>
  </si>
  <si>
    <t>University Hospitals Birmingham NHS Foundation Trust</t>
  </si>
  <si>
    <t>University Hospitals Bristol NHS Foundation Trust</t>
  </si>
  <si>
    <t>University Hospitals Coventry And Warwickshire NHS Trust</t>
  </si>
  <si>
    <t>University Hospitals Of Leicester NHS Trust</t>
  </si>
  <si>
    <t>University Hospitals Of Morecambe Bay NHS Foundation Trust</t>
  </si>
  <si>
    <t>University Hospitals Of North Midlands NHS Trust</t>
  </si>
  <si>
    <t>Velindre NHS Trust</t>
  </si>
  <si>
    <t>Walsall Healthcare NHS Trust</t>
  </si>
  <si>
    <t>Warrington And Halton Hospitals NHS Foundation Trust</t>
  </si>
  <si>
    <t>Welsh Ambulance Services NHS Trust</t>
  </si>
  <si>
    <t>West Hertfordshire Hospitals NHS Trust</t>
  </si>
  <si>
    <t>West London Mental Health NHS Trust</t>
  </si>
  <si>
    <t>West Midlands Ambulance Service NHS Foundation Trust</t>
  </si>
  <si>
    <t>West Suffolk NHS Foundation Trust</t>
  </si>
  <si>
    <t>Western Sussex Hospitals NHS Foundation Trust</t>
  </si>
  <si>
    <t>Weston Area Health NHS Trust</t>
  </si>
  <si>
    <t>Whittington Health NHS Trust</t>
  </si>
  <si>
    <t>Wirral Community NHS Foundation Trust</t>
  </si>
  <si>
    <t>Wirral University Teaching Hospital NHS Foundation Trust</t>
  </si>
  <si>
    <t>Worcestershire Acute Hospitals NHS Trust</t>
  </si>
  <si>
    <t>Worcestershire Health And Care NHS Trust</t>
  </si>
  <si>
    <t>Wrightington, Wigan And Leigh NHS Foundation Trust</t>
  </si>
  <si>
    <t>Wye Valley NHS Trust</t>
  </si>
  <si>
    <t>Yeovil District Hospital NHS Foundation Trust</t>
  </si>
  <si>
    <t>York Teaching Hospital NHS Foundation Trust</t>
  </si>
  <si>
    <t>Yorkshire Ambulance Service NHS Trust</t>
  </si>
  <si>
    <t>General surgery</t>
  </si>
  <si>
    <t>Urology</t>
  </si>
  <si>
    <t>Trauma &amp; orthopaedics</t>
  </si>
  <si>
    <t>ENT</t>
  </si>
  <si>
    <t>Ophthalmology</t>
  </si>
  <si>
    <t>Oral surgery</t>
  </si>
  <si>
    <t>Restorative dentistry</t>
  </si>
  <si>
    <t>Paediatric dentistry</t>
  </si>
  <si>
    <t>Orthodontics</t>
  </si>
  <si>
    <t>Oral &amp; maxillo facial surgery</t>
  </si>
  <si>
    <t>Endodontics</t>
  </si>
  <si>
    <t>Periodontics</t>
  </si>
  <si>
    <t>Prosthodontics</t>
  </si>
  <si>
    <t>Surgical dentistry</t>
  </si>
  <si>
    <t>Neurosurgery</t>
  </si>
  <si>
    <t>Plastic surgery</t>
  </si>
  <si>
    <t>Cardiothoracic surgery</t>
  </si>
  <si>
    <t>Paediatric surgery</t>
  </si>
  <si>
    <t>Anaesthetics</t>
  </si>
  <si>
    <t>Critical care medicine</t>
  </si>
  <si>
    <t>General medicine</t>
  </si>
  <si>
    <t>Gastroenterology</t>
  </si>
  <si>
    <t>Endocrinology</t>
  </si>
  <si>
    <t>Clinical haematology</t>
  </si>
  <si>
    <t>Clinical physiology</t>
  </si>
  <si>
    <t>Clinical pharmacology</t>
  </si>
  <si>
    <t>Audiological medicine</t>
  </si>
  <si>
    <t>Clinical genetics</t>
  </si>
  <si>
    <t>Clinical immunology and allergy</t>
  </si>
  <si>
    <t>Rehabilitation</t>
  </si>
  <si>
    <t>Palliative medicine</t>
  </si>
  <si>
    <t>Cardiology</t>
  </si>
  <si>
    <t>Paediatric cardiology</t>
  </si>
  <si>
    <t>Sport and exercise medicine</t>
  </si>
  <si>
    <t>Acute internal medicine</t>
  </si>
  <si>
    <t>Dermatology</t>
  </si>
  <si>
    <t>Respiratory medicine (also known as thoracic medicine)</t>
  </si>
  <si>
    <t>Infectious diseases</t>
  </si>
  <si>
    <t>Tropical medicine</t>
  </si>
  <si>
    <t>Genitourinary medicine</t>
  </si>
  <si>
    <t>Nephrology</t>
  </si>
  <si>
    <t>Medical oncology</t>
  </si>
  <si>
    <t>Nuclear medicine</t>
  </si>
  <si>
    <t>Neurology</t>
  </si>
  <si>
    <t>Clinical neuro-physiology</t>
  </si>
  <si>
    <t>Rheumatology</t>
  </si>
  <si>
    <t>Paediatrics</t>
  </si>
  <si>
    <t>Paediatric neurology</t>
  </si>
  <si>
    <t>Geriatric medicine</t>
  </si>
  <si>
    <t>Dental medicine specialties</t>
  </si>
  <si>
    <t>Special care dentistry</t>
  </si>
  <si>
    <t>Medical ophthalmology</t>
  </si>
  <si>
    <t>Obstetrics and gynaecology</t>
  </si>
  <si>
    <t>Obstetrics</t>
  </si>
  <si>
    <t>Gynaecology</t>
  </si>
  <si>
    <t>Community sexual and reproductive health</t>
  </si>
  <si>
    <t>Midwife episode</t>
  </si>
  <si>
    <t>General medical practice</t>
  </si>
  <si>
    <t>General dental practice</t>
  </si>
  <si>
    <t>Learning disability</t>
  </si>
  <si>
    <t>Adult mental illness</t>
  </si>
  <si>
    <t>Child and adolescent psychiatry</t>
  </si>
  <si>
    <t>Forensic psychiatry</t>
  </si>
  <si>
    <t>Psychotherapy</t>
  </si>
  <si>
    <t>Old age psychiatry</t>
  </si>
  <si>
    <t>Clinical oncology (previously radiotherapy)</t>
  </si>
  <si>
    <t>Radiology</t>
  </si>
  <si>
    <t>General pathology</t>
  </si>
  <si>
    <t>Blood transfusion</t>
  </si>
  <si>
    <t>Chemical pathology</t>
  </si>
  <si>
    <t>Haematology</t>
  </si>
  <si>
    <t>Histopathology</t>
  </si>
  <si>
    <t>Immunopathology</t>
  </si>
  <si>
    <t>Medical microbiology and virology</t>
  </si>
  <si>
    <t>Medical microbiology (also known as microbiology and bacteriology)</t>
  </si>
  <si>
    <t>Medical virology</t>
  </si>
  <si>
    <t>Community medicine</t>
  </si>
  <si>
    <t>Occupational medicine</t>
  </si>
  <si>
    <t>Community health services dental</t>
  </si>
  <si>
    <t>A. N. Other Trust</t>
  </si>
  <si>
    <t>0.4c</t>
  </si>
  <si>
    <t>Completed Planning page.
Added ablity to adjust organisation and service list via button.
Near final draft - to do: lock pages down.</t>
  </si>
  <si>
    <t>Use calculated figures</t>
  </si>
  <si>
    <t>Override</t>
  </si>
  <si>
    <t>Override switch</t>
  </si>
  <si>
    <t>Adjusted (maximum) capacity</t>
  </si>
  <si>
    <t>NHS Demand and Capacity Programme: Core model</t>
  </si>
  <si>
    <t>0.4c(i)</t>
  </si>
  <si>
    <t>Major fixes
- SPC seasonal calculation corrected; original calculations based on incorrect array references. (changes in 'Demand background (hide)' section)
Minor bug fixes
'Capacity summary' tab returning minor errors - fixed:
- 'Capacity resource' named formula returning error if no entries were in the list. Corrected with an IF statement at start of formula.
- Updated chart x-axis on 'Capacity summary' to dynamically change between week number/date format, dependent on user input in 'Capacity' start date section.
- Changed 'Capacity' 'End date' box to show blank if user has not entered anything.</t>
  </si>
  <si>
    <t>Minutes per point:</t>
  </si>
  <si>
    <t>Rebookings seen in:</t>
  </si>
  <si>
    <t>Rebooks</t>
  </si>
  <si>
    <t xml:space="preserve">  Based on 85th percentile</t>
  </si>
  <si>
    <t>Required capacity vs available capacity (weekly)</t>
  </si>
  <si>
    <t>This sheet will be used to list the cells that will need to be copied over in case of a data import from another (older) version.</t>
  </si>
  <si>
    <t>Range</t>
  </si>
  <si>
    <t>C5</t>
  </si>
  <si>
    <t>C7</t>
  </si>
  <si>
    <t>I11</t>
  </si>
  <si>
    <t>I13</t>
  </si>
  <si>
    <t>I15</t>
  </si>
  <si>
    <t>I17</t>
  </si>
  <si>
    <t>I19</t>
  </si>
  <si>
    <t>B22:B24</t>
  </si>
  <si>
    <t>C27:F36</t>
  </si>
  <si>
    <t>G27:I36</t>
  </si>
  <si>
    <t>C6</t>
  </si>
  <si>
    <t>E7</t>
  </si>
  <si>
    <t>Test Service</t>
  </si>
  <si>
    <t>SPC background (hide)</t>
  </si>
  <si>
    <t>B1</t>
  </si>
  <si>
    <t>C19</t>
  </si>
  <si>
    <t>C23</t>
  </si>
  <si>
    <t>C25</t>
  </si>
  <si>
    <t>C8</t>
  </si>
  <si>
    <t>C10</t>
  </si>
  <si>
    <t>C12</t>
  </si>
  <si>
    <t>Planned background (hide)</t>
  </si>
  <si>
    <t>U18:U19</t>
  </si>
  <si>
    <t>Capacity calculation (hide)</t>
  </si>
  <si>
    <t>E1</t>
  </si>
  <si>
    <t>C11</t>
  </si>
  <si>
    <t>C3</t>
  </si>
  <si>
    <t>C14</t>
  </si>
  <si>
    <t>C16</t>
  </si>
  <si>
    <t>Pathway</t>
  </si>
  <si>
    <t>B6:C8</t>
  </si>
  <si>
    <t>E6:E8</t>
  </si>
  <si>
    <t>H5:H8</t>
  </si>
  <si>
    <t>C7:C8</t>
  </si>
  <si>
    <t>B18</t>
  </si>
  <si>
    <t>B13</t>
  </si>
  <si>
    <t>B26:B45</t>
  </si>
  <si>
    <t>D26:D45</t>
  </si>
  <si>
    <t>F25:BE45</t>
  </si>
  <si>
    <t>C4</t>
  </si>
  <si>
    <t>C20</t>
  </si>
  <si>
    <t>B5:B104</t>
  </si>
  <si>
    <t>Number of modalities / subspecialties required:</t>
  </si>
  <si>
    <t>Current waiting list size (Patients)</t>
  </si>
  <si>
    <t xml:space="preserve">  Reserved for non-elective</t>
  </si>
  <si>
    <t>Reserved capacity</t>
  </si>
  <si>
    <t>Clearance calculator:</t>
  </si>
  <si>
    <t>I would like to clear the backlog in</t>
  </si>
  <si>
    <t>This will require capacity for an additional:</t>
  </si>
  <si>
    <t>1.02 (cont)</t>
  </si>
  <si>
    <t>Additions:
- Clearance calculator added to Summary. Includes additional forumlae in Parameters calculator (hide)</t>
  </si>
  <si>
    <t>MaxRows</t>
  </si>
  <si>
    <t>PMaxRows</t>
  </si>
  <si>
    <t>A16</t>
  </si>
  <si>
    <t>M16</t>
  </si>
  <si>
    <t>This section lists where we find max rows for demand, planned, capacity (core), capacity (ad hoc) - this is hard coded into the import macro</t>
  </si>
  <si>
    <t>macro variable name</t>
  </si>
  <si>
    <t>maxDrows</t>
  </si>
  <si>
    <t>maxCrows</t>
  </si>
  <si>
    <t>maxProws</t>
  </si>
  <si>
    <t>maxArows</t>
  </si>
  <si>
    <t>Import function added as a new feature: this will allow users to select a model that was completed using an older file, and will import all the relevant information.</t>
  </si>
  <si>
    <t>Show reserved capacity?</t>
  </si>
  <si>
    <t>Critical Resource</t>
  </si>
  <si>
    <t>Please add to, or change the data in the columns below (B &amp; D) as required.</t>
  </si>
  <si>
    <t>Surgical Specialties : General surgery (100)</t>
  </si>
  <si>
    <t>Surgical Specialties : Urology (101)</t>
  </si>
  <si>
    <t>Surgical Specialties : Transplantation surgery (102)</t>
  </si>
  <si>
    <t>Surgical Specialties : Breast surgery (103)</t>
  </si>
  <si>
    <t>Surgical Specialties : Colorectal surgery (104)</t>
  </si>
  <si>
    <t>Surgical Specialties : Hepatobiliary &amp; pancreatic surgery (105)</t>
  </si>
  <si>
    <t>Surgical Specialties : Upper gastrointestinal surgery (106)</t>
  </si>
  <si>
    <t>Surgical Specialties : Vascular surgery (107)</t>
  </si>
  <si>
    <t>Surgical Specialties : Spinal surgery service (108)</t>
  </si>
  <si>
    <t>Surgical Specialties : Trauma &amp; orthopaedics (110)</t>
  </si>
  <si>
    <t>Surgical Specialties : Ent (120)</t>
  </si>
  <si>
    <t>Surgical Specialties : Ophthalmology (130)</t>
  </si>
  <si>
    <t>Surgical Specialties : Oral surgery (140)</t>
  </si>
  <si>
    <t>Surgical Specialties : Restorative dentistry (141)</t>
  </si>
  <si>
    <t>Surgical Specialties : Paediatric dentistry (142)</t>
  </si>
  <si>
    <t>Surgical Specialties : Orthodontics (143)</t>
  </si>
  <si>
    <t>Surgical Specialties : Maxillo-facial surgery (144)</t>
  </si>
  <si>
    <t>Surgical Specialties : Neurosurgery (150)</t>
  </si>
  <si>
    <t>Surgical Specialties : Plastic surgery (160)</t>
  </si>
  <si>
    <t>Surgical Specialties : Burns care (161)</t>
  </si>
  <si>
    <t>Surgical Specialties : Cardiothoracic surgery (170)</t>
  </si>
  <si>
    <t>Surgical Specialties : Paediatric surgery (171)</t>
  </si>
  <si>
    <t>Surgical Specialties : Cardiac surgery (172)</t>
  </si>
  <si>
    <t>Surgical Specialties : Thoracic surgery (173)</t>
  </si>
  <si>
    <t>Surgical Specialties : Cardiothoracic transplantation (174)</t>
  </si>
  <si>
    <t>Surgical Specialties : Pain management (191)</t>
  </si>
  <si>
    <t>Children's Services: Paediatric urology (211)</t>
  </si>
  <si>
    <t>Children's Services: Paediatric transplantation surgery (212)</t>
  </si>
  <si>
    <t>Children's Services: Paediatric gastrointestinal surgery (213)</t>
  </si>
  <si>
    <t>Children's Services: Paediatric trauma and orthopaedics (214)</t>
  </si>
  <si>
    <t>Children's Services: Paediatric ear nose and throat (215)</t>
  </si>
  <si>
    <t>Children's Services: Paediatric ophthalmology (216)</t>
  </si>
  <si>
    <t>Children's Services: Paediatric maxillo-facial surgery (217)</t>
  </si>
  <si>
    <t>Children's Services: Paediatric neurosurgery (218)</t>
  </si>
  <si>
    <t>Children's Services: Paediatric plastic surgery (219)</t>
  </si>
  <si>
    <t>Children's Services: Paediatric burns care (220)</t>
  </si>
  <si>
    <t>Children's Services: Paediatric cardiac surgery (221)</t>
  </si>
  <si>
    <t>Children's Services: Paediatric thoracic surgery (222)</t>
  </si>
  <si>
    <t>Children's Services: Paediatric epilepsy (223)</t>
  </si>
  <si>
    <t>Children's Services: Paediatric pain management (241)</t>
  </si>
  <si>
    <t>Children's Services: Paediatric intensive care (242)</t>
  </si>
  <si>
    <t>Children's Services: Paediatric gastroenterology (251)</t>
  </si>
  <si>
    <t>Children's Services: Paediatric endocrinology (252)</t>
  </si>
  <si>
    <t>Children's Services: Paediatric clinical haematology (253)</t>
  </si>
  <si>
    <t>Children's Services: Paediatric audiological medicine (254)</t>
  </si>
  <si>
    <t>Children's Services: Paediatric clinical immunology and allergy service (255)</t>
  </si>
  <si>
    <t>Children's Services: Paediatric infectious diseases (256)</t>
  </si>
  <si>
    <t>Children's Services: Paediatric dermatology (257)</t>
  </si>
  <si>
    <t>Children's Services: Paediatric respiratory medicine (258)</t>
  </si>
  <si>
    <t>Children's Services: Paediatric nephrology (259)</t>
  </si>
  <si>
    <t>Children's Services: Paediatric medical oncology (260)</t>
  </si>
  <si>
    <t>Children's Services: Paediatric metabolic disease (261)</t>
  </si>
  <si>
    <t>Children's Services: Paediatric rheumatology (262)</t>
  </si>
  <si>
    <t>Children's Services: Paediatric diabetic medicine (263)</t>
  </si>
  <si>
    <t>Children's Services: Paediatric cystic fibrosis (264)</t>
  </si>
  <si>
    <t>Children's Services: Paediatric interventional radiology (280)</t>
  </si>
  <si>
    <t>Children's Services: Community paediatrics (290)</t>
  </si>
  <si>
    <t>Children's Services: Paediatric neuro-disability (291)</t>
  </si>
  <si>
    <t>Medical Specialties : Anaesthetics (190)</t>
  </si>
  <si>
    <t>Medical Specialties : Critical care medicine (192)</t>
  </si>
  <si>
    <t>Medical Specialties : General medicine (300)</t>
  </si>
  <si>
    <t>Medical Specialties : Gastroenterology (301)</t>
  </si>
  <si>
    <t>Medical Specialties : Endocrinology (302)</t>
  </si>
  <si>
    <t>Medical Specialties : Clinical haematology (303)</t>
  </si>
  <si>
    <t>Medical Specialties : Clinical physiology (304)</t>
  </si>
  <si>
    <t>Medical Specialties : Clinical pharmacology (305)</t>
  </si>
  <si>
    <t>Medical Specialties : Hepatology (306)</t>
  </si>
  <si>
    <t>Medical Specialties : Diabetic medicine (307)</t>
  </si>
  <si>
    <t>Medical Specialties : Blood and marrow transplantation (308)</t>
  </si>
  <si>
    <t>Medical Specialties : Haemophilia service (309)</t>
  </si>
  <si>
    <t>Medical Specialties : Audiological medicine (310)</t>
  </si>
  <si>
    <t>Medical Specialties : Clinical genetics (311)</t>
  </si>
  <si>
    <t>Medical Specialties : Clinical immunology and allergy service (313)</t>
  </si>
  <si>
    <t>Medical Specialties : Rehabilitation service (314)</t>
  </si>
  <si>
    <t>Medical Specialties : Palliative medicine (315)</t>
  </si>
  <si>
    <t>Medical Specialties : Clinical immunology (316)</t>
  </si>
  <si>
    <t>Medical Specialties : Allergy service (317)</t>
  </si>
  <si>
    <t>Medical Specialties : Intermediate care (318)</t>
  </si>
  <si>
    <t>Medical Specialties : Respite care (319)</t>
  </si>
  <si>
    <t>Medical Specialties : Cardiology (320)</t>
  </si>
  <si>
    <t>Medical Specialties : Paediatric cardiology (321)</t>
  </si>
  <si>
    <t>Medical Specialties : Clinical microbiology (322)</t>
  </si>
  <si>
    <t>Medical Specialties : Spinal injuries (323)</t>
  </si>
  <si>
    <t>Medical Specialties : Anticoagulant service (324)</t>
  </si>
  <si>
    <t>Medical Specialties : Sport and exercise medicine (325)</t>
  </si>
  <si>
    <t>Medical Specialties : Cardiac rehabilitation (327)</t>
  </si>
  <si>
    <t>Medical Specialties : Stroke medicine (328)</t>
  </si>
  <si>
    <t>Medical Specialties : Transient ischaemic attack (329)</t>
  </si>
  <si>
    <t>Medical Specialties : Dermatology (330)</t>
  </si>
  <si>
    <t>Medical Specialties : Congenital heart disease service (331)</t>
  </si>
  <si>
    <t>Medical Specialties : Respiratory medicine (340)</t>
  </si>
  <si>
    <t>Medical Specialties : Respiratory physiology (341)</t>
  </si>
  <si>
    <t>Medical Specialties : Programmed pulmonary rehabilitation (342)</t>
  </si>
  <si>
    <t>Medical Specialties : Adult cystic fibrosis service (343)</t>
  </si>
  <si>
    <t>Medical Specialties : Complex specialised rehabilitation service (344)</t>
  </si>
  <si>
    <t>Medical Specialties : Specialist rehabilitation service (345)</t>
  </si>
  <si>
    <t>Medical Specialties : Local specialist rehabilitation service (346)</t>
  </si>
  <si>
    <t>Medical Specialties : Infectious diseases (350)</t>
  </si>
  <si>
    <t>Medical Specialties : Tropical medicine (352)</t>
  </si>
  <si>
    <t>Medical Specialties : Genitourinary medicine (360)</t>
  </si>
  <si>
    <t>Medical Specialties : Nephrology (361)</t>
  </si>
  <si>
    <t>Medical Specialties : Medical oncology (370)</t>
  </si>
  <si>
    <t>Medical Specialties : Nuclear medicine (371)</t>
  </si>
  <si>
    <t>Medical Specialties : Neurology (400)</t>
  </si>
  <si>
    <t>Medical Specialties : Clinical neurophysiology (401)</t>
  </si>
  <si>
    <t>Medical Specialties : Rheumatology (410)</t>
  </si>
  <si>
    <t>Medical Specialties : Paediatrics (420)</t>
  </si>
  <si>
    <t>Medical Specialties : Paediatric neurology (421)</t>
  </si>
  <si>
    <t>Medical Specialties : Neonatology (422)</t>
  </si>
  <si>
    <t>Medical Specialties : Well babies (424)</t>
  </si>
  <si>
    <t>Medical Specialties : Geriatric medicine (430)</t>
  </si>
  <si>
    <t>Medical Specialties : Dental medicine specialties (450)</t>
  </si>
  <si>
    <t>Medical Specialties : Medical ophthalmology (460)</t>
  </si>
  <si>
    <t>Medical Specialties : Obstetrics (501)</t>
  </si>
  <si>
    <t>Medical Specialties : Gynaecology (502)</t>
  </si>
  <si>
    <t>Medical Specialties : Gynaecological oncology (503)</t>
  </si>
  <si>
    <t>Medical Specialties : Midwifery service (560)</t>
  </si>
  <si>
    <t>Therapies : Physiotherapy (650)</t>
  </si>
  <si>
    <t>Therapies : Occupational therapy (651)</t>
  </si>
  <si>
    <t>Therapies : Speech and language therapy (652)</t>
  </si>
  <si>
    <t>Therapies : Podiatry (653)</t>
  </si>
  <si>
    <t>Therapies : Dietetics (654)</t>
  </si>
  <si>
    <t>Therapies : Orthoptics (655)</t>
  </si>
  <si>
    <t>Therapies : Clinical psychology (656)</t>
  </si>
  <si>
    <t>Therapies : Prosthetics (657)</t>
  </si>
  <si>
    <t>Therapies : Orthotics (658)</t>
  </si>
  <si>
    <t>Therapies : Drama therapy (659)</t>
  </si>
  <si>
    <t>Therapies : Art therapy (660)</t>
  </si>
  <si>
    <t>Therapies : Music therapy (661)</t>
  </si>
  <si>
    <t>Therapies : Optometry (662)</t>
  </si>
  <si>
    <t>Therapies : Podiatric surgery (663)</t>
  </si>
  <si>
    <t>Psychiatry: Learning disability (700)</t>
  </si>
  <si>
    <t>Psychiatry: Adult mental illness (710)</t>
  </si>
  <si>
    <t>Psychiatry: Child and adolescent psychiatry (711)</t>
  </si>
  <si>
    <t>Psychiatry: Forensic psychiatry (712)</t>
  </si>
  <si>
    <t>Psychiatry: Psychotherapy (713)</t>
  </si>
  <si>
    <t>Psychiatry: Old age psychiatry (715)</t>
  </si>
  <si>
    <t>Psychiatry: Eating disorders (720)</t>
  </si>
  <si>
    <t>Psychiatry: Addiction services (721)</t>
  </si>
  <si>
    <t>Psychiatry: Liaison psychiatry (722)</t>
  </si>
  <si>
    <t>Psychiatry: Psychiatric intensive care (723)</t>
  </si>
  <si>
    <t>Psychiatry: Perinatal psychiatry (724)</t>
  </si>
  <si>
    <t>Psychiatry: Mental health recovery and rehabilitation service (725)</t>
  </si>
  <si>
    <t>Psychiatry: Mental health dual diagnosis service (726)</t>
  </si>
  <si>
    <t>Psychiatry: Dementia assessment service (727)</t>
  </si>
  <si>
    <t>Radiology: Clinical oncology (previously radiotherapy) (800)</t>
  </si>
  <si>
    <t>Radiology: Interventional radiology (811)</t>
  </si>
  <si>
    <t>Radiology: Diagnostic imaging (812)</t>
  </si>
  <si>
    <t>Pathology : Chemical pathology (822)</t>
  </si>
  <si>
    <t>Pathology : Medical virology (834)</t>
  </si>
  <si>
    <t>Other : Audiology (840)</t>
  </si>
  <si>
    <t>Other : Diabetic education service (920)</t>
  </si>
  <si>
    <t>Alternative list for services: by treatment function code</t>
  </si>
  <si>
    <t>Alternative list for services: by specialty</t>
  </si>
  <si>
    <t>Copy and paste one of the pre-prepared lists below for the 'Services' column, or create a custom list as required.</t>
  </si>
  <si>
    <t xml:space="preserve">Major fix:
- Bug in summary calculation chart (overall required capacity): was showing total upper bound value instead of difference in value between upper and lower bound, resulting in erroneous upper bound value being shown.
- Available capacity calculation on summary sheet (chart, overall): was applying patient modifier twice - corrected.
- SPC calculation for large (&gt;2 sigma) outliers corrected: for 3 points, 2 are &gt; 2 sigma from the mean; all points on the same side of the mean: the last part was not calculating correctly, resulting in erroneous returns.
- Removal of 'Yes' values in Demand (Excluded? column) in blank sheet version
- Bug in pathway chart - was showing total value of pathway in row length rather than stacked (ie. end - start) value. Corrected in Parameters (hide) sheet
- Fixed bug in pathway calculations - urgencies had been inverted in the calculation values. Now corrected.
Minor fixes:
- Total for 1 modality scenarios no longer doubling up against overall total
- Minutes per point cell was not unlocked, so could not alter value
- NHS logo is now in the background, so will not overlay help text.
- Capacity start date defaults to TODAY() if left blank; also removes error values in chart if no values are chosen.
- week start dates in critical resources dropdowns are linked to the week starting (Monday) in all cases
- Warning note in summary for capacity imbalances no longer will show 'FALSE' for non-issues.
- Pathways: rebookings times can now be set on an urgency specific basis, and shown as a stacked bar chart.
- Summary: Adjusted warning note regarding mismatch between required/available capacity - is based now on lower (dynamically named) and 85th percentile values.
- Summary: Lower / Upper bound renamed to lower (dynamically assigned) / 85th percentiles
- Summary: text labels adjusted - 'lower/upper bound' -&gt; 85th percentile; carve-out changed to 'reserved capacity for non-elective'
- Capacity setup: Fixed #REF error in Ad hoc column
- Demand: 'Total' column (for all totals, including all modalities) formula was directed to wrong column; corrected to show all elective demand. Notes added to all totals headers to explain this.
</t>
  </si>
  <si>
    <t>Major fix:
- Waiting list values chart showing total upper bound value instead of difference between upper and lower bound.
- Import subroutine fixes - text field entries in notes which begin with '=','-' or '+' not importing correctly.
- Import subroutine fixes - empty capacity related sheets (eg. Critical resources) causing errors.
Minor fixes:
- "Capacity setup" sheet shows core setup by default now.
- "Version control" sheet now protected as per the other visible sheets.</t>
  </si>
  <si>
    <t>Point/minutes conversion error caused by data type error: use of LongInt rather than Double.</t>
  </si>
  <si>
    <t>Major fix:
Points/Minutes not correctly translating to patients when viewed in Summary tab - conversion corrected.
Minor fixes:
- Colour adjustment to core + ad hoc capacity line in Summary tab chart (time-based breakdown) to improve clarity of visuals - included markers to help visability.
- Y-axis on summary chart (Summary page) fixed to 0.
- Improved efficiency of capacity unit adjustment - process now iterates only through populated cells.</t>
  </si>
  <si>
    <t>1.04 (cont)</t>
  </si>
  <si>
    <t>Ashish Mohanty</t>
  </si>
  <si>
    <t xml:space="preserve">Minor fix:
- Bug in summary calculation chart (required vs available capacity): Certain capacity start dates would render the chart inoperative. 
Now corrected.
Warning messages in the summary tab updated to quantify any deficits in capacity.
</t>
  </si>
  <si>
    <t>Bug in summary calculation chart caused when Weeknum returns a value of 53</t>
  </si>
  <si>
    <t xml:space="preserve">Minor fix:
- Average required capacity did not have adjustment relating to parameters applied, which was resulting in a high average figure.
Now corrected.
</t>
  </si>
  <si>
    <t>Bank holiday cover</t>
  </si>
  <si>
    <t>Locum</t>
  </si>
  <si>
    <t>WL Clearance</t>
  </si>
  <si>
    <t>Capacity Adjustment Rate</t>
  </si>
  <si>
    <t>Capacity Impact</t>
  </si>
  <si>
    <t>NASR D/C</t>
  </si>
  <si>
    <t>Non-attendance adjustment</t>
  </si>
  <si>
    <t>Rebooking Adjustment</t>
  </si>
  <si>
    <t>Capacity Adjustment</t>
  </si>
  <si>
    <t>Capacity Rebooking Adjustment</t>
  </si>
  <si>
    <t>Current WL Size</t>
  </si>
  <si>
    <t>Total Adjustment</t>
  </si>
  <si>
    <t>=Non-attendance adjustment + rebooking adjustment</t>
  </si>
  <si>
    <t>=Capacity Adjustment + Capacity Rebooking Adjustment</t>
  </si>
  <si>
    <t>Lookup Table</t>
  </si>
  <si>
    <t>StDev</t>
  </si>
  <si>
    <t>85th</t>
  </si>
  <si>
    <t>Percentiles</t>
  </si>
  <si>
    <t>StDev (est)</t>
  </si>
  <si>
    <t>Total Adjustment (Capacity)</t>
  </si>
  <si>
    <t>Prediction Output</t>
  </si>
  <si>
    <t>1st</t>
  </si>
  <si>
    <t>5th</t>
  </si>
  <si>
    <t>10th</t>
  </si>
  <si>
    <t>90th</t>
  </si>
  <si>
    <t>95th</t>
  </si>
  <si>
    <t>99th</t>
  </si>
  <si>
    <t>Check this calculation - no NASR rate entered directly in to model?</t>
  </si>
  <si>
    <t>Capacity Adjustment Rate (%):</t>
  </si>
  <si>
    <t>Capacity Impact (%):</t>
  </si>
  <si>
    <t>Sustainable Range Low</t>
  </si>
  <si>
    <t>Sustainable Range High</t>
  </si>
  <si>
    <t>Sustainable Range</t>
  </si>
  <si>
    <t>=(1 - ROTT) times (1 - (NASRDC + NASL))</t>
  </si>
  <si>
    <t>=(1 - ROTT) * (NASL * NASL Rebookings))</t>
  </si>
  <si>
    <t>=1 - (NASL)</t>
  </si>
  <si>
    <t>=(NASL * NASL Rebookings)</t>
  </si>
  <si>
    <t>Adjustment will translate capacity / demand into estimated activity</t>
  </si>
  <si>
    <t>`</t>
  </si>
  <si>
    <t xml:space="preserve">    ROTT</t>
  </si>
  <si>
    <t xml:space="preserve">    NASR Discharge %</t>
  </si>
  <si>
    <t xml:space="preserve">    NASL %</t>
  </si>
  <si>
    <t xml:space="preserve">    NASL Discharge %</t>
  </si>
  <si>
    <t>Non-attendances:</t>
  </si>
  <si>
    <t>Currently</t>
  </si>
  <si>
    <t>Override adjustment</t>
  </si>
  <si>
    <t>"What if" planning</t>
  </si>
  <si>
    <t>Customise capacity?</t>
  </si>
  <si>
    <t>Mean demand 
(uplift as %):</t>
  </si>
  <si>
    <t>This will be used as the lead-in for version 2</t>
  </si>
  <si>
    <t>Feature changes:
* WLI markers for ad hoc capacity
* Core capacity can now be edited as per ad hoc on a weekly basis in the capacity summary tab
* What if scenarios can be viewed in the 'planning' tab, accounting for changes in demand/flow behaviour
* Waiting list trajectory now included in the summary tab
Major fixes:
* Week calculations now fixed to ISOweek standard on all pages
* Average weekly demand bug on summary page now fixed (was not converting units correctly)
Minor fixes:
* Capacity gap in summary is now stated as a figure in the summary tab
* X-axis values on planned SPC section updated to per-month
* Lower bound for number of data points in baseline for planned SPC reduced to 5
* Formatting corrections (Summary sheet) - waiting list clearance formatted correctly.</t>
  </si>
  <si>
    <t>Select required session below:</t>
  </si>
  <si>
    <t>Lower (actual)</t>
  </si>
  <si>
    <t>Required capacity (actual)</t>
  </si>
  <si>
    <t>[Week End]</t>
  </si>
  <si>
    <t>Critical resources check:</t>
  </si>
  <si>
    <t>Ashish Mohanty
Paul Bullard
Sai Khunpha</t>
  </si>
  <si>
    <t>Ashish Mohanty
Sai Khunpha</t>
  </si>
  <si>
    <t>Major fixes:
* Critical resources end dates now changed to week ending (Sundays) from week starting (Mondays)
* Pop-up warning added to highlight invalid critical resource end dates, imported from older versions of the model
* Added conditional formatting on the critical resources page to highlight where a start date has been entered with no end date as an error</t>
  </si>
  <si>
    <t>Minor fix:
- 	Total (units) column in Capacity worksheet amended to reflect the unit of capacity selected in the dropdown list</t>
  </si>
  <si>
    <t>Minor fix:
Planning tab chart shows misaligned secondary axis when using 'what if' scenario planner. Corrected so expected outputs show correctly. Formula values set to be hidden on the same sheet.</t>
  </si>
  <si>
    <t>Minor fix:
* Less than 52 weeks selected at the end of the SPC chart was not calculating properly. 
* Demand in WL Projection was not modified by parameters correctly.</t>
  </si>
  <si>
    <t>Core session</t>
  </si>
  <si>
    <t>Bug was in Summary Calculations (hide) worksheet</t>
  </si>
  <si>
    <t>C5:C11</t>
  </si>
  <si>
    <t>Major fix:
- Overall capacity in Summary worksheet works correctly for years with 53 weeks
- Import function returned an error if the original file had the SPC calculation section begin at any point other than the first one; resolved.</t>
  </si>
  <si>
    <t>Minor fix:
- Ad-hoc capacity setup options had not been cleared correctly.</t>
  </si>
  <si>
    <t xml:space="preserve">Minor fix:
Capacity setup:
- Ad-hoc capacity setup calculations corrected - was pointing to incorrect cells.
Planning tab:
- X-axis for planning tab chart updated to reflect user selection.
WL Calculation (Summary)
- WL calculation - effect of rebooking was not fully represented - updated calculation to reflect this correctly.
</t>
  </si>
  <si>
    <t xml:space="preserve">Minor fixes
Planned demand tab:
- Interface tidied up
Summary tab:
- Interface tidied up, added help text for backlog clearance calculator
- Summary chart not displaying required capacity if percentile values are the same. 0.1 difference introduced to force chart display.
Planning tab:
- Secondary y-axis bug (not updating under certain circumstances) patched to work in all situations
- Demand uplift limit increased to +/-200% (previously 100%)
</t>
  </si>
  <si>
    <t>_x000D_
Paul Bullard_x000D_
Sai Khunpha_x000D_
Ashish Mohanty</t>
  </si>
  <si>
    <t>Mark Bytheway
Sai Khunpha</t>
  </si>
  <si>
    <t>Updated labelling as follows:
- Removed caveat on Demand sheet which incorrectly stated that Emergency columns would not be included in Totals column.
- Updated labelling on Summary page to clarify that the lower/upper percentile bound values are adjusted from the Parameters, therefore will not exactly reflect the SPC chart.</t>
  </si>
  <si>
    <t>Version: 2.15</t>
  </si>
  <si>
    <t>Test name 1</t>
  </si>
  <si>
    <t>Test name 2</t>
  </si>
  <si>
    <t>Another modality</t>
  </si>
  <si>
    <t>x</t>
  </si>
  <si>
    <t>Core Clinic 1</t>
  </si>
  <si>
    <t>Mon</t>
  </si>
  <si>
    <t>Core Clinic 2</t>
  </si>
  <si>
    <t>Core Clinic 3</t>
  </si>
  <si>
    <t>Tue</t>
  </si>
  <si>
    <t>Core Clinic 4</t>
  </si>
  <si>
    <t>Thu</t>
  </si>
  <si>
    <t>Ad Hoc 1</t>
  </si>
  <si>
    <t>Ad Hoc 2</t>
  </si>
  <si>
    <t>Consultant: Mr Smith</t>
  </si>
  <si>
    <t>Consultant: Ms Taylor</t>
  </si>
  <si>
    <t>CT Scanner 1</t>
  </si>
  <si>
    <t>CT Scanner 2</t>
  </si>
  <si>
    <t>CT Scanner 3</t>
  </si>
  <si>
    <t>1. Consultant: Mr Smith</t>
  </si>
  <si>
    <t>2. Consultant: Ms Taylor</t>
  </si>
  <si>
    <t>3. CT Scanner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</si>
</sst>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0.0%"/>
    <numFmt numFmtId="165" formatCode="_-* #,##0_-;\-* #,##0_-;_-* &quot;-&quot;??_-;_-@_-"/>
    <numFmt numFmtId="166" formatCode="0.0"/>
    <numFmt numFmtId="167" formatCode="#,##0.0"/>
    <numFmt numFmtId="168" formatCode="dd/mm/yyyy"/>
  </numFmts>
  <fonts count="71" x14ac:knownFonts="1">
    <font>
      <sz val="11"/>
      <color theme="1"/>
      <name val="Arial"/>
      <family val="2"/>
    </font>
    <font>
      <sz val="11"/>
      <color theme="1"/>
      <name val="Calibri"/>
      <family val="2"/>
      <scheme val="minor"/>
    </font>
    <font>
      <sz val="11"/>
      <color theme="1"/>
      <name val="Calibri"/>
      <family val="2"/>
      <scheme val="minor"/>
    </font>
    <font>
      <sz val="11"/>
      <color theme="1"/>
      <name val="Calibri"/>
      <family val="2"/>
      <scheme val="minor"/>
    </font>
    <font>
      <b/>
      <sz val="11"/>
      <color theme="1"/>
      <name val="Arial"/>
      <family val="2"/>
    </font>
    <font>
      <sz val="11"/>
      <color theme="0"/>
      <name val="Arial"/>
      <family val="2"/>
    </font>
    <font>
      <sz val="11"/>
      <color theme="1"/>
      <name val="Arial"/>
      <family val="2"/>
    </font>
    <font>
      <sz val="9"/>
      <color indexed="81"/>
      <name val="Tahoma"/>
      <family val="2"/>
    </font>
    <font>
      <b/>
      <sz val="9"/>
      <color indexed="81"/>
      <name val="Tahoma"/>
      <family val="2"/>
    </font>
    <font>
      <sz val="8"/>
      <color theme="1"/>
      <name val="Arial"/>
      <family val="2"/>
    </font>
    <font>
      <i/>
      <sz val="11"/>
      <color theme="3"/>
      <name val="Arial"/>
      <family val="2"/>
    </font>
    <font>
      <i/>
      <sz val="11"/>
      <color theme="5"/>
      <name val="Arial"/>
      <family val="2"/>
    </font>
    <font>
      <i/>
      <sz val="11"/>
      <color theme="7"/>
      <name val="Arial"/>
      <family val="2"/>
    </font>
    <font>
      <i/>
      <sz val="11"/>
      <color theme="6" tint="-0.499984740745262"/>
      <name val="Arial"/>
      <family val="2"/>
    </font>
    <font>
      <sz val="11"/>
      <color rgb="FF000000"/>
      <name val="Arial"/>
      <family val="2"/>
    </font>
    <font>
      <sz val="11"/>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indexed="8"/>
      <name val="Calibri"/>
      <family val="2"/>
    </font>
    <font>
      <sz val="10"/>
      <name val="Arial"/>
      <family val="2"/>
    </font>
    <font>
      <u/>
      <sz val="10"/>
      <color indexed="12"/>
      <name val="Arial"/>
      <family val="2"/>
    </font>
    <font>
      <sz val="11"/>
      <color indexed="9"/>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1"/>
      <color indexed="8"/>
      <name val="Calibri"/>
      <family val="2"/>
    </font>
    <font>
      <sz val="11"/>
      <color indexed="10"/>
      <name val="Calibri"/>
      <family val="2"/>
    </font>
    <font>
      <sz val="11"/>
      <color indexed="20"/>
      <name val="Calibri"/>
      <family val="2"/>
    </font>
    <font>
      <b/>
      <sz val="15"/>
      <color indexed="56"/>
      <name val="Calibri"/>
      <family val="2"/>
    </font>
    <font>
      <b/>
      <sz val="13"/>
      <color indexed="56"/>
      <name val="Calibri"/>
      <family val="2"/>
    </font>
    <font>
      <b/>
      <sz val="11"/>
      <color indexed="56"/>
      <name val="Calibri"/>
      <family val="2"/>
    </font>
    <font>
      <b/>
      <sz val="18"/>
      <color indexed="56"/>
      <name val="Cambria"/>
      <family val="2"/>
    </font>
    <font>
      <sz val="10"/>
      <color theme="1"/>
      <name val="Arial"/>
      <family val="2"/>
    </font>
    <font>
      <sz val="11"/>
      <color rgb="FFFF0000"/>
      <name val="Arial"/>
      <family val="2"/>
    </font>
    <font>
      <sz val="9"/>
      <color theme="1"/>
      <name val="Arial"/>
      <family val="2"/>
    </font>
    <font>
      <sz val="8"/>
      <color rgb="FF000000"/>
      <name val="Tahoma"/>
      <family val="2"/>
    </font>
    <font>
      <u/>
      <sz val="9"/>
      <color theme="1"/>
      <name val="Arial"/>
      <family val="2"/>
    </font>
    <font>
      <u/>
      <sz val="8"/>
      <color theme="1"/>
      <name val="Arial"/>
      <family val="2"/>
    </font>
    <font>
      <b/>
      <sz val="10"/>
      <color theme="1"/>
      <name val="Arial"/>
      <family val="2"/>
    </font>
    <font>
      <b/>
      <sz val="9"/>
      <color theme="1"/>
      <name val="Arial"/>
      <family val="2"/>
    </font>
    <font>
      <i/>
      <sz val="9"/>
      <color indexed="81"/>
      <name val="Tahoma"/>
      <family val="2"/>
    </font>
    <font>
      <sz val="11"/>
      <color rgb="FFFFFFFF"/>
      <name val="Arial"/>
      <family val="2"/>
    </font>
    <font>
      <sz val="11"/>
      <color theme="1" tint="0.249977111117893"/>
      <name val="Arial"/>
      <family val="2"/>
    </font>
    <font>
      <sz val="11"/>
      <color theme="1" tint="0.24994659260841701"/>
      <name val="Arial"/>
      <family val="2"/>
    </font>
    <font>
      <sz val="11"/>
      <color theme="5"/>
      <name val="Arial"/>
      <family val="2"/>
    </font>
    <font>
      <sz val="10"/>
      <color theme="1" tint="0.34998626667073579"/>
      <name val="Arial"/>
      <family val="2"/>
    </font>
    <font>
      <sz val="11"/>
      <color theme="1" tint="0.499984740745262"/>
      <name val="Arial"/>
      <family val="2"/>
    </font>
    <font>
      <b/>
      <sz val="11"/>
      <color theme="1" tint="0.34998626667073579"/>
      <name val="Arial"/>
      <family val="2"/>
    </font>
    <font>
      <b/>
      <sz val="11"/>
      <name val="Arial"/>
      <family val="2"/>
    </font>
    <font>
      <b/>
      <sz val="11"/>
      <color theme="3" tint="0.39997558519241921"/>
      <name val="Arial"/>
      <family val="2"/>
    </font>
    <font>
      <b/>
      <sz val="11"/>
      <color rgb="FFFFFFFF"/>
      <name val="Arial"/>
      <family val="2"/>
    </font>
    <font>
      <b/>
      <sz val="11"/>
      <color rgb="FF000000"/>
      <name val="Arial"/>
      <family val="2"/>
    </font>
  </fonts>
  <fills count="85">
    <fill>
      <patternFill patternType="none"/>
    </fill>
    <fill>
      <patternFill patternType="gray125"/>
    </fill>
    <fill>
      <patternFill patternType="solid">
        <fgColor rgb="FFE8EDEE"/>
        <bgColor indexed="64"/>
      </patternFill>
    </fill>
    <fill>
      <patternFill patternType="solid">
        <fgColor rgb="FF0072CE"/>
        <bgColor indexed="64"/>
      </patternFill>
    </fill>
    <fill>
      <patternFill patternType="solid">
        <fgColor rgb="FF003087"/>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7"/>
      </patternFill>
    </fill>
    <fill>
      <patternFill patternType="solid">
        <fgColor indexed="45"/>
      </patternFill>
    </fill>
    <fill>
      <patternFill patternType="solid">
        <fgColor indexed="26"/>
      </patternFill>
    </fill>
    <fill>
      <patternFill patternType="solid">
        <fgColor indexed="42"/>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9"/>
      </patternFill>
    </fill>
    <fill>
      <patternFill patternType="solid">
        <fgColor indexed="43"/>
      </patternFill>
    </fill>
    <fill>
      <patternFill patternType="solid">
        <fgColor indexed="11"/>
      </patternFill>
    </fill>
    <fill>
      <patternFill patternType="solid">
        <fgColor indexed="51"/>
      </patternFill>
    </fill>
    <fill>
      <patternFill patternType="solid">
        <fgColor indexed="30"/>
      </patternFill>
    </fill>
    <fill>
      <patternFill patternType="solid">
        <fgColor indexed="57"/>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3"/>
      </patternFill>
    </fill>
    <fill>
      <patternFill patternType="solid">
        <fgColor indexed="55"/>
      </patternFill>
    </fill>
    <fill>
      <patternFill patternType="solid">
        <fgColor theme="0"/>
        <bgColor indexed="64"/>
      </patternFill>
    </fill>
    <fill>
      <patternFill patternType="solid">
        <fgColor rgb="FFFFFF00"/>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rgb="FFF0F0F0"/>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bgColor indexed="64"/>
      </patternFill>
    </fill>
    <fill>
      <patternFill patternType="solid">
        <fgColor theme="3"/>
        <bgColor indexed="64"/>
      </patternFill>
    </fill>
    <fill>
      <patternFill patternType="solid">
        <fgColor theme="4" tint="-0.499984740745262"/>
        <bgColor indexed="64"/>
      </patternFill>
    </fill>
    <fill>
      <patternFill patternType="solid">
        <fgColor theme="8" tint="-0.249977111117893"/>
        <bgColor indexed="64"/>
      </patternFill>
    </fill>
    <fill>
      <patternFill patternType="solid">
        <fgColor theme="6" tint="0.59999389629810485"/>
        <bgColor indexed="64"/>
      </patternFill>
    </fill>
    <fill>
      <patternFill patternType="solid">
        <fgColor theme="8"/>
        <bgColor indexed="64"/>
      </patternFill>
    </fill>
    <fill>
      <patternFill patternType="solid">
        <fgColor rgb="FF4BACC6"/>
        <bgColor indexed="64"/>
      </patternFill>
    </fill>
    <fill>
      <patternFill patternType="solid">
        <fgColor rgb="FFFFFFFF"/>
        <bgColor indexed="64"/>
      </patternFill>
    </fill>
    <fill>
      <patternFill patternType="solid">
        <fgColor theme="6" tint="-0.249977111117893"/>
        <bgColor indexed="64"/>
      </patternFill>
    </fill>
    <fill>
      <patternFill patternType="solid">
        <fgColor rgb="FFFF00FF"/>
        <bgColor indexed="64"/>
      </patternFill>
    </fill>
  </fills>
  <borders count="91">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medium">
        <color rgb="FF425563"/>
      </left>
      <right style="medium">
        <color rgb="FF425563"/>
      </right>
      <top style="medium">
        <color rgb="FF425563"/>
      </top>
      <bottom style="thin">
        <color rgb="FF425563"/>
      </bottom>
      <diagonal/>
    </border>
    <border>
      <left style="medium">
        <color rgb="FF425563"/>
      </left>
      <right style="medium">
        <color rgb="FF425563"/>
      </right>
      <top style="thin">
        <color rgb="FF425563"/>
      </top>
      <bottom style="thin">
        <color rgb="FF425563"/>
      </bottom>
      <diagonal/>
    </border>
    <border>
      <left style="medium">
        <color rgb="FF425563"/>
      </left>
      <right style="medium">
        <color rgb="FF425563"/>
      </right>
      <top style="thin">
        <color rgb="FF425563"/>
      </top>
      <bottom style="medium">
        <color rgb="FF425563"/>
      </bottom>
      <diagonal/>
    </border>
    <border>
      <left style="medium">
        <color rgb="FF768692"/>
      </left>
      <right style="thin">
        <color rgb="FF768692"/>
      </right>
      <top style="medium">
        <color rgb="FF768692"/>
      </top>
      <bottom style="thin">
        <color rgb="FF768692"/>
      </bottom>
      <diagonal/>
    </border>
    <border>
      <left style="thin">
        <color rgb="FF768692"/>
      </left>
      <right style="thin">
        <color rgb="FF768692"/>
      </right>
      <top style="medium">
        <color rgb="FF768692"/>
      </top>
      <bottom style="thin">
        <color rgb="FF768692"/>
      </bottom>
      <diagonal/>
    </border>
    <border>
      <left style="thin">
        <color rgb="FF768692"/>
      </left>
      <right style="medium">
        <color rgb="FF768692"/>
      </right>
      <top style="medium">
        <color rgb="FF768692"/>
      </top>
      <bottom style="thin">
        <color rgb="FF768692"/>
      </bottom>
      <diagonal/>
    </border>
    <border>
      <left style="medium">
        <color rgb="FF768692"/>
      </left>
      <right style="thin">
        <color rgb="FF768692"/>
      </right>
      <top style="thin">
        <color rgb="FF768692"/>
      </top>
      <bottom style="thin">
        <color rgb="FF768692"/>
      </bottom>
      <diagonal/>
    </border>
    <border>
      <left style="thin">
        <color rgb="FF768692"/>
      </left>
      <right style="thin">
        <color rgb="FF768692"/>
      </right>
      <top style="thin">
        <color rgb="FF768692"/>
      </top>
      <bottom style="thin">
        <color rgb="FF768692"/>
      </bottom>
      <diagonal/>
    </border>
    <border>
      <left style="thin">
        <color rgb="FF768692"/>
      </left>
      <right style="medium">
        <color rgb="FF768692"/>
      </right>
      <top style="thin">
        <color rgb="FF768692"/>
      </top>
      <bottom style="thin">
        <color rgb="FF768692"/>
      </bottom>
      <diagonal/>
    </border>
    <border>
      <left style="medium">
        <color rgb="FF768692"/>
      </left>
      <right style="thin">
        <color rgb="FF768692"/>
      </right>
      <top style="thin">
        <color rgb="FF768692"/>
      </top>
      <bottom style="medium">
        <color rgb="FF768692"/>
      </bottom>
      <diagonal/>
    </border>
    <border>
      <left style="thin">
        <color rgb="FF768692"/>
      </left>
      <right style="thin">
        <color rgb="FF768692"/>
      </right>
      <top style="thin">
        <color rgb="FF768692"/>
      </top>
      <bottom style="medium">
        <color rgb="FF768692"/>
      </bottom>
      <diagonal/>
    </border>
    <border>
      <left style="thin">
        <color rgb="FF768692"/>
      </left>
      <right style="medium">
        <color rgb="FF768692"/>
      </right>
      <top style="thin">
        <color rgb="FF768692"/>
      </top>
      <bottom style="medium">
        <color rgb="FF768692"/>
      </bottom>
      <diagonal/>
    </border>
    <border>
      <left style="medium">
        <color rgb="FF768692"/>
      </left>
      <right style="medium">
        <color rgb="FF768692"/>
      </right>
      <top style="medium">
        <color rgb="FF768692"/>
      </top>
      <bottom style="thin">
        <color rgb="FF768692"/>
      </bottom>
      <diagonal/>
    </border>
    <border>
      <left style="medium">
        <color rgb="FF768692"/>
      </left>
      <right style="medium">
        <color rgb="FF768692"/>
      </right>
      <top style="thin">
        <color rgb="FF768692"/>
      </top>
      <bottom style="thin">
        <color rgb="FF768692"/>
      </bottom>
      <diagonal/>
    </border>
    <border>
      <left style="medium">
        <color rgb="FF768692"/>
      </left>
      <right style="medium">
        <color rgb="FF768692"/>
      </right>
      <top style="thin">
        <color rgb="FF768692"/>
      </top>
      <bottom style="medium">
        <color rgb="FF768692"/>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thin">
        <color theme="0" tint="-0.34998626667073579"/>
      </left>
      <right style="thin">
        <color theme="0" tint="-0.34998626667073579"/>
      </right>
      <top/>
      <bottom style="thin">
        <color theme="0" tint="-0.34998626667073579"/>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tint="-4.9989318521683403E-2"/>
      </left>
      <right/>
      <top/>
      <bottom/>
      <diagonal/>
    </border>
    <border>
      <left/>
      <right style="thin">
        <color theme="0" tint="-4.9989318521683403E-2"/>
      </right>
      <top/>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diagonal/>
    </border>
    <border>
      <left style="thin">
        <color theme="0"/>
      </left>
      <right/>
      <top style="thin">
        <color theme="0"/>
      </top>
      <bottom/>
      <diagonal/>
    </border>
    <border>
      <left/>
      <right/>
      <top style="thin">
        <color theme="0"/>
      </top>
      <bottom/>
      <diagonal/>
    </border>
    <border>
      <left/>
      <right style="thin">
        <color theme="1" tint="0.14993743705557422"/>
      </right>
      <top/>
      <bottom/>
      <diagonal/>
    </border>
    <border>
      <left/>
      <right style="thin">
        <color theme="1" tint="0.14996795556505021"/>
      </right>
      <top style="thin">
        <color theme="1" tint="0.14996795556505021"/>
      </top>
      <bottom style="thin">
        <color theme="1" tint="0.14996795556505021"/>
      </bottom>
      <diagonal/>
    </border>
    <border>
      <left style="thin">
        <color auto="1"/>
      </left>
      <right style="thin">
        <color auto="1"/>
      </right>
      <top style="thin">
        <color auto="1"/>
      </top>
      <bottom style="thin">
        <color auto="1"/>
      </bottom>
      <diagonal/>
    </border>
    <border>
      <left/>
      <right style="thin">
        <color indexed="64"/>
      </right>
      <top/>
      <bottom style="thin">
        <color theme="0"/>
      </bottom>
      <diagonal/>
    </border>
    <border>
      <left/>
      <right style="thin">
        <color indexed="64"/>
      </right>
      <top style="thin">
        <color theme="0"/>
      </top>
      <bottom style="thin">
        <color theme="0"/>
      </bottom>
      <diagonal/>
    </border>
    <border>
      <left/>
      <right style="thin">
        <color indexed="64"/>
      </right>
      <top style="thin">
        <color theme="0"/>
      </top>
      <bottom/>
      <diagonal/>
    </border>
    <border>
      <left/>
      <right/>
      <top/>
      <bottom style="thin">
        <color theme="0" tint="-4.9989318521683403E-2"/>
      </bottom>
      <diagonal/>
    </border>
    <border>
      <left style="thin">
        <color theme="0"/>
      </left>
      <right/>
      <top/>
      <bottom style="thin">
        <color indexed="64"/>
      </bottom>
      <diagonal/>
    </border>
    <border>
      <left style="thin">
        <color theme="0"/>
      </left>
      <right style="thin">
        <color theme="0"/>
      </right>
      <top/>
      <bottom style="thin">
        <color indexed="64"/>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bottom style="thin">
        <color theme="0" tint="-4.9989318521683403E-2"/>
      </bottom>
      <diagonal/>
    </border>
    <border>
      <left style="thin">
        <color auto="1"/>
      </left>
      <right style="thin">
        <color auto="1"/>
      </right>
      <top style="thin">
        <color auto="1"/>
      </top>
      <bottom style="thin">
        <color theme="0"/>
      </bottom>
      <diagonal/>
    </border>
    <border>
      <left style="thin">
        <color auto="1"/>
      </left>
      <right style="thin">
        <color auto="1"/>
      </right>
      <top style="thin">
        <color theme="0"/>
      </top>
      <bottom style="thin">
        <color theme="0"/>
      </bottom>
      <diagonal/>
    </border>
    <border>
      <left style="thin">
        <color auto="1"/>
      </left>
      <right style="thin">
        <color auto="1"/>
      </right>
      <top style="thin">
        <color theme="0"/>
      </top>
      <bottom style="thin">
        <color auto="1"/>
      </bottom>
      <diagonal/>
    </border>
    <border>
      <left style="thin">
        <color auto="1"/>
      </left>
      <right style="thin">
        <color auto="1"/>
      </right>
      <top style="thin">
        <color auto="1"/>
      </top>
      <bottom/>
      <diagonal/>
    </border>
    <border>
      <left style="thin">
        <color rgb="FFFFFFFF"/>
      </left>
      <right style="thin">
        <color rgb="FFFFFFFF"/>
      </right>
      <top style="thin">
        <color rgb="FFFFFFFF"/>
      </top>
      <bottom style="thin">
        <color rgb="FFFFFFFF"/>
      </bottom>
      <diagonal/>
    </border>
    <border>
      <left style="thin">
        <color rgb="FF000000"/>
      </left>
      <right style="thin">
        <color rgb="FF000000"/>
      </right>
      <top style="thin">
        <color rgb="FF000000"/>
      </top>
      <bottom style="thin">
        <color rgb="FF000000"/>
      </bottom>
      <diagonal/>
    </border>
  </borders>
  <cellStyleXfs count="134">
    <xf numFmtId="0" fontId="0" fillId="0" borderId="0"/>
    <xf numFmtId="9" fontId="6" fillId="0" borderId="0" applyFont="0" applyFill="0" applyBorder="0" applyAlignment="0" applyProtection="0"/>
    <xf numFmtId="43" fontId="6" fillId="0" borderId="0" applyFont="0" applyFill="0" applyBorder="0" applyAlignment="0" applyProtection="0"/>
    <xf numFmtId="0" fontId="16" fillId="0" borderId="0" applyNumberFormat="0" applyFill="0" applyBorder="0" applyAlignment="0" applyProtection="0"/>
    <xf numFmtId="0" fontId="17" fillId="0" borderId="33" applyNumberFormat="0" applyFill="0" applyAlignment="0" applyProtection="0"/>
    <xf numFmtId="0" fontId="18" fillId="0" borderId="34" applyNumberFormat="0" applyFill="0" applyAlignment="0" applyProtection="0"/>
    <xf numFmtId="0" fontId="19" fillId="0" borderId="35" applyNumberFormat="0" applyFill="0" applyAlignment="0" applyProtection="0"/>
    <xf numFmtId="0" fontId="19" fillId="0" borderId="0" applyNumberFormat="0" applyFill="0" applyBorder="0" applyAlignment="0" applyProtection="0"/>
    <xf numFmtId="0" fontId="20" fillId="15" borderId="0" applyNumberFormat="0" applyBorder="0" applyAlignment="0" applyProtection="0"/>
    <xf numFmtId="0" fontId="21" fillId="16" borderId="0" applyNumberFormat="0" applyBorder="0" applyAlignment="0" applyProtection="0"/>
    <xf numFmtId="0" fontId="22" fillId="17" borderId="0" applyNumberFormat="0" applyBorder="0" applyAlignment="0" applyProtection="0"/>
    <xf numFmtId="0" fontId="23" fillId="18" borderId="36" applyNumberFormat="0" applyAlignment="0" applyProtection="0"/>
    <xf numFmtId="0" fontId="24" fillId="19" borderId="37" applyNumberFormat="0" applyAlignment="0" applyProtection="0"/>
    <xf numFmtId="0" fontId="25" fillId="19" borderId="36" applyNumberFormat="0" applyAlignment="0" applyProtection="0"/>
    <xf numFmtId="0" fontId="26" fillId="0" borderId="38" applyNumberFormat="0" applyFill="0" applyAlignment="0" applyProtection="0"/>
    <xf numFmtId="0" fontId="27" fillId="20" borderId="39" applyNumberFormat="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30" fillId="0" borderId="41" applyNumberFormat="0" applyFill="0" applyAlignment="0" applyProtection="0"/>
    <xf numFmtId="0" fontId="31"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1" fillId="25" borderId="0" applyNumberFormat="0" applyBorder="0" applyAlignment="0" applyProtection="0"/>
    <xf numFmtId="0" fontId="31"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1" fillId="29" borderId="0" applyNumberFormat="0" applyBorder="0" applyAlignment="0" applyProtection="0"/>
    <xf numFmtId="0" fontId="31"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1" fillId="33" borderId="0" applyNumberFormat="0" applyBorder="0" applyAlignment="0" applyProtection="0"/>
    <xf numFmtId="0" fontId="31"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1" fillId="37" borderId="0" applyNumberFormat="0" applyBorder="0" applyAlignment="0" applyProtection="0"/>
    <xf numFmtId="0" fontId="31" fillId="38"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1" fillId="41" borderId="0" applyNumberFormat="0" applyBorder="0" applyAlignment="0" applyProtection="0"/>
    <xf numFmtId="0" fontId="31" fillId="42"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1" fillId="45" borderId="0" applyNumberFormat="0" applyBorder="0" applyAlignment="0" applyProtection="0"/>
    <xf numFmtId="0" fontId="3" fillId="0" borderId="0"/>
    <xf numFmtId="0" fontId="32" fillId="46" borderId="0" applyNumberFormat="0" applyBorder="0" applyAlignment="0" applyProtection="0"/>
    <xf numFmtId="0" fontId="32" fillId="48" borderId="0" applyNumberFormat="0" applyBorder="0" applyAlignment="0" applyProtection="0"/>
    <xf numFmtId="0" fontId="32" fillId="50" borderId="0" applyNumberFormat="0" applyBorder="0" applyAlignment="0" applyProtection="0"/>
    <xf numFmtId="0" fontId="32" fillId="51" borderId="0" applyNumberFormat="0" applyBorder="0" applyAlignment="0" applyProtection="0"/>
    <xf numFmtId="0" fontId="32" fillId="52" borderId="0" applyNumberFormat="0" applyBorder="0" applyAlignment="0" applyProtection="0"/>
    <xf numFmtId="0" fontId="32" fillId="47" borderId="0" applyNumberFormat="0" applyBorder="0" applyAlignment="0" applyProtection="0"/>
    <xf numFmtId="0" fontId="32" fillId="54" borderId="0" applyNumberFormat="0" applyBorder="0" applyAlignment="0" applyProtection="0"/>
    <xf numFmtId="0" fontId="32" fillId="55" borderId="0" applyNumberFormat="0" applyBorder="0" applyAlignment="0" applyProtection="0"/>
    <xf numFmtId="0" fontId="32" fillId="57" borderId="0" applyNumberFormat="0" applyBorder="0" applyAlignment="0" applyProtection="0"/>
    <xf numFmtId="0" fontId="32" fillId="51" borderId="0" applyNumberFormat="0" applyBorder="0" applyAlignment="0" applyProtection="0"/>
    <xf numFmtId="0" fontId="32" fillId="54" borderId="0" applyNumberFormat="0" applyBorder="0" applyAlignment="0" applyProtection="0"/>
    <xf numFmtId="0" fontId="32" fillId="58" borderId="0" applyNumberFormat="0" applyBorder="0" applyAlignment="0" applyProtection="0"/>
    <xf numFmtId="0" fontId="35" fillId="59" borderId="0" applyNumberFormat="0" applyBorder="0" applyAlignment="0" applyProtection="0"/>
    <xf numFmtId="0" fontId="35" fillId="55" borderId="0" applyNumberFormat="0" applyBorder="0" applyAlignment="0" applyProtection="0"/>
    <xf numFmtId="0" fontId="35" fillId="57"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3" borderId="0" applyNumberFormat="0" applyBorder="0" applyAlignment="0" applyProtection="0"/>
    <xf numFmtId="0" fontId="35" fillId="64" borderId="0" applyNumberFormat="0" applyBorder="0" applyAlignment="0" applyProtection="0"/>
    <xf numFmtId="0" fontId="35" fillId="65" borderId="0" applyNumberFormat="0" applyBorder="0" applyAlignment="0" applyProtection="0"/>
    <xf numFmtId="0" fontId="35" fillId="60"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6" borderId="0" applyNumberFormat="0" applyBorder="0" applyAlignment="0" applyProtection="0"/>
    <xf numFmtId="0" fontId="46" fillId="48" borderId="0" applyNumberFormat="0" applyBorder="0" applyAlignment="0" applyProtection="0"/>
    <xf numFmtId="0" fontId="36" fillId="53" borderId="42" applyNumberFormat="0" applyAlignment="0" applyProtection="0"/>
    <xf numFmtId="0" fontId="37" fillId="67" borderId="43" applyNumberFormat="0" applyAlignment="0" applyProtection="0"/>
    <xf numFmtId="0" fontId="38" fillId="0" borderId="0" applyNumberFormat="0" applyFill="0" applyBorder="0" applyAlignment="0" applyProtection="0"/>
    <xf numFmtId="0" fontId="39" fillId="50" borderId="0" applyNumberFormat="0" applyBorder="0" applyAlignment="0" applyProtection="0"/>
    <xf numFmtId="0" fontId="47" fillId="0" borderId="44" applyNumberFormat="0" applyFill="0" applyAlignment="0" applyProtection="0"/>
    <xf numFmtId="0" fontId="48" fillId="0" borderId="45" applyNumberFormat="0" applyFill="0" applyAlignment="0" applyProtection="0"/>
    <xf numFmtId="0" fontId="49" fillId="0" borderId="46" applyNumberFormat="0" applyFill="0" applyAlignment="0" applyProtection="0"/>
    <xf numFmtId="0" fontId="49" fillId="0" borderId="0" applyNumberFormat="0" applyFill="0" applyBorder="0" applyAlignment="0" applyProtection="0"/>
    <xf numFmtId="0" fontId="34" fillId="0" borderId="0" applyNumberFormat="0" applyFill="0" applyBorder="0" applyAlignment="0" applyProtection="0">
      <alignment vertical="top"/>
      <protection locked="0"/>
    </xf>
    <xf numFmtId="0" fontId="40" fillId="47" borderId="42" applyNumberFormat="0" applyAlignment="0" applyProtection="0"/>
    <xf numFmtId="0" fontId="41" fillId="0" borderId="47" applyNumberFormat="0" applyFill="0" applyAlignment="0" applyProtection="0"/>
    <xf numFmtId="0" fontId="42" fillId="56" borderId="0" applyNumberFormat="0" applyBorder="0" applyAlignment="0" applyProtection="0"/>
    <xf numFmtId="0" fontId="33" fillId="0" borderId="0"/>
    <xf numFmtId="0" fontId="51" fillId="0" borderId="0"/>
    <xf numFmtId="0" fontId="32" fillId="21" borderId="40" applyNumberFormat="0" applyFont="0" applyAlignment="0" applyProtection="0"/>
    <xf numFmtId="0" fontId="33" fillId="49" borderId="48" applyNumberFormat="0" applyFont="0" applyAlignment="0" applyProtection="0"/>
    <xf numFmtId="0" fontId="32" fillId="21" borderId="40" applyNumberFormat="0" applyFont="0" applyAlignment="0" applyProtection="0"/>
    <xf numFmtId="0" fontId="43" fillId="53" borderId="49" applyNumberFormat="0" applyAlignment="0" applyProtection="0"/>
    <xf numFmtId="0" fontId="50" fillId="0" borderId="0" applyNumberFormat="0" applyFill="0" applyBorder="0" applyAlignment="0" applyProtection="0"/>
    <xf numFmtId="0" fontId="44" fillId="0" borderId="50" applyNumberFormat="0" applyFill="0" applyAlignment="0" applyProtection="0"/>
    <xf numFmtId="0" fontId="45" fillId="0" borderId="0" applyNumberFormat="0" applyFill="0" applyBorder="0" applyAlignment="0" applyProtection="0"/>
    <xf numFmtId="0" fontId="33" fillId="0" borderId="0"/>
    <xf numFmtId="0" fontId="33" fillId="0" borderId="0"/>
    <xf numFmtId="0" fontId="51" fillId="0" borderId="0"/>
    <xf numFmtId="0" fontId="51" fillId="0" borderId="0"/>
    <xf numFmtId="0" fontId="51" fillId="0" borderId="0"/>
    <xf numFmtId="0" fontId="2" fillId="0" borderId="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24" borderId="0" applyNumberFormat="0" applyBorder="0" applyAlignment="0" applyProtection="0"/>
    <xf numFmtId="0" fontId="2" fillId="28" borderId="0" applyNumberFormat="0" applyBorder="0" applyAlignment="0" applyProtection="0"/>
    <xf numFmtId="0" fontId="2" fillId="32"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cellStyleXfs>
  <cellXfs count="425">
    <xf numFmtId="0" fontId="0" fillId="0" borderId="0" xfId="0"/>
    <xf numFmtId="0" fontId="0" fillId="0" borderId="0" xfId="0" applyAlignment="1">
      <alignment wrapText="1"/>
    </xf>
    <xf numFmtId="0" fontId="4" fillId="0" borderId="0" xfId="0" applyFont="1"/>
    <xf numFmtId="0" fontId="0" fillId="0" borderId="0" xfId="0" applyFill="1"/>
    <xf numFmtId="0" fontId="0" fillId="0" borderId="0" xfId="0" applyAlignment="1">
      <alignment horizontal="right"/>
    </xf>
    <xf numFmtId="3" fontId="0" fillId="0" borderId="0" xfId="0" applyNumberFormat="1"/>
    <xf numFmtId="0" fontId="5" fillId="3" borderId="0" xfId="0" applyFont="1" applyFill="1"/>
    <xf numFmtId="0" fontId="5" fillId="4" borderId="0" xfId="0" applyFont="1" applyFill="1"/>
    <xf numFmtId="14" fontId="0" fillId="0" borderId="0" xfId="0" applyNumberFormat="1" applyFill="1"/>
    <xf numFmtId="0" fontId="0" fillId="4" borderId="0" xfId="0" applyFill="1"/>
    <xf numFmtId="0" fontId="0" fillId="5" borderId="0" xfId="0" applyFill="1"/>
    <xf numFmtId="0" fontId="10" fillId="6" borderId="0" xfId="0" applyFont="1" applyFill="1"/>
    <xf numFmtId="0" fontId="0" fillId="6" borderId="0" xfId="0" applyFill="1"/>
    <xf numFmtId="0" fontId="0" fillId="5" borderId="21" xfId="0" applyFill="1" applyBorder="1"/>
    <xf numFmtId="0" fontId="0" fillId="5" borderId="23" xfId="0" applyFill="1" applyBorder="1"/>
    <xf numFmtId="0" fontId="0" fillId="5" borderId="24" xfId="0" applyFill="1" applyBorder="1"/>
    <xf numFmtId="0" fontId="0" fillId="6" borderId="24" xfId="0" applyFill="1" applyBorder="1"/>
    <xf numFmtId="0" fontId="0" fillId="5" borderId="22" xfId="0" applyFill="1" applyBorder="1"/>
    <xf numFmtId="0" fontId="0" fillId="6" borderId="21" xfId="0" applyFill="1" applyBorder="1"/>
    <xf numFmtId="0" fontId="0" fillId="5" borderId="27" xfId="0" applyFill="1" applyBorder="1"/>
    <xf numFmtId="0" fontId="11" fillId="5" borderId="0" xfId="0" applyFont="1" applyFill="1"/>
    <xf numFmtId="0" fontId="0" fillId="7" borderId="0" xfId="0" applyFill="1"/>
    <xf numFmtId="0" fontId="0" fillId="7" borderId="28" xfId="0" applyFill="1" applyBorder="1"/>
    <xf numFmtId="0" fontId="0" fillId="7" borderId="23" xfId="0" applyFill="1" applyBorder="1"/>
    <xf numFmtId="0" fontId="0" fillId="7" borderId="27" xfId="0" applyFill="1" applyBorder="1"/>
    <xf numFmtId="0" fontId="0" fillId="7" borderId="24" xfId="0" applyFill="1" applyBorder="1"/>
    <xf numFmtId="0" fontId="0" fillId="7" borderId="0" xfId="0" applyFill="1" applyBorder="1"/>
    <xf numFmtId="0" fontId="0" fillId="7" borderId="21" xfId="0" applyFill="1" applyBorder="1"/>
    <xf numFmtId="0" fontId="0" fillId="7" borderId="26" xfId="0" applyFill="1" applyBorder="1"/>
    <xf numFmtId="0" fontId="0" fillId="7" borderId="31" xfId="0" applyFill="1" applyBorder="1"/>
    <xf numFmtId="0" fontId="0" fillId="7" borderId="32" xfId="0" applyFill="1" applyBorder="1"/>
    <xf numFmtId="0" fontId="12" fillId="7" borderId="0" xfId="0" applyFont="1" applyFill="1"/>
    <xf numFmtId="0" fontId="0" fillId="8" borderId="0" xfId="0" applyFill="1"/>
    <xf numFmtId="0" fontId="0" fillId="8" borderId="21" xfId="0" applyFill="1" applyBorder="1"/>
    <xf numFmtId="0" fontId="0" fillId="8" borderId="28" xfId="0" applyFill="1" applyBorder="1"/>
    <xf numFmtId="0" fontId="13" fillId="8" borderId="0" xfId="0" applyFont="1" applyFill="1"/>
    <xf numFmtId="0" fontId="0" fillId="9" borderId="0" xfId="0" applyFill="1"/>
    <xf numFmtId="0" fontId="0" fillId="0" borderId="0" xfId="0" applyNumberFormat="1"/>
    <xf numFmtId="0" fontId="14" fillId="0" borderId="0" xfId="0" applyFont="1"/>
    <xf numFmtId="0" fontId="0" fillId="10" borderId="0" xfId="0" applyFill="1"/>
    <xf numFmtId="165" fontId="0" fillId="0" borderId="0" xfId="2" applyNumberFormat="1" applyFont="1"/>
    <xf numFmtId="0" fontId="0" fillId="11" borderId="0" xfId="0" applyFill="1"/>
    <xf numFmtId="0" fontId="0" fillId="12" borderId="0" xfId="0" applyFill="1"/>
    <xf numFmtId="0" fontId="0" fillId="13" borderId="0" xfId="0" applyFill="1"/>
    <xf numFmtId="0" fontId="0" fillId="14" borderId="0" xfId="0" applyFill="1"/>
    <xf numFmtId="3" fontId="0" fillId="9" borderId="0" xfId="0" applyNumberFormat="1" applyFill="1"/>
    <xf numFmtId="0" fontId="0" fillId="0" borderId="0" xfId="0" applyAlignment="1">
      <alignment horizontal="center" vertical="center"/>
    </xf>
    <xf numFmtId="9" fontId="0" fillId="0" borderId="0" xfId="1" applyFont="1"/>
    <xf numFmtId="9" fontId="0" fillId="0" borderId="0" xfId="0" applyNumberFormat="1"/>
    <xf numFmtId="1" fontId="0" fillId="0" borderId="0" xfId="0" applyNumberFormat="1"/>
    <xf numFmtId="14" fontId="0" fillId="0" borderId="0" xfId="0" applyNumberFormat="1"/>
    <xf numFmtId="14" fontId="0" fillId="0" borderId="0" xfId="0" applyNumberFormat="1"/>
    <xf numFmtId="0" fontId="0" fillId="0" borderId="0" xfId="0" quotePrefix="1"/>
    <xf numFmtId="0" fontId="0" fillId="68" borderId="0" xfId="0" applyFill="1"/>
    <xf numFmtId="0" fontId="0" fillId="68" borderId="0" xfId="0" applyFill="1" applyBorder="1"/>
    <xf numFmtId="14" fontId="0" fillId="0" borderId="0" xfId="0" applyNumberFormat="1"/>
    <xf numFmtId="0" fontId="14" fillId="68" borderId="0" xfId="0" applyFont="1" applyFill="1"/>
    <xf numFmtId="0" fontId="4" fillId="68" borderId="0" xfId="0" applyFont="1" applyFill="1"/>
    <xf numFmtId="0" fontId="0" fillId="68" borderId="0" xfId="0" applyFill="1" applyAlignment="1">
      <alignment horizontal="center" vertical="center"/>
    </xf>
    <xf numFmtId="14" fontId="0" fillId="68" borderId="0" xfId="0" applyNumberFormat="1" applyFill="1"/>
    <xf numFmtId="0" fontId="0" fillId="69" borderId="0" xfId="0" applyFill="1"/>
    <xf numFmtId="0" fontId="52" fillId="0" borderId="0" xfId="0" applyFont="1"/>
    <xf numFmtId="0" fontId="52" fillId="68" borderId="0" xfId="0" applyFont="1" applyFill="1"/>
    <xf numFmtId="0" fontId="15" fillId="0" borderId="0" xfId="0" applyFont="1"/>
    <xf numFmtId="0" fontId="0" fillId="5" borderId="0" xfId="0" applyFill="1" applyAlignment="1">
      <alignment horizontal="center"/>
    </xf>
    <xf numFmtId="0" fontId="0" fillId="7" borderId="0" xfId="0" applyFill="1" applyAlignment="1">
      <alignment horizontal="center"/>
    </xf>
    <xf numFmtId="0" fontId="0" fillId="0" borderId="0" xfId="0" applyBorder="1" applyAlignment="1">
      <alignment wrapText="1"/>
    </xf>
    <xf numFmtId="0" fontId="0" fillId="0" borderId="0" xfId="0" applyBorder="1"/>
    <xf numFmtId="0" fontId="0" fillId="0" borderId="0" xfId="0"/>
    <xf numFmtId="14" fontId="0" fillId="0" borderId="0" xfId="0" applyNumberFormat="1"/>
    <xf numFmtId="0" fontId="0" fillId="0" borderId="51" xfId="0" applyBorder="1"/>
    <xf numFmtId="1" fontId="0" fillId="0" borderId="0" xfId="0" applyNumberFormat="1"/>
    <xf numFmtId="0" fontId="5" fillId="3" borderId="51" xfId="0" applyFont="1" applyFill="1" applyBorder="1"/>
    <xf numFmtId="0" fontId="0" fillId="68" borderId="0" xfId="0" applyFill="1"/>
    <xf numFmtId="0" fontId="0" fillId="68" borderId="0" xfId="0" applyFill="1" applyAlignment="1">
      <alignment wrapText="1"/>
    </xf>
    <xf numFmtId="0" fontId="5" fillId="68" borderId="0" xfId="0" applyFont="1" applyFill="1"/>
    <xf numFmtId="0" fontId="0" fillId="68" borderId="0" xfId="0" applyFill="1" applyBorder="1"/>
    <xf numFmtId="0" fontId="0" fillId="68" borderId="51" xfId="0" applyFill="1" applyBorder="1"/>
    <xf numFmtId="0" fontId="0" fillId="68" borderId="0" xfId="0" applyFill="1" applyBorder="1" applyAlignment="1">
      <alignment wrapText="1"/>
    </xf>
    <xf numFmtId="0" fontId="0" fillId="68" borderId="0" xfId="0" applyFont="1" applyFill="1" applyBorder="1" applyAlignment="1">
      <alignment vertical="center" wrapText="1"/>
    </xf>
    <xf numFmtId="0" fontId="5" fillId="0" borderId="0" xfId="0" applyFont="1" applyFill="1" applyBorder="1" applyAlignment="1">
      <alignment vertical="center" wrapText="1"/>
    </xf>
    <xf numFmtId="0" fontId="5" fillId="3" borderId="51" xfId="0" applyFont="1" applyFill="1" applyBorder="1" applyAlignment="1">
      <alignment vertical="center" wrapText="1"/>
    </xf>
    <xf numFmtId="0" fontId="0" fillId="0" borderId="0" xfId="0" applyFill="1" applyBorder="1"/>
    <xf numFmtId="0" fontId="0" fillId="0" borderId="0" xfId="0" applyAlignment="1"/>
    <xf numFmtId="0" fontId="9" fillId="8" borderId="0" xfId="0" applyFont="1" applyFill="1"/>
    <xf numFmtId="164" fontId="0" fillId="0" borderId="0" xfId="0" applyNumberFormat="1"/>
    <xf numFmtId="0" fontId="0" fillId="6" borderId="0" xfId="0" applyFill="1" applyAlignment="1">
      <alignment horizontal="center" vertical="center"/>
    </xf>
    <xf numFmtId="0" fontId="0" fillId="0" borderId="5" xfId="0" applyBorder="1"/>
    <xf numFmtId="14" fontId="0" fillId="0" borderId="0" xfId="0" applyNumberFormat="1"/>
    <xf numFmtId="0" fontId="4" fillId="0" borderId="51" xfId="0" applyFont="1" applyBorder="1"/>
    <xf numFmtId="0" fontId="4" fillId="10" borderId="5" xfId="0" applyFont="1" applyFill="1" applyBorder="1"/>
    <xf numFmtId="0" fontId="9" fillId="7" borderId="0" xfId="0" applyFont="1" applyFill="1"/>
    <xf numFmtId="0" fontId="9" fillId="6" borderId="0" xfId="0" applyFont="1" applyFill="1"/>
    <xf numFmtId="0" fontId="0" fillId="8" borderId="0" xfId="0" applyFill="1" applyBorder="1" applyAlignment="1"/>
    <xf numFmtId="0" fontId="57" fillId="7" borderId="0" xfId="0" applyFont="1" applyFill="1" applyAlignment="1">
      <alignment horizontal="center"/>
    </xf>
    <xf numFmtId="164" fontId="0" fillId="0" borderId="51" xfId="0" applyNumberFormat="1" applyBorder="1"/>
    <xf numFmtId="3" fontId="0" fillId="0" borderId="51" xfId="0" applyNumberFormat="1" applyBorder="1"/>
    <xf numFmtId="0" fontId="4" fillId="0" borderId="0" xfId="0" applyFont="1" applyAlignment="1">
      <alignment horizontal="center"/>
    </xf>
    <xf numFmtId="0" fontId="4" fillId="71" borderId="5" xfId="0" applyFont="1" applyFill="1" applyBorder="1" applyAlignment="1">
      <alignment horizontal="center"/>
    </xf>
    <xf numFmtId="0" fontId="4" fillId="70" borderId="5" xfId="0" applyFont="1" applyFill="1" applyBorder="1" applyAlignment="1">
      <alignment horizontal="center"/>
    </xf>
    <xf numFmtId="0" fontId="4" fillId="8" borderId="5" xfId="0" applyFont="1" applyFill="1" applyBorder="1" applyAlignment="1">
      <alignment horizontal="center"/>
    </xf>
    <xf numFmtId="164" fontId="0" fillId="0" borderId="0" xfId="1" applyNumberFormat="1" applyFont="1"/>
    <xf numFmtId="0" fontId="60" fillId="0" borderId="0" xfId="0" applyFont="1"/>
    <xf numFmtId="0" fontId="0" fillId="73" borderId="0" xfId="0" applyFill="1"/>
    <xf numFmtId="0" fontId="4" fillId="74" borderId="0" xfId="0" applyFont="1" applyFill="1"/>
    <xf numFmtId="0" fontId="0" fillId="74" borderId="0" xfId="0" applyFill="1"/>
    <xf numFmtId="3" fontId="0" fillId="5" borderId="0" xfId="0" applyNumberFormat="1" applyFill="1"/>
    <xf numFmtId="0" fontId="4" fillId="68" borderId="0" xfId="0" applyFont="1" applyFill="1" applyBorder="1" applyAlignment="1"/>
    <xf numFmtId="0" fontId="0" fillId="68" borderId="0" xfId="0" applyFill="1" applyBorder="1" applyAlignment="1">
      <alignment vertical="center" wrapText="1"/>
    </xf>
    <xf numFmtId="0" fontId="4" fillId="68" borderId="0" xfId="0" applyFont="1" applyFill="1" applyBorder="1" applyAlignment="1">
      <alignment vertical="center"/>
    </xf>
    <xf numFmtId="0" fontId="0" fillId="0" borderId="0" xfId="0" applyFill="1" applyBorder="1" applyAlignment="1">
      <alignment vertical="center" wrapText="1"/>
    </xf>
    <xf numFmtId="0" fontId="4" fillId="0" borderId="0" xfId="0" applyFont="1" applyFill="1" applyBorder="1" applyAlignment="1">
      <alignment vertical="center"/>
    </xf>
    <xf numFmtId="0" fontId="5" fillId="0" borderId="0" xfId="0" applyFont="1" applyFill="1" applyBorder="1" applyAlignment="1">
      <alignment horizontal="center" wrapText="1"/>
    </xf>
    <xf numFmtId="14" fontId="0" fillId="0" borderId="0" xfId="0" applyNumberFormat="1" applyFill="1" applyBorder="1"/>
    <xf numFmtId="0" fontId="5" fillId="0" borderId="53" xfId="0" applyFont="1" applyFill="1" applyBorder="1" applyAlignment="1">
      <alignment horizontal="center"/>
    </xf>
    <xf numFmtId="0" fontId="5" fillId="0" borderId="53" xfId="0" applyFont="1" applyFill="1" applyBorder="1"/>
    <xf numFmtId="0" fontId="5" fillId="75" borderId="51" xfId="0" applyFont="1" applyFill="1" applyBorder="1"/>
    <xf numFmtId="14" fontId="4" fillId="0" borderId="0" xfId="0" applyNumberFormat="1" applyFont="1"/>
    <xf numFmtId="0" fontId="5" fillId="76" borderId="51" xfId="0" applyFont="1" applyFill="1" applyBorder="1" applyAlignment="1">
      <alignment horizontal="center" vertical="center" wrapText="1"/>
    </xf>
    <xf numFmtId="0" fontId="5" fillId="76" borderId="51" xfId="0" applyFont="1" applyFill="1" applyBorder="1" applyAlignment="1">
      <alignment horizontal="center" wrapText="1"/>
    </xf>
    <xf numFmtId="0" fontId="5" fillId="76" borderId="51" xfId="0" applyFont="1" applyFill="1" applyBorder="1"/>
    <xf numFmtId="0" fontId="5" fillId="78" borderId="51" xfId="0" applyFont="1" applyFill="1" applyBorder="1"/>
    <xf numFmtId="0" fontId="5" fillId="77" borderId="51" xfId="0" applyFont="1" applyFill="1" applyBorder="1" applyAlignment="1">
      <alignment horizontal="center" vertical="center"/>
    </xf>
    <xf numFmtId="0" fontId="5" fillId="77" borderId="51" xfId="0" applyFont="1" applyFill="1" applyBorder="1" applyAlignment="1">
      <alignment horizontal="center" vertical="center" wrapText="1"/>
    </xf>
    <xf numFmtId="0" fontId="0" fillId="68" borderId="51" xfId="0" applyFill="1" applyBorder="1"/>
    <xf numFmtId="0" fontId="5" fillId="76" borderId="51" xfId="0" applyFont="1" applyFill="1" applyBorder="1" applyAlignment="1">
      <alignment horizontal="center"/>
    </xf>
    <xf numFmtId="0" fontId="5" fillId="75" borderId="51" xfId="0" applyFont="1" applyFill="1" applyBorder="1" applyAlignment="1">
      <alignment horizontal="center"/>
    </xf>
    <xf numFmtId="0" fontId="0" fillId="0" borderId="0" xfId="0" applyBorder="1"/>
    <xf numFmtId="0" fontId="0" fillId="0" borderId="0" xfId="0" applyBorder="1" applyAlignment="1">
      <alignment vertical="center" wrapText="1"/>
    </xf>
    <xf numFmtId="0" fontId="0" fillId="68" borderId="0" xfId="0" applyFill="1" applyBorder="1"/>
    <xf numFmtId="0" fontId="5" fillId="0" borderId="0" xfId="0" applyFont="1" applyFill="1" applyBorder="1" applyAlignment="1"/>
    <xf numFmtId="0" fontId="0" fillId="0" borderId="0" xfId="0" applyBorder="1" applyAlignment="1">
      <alignment horizontal="center"/>
    </xf>
    <xf numFmtId="3" fontId="0" fillId="0" borderId="55" xfId="0" applyNumberFormat="1" applyBorder="1"/>
    <xf numFmtId="3" fontId="0" fillId="0" borderId="56" xfId="0" applyNumberFormat="1" applyBorder="1"/>
    <xf numFmtId="0" fontId="0" fillId="0" borderId="0" xfId="0" applyFill="1" applyBorder="1" applyProtection="1">
      <protection locked="0"/>
    </xf>
    <xf numFmtId="0" fontId="5" fillId="76" borderId="54" xfId="0" applyFont="1" applyFill="1" applyBorder="1" applyAlignment="1">
      <alignment vertical="center" wrapText="1"/>
    </xf>
    <xf numFmtId="0" fontId="0" fillId="80" borderId="0" xfId="0" applyFill="1" applyBorder="1" applyAlignment="1">
      <alignment vertical="center" wrapText="1"/>
    </xf>
    <xf numFmtId="0" fontId="0" fillId="0" borderId="0" xfId="0" applyBorder="1" applyAlignment="1">
      <alignment horizontal="center" vertical="center"/>
    </xf>
    <xf numFmtId="3" fontId="0" fillId="0" borderId="0" xfId="0" applyNumberFormat="1" applyFont="1"/>
    <xf numFmtId="0" fontId="5" fillId="76" borderId="63" xfId="0" applyFont="1" applyFill="1" applyBorder="1"/>
    <xf numFmtId="0" fontId="15" fillId="79" borderId="73" xfId="0" applyFont="1" applyFill="1" applyBorder="1"/>
    <xf numFmtId="0" fontId="0" fillId="68" borderId="0" xfId="0" applyFill="1" applyBorder="1" applyAlignment="1"/>
    <xf numFmtId="0" fontId="0" fillId="68" borderId="51" xfId="0" applyFill="1" applyBorder="1" applyAlignment="1" applyProtection="1">
      <alignment horizontal="center"/>
      <protection locked="0"/>
    </xf>
    <xf numFmtId="0" fontId="62" fillId="0" borderId="0" xfId="0" applyFont="1"/>
    <xf numFmtId="0" fontId="0" fillId="0" borderId="0" xfId="0" applyAlignment="1">
      <alignment horizontal="left"/>
    </xf>
    <xf numFmtId="0" fontId="14" fillId="81" borderId="68" xfId="0" applyFont="1" applyFill="1" applyBorder="1" applyAlignment="1">
      <alignment horizontal="center" vertical="center" wrapText="1"/>
    </xf>
    <xf numFmtId="0" fontId="4" fillId="0" borderId="0" xfId="0" applyFont="1" applyAlignment="1">
      <alignment horizontal="left"/>
    </xf>
    <xf numFmtId="0" fontId="4" fillId="8" borderId="0" xfId="0" applyFont="1" applyFill="1"/>
    <xf numFmtId="2" fontId="0" fillId="0" borderId="0" xfId="0" applyNumberFormat="1"/>
    <xf numFmtId="0" fontId="0" fillId="0" borderId="0" xfId="0" applyAlignment="1">
      <alignment vertical="center"/>
    </xf>
    <xf numFmtId="2" fontId="0" fillId="0" borderId="0" xfId="1" applyNumberFormat="1" applyFont="1"/>
    <xf numFmtId="0" fontId="63" fillId="0" borderId="0" xfId="0" applyFont="1" applyAlignment="1">
      <alignment vertical="center"/>
    </xf>
    <xf numFmtId="0" fontId="63" fillId="0" borderId="0" xfId="0" applyFont="1"/>
    <xf numFmtId="0" fontId="0" fillId="83" borderId="80" xfId="0" applyFill="1" applyBorder="1" applyAlignment="1"/>
    <xf numFmtId="0" fontId="0" fillId="0" borderId="0" xfId="0" applyProtection="1">
      <protection locked="0"/>
    </xf>
    <xf numFmtId="0" fontId="0" fillId="0" borderId="51" xfId="0" applyBorder="1" applyAlignment="1" applyProtection="1">
      <alignment horizontal="center" vertical="center"/>
      <protection locked="0"/>
    </xf>
    <xf numFmtId="0" fontId="0" fillId="0" borderId="51" xfId="0" applyBorder="1" applyAlignment="1" applyProtection="1">
      <alignment horizontal="center"/>
      <protection locked="0"/>
    </xf>
    <xf numFmtId="0" fontId="5" fillId="0" borderId="0" xfId="0" applyFont="1" applyBorder="1" applyAlignment="1" applyProtection="1">
      <alignment horizontal="center" vertical="center"/>
      <protection locked="0"/>
    </xf>
    <xf numFmtId="0" fontId="5" fillId="0" borderId="61" xfId="0" applyFont="1" applyBorder="1" applyAlignment="1" applyProtection="1">
      <alignment horizontal="center" vertical="center"/>
      <protection locked="0"/>
    </xf>
    <xf numFmtId="0" fontId="5" fillId="0" borderId="62"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0" fontId="51" fillId="0" borderId="51" xfId="0" applyFont="1" applyBorder="1" applyAlignment="1" applyProtection="1">
      <alignment horizontal="center"/>
      <protection locked="0"/>
    </xf>
    <xf numFmtId="0" fontId="0" fillId="0" borderId="76" xfId="0" applyBorder="1" applyAlignment="1" applyProtection="1">
      <alignment horizontal="center"/>
      <protection locked="0"/>
    </xf>
    <xf numFmtId="0" fontId="0" fillId="0" borderId="76" xfId="0" applyBorder="1" applyProtection="1">
      <protection locked="0"/>
    </xf>
    <xf numFmtId="0" fontId="0" fillId="0" borderId="55" xfId="0" applyBorder="1" applyProtection="1">
      <protection locked="0"/>
    </xf>
    <xf numFmtId="0" fontId="0" fillId="0" borderId="55" xfId="0" applyBorder="1" applyAlignment="1" applyProtection="1">
      <alignment horizontal="center"/>
      <protection locked="0"/>
    </xf>
    <xf numFmtId="0" fontId="4" fillId="0" borderId="51" xfId="0" applyFont="1" applyBorder="1" applyAlignment="1">
      <alignment wrapText="1"/>
    </xf>
    <xf numFmtId="0" fontId="0" fillId="0" borderId="51" xfId="0" applyBorder="1" applyAlignment="1">
      <alignment wrapText="1"/>
    </xf>
    <xf numFmtId="14" fontId="0" fillId="0" borderId="76" xfId="0" applyNumberFormat="1" applyBorder="1" applyProtection="1">
      <protection locked="0"/>
    </xf>
    <xf numFmtId="0" fontId="4" fillId="68" borderId="0" xfId="0" applyFont="1" applyFill="1" applyBorder="1"/>
    <xf numFmtId="0" fontId="0" fillId="0" borderId="51" xfId="0" applyBorder="1" applyAlignment="1" applyProtection="1">
      <protection locked="0"/>
    </xf>
    <xf numFmtId="0" fontId="64" fillId="0" borderId="0" xfId="0" applyFont="1"/>
    <xf numFmtId="0" fontId="0" fillId="68" borderId="56" xfId="0" applyFill="1" applyBorder="1" applyProtection="1">
      <protection locked="0"/>
    </xf>
    <xf numFmtId="0" fontId="0" fillId="68" borderId="55" xfId="0" applyFill="1" applyBorder="1" applyProtection="1">
      <protection locked="0"/>
    </xf>
    <xf numFmtId="14" fontId="0" fillId="68" borderId="56" xfId="0" applyNumberFormat="1" applyFill="1" applyBorder="1" applyProtection="1">
      <protection locked="0"/>
    </xf>
    <xf numFmtId="14" fontId="0" fillId="68" borderId="55" xfId="0" applyNumberFormat="1" applyFill="1" applyBorder="1" applyProtection="1">
      <protection locked="0"/>
    </xf>
    <xf numFmtId="14" fontId="0" fillId="68" borderId="51" xfId="0" applyNumberFormat="1" applyFill="1" applyBorder="1" applyProtection="1">
      <protection locked="0"/>
    </xf>
    <xf numFmtId="3" fontId="0" fillId="0" borderId="55" xfId="0" applyNumberFormat="1" applyBorder="1" applyProtection="1">
      <protection locked="0"/>
    </xf>
    <xf numFmtId="0" fontId="0" fillId="0" borderId="56" xfId="0" applyBorder="1" applyProtection="1">
      <protection locked="0"/>
    </xf>
    <xf numFmtId="3" fontId="0" fillId="0" borderId="56" xfId="0" applyNumberFormat="1" applyBorder="1" applyProtection="1">
      <protection locked="0"/>
    </xf>
    <xf numFmtId="0" fontId="0" fillId="0" borderId="4" xfId="0" applyBorder="1" applyAlignment="1" applyProtection="1">
      <alignment horizontal="center" vertical="center"/>
      <protection locked="0"/>
    </xf>
    <xf numFmtId="3" fontId="0" fillId="0" borderId="9" xfId="0" applyNumberFormat="1" applyBorder="1" applyProtection="1">
      <protection locked="0"/>
    </xf>
    <xf numFmtId="3" fontId="0" fillId="0" borderId="10" xfId="0" applyNumberFormat="1" applyBorder="1" applyProtection="1">
      <protection locked="0"/>
    </xf>
    <xf numFmtId="3" fontId="0" fillId="0" borderId="11" xfId="0" applyNumberFormat="1" applyBorder="1" applyProtection="1">
      <protection locked="0"/>
    </xf>
    <xf numFmtId="3" fontId="0" fillId="0" borderId="18" xfId="0" applyNumberFormat="1" applyBorder="1" applyProtection="1">
      <protection locked="0"/>
    </xf>
    <xf numFmtId="3" fontId="0" fillId="0" borderId="12" xfId="0" applyNumberFormat="1" applyBorder="1" applyProtection="1">
      <protection locked="0"/>
    </xf>
    <xf numFmtId="3" fontId="0" fillId="0" borderId="13" xfId="0" applyNumberFormat="1" applyBorder="1" applyProtection="1">
      <protection locked="0"/>
    </xf>
    <xf numFmtId="3" fontId="0" fillId="0" borderId="14" xfId="0" applyNumberFormat="1" applyBorder="1" applyProtection="1">
      <protection locked="0"/>
    </xf>
    <xf numFmtId="3" fontId="0" fillId="0" borderId="19" xfId="0" applyNumberFormat="1" applyBorder="1" applyProtection="1">
      <protection locked="0"/>
    </xf>
    <xf numFmtId="3" fontId="0" fillId="0" borderId="15" xfId="0" applyNumberFormat="1" applyBorder="1" applyProtection="1">
      <protection locked="0"/>
    </xf>
    <xf numFmtId="3" fontId="0" fillId="0" borderId="16" xfId="0" applyNumberFormat="1" applyBorder="1" applyProtection="1">
      <protection locked="0"/>
    </xf>
    <xf numFmtId="3" fontId="0" fillId="0" borderId="17" xfId="0" applyNumberFormat="1" applyBorder="1" applyProtection="1">
      <protection locked="0"/>
    </xf>
    <xf numFmtId="3" fontId="0" fillId="0" borderId="20" xfId="0" applyNumberFormat="1" applyBorder="1" applyProtection="1">
      <protection locked="0"/>
    </xf>
    <xf numFmtId="0" fontId="0" fillId="9" borderId="0" xfId="0" applyFill="1" applyProtection="1">
      <protection locked="0"/>
    </xf>
    <xf numFmtId="1" fontId="0" fillId="9" borderId="0" xfId="0" applyNumberFormat="1" applyFill="1" applyProtection="1">
      <protection locked="0"/>
    </xf>
    <xf numFmtId="3" fontId="0" fillId="2" borderId="9" xfId="0" applyNumberFormat="1" applyFill="1" applyBorder="1" applyProtection="1">
      <protection locked="0"/>
    </xf>
    <xf numFmtId="3" fontId="0" fillId="2" borderId="10" xfId="0" applyNumberFormat="1" applyFill="1" applyBorder="1" applyProtection="1">
      <protection locked="0"/>
    </xf>
    <xf numFmtId="3" fontId="0" fillId="2" borderId="11" xfId="0" applyNumberFormat="1" applyFill="1" applyBorder="1" applyProtection="1">
      <protection locked="0"/>
    </xf>
    <xf numFmtId="3" fontId="0" fillId="2" borderId="18" xfId="0" applyNumberFormat="1" applyFill="1" applyBorder="1" applyProtection="1">
      <protection locked="0"/>
    </xf>
    <xf numFmtId="3" fontId="0" fillId="2" borderId="12" xfId="0" applyNumberFormat="1" applyFill="1" applyBorder="1" applyProtection="1">
      <protection locked="0"/>
    </xf>
    <xf numFmtId="3" fontId="0" fillId="2" borderId="13" xfId="0" applyNumberFormat="1" applyFill="1" applyBorder="1" applyProtection="1">
      <protection locked="0"/>
    </xf>
    <xf numFmtId="3" fontId="0" fillId="2" borderId="14" xfId="0" applyNumberFormat="1" applyFill="1" applyBorder="1" applyProtection="1">
      <protection locked="0"/>
    </xf>
    <xf numFmtId="3" fontId="0" fillId="2" borderId="19" xfId="0" applyNumberFormat="1" applyFill="1" applyBorder="1" applyProtection="1">
      <protection locked="0"/>
    </xf>
    <xf numFmtId="3" fontId="0" fillId="2" borderId="15" xfId="0" applyNumberFormat="1" applyFill="1" applyBorder="1" applyProtection="1">
      <protection locked="0"/>
    </xf>
    <xf numFmtId="3" fontId="0" fillId="2" borderId="16" xfId="0" applyNumberFormat="1" applyFill="1" applyBorder="1" applyProtection="1">
      <protection locked="0"/>
    </xf>
    <xf numFmtId="3" fontId="0" fillId="2" borderId="17" xfId="0" applyNumberFormat="1" applyFill="1" applyBorder="1" applyProtection="1">
      <protection locked="0"/>
    </xf>
    <xf numFmtId="3" fontId="0" fillId="2" borderId="20" xfId="0" applyNumberFormat="1" applyFill="1" applyBorder="1" applyProtection="1">
      <protection locked="0"/>
    </xf>
    <xf numFmtId="3" fontId="0" fillId="0" borderId="6" xfId="0" applyNumberFormat="1" applyBorder="1" applyAlignment="1" applyProtection="1">
      <alignment horizontal="center"/>
      <protection locked="0"/>
    </xf>
    <xf numFmtId="3" fontId="0" fillId="0" borderId="7" xfId="0" applyNumberFormat="1" applyBorder="1" applyAlignment="1" applyProtection="1">
      <alignment horizontal="center"/>
      <protection locked="0"/>
    </xf>
    <xf numFmtId="3" fontId="0" fillId="0" borderId="8" xfId="0" applyNumberFormat="1" applyBorder="1" applyAlignment="1" applyProtection="1">
      <alignment horizontal="center"/>
      <protection locked="0"/>
    </xf>
    <xf numFmtId="0" fontId="0" fillId="9" borderId="0" xfId="0" applyFill="1" applyAlignment="1" applyProtection="1">
      <alignment horizontal="center"/>
      <protection locked="0"/>
    </xf>
    <xf numFmtId="0" fontId="0" fillId="0" borderId="4" xfId="0" applyBorder="1" applyAlignment="1" applyProtection="1">
      <alignment horizontal="right"/>
      <protection locked="0"/>
    </xf>
    <xf numFmtId="14" fontId="0" fillId="0" borderId="51" xfId="0" applyNumberFormat="1" applyBorder="1" applyProtection="1">
      <protection locked="0"/>
    </xf>
    <xf numFmtId="0" fontId="0" fillId="68" borderId="4" xfId="0" applyFill="1" applyBorder="1" applyAlignment="1" applyProtection="1">
      <alignment horizontal="center" vertical="center"/>
      <protection locked="0"/>
    </xf>
    <xf numFmtId="3" fontId="0" fillId="0" borderId="52" xfId="0" applyNumberFormat="1" applyBorder="1" applyProtection="1">
      <protection locked="0"/>
    </xf>
    <xf numFmtId="0" fontId="4" fillId="0" borderId="51" xfId="0" applyFont="1" applyBorder="1" applyAlignment="1" applyProtection="1">
      <alignment horizontal="center"/>
      <protection locked="0"/>
    </xf>
    <xf numFmtId="0" fontId="0" fillId="0" borderId="5" xfId="0" applyBorder="1" applyProtection="1">
      <protection locked="0"/>
    </xf>
    <xf numFmtId="3" fontId="0" fillId="0" borderId="0" xfId="0" applyNumberFormat="1" applyFill="1" applyBorder="1" applyProtection="1">
      <protection hidden="1"/>
    </xf>
    <xf numFmtId="0" fontId="0" fillId="0" borderId="0" xfId="0" applyFill="1" applyBorder="1" applyAlignment="1" applyProtection="1">
      <alignment horizontal="right"/>
      <protection hidden="1"/>
    </xf>
    <xf numFmtId="3" fontId="0" fillId="0" borderId="0" xfId="0" applyNumberFormat="1" applyFill="1" applyBorder="1" applyAlignment="1" applyProtection="1">
      <alignment horizontal="right"/>
      <protection hidden="1"/>
    </xf>
    <xf numFmtId="0" fontId="0" fillId="0" borderId="0" xfId="0" applyFill="1" applyBorder="1" applyProtection="1">
      <protection hidden="1"/>
    </xf>
    <xf numFmtId="0" fontId="0" fillId="0" borderId="0" xfId="0" applyBorder="1" applyProtection="1">
      <protection hidden="1"/>
    </xf>
    <xf numFmtId="0" fontId="0" fillId="0" borderId="0" xfId="0" applyBorder="1" applyAlignment="1" applyProtection="1">
      <alignment horizontal="center"/>
      <protection hidden="1"/>
    </xf>
    <xf numFmtId="3" fontId="0" fillId="9" borderId="0" xfId="0" applyNumberFormat="1" applyFill="1" applyBorder="1" applyAlignment="1" applyProtection="1">
      <alignment horizontal="center" vertical="center"/>
      <protection hidden="1"/>
    </xf>
    <xf numFmtId="3" fontId="0" fillId="9" borderId="55" xfId="0" applyNumberFormat="1" applyFill="1" applyBorder="1" applyProtection="1">
      <protection hidden="1"/>
    </xf>
    <xf numFmtId="3" fontId="0" fillId="9" borderId="56" xfId="0" applyNumberFormat="1" applyFill="1" applyBorder="1" applyProtection="1">
      <protection hidden="1"/>
    </xf>
    <xf numFmtId="3" fontId="5" fillId="78" borderId="51" xfId="0" applyNumberFormat="1" applyFont="1" applyFill="1" applyBorder="1" applyProtection="1">
      <protection hidden="1"/>
    </xf>
    <xf numFmtId="3" fontId="5" fillId="76" borderId="51" xfId="0" applyNumberFormat="1" applyFont="1" applyFill="1" applyBorder="1" applyProtection="1">
      <protection hidden="1"/>
    </xf>
    <xf numFmtId="0" fontId="0" fillId="68" borderId="0" xfId="0" applyFill="1" applyProtection="1">
      <protection hidden="1"/>
    </xf>
    <xf numFmtId="9" fontId="0" fillId="9" borderId="70" xfId="0" applyNumberFormat="1" applyFill="1" applyBorder="1" applyProtection="1">
      <protection hidden="1"/>
    </xf>
    <xf numFmtId="0" fontId="63" fillId="0" borderId="0" xfId="0" applyFont="1" applyProtection="1">
      <protection hidden="1"/>
    </xf>
    <xf numFmtId="9" fontId="65" fillId="9" borderId="65" xfId="0" applyNumberFormat="1" applyFont="1" applyFill="1" applyBorder="1" applyProtection="1">
      <protection locked="0"/>
    </xf>
    <xf numFmtId="9" fontId="65" fillId="9" borderId="67" xfId="0" applyNumberFormat="1" applyFont="1" applyFill="1" applyBorder="1" applyProtection="1">
      <protection locked="0"/>
    </xf>
    <xf numFmtId="0" fontId="4" fillId="73" borderId="58" xfId="0" applyFont="1" applyFill="1" applyBorder="1" applyAlignment="1" applyProtection="1">
      <alignment horizontal="center" vertical="center"/>
      <protection hidden="1"/>
    </xf>
    <xf numFmtId="0" fontId="0" fillId="9" borderId="77" xfId="0" applyFill="1" applyBorder="1" applyProtection="1">
      <protection hidden="1"/>
    </xf>
    <xf numFmtId="0" fontId="0" fillId="9" borderId="78" xfId="0" applyFill="1" applyBorder="1" applyProtection="1">
      <protection hidden="1"/>
    </xf>
    <xf numFmtId="0" fontId="0" fillId="9" borderId="79" xfId="0" applyFill="1" applyBorder="1" applyProtection="1">
      <protection hidden="1"/>
    </xf>
    <xf numFmtId="0" fontId="4" fillId="73" borderId="59" xfId="0" applyFont="1" applyFill="1" applyBorder="1" applyAlignment="1" applyProtection="1">
      <alignment horizontal="center" vertical="center"/>
      <protection hidden="1"/>
    </xf>
    <xf numFmtId="0" fontId="4" fillId="73" borderId="60" xfId="0" applyFont="1" applyFill="1" applyBorder="1" applyAlignment="1" applyProtection="1">
      <alignment horizontal="center" vertical="center"/>
      <protection hidden="1"/>
    </xf>
    <xf numFmtId="0" fontId="4" fillId="73" borderId="0" xfId="0" applyFont="1" applyFill="1" applyAlignment="1" applyProtection="1">
      <alignment horizontal="center" vertical="center" wrapText="1"/>
      <protection hidden="1"/>
    </xf>
    <xf numFmtId="0" fontId="0" fillId="73" borderId="0" xfId="0" applyFill="1" applyProtection="1">
      <protection hidden="1"/>
    </xf>
    <xf numFmtId="0" fontId="4" fillId="73" borderId="0" xfId="0" applyFont="1" applyFill="1" applyProtection="1">
      <protection hidden="1"/>
    </xf>
    <xf numFmtId="0" fontId="60" fillId="0" borderId="0" xfId="0" applyFont="1" applyProtection="1">
      <protection hidden="1"/>
    </xf>
    <xf numFmtId="3" fontId="0" fillId="9" borderId="0" xfId="0" applyNumberFormat="1" applyFill="1" applyAlignment="1" applyProtection="1">
      <alignment wrapText="1"/>
      <protection hidden="1"/>
    </xf>
    <xf numFmtId="0" fontId="57" fillId="6" borderId="0" xfId="0" applyFont="1" applyFill="1" applyAlignment="1" applyProtection="1">
      <alignment horizontal="center"/>
      <protection hidden="1"/>
    </xf>
    <xf numFmtId="0" fontId="58" fillId="8" borderId="0" xfId="0" applyFont="1" applyFill="1" applyProtection="1">
      <protection hidden="1"/>
    </xf>
    <xf numFmtId="0" fontId="0" fillId="9" borderId="0" xfId="0" applyFill="1" applyBorder="1"/>
    <xf numFmtId="0" fontId="0" fillId="9" borderId="0" xfId="0" applyFill="1" applyBorder="1" applyAlignment="1" applyProtection="1">
      <alignment horizontal="center"/>
      <protection hidden="1"/>
    </xf>
    <xf numFmtId="0" fontId="0" fillId="0" borderId="4" xfId="0" applyBorder="1" applyProtection="1">
      <protection locked="0"/>
    </xf>
    <xf numFmtId="3" fontId="66" fillId="0" borderId="18" xfId="0" applyNumberFormat="1" applyFont="1" applyBorder="1" applyProtection="1">
      <protection hidden="1"/>
    </xf>
    <xf numFmtId="3" fontId="66" fillId="0" borderId="19" xfId="0" applyNumberFormat="1" applyFont="1" applyBorder="1" applyProtection="1">
      <protection hidden="1"/>
    </xf>
    <xf numFmtId="3" fontId="66" fillId="0" borderId="20" xfId="0" applyNumberFormat="1" applyFont="1" applyBorder="1" applyProtection="1">
      <protection hidden="1"/>
    </xf>
    <xf numFmtId="1" fontId="66" fillId="9" borderId="0" xfId="0" applyNumberFormat="1" applyFont="1" applyFill="1" applyProtection="1">
      <protection hidden="1"/>
    </xf>
    <xf numFmtId="3" fontId="66" fillId="2" borderId="18" xfId="0" applyNumberFormat="1" applyFont="1" applyFill="1" applyBorder="1" applyProtection="1">
      <protection hidden="1"/>
    </xf>
    <xf numFmtId="3" fontId="66" fillId="2" borderId="19" xfId="0" applyNumberFormat="1" applyFont="1" applyFill="1" applyBorder="1" applyProtection="1">
      <protection hidden="1"/>
    </xf>
    <xf numFmtId="3" fontId="66" fillId="2" borderId="20" xfId="0" applyNumberFormat="1" applyFont="1" applyFill="1" applyBorder="1" applyProtection="1">
      <protection hidden="1"/>
    </xf>
    <xf numFmtId="0" fontId="66" fillId="9" borderId="0" xfId="0" applyFont="1" applyFill="1" applyProtection="1">
      <protection hidden="1"/>
    </xf>
    <xf numFmtId="3" fontId="66" fillId="0" borderId="6" xfId="0" applyNumberFormat="1" applyFont="1" applyBorder="1" applyProtection="1">
      <protection hidden="1"/>
    </xf>
    <xf numFmtId="3" fontId="66" fillId="0" borderId="7" xfId="0" applyNumberFormat="1" applyFont="1" applyBorder="1" applyProtection="1">
      <protection hidden="1"/>
    </xf>
    <xf numFmtId="3" fontId="66" fillId="0" borderId="8" xfId="0" applyNumberFormat="1" applyFont="1" applyBorder="1" applyProtection="1">
      <protection hidden="1"/>
    </xf>
    <xf numFmtId="3" fontId="66" fillId="9" borderId="0" xfId="0" applyNumberFormat="1" applyFont="1" applyFill="1" applyProtection="1">
      <protection hidden="1"/>
    </xf>
    <xf numFmtId="0" fontId="62" fillId="0" borderId="0" xfId="0" applyNumberFormat="1" applyFont="1" applyBorder="1" applyAlignment="1" applyProtection="1">
      <alignment horizontal="center"/>
      <protection hidden="1"/>
    </xf>
    <xf numFmtId="0" fontId="62" fillId="0" borderId="18" xfId="0" applyNumberFormat="1" applyFont="1" applyBorder="1" applyProtection="1">
      <protection hidden="1"/>
    </xf>
    <xf numFmtId="0" fontId="62" fillId="0" borderId="19" xfId="0" applyNumberFormat="1" applyFont="1" applyBorder="1" applyProtection="1">
      <protection hidden="1"/>
    </xf>
    <xf numFmtId="0" fontId="62" fillId="0" borderId="20" xfId="0" applyNumberFormat="1" applyFont="1" applyBorder="1" applyProtection="1">
      <protection hidden="1"/>
    </xf>
    <xf numFmtId="0" fontId="62" fillId="9" borderId="0" xfId="0" applyNumberFormat="1" applyFont="1" applyFill="1" applyBorder="1" applyAlignment="1" applyProtection="1">
      <alignment horizontal="center"/>
      <protection hidden="1"/>
    </xf>
    <xf numFmtId="0" fontId="62" fillId="9" borderId="0" xfId="0" applyNumberFormat="1" applyFont="1" applyFill="1" applyProtection="1">
      <protection hidden="1"/>
    </xf>
    <xf numFmtId="14" fontId="0" fillId="0" borderId="4" xfId="0" applyNumberFormat="1" applyBorder="1" applyProtection="1">
      <protection locked="0"/>
    </xf>
    <xf numFmtId="0" fontId="51" fillId="0" borderId="76" xfId="0" applyFont="1" applyBorder="1" applyAlignment="1" applyProtection="1">
      <alignment horizontal="center" vertical="center" wrapText="1"/>
      <protection locked="0"/>
    </xf>
    <xf numFmtId="0" fontId="15" fillId="0" borderId="4" xfId="0" applyFont="1" applyFill="1" applyBorder="1" applyProtection="1">
      <protection locked="0"/>
    </xf>
    <xf numFmtId="0" fontId="5" fillId="4" borderId="0" xfId="0" applyFont="1" applyFill="1" applyProtection="1">
      <protection hidden="1"/>
    </xf>
    <xf numFmtId="0" fontId="5" fillId="3" borderId="0" xfId="0" applyFont="1" applyFill="1" applyProtection="1">
      <protection hidden="1"/>
    </xf>
    <xf numFmtId="1" fontId="61" fillId="9" borderId="0" xfId="0" applyNumberFormat="1" applyFont="1" applyFill="1" applyProtection="1">
      <protection hidden="1"/>
    </xf>
    <xf numFmtId="0" fontId="61" fillId="9" borderId="0" xfId="0" applyFont="1" applyFill="1" applyProtection="1">
      <protection hidden="1"/>
    </xf>
    <xf numFmtId="14" fontId="61" fillId="9" borderId="57" xfId="0" applyNumberFormat="1" applyFont="1" applyFill="1" applyBorder="1" applyProtection="1">
      <protection hidden="1"/>
    </xf>
    <xf numFmtId="14" fontId="61" fillId="7" borderId="63" xfId="0" applyNumberFormat="1" applyFont="1" applyFill="1" applyBorder="1" applyProtection="1">
      <protection hidden="1"/>
    </xf>
    <xf numFmtId="14" fontId="61" fillId="7" borderId="73" xfId="0" applyNumberFormat="1" applyFont="1" applyFill="1" applyBorder="1" applyProtection="1">
      <protection hidden="1"/>
    </xf>
    <xf numFmtId="3" fontId="61" fillId="9" borderId="0" xfId="0" applyNumberFormat="1" applyFont="1" applyFill="1" applyProtection="1">
      <protection hidden="1"/>
    </xf>
    <xf numFmtId="0" fontId="9" fillId="0" borderId="0" xfId="0" applyFont="1"/>
    <xf numFmtId="3" fontId="63" fillId="0" borderId="0" xfId="0" applyNumberFormat="1" applyFont="1" applyProtection="1">
      <protection hidden="1"/>
    </xf>
    <xf numFmtId="3" fontId="0" fillId="9" borderId="67" xfId="0" applyNumberFormat="1" applyFill="1" applyBorder="1" applyProtection="1">
      <protection hidden="1"/>
    </xf>
    <xf numFmtId="0" fontId="0" fillId="9" borderId="67" xfId="0" applyFill="1" applyBorder="1" applyAlignment="1" applyProtection="1">
      <alignment horizontal="right"/>
      <protection hidden="1"/>
    </xf>
    <xf numFmtId="0" fontId="0" fillId="0" borderId="51" xfId="0" applyBorder="1" applyAlignment="1" applyProtection="1">
      <alignment horizontal="center"/>
      <protection locked="0"/>
    </xf>
    <xf numFmtId="0" fontId="4" fillId="73" borderId="82" xfId="0" applyFont="1" applyFill="1" applyBorder="1" applyAlignment="1" applyProtection="1">
      <alignment horizontal="center" vertical="center" wrapText="1"/>
      <protection hidden="1"/>
    </xf>
    <xf numFmtId="0" fontId="4" fillId="73" borderId="81" xfId="0" applyFont="1" applyFill="1" applyBorder="1" applyAlignment="1" applyProtection="1">
      <alignment horizontal="center" vertical="center"/>
      <protection hidden="1"/>
    </xf>
    <xf numFmtId="0" fontId="4" fillId="0" borderId="0" xfId="0" applyFont="1" applyAlignment="1">
      <alignment horizontal="center" vertical="center"/>
    </xf>
    <xf numFmtId="0" fontId="0" fillId="9" borderId="0" xfId="0" applyFill="1" applyAlignment="1">
      <alignment horizontal="center"/>
    </xf>
    <xf numFmtId="0" fontId="14" fillId="81" borderId="72" xfId="0" applyFont="1" applyFill="1" applyBorder="1" applyAlignment="1">
      <alignment horizontal="center" vertical="center" wrapText="1"/>
    </xf>
    <xf numFmtId="0" fontId="0" fillId="0" borderId="51" xfId="0" applyBorder="1" applyProtection="1">
      <protection locked="0"/>
    </xf>
    <xf numFmtId="0" fontId="4" fillId="0" borderId="0" xfId="0" applyFont="1" applyProtection="1">
      <protection hidden="1"/>
    </xf>
    <xf numFmtId="0" fontId="4" fillId="0" borderId="76" xfId="0" applyFont="1" applyBorder="1"/>
    <xf numFmtId="0" fontId="0" fillId="0" borderId="76" xfId="0" applyBorder="1"/>
    <xf numFmtId="14" fontId="0" fillId="0" borderId="76" xfId="0" applyNumberFormat="1" applyBorder="1"/>
    <xf numFmtId="0" fontId="0" fillId="0" borderId="76" xfId="0" applyBorder="1" applyAlignment="1">
      <alignment wrapText="1"/>
    </xf>
    <xf numFmtId="0" fontId="0" fillId="0" borderId="76" xfId="0" applyFont="1" applyBorder="1"/>
    <xf numFmtId="14" fontId="0" fillId="0" borderId="76" xfId="0" applyNumberFormat="1" applyFont="1" applyBorder="1"/>
    <xf numFmtId="0" fontId="0" fillId="0" borderId="0" xfId="0" applyFont="1"/>
    <xf numFmtId="0" fontId="0" fillId="0" borderId="76" xfId="0" applyFont="1" applyBorder="1" applyAlignment="1">
      <alignment wrapText="1"/>
    </xf>
    <xf numFmtId="0" fontId="5" fillId="68" borderId="0" xfId="0" applyFont="1" applyFill="1" applyProtection="1">
      <protection hidden="1"/>
    </xf>
    <xf numFmtId="0" fontId="5" fillId="0" borderId="0" xfId="0" applyFont="1" applyProtection="1">
      <protection hidden="1"/>
    </xf>
    <xf numFmtId="0" fontId="5" fillId="76" borderId="51" xfId="0" applyFont="1" applyFill="1" applyBorder="1" applyAlignment="1" applyProtection="1">
      <alignment horizontal="center" vertical="center" wrapText="1"/>
      <protection hidden="1"/>
    </xf>
    <xf numFmtId="0" fontId="5" fillId="78" borderId="51" xfId="0" applyFont="1" applyFill="1" applyBorder="1" applyAlignment="1" applyProtection="1">
      <alignment horizontal="center" vertical="center" wrapText="1"/>
      <protection hidden="1"/>
    </xf>
    <xf numFmtId="14" fontId="0" fillId="0" borderId="0" xfId="0" applyNumberFormat="1"/>
    <xf numFmtId="0" fontId="0" fillId="69" borderId="0" xfId="0" applyNumberFormat="1" applyFill="1"/>
    <xf numFmtId="3" fontId="0" fillId="84" borderId="0" xfId="0" applyNumberFormat="1" applyFill="1"/>
    <xf numFmtId="3" fontId="0" fillId="9" borderId="83" xfId="0" applyNumberFormat="1" applyFill="1" applyBorder="1" applyProtection="1">
      <protection hidden="1"/>
    </xf>
    <xf numFmtId="3" fontId="0" fillId="9" borderId="84" xfId="0" applyNumberFormat="1" applyFill="1" applyBorder="1" applyProtection="1">
      <protection hidden="1"/>
    </xf>
    <xf numFmtId="10" fontId="0" fillId="0" borderId="0" xfId="0" applyNumberFormat="1" applyFill="1"/>
    <xf numFmtId="0" fontId="4" fillId="0" borderId="0" xfId="0" applyFont="1" applyFill="1"/>
    <xf numFmtId="0" fontId="14" fillId="81" borderId="71" xfId="0" applyFont="1" applyFill="1" applyBorder="1" applyAlignment="1">
      <alignment horizontal="center" vertical="center" wrapText="1"/>
    </xf>
    <xf numFmtId="0" fontId="4" fillId="0" borderId="0" xfId="0" applyFont="1"/>
    <xf numFmtId="0" fontId="4" fillId="0" borderId="0" xfId="0" applyFont="1"/>
    <xf numFmtId="0" fontId="61" fillId="0" borderId="0" xfId="0" applyFont="1" applyAlignment="1">
      <alignment horizontal="center"/>
    </xf>
    <xf numFmtId="164" fontId="61" fillId="0" borderId="0" xfId="1" applyNumberFormat="1" applyFont="1" applyAlignment="1">
      <alignment horizontal="right"/>
    </xf>
    <xf numFmtId="3" fontId="61" fillId="0" borderId="0" xfId="0" applyNumberFormat="1" applyFont="1" applyBorder="1" applyAlignment="1">
      <alignment horizontal="right"/>
    </xf>
    <xf numFmtId="0" fontId="0" fillId="0" borderId="76" xfId="0" applyBorder="1" applyAlignment="1" applyProtection="1">
      <alignment horizontal="center" wrapText="1"/>
      <protection locked="0"/>
    </xf>
    <xf numFmtId="166" fontId="0" fillId="0" borderId="0" xfId="0" applyNumberFormat="1" applyBorder="1" applyAlignment="1" applyProtection="1">
      <alignment horizontal="center"/>
      <protection hidden="1"/>
    </xf>
    <xf numFmtId="167" fontId="0" fillId="0" borderId="0" xfId="0" applyNumberFormat="1" applyBorder="1" applyAlignment="1" applyProtection="1">
      <alignment horizontal="center"/>
      <protection hidden="1"/>
    </xf>
    <xf numFmtId="3" fontId="0" fillId="0" borderId="0" xfId="0" applyNumberFormat="1" applyFill="1"/>
    <xf numFmtId="9" fontId="0" fillId="0" borderId="76" xfId="1" applyFont="1" applyBorder="1" applyAlignment="1" applyProtection="1">
      <alignment horizontal="center" vertical="center"/>
    </xf>
    <xf numFmtId="0" fontId="0" fillId="0" borderId="55" xfId="0" applyFont="1" applyBorder="1" applyProtection="1">
      <protection locked="0"/>
    </xf>
    <xf numFmtId="0" fontId="5" fillId="78" borderId="88" xfId="0" applyFont="1" applyFill="1" applyBorder="1" applyAlignment="1" applyProtection="1">
      <alignment horizontal="center" vertical="center" wrapText="1"/>
      <protection hidden="1"/>
    </xf>
    <xf numFmtId="14" fontId="4" fillId="0" borderId="76" xfId="0" applyNumberFormat="1" applyFont="1" applyBorder="1"/>
    <xf numFmtId="0" fontId="4" fillId="0" borderId="0" xfId="0" applyFont="1"/>
    <xf numFmtId="0" fontId="4" fillId="0" borderId="76" xfId="0" applyFont="1" applyBorder="1" applyAlignment="1">
      <alignment wrapText="1"/>
    </xf>
    <xf numFmtId="0" fontId="0" fillId="0" borderId="55" xfId="0" applyFont="1" applyBorder="1" applyAlignment="1" applyProtection="1">
      <alignment vertical="center" wrapText="1"/>
      <protection locked="0"/>
    </xf>
    <xf numFmtId="14" fontId="0" fillId="0" borderId="0" xfId="0" applyNumberFormat="1"/>
    <xf numFmtId="0" fontId="15" fillId="0" borderId="55" xfId="0" applyFont="1" applyBorder="1" applyAlignment="1" applyProtection="1">
      <alignment vertical="center" wrapText="1"/>
      <protection locked="0"/>
    </xf>
    <xf numFmtId="0" fontId="0" fillId="0" borderId="0" xfId="0" applyFont="1" applyProtection="1">
      <protection locked="0"/>
    </xf>
    <xf numFmtId="166" fontId="0" fillId="0" borderId="0" xfId="0" applyNumberFormat="1" applyFill="1" applyBorder="1" applyAlignment="1" applyProtection="1">
      <alignment horizontal="right"/>
      <protection hidden="1"/>
    </xf>
    <xf numFmtId="0" fontId="0" fillId="68" borderId="0" xfId="0" applyFill="1" applyBorder="1" applyAlignment="1" applyProtection="1">
      <alignment horizontal="center"/>
      <protection locked="0"/>
    </xf>
    <xf numFmtId="0" fontId="0" fillId="68" borderId="0" xfId="0" applyFill="1" applyAlignment="1" applyProtection="1">
      <alignment horizontal="center"/>
      <protection locked="0"/>
    </xf>
    <xf numFmtId="0" fontId="67" fillId="0" borderId="55" xfId="0" applyFont="1" applyBorder="1" applyAlignment="1" applyProtection="1">
      <alignment vertical="center" wrapText="1"/>
      <protection locked="0"/>
    </xf>
    <xf numFmtId="0" fontId="68" fillId="0" borderId="55" xfId="0" applyFont="1" applyBorder="1" applyAlignment="1" applyProtection="1">
      <alignment vertical="center" wrapText="1"/>
      <protection locked="0"/>
    </xf>
    <xf numFmtId="2" fontId="4" fillId="0" borderId="76" xfId="0" applyNumberFormat="1" applyFont="1" applyBorder="1"/>
    <xf numFmtId="0" fontId="61" fillId="9" borderId="0" xfId="0" applyNumberFormat="1" applyFont="1" applyFill="1" applyProtection="1">
      <protection hidden="1"/>
    </xf>
    <xf numFmtId="0" fontId="60" fillId="0" borderId="0" xfId="0" applyFont="1" applyFill="1"/>
    <xf numFmtId="2" fontId="0" fillId="0" borderId="76" xfId="0" applyNumberFormat="1" applyFont="1" applyBorder="1"/>
    <xf numFmtId="164" fontId="60" fillId="0" borderId="89" xfId="0" applyNumberFormat="1" applyFont="1" applyFill="1" applyBorder="1" applyProtection="1">
      <protection locked="0"/>
    </xf>
    <xf numFmtId="0" fontId="0" fillId="0" borderId="76" xfId="0" applyBorder="1" applyAlignment="1" applyProtection="1">
      <alignment wrapText="1"/>
      <protection locked="0"/>
    </xf>
    <xf numFmtId="0" fontId="69" fillId="0" borderId="0" xfId="0" applyFont="1" applyFill="1" applyBorder="1"/>
    <xf numFmtId="14" fontId="60" fillId="0" borderId="89" xfId="0" applyNumberFormat="1" applyFont="1" applyFill="1" applyBorder="1" applyAlignment="1" applyProtection="1">
      <alignment horizontal="center" vertical="center"/>
      <protection locked="0"/>
    </xf>
    <xf numFmtId="0" fontId="60" fillId="0" borderId="0" xfId="0" applyFont="1"/>
    <xf numFmtId="3" fontId="0" fillId="0" borderId="51" xfId="0" applyNumberFormat="1" applyBorder="1" applyAlignment="1" applyProtection="1">
      <alignment horizontal="center"/>
      <protection locked="0"/>
    </xf>
    <xf numFmtId="0" fontId="0" fillId="0" borderId="1" xfId="0" applyBorder="1" applyAlignment="1" applyProtection="1">
      <alignment horizontal="center"/>
      <protection locked="0"/>
    </xf>
    <xf numFmtId="0" fontId="0" fillId="0" borderId="2" xfId="0" applyBorder="1" applyAlignment="1" applyProtection="1">
      <alignment horizontal="center"/>
      <protection locked="0"/>
    </xf>
    <xf numFmtId="0" fontId="0" fillId="0" borderId="3" xfId="0" applyBorder="1" applyAlignment="1" applyProtection="1">
      <alignment horizontal="center"/>
      <protection locked="0"/>
    </xf>
    <xf numFmtId="0" fontId="0" fillId="0" borderId="0" xfId="0" applyAlignment="1">
      <alignment horizontal="left"/>
    </xf>
    <xf numFmtId="0" fontId="62" fillId="0" borderId="0" xfId="0" applyFont="1" applyBorder="1" applyAlignment="1">
      <alignment horizontal="left"/>
    </xf>
    <xf numFmtId="0" fontId="62" fillId="0" borderId="74" xfId="0" applyFont="1" applyBorder="1" applyAlignment="1">
      <alignment horizontal="left"/>
    </xf>
    <xf numFmtId="0" fontId="0" fillId="0" borderId="75" xfId="0" applyBorder="1" applyAlignment="1" applyProtection="1">
      <alignment horizontal="center" wrapText="1"/>
      <protection locked="0"/>
    </xf>
    <xf numFmtId="0" fontId="0" fillId="0" borderId="5" xfId="0" applyBorder="1" applyAlignment="1" applyProtection="1">
      <alignment horizontal="center" wrapText="1"/>
      <protection locked="0"/>
    </xf>
    <xf numFmtId="0" fontId="57" fillId="0" borderId="51" xfId="0" applyFont="1" applyBorder="1" applyAlignment="1">
      <alignment horizontal="center"/>
    </xf>
    <xf numFmtId="0" fontId="5" fillId="4" borderId="0" xfId="0" applyFont="1" applyFill="1" applyAlignment="1">
      <alignment horizontal="center" vertical="center" wrapText="1"/>
    </xf>
    <xf numFmtId="0" fontId="5" fillId="4" borderId="0" xfId="0" applyFont="1" applyFill="1" applyAlignment="1">
      <alignment horizontal="center" vertical="center"/>
    </xf>
    <xf numFmtId="0" fontId="4" fillId="68" borderId="0" xfId="0" applyFont="1" applyFill="1" applyBorder="1" applyAlignment="1">
      <alignment horizontal="left"/>
    </xf>
    <xf numFmtId="0" fontId="5" fillId="75" borderId="51" xfId="0" applyFont="1" applyFill="1" applyBorder="1" applyAlignment="1">
      <alignment horizontal="center"/>
    </xf>
    <xf numFmtId="0" fontId="5" fillId="76" borderId="51" xfId="0" applyFont="1" applyFill="1" applyBorder="1" applyAlignment="1">
      <alignment horizontal="center"/>
    </xf>
    <xf numFmtId="0" fontId="0" fillId="68" borderId="0" xfId="0" applyFill="1" applyBorder="1" applyAlignment="1">
      <alignment horizontal="left" vertical="center"/>
    </xf>
    <xf numFmtId="0" fontId="4" fillId="68" borderId="0" xfId="0" applyFont="1" applyFill="1" applyAlignment="1">
      <alignment horizontal="left"/>
    </xf>
    <xf numFmtId="0" fontId="14" fillId="0" borderId="85" xfId="0" applyFont="1" applyFill="1" applyBorder="1" applyAlignment="1" applyProtection="1">
      <alignment horizontal="center" vertical="center" wrapText="1"/>
      <protection locked="0"/>
    </xf>
    <xf numFmtId="0" fontId="14" fillId="0" borderId="86" xfId="0" applyFont="1" applyFill="1" applyBorder="1" applyAlignment="1" applyProtection="1">
      <alignment horizontal="center" vertical="center" wrapText="1"/>
      <protection locked="0"/>
    </xf>
    <xf numFmtId="0" fontId="14" fillId="0" borderId="87" xfId="0" applyFont="1" applyFill="1" applyBorder="1" applyAlignment="1" applyProtection="1">
      <alignment horizontal="center" vertical="center" wrapText="1"/>
      <protection locked="0"/>
    </xf>
    <xf numFmtId="0" fontId="14" fillId="81" borderId="64" xfId="0" applyFont="1" applyFill="1" applyBorder="1" applyAlignment="1">
      <alignment horizontal="center" vertical="center" wrapText="1"/>
    </xf>
    <xf numFmtId="0" fontId="14" fillId="81" borderId="65" xfId="0" applyFont="1" applyFill="1" applyBorder="1" applyAlignment="1">
      <alignment horizontal="center" vertical="center" wrapText="1"/>
    </xf>
    <xf numFmtId="0" fontId="14" fillId="81" borderId="69" xfId="0" applyFont="1" applyFill="1" applyBorder="1" applyAlignment="1">
      <alignment horizontal="center" vertical="center" wrapText="1"/>
    </xf>
    <xf numFmtId="0" fontId="14" fillId="81" borderId="67" xfId="0" applyFont="1" applyFill="1" applyBorder="1" applyAlignment="1">
      <alignment horizontal="center" vertical="center" wrapText="1"/>
    </xf>
    <xf numFmtId="0" fontId="14" fillId="81" borderId="66" xfId="0" applyFont="1" applyFill="1" applyBorder="1" applyAlignment="1">
      <alignment horizontal="center" vertical="center" wrapText="1"/>
    </xf>
    <xf numFmtId="0" fontId="14" fillId="81" borderId="70" xfId="0" applyFont="1" applyFill="1" applyBorder="1" applyAlignment="1">
      <alignment horizontal="center" vertical="center" wrapText="1"/>
    </xf>
    <xf numFmtId="0" fontId="0" fillId="0" borderId="51" xfId="0" applyBorder="1" applyAlignment="1" applyProtection="1">
      <alignment horizontal="center"/>
      <protection locked="0"/>
    </xf>
    <xf numFmtId="0" fontId="9" fillId="7" borderId="0" xfId="0" applyFont="1" applyFill="1" applyAlignment="1">
      <alignment horizontal="left"/>
    </xf>
    <xf numFmtId="3" fontId="0" fillId="72" borderId="24" xfId="0" applyNumberFormat="1" applyFill="1" applyBorder="1" applyAlignment="1" applyProtection="1">
      <alignment horizontal="center" vertical="center"/>
      <protection hidden="1"/>
    </xf>
    <xf numFmtId="3" fontId="0" fillId="72" borderId="28" xfId="0" applyNumberFormat="1" applyFill="1" applyBorder="1" applyAlignment="1" applyProtection="1">
      <alignment horizontal="center" vertical="center"/>
      <protection hidden="1"/>
    </xf>
    <xf numFmtId="3" fontId="0" fillId="9" borderId="23" xfId="0" applyNumberFormat="1" applyFill="1" applyBorder="1" applyAlignment="1" applyProtection="1">
      <alignment horizontal="center" vertical="center" wrapText="1"/>
      <protection hidden="1"/>
    </xf>
    <xf numFmtId="0" fontId="0" fillId="9" borderId="24" xfId="0" applyFill="1" applyBorder="1" applyAlignment="1" applyProtection="1">
      <alignment horizontal="center" vertical="center" wrapText="1"/>
      <protection hidden="1"/>
    </xf>
    <xf numFmtId="0" fontId="0" fillId="9" borderId="31" xfId="0" applyFill="1" applyBorder="1" applyAlignment="1" applyProtection="1">
      <alignment horizontal="center" vertical="center" wrapText="1"/>
      <protection hidden="1"/>
    </xf>
    <xf numFmtId="0" fontId="0" fillId="9" borderId="28" xfId="0" applyFill="1" applyBorder="1" applyAlignment="1" applyProtection="1">
      <alignment horizontal="center" vertical="center" wrapText="1"/>
      <protection hidden="1"/>
    </xf>
    <xf numFmtId="164" fontId="0" fillId="72" borderId="22" xfId="0" applyNumberFormat="1" applyFill="1" applyBorder="1" applyAlignment="1" applyProtection="1">
      <alignment horizontal="center" vertical="center" wrapText="1"/>
      <protection hidden="1"/>
    </xf>
    <xf numFmtId="164" fontId="0" fillId="72" borderId="25" xfId="0" applyNumberFormat="1" applyFill="1" applyBorder="1" applyAlignment="1" applyProtection="1">
      <alignment horizontal="center" vertical="center" wrapText="1"/>
      <protection hidden="1"/>
    </xf>
    <xf numFmtId="3" fontId="0" fillId="72" borderId="22" xfId="0" applyNumberFormat="1" applyFill="1" applyBorder="1" applyAlignment="1" applyProtection="1">
      <alignment horizontal="center" vertical="center" wrapText="1"/>
      <protection hidden="1"/>
    </xf>
    <xf numFmtId="3" fontId="0" fillId="72" borderId="25" xfId="0" applyNumberFormat="1" applyFill="1" applyBorder="1" applyAlignment="1" applyProtection="1">
      <alignment horizontal="center" vertical="center" wrapText="1"/>
      <protection hidden="1"/>
    </xf>
    <xf numFmtId="0" fontId="53" fillId="7" borderId="0" xfId="0" applyFont="1" applyFill="1" applyAlignment="1">
      <alignment horizontal="left"/>
    </xf>
    <xf numFmtId="0" fontId="0" fillId="7" borderId="0" xfId="0" applyFill="1" applyAlignment="1">
      <alignment horizontal="left"/>
    </xf>
    <xf numFmtId="0" fontId="0" fillId="7" borderId="21" xfId="0" applyFill="1" applyBorder="1" applyAlignment="1">
      <alignment horizontal="left"/>
    </xf>
    <xf numFmtId="164" fontId="0" fillId="82" borderId="22" xfId="0" applyNumberFormat="1" applyFill="1" applyBorder="1" applyAlignment="1" applyProtection="1">
      <alignment horizontal="center" vertical="center" wrapText="1"/>
      <protection locked="0" hidden="1"/>
    </xf>
    <xf numFmtId="164" fontId="0" fillId="82" borderId="25" xfId="0" applyNumberFormat="1" applyFill="1" applyBorder="1" applyAlignment="1" applyProtection="1">
      <alignment horizontal="center" vertical="center" wrapText="1"/>
      <protection locked="0" hidden="1"/>
    </xf>
    <xf numFmtId="3" fontId="0" fillId="72" borderId="22" xfId="0" applyNumberFormat="1" applyFill="1" applyBorder="1" applyAlignment="1" applyProtection="1">
      <alignment horizontal="center" vertical="center"/>
      <protection hidden="1"/>
    </xf>
    <xf numFmtId="3" fontId="0" fillId="72" borderId="25" xfId="0" applyNumberFormat="1" applyFill="1" applyBorder="1" applyAlignment="1" applyProtection="1">
      <alignment horizontal="center" vertical="center"/>
      <protection hidden="1"/>
    </xf>
    <xf numFmtId="0" fontId="0" fillId="8" borderId="0" xfId="0" applyFill="1" applyAlignment="1">
      <alignment horizontal="left" wrapText="1"/>
    </xf>
    <xf numFmtId="0" fontId="0" fillId="82" borderId="1" xfId="0" applyFill="1" applyBorder="1" applyAlignment="1" applyProtection="1">
      <alignment horizontal="center"/>
      <protection locked="0"/>
    </xf>
    <xf numFmtId="3" fontId="0" fillId="9" borderId="22" xfId="0" applyNumberFormat="1" applyFill="1" applyBorder="1" applyAlignment="1" applyProtection="1">
      <alignment horizontal="center" vertical="center" wrapText="1"/>
      <protection hidden="1"/>
    </xf>
    <xf numFmtId="3" fontId="0" fillId="9" borderId="25" xfId="0" applyNumberFormat="1" applyFill="1" applyBorder="1" applyAlignment="1" applyProtection="1">
      <alignment horizontal="center" vertical="center" wrapText="1"/>
      <protection hidden="1"/>
    </xf>
    <xf numFmtId="0" fontId="0" fillId="9" borderId="22" xfId="0" applyFill="1" applyBorder="1" applyAlignment="1" applyProtection="1">
      <alignment horizontal="center" vertical="center" wrapText="1"/>
      <protection hidden="1"/>
    </xf>
    <xf numFmtId="0" fontId="0" fillId="9" borderId="25" xfId="0" applyFill="1" applyBorder="1" applyAlignment="1" applyProtection="1">
      <alignment horizontal="center" vertical="center" wrapText="1"/>
      <protection hidden="1"/>
    </xf>
    <xf numFmtId="0" fontId="9" fillId="5" borderId="26" xfId="0" applyFont="1" applyFill="1" applyBorder="1" applyAlignment="1">
      <alignment horizontal="left"/>
    </xf>
    <xf numFmtId="0" fontId="9" fillId="5" borderId="0" xfId="0" applyFont="1" applyFill="1" applyAlignment="1">
      <alignment horizontal="left"/>
    </xf>
    <xf numFmtId="0" fontId="0" fillId="5" borderId="26" xfId="0" applyFill="1" applyBorder="1" applyAlignment="1">
      <alignment horizontal="left"/>
    </xf>
    <xf numFmtId="0" fontId="0" fillId="5" borderId="21" xfId="0" applyFill="1" applyBorder="1" applyAlignment="1">
      <alignment horizontal="left"/>
    </xf>
    <xf numFmtId="164" fontId="0" fillId="82" borderId="22" xfId="1" applyNumberFormat="1" applyFont="1" applyFill="1" applyBorder="1" applyAlignment="1" applyProtection="1">
      <alignment horizontal="center" vertical="center"/>
      <protection locked="0" hidden="1"/>
    </xf>
    <xf numFmtId="164" fontId="0" fillId="82" borderId="25" xfId="1" applyNumberFormat="1" applyFont="1" applyFill="1" applyBorder="1" applyAlignment="1" applyProtection="1">
      <alignment horizontal="center" vertical="center"/>
      <protection locked="0" hidden="1"/>
    </xf>
    <xf numFmtId="0" fontId="0" fillId="7" borderId="29" xfId="0" applyFill="1" applyBorder="1" applyAlignment="1">
      <alignment horizontal="center"/>
    </xf>
    <xf numFmtId="0" fontId="0" fillId="7" borderId="30" xfId="0" applyFill="1" applyBorder="1" applyAlignment="1">
      <alignment horizontal="center"/>
    </xf>
    <xf numFmtId="0" fontId="9" fillId="5" borderId="0" xfId="0" applyFont="1" applyFill="1" applyAlignment="1">
      <alignment horizontal="left" wrapText="1"/>
    </xf>
    <xf numFmtId="0" fontId="0" fillId="5" borderId="0" xfId="0" applyFill="1" applyAlignment="1">
      <alignment horizontal="left"/>
    </xf>
    <xf numFmtId="0" fontId="4" fillId="0" borderId="0" xfId="0" applyFont="1" applyAlignment="1">
      <alignment horizontal="left" vertical="center"/>
    </xf>
    <xf numFmtId="0" fontId="4" fillId="0" borderId="0" xfId="0" applyFont="1" applyAlignment="1"/>
    <xf numFmtId="0" fontId="0" fillId="9" borderId="67" xfId="0" applyFill="1" applyBorder="1" applyAlignment="1">
      <alignment horizontal="left"/>
    </xf>
    <xf numFmtId="0" fontId="0" fillId="9" borderId="70" xfId="0" applyFont="1" applyFill="1" applyBorder="1" applyAlignment="1">
      <alignment horizontal="left"/>
    </xf>
    <xf numFmtId="0" fontId="0" fillId="9" borderId="69" xfId="0" applyFont="1" applyFill="1" applyBorder="1" applyAlignment="1">
      <alignment horizontal="left"/>
    </xf>
    <xf numFmtId="0" fontId="0" fillId="9" borderId="70" xfId="0" applyFill="1" applyBorder="1" applyAlignment="1">
      <alignment horizontal="left"/>
    </xf>
    <xf numFmtId="0" fontId="0" fillId="9" borderId="69" xfId="0" applyFill="1" applyBorder="1" applyAlignment="1">
      <alignment horizontal="left"/>
    </xf>
    <xf numFmtId="0" fontId="60" fillId="0" borderId="0" xfId="0" applyFont="1" applyAlignment="1" applyProtection="1">
      <alignment horizontal="left"/>
      <protection hidden="1"/>
    </xf>
    <xf numFmtId="3" fontId="0" fillId="9" borderId="73" xfId="0" applyNumberFormat="1" applyFill="1" applyBorder="1" applyAlignment="1" applyProtection="1">
      <alignment horizontal="center"/>
      <protection hidden="1"/>
    </xf>
    <xf numFmtId="0" fontId="60" fillId="0" borderId="0" xfId="0" applyFont="1"/>
    <xf numFmtId="0" fontId="4" fillId="0" borderId="0" xfId="0" applyFont="1"/>
    <xf numFmtId="0" fontId="0" fillId="0" borderId="76" xfId="0" applyBorder="1" applyProtection="1">
      <protection locked="0"/>
    </xf>
    <xf numFmtId="3" fontId="0" fillId="9" borderId="63" xfId="0" applyNumberFormat="1" applyFill="1" applyBorder="1" applyAlignment="1" applyProtection="1">
      <alignment horizontal="center"/>
      <protection hidden="1"/>
    </xf>
    <xf numFmtId="0" fontId="14" fillId="81" borderId="71" xfId="0" applyFont="1" applyFill="1" applyBorder="1" applyAlignment="1">
      <alignment horizontal="center" vertical="center" wrapText="1"/>
    </xf>
    <xf numFmtId="0" fontId="70" fillId="0" borderId="0" xfId="0" applyFont="1" applyAlignment="1"/>
    <xf numFmtId="0" fontId="14" fillId="0" borderId="90" xfId="0" applyFont="1" applyFill="1" applyBorder="1" applyAlignment="1" applyProtection="1">
      <alignment horizontal="center" vertical="center"/>
      <protection locked="0"/>
    </xf>
    <xf numFmtId="168" fontId="62" fillId="0" borderId="18" xfId="0" applyNumberFormat="1" applyFont="1" applyBorder="1" applyProtection="1">
      <protection hidden="1"/>
    </xf>
    <xf numFmtId="168" fontId="62" fillId="0" borderId="19" xfId="0" applyNumberFormat="1" applyFont="1" applyBorder="1" applyProtection="1">
      <protection hidden="1"/>
    </xf>
    <xf numFmtId="168" fontId="62" fillId="0" borderId="20" xfId="0" applyNumberFormat="1" applyFont="1" applyBorder="1" applyProtection="1">
      <protection hidden="1"/>
    </xf>
    <xf numFmtId="168" fontId="62" fillId="9" borderId="0" xfId="0" applyNumberFormat="1" applyFont="1" applyFill="1" applyProtection="1">
      <protection hidden="1"/>
    </xf>
  </cellXfs>
  <cellStyles count="134">
    <cellStyle name="20% - Accent1" xfId="20" builtinId="30" customBuiltin="1"/>
    <cellStyle name="20% - Accent1 2" xfId="44" xr:uid="{00000000-0005-0000-0000-000001000000}"/>
    <cellStyle name="20% - Accent1 3" xfId="96" xr:uid="{00000000-0005-0000-0000-000002000000}"/>
    <cellStyle name="20% - Accent1 3 2" xfId="122" xr:uid="{00000000-0005-0000-0000-000003000000}"/>
    <cellStyle name="20% - Accent1 4" xfId="108" xr:uid="{00000000-0005-0000-0000-000004000000}"/>
    <cellStyle name="20% - Accent2" xfId="24" builtinId="34" customBuiltin="1"/>
    <cellStyle name="20% - Accent2 2" xfId="45" xr:uid="{00000000-0005-0000-0000-000006000000}"/>
    <cellStyle name="20% - Accent2 3" xfId="97" xr:uid="{00000000-0005-0000-0000-000007000000}"/>
    <cellStyle name="20% - Accent2 3 2" xfId="123" xr:uid="{00000000-0005-0000-0000-000008000000}"/>
    <cellStyle name="20% - Accent2 4" xfId="110" xr:uid="{00000000-0005-0000-0000-000009000000}"/>
    <cellStyle name="20% - Accent3" xfId="28" builtinId="38" customBuiltin="1"/>
    <cellStyle name="20% - Accent3 2" xfId="46" xr:uid="{00000000-0005-0000-0000-00000B000000}"/>
    <cellStyle name="20% - Accent3 3" xfId="98" xr:uid="{00000000-0005-0000-0000-00000C000000}"/>
    <cellStyle name="20% - Accent3 3 2" xfId="124" xr:uid="{00000000-0005-0000-0000-00000D000000}"/>
    <cellStyle name="20% - Accent3 4" xfId="112" xr:uid="{00000000-0005-0000-0000-00000E000000}"/>
    <cellStyle name="20% - Accent4" xfId="32" builtinId="42" customBuiltin="1"/>
    <cellStyle name="20% - Accent4 2" xfId="47" xr:uid="{00000000-0005-0000-0000-000010000000}"/>
    <cellStyle name="20% - Accent4 3" xfId="99" xr:uid="{00000000-0005-0000-0000-000011000000}"/>
    <cellStyle name="20% - Accent4 3 2" xfId="125" xr:uid="{00000000-0005-0000-0000-000012000000}"/>
    <cellStyle name="20% - Accent4 4" xfId="114" xr:uid="{00000000-0005-0000-0000-000013000000}"/>
    <cellStyle name="20% - Accent5" xfId="36" builtinId="46" customBuiltin="1"/>
    <cellStyle name="20% - Accent5 2" xfId="48" xr:uid="{00000000-0005-0000-0000-000015000000}"/>
    <cellStyle name="20% - Accent5 3" xfId="100" xr:uid="{00000000-0005-0000-0000-000016000000}"/>
    <cellStyle name="20% - Accent5 3 2" xfId="126" xr:uid="{00000000-0005-0000-0000-000017000000}"/>
    <cellStyle name="20% - Accent5 4" xfId="116" xr:uid="{00000000-0005-0000-0000-000018000000}"/>
    <cellStyle name="20% - Accent6" xfId="40" builtinId="50" customBuiltin="1"/>
    <cellStyle name="20% - Accent6 2" xfId="49" xr:uid="{00000000-0005-0000-0000-00001A000000}"/>
    <cellStyle name="20% - Accent6 3" xfId="101" xr:uid="{00000000-0005-0000-0000-00001B000000}"/>
    <cellStyle name="20% - Accent6 3 2" xfId="127" xr:uid="{00000000-0005-0000-0000-00001C000000}"/>
    <cellStyle name="20% - Accent6 4" xfId="118" xr:uid="{00000000-0005-0000-0000-00001D000000}"/>
    <cellStyle name="40% - Accent1" xfId="21" builtinId="31" customBuiltin="1"/>
    <cellStyle name="40% - Accent1 2" xfId="50" xr:uid="{00000000-0005-0000-0000-00001F000000}"/>
    <cellStyle name="40% - Accent1 3" xfId="102" xr:uid="{00000000-0005-0000-0000-000020000000}"/>
    <cellStyle name="40% - Accent1 3 2" xfId="128" xr:uid="{00000000-0005-0000-0000-000021000000}"/>
    <cellStyle name="40% - Accent1 4" xfId="109" xr:uid="{00000000-0005-0000-0000-000022000000}"/>
    <cellStyle name="40% - Accent2" xfId="25" builtinId="35" customBuiltin="1"/>
    <cellStyle name="40% - Accent2 2" xfId="51" xr:uid="{00000000-0005-0000-0000-000024000000}"/>
    <cellStyle name="40% - Accent2 3" xfId="103" xr:uid="{00000000-0005-0000-0000-000025000000}"/>
    <cellStyle name="40% - Accent2 3 2" xfId="129" xr:uid="{00000000-0005-0000-0000-000026000000}"/>
    <cellStyle name="40% - Accent2 4" xfId="111" xr:uid="{00000000-0005-0000-0000-000027000000}"/>
    <cellStyle name="40% - Accent3" xfId="29" builtinId="39" customBuiltin="1"/>
    <cellStyle name="40% - Accent3 2" xfId="52" xr:uid="{00000000-0005-0000-0000-000029000000}"/>
    <cellStyle name="40% - Accent3 3" xfId="104" xr:uid="{00000000-0005-0000-0000-00002A000000}"/>
    <cellStyle name="40% - Accent3 3 2" xfId="130" xr:uid="{00000000-0005-0000-0000-00002B000000}"/>
    <cellStyle name="40% - Accent3 4" xfId="113" xr:uid="{00000000-0005-0000-0000-00002C000000}"/>
    <cellStyle name="40% - Accent4" xfId="33" builtinId="43" customBuiltin="1"/>
    <cellStyle name="40% - Accent4 2" xfId="53" xr:uid="{00000000-0005-0000-0000-00002E000000}"/>
    <cellStyle name="40% - Accent4 3" xfId="105" xr:uid="{00000000-0005-0000-0000-00002F000000}"/>
    <cellStyle name="40% - Accent4 3 2" xfId="131" xr:uid="{00000000-0005-0000-0000-000030000000}"/>
    <cellStyle name="40% - Accent4 4" xfId="115" xr:uid="{00000000-0005-0000-0000-000031000000}"/>
    <cellStyle name="40% - Accent5" xfId="37" builtinId="47" customBuiltin="1"/>
    <cellStyle name="40% - Accent5 2" xfId="54" xr:uid="{00000000-0005-0000-0000-000033000000}"/>
    <cellStyle name="40% - Accent5 3" xfId="106" xr:uid="{00000000-0005-0000-0000-000034000000}"/>
    <cellStyle name="40% - Accent5 3 2" xfId="132" xr:uid="{00000000-0005-0000-0000-000035000000}"/>
    <cellStyle name="40% - Accent5 4" xfId="117" xr:uid="{00000000-0005-0000-0000-000036000000}"/>
    <cellStyle name="40% - Accent6" xfId="41" builtinId="51" customBuiltin="1"/>
    <cellStyle name="40% - Accent6 2" xfId="55" xr:uid="{00000000-0005-0000-0000-000038000000}"/>
    <cellStyle name="40% - Accent6 3" xfId="107" xr:uid="{00000000-0005-0000-0000-000039000000}"/>
    <cellStyle name="40% - Accent6 3 2" xfId="133" xr:uid="{00000000-0005-0000-0000-00003A000000}"/>
    <cellStyle name="40% - Accent6 4" xfId="119" xr:uid="{00000000-0005-0000-0000-00003B000000}"/>
    <cellStyle name="60% - Accent1" xfId="22" builtinId="32" customBuiltin="1"/>
    <cellStyle name="60% - Accent1 2" xfId="56" xr:uid="{00000000-0005-0000-0000-00003D000000}"/>
    <cellStyle name="60% - Accent2" xfId="26" builtinId="36" customBuiltin="1"/>
    <cellStyle name="60% - Accent2 2" xfId="57" xr:uid="{00000000-0005-0000-0000-00003F000000}"/>
    <cellStyle name="60% - Accent3" xfId="30" builtinId="40" customBuiltin="1"/>
    <cellStyle name="60% - Accent3 2" xfId="58" xr:uid="{00000000-0005-0000-0000-000041000000}"/>
    <cellStyle name="60% - Accent4" xfId="34" builtinId="44" customBuiltin="1"/>
    <cellStyle name="60% - Accent4 2" xfId="59" xr:uid="{00000000-0005-0000-0000-000043000000}"/>
    <cellStyle name="60% - Accent5" xfId="38" builtinId="48" customBuiltin="1"/>
    <cellStyle name="60% - Accent5 2" xfId="60" xr:uid="{00000000-0005-0000-0000-000045000000}"/>
    <cellStyle name="60% - Accent6" xfId="42" builtinId="52" customBuiltin="1"/>
    <cellStyle name="60% - Accent6 2" xfId="61" xr:uid="{00000000-0005-0000-0000-000047000000}"/>
    <cellStyle name="Accent1" xfId="19" builtinId="29" customBuiltin="1"/>
    <cellStyle name="Accent1 2" xfId="62" xr:uid="{00000000-0005-0000-0000-000049000000}"/>
    <cellStyle name="Accent2" xfId="23" builtinId="33" customBuiltin="1"/>
    <cellStyle name="Accent2 2" xfId="63" xr:uid="{00000000-0005-0000-0000-00004B000000}"/>
    <cellStyle name="Accent3" xfId="27" builtinId="37" customBuiltin="1"/>
    <cellStyle name="Accent3 2" xfId="64" xr:uid="{00000000-0005-0000-0000-00004D000000}"/>
    <cellStyle name="Accent4" xfId="31" builtinId="41" customBuiltin="1"/>
    <cellStyle name="Accent4 2" xfId="65" xr:uid="{00000000-0005-0000-0000-00004F000000}"/>
    <cellStyle name="Accent5" xfId="35" builtinId="45" customBuiltin="1"/>
    <cellStyle name="Accent5 2" xfId="66" xr:uid="{00000000-0005-0000-0000-000051000000}"/>
    <cellStyle name="Accent6" xfId="39" builtinId="49" customBuiltin="1"/>
    <cellStyle name="Accent6 2" xfId="67" xr:uid="{00000000-0005-0000-0000-000053000000}"/>
    <cellStyle name="Bad" xfId="9" builtinId="27" customBuiltin="1"/>
    <cellStyle name="Bad 2" xfId="68" xr:uid="{00000000-0005-0000-0000-000055000000}"/>
    <cellStyle name="Calculation" xfId="13" builtinId="22" customBuiltin="1"/>
    <cellStyle name="Calculation 2" xfId="69" xr:uid="{00000000-0005-0000-0000-000057000000}"/>
    <cellStyle name="Check Cell" xfId="15" builtinId="23" customBuiltin="1"/>
    <cellStyle name="Check Cell 2" xfId="70" xr:uid="{00000000-0005-0000-0000-000059000000}"/>
    <cellStyle name="Comma" xfId="2" builtinId="3"/>
    <cellStyle name="Explanatory Text" xfId="17" builtinId="53" customBuiltin="1"/>
    <cellStyle name="Explanatory Text 2" xfId="71" xr:uid="{00000000-0005-0000-0000-00005C000000}"/>
    <cellStyle name="Good" xfId="8" builtinId="26" customBuiltin="1"/>
    <cellStyle name="Good 2" xfId="72" xr:uid="{00000000-0005-0000-0000-00005E000000}"/>
    <cellStyle name="Heading 1" xfId="4" builtinId="16" customBuiltin="1"/>
    <cellStyle name="Heading 1 2" xfId="73" xr:uid="{00000000-0005-0000-0000-000060000000}"/>
    <cellStyle name="Heading 2" xfId="5" builtinId="17" customBuiltin="1"/>
    <cellStyle name="Heading 2 2" xfId="74" xr:uid="{00000000-0005-0000-0000-000062000000}"/>
    <cellStyle name="Heading 3" xfId="6" builtinId="18" customBuiltin="1"/>
    <cellStyle name="Heading 3 2" xfId="75" xr:uid="{00000000-0005-0000-0000-000064000000}"/>
    <cellStyle name="Heading 4" xfId="7" builtinId="19" customBuiltin="1"/>
    <cellStyle name="Heading 4 2" xfId="76" xr:uid="{00000000-0005-0000-0000-000066000000}"/>
    <cellStyle name="Hyperlink 2" xfId="77" xr:uid="{00000000-0005-0000-0000-000067000000}"/>
    <cellStyle name="Input" xfId="11" builtinId="20" customBuiltin="1"/>
    <cellStyle name="Input 2" xfId="78" xr:uid="{00000000-0005-0000-0000-000069000000}"/>
    <cellStyle name="Linked Cell" xfId="14" builtinId="24" customBuiltin="1"/>
    <cellStyle name="Linked Cell 2" xfId="79" xr:uid="{00000000-0005-0000-0000-00006B000000}"/>
    <cellStyle name="Neutral" xfId="10" builtinId="28" customBuiltin="1"/>
    <cellStyle name="Neutral 2" xfId="80" xr:uid="{00000000-0005-0000-0000-00006D000000}"/>
    <cellStyle name="Normal" xfId="0" builtinId="0"/>
    <cellStyle name="Normal 2" xfId="81" xr:uid="{00000000-0005-0000-0000-00006F000000}"/>
    <cellStyle name="Normal 2 2" xfId="90" xr:uid="{00000000-0005-0000-0000-000070000000}"/>
    <cellStyle name="Normal 2 2 2" xfId="91" xr:uid="{00000000-0005-0000-0000-000071000000}"/>
    <cellStyle name="Normal 3" xfId="82" xr:uid="{00000000-0005-0000-0000-000072000000}"/>
    <cellStyle name="Normal 3 2" xfId="92" xr:uid="{00000000-0005-0000-0000-000073000000}"/>
    <cellStyle name="Normal 3 2 2" xfId="93" xr:uid="{00000000-0005-0000-0000-000074000000}"/>
    <cellStyle name="Normal 3 3" xfId="94" xr:uid="{00000000-0005-0000-0000-000075000000}"/>
    <cellStyle name="Normal 4" xfId="43" xr:uid="{00000000-0005-0000-0000-000076000000}"/>
    <cellStyle name="Normal 4 2" xfId="120" xr:uid="{00000000-0005-0000-0000-000077000000}"/>
    <cellStyle name="Normal 5" xfId="95" xr:uid="{00000000-0005-0000-0000-000078000000}"/>
    <cellStyle name="Normal 5 2" xfId="121" xr:uid="{00000000-0005-0000-0000-000079000000}"/>
    <cellStyle name="Note 2" xfId="84" xr:uid="{00000000-0005-0000-0000-00007A000000}"/>
    <cellStyle name="Note 3" xfId="85" xr:uid="{00000000-0005-0000-0000-00007B000000}"/>
    <cellStyle name="Note 4" xfId="83" xr:uid="{00000000-0005-0000-0000-00007C000000}"/>
    <cellStyle name="Output" xfId="12" builtinId="21" customBuiltin="1"/>
    <cellStyle name="Output 2" xfId="86" xr:uid="{00000000-0005-0000-0000-00007E000000}"/>
    <cellStyle name="Percent" xfId="1" builtinId="5"/>
    <cellStyle name="Title" xfId="3" builtinId="15" customBuiltin="1"/>
    <cellStyle name="Title 2" xfId="87" xr:uid="{00000000-0005-0000-0000-000081000000}"/>
    <cellStyle name="Total" xfId="18" builtinId="25" customBuiltin="1"/>
    <cellStyle name="Total 2" xfId="88" xr:uid="{00000000-0005-0000-0000-000083000000}"/>
    <cellStyle name="Warning Text" xfId="16" builtinId="11" customBuiltin="1"/>
    <cellStyle name="Warning Text 2" xfId="89" xr:uid="{00000000-0005-0000-0000-000085000000}"/>
  </cellStyles>
  <dxfs count="40">
    <dxf>
      <font>
        <color theme="0"/>
      </font>
      <border>
        <left style="thin">
          <color theme="0"/>
        </left>
        <right style="thin">
          <color theme="0"/>
        </right>
        <top style="thin">
          <color theme="0"/>
        </top>
        <bottom style="thin">
          <color theme="0"/>
        </bottom>
        <vertical/>
        <horizontal/>
      </border>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border>
        <left/>
        <right/>
        <top/>
        <bottom/>
        <vertical/>
        <horizontal/>
      </border>
    </dxf>
    <dxf>
      <font>
        <color theme="1"/>
      </font>
    </dxf>
    <dxf>
      <font>
        <color theme="1"/>
      </font>
      <fill>
        <patternFill patternType="none">
          <bgColor auto="1"/>
        </patternFill>
      </fill>
      <border>
        <left style="thin">
          <color auto="1"/>
        </left>
        <right style="thin">
          <color auto="1"/>
        </right>
        <top style="thin">
          <color auto="1"/>
        </top>
        <bottom style="thin">
          <color auto="1"/>
        </bottom>
        <vertical/>
        <horizontal/>
      </border>
    </dxf>
    <dxf>
      <font>
        <color theme="1"/>
      </font>
    </dxf>
    <dxf>
      <fill>
        <patternFill>
          <bgColor theme="0" tint="-0.34998626667073579"/>
        </patternFill>
      </fill>
    </dxf>
    <dxf>
      <fill>
        <patternFill>
          <bgColor theme="0" tint="-0.34998626667073579"/>
        </patternFill>
      </fill>
    </dxf>
    <dxf>
      <font>
        <color theme="1"/>
      </font>
      <border>
        <left style="thin">
          <color auto="1"/>
        </left>
        <right style="thin">
          <color auto="1"/>
        </right>
        <top style="thin">
          <color auto="1"/>
        </top>
        <bottom style="thin">
          <color auto="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tint="0.24994659260841701"/>
      </font>
      <fill>
        <patternFill>
          <bgColor theme="0" tint="-4.9989318521683403E-2"/>
        </patternFill>
      </fill>
    </dxf>
    <dxf>
      <font>
        <color theme="0"/>
      </font>
      <fill>
        <patternFill>
          <bgColor theme="3"/>
        </patternFill>
      </fill>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rgb="FFFF0000"/>
      </font>
      <fill>
        <patternFill>
          <bgColor theme="5" tint="0.79998168889431442"/>
        </patternFill>
      </fill>
    </dxf>
    <dxf>
      <font>
        <color rgb="FFFF0000"/>
      </font>
      <fill>
        <patternFill>
          <bgColor theme="5" tint="0.79998168889431442"/>
        </patternFill>
      </fill>
    </dxf>
    <dxf>
      <font>
        <color rgb="FFFF0000"/>
      </font>
      <fill>
        <patternFill>
          <bgColor theme="5" tint="0.7999816888943144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numFmt numFmtId="19" formatCode="dd/mm/yyyy"/>
    </dxf>
    <dxf>
      <numFmt numFmtId="1" formatCode="0"/>
    </dxf>
    <dxf>
      <border>
        <left style="thin">
          <color theme="1" tint="0.24994659260841701"/>
        </left>
        <right style="thin">
          <color theme="1" tint="0.24994659260841701"/>
        </right>
        <top style="thin">
          <color theme="1" tint="0.24994659260841701"/>
        </top>
        <bottom style="thin">
          <color theme="1" tint="0.24994659260841701"/>
        </bottom>
        <vertical/>
        <horizontal/>
      </border>
    </dxf>
    <dxf>
      <fill>
        <patternFill>
          <bgColor theme="5" tint="0.59996337778862885"/>
        </patternFill>
      </fill>
    </dxf>
    <dxf>
      <font>
        <color theme="0"/>
      </font>
      <fill>
        <patternFill patternType="solid">
          <bgColor theme="0"/>
        </patternFill>
      </fill>
      <border>
        <left/>
        <right/>
        <top/>
        <bottom/>
        <vertical/>
        <horizontal/>
      </border>
    </dxf>
    <dxf>
      <fill>
        <patternFill>
          <bgColor theme="0"/>
        </patternFill>
      </fill>
      <border>
        <left style="thin">
          <color rgb="FF768692"/>
        </left>
        <right style="thin">
          <color rgb="FF768692"/>
        </right>
        <top style="thin">
          <color rgb="FF768692"/>
        </top>
        <bottom style="thin">
          <color rgb="FF768692"/>
        </bottom>
        <vertical/>
        <horizontal/>
      </border>
    </dxf>
    <dxf>
      <fill>
        <patternFill>
          <bgColor theme="0"/>
        </patternFill>
      </fill>
      <border>
        <left style="thin">
          <color rgb="FF768692"/>
        </left>
        <right style="thin">
          <color rgb="FF768692"/>
        </right>
        <top style="thin">
          <color rgb="FF768692"/>
        </top>
        <bottom style="thin">
          <color rgb="FF768692"/>
        </bottom>
        <vertical/>
        <horizontal/>
      </border>
    </dxf>
    <dxf>
      <border>
        <left style="thin">
          <color rgb="FF425563"/>
        </left>
        <right style="thin">
          <color rgb="FF425563"/>
        </right>
        <top style="thin">
          <color rgb="FF425563"/>
        </top>
        <bottom style="thin">
          <color rgb="FF425563"/>
        </bottom>
        <vertical/>
        <horizontal/>
      </border>
    </dxf>
    <dxf>
      <fill>
        <patternFill>
          <fgColor rgb="FFE8EDEE"/>
          <bgColor theme="4" tint="0.79998168889431442"/>
        </patternFill>
      </fill>
      <border>
        <left style="thin">
          <color rgb="FF768692"/>
        </left>
        <right style="thin">
          <color rgb="FF768692"/>
        </right>
        <top style="thin">
          <color rgb="FF768692"/>
        </top>
        <bottom style="thin">
          <color rgb="FF768692"/>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s>
  <tableStyles count="0" defaultTableStyle="TableStyleMedium2" defaultPivotStyle="PivotStyleLight16"/>
  <colors>
    <mruColors>
      <color rgb="FFFF00FF"/>
      <color rgb="FFF79646"/>
      <color rgb="FF8064A2"/>
      <color rgb="FF9BBB59"/>
      <color rgb="FFC0504D"/>
      <color rgb="FF768692"/>
      <color rgb="FFE8EDEE"/>
      <color rgb="FFCCCCFF"/>
      <color rgb="FF0072CE"/>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1.xml"/><Relationship Id="rId35" Type="http://schemas.microsoft.com/office/2006/relationships/vbaProject" Target="vbaProject.bin"/></Relationships>
</file>

<file path=xl/charts/_rels/chart8.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 background (hide)'!$B$2</c:f>
          <c:strCache>
            <c:ptCount val="1"/>
            <c:pt idx="0">
              <c:v>Demand - SPC Chart (Minutes)</c:v>
            </c:pt>
          </c:strCache>
        </c:strRef>
      </c:tx>
      <c:overlay val="0"/>
      <c:txPr>
        <a:bodyPr/>
        <a:lstStyle/>
        <a:p>
          <a:pPr>
            <a:defRPr/>
          </a:pPr>
          <a:endParaRPr lang="en-US"/>
        </a:p>
      </c:txPr>
    </c:title>
    <c:autoTitleDeleted val="0"/>
    <c:plotArea>
      <c:layout>
        <c:manualLayout>
          <c:layoutTarget val="inner"/>
          <c:xMode val="edge"/>
          <c:yMode val="edge"/>
          <c:x val="5.071227212601398E-2"/>
          <c:y val="0.17399575410603801"/>
          <c:w val="0.93125095864718332"/>
          <c:h val="0.71717040472649085"/>
        </c:manualLayout>
      </c:layout>
      <c:barChart>
        <c:barDir val="col"/>
        <c:grouping val="clustered"/>
        <c:varyColors val="0"/>
        <c:ser>
          <c:idx val="1"/>
          <c:order val="2"/>
          <c:tx>
            <c:v>S1</c:v>
          </c:tx>
          <c:spPr>
            <a:solidFill>
              <a:schemeClr val="accent1">
                <a:alpha val="20000"/>
              </a:schemeClr>
            </a:solidFill>
          </c:spPr>
          <c:invertIfNegative val="0"/>
          <c:val>
            <c:numRef>
              <c:f>[0]!ChartRange_S1</c:f>
              <c:numCache>
                <c:formatCode>General</c:formatCode>
                <c:ptCount val="15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numCache>
            </c:numRef>
          </c:val>
          <c:extLst>
            <c:ext xmlns:c16="http://schemas.microsoft.com/office/drawing/2014/chart" uri="{C3380CC4-5D6E-409C-BE32-E72D297353CC}">
              <c16:uniqueId val="{00000000-64CF-4352-BC93-76825160D072}"/>
            </c:ext>
          </c:extLst>
        </c:ser>
        <c:ser>
          <c:idx val="2"/>
          <c:order val="3"/>
          <c:tx>
            <c:v>S2</c:v>
          </c:tx>
          <c:spPr>
            <a:solidFill>
              <a:schemeClr val="accent3">
                <a:alpha val="25000"/>
              </a:schemeClr>
            </a:solidFill>
          </c:spPr>
          <c:invertIfNegative val="0"/>
          <c:val>
            <c:numRef>
              <c:f>[0]!ChartRange_S2</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extLst>
            <c:ext xmlns:c16="http://schemas.microsoft.com/office/drawing/2014/chart" uri="{C3380CC4-5D6E-409C-BE32-E72D297353CC}">
              <c16:uniqueId val="{00000001-64CF-4352-BC93-76825160D072}"/>
            </c:ext>
          </c:extLst>
        </c:ser>
        <c:ser>
          <c:idx val="3"/>
          <c:order val="4"/>
          <c:tx>
            <c:v>S3</c:v>
          </c:tx>
          <c:spPr>
            <a:solidFill>
              <a:schemeClr val="accent4">
                <a:alpha val="25000"/>
              </a:schemeClr>
            </a:solidFill>
          </c:spPr>
          <c:invertIfNegative val="0"/>
          <c:val>
            <c:numRef>
              <c:f>[0]!ChartRange_S3</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extLst>
            <c:ext xmlns:c16="http://schemas.microsoft.com/office/drawing/2014/chart" uri="{C3380CC4-5D6E-409C-BE32-E72D297353CC}">
              <c16:uniqueId val="{00000002-64CF-4352-BC93-76825160D072}"/>
            </c:ext>
          </c:extLst>
        </c:ser>
        <c:ser>
          <c:idx val="4"/>
          <c:order val="5"/>
          <c:tx>
            <c:v>S4</c:v>
          </c:tx>
          <c:spPr>
            <a:solidFill>
              <a:schemeClr val="accent6">
                <a:alpha val="25000"/>
              </a:schemeClr>
            </a:solidFill>
          </c:spPr>
          <c:invertIfNegative val="0"/>
          <c:val>
            <c:numRef>
              <c:f>[0]!ChartRange_S4</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extLst>
            <c:ext xmlns:c16="http://schemas.microsoft.com/office/drawing/2014/chart" uri="{C3380CC4-5D6E-409C-BE32-E72D297353CC}">
              <c16:uniqueId val="{00000003-64CF-4352-BC93-76825160D072}"/>
            </c:ext>
          </c:extLst>
        </c:ser>
        <c:dLbls>
          <c:showLegendKey val="0"/>
          <c:showVal val="0"/>
          <c:showCatName val="0"/>
          <c:showSerName val="0"/>
          <c:showPercent val="0"/>
          <c:showBubbleSize val="0"/>
        </c:dLbls>
        <c:gapWidth val="0"/>
        <c:overlap val="100"/>
        <c:axId val="340799488"/>
        <c:axId val="340793600"/>
      </c:barChart>
      <c:lineChart>
        <c:grouping val="standard"/>
        <c:varyColors val="0"/>
        <c:ser>
          <c:idx val="0"/>
          <c:order val="0"/>
          <c:tx>
            <c:v>Elective demand</c:v>
          </c:tx>
          <c:spPr>
            <a:ln w="19050"/>
          </c:spPr>
          <c:marker>
            <c:symbol val="none"/>
          </c:marker>
          <c:cat>
            <c:multiLvlStrRef>
              <c:f>[0]!Range_DateAxis</c:f>
              <c:multiLvlStrCache>
                <c:ptCount val="151"/>
                <c:lvl>
                  <c:pt idx="0">
                    <c:v>Apr</c:v>
                  </c:pt>
                  <c:pt idx="5">
                    <c:v>May</c:v>
                  </c:pt>
                  <c:pt idx="9">
                    <c:v>Jun</c:v>
                  </c:pt>
                  <c:pt idx="13">
                    <c:v>Jul</c:v>
                  </c:pt>
                  <c:pt idx="18">
                    <c:v>Aug</c:v>
                  </c:pt>
                  <c:pt idx="22">
                    <c:v>Sep</c:v>
                  </c:pt>
                  <c:pt idx="27">
                    <c:v>Oct</c:v>
                  </c:pt>
                  <c:pt idx="31">
                    <c:v>Nov</c:v>
                  </c:pt>
                  <c:pt idx="35">
                    <c:v>Dec</c:v>
                  </c:pt>
                  <c:pt idx="40">
                    <c:v>Jan</c:v>
                  </c:pt>
                  <c:pt idx="44">
                    <c:v>Feb</c:v>
                  </c:pt>
                  <c:pt idx="48">
                    <c:v>Mar</c:v>
                  </c:pt>
                  <c:pt idx="53">
                    <c:v>Apr</c:v>
                  </c:pt>
                  <c:pt idx="57">
                    <c:v>May</c:v>
                  </c:pt>
                  <c:pt idx="61">
                    <c:v>Jun</c:v>
                  </c:pt>
                  <c:pt idx="66">
                    <c:v>Jul</c:v>
                  </c:pt>
                  <c:pt idx="70">
                    <c:v>Aug</c:v>
                  </c:pt>
                  <c:pt idx="74">
                    <c:v>Sep</c:v>
                  </c:pt>
                  <c:pt idx="79">
                    <c:v>Oct</c:v>
                  </c:pt>
                  <c:pt idx="83">
                    <c:v>Nov</c:v>
                  </c:pt>
                  <c:pt idx="87">
                    <c:v>Dec</c:v>
                  </c:pt>
                  <c:pt idx="92">
                    <c:v>Jan</c:v>
                  </c:pt>
                  <c:pt idx="96">
                    <c:v>Feb</c:v>
                  </c:pt>
                  <c:pt idx="100">
                    <c:v>Mar</c:v>
                  </c:pt>
                  <c:pt idx="105">
                    <c:v>Apr</c:v>
                  </c:pt>
                  <c:pt idx="109">
                    <c:v>May</c:v>
                  </c:pt>
                  <c:pt idx="113">
                    <c:v>Jun</c:v>
                  </c:pt>
                  <c:pt idx="118">
                    <c:v>Jul</c:v>
                  </c:pt>
                  <c:pt idx="122">
                    <c:v>Aug</c:v>
                  </c:pt>
                  <c:pt idx="127">
                    <c:v>Sep</c:v>
                  </c:pt>
                  <c:pt idx="131">
                    <c:v>Oct</c:v>
                  </c:pt>
                  <c:pt idx="135">
                    <c:v>Nov</c:v>
                  </c:pt>
                  <c:pt idx="140">
                    <c:v>Dec</c:v>
                  </c:pt>
                  <c:pt idx="144">
                    <c:v>Jan</c:v>
                  </c:pt>
                  <c:pt idx="148">
                    <c:v>Feb</c:v>
                  </c:pt>
                </c:lvl>
                <c:lvl>
                  <c:pt idx="0">
                    <c:v>2016</c:v>
                  </c:pt>
                  <c:pt idx="1">
                    <c:v> </c:v>
                  </c:pt>
                  <c:pt idx="2">
                    <c:v> </c:v>
                  </c:pt>
                  <c:pt idx="3">
                    <c:v> </c:v>
                  </c:pt>
                  <c:pt idx="4">
                    <c:v> </c:v>
                  </c:pt>
                  <c:pt idx="5">
                    <c:v> </c:v>
                  </c:pt>
                  <c:pt idx="6">
                    <c:v> </c:v>
                  </c:pt>
                  <c:pt idx="7">
                    <c:v> </c:v>
                  </c:pt>
                  <c:pt idx="8">
                    <c:v> </c:v>
                  </c:pt>
                  <c:pt idx="9">
                    <c:v> </c:v>
                  </c:pt>
                  <c:pt idx="10">
                    <c:v> </c:v>
                  </c:pt>
                  <c:pt idx="11">
                    <c:v> </c:v>
                  </c:pt>
                  <c:pt idx="12">
                    <c:v> </c:v>
                  </c:pt>
                  <c:pt idx="13">
                    <c:v> </c:v>
                  </c:pt>
                  <c:pt idx="14">
                    <c:v> </c:v>
                  </c:pt>
                  <c:pt idx="15">
                    <c:v> </c:v>
                  </c:pt>
                  <c:pt idx="16">
                    <c:v> </c:v>
                  </c:pt>
                  <c:pt idx="17">
                    <c:v> </c:v>
                  </c:pt>
                  <c:pt idx="18">
                    <c:v> </c:v>
                  </c:pt>
                  <c:pt idx="19">
                    <c:v> </c:v>
                  </c:pt>
                  <c:pt idx="20">
                    <c:v> </c:v>
                  </c:pt>
                  <c:pt idx="21">
                    <c:v> </c:v>
                  </c:pt>
                  <c:pt idx="22">
                    <c:v> </c:v>
                  </c:pt>
                  <c:pt idx="23">
                    <c:v> </c:v>
                  </c:pt>
                  <c:pt idx="24">
                    <c:v> </c:v>
                  </c:pt>
                  <c:pt idx="25">
                    <c:v> </c:v>
                  </c:pt>
                  <c:pt idx="26">
                    <c:v> </c:v>
                  </c:pt>
                  <c:pt idx="27">
                    <c:v> </c:v>
                  </c:pt>
                  <c:pt idx="28">
                    <c:v> </c:v>
                  </c:pt>
                  <c:pt idx="29">
                    <c:v> </c:v>
                  </c:pt>
                  <c:pt idx="30">
                    <c:v> </c:v>
                  </c:pt>
                  <c:pt idx="31">
                    <c:v> </c:v>
                  </c:pt>
                  <c:pt idx="32">
                    <c:v> </c:v>
                  </c:pt>
                  <c:pt idx="33">
                    <c:v> </c:v>
                  </c:pt>
                  <c:pt idx="34">
                    <c:v> </c:v>
                  </c:pt>
                  <c:pt idx="35">
                    <c:v> </c:v>
                  </c:pt>
                  <c:pt idx="36">
                    <c:v> </c:v>
                  </c:pt>
                  <c:pt idx="37">
                    <c:v> </c:v>
                  </c:pt>
                  <c:pt idx="38">
                    <c:v> </c:v>
                  </c:pt>
                  <c:pt idx="39">
                    <c:v> </c:v>
                  </c:pt>
                  <c:pt idx="40">
                    <c:v>2017</c:v>
                  </c:pt>
                  <c:pt idx="41">
                    <c:v> </c:v>
                  </c:pt>
                  <c:pt idx="42">
                    <c:v> </c:v>
                  </c:pt>
                  <c:pt idx="43">
                    <c:v> </c:v>
                  </c:pt>
                  <c:pt idx="44">
                    <c:v> </c:v>
                  </c:pt>
                  <c:pt idx="45">
                    <c:v> </c:v>
                  </c:pt>
                  <c:pt idx="46">
                    <c:v> </c:v>
                  </c:pt>
                  <c:pt idx="47">
                    <c:v> </c:v>
                  </c:pt>
                  <c:pt idx="48">
                    <c:v> </c:v>
                  </c:pt>
                  <c:pt idx="49">
                    <c:v> </c:v>
                  </c:pt>
                  <c:pt idx="50">
                    <c:v> </c:v>
                  </c:pt>
                  <c:pt idx="51">
                    <c:v> </c:v>
                  </c:pt>
                  <c:pt idx="52">
                    <c:v> </c:v>
                  </c:pt>
                  <c:pt idx="53">
                    <c:v> </c:v>
                  </c:pt>
                  <c:pt idx="54">
                    <c:v> </c:v>
                  </c:pt>
                  <c:pt idx="55">
                    <c:v> </c:v>
                  </c:pt>
                  <c:pt idx="56">
                    <c:v> </c:v>
                  </c:pt>
                  <c:pt idx="57">
                    <c:v> </c:v>
                  </c:pt>
                  <c:pt idx="58">
                    <c:v> </c:v>
                  </c:pt>
                  <c:pt idx="59">
                    <c:v> </c:v>
                  </c:pt>
                  <c:pt idx="60">
                    <c:v> </c:v>
                  </c:pt>
                  <c:pt idx="61">
                    <c:v> </c:v>
                  </c:pt>
                  <c:pt idx="62">
                    <c:v> </c:v>
                  </c:pt>
                  <c:pt idx="63">
                    <c:v> </c:v>
                  </c:pt>
                  <c:pt idx="64">
                    <c:v> </c:v>
                  </c:pt>
                  <c:pt idx="65">
                    <c:v> </c:v>
                  </c:pt>
                  <c:pt idx="66">
                    <c:v> </c:v>
                  </c:pt>
                  <c:pt idx="67">
                    <c:v> </c:v>
                  </c:pt>
                  <c:pt idx="68">
                    <c:v> </c:v>
                  </c:pt>
                  <c:pt idx="69">
                    <c:v> </c:v>
                  </c:pt>
                  <c:pt idx="70">
                    <c:v> </c:v>
                  </c:pt>
                  <c:pt idx="71">
                    <c:v> </c:v>
                  </c:pt>
                  <c:pt idx="72">
                    <c:v> </c:v>
                  </c:pt>
                  <c:pt idx="73">
                    <c:v> </c:v>
                  </c:pt>
                  <c:pt idx="74">
                    <c:v> </c:v>
                  </c:pt>
                  <c:pt idx="75">
                    <c:v> </c:v>
                  </c:pt>
                  <c:pt idx="76">
                    <c:v> </c:v>
                  </c:pt>
                  <c:pt idx="77">
                    <c:v> </c:v>
                  </c:pt>
                  <c:pt idx="78">
                    <c:v> </c:v>
                  </c:pt>
                  <c:pt idx="79">
                    <c:v> </c:v>
                  </c:pt>
                  <c:pt idx="80">
                    <c:v> </c:v>
                  </c:pt>
                  <c:pt idx="81">
                    <c:v> </c:v>
                  </c:pt>
                  <c:pt idx="82">
                    <c:v> </c:v>
                  </c:pt>
                  <c:pt idx="83">
                    <c:v> </c:v>
                  </c:pt>
                  <c:pt idx="84">
                    <c:v> </c:v>
                  </c:pt>
                  <c:pt idx="85">
                    <c:v> </c:v>
                  </c:pt>
                  <c:pt idx="86">
                    <c:v> </c:v>
                  </c:pt>
                  <c:pt idx="87">
                    <c:v> </c:v>
                  </c:pt>
                  <c:pt idx="88">
                    <c:v> </c:v>
                  </c:pt>
                  <c:pt idx="89">
                    <c:v> </c:v>
                  </c:pt>
                  <c:pt idx="90">
                    <c:v> </c:v>
                  </c:pt>
                  <c:pt idx="91">
                    <c:v> </c:v>
                  </c:pt>
                  <c:pt idx="92">
                    <c:v>2018</c:v>
                  </c:pt>
                  <c:pt idx="93">
                    <c:v> </c:v>
                  </c:pt>
                  <c:pt idx="94">
                    <c:v> </c:v>
                  </c:pt>
                  <c:pt idx="95">
                    <c:v> </c:v>
                  </c:pt>
                  <c:pt idx="96">
                    <c:v> </c:v>
                  </c:pt>
                  <c:pt idx="97">
                    <c:v> </c:v>
                  </c:pt>
                  <c:pt idx="98">
                    <c:v> </c:v>
                  </c:pt>
                  <c:pt idx="99">
                    <c:v> </c:v>
                  </c:pt>
                  <c:pt idx="100">
                    <c:v> </c:v>
                  </c:pt>
                  <c:pt idx="101">
                    <c:v> </c:v>
                  </c:pt>
                  <c:pt idx="102">
                    <c:v> </c:v>
                  </c:pt>
                  <c:pt idx="103">
                    <c:v> </c:v>
                  </c:pt>
                  <c:pt idx="104">
                    <c:v> </c:v>
                  </c:pt>
                  <c:pt idx="105">
                    <c:v> </c:v>
                  </c:pt>
                  <c:pt idx="106">
                    <c:v> </c:v>
                  </c:pt>
                  <c:pt idx="107">
                    <c:v> </c:v>
                  </c:pt>
                  <c:pt idx="108">
                    <c:v> </c:v>
                  </c:pt>
                  <c:pt idx="109">
                    <c:v> </c:v>
                  </c:pt>
                  <c:pt idx="110">
                    <c:v> </c:v>
                  </c:pt>
                  <c:pt idx="111">
                    <c:v> </c:v>
                  </c:pt>
                  <c:pt idx="112">
                    <c:v> </c:v>
                  </c:pt>
                  <c:pt idx="113">
                    <c:v> </c:v>
                  </c:pt>
                  <c:pt idx="114">
                    <c:v> </c:v>
                  </c:pt>
                  <c:pt idx="115">
                    <c:v> </c:v>
                  </c:pt>
                  <c:pt idx="116">
                    <c:v> </c:v>
                  </c:pt>
                  <c:pt idx="117">
                    <c:v> </c:v>
                  </c:pt>
                  <c:pt idx="118">
                    <c:v> </c:v>
                  </c:pt>
                  <c:pt idx="119">
                    <c:v> </c:v>
                  </c:pt>
                  <c:pt idx="120">
                    <c:v> </c:v>
                  </c:pt>
                  <c:pt idx="121">
                    <c:v> </c:v>
                  </c:pt>
                  <c:pt idx="122">
                    <c:v> </c:v>
                  </c:pt>
                  <c:pt idx="123">
                    <c:v> </c:v>
                  </c:pt>
                  <c:pt idx="124">
                    <c:v> </c:v>
                  </c:pt>
                  <c:pt idx="125">
                    <c:v> </c:v>
                  </c:pt>
                  <c:pt idx="126">
                    <c:v> </c:v>
                  </c:pt>
                  <c:pt idx="127">
                    <c:v> </c:v>
                  </c:pt>
                  <c:pt idx="128">
                    <c:v> </c:v>
                  </c:pt>
                  <c:pt idx="129">
                    <c:v> </c:v>
                  </c:pt>
                  <c:pt idx="130">
                    <c:v> </c:v>
                  </c:pt>
                  <c:pt idx="131">
                    <c:v> </c:v>
                  </c:pt>
                  <c:pt idx="132">
                    <c:v> </c:v>
                  </c:pt>
                  <c:pt idx="133">
                    <c:v> </c:v>
                  </c:pt>
                  <c:pt idx="134">
                    <c:v> </c:v>
                  </c:pt>
                  <c:pt idx="135">
                    <c:v> </c:v>
                  </c:pt>
                  <c:pt idx="136">
                    <c:v> </c:v>
                  </c:pt>
                  <c:pt idx="137">
                    <c:v> </c:v>
                  </c:pt>
                  <c:pt idx="138">
                    <c:v> </c:v>
                  </c:pt>
                  <c:pt idx="139">
                    <c:v> </c:v>
                  </c:pt>
                  <c:pt idx="140">
                    <c:v> </c:v>
                  </c:pt>
                  <c:pt idx="141">
                    <c:v> </c:v>
                  </c:pt>
                  <c:pt idx="142">
                    <c:v> </c:v>
                  </c:pt>
                  <c:pt idx="143">
                    <c:v> </c:v>
                  </c:pt>
                  <c:pt idx="144">
                    <c:v>2019</c:v>
                  </c:pt>
                  <c:pt idx="145">
                    <c:v> </c:v>
                  </c:pt>
                  <c:pt idx="146">
                    <c:v> </c:v>
                  </c:pt>
                  <c:pt idx="147">
                    <c:v> </c:v>
                  </c:pt>
                  <c:pt idx="148">
                    <c:v> </c:v>
                  </c:pt>
                  <c:pt idx="149">
                    <c:v> </c:v>
                  </c:pt>
                  <c:pt idx="150">
                    <c:v> </c:v>
                  </c:pt>
                </c:lvl>
              </c:multiLvlStrCache>
            </c:multiLvlStrRef>
          </c:cat>
          <c:val>
            <c:numRef>
              <c:f>[0]!ChartRange_Data</c:f>
              <c:numCache>
                <c:formatCode>#,##0</c:formatCode>
                <c:ptCount val="151"/>
                <c:pt idx="0">
                  <c:v>390</c:v>
                </c:pt>
                <c:pt idx="1">
                  <c:v>610</c:v>
                </c:pt>
                <c:pt idx="2">
                  <c:v>380</c:v>
                </c:pt>
                <c:pt idx="3">
                  <c:v>750</c:v>
                </c:pt>
                <c:pt idx="4">
                  <c:v>490</c:v>
                </c:pt>
                <c:pt idx="5">
                  <c:v>400</c:v>
                </c:pt>
                <c:pt idx="6">
                  <c:v>590</c:v>
                </c:pt>
                <c:pt idx="7">
                  <c:v>450</c:v>
                </c:pt>
                <c:pt idx="8">
                  <c:v>260</c:v>
                </c:pt>
                <c:pt idx="9">
                  <c:v>600</c:v>
                </c:pt>
                <c:pt idx="10">
                  <c:v>680</c:v>
                </c:pt>
                <c:pt idx="11">
                  <c:v>350</c:v>
                </c:pt>
                <c:pt idx="12">
                  <c:v>400</c:v>
                </c:pt>
                <c:pt idx="13">
                  <c:v>670</c:v>
                </c:pt>
                <c:pt idx="14">
                  <c:v>530</c:v>
                </c:pt>
                <c:pt idx="15">
                  <c:v>510</c:v>
                </c:pt>
                <c:pt idx="16">
                  <c:v>600</c:v>
                </c:pt>
                <c:pt idx="17">
                  <c:v>520</c:v>
                </c:pt>
                <c:pt idx="18">
                  <c:v>600</c:v>
                </c:pt>
                <c:pt idx="19">
                  <c:v>710</c:v>
                </c:pt>
                <c:pt idx="20">
                  <c:v>670</c:v>
                </c:pt>
                <c:pt idx="21">
                  <c:v>600</c:v>
                </c:pt>
                <c:pt idx="22">
                  <c:v>660</c:v>
                </c:pt>
                <c:pt idx="23">
                  <c:v>420</c:v>
                </c:pt>
                <c:pt idx="24">
                  <c:v>730</c:v>
                </c:pt>
                <c:pt idx="25">
                  <c:v>670</c:v>
                </c:pt>
                <c:pt idx="26">
                  <c:v>580</c:v>
                </c:pt>
                <c:pt idx="27">
                  <c:v>290</c:v>
                </c:pt>
                <c:pt idx="28">
                  <c:v>530</c:v>
                </c:pt>
                <c:pt idx="29">
                  <c:v>320</c:v>
                </c:pt>
                <c:pt idx="30">
                  <c:v>730</c:v>
                </c:pt>
                <c:pt idx="31">
                  <c:v>580</c:v>
                </c:pt>
                <c:pt idx="32">
                  <c:v>450</c:v>
                </c:pt>
                <c:pt idx="33">
                  <c:v>460</c:v>
                </c:pt>
                <c:pt idx="34">
                  <c:v>700</c:v>
                </c:pt>
                <c:pt idx="35">
                  <c:v>570</c:v>
                </c:pt>
                <c:pt idx="36">
                  <c:v>600</c:v>
                </c:pt>
                <c:pt idx="37">
                  <c:v>510</c:v>
                </c:pt>
                <c:pt idx="38">
                  <c:v>300</c:v>
                </c:pt>
                <c:pt idx="39">
                  <c:v>770</c:v>
                </c:pt>
                <c:pt idx="40">
                  <c:v>510</c:v>
                </c:pt>
                <c:pt idx="41">
                  <c:v>440</c:v>
                </c:pt>
                <c:pt idx="42">
                  <c:v>650</c:v>
                </c:pt>
                <c:pt idx="43">
                  <c:v>620</c:v>
                </c:pt>
                <c:pt idx="44">
                  <c:v>320</c:v>
                </c:pt>
                <c:pt idx="45">
                  <c:v>450</c:v>
                </c:pt>
                <c:pt idx="46">
                  <c:v>480</c:v>
                </c:pt>
                <c:pt idx="47">
                  <c:v>790</c:v>
                </c:pt>
                <c:pt idx="48">
                  <c:v>330</c:v>
                </c:pt>
                <c:pt idx="49">
                  <c:v>590</c:v>
                </c:pt>
                <c:pt idx="50">
                  <c:v>420</c:v>
                </c:pt>
                <c:pt idx="51">
                  <c:v>780</c:v>
                </c:pt>
                <c:pt idx="52">
                  <c:v>370</c:v>
                </c:pt>
                <c:pt idx="53">
                  <c:v>450</c:v>
                </c:pt>
                <c:pt idx="54">
                  <c:v>430</c:v>
                </c:pt>
                <c:pt idx="55">
                  <c:v>620</c:v>
                </c:pt>
                <c:pt idx="56">
                  <c:v>430</c:v>
                </c:pt>
                <c:pt idx="57">
                  <c:v>620</c:v>
                </c:pt>
                <c:pt idx="58">
                  <c:v>270</c:v>
                </c:pt>
                <c:pt idx="59">
                  <c:v>510</c:v>
                </c:pt>
                <c:pt idx="60">
                  <c:v>280</c:v>
                </c:pt>
                <c:pt idx="61">
                  <c:v>720</c:v>
                </c:pt>
                <c:pt idx="62">
                  <c:v>270</c:v>
                </c:pt>
                <c:pt idx="63">
                  <c:v>390</c:v>
                </c:pt>
                <c:pt idx="64">
                  <c:v>500</c:v>
                </c:pt>
                <c:pt idx="65">
                  <c:v>310</c:v>
                </c:pt>
                <c:pt idx="66">
                  <c:v>820</c:v>
                </c:pt>
                <c:pt idx="67">
                  <c:v>640</c:v>
                </c:pt>
                <c:pt idx="68">
                  <c:v>460</c:v>
                </c:pt>
                <c:pt idx="69">
                  <c:v>770</c:v>
                </c:pt>
                <c:pt idx="70">
                  <c:v>430</c:v>
                </c:pt>
                <c:pt idx="71">
                  <c:v>490</c:v>
                </c:pt>
                <c:pt idx="72">
                  <c:v>600</c:v>
                </c:pt>
                <c:pt idx="73">
                  <c:v>590</c:v>
                </c:pt>
                <c:pt idx="74">
                  <c:v>730</c:v>
                </c:pt>
                <c:pt idx="75">
                  <c:v>500</c:v>
                </c:pt>
                <c:pt idx="76">
                  <c:v>700</c:v>
                </c:pt>
                <c:pt idx="77">
                  <c:v>520</c:v>
                </c:pt>
                <c:pt idx="78">
                  <c:v>560</c:v>
                </c:pt>
                <c:pt idx="79">
                  <c:v>490</c:v>
                </c:pt>
                <c:pt idx="80">
                  <c:v>320</c:v>
                </c:pt>
                <c:pt idx="81">
                  <c:v>470</c:v>
                </c:pt>
                <c:pt idx="82">
                  <c:v>540</c:v>
                </c:pt>
                <c:pt idx="83">
                  <c:v>340</c:v>
                </c:pt>
                <c:pt idx="84">
                  <c:v>530</c:v>
                </c:pt>
                <c:pt idx="85">
                  <c:v>580</c:v>
                </c:pt>
                <c:pt idx="86">
                  <c:v>460</c:v>
                </c:pt>
                <c:pt idx="87">
                  <c:v>500</c:v>
                </c:pt>
                <c:pt idx="88">
                  <c:v>510</c:v>
                </c:pt>
                <c:pt idx="89">
                  <c:v>510</c:v>
                </c:pt>
                <c:pt idx="90">
                  <c:v>390</c:v>
                </c:pt>
                <c:pt idx="91">
                  <c:v>440</c:v>
                </c:pt>
                <c:pt idx="92">
                  <c:v>700</c:v>
                </c:pt>
                <c:pt idx="93">
                  <c:v>570</c:v>
                </c:pt>
                <c:pt idx="94">
                  <c:v>520</c:v>
                </c:pt>
                <c:pt idx="95">
                  <c:v>630</c:v>
                </c:pt>
                <c:pt idx="96">
                  <c:v>550</c:v>
                </c:pt>
                <c:pt idx="97">
                  <c:v>350</c:v>
                </c:pt>
                <c:pt idx="98">
                  <c:v>410</c:v>
                </c:pt>
                <c:pt idx="99">
                  <c:v>450</c:v>
                </c:pt>
                <c:pt idx="100">
                  <c:v>270</c:v>
                </c:pt>
                <c:pt idx="101">
                  <c:v>780</c:v>
                </c:pt>
                <c:pt idx="102">
                  <c:v>740</c:v>
                </c:pt>
                <c:pt idx="103">
                  <c:v>510</c:v>
                </c:pt>
                <c:pt idx="104">
                  <c:v>390</c:v>
                </c:pt>
                <c:pt idx="105">
                  <c:v>270</c:v>
                </c:pt>
                <c:pt idx="106">
                  <c:v>570</c:v>
                </c:pt>
                <c:pt idx="107">
                  <c:v>690</c:v>
                </c:pt>
                <c:pt idx="108">
                  <c:v>410</c:v>
                </c:pt>
                <c:pt idx="109">
                  <c:v>400</c:v>
                </c:pt>
                <c:pt idx="110">
                  <c:v>650</c:v>
                </c:pt>
                <c:pt idx="111">
                  <c:v>470</c:v>
                </c:pt>
                <c:pt idx="112">
                  <c:v>410</c:v>
                </c:pt>
                <c:pt idx="113">
                  <c:v>370</c:v>
                </c:pt>
                <c:pt idx="114">
                  <c:v>430</c:v>
                </c:pt>
                <c:pt idx="115">
                  <c:v>630</c:v>
                </c:pt>
                <c:pt idx="116">
                  <c:v>540</c:v>
                </c:pt>
                <c:pt idx="117">
                  <c:v>410</c:v>
                </c:pt>
                <c:pt idx="118">
                  <c:v>460</c:v>
                </c:pt>
                <c:pt idx="119">
                  <c:v>620</c:v>
                </c:pt>
                <c:pt idx="120">
                  <c:v>410</c:v>
                </c:pt>
                <c:pt idx="121">
                  <c:v>420</c:v>
                </c:pt>
                <c:pt idx="122">
                  <c:v>270</c:v>
                </c:pt>
                <c:pt idx="123">
                  <c:v>510</c:v>
                </c:pt>
                <c:pt idx="124">
                  <c:v>710</c:v>
                </c:pt>
                <c:pt idx="125">
                  <c:v>690</c:v>
                </c:pt>
                <c:pt idx="126">
                  <c:v>580</c:v>
                </c:pt>
                <c:pt idx="127">
                  <c:v>410</c:v>
                </c:pt>
                <c:pt idx="128">
                  <c:v>370</c:v>
                </c:pt>
                <c:pt idx="129">
                  <c:v>590</c:v>
                </c:pt>
                <c:pt idx="130">
                  <c:v>570</c:v>
                </c:pt>
                <c:pt idx="131">
                  <c:v>490</c:v>
                </c:pt>
                <c:pt idx="132">
                  <c:v>570</c:v>
                </c:pt>
                <c:pt idx="133">
                  <c:v>330</c:v>
                </c:pt>
                <c:pt idx="134">
                  <c:v>460</c:v>
                </c:pt>
                <c:pt idx="135">
                  <c:v>470</c:v>
                </c:pt>
                <c:pt idx="136">
                  <c:v>490</c:v>
                </c:pt>
                <c:pt idx="137">
                  <c:v>430</c:v>
                </c:pt>
                <c:pt idx="138">
                  <c:v>470</c:v>
                </c:pt>
                <c:pt idx="139">
                  <c:v>720</c:v>
                </c:pt>
                <c:pt idx="140">
                  <c:v>250</c:v>
                </c:pt>
                <c:pt idx="141">
                  <c:v>550</c:v>
                </c:pt>
                <c:pt idx="142">
                  <c:v>690</c:v>
                </c:pt>
                <c:pt idx="143">
                  <c:v>370</c:v>
                </c:pt>
                <c:pt idx="144">
                  <c:v>560</c:v>
                </c:pt>
                <c:pt idx="145">
                  <c:v>270</c:v>
                </c:pt>
                <c:pt idx="146">
                  <c:v>450</c:v>
                </c:pt>
                <c:pt idx="147">
                  <c:v>750</c:v>
                </c:pt>
                <c:pt idx="148">
                  <c:v>390</c:v>
                </c:pt>
                <c:pt idx="149">
                  <c:v>620</c:v>
                </c:pt>
                <c:pt idx="150">
                  <c:v>340</c:v>
                </c:pt>
              </c:numCache>
            </c:numRef>
          </c:val>
          <c:smooth val="0"/>
          <c:extLst>
            <c:ext xmlns:c16="http://schemas.microsoft.com/office/drawing/2014/chart" uri="{C3380CC4-5D6E-409C-BE32-E72D297353CC}">
              <c16:uniqueId val="{00000004-64CF-4352-BC93-76825160D072}"/>
            </c:ext>
          </c:extLst>
        </c:ser>
        <c:ser>
          <c:idx val="15"/>
          <c:order val="1"/>
          <c:tx>
            <c:v>Emergency demand</c:v>
          </c:tx>
          <c:spPr>
            <a:ln w="15875">
              <a:solidFill>
                <a:schemeClr val="tx2"/>
              </a:solidFill>
              <a:prstDash val="dash"/>
            </a:ln>
          </c:spPr>
          <c:marker>
            <c:symbol val="none"/>
          </c:marker>
          <c:val>
            <c:numRef>
              <c:f>[0]!ChartRange_Emergencies</c:f>
            </c:numRef>
          </c:val>
          <c:smooth val="0"/>
          <c:extLst>
            <c:ext xmlns:c16="http://schemas.microsoft.com/office/drawing/2014/chart" uri="{C3380CC4-5D6E-409C-BE32-E72D297353CC}">
              <c16:uniqueId val="{00000005-64CF-4352-BC93-76825160D072}"/>
            </c:ext>
          </c:extLst>
        </c:ser>
        <c:ser>
          <c:idx val="5"/>
          <c:order val="6"/>
          <c:tx>
            <c:v>LCL</c:v>
          </c:tx>
          <c:spPr>
            <a:ln w="12700">
              <a:prstDash val="sysDot"/>
            </a:ln>
          </c:spPr>
          <c:marker>
            <c:symbol val="none"/>
          </c:marker>
          <c:val>
            <c:numRef>
              <c:f>[0]!ChartRange_LCL</c:f>
              <c:numCache>
                <c:formatCode>#,##0</c:formatCode>
                <c:ptCount val="151"/>
                <c:pt idx="0">
                  <c:v>69.979541734860845</c:v>
                </c:pt>
                <c:pt idx="1">
                  <c:v>69.979541734860845</c:v>
                </c:pt>
                <c:pt idx="2">
                  <c:v>69.979541734860845</c:v>
                </c:pt>
                <c:pt idx="3">
                  <c:v>69.979541734860845</c:v>
                </c:pt>
                <c:pt idx="4">
                  <c:v>69.979541734860845</c:v>
                </c:pt>
                <c:pt idx="5">
                  <c:v>69.979541734860845</c:v>
                </c:pt>
                <c:pt idx="6">
                  <c:v>69.979541734860845</c:v>
                </c:pt>
                <c:pt idx="7">
                  <c:v>69.979541734860845</c:v>
                </c:pt>
                <c:pt idx="8">
                  <c:v>69.979541734860845</c:v>
                </c:pt>
                <c:pt idx="9">
                  <c:v>69.979541734860845</c:v>
                </c:pt>
                <c:pt idx="10">
                  <c:v>69.979541734860845</c:v>
                </c:pt>
                <c:pt idx="11">
                  <c:v>69.979541734860845</c:v>
                </c:pt>
                <c:pt idx="12">
                  <c:v>69.979541734860845</c:v>
                </c:pt>
                <c:pt idx="13">
                  <c:v>69.979541734860845</c:v>
                </c:pt>
                <c:pt idx="14">
                  <c:v>69.979541734860845</c:v>
                </c:pt>
                <c:pt idx="15">
                  <c:v>69.979541734860845</c:v>
                </c:pt>
                <c:pt idx="16">
                  <c:v>69.979541734860845</c:v>
                </c:pt>
                <c:pt idx="17">
                  <c:v>69.979541734860845</c:v>
                </c:pt>
                <c:pt idx="18">
                  <c:v>69.979541734860845</c:v>
                </c:pt>
                <c:pt idx="19">
                  <c:v>69.979541734860845</c:v>
                </c:pt>
                <c:pt idx="20">
                  <c:v>69.979541734860845</c:v>
                </c:pt>
                <c:pt idx="21">
                  <c:v>69.979541734860845</c:v>
                </c:pt>
                <c:pt idx="22">
                  <c:v>69.979541734860845</c:v>
                </c:pt>
                <c:pt idx="23">
                  <c:v>69.979541734860845</c:v>
                </c:pt>
                <c:pt idx="24">
                  <c:v>69.979541734860845</c:v>
                </c:pt>
                <c:pt idx="25">
                  <c:v>69.979541734860845</c:v>
                </c:pt>
                <c:pt idx="26">
                  <c:v>69.979541734860845</c:v>
                </c:pt>
                <c:pt idx="27">
                  <c:v>69.979541734860845</c:v>
                </c:pt>
                <c:pt idx="28">
                  <c:v>69.979541734860845</c:v>
                </c:pt>
                <c:pt idx="29">
                  <c:v>69.979541734860845</c:v>
                </c:pt>
                <c:pt idx="30">
                  <c:v>69.979541734860845</c:v>
                </c:pt>
                <c:pt idx="31">
                  <c:v>69.979541734860845</c:v>
                </c:pt>
                <c:pt idx="32">
                  <c:v>69.979541734860845</c:v>
                </c:pt>
                <c:pt idx="33">
                  <c:v>69.979541734860845</c:v>
                </c:pt>
                <c:pt idx="34">
                  <c:v>69.979541734860845</c:v>
                </c:pt>
                <c:pt idx="35">
                  <c:v>69.979541734860845</c:v>
                </c:pt>
                <c:pt idx="36">
                  <c:v>69.979541734860845</c:v>
                </c:pt>
                <c:pt idx="37">
                  <c:v>69.979541734860845</c:v>
                </c:pt>
                <c:pt idx="38">
                  <c:v>69.979541734860845</c:v>
                </c:pt>
                <c:pt idx="39">
                  <c:v>69.979541734860845</c:v>
                </c:pt>
                <c:pt idx="40">
                  <c:v>69.979541734860845</c:v>
                </c:pt>
                <c:pt idx="41">
                  <c:v>69.979541734860845</c:v>
                </c:pt>
                <c:pt idx="42">
                  <c:v>69.979541734860845</c:v>
                </c:pt>
                <c:pt idx="43">
                  <c:v>69.979541734860845</c:v>
                </c:pt>
                <c:pt idx="44">
                  <c:v>69.979541734860845</c:v>
                </c:pt>
                <c:pt idx="45">
                  <c:v>69.979541734860845</c:v>
                </c:pt>
                <c:pt idx="46">
                  <c:v>69.979541734860845</c:v>
                </c:pt>
                <c:pt idx="47">
                  <c:v>69.979541734860845</c:v>
                </c:pt>
                <c:pt idx="48">
                  <c:v>69.979541734860845</c:v>
                </c:pt>
                <c:pt idx="49">
                  <c:v>69.979541734860845</c:v>
                </c:pt>
                <c:pt idx="50">
                  <c:v>69.979541734860845</c:v>
                </c:pt>
                <c:pt idx="51">
                  <c:v>69.979541734860845</c:v>
                </c:pt>
                <c:pt idx="52">
                  <c:v>69.979541734860845</c:v>
                </c:pt>
                <c:pt idx="53">
                  <c:v>69.979541734860845</c:v>
                </c:pt>
                <c:pt idx="54">
                  <c:v>69.979541734860845</c:v>
                </c:pt>
                <c:pt idx="55">
                  <c:v>69.979541734860845</c:v>
                </c:pt>
                <c:pt idx="56">
                  <c:v>69.979541734860845</c:v>
                </c:pt>
                <c:pt idx="57">
                  <c:v>69.979541734860845</c:v>
                </c:pt>
                <c:pt idx="58">
                  <c:v>69.979541734860845</c:v>
                </c:pt>
                <c:pt idx="59">
                  <c:v>69.979541734860845</c:v>
                </c:pt>
                <c:pt idx="60">
                  <c:v>69.979541734860845</c:v>
                </c:pt>
                <c:pt idx="61">
                  <c:v>69.979541734860845</c:v>
                </c:pt>
                <c:pt idx="62">
                  <c:v>69.979541734860845</c:v>
                </c:pt>
                <c:pt idx="63">
                  <c:v>69.979541734860845</c:v>
                </c:pt>
                <c:pt idx="64">
                  <c:v>69.979541734860845</c:v>
                </c:pt>
                <c:pt idx="65">
                  <c:v>69.979541734860845</c:v>
                </c:pt>
                <c:pt idx="66">
                  <c:v>69.979541734860845</c:v>
                </c:pt>
                <c:pt idx="67">
                  <c:v>69.979541734860845</c:v>
                </c:pt>
                <c:pt idx="68">
                  <c:v>69.979541734860845</c:v>
                </c:pt>
                <c:pt idx="69">
                  <c:v>69.979541734860845</c:v>
                </c:pt>
                <c:pt idx="70">
                  <c:v>69.979541734860845</c:v>
                </c:pt>
                <c:pt idx="71">
                  <c:v>69.979541734860845</c:v>
                </c:pt>
                <c:pt idx="72">
                  <c:v>69.979541734860845</c:v>
                </c:pt>
                <c:pt idx="73">
                  <c:v>69.979541734860845</c:v>
                </c:pt>
                <c:pt idx="74">
                  <c:v>69.979541734860845</c:v>
                </c:pt>
                <c:pt idx="75">
                  <c:v>69.979541734860845</c:v>
                </c:pt>
                <c:pt idx="76">
                  <c:v>69.979541734860845</c:v>
                </c:pt>
                <c:pt idx="77">
                  <c:v>69.979541734860845</c:v>
                </c:pt>
                <c:pt idx="78">
                  <c:v>69.979541734860845</c:v>
                </c:pt>
                <c:pt idx="79">
                  <c:v>69.979541734860845</c:v>
                </c:pt>
                <c:pt idx="80">
                  <c:v>69.979541734860845</c:v>
                </c:pt>
                <c:pt idx="81">
                  <c:v>69.979541734860845</c:v>
                </c:pt>
                <c:pt idx="82">
                  <c:v>69.979541734860845</c:v>
                </c:pt>
                <c:pt idx="83">
                  <c:v>69.979541734860845</c:v>
                </c:pt>
                <c:pt idx="84">
                  <c:v>69.979541734860845</c:v>
                </c:pt>
                <c:pt idx="85">
                  <c:v>69.979541734860845</c:v>
                </c:pt>
                <c:pt idx="86">
                  <c:v>69.979541734860845</c:v>
                </c:pt>
                <c:pt idx="87">
                  <c:v>69.979541734860845</c:v>
                </c:pt>
                <c:pt idx="88">
                  <c:v>69.979541734860845</c:v>
                </c:pt>
                <c:pt idx="89">
                  <c:v>69.979541734860845</c:v>
                </c:pt>
                <c:pt idx="90">
                  <c:v>69.979541734860845</c:v>
                </c:pt>
                <c:pt idx="91">
                  <c:v>69.979541734860845</c:v>
                </c:pt>
                <c:pt idx="92">
                  <c:v>69.979541734860845</c:v>
                </c:pt>
                <c:pt idx="93">
                  <c:v>69.979541734860845</c:v>
                </c:pt>
                <c:pt idx="94">
                  <c:v>69.979541734860845</c:v>
                </c:pt>
                <c:pt idx="95">
                  <c:v>69.979541734860845</c:v>
                </c:pt>
                <c:pt idx="96">
                  <c:v>69.979541734860845</c:v>
                </c:pt>
                <c:pt idx="97">
                  <c:v>69.979541734860845</c:v>
                </c:pt>
                <c:pt idx="98">
                  <c:v>69.979541734860845</c:v>
                </c:pt>
                <c:pt idx="99">
                  <c:v>69.979541734860845</c:v>
                </c:pt>
                <c:pt idx="100">
                  <c:v>69.979541734860845</c:v>
                </c:pt>
                <c:pt idx="101">
                  <c:v>69.979541734860845</c:v>
                </c:pt>
                <c:pt idx="102">
                  <c:v>69.979541734860845</c:v>
                </c:pt>
                <c:pt idx="103">
                  <c:v>69.979541734860845</c:v>
                </c:pt>
                <c:pt idx="104">
                  <c:v>69.979541734860845</c:v>
                </c:pt>
                <c:pt idx="105">
                  <c:v>69.979541734860845</c:v>
                </c:pt>
                <c:pt idx="106">
                  <c:v>69.979541734860845</c:v>
                </c:pt>
                <c:pt idx="107">
                  <c:v>69.979541734860845</c:v>
                </c:pt>
                <c:pt idx="108">
                  <c:v>69.979541734860845</c:v>
                </c:pt>
                <c:pt idx="109">
                  <c:v>69.979541734860845</c:v>
                </c:pt>
                <c:pt idx="110">
                  <c:v>69.979541734860845</c:v>
                </c:pt>
                <c:pt idx="111">
                  <c:v>69.979541734860845</c:v>
                </c:pt>
                <c:pt idx="112">
                  <c:v>69.979541734860845</c:v>
                </c:pt>
                <c:pt idx="113">
                  <c:v>69.979541734860845</c:v>
                </c:pt>
                <c:pt idx="114">
                  <c:v>69.979541734860845</c:v>
                </c:pt>
                <c:pt idx="115">
                  <c:v>69.979541734860845</c:v>
                </c:pt>
                <c:pt idx="116">
                  <c:v>69.979541734860845</c:v>
                </c:pt>
                <c:pt idx="117">
                  <c:v>69.979541734860845</c:v>
                </c:pt>
                <c:pt idx="118">
                  <c:v>69.979541734860845</c:v>
                </c:pt>
                <c:pt idx="119">
                  <c:v>69.979541734860845</c:v>
                </c:pt>
                <c:pt idx="120">
                  <c:v>69.979541734860845</c:v>
                </c:pt>
                <c:pt idx="121">
                  <c:v>69.979541734860845</c:v>
                </c:pt>
                <c:pt idx="122">
                  <c:v>69.979541734860845</c:v>
                </c:pt>
                <c:pt idx="123">
                  <c:v>69.979541734860845</c:v>
                </c:pt>
                <c:pt idx="124">
                  <c:v>69.979541734860845</c:v>
                </c:pt>
                <c:pt idx="125">
                  <c:v>69.979541734860845</c:v>
                </c:pt>
                <c:pt idx="126">
                  <c:v>69.979541734860845</c:v>
                </c:pt>
                <c:pt idx="127">
                  <c:v>69.979541734860845</c:v>
                </c:pt>
                <c:pt idx="128">
                  <c:v>69.979541734860845</c:v>
                </c:pt>
                <c:pt idx="129">
                  <c:v>69.979541734860845</c:v>
                </c:pt>
                <c:pt idx="130">
                  <c:v>69.979541734860845</c:v>
                </c:pt>
                <c:pt idx="131">
                  <c:v>69.979541734860845</c:v>
                </c:pt>
                <c:pt idx="132">
                  <c:v>69.979541734860845</c:v>
                </c:pt>
                <c:pt idx="133">
                  <c:v>69.979541734860845</c:v>
                </c:pt>
                <c:pt idx="134">
                  <c:v>69.979541734860845</c:v>
                </c:pt>
                <c:pt idx="135">
                  <c:v>69.979541734860845</c:v>
                </c:pt>
                <c:pt idx="136">
                  <c:v>69.979541734860845</c:v>
                </c:pt>
                <c:pt idx="137">
                  <c:v>69.979541734860845</c:v>
                </c:pt>
                <c:pt idx="138">
                  <c:v>69.979541734860845</c:v>
                </c:pt>
                <c:pt idx="139">
                  <c:v>69.979541734860845</c:v>
                </c:pt>
                <c:pt idx="140">
                  <c:v>69.979541734860845</c:v>
                </c:pt>
                <c:pt idx="141">
                  <c:v>69.979541734860845</c:v>
                </c:pt>
                <c:pt idx="142">
                  <c:v>69.979541734860845</c:v>
                </c:pt>
                <c:pt idx="143">
                  <c:v>69.979541734860845</c:v>
                </c:pt>
                <c:pt idx="144">
                  <c:v>69.979541734860845</c:v>
                </c:pt>
                <c:pt idx="145">
                  <c:v>69.979541734860845</c:v>
                </c:pt>
                <c:pt idx="146">
                  <c:v>69.979541734860845</c:v>
                </c:pt>
                <c:pt idx="147">
                  <c:v>69.979541734860845</c:v>
                </c:pt>
                <c:pt idx="148">
                  <c:v>69.979541734860845</c:v>
                </c:pt>
                <c:pt idx="149">
                  <c:v>69.979541734860845</c:v>
                </c:pt>
                <c:pt idx="150">
                  <c:v>69.979541734860845</c:v>
                </c:pt>
              </c:numCache>
            </c:numRef>
          </c:val>
          <c:smooth val="0"/>
          <c:extLst>
            <c:ext xmlns:c16="http://schemas.microsoft.com/office/drawing/2014/chart" uri="{C3380CC4-5D6E-409C-BE32-E72D297353CC}">
              <c16:uniqueId val="{00000006-64CF-4352-BC93-76825160D072}"/>
            </c:ext>
          </c:extLst>
        </c:ser>
        <c:ser>
          <c:idx val="6"/>
          <c:order val="7"/>
          <c:tx>
            <c:v>UCL</c:v>
          </c:tx>
          <c:spPr>
            <a:ln w="12700">
              <a:prstDash val="sysDot"/>
            </a:ln>
          </c:spPr>
          <c:marker>
            <c:symbol val="none"/>
          </c:marker>
          <c:val>
            <c:numRef>
              <c:f>[0]!ChartRange_UCL</c:f>
              <c:numCache>
                <c:formatCode>#,##0</c:formatCode>
                <c:ptCount val="151"/>
                <c:pt idx="0">
                  <c:v>920.02045826513915</c:v>
                </c:pt>
                <c:pt idx="1">
                  <c:v>920.02045826513915</c:v>
                </c:pt>
                <c:pt idx="2">
                  <c:v>920.02045826513915</c:v>
                </c:pt>
                <c:pt idx="3">
                  <c:v>920.02045826513915</c:v>
                </c:pt>
                <c:pt idx="4">
                  <c:v>920.02045826513915</c:v>
                </c:pt>
                <c:pt idx="5">
                  <c:v>920.02045826513915</c:v>
                </c:pt>
                <c:pt idx="6">
                  <c:v>920.02045826513915</c:v>
                </c:pt>
                <c:pt idx="7">
                  <c:v>920.02045826513915</c:v>
                </c:pt>
                <c:pt idx="8">
                  <c:v>920.02045826513915</c:v>
                </c:pt>
                <c:pt idx="9">
                  <c:v>920.02045826513915</c:v>
                </c:pt>
                <c:pt idx="10">
                  <c:v>920.02045826513915</c:v>
                </c:pt>
                <c:pt idx="11">
                  <c:v>920.02045826513915</c:v>
                </c:pt>
                <c:pt idx="12">
                  <c:v>920.02045826513915</c:v>
                </c:pt>
                <c:pt idx="13">
                  <c:v>920.02045826513915</c:v>
                </c:pt>
                <c:pt idx="14">
                  <c:v>920.02045826513915</c:v>
                </c:pt>
                <c:pt idx="15">
                  <c:v>920.02045826513915</c:v>
                </c:pt>
                <c:pt idx="16">
                  <c:v>920.02045826513915</c:v>
                </c:pt>
                <c:pt idx="17">
                  <c:v>920.02045826513915</c:v>
                </c:pt>
                <c:pt idx="18">
                  <c:v>920.02045826513915</c:v>
                </c:pt>
                <c:pt idx="19">
                  <c:v>920.02045826513915</c:v>
                </c:pt>
                <c:pt idx="20">
                  <c:v>920.02045826513915</c:v>
                </c:pt>
                <c:pt idx="21">
                  <c:v>920.02045826513915</c:v>
                </c:pt>
                <c:pt idx="22">
                  <c:v>920.02045826513915</c:v>
                </c:pt>
                <c:pt idx="23">
                  <c:v>920.02045826513915</c:v>
                </c:pt>
                <c:pt idx="24">
                  <c:v>920.02045826513915</c:v>
                </c:pt>
                <c:pt idx="25">
                  <c:v>920.02045826513915</c:v>
                </c:pt>
                <c:pt idx="26">
                  <c:v>920.02045826513915</c:v>
                </c:pt>
                <c:pt idx="27">
                  <c:v>920.02045826513915</c:v>
                </c:pt>
                <c:pt idx="28">
                  <c:v>920.02045826513915</c:v>
                </c:pt>
                <c:pt idx="29">
                  <c:v>920.02045826513915</c:v>
                </c:pt>
                <c:pt idx="30">
                  <c:v>920.02045826513915</c:v>
                </c:pt>
                <c:pt idx="31">
                  <c:v>920.02045826513915</c:v>
                </c:pt>
                <c:pt idx="32">
                  <c:v>920.02045826513915</c:v>
                </c:pt>
                <c:pt idx="33">
                  <c:v>920.02045826513915</c:v>
                </c:pt>
                <c:pt idx="34">
                  <c:v>920.02045826513915</c:v>
                </c:pt>
                <c:pt idx="35">
                  <c:v>920.02045826513915</c:v>
                </c:pt>
                <c:pt idx="36">
                  <c:v>920.02045826513915</c:v>
                </c:pt>
                <c:pt idx="37">
                  <c:v>920.02045826513915</c:v>
                </c:pt>
                <c:pt idx="38">
                  <c:v>920.02045826513915</c:v>
                </c:pt>
                <c:pt idx="39">
                  <c:v>920.02045826513915</c:v>
                </c:pt>
                <c:pt idx="40">
                  <c:v>920.02045826513915</c:v>
                </c:pt>
                <c:pt idx="41">
                  <c:v>920.02045826513915</c:v>
                </c:pt>
                <c:pt idx="42">
                  <c:v>920.02045826513915</c:v>
                </c:pt>
                <c:pt idx="43">
                  <c:v>920.02045826513915</c:v>
                </c:pt>
                <c:pt idx="44">
                  <c:v>920.02045826513915</c:v>
                </c:pt>
                <c:pt idx="45">
                  <c:v>920.02045826513915</c:v>
                </c:pt>
                <c:pt idx="46">
                  <c:v>920.02045826513915</c:v>
                </c:pt>
                <c:pt idx="47">
                  <c:v>920.02045826513915</c:v>
                </c:pt>
                <c:pt idx="48">
                  <c:v>920.02045826513915</c:v>
                </c:pt>
                <c:pt idx="49">
                  <c:v>920.02045826513915</c:v>
                </c:pt>
                <c:pt idx="50">
                  <c:v>920.02045826513915</c:v>
                </c:pt>
                <c:pt idx="51">
                  <c:v>920.02045826513915</c:v>
                </c:pt>
                <c:pt idx="52">
                  <c:v>920.02045826513915</c:v>
                </c:pt>
                <c:pt idx="53">
                  <c:v>920.02045826513915</c:v>
                </c:pt>
                <c:pt idx="54">
                  <c:v>920.02045826513915</c:v>
                </c:pt>
                <c:pt idx="55">
                  <c:v>920.02045826513915</c:v>
                </c:pt>
                <c:pt idx="56">
                  <c:v>920.02045826513915</c:v>
                </c:pt>
                <c:pt idx="57">
                  <c:v>920.02045826513915</c:v>
                </c:pt>
                <c:pt idx="58">
                  <c:v>920.02045826513915</c:v>
                </c:pt>
                <c:pt idx="59">
                  <c:v>920.02045826513915</c:v>
                </c:pt>
                <c:pt idx="60">
                  <c:v>920.02045826513915</c:v>
                </c:pt>
                <c:pt idx="61">
                  <c:v>920.02045826513915</c:v>
                </c:pt>
                <c:pt idx="62">
                  <c:v>920.02045826513915</c:v>
                </c:pt>
                <c:pt idx="63">
                  <c:v>920.02045826513915</c:v>
                </c:pt>
                <c:pt idx="64">
                  <c:v>920.02045826513915</c:v>
                </c:pt>
                <c:pt idx="65">
                  <c:v>920.02045826513915</c:v>
                </c:pt>
                <c:pt idx="66">
                  <c:v>920.02045826513915</c:v>
                </c:pt>
                <c:pt idx="67">
                  <c:v>920.02045826513915</c:v>
                </c:pt>
                <c:pt idx="68">
                  <c:v>920.02045826513915</c:v>
                </c:pt>
                <c:pt idx="69">
                  <c:v>920.02045826513915</c:v>
                </c:pt>
                <c:pt idx="70">
                  <c:v>920.02045826513915</c:v>
                </c:pt>
                <c:pt idx="71">
                  <c:v>920.02045826513915</c:v>
                </c:pt>
                <c:pt idx="72">
                  <c:v>920.02045826513915</c:v>
                </c:pt>
                <c:pt idx="73">
                  <c:v>920.02045826513915</c:v>
                </c:pt>
                <c:pt idx="74">
                  <c:v>920.02045826513915</c:v>
                </c:pt>
                <c:pt idx="75">
                  <c:v>920.02045826513915</c:v>
                </c:pt>
                <c:pt idx="76">
                  <c:v>920.02045826513915</c:v>
                </c:pt>
                <c:pt idx="77">
                  <c:v>920.02045826513915</c:v>
                </c:pt>
                <c:pt idx="78">
                  <c:v>920.02045826513915</c:v>
                </c:pt>
                <c:pt idx="79">
                  <c:v>920.02045826513915</c:v>
                </c:pt>
                <c:pt idx="80">
                  <c:v>920.02045826513915</c:v>
                </c:pt>
                <c:pt idx="81">
                  <c:v>920.02045826513915</c:v>
                </c:pt>
                <c:pt idx="82">
                  <c:v>920.02045826513915</c:v>
                </c:pt>
                <c:pt idx="83">
                  <c:v>920.02045826513915</c:v>
                </c:pt>
                <c:pt idx="84">
                  <c:v>920.02045826513915</c:v>
                </c:pt>
                <c:pt idx="85">
                  <c:v>920.02045826513915</c:v>
                </c:pt>
                <c:pt idx="86">
                  <c:v>920.02045826513915</c:v>
                </c:pt>
                <c:pt idx="87">
                  <c:v>920.02045826513915</c:v>
                </c:pt>
                <c:pt idx="88">
                  <c:v>920.02045826513915</c:v>
                </c:pt>
                <c:pt idx="89">
                  <c:v>920.02045826513915</c:v>
                </c:pt>
                <c:pt idx="90">
                  <c:v>920.02045826513915</c:v>
                </c:pt>
                <c:pt idx="91">
                  <c:v>920.02045826513915</c:v>
                </c:pt>
                <c:pt idx="92">
                  <c:v>920.02045826513915</c:v>
                </c:pt>
                <c:pt idx="93">
                  <c:v>920.02045826513915</c:v>
                </c:pt>
                <c:pt idx="94">
                  <c:v>920.02045826513915</c:v>
                </c:pt>
                <c:pt idx="95">
                  <c:v>920.02045826513915</c:v>
                </c:pt>
                <c:pt idx="96">
                  <c:v>920.02045826513915</c:v>
                </c:pt>
                <c:pt idx="97">
                  <c:v>920.02045826513915</c:v>
                </c:pt>
                <c:pt idx="98">
                  <c:v>920.02045826513915</c:v>
                </c:pt>
                <c:pt idx="99">
                  <c:v>920.02045826513915</c:v>
                </c:pt>
                <c:pt idx="100">
                  <c:v>920.02045826513915</c:v>
                </c:pt>
                <c:pt idx="101">
                  <c:v>920.02045826513915</c:v>
                </c:pt>
                <c:pt idx="102">
                  <c:v>920.02045826513915</c:v>
                </c:pt>
                <c:pt idx="103">
                  <c:v>920.02045826513915</c:v>
                </c:pt>
                <c:pt idx="104">
                  <c:v>920.02045826513915</c:v>
                </c:pt>
                <c:pt idx="105">
                  <c:v>920.02045826513915</c:v>
                </c:pt>
                <c:pt idx="106">
                  <c:v>920.02045826513915</c:v>
                </c:pt>
                <c:pt idx="107">
                  <c:v>920.02045826513915</c:v>
                </c:pt>
                <c:pt idx="108">
                  <c:v>920.02045826513915</c:v>
                </c:pt>
                <c:pt idx="109">
                  <c:v>920.02045826513915</c:v>
                </c:pt>
                <c:pt idx="110">
                  <c:v>920.02045826513915</c:v>
                </c:pt>
                <c:pt idx="111">
                  <c:v>920.02045826513915</c:v>
                </c:pt>
                <c:pt idx="112">
                  <c:v>920.02045826513915</c:v>
                </c:pt>
                <c:pt idx="113">
                  <c:v>920.02045826513915</c:v>
                </c:pt>
                <c:pt idx="114">
                  <c:v>920.02045826513915</c:v>
                </c:pt>
                <c:pt idx="115">
                  <c:v>920.02045826513915</c:v>
                </c:pt>
                <c:pt idx="116">
                  <c:v>920.02045826513915</c:v>
                </c:pt>
                <c:pt idx="117">
                  <c:v>920.02045826513915</c:v>
                </c:pt>
                <c:pt idx="118">
                  <c:v>920.02045826513915</c:v>
                </c:pt>
                <c:pt idx="119">
                  <c:v>920.02045826513915</c:v>
                </c:pt>
                <c:pt idx="120">
                  <c:v>920.02045826513915</c:v>
                </c:pt>
                <c:pt idx="121">
                  <c:v>920.02045826513915</c:v>
                </c:pt>
                <c:pt idx="122">
                  <c:v>920.02045826513915</c:v>
                </c:pt>
                <c:pt idx="123">
                  <c:v>920.02045826513915</c:v>
                </c:pt>
                <c:pt idx="124">
                  <c:v>920.02045826513915</c:v>
                </c:pt>
                <c:pt idx="125">
                  <c:v>920.02045826513915</c:v>
                </c:pt>
                <c:pt idx="126">
                  <c:v>920.02045826513915</c:v>
                </c:pt>
                <c:pt idx="127">
                  <c:v>920.02045826513915</c:v>
                </c:pt>
                <c:pt idx="128">
                  <c:v>920.02045826513915</c:v>
                </c:pt>
                <c:pt idx="129">
                  <c:v>920.02045826513915</c:v>
                </c:pt>
                <c:pt idx="130">
                  <c:v>920.02045826513915</c:v>
                </c:pt>
                <c:pt idx="131">
                  <c:v>920.02045826513915</c:v>
                </c:pt>
                <c:pt idx="132">
                  <c:v>920.02045826513915</c:v>
                </c:pt>
                <c:pt idx="133">
                  <c:v>920.02045826513915</c:v>
                </c:pt>
                <c:pt idx="134">
                  <c:v>920.02045826513915</c:v>
                </c:pt>
                <c:pt idx="135">
                  <c:v>920.02045826513915</c:v>
                </c:pt>
                <c:pt idx="136">
                  <c:v>920.02045826513915</c:v>
                </c:pt>
                <c:pt idx="137">
                  <c:v>920.02045826513915</c:v>
                </c:pt>
                <c:pt idx="138">
                  <c:v>920.02045826513915</c:v>
                </c:pt>
                <c:pt idx="139">
                  <c:v>920.02045826513915</c:v>
                </c:pt>
                <c:pt idx="140">
                  <c:v>920.02045826513915</c:v>
                </c:pt>
                <c:pt idx="141">
                  <c:v>920.02045826513915</c:v>
                </c:pt>
                <c:pt idx="142">
                  <c:v>920.02045826513915</c:v>
                </c:pt>
                <c:pt idx="143">
                  <c:v>920.02045826513915</c:v>
                </c:pt>
                <c:pt idx="144">
                  <c:v>920.02045826513915</c:v>
                </c:pt>
                <c:pt idx="145">
                  <c:v>920.02045826513915</c:v>
                </c:pt>
                <c:pt idx="146">
                  <c:v>920.02045826513915</c:v>
                </c:pt>
                <c:pt idx="147">
                  <c:v>920.02045826513915</c:v>
                </c:pt>
                <c:pt idx="148">
                  <c:v>920.02045826513915</c:v>
                </c:pt>
                <c:pt idx="149">
                  <c:v>920.02045826513915</c:v>
                </c:pt>
                <c:pt idx="150">
                  <c:v>920.02045826513915</c:v>
                </c:pt>
              </c:numCache>
            </c:numRef>
          </c:val>
          <c:smooth val="0"/>
          <c:extLst>
            <c:ext xmlns:c16="http://schemas.microsoft.com/office/drawing/2014/chart" uri="{C3380CC4-5D6E-409C-BE32-E72D297353CC}">
              <c16:uniqueId val="{00000007-64CF-4352-BC93-76825160D072}"/>
            </c:ext>
          </c:extLst>
        </c:ser>
        <c:ser>
          <c:idx val="7"/>
          <c:order val="8"/>
          <c:tx>
            <c:v>Mean</c:v>
          </c:tx>
          <c:spPr>
            <a:ln w="12700">
              <a:prstDash val="sysDot"/>
            </a:ln>
          </c:spPr>
          <c:marker>
            <c:symbol val="none"/>
          </c:marker>
          <c:val>
            <c:numRef>
              <c:f>[0]!ChartRange_Mean</c:f>
              <c:numCache>
                <c:formatCode>#,##0</c:formatCode>
                <c:ptCount val="151"/>
                <c:pt idx="0">
                  <c:v>495</c:v>
                </c:pt>
                <c:pt idx="1">
                  <c:v>495</c:v>
                </c:pt>
                <c:pt idx="2">
                  <c:v>495</c:v>
                </c:pt>
                <c:pt idx="3">
                  <c:v>495</c:v>
                </c:pt>
                <c:pt idx="4">
                  <c:v>495</c:v>
                </c:pt>
                <c:pt idx="5">
                  <c:v>495</c:v>
                </c:pt>
                <c:pt idx="6">
                  <c:v>495</c:v>
                </c:pt>
                <c:pt idx="7">
                  <c:v>495</c:v>
                </c:pt>
                <c:pt idx="8">
                  <c:v>495</c:v>
                </c:pt>
                <c:pt idx="9">
                  <c:v>495</c:v>
                </c:pt>
                <c:pt idx="10">
                  <c:v>495</c:v>
                </c:pt>
                <c:pt idx="11">
                  <c:v>495</c:v>
                </c:pt>
                <c:pt idx="12">
                  <c:v>495</c:v>
                </c:pt>
                <c:pt idx="13">
                  <c:v>495</c:v>
                </c:pt>
                <c:pt idx="14">
                  <c:v>495</c:v>
                </c:pt>
                <c:pt idx="15">
                  <c:v>495</c:v>
                </c:pt>
                <c:pt idx="16">
                  <c:v>495</c:v>
                </c:pt>
                <c:pt idx="17">
                  <c:v>495</c:v>
                </c:pt>
                <c:pt idx="18">
                  <c:v>495</c:v>
                </c:pt>
                <c:pt idx="19">
                  <c:v>495</c:v>
                </c:pt>
                <c:pt idx="20">
                  <c:v>495</c:v>
                </c:pt>
                <c:pt idx="21">
                  <c:v>495</c:v>
                </c:pt>
                <c:pt idx="22">
                  <c:v>495</c:v>
                </c:pt>
                <c:pt idx="23">
                  <c:v>495</c:v>
                </c:pt>
                <c:pt idx="24">
                  <c:v>495</c:v>
                </c:pt>
                <c:pt idx="25">
                  <c:v>495</c:v>
                </c:pt>
                <c:pt idx="26">
                  <c:v>495</c:v>
                </c:pt>
                <c:pt idx="27">
                  <c:v>495</c:v>
                </c:pt>
                <c:pt idx="28">
                  <c:v>495</c:v>
                </c:pt>
                <c:pt idx="29">
                  <c:v>495</c:v>
                </c:pt>
                <c:pt idx="30">
                  <c:v>495</c:v>
                </c:pt>
                <c:pt idx="31">
                  <c:v>495</c:v>
                </c:pt>
                <c:pt idx="32">
                  <c:v>495</c:v>
                </c:pt>
                <c:pt idx="33">
                  <c:v>495</c:v>
                </c:pt>
                <c:pt idx="34">
                  <c:v>495</c:v>
                </c:pt>
                <c:pt idx="35">
                  <c:v>495</c:v>
                </c:pt>
                <c:pt idx="36">
                  <c:v>495</c:v>
                </c:pt>
                <c:pt idx="37">
                  <c:v>495</c:v>
                </c:pt>
                <c:pt idx="38">
                  <c:v>495</c:v>
                </c:pt>
                <c:pt idx="39">
                  <c:v>495</c:v>
                </c:pt>
                <c:pt idx="40">
                  <c:v>495</c:v>
                </c:pt>
                <c:pt idx="41">
                  <c:v>495</c:v>
                </c:pt>
                <c:pt idx="42">
                  <c:v>495</c:v>
                </c:pt>
                <c:pt idx="43">
                  <c:v>495</c:v>
                </c:pt>
                <c:pt idx="44">
                  <c:v>495</c:v>
                </c:pt>
                <c:pt idx="45">
                  <c:v>495</c:v>
                </c:pt>
                <c:pt idx="46">
                  <c:v>495</c:v>
                </c:pt>
                <c:pt idx="47">
                  <c:v>495</c:v>
                </c:pt>
                <c:pt idx="48">
                  <c:v>495</c:v>
                </c:pt>
                <c:pt idx="49">
                  <c:v>495</c:v>
                </c:pt>
                <c:pt idx="50">
                  <c:v>495</c:v>
                </c:pt>
                <c:pt idx="51">
                  <c:v>495</c:v>
                </c:pt>
                <c:pt idx="52">
                  <c:v>495</c:v>
                </c:pt>
                <c:pt idx="53">
                  <c:v>495</c:v>
                </c:pt>
                <c:pt idx="54">
                  <c:v>495</c:v>
                </c:pt>
                <c:pt idx="55">
                  <c:v>495</c:v>
                </c:pt>
                <c:pt idx="56">
                  <c:v>495</c:v>
                </c:pt>
                <c:pt idx="57">
                  <c:v>495</c:v>
                </c:pt>
                <c:pt idx="58">
                  <c:v>495</c:v>
                </c:pt>
                <c:pt idx="59">
                  <c:v>495</c:v>
                </c:pt>
                <c:pt idx="60">
                  <c:v>495</c:v>
                </c:pt>
                <c:pt idx="61">
                  <c:v>495</c:v>
                </c:pt>
                <c:pt idx="62">
                  <c:v>495</c:v>
                </c:pt>
                <c:pt idx="63">
                  <c:v>495</c:v>
                </c:pt>
                <c:pt idx="64">
                  <c:v>495</c:v>
                </c:pt>
                <c:pt idx="65">
                  <c:v>495</c:v>
                </c:pt>
                <c:pt idx="66">
                  <c:v>495</c:v>
                </c:pt>
                <c:pt idx="67">
                  <c:v>495</c:v>
                </c:pt>
                <c:pt idx="68">
                  <c:v>495</c:v>
                </c:pt>
                <c:pt idx="69">
                  <c:v>495</c:v>
                </c:pt>
                <c:pt idx="70">
                  <c:v>495</c:v>
                </c:pt>
                <c:pt idx="71">
                  <c:v>495</c:v>
                </c:pt>
                <c:pt idx="72">
                  <c:v>495</c:v>
                </c:pt>
                <c:pt idx="73">
                  <c:v>495</c:v>
                </c:pt>
                <c:pt idx="74">
                  <c:v>495</c:v>
                </c:pt>
                <c:pt idx="75">
                  <c:v>495</c:v>
                </c:pt>
                <c:pt idx="76">
                  <c:v>495</c:v>
                </c:pt>
                <c:pt idx="77">
                  <c:v>495</c:v>
                </c:pt>
                <c:pt idx="78">
                  <c:v>495</c:v>
                </c:pt>
                <c:pt idx="79">
                  <c:v>495</c:v>
                </c:pt>
                <c:pt idx="80">
                  <c:v>495</c:v>
                </c:pt>
                <c:pt idx="81">
                  <c:v>495</c:v>
                </c:pt>
                <c:pt idx="82">
                  <c:v>495</c:v>
                </c:pt>
                <c:pt idx="83">
                  <c:v>495</c:v>
                </c:pt>
                <c:pt idx="84">
                  <c:v>495</c:v>
                </c:pt>
                <c:pt idx="85">
                  <c:v>495</c:v>
                </c:pt>
                <c:pt idx="86">
                  <c:v>495</c:v>
                </c:pt>
                <c:pt idx="87">
                  <c:v>495</c:v>
                </c:pt>
                <c:pt idx="88">
                  <c:v>495</c:v>
                </c:pt>
                <c:pt idx="89">
                  <c:v>495</c:v>
                </c:pt>
                <c:pt idx="90">
                  <c:v>495</c:v>
                </c:pt>
                <c:pt idx="91">
                  <c:v>495</c:v>
                </c:pt>
                <c:pt idx="92">
                  <c:v>495</c:v>
                </c:pt>
                <c:pt idx="93">
                  <c:v>495</c:v>
                </c:pt>
                <c:pt idx="94">
                  <c:v>495</c:v>
                </c:pt>
                <c:pt idx="95">
                  <c:v>495</c:v>
                </c:pt>
                <c:pt idx="96">
                  <c:v>495</c:v>
                </c:pt>
                <c:pt idx="97">
                  <c:v>495</c:v>
                </c:pt>
                <c:pt idx="98">
                  <c:v>495</c:v>
                </c:pt>
                <c:pt idx="99">
                  <c:v>495</c:v>
                </c:pt>
                <c:pt idx="100">
                  <c:v>495</c:v>
                </c:pt>
                <c:pt idx="101">
                  <c:v>495</c:v>
                </c:pt>
                <c:pt idx="102">
                  <c:v>495</c:v>
                </c:pt>
                <c:pt idx="103">
                  <c:v>495</c:v>
                </c:pt>
                <c:pt idx="104">
                  <c:v>495</c:v>
                </c:pt>
                <c:pt idx="105">
                  <c:v>495</c:v>
                </c:pt>
                <c:pt idx="106">
                  <c:v>495</c:v>
                </c:pt>
                <c:pt idx="107">
                  <c:v>495</c:v>
                </c:pt>
                <c:pt idx="108">
                  <c:v>495</c:v>
                </c:pt>
                <c:pt idx="109">
                  <c:v>495</c:v>
                </c:pt>
                <c:pt idx="110">
                  <c:v>495</c:v>
                </c:pt>
                <c:pt idx="111">
                  <c:v>495</c:v>
                </c:pt>
                <c:pt idx="112">
                  <c:v>495</c:v>
                </c:pt>
                <c:pt idx="113">
                  <c:v>495</c:v>
                </c:pt>
                <c:pt idx="114">
                  <c:v>495</c:v>
                </c:pt>
                <c:pt idx="115">
                  <c:v>495</c:v>
                </c:pt>
                <c:pt idx="116">
                  <c:v>495</c:v>
                </c:pt>
                <c:pt idx="117">
                  <c:v>495</c:v>
                </c:pt>
                <c:pt idx="118">
                  <c:v>495</c:v>
                </c:pt>
                <c:pt idx="119">
                  <c:v>495</c:v>
                </c:pt>
                <c:pt idx="120">
                  <c:v>495</c:v>
                </c:pt>
                <c:pt idx="121">
                  <c:v>495</c:v>
                </c:pt>
                <c:pt idx="122">
                  <c:v>495</c:v>
                </c:pt>
                <c:pt idx="123">
                  <c:v>495</c:v>
                </c:pt>
                <c:pt idx="124">
                  <c:v>495</c:v>
                </c:pt>
                <c:pt idx="125">
                  <c:v>495</c:v>
                </c:pt>
                <c:pt idx="126">
                  <c:v>495</c:v>
                </c:pt>
                <c:pt idx="127">
                  <c:v>495</c:v>
                </c:pt>
                <c:pt idx="128">
                  <c:v>495</c:v>
                </c:pt>
                <c:pt idx="129">
                  <c:v>495</c:v>
                </c:pt>
                <c:pt idx="130">
                  <c:v>495</c:v>
                </c:pt>
                <c:pt idx="131">
                  <c:v>495</c:v>
                </c:pt>
                <c:pt idx="132">
                  <c:v>495</c:v>
                </c:pt>
                <c:pt idx="133">
                  <c:v>495</c:v>
                </c:pt>
                <c:pt idx="134">
                  <c:v>495</c:v>
                </c:pt>
                <c:pt idx="135">
                  <c:v>495</c:v>
                </c:pt>
                <c:pt idx="136">
                  <c:v>495</c:v>
                </c:pt>
                <c:pt idx="137">
                  <c:v>495</c:v>
                </c:pt>
                <c:pt idx="138">
                  <c:v>495</c:v>
                </c:pt>
                <c:pt idx="139">
                  <c:v>495</c:v>
                </c:pt>
                <c:pt idx="140">
                  <c:v>495</c:v>
                </c:pt>
                <c:pt idx="141">
                  <c:v>495</c:v>
                </c:pt>
                <c:pt idx="142">
                  <c:v>495</c:v>
                </c:pt>
                <c:pt idx="143">
                  <c:v>495</c:v>
                </c:pt>
                <c:pt idx="144">
                  <c:v>495</c:v>
                </c:pt>
                <c:pt idx="145">
                  <c:v>495</c:v>
                </c:pt>
                <c:pt idx="146">
                  <c:v>495</c:v>
                </c:pt>
                <c:pt idx="147">
                  <c:v>495</c:v>
                </c:pt>
                <c:pt idx="148">
                  <c:v>495</c:v>
                </c:pt>
                <c:pt idx="149">
                  <c:v>495</c:v>
                </c:pt>
                <c:pt idx="150">
                  <c:v>495</c:v>
                </c:pt>
              </c:numCache>
            </c:numRef>
          </c:val>
          <c:smooth val="0"/>
          <c:extLst>
            <c:ext xmlns:c16="http://schemas.microsoft.com/office/drawing/2014/chart" uri="{C3380CC4-5D6E-409C-BE32-E72D297353CC}">
              <c16:uniqueId val="{00000008-64CF-4352-BC93-76825160D072}"/>
            </c:ext>
          </c:extLst>
        </c:ser>
        <c:ser>
          <c:idx val="8"/>
          <c:order val="9"/>
          <c:tx>
            <c:v>1</c:v>
          </c:tx>
          <c:spPr>
            <a:ln>
              <a:noFill/>
            </a:ln>
          </c:spPr>
          <c:marker>
            <c:symbol val="square"/>
            <c:size val="5"/>
            <c:spPr>
              <a:solidFill>
                <a:schemeClr val="accent2"/>
              </a:solidFill>
              <a:ln>
                <a:noFill/>
              </a:ln>
            </c:spPr>
          </c:marker>
          <c:val>
            <c:numRef>
              <c:f>[0]!ChartRange_E1</c:f>
              <c:numCache>
                <c:formatCode>#,##0</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9-64CF-4352-BC93-76825160D072}"/>
            </c:ext>
          </c:extLst>
        </c:ser>
        <c:ser>
          <c:idx val="9"/>
          <c:order val="10"/>
          <c:tx>
            <c:v>2</c:v>
          </c:tx>
          <c:spPr>
            <a:ln>
              <a:noFill/>
            </a:ln>
          </c:spPr>
          <c:marker>
            <c:symbol val="square"/>
            <c:size val="5"/>
            <c:spPr>
              <a:solidFill>
                <a:schemeClr val="accent3"/>
              </a:solidFill>
              <a:ln>
                <a:noFill/>
              </a:ln>
            </c:spPr>
          </c:marker>
          <c:val>
            <c:numRef>
              <c:f>[0]!ChartRange_E2</c:f>
              <c:numCache>
                <c:formatCode>General</c:formatCode>
                <c:ptCount val="151"/>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A-64CF-4352-BC93-76825160D072}"/>
            </c:ext>
          </c:extLst>
        </c:ser>
        <c:ser>
          <c:idx val="10"/>
          <c:order val="11"/>
          <c:tx>
            <c:v>3</c:v>
          </c:tx>
          <c:spPr>
            <a:ln>
              <a:noFill/>
            </a:ln>
          </c:spPr>
          <c:marker>
            <c:symbol val="square"/>
            <c:size val="5"/>
            <c:spPr>
              <a:solidFill>
                <a:schemeClr val="accent4"/>
              </a:solidFill>
              <a:ln>
                <a:noFill/>
              </a:ln>
            </c:spPr>
          </c:marker>
          <c:val>
            <c:numRef>
              <c:f>[0]!ChartRange_E3</c:f>
              <c:numCache>
                <c:formatCode>General</c:formatCode>
                <c:ptCount val="151"/>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B-64CF-4352-BC93-76825160D072}"/>
            </c:ext>
          </c:extLst>
        </c:ser>
        <c:ser>
          <c:idx val="11"/>
          <c:order val="12"/>
          <c:tx>
            <c:v>4</c:v>
          </c:tx>
          <c:spPr>
            <a:ln>
              <a:noFill/>
            </a:ln>
          </c:spPr>
          <c:marker>
            <c:symbol val="square"/>
            <c:size val="5"/>
            <c:spPr>
              <a:solidFill>
                <a:schemeClr val="accent6"/>
              </a:solidFill>
              <a:ln>
                <a:noFill/>
              </a:ln>
            </c:spPr>
          </c:marker>
          <c:val>
            <c:numRef>
              <c:f>[0]!ChartRange_E4</c:f>
              <c:numCache>
                <c:formatCode>#,##0</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670</c:v>
                </c:pt>
                <c:pt idx="14">
                  <c:v>530</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C-64CF-4352-BC93-76825160D072}"/>
            </c:ext>
          </c:extLst>
        </c:ser>
        <c:ser>
          <c:idx val="12"/>
          <c:order val="13"/>
          <c:tx>
            <c:v>Excluded</c:v>
          </c:tx>
          <c:spPr>
            <a:ln>
              <a:noFill/>
            </a:ln>
          </c:spPr>
          <c:marker>
            <c:symbol val="diamond"/>
            <c:size val="6"/>
            <c:spPr>
              <a:solidFill>
                <a:srgbClr val="FF0000"/>
              </a:solidFill>
              <a:ln>
                <a:noFill/>
              </a:ln>
            </c:spPr>
          </c:marker>
          <c:val>
            <c:numRef>
              <c:f>[0]!ChartRange_Exclusion</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D-64CF-4352-BC93-76825160D072}"/>
            </c:ext>
          </c:extLst>
        </c:ser>
        <c:ser>
          <c:idx val="13"/>
          <c:order val="14"/>
          <c:tx>
            <c:v>Lower percentile</c:v>
          </c:tx>
          <c:spPr>
            <a:ln w="12700">
              <a:solidFill>
                <a:schemeClr val="accent4">
                  <a:lumMod val="75000"/>
                </a:schemeClr>
              </a:solidFill>
              <a:prstDash val="sysDash"/>
            </a:ln>
          </c:spPr>
          <c:marker>
            <c:symbol val="none"/>
          </c:marker>
          <c:val>
            <c:numRef>
              <c:f>[0]!ChartRange_PercLower</c:f>
              <c:numCache>
                <c:formatCode>#,##0</c:formatCode>
                <c:ptCount val="151"/>
                <c:pt idx="0">
                  <c:v>551.5</c:v>
                </c:pt>
                <c:pt idx="1">
                  <c:v>551.5</c:v>
                </c:pt>
                <c:pt idx="2">
                  <c:v>551.5</c:v>
                </c:pt>
                <c:pt idx="3">
                  <c:v>551.5</c:v>
                </c:pt>
                <c:pt idx="4">
                  <c:v>551.5</c:v>
                </c:pt>
                <c:pt idx="5">
                  <c:v>551.5</c:v>
                </c:pt>
                <c:pt idx="6">
                  <c:v>551.5</c:v>
                </c:pt>
                <c:pt idx="7">
                  <c:v>551.5</c:v>
                </c:pt>
                <c:pt idx="8">
                  <c:v>551.5</c:v>
                </c:pt>
                <c:pt idx="9">
                  <c:v>551.5</c:v>
                </c:pt>
                <c:pt idx="10">
                  <c:v>551.5</c:v>
                </c:pt>
                <c:pt idx="11">
                  <c:v>551.5</c:v>
                </c:pt>
                <c:pt idx="12">
                  <c:v>551.5</c:v>
                </c:pt>
                <c:pt idx="13">
                  <c:v>551.5</c:v>
                </c:pt>
                <c:pt idx="14">
                  <c:v>551.5</c:v>
                </c:pt>
                <c:pt idx="15">
                  <c:v>551.5</c:v>
                </c:pt>
                <c:pt idx="16">
                  <c:v>551.5</c:v>
                </c:pt>
                <c:pt idx="17">
                  <c:v>551.5</c:v>
                </c:pt>
                <c:pt idx="18">
                  <c:v>551.5</c:v>
                </c:pt>
                <c:pt idx="19">
                  <c:v>551.5</c:v>
                </c:pt>
                <c:pt idx="20">
                  <c:v>551.5</c:v>
                </c:pt>
                <c:pt idx="21">
                  <c:v>551.5</c:v>
                </c:pt>
                <c:pt idx="22">
                  <c:v>551.5</c:v>
                </c:pt>
                <c:pt idx="23">
                  <c:v>551.5</c:v>
                </c:pt>
                <c:pt idx="24">
                  <c:v>551.5</c:v>
                </c:pt>
                <c:pt idx="25">
                  <c:v>551.5</c:v>
                </c:pt>
                <c:pt idx="26">
                  <c:v>551.5</c:v>
                </c:pt>
                <c:pt idx="27">
                  <c:v>551.5</c:v>
                </c:pt>
                <c:pt idx="28">
                  <c:v>551.5</c:v>
                </c:pt>
                <c:pt idx="29">
                  <c:v>551.5</c:v>
                </c:pt>
                <c:pt idx="30">
                  <c:v>551.5</c:v>
                </c:pt>
                <c:pt idx="31">
                  <c:v>551.5</c:v>
                </c:pt>
                <c:pt idx="32">
                  <c:v>551.5</c:v>
                </c:pt>
                <c:pt idx="33">
                  <c:v>551.5</c:v>
                </c:pt>
                <c:pt idx="34">
                  <c:v>551.5</c:v>
                </c:pt>
                <c:pt idx="35">
                  <c:v>551.5</c:v>
                </c:pt>
                <c:pt idx="36">
                  <c:v>551.5</c:v>
                </c:pt>
                <c:pt idx="37">
                  <c:v>551.5</c:v>
                </c:pt>
                <c:pt idx="38">
                  <c:v>551.5</c:v>
                </c:pt>
                <c:pt idx="39">
                  <c:v>551.5</c:v>
                </c:pt>
                <c:pt idx="40">
                  <c:v>551.5</c:v>
                </c:pt>
                <c:pt idx="41">
                  <c:v>551.5</c:v>
                </c:pt>
                <c:pt idx="42">
                  <c:v>551.5</c:v>
                </c:pt>
                <c:pt idx="43">
                  <c:v>551.5</c:v>
                </c:pt>
                <c:pt idx="44">
                  <c:v>551.5</c:v>
                </c:pt>
                <c:pt idx="45">
                  <c:v>551.5</c:v>
                </c:pt>
                <c:pt idx="46">
                  <c:v>551.5</c:v>
                </c:pt>
                <c:pt idx="47">
                  <c:v>551.5</c:v>
                </c:pt>
                <c:pt idx="48">
                  <c:v>551.5</c:v>
                </c:pt>
                <c:pt idx="49">
                  <c:v>551.5</c:v>
                </c:pt>
                <c:pt idx="50">
                  <c:v>551.5</c:v>
                </c:pt>
                <c:pt idx="51">
                  <c:v>551.5</c:v>
                </c:pt>
                <c:pt idx="52">
                  <c:v>551.5</c:v>
                </c:pt>
                <c:pt idx="53">
                  <c:v>551.5</c:v>
                </c:pt>
                <c:pt idx="54">
                  <c:v>551.5</c:v>
                </c:pt>
                <c:pt idx="55">
                  <c:v>551.5</c:v>
                </c:pt>
                <c:pt idx="56">
                  <c:v>551.5</c:v>
                </c:pt>
                <c:pt idx="57">
                  <c:v>551.5</c:v>
                </c:pt>
                <c:pt idx="58">
                  <c:v>551.5</c:v>
                </c:pt>
                <c:pt idx="59">
                  <c:v>551.5</c:v>
                </c:pt>
                <c:pt idx="60">
                  <c:v>551.5</c:v>
                </c:pt>
                <c:pt idx="61">
                  <c:v>551.5</c:v>
                </c:pt>
                <c:pt idx="62">
                  <c:v>551.5</c:v>
                </c:pt>
                <c:pt idx="63">
                  <c:v>551.5</c:v>
                </c:pt>
                <c:pt idx="64">
                  <c:v>551.5</c:v>
                </c:pt>
                <c:pt idx="65">
                  <c:v>551.5</c:v>
                </c:pt>
                <c:pt idx="66">
                  <c:v>551.5</c:v>
                </c:pt>
                <c:pt idx="67">
                  <c:v>551.5</c:v>
                </c:pt>
                <c:pt idx="68">
                  <c:v>551.5</c:v>
                </c:pt>
                <c:pt idx="69">
                  <c:v>551.5</c:v>
                </c:pt>
                <c:pt idx="70">
                  <c:v>551.5</c:v>
                </c:pt>
                <c:pt idx="71">
                  <c:v>551.5</c:v>
                </c:pt>
                <c:pt idx="72">
                  <c:v>551.5</c:v>
                </c:pt>
                <c:pt idx="73">
                  <c:v>551.5</c:v>
                </c:pt>
                <c:pt idx="74">
                  <c:v>551.5</c:v>
                </c:pt>
                <c:pt idx="75">
                  <c:v>551.5</c:v>
                </c:pt>
                <c:pt idx="76">
                  <c:v>551.5</c:v>
                </c:pt>
                <c:pt idx="77">
                  <c:v>551.5</c:v>
                </c:pt>
                <c:pt idx="78">
                  <c:v>551.5</c:v>
                </c:pt>
                <c:pt idx="79">
                  <c:v>551.5</c:v>
                </c:pt>
                <c:pt idx="80">
                  <c:v>551.5</c:v>
                </c:pt>
                <c:pt idx="81">
                  <c:v>551.5</c:v>
                </c:pt>
                <c:pt idx="82">
                  <c:v>551.5</c:v>
                </c:pt>
                <c:pt idx="83">
                  <c:v>551.5</c:v>
                </c:pt>
                <c:pt idx="84">
                  <c:v>551.5</c:v>
                </c:pt>
                <c:pt idx="85">
                  <c:v>551.5</c:v>
                </c:pt>
                <c:pt idx="86">
                  <c:v>551.5</c:v>
                </c:pt>
                <c:pt idx="87">
                  <c:v>551.5</c:v>
                </c:pt>
                <c:pt idx="88">
                  <c:v>551.5</c:v>
                </c:pt>
                <c:pt idx="89">
                  <c:v>551.5</c:v>
                </c:pt>
                <c:pt idx="90">
                  <c:v>551.5</c:v>
                </c:pt>
                <c:pt idx="91">
                  <c:v>551.5</c:v>
                </c:pt>
                <c:pt idx="92">
                  <c:v>551.5</c:v>
                </c:pt>
                <c:pt idx="93">
                  <c:v>551.5</c:v>
                </c:pt>
                <c:pt idx="94">
                  <c:v>551.5</c:v>
                </c:pt>
                <c:pt idx="95">
                  <c:v>551.5</c:v>
                </c:pt>
                <c:pt idx="96">
                  <c:v>551.5</c:v>
                </c:pt>
                <c:pt idx="97">
                  <c:v>551.5</c:v>
                </c:pt>
                <c:pt idx="98">
                  <c:v>551.5</c:v>
                </c:pt>
                <c:pt idx="99">
                  <c:v>551.5</c:v>
                </c:pt>
                <c:pt idx="100">
                  <c:v>551.5</c:v>
                </c:pt>
                <c:pt idx="101">
                  <c:v>551.5</c:v>
                </c:pt>
                <c:pt idx="102">
                  <c:v>551.5</c:v>
                </c:pt>
                <c:pt idx="103">
                  <c:v>551.5</c:v>
                </c:pt>
                <c:pt idx="104">
                  <c:v>551.5</c:v>
                </c:pt>
                <c:pt idx="105">
                  <c:v>551.5</c:v>
                </c:pt>
                <c:pt idx="106">
                  <c:v>551.5</c:v>
                </c:pt>
                <c:pt idx="107">
                  <c:v>551.5</c:v>
                </c:pt>
                <c:pt idx="108">
                  <c:v>551.5</c:v>
                </c:pt>
                <c:pt idx="109">
                  <c:v>551.5</c:v>
                </c:pt>
                <c:pt idx="110">
                  <c:v>551.5</c:v>
                </c:pt>
                <c:pt idx="111">
                  <c:v>551.5</c:v>
                </c:pt>
                <c:pt idx="112">
                  <c:v>551.5</c:v>
                </c:pt>
                <c:pt idx="113">
                  <c:v>551.5</c:v>
                </c:pt>
                <c:pt idx="114">
                  <c:v>551.5</c:v>
                </c:pt>
                <c:pt idx="115">
                  <c:v>551.5</c:v>
                </c:pt>
                <c:pt idx="116">
                  <c:v>551.5</c:v>
                </c:pt>
                <c:pt idx="117">
                  <c:v>551.5</c:v>
                </c:pt>
                <c:pt idx="118">
                  <c:v>551.5</c:v>
                </c:pt>
                <c:pt idx="119">
                  <c:v>551.5</c:v>
                </c:pt>
                <c:pt idx="120">
                  <c:v>551.5</c:v>
                </c:pt>
                <c:pt idx="121">
                  <c:v>551.5</c:v>
                </c:pt>
                <c:pt idx="122">
                  <c:v>551.5</c:v>
                </c:pt>
                <c:pt idx="123">
                  <c:v>551.5</c:v>
                </c:pt>
                <c:pt idx="124">
                  <c:v>551.5</c:v>
                </c:pt>
                <c:pt idx="125">
                  <c:v>551.5</c:v>
                </c:pt>
                <c:pt idx="126">
                  <c:v>551.5</c:v>
                </c:pt>
                <c:pt idx="127">
                  <c:v>551.5</c:v>
                </c:pt>
                <c:pt idx="128">
                  <c:v>551.5</c:v>
                </c:pt>
                <c:pt idx="129">
                  <c:v>551.5</c:v>
                </c:pt>
                <c:pt idx="130">
                  <c:v>551.5</c:v>
                </c:pt>
                <c:pt idx="131">
                  <c:v>551.5</c:v>
                </c:pt>
                <c:pt idx="132">
                  <c:v>551.5</c:v>
                </c:pt>
                <c:pt idx="133">
                  <c:v>551.5</c:v>
                </c:pt>
                <c:pt idx="134">
                  <c:v>551.5</c:v>
                </c:pt>
                <c:pt idx="135">
                  <c:v>551.5</c:v>
                </c:pt>
                <c:pt idx="136">
                  <c:v>551.5</c:v>
                </c:pt>
                <c:pt idx="137">
                  <c:v>551.5</c:v>
                </c:pt>
                <c:pt idx="138">
                  <c:v>551.5</c:v>
                </c:pt>
                <c:pt idx="139">
                  <c:v>551.5</c:v>
                </c:pt>
                <c:pt idx="140">
                  <c:v>551.5</c:v>
                </c:pt>
                <c:pt idx="141">
                  <c:v>551.5</c:v>
                </c:pt>
                <c:pt idx="142">
                  <c:v>551.5</c:v>
                </c:pt>
                <c:pt idx="143">
                  <c:v>551.5</c:v>
                </c:pt>
                <c:pt idx="144">
                  <c:v>551.5</c:v>
                </c:pt>
                <c:pt idx="145">
                  <c:v>551.5</c:v>
                </c:pt>
                <c:pt idx="146">
                  <c:v>551.5</c:v>
                </c:pt>
                <c:pt idx="147">
                  <c:v>551.5</c:v>
                </c:pt>
                <c:pt idx="148">
                  <c:v>551.5</c:v>
                </c:pt>
                <c:pt idx="149">
                  <c:v>551.5</c:v>
                </c:pt>
                <c:pt idx="150">
                  <c:v>551.5</c:v>
                </c:pt>
              </c:numCache>
            </c:numRef>
          </c:val>
          <c:smooth val="0"/>
          <c:extLst>
            <c:ext xmlns:c16="http://schemas.microsoft.com/office/drawing/2014/chart" uri="{C3380CC4-5D6E-409C-BE32-E72D297353CC}">
              <c16:uniqueId val="{0000000E-64CF-4352-BC93-76825160D072}"/>
            </c:ext>
          </c:extLst>
        </c:ser>
        <c:ser>
          <c:idx val="14"/>
          <c:order val="15"/>
          <c:tx>
            <c:v>Upper percentile</c:v>
          </c:tx>
          <c:spPr>
            <a:ln w="12700">
              <a:solidFill>
                <a:srgbClr val="C00000"/>
              </a:solidFill>
              <a:prstDash val="sysDash"/>
            </a:ln>
          </c:spPr>
          <c:marker>
            <c:symbol val="none"/>
          </c:marker>
          <c:val>
            <c:numRef>
              <c:f>[0]!ChartRange_PercUpper</c:f>
              <c:numCache>
                <c:formatCode>#,##0</c:formatCode>
                <c:ptCount val="151"/>
                <c:pt idx="0">
                  <c:v>664</c:v>
                </c:pt>
                <c:pt idx="1">
                  <c:v>664</c:v>
                </c:pt>
                <c:pt idx="2">
                  <c:v>664</c:v>
                </c:pt>
                <c:pt idx="3">
                  <c:v>664</c:v>
                </c:pt>
                <c:pt idx="4">
                  <c:v>664</c:v>
                </c:pt>
                <c:pt idx="5">
                  <c:v>664</c:v>
                </c:pt>
                <c:pt idx="6">
                  <c:v>664</c:v>
                </c:pt>
                <c:pt idx="7">
                  <c:v>664</c:v>
                </c:pt>
                <c:pt idx="8">
                  <c:v>664</c:v>
                </c:pt>
                <c:pt idx="9">
                  <c:v>664</c:v>
                </c:pt>
                <c:pt idx="10">
                  <c:v>664</c:v>
                </c:pt>
                <c:pt idx="11">
                  <c:v>664</c:v>
                </c:pt>
                <c:pt idx="12">
                  <c:v>664</c:v>
                </c:pt>
                <c:pt idx="13">
                  <c:v>664</c:v>
                </c:pt>
                <c:pt idx="14">
                  <c:v>664</c:v>
                </c:pt>
                <c:pt idx="15">
                  <c:v>664</c:v>
                </c:pt>
                <c:pt idx="16">
                  <c:v>664</c:v>
                </c:pt>
                <c:pt idx="17">
                  <c:v>664</c:v>
                </c:pt>
                <c:pt idx="18">
                  <c:v>664</c:v>
                </c:pt>
                <c:pt idx="19">
                  <c:v>664</c:v>
                </c:pt>
                <c:pt idx="20">
                  <c:v>664</c:v>
                </c:pt>
                <c:pt idx="21">
                  <c:v>664</c:v>
                </c:pt>
                <c:pt idx="22">
                  <c:v>664</c:v>
                </c:pt>
                <c:pt idx="23">
                  <c:v>664</c:v>
                </c:pt>
                <c:pt idx="24">
                  <c:v>664</c:v>
                </c:pt>
                <c:pt idx="25">
                  <c:v>664</c:v>
                </c:pt>
                <c:pt idx="26">
                  <c:v>664</c:v>
                </c:pt>
                <c:pt idx="27">
                  <c:v>664</c:v>
                </c:pt>
                <c:pt idx="28">
                  <c:v>664</c:v>
                </c:pt>
                <c:pt idx="29">
                  <c:v>664</c:v>
                </c:pt>
                <c:pt idx="30">
                  <c:v>664</c:v>
                </c:pt>
                <c:pt idx="31">
                  <c:v>664</c:v>
                </c:pt>
                <c:pt idx="32">
                  <c:v>664</c:v>
                </c:pt>
                <c:pt idx="33">
                  <c:v>664</c:v>
                </c:pt>
                <c:pt idx="34">
                  <c:v>664</c:v>
                </c:pt>
                <c:pt idx="35">
                  <c:v>664</c:v>
                </c:pt>
                <c:pt idx="36">
                  <c:v>664</c:v>
                </c:pt>
                <c:pt idx="37">
                  <c:v>664</c:v>
                </c:pt>
                <c:pt idx="38">
                  <c:v>664</c:v>
                </c:pt>
                <c:pt idx="39">
                  <c:v>664</c:v>
                </c:pt>
                <c:pt idx="40">
                  <c:v>664</c:v>
                </c:pt>
                <c:pt idx="41">
                  <c:v>664</c:v>
                </c:pt>
                <c:pt idx="42">
                  <c:v>664</c:v>
                </c:pt>
                <c:pt idx="43">
                  <c:v>664</c:v>
                </c:pt>
                <c:pt idx="44">
                  <c:v>664</c:v>
                </c:pt>
                <c:pt idx="45">
                  <c:v>664</c:v>
                </c:pt>
                <c:pt idx="46">
                  <c:v>664</c:v>
                </c:pt>
                <c:pt idx="47">
                  <c:v>664</c:v>
                </c:pt>
                <c:pt idx="48">
                  <c:v>664</c:v>
                </c:pt>
                <c:pt idx="49">
                  <c:v>664</c:v>
                </c:pt>
                <c:pt idx="50">
                  <c:v>664</c:v>
                </c:pt>
                <c:pt idx="51">
                  <c:v>664</c:v>
                </c:pt>
                <c:pt idx="52">
                  <c:v>664</c:v>
                </c:pt>
                <c:pt idx="53">
                  <c:v>664</c:v>
                </c:pt>
                <c:pt idx="54">
                  <c:v>664</c:v>
                </c:pt>
                <c:pt idx="55">
                  <c:v>664</c:v>
                </c:pt>
                <c:pt idx="56">
                  <c:v>664</c:v>
                </c:pt>
                <c:pt idx="57">
                  <c:v>664</c:v>
                </c:pt>
                <c:pt idx="58">
                  <c:v>664</c:v>
                </c:pt>
                <c:pt idx="59">
                  <c:v>664</c:v>
                </c:pt>
                <c:pt idx="60">
                  <c:v>664</c:v>
                </c:pt>
                <c:pt idx="61">
                  <c:v>664</c:v>
                </c:pt>
                <c:pt idx="62">
                  <c:v>664</c:v>
                </c:pt>
                <c:pt idx="63">
                  <c:v>664</c:v>
                </c:pt>
                <c:pt idx="64">
                  <c:v>664</c:v>
                </c:pt>
                <c:pt idx="65">
                  <c:v>664</c:v>
                </c:pt>
                <c:pt idx="66">
                  <c:v>664</c:v>
                </c:pt>
                <c:pt idx="67">
                  <c:v>664</c:v>
                </c:pt>
                <c:pt idx="68">
                  <c:v>664</c:v>
                </c:pt>
                <c:pt idx="69">
                  <c:v>664</c:v>
                </c:pt>
                <c:pt idx="70">
                  <c:v>664</c:v>
                </c:pt>
                <c:pt idx="71">
                  <c:v>664</c:v>
                </c:pt>
                <c:pt idx="72">
                  <c:v>664</c:v>
                </c:pt>
                <c:pt idx="73">
                  <c:v>664</c:v>
                </c:pt>
                <c:pt idx="74">
                  <c:v>664</c:v>
                </c:pt>
                <c:pt idx="75">
                  <c:v>664</c:v>
                </c:pt>
                <c:pt idx="76">
                  <c:v>664</c:v>
                </c:pt>
                <c:pt idx="77">
                  <c:v>664</c:v>
                </c:pt>
                <c:pt idx="78">
                  <c:v>664</c:v>
                </c:pt>
                <c:pt idx="79">
                  <c:v>664</c:v>
                </c:pt>
                <c:pt idx="80">
                  <c:v>664</c:v>
                </c:pt>
                <c:pt idx="81">
                  <c:v>664</c:v>
                </c:pt>
                <c:pt idx="82">
                  <c:v>664</c:v>
                </c:pt>
                <c:pt idx="83">
                  <c:v>664</c:v>
                </c:pt>
                <c:pt idx="84">
                  <c:v>664</c:v>
                </c:pt>
                <c:pt idx="85">
                  <c:v>664</c:v>
                </c:pt>
                <c:pt idx="86">
                  <c:v>664</c:v>
                </c:pt>
                <c:pt idx="87">
                  <c:v>664</c:v>
                </c:pt>
                <c:pt idx="88">
                  <c:v>664</c:v>
                </c:pt>
                <c:pt idx="89">
                  <c:v>664</c:v>
                </c:pt>
                <c:pt idx="90">
                  <c:v>664</c:v>
                </c:pt>
                <c:pt idx="91">
                  <c:v>664</c:v>
                </c:pt>
                <c:pt idx="92">
                  <c:v>664</c:v>
                </c:pt>
                <c:pt idx="93">
                  <c:v>664</c:v>
                </c:pt>
                <c:pt idx="94">
                  <c:v>664</c:v>
                </c:pt>
                <c:pt idx="95">
                  <c:v>664</c:v>
                </c:pt>
                <c:pt idx="96">
                  <c:v>664</c:v>
                </c:pt>
                <c:pt idx="97">
                  <c:v>664</c:v>
                </c:pt>
                <c:pt idx="98">
                  <c:v>664</c:v>
                </c:pt>
                <c:pt idx="99">
                  <c:v>664</c:v>
                </c:pt>
                <c:pt idx="100">
                  <c:v>664</c:v>
                </c:pt>
                <c:pt idx="101">
                  <c:v>664</c:v>
                </c:pt>
                <c:pt idx="102">
                  <c:v>664</c:v>
                </c:pt>
                <c:pt idx="103">
                  <c:v>664</c:v>
                </c:pt>
                <c:pt idx="104">
                  <c:v>664</c:v>
                </c:pt>
                <c:pt idx="105">
                  <c:v>664</c:v>
                </c:pt>
                <c:pt idx="106">
                  <c:v>664</c:v>
                </c:pt>
                <c:pt idx="107">
                  <c:v>664</c:v>
                </c:pt>
                <c:pt idx="108">
                  <c:v>664</c:v>
                </c:pt>
                <c:pt idx="109">
                  <c:v>664</c:v>
                </c:pt>
                <c:pt idx="110">
                  <c:v>664</c:v>
                </c:pt>
                <c:pt idx="111">
                  <c:v>664</c:v>
                </c:pt>
                <c:pt idx="112">
                  <c:v>664</c:v>
                </c:pt>
                <c:pt idx="113">
                  <c:v>664</c:v>
                </c:pt>
                <c:pt idx="114">
                  <c:v>664</c:v>
                </c:pt>
                <c:pt idx="115">
                  <c:v>664</c:v>
                </c:pt>
                <c:pt idx="116">
                  <c:v>664</c:v>
                </c:pt>
                <c:pt idx="117">
                  <c:v>664</c:v>
                </c:pt>
                <c:pt idx="118">
                  <c:v>664</c:v>
                </c:pt>
                <c:pt idx="119">
                  <c:v>664</c:v>
                </c:pt>
                <c:pt idx="120">
                  <c:v>664</c:v>
                </c:pt>
                <c:pt idx="121">
                  <c:v>664</c:v>
                </c:pt>
                <c:pt idx="122">
                  <c:v>664</c:v>
                </c:pt>
                <c:pt idx="123">
                  <c:v>664</c:v>
                </c:pt>
                <c:pt idx="124">
                  <c:v>664</c:v>
                </c:pt>
                <c:pt idx="125">
                  <c:v>664</c:v>
                </c:pt>
                <c:pt idx="126">
                  <c:v>664</c:v>
                </c:pt>
                <c:pt idx="127">
                  <c:v>664</c:v>
                </c:pt>
                <c:pt idx="128">
                  <c:v>664</c:v>
                </c:pt>
                <c:pt idx="129">
                  <c:v>664</c:v>
                </c:pt>
                <c:pt idx="130">
                  <c:v>664</c:v>
                </c:pt>
                <c:pt idx="131">
                  <c:v>664</c:v>
                </c:pt>
                <c:pt idx="132">
                  <c:v>664</c:v>
                </c:pt>
                <c:pt idx="133">
                  <c:v>664</c:v>
                </c:pt>
                <c:pt idx="134">
                  <c:v>664</c:v>
                </c:pt>
                <c:pt idx="135">
                  <c:v>664</c:v>
                </c:pt>
                <c:pt idx="136">
                  <c:v>664</c:v>
                </c:pt>
                <c:pt idx="137">
                  <c:v>664</c:v>
                </c:pt>
                <c:pt idx="138">
                  <c:v>664</c:v>
                </c:pt>
                <c:pt idx="139">
                  <c:v>664</c:v>
                </c:pt>
                <c:pt idx="140">
                  <c:v>664</c:v>
                </c:pt>
                <c:pt idx="141">
                  <c:v>664</c:v>
                </c:pt>
                <c:pt idx="142">
                  <c:v>664</c:v>
                </c:pt>
                <c:pt idx="143">
                  <c:v>664</c:v>
                </c:pt>
                <c:pt idx="144">
                  <c:v>664</c:v>
                </c:pt>
                <c:pt idx="145">
                  <c:v>664</c:v>
                </c:pt>
                <c:pt idx="146">
                  <c:v>664</c:v>
                </c:pt>
                <c:pt idx="147">
                  <c:v>664</c:v>
                </c:pt>
                <c:pt idx="148">
                  <c:v>664</c:v>
                </c:pt>
                <c:pt idx="149">
                  <c:v>664</c:v>
                </c:pt>
                <c:pt idx="150">
                  <c:v>664</c:v>
                </c:pt>
              </c:numCache>
            </c:numRef>
          </c:val>
          <c:smooth val="0"/>
          <c:extLst>
            <c:ext xmlns:c16="http://schemas.microsoft.com/office/drawing/2014/chart" uri="{C3380CC4-5D6E-409C-BE32-E72D297353CC}">
              <c16:uniqueId val="{0000000F-64CF-4352-BC93-76825160D072}"/>
            </c:ext>
          </c:extLst>
        </c:ser>
        <c:dLbls>
          <c:showLegendKey val="0"/>
          <c:showVal val="0"/>
          <c:showCatName val="0"/>
          <c:showSerName val="0"/>
          <c:showPercent val="0"/>
          <c:showBubbleSize val="0"/>
        </c:dLbls>
        <c:marker val="1"/>
        <c:smooth val="0"/>
        <c:axId val="261876736"/>
        <c:axId val="340792064"/>
      </c:lineChart>
      <c:catAx>
        <c:axId val="261876736"/>
        <c:scaling>
          <c:orientation val="minMax"/>
        </c:scaling>
        <c:delete val="0"/>
        <c:axPos val="b"/>
        <c:numFmt formatCode="General" sourceLinked="0"/>
        <c:majorTickMark val="none"/>
        <c:minorTickMark val="none"/>
        <c:tickLblPos val="nextTo"/>
        <c:txPr>
          <a:bodyPr/>
          <a:lstStyle/>
          <a:p>
            <a:pPr>
              <a:defRPr sz="800"/>
            </a:pPr>
            <a:endParaRPr lang="en-US"/>
          </a:p>
        </c:txPr>
        <c:crossAx val="340792064"/>
        <c:crosses val="autoZero"/>
        <c:auto val="1"/>
        <c:lblAlgn val="ctr"/>
        <c:lblOffset val="100"/>
        <c:noMultiLvlLbl val="1"/>
      </c:catAx>
      <c:valAx>
        <c:axId val="340792064"/>
        <c:scaling>
          <c:orientation val="minMax"/>
        </c:scaling>
        <c:delete val="0"/>
        <c:axPos val="l"/>
        <c:majorGridlines>
          <c:spPr>
            <a:ln>
              <a:solidFill>
                <a:schemeClr val="bg1"/>
              </a:solidFill>
            </a:ln>
          </c:spPr>
        </c:majorGridlines>
        <c:numFmt formatCode="#,##0" sourceLinked="1"/>
        <c:majorTickMark val="out"/>
        <c:minorTickMark val="none"/>
        <c:tickLblPos val="nextTo"/>
        <c:crossAx val="261876736"/>
        <c:crosses val="autoZero"/>
        <c:crossBetween val="between"/>
      </c:valAx>
      <c:valAx>
        <c:axId val="340793600"/>
        <c:scaling>
          <c:orientation val="minMax"/>
          <c:max val="1"/>
        </c:scaling>
        <c:delete val="0"/>
        <c:axPos val="r"/>
        <c:numFmt formatCode="General" sourceLinked="1"/>
        <c:majorTickMark val="none"/>
        <c:minorTickMark val="none"/>
        <c:tickLblPos val="none"/>
        <c:crossAx val="340799488"/>
        <c:crosses val="max"/>
        <c:crossBetween val="between"/>
      </c:valAx>
      <c:catAx>
        <c:axId val="340799488"/>
        <c:scaling>
          <c:orientation val="minMax"/>
        </c:scaling>
        <c:delete val="1"/>
        <c:axPos val="b"/>
        <c:majorTickMark val="out"/>
        <c:minorTickMark val="none"/>
        <c:tickLblPos val="nextTo"/>
        <c:crossAx val="340793600"/>
        <c:crosses val="autoZero"/>
        <c:auto val="1"/>
        <c:lblAlgn val="ctr"/>
        <c:lblOffset val="100"/>
        <c:noMultiLvlLbl val="0"/>
      </c:catAx>
    </c:plotArea>
    <c:legend>
      <c:legendPos val="t"/>
      <c:legendEntry>
        <c:idx val="0"/>
        <c:delete val="1"/>
      </c:legendEntry>
      <c:legendEntry>
        <c:idx val="1"/>
        <c:delete val="1"/>
      </c:legendEntry>
      <c:legendEntry>
        <c:idx val="2"/>
        <c:delete val="1"/>
      </c:legendEntry>
      <c:legendEntry>
        <c:idx val="3"/>
        <c:delete val="1"/>
      </c:legendEntry>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Planned demand - SPC</a:t>
            </a:r>
            <a:r>
              <a:rPr lang="en-US" baseline="0"/>
              <a:t> Chart</a:t>
            </a:r>
            <a:endParaRPr lang="en-US"/>
          </a:p>
        </c:rich>
      </c:tx>
      <c:overlay val="0"/>
    </c:title>
    <c:autoTitleDeleted val="0"/>
    <c:plotArea>
      <c:layout/>
      <c:barChart>
        <c:barDir val="col"/>
        <c:grouping val="clustered"/>
        <c:varyColors val="0"/>
        <c:ser>
          <c:idx val="1"/>
          <c:order val="6"/>
          <c:tx>
            <c:strRef>
              <c:f>'Planned background (hide)'!$AD$2</c:f>
              <c:strCache>
                <c:ptCount val="1"/>
                <c:pt idx="0">
                  <c:v>Baseline Selection</c:v>
                </c:pt>
              </c:strCache>
            </c:strRef>
          </c:tx>
          <c:spPr>
            <a:solidFill>
              <a:srgbClr val="CCCCFF">
                <a:alpha val="45000"/>
              </a:srgbClr>
            </a:solidFill>
          </c:spPr>
          <c:invertIfNegative val="0"/>
          <c:val>
            <c:numRef>
              <c:f>[0]!Plan_SPC_Baseline</c:f>
              <c:numCache>
                <c:formatCode>General</c:formatCode>
                <c:ptCount val="7"/>
                <c:pt idx="0">
                  <c:v>1</c:v>
                </c:pt>
                <c:pt idx="1">
                  <c:v>1</c:v>
                </c:pt>
                <c:pt idx="2">
                  <c:v>1</c:v>
                </c:pt>
                <c:pt idx="3">
                  <c:v>1</c:v>
                </c:pt>
                <c:pt idx="4">
                  <c:v>1</c:v>
                </c:pt>
                <c:pt idx="5">
                  <c:v>0</c:v>
                </c:pt>
                <c:pt idx="6">
                  <c:v>0</c:v>
                </c:pt>
              </c:numCache>
            </c:numRef>
          </c:val>
          <c:extLst>
            <c:ext xmlns:c16="http://schemas.microsoft.com/office/drawing/2014/chart" uri="{C3380CC4-5D6E-409C-BE32-E72D297353CC}">
              <c16:uniqueId val="{00000000-A4F4-476D-883B-B7CFBF0E47B0}"/>
            </c:ext>
          </c:extLst>
        </c:ser>
        <c:dLbls>
          <c:showLegendKey val="0"/>
          <c:showVal val="0"/>
          <c:showCatName val="0"/>
          <c:showSerName val="0"/>
          <c:showPercent val="0"/>
          <c:showBubbleSize val="0"/>
        </c:dLbls>
        <c:gapWidth val="0"/>
        <c:overlap val="100"/>
        <c:axId val="341536768"/>
        <c:axId val="341530880"/>
      </c:barChart>
      <c:lineChart>
        <c:grouping val="standard"/>
        <c:varyColors val="0"/>
        <c:ser>
          <c:idx val="3"/>
          <c:order val="0"/>
          <c:tx>
            <c:strRef>
              <c:f>'Planned background (hide)'!$AE$2</c:f>
              <c:strCache>
                <c:ptCount val="1"/>
                <c:pt idx="0">
                  <c:v>Planned Demand</c:v>
                </c:pt>
              </c:strCache>
            </c:strRef>
          </c:tx>
          <c:spPr>
            <a:ln>
              <a:solidFill>
                <a:schemeClr val="accent1"/>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[0]!Plan_SPC_Demand</c:f>
              <c:numCache>
                <c:formatCode>#,##0</c:formatCode>
                <c:ptCount val="7"/>
                <c:pt idx="0">
                  <c:v>147.93103448275863</c:v>
                </c:pt>
                <c:pt idx="1">
                  <c:v>184.91379310344828</c:v>
                </c:pt>
                <c:pt idx="2">
                  <c:v>73.965517241379317</c:v>
                </c:pt>
                <c:pt idx="3">
                  <c:v>110.94827586206898</c:v>
                </c:pt>
                <c:pt idx="4">
                  <c:v>184.91379310344828</c:v>
                </c:pt>
                <c:pt idx="5">
                  <c:v>110.94827586206898</c:v>
                </c:pt>
                <c:pt idx="6">
                  <c:v>147.93103448275863</c:v>
                </c:pt>
              </c:numCache>
            </c:numRef>
          </c:val>
          <c:smooth val="0"/>
          <c:extLst>
            <c:ext xmlns:c16="http://schemas.microsoft.com/office/drawing/2014/chart" uri="{C3380CC4-5D6E-409C-BE32-E72D297353CC}">
              <c16:uniqueId val="{00000001-A4F4-476D-883B-B7CFBF0E47B0}"/>
            </c:ext>
          </c:extLst>
        </c:ser>
        <c:ser>
          <c:idx val="6"/>
          <c:order val="1"/>
          <c:tx>
            <c:strRef>
              <c:f>'Planned background (hide)'!$AH$2</c:f>
              <c:strCache>
                <c:ptCount val="1"/>
                <c:pt idx="0">
                  <c:v>Lower Control Limit</c:v>
                </c:pt>
              </c:strCache>
            </c:strRef>
          </c:tx>
          <c:spPr>
            <a:ln w="15875">
              <a:solidFill>
                <a:srgbClr val="00B050"/>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[0]!Plan_SPC_LCL</c:f>
              <c:numCache>
                <c:formatCode>General</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2-A4F4-476D-883B-B7CFBF0E47B0}"/>
            </c:ext>
          </c:extLst>
        </c:ser>
        <c:ser>
          <c:idx val="11"/>
          <c:order val="2"/>
          <c:tx>
            <c:strRef>
              <c:f>'Planned background (hide)'!$AM$2</c:f>
              <c:strCache>
                <c:ptCount val="1"/>
                <c:pt idx="0">
                  <c:v>Upper Control Limit</c:v>
                </c:pt>
              </c:strCache>
            </c:strRef>
          </c:tx>
          <c:spPr>
            <a:ln w="15875">
              <a:solidFill>
                <a:schemeClr val="tx2">
                  <a:lumMod val="40000"/>
                  <a:lumOff val="60000"/>
                </a:schemeClr>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[0]!Plan_SPC_UCL</c:f>
              <c:numCache>
                <c:formatCode>General</c:formatCode>
                <c:ptCount val="7"/>
                <c:pt idx="0">
                  <c:v>312.66168378576668</c:v>
                </c:pt>
                <c:pt idx="1">
                  <c:v>312.66168378576668</c:v>
                </c:pt>
                <c:pt idx="2">
                  <c:v>312.66168378576668</c:v>
                </c:pt>
                <c:pt idx="3">
                  <c:v>312.66168378576668</c:v>
                </c:pt>
                <c:pt idx="4">
                  <c:v>312.66168378576668</c:v>
                </c:pt>
                <c:pt idx="5">
                  <c:v>312.66168378576668</c:v>
                </c:pt>
                <c:pt idx="6">
                  <c:v>312.66168378576668</c:v>
                </c:pt>
              </c:numCache>
            </c:numRef>
          </c:val>
          <c:smooth val="0"/>
          <c:extLst>
            <c:ext xmlns:c16="http://schemas.microsoft.com/office/drawing/2014/chart" uri="{C3380CC4-5D6E-409C-BE32-E72D297353CC}">
              <c16:uniqueId val="{00000003-A4F4-476D-883B-B7CFBF0E47B0}"/>
            </c:ext>
          </c:extLst>
        </c:ser>
        <c:ser>
          <c:idx val="12"/>
          <c:order val="3"/>
          <c:tx>
            <c:strRef>
              <c:f>'Planned background (hide)'!$AN$2</c:f>
              <c:strCache>
                <c:ptCount val="1"/>
                <c:pt idx="0">
                  <c:v>Lower Percentile Bound</c:v>
                </c:pt>
              </c:strCache>
            </c:strRef>
          </c:tx>
          <c:spPr>
            <a:ln w="12700">
              <a:solidFill>
                <a:schemeClr val="accent1"/>
              </a:solidFill>
              <a:prstDash val="dash"/>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'Planned background (hide)'!$AN$3:$AN$54</c:f>
            </c:numRef>
          </c:val>
          <c:smooth val="0"/>
          <c:extLst>
            <c:ext xmlns:c16="http://schemas.microsoft.com/office/drawing/2014/chart" uri="{C3380CC4-5D6E-409C-BE32-E72D297353CC}">
              <c16:uniqueId val="{00000004-A4F4-476D-883B-B7CFBF0E47B0}"/>
            </c:ext>
          </c:extLst>
        </c:ser>
        <c:ser>
          <c:idx val="13"/>
          <c:order val="4"/>
          <c:tx>
            <c:strRef>
              <c:f>'Planned background (hide)'!$AO$2</c:f>
              <c:strCache>
                <c:ptCount val="1"/>
                <c:pt idx="0">
                  <c:v>Upper Percentile Bound</c:v>
                </c:pt>
              </c:strCache>
            </c:strRef>
          </c:tx>
          <c:spPr>
            <a:ln w="12700">
              <a:solidFill>
                <a:schemeClr val="accent4">
                  <a:lumMod val="75000"/>
                </a:schemeClr>
              </a:solidFill>
              <a:prstDash val="sysDash"/>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'Planned background (hide)'!$AO$3:$AO$54</c:f>
            </c:numRef>
          </c:val>
          <c:smooth val="0"/>
          <c:extLst>
            <c:ext xmlns:c16="http://schemas.microsoft.com/office/drawing/2014/chart" uri="{C3380CC4-5D6E-409C-BE32-E72D297353CC}">
              <c16:uniqueId val="{00000005-A4F4-476D-883B-B7CFBF0E47B0}"/>
            </c:ext>
          </c:extLst>
        </c:ser>
        <c:ser>
          <c:idx val="0"/>
          <c:order val="5"/>
          <c:tx>
            <c:strRef>
              <c:f>'Planned background (hide)'!$AF$2</c:f>
              <c:strCache>
                <c:ptCount val="1"/>
                <c:pt idx="0">
                  <c:v>Mean</c:v>
                </c:pt>
              </c:strCache>
            </c:strRef>
          </c:tx>
          <c:spPr>
            <a:ln w="15875">
              <a:solidFill>
                <a:srgbClr val="768692"/>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[0]!Plan_SPC_Mean</c:f>
              <c:numCache>
                <c:formatCode>#,##0</c:formatCode>
                <c:ptCount val="7"/>
                <c:pt idx="0">
                  <c:v>140.5344827586207</c:v>
                </c:pt>
                <c:pt idx="1">
                  <c:v>140.5344827586207</c:v>
                </c:pt>
                <c:pt idx="2">
                  <c:v>140.5344827586207</c:v>
                </c:pt>
                <c:pt idx="3">
                  <c:v>140.5344827586207</c:v>
                </c:pt>
                <c:pt idx="4">
                  <c:v>140.5344827586207</c:v>
                </c:pt>
                <c:pt idx="5">
                  <c:v>140.5344827586207</c:v>
                </c:pt>
                <c:pt idx="6">
                  <c:v>140.5344827586207</c:v>
                </c:pt>
              </c:numCache>
            </c:numRef>
          </c:val>
          <c:smooth val="0"/>
          <c:extLst>
            <c:ext xmlns:c16="http://schemas.microsoft.com/office/drawing/2014/chart" uri="{C3380CC4-5D6E-409C-BE32-E72D297353CC}">
              <c16:uniqueId val="{00000006-A4F4-476D-883B-B7CFBF0E47B0}"/>
            </c:ext>
          </c:extLst>
        </c:ser>
        <c:ser>
          <c:idx val="2"/>
          <c:order val="7"/>
          <c:tx>
            <c:strRef>
              <c:f>'Planned background (hide)'!$AP$2</c:f>
              <c:strCache>
                <c:ptCount val="1"/>
                <c:pt idx="0">
                  <c:v>1</c:v>
                </c:pt>
              </c:strCache>
            </c:strRef>
          </c:tx>
          <c:spPr>
            <a:ln>
              <a:noFill/>
            </a:ln>
          </c:spPr>
          <c:marker>
            <c:symbol val="square"/>
            <c:size val="5"/>
            <c:spPr>
              <a:solidFill>
                <a:srgbClr val="C0504D"/>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[0]!Plan_SPC_R1</c:f>
              <c:numCache>
                <c:formatCode>General</c:formatCode>
                <c:ptCount val="7"/>
                <c:pt idx="0">
                  <c:v>#N/A</c:v>
                </c:pt>
                <c:pt idx="1">
                  <c:v>#N/A</c:v>
                </c:pt>
                <c:pt idx="2">
                  <c:v>#N/A</c:v>
                </c:pt>
                <c:pt idx="3">
                  <c:v>#N/A</c:v>
                </c:pt>
                <c:pt idx="4">
                  <c:v>#N/A</c:v>
                </c:pt>
                <c:pt idx="5">
                  <c:v>#N/A</c:v>
                </c:pt>
                <c:pt idx="6">
                  <c:v>#N/A</c:v>
                </c:pt>
              </c:numCache>
            </c:numRef>
          </c:val>
          <c:smooth val="0"/>
          <c:extLst>
            <c:ext xmlns:c16="http://schemas.microsoft.com/office/drawing/2014/chart" uri="{C3380CC4-5D6E-409C-BE32-E72D297353CC}">
              <c16:uniqueId val="{00000007-A4F4-476D-883B-B7CFBF0E47B0}"/>
            </c:ext>
          </c:extLst>
        </c:ser>
        <c:ser>
          <c:idx val="4"/>
          <c:order val="8"/>
          <c:tx>
            <c:strRef>
              <c:f>'Planned background (hide)'!$AR$2</c:f>
              <c:strCache>
                <c:ptCount val="1"/>
                <c:pt idx="0">
                  <c:v>2</c:v>
                </c:pt>
              </c:strCache>
            </c:strRef>
          </c:tx>
          <c:spPr>
            <a:ln>
              <a:noFill/>
            </a:ln>
          </c:spPr>
          <c:marker>
            <c:symbol val="square"/>
            <c:size val="5"/>
            <c:spPr>
              <a:solidFill>
                <a:srgbClr val="9BBB59"/>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[0]!Plan_SPC_R2</c:f>
              <c:numCache>
                <c:formatCode>General</c:formatCode>
                <c:ptCount val="7"/>
                <c:pt idx="2">
                  <c:v>#N/A</c:v>
                </c:pt>
                <c:pt idx="3">
                  <c:v>#N/A</c:v>
                </c:pt>
                <c:pt idx="4">
                  <c:v>#N/A</c:v>
                </c:pt>
                <c:pt idx="5">
                  <c:v>#N/A</c:v>
                </c:pt>
                <c:pt idx="6">
                  <c:v>#N/A</c:v>
                </c:pt>
              </c:numCache>
            </c:numRef>
          </c:val>
          <c:smooth val="0"/>
          <c:extLst>
            <c:ext xmlns:c16="http://schemas.microsoft.com/office/drawing/2014/chart" uri="{C3380CC4-5D6E-409C-BE32-E72D297353CC}">
              <c16:uniqueId val="{00000008-A4F4-476D-883B-B7CFBF0E47B0}"/>
            </c:ext>
          </c:extLst>
        </c:ser>
        <c:ser>
          <c:idx val="5"/>
          <c:order val="9"/>
          <c:tx>
            <c:strRef>
              <c:f>'Planned background (hide)'!$AT$2</c:f>
              <c:strCache>
                <c:ptCount val="1"/>
                <c:pt idx="0">
                  <c:v>3</c:v>
                </c:pt>
              </c:strCache>
            </c:strRef>
          </c:tx>
          <c:spPr>
            <a:ln>
              <a:noFill/>
            </a:ln>
          </c:spPr>
          <c:marker>
            <c:symbol val="square"/>
            <c:size val="5"/>
            <c:spPr>
              <a:solidFill>
                <a:srgbClr val="8064A2"/>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[0]!Plan_SPC_R3</c:f>
              <c:numCache>
                <c:formatCode>General</c:formatCode>
                <c:ptCount val="7"/>
                <c:pt idx="6">
                  <c:v>#N/A</c:v>
                </c:pt>
              </c:numCache>
            </c:numRef>
          </c:val>
          <c:smooth val="0"/>
          <c:extLst>
            <c:ext xmlns:c16="http://schemas.microsoft.com/office/drawing/2014/chart" uri="{C3380CC4-5D6E-409C-BE32-E72D297353CC}">
              <c16:uniqueId val="{00000009-A4F4-476D-883B-B7CFBF0E47B0}"/>
            </c:ext>
          </c:extLst>
        </c:ser>
        <c:ser>
          <c:idx val="7"/>
          <c:order val="10"/>
          <c:tx>
            <c:strRef>
              <c:f>'Planned background (hide)'!$AV$2</c:f>
              <c:strCache>
                <c:ptCount val="1"/>
                <c:pt idx="0">
                  <c:v>4</c:v>
                </c:pt>
              </c:strCache>
            </c:strRef>
          </c:tx>
          <c:spPr>
            <a:ln>
              <a:noFill/>
            </a:ln>
          </c:spPr>
          <c:marker>
            <c:symbol val="square"/>
            <c:size val="5"/>
            <c:spPr>
              <a:solidFill>
                <a:srgbClr val="F79646"/>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[0]!Plan_SPC_R4</c:f>
              <c:numCache>
                <c:formatCode>General</c:formatCode>
                <c:ptCount val="7"/>
              </c:numCache>
            </c:numRef>
          </c:val>
          <c:smooth val="0"/>
          <c:extLst>
            <c:ext xmlns:c16="http://schemas.microsoft.com/office/drawing/2014/chart" uri="{C3380CC4-5D6E-409C-BE32-E72D297353CC}">
              <c16:uniqueId val="{0000000A-A4F4-476D-883B-B7CFBF0E47B0}"/>
            </c:ext>
          </c:extLst>
        </c:ser>
        <c:dLbls>
          <c:showLegendKey val="0"/>
          <c:showVal val="0"/>
          <c:showCatName val="0"/>
          <c:showSerName val="0"/>
          <c:showPercent val="0"/>
          <c:showBubbleSize val="0"/>
        </c:dLbls>
        <c:marker val="1"/>
        <c:smooth val="0"/>
        <c:axId val="341527168"/>
        <c:axId val="341529344"/>
      </c:lineChart>
      <c:catAx>
        <c:axId val="341527168"/>
        <c:scaling>
          <c:orientation val="minMax"/>
        </c:scaling>
        <c:delete val="0"/>
        <c:axPos val="b"/>
        <c:numFmt formatCode="General" sourceLinked="0"/>
        <c:majorTickMark val="none"/>
        <c:minorTickMark val="none"/>
        <c:tickLblPos val="nextTo"/>
        <c:crossAx val="341529344"/>
        <c:crosses val="autoZero"/>
        <c:auto val="1"/>
        <c:lblAlgn val="ctr"/>
        <c:lblOffset val="100"/>
        <c:noMultiLvlLbl val="1"/>
      </c:catAx>
      <c:valAx>
        <c:axId val="341529344"/>
        <c:scaling>
          <c:orientation val="minMax"/>
        </c:scaling>
        <c:delete val="0"/>
        <c:axPos val="l"/>
        <c:majorGridlines>
          <c:spPr>
            <a:ln>
              <a:solidFill>
                <a:schemeClr val="bg1"/>
              </a:solidFill>
            </a:ln>
          </c:spPr>
        </c:majorGridlines>
        <c:numFmt formatCode="#,##0" sourceLinked="1"/>
        <c:majorTickMark val="out"/>
        <c:minorTickMark val="none"/>
        <c:tickLblPos val="nextTo"/>
        <c:crossAx val="341527168"/>
        <c:crosses val="autoZero"/>
        <c:crossBetween val="between"/>
      </c:valAx>
      <c:valAx>
        <c:axId val="341530880"/>
        <c:scaling>
          <c:orientation val="minMax"/>
          <c:max val="1"/>
        </c:scaling>
        <c:delete val="0"/>
        <c:axPos val="r"/>
        <c:numFmt formatCode="General" sourceLinked="1"/>
        <c:majorTickMark val="none"/>
        <c:minorTickMark val="none"/>
        <c:tickLblPos val="none"/>
        <c:crossAx val="341536768"/>
        <c:crosses val="max"/>
        <c:crossBetween val="between"/>
      </c:valAx>
      <c:catAx>
        <c:axId val="341536768"/>
        <c:scaling>
          <c:orientation val="minMax"/>
        </c:scaling>
        <c:delete val="1"/>
        <c:axPos val="b"/>
        <c:majorTickMark val="out"/>
        <c:minorTickMark val="none"/>
        <c:tickLblPos val="nextTo"/>
        <c:crossAx val="341530880"/>
        <c:crosses val="autoZero"/>
        <c:auto val="1"/>
        <c:lblAlgn val="ctr"/>
        <c:lblOffset val="100"/>
        <c:noMultiLvlLbl val="0"/>
      </c:catAx>
    </c:plotArea>
    <c:legend>
      <c:legendPos val="t"/>
      <c:legendEntry>
        <c:idx val="0"/>
        <c:delete val="1"/>
      </c:legendEntry>
      <c:legendEntry>
        <c:idx val="1"/>
        <c:delete val="1"/>
      </c:legendEntry>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calculation (hide)'!$I$1</c:f>
          <c:strCache>
            <c:ptCount val="1"/>
            <c:pt idx="0">
              <c:v>Capacity summary (patients)</c:v>
            </c:pt>
          </c:strCache>
        </c:strRef>
      </c:tx>
      <c:overlay val="0"/>
      <c:txPr>
        <a:bodyPr/>
        <a:lstStyle/>
        <a:p>
          <a:pPr>
            <a:defRPr/>
          </a:pPr>
          <a:endParaRPr lang="en-US"/>
        </a:p>
      </c:txPr>
    </c:title>
    <c:autoTitleDeleted val="0"/>
    <c:plotArea>
      <c:layout>
        <c:manualLayout>
          <c:layoutTarget val="inner"/>
          <c:xMode val="edge"/>
          <c:yMode val="edge"/>
          <c:x val="4.8518545780694484E-2"/>
          <c:y val="0.1930283659837925"/>
          <c:w val="0.93662159850775983"/>
          <c:h val="0.66051792760040662"/>
        </c:manualLayout>
      </c:layout>
      <c:barChart>
        <c:barDir val="col"/>
        <c:grouping val="stacked"/>
        <c:varyColors val="0"/>
        <c:ser>
          <c:idx val="0"/>
          <c:order val="0"/>
          <c:tx>
            <c:v>Core</c:v>
          </c:tx>
          <c:spPr>
            <a:solidFill>
              <a:schemeClr val="tx2"/>
            </a:solidFill>
          </c:spPr>
          <c:invertIfNegative val="0"/>
          <c:cat>
            <c:numRef>
              <c:f>[0]!Cap_Chart_Xaxis</c:f>
              <c:numCache>
                <c:formatCode>m/d/yyyy</c:formatCode>
                <c:ptCount val="52"/>
                <c:pt idx="0">
                  <c:v>43584</c:v>
                </c:pt>
                <c:pt idx="1">
                  <c:v>43591</c:v>
                </c:pt>
                <c:pt idx="2">
                  <c:v>43598</c:v>
                </c:pt>
                <c:pt idx="3">
                  <c:v>43605</c:v>
                </c:pt>
                <c:pt idx="4">
                  <c:v>43612</c:v>
                </c:pt>
                <c:pt idx="5">
                  <c:v>43619</c:v>
                </c:pt>
                <c:pt idx="6">
                  <c:v>43626</c:v>
                </c:pt>
                <c:pt idx="7">
                  <c:v>43633</c:v>
                </c:pt>
                <c:pt idx="8">
                  <c:v>43640</c:v>
                </c:pt>
                <c:pt idx="9">
                  <c:v>43647</c:v>
                </c:pt>
                <c:pt idx="10">
                  <c:v>43654</c:v>
                </c:pt>
                <c:pt idx="11">
                  <c:v>43661</c:v>
                </c:pt>
                <c:pt idx="12">
                  <c:v>43668</c:v>
                </c:pt>
                <c:pt idx="13">
                  <c:v>43675</c:v>
                </c:pt>
                <c:pt idx="14">
                  <c:v>43682</c:v>
                </c:pt>
                <c:pt idx="15">
                  <c:v>43689</c:v>
                </c:pt>
                <c:pt idx="16">
                  <c:v>43696</c:v>
                </c:pt>
                <c:pt idx="17">
                  <c:v>43703</c:v>
                </c:pt>
                <c:pt idx="18">
                  <c:v>43710</c:v>
                </c:pt>
                <c:pt idx="19">
                  <c:v>43717</c:v>
                </c:pt>
                <c:pt idx="20">
                  <c:v>43724</c:v>
                </c:pt>
                <c:pt idx="21">
                  <c:v>43731</c:v>
                </c:pt>
                <c:pt idx="22">
                  <c:v>43738</c:v>
                </c:pt>
                <c:pt idx="23">
                  <c:v>43745</c:v>
                </c:pt>
                <c:pt idx="24">
                  <c:v>43752</c:v>
                </c:pt>
                <c:pt idx="25">
                  <c:v>43759</c:v>
                </c:pt>
                <c:pt idx="26">
                  <c:v>43766</c:v>
                </c:pt>
                <c:pt idx="27">
                  <c:v>43773</c:v>
                </c:pt>
                <c:pt idx="28">
                  <c:v>43780</c:v>
                </c:pt>
                <c:pt idx="29">
                  <c:v>43787</c:v>
                </c:pt>
                <c:pt idx="30">
                  <c:v>43794</c:v>
                </c:pt>
                <c:pt idx="31">
                  <c:v>43801</c:v>
                </c:pt>
                <c:pt idx="32">
                  <c:v>43808</c:v>
                </c:pt>
                <c:pt idx="33">
                  <c:v>43815</c:v>
                </c:pt>
                <c:pt idx="34">
                  <c:v>43822</c:v>
                </c:pt>
                <c:pt idx="35">
                  <c:v>43829</c:v>
                </c:pt>
                <c:pt idx="36">
                  <c:v>43836</c:v>
                </c:pt>
                <c:pt idx="37">
                  <c:v>43843</c:v>
                </c:pt>
                <c:pt idx="38">
                  <c:v>43850</c:v>
                </c:pt>
                <c:pt idx="39">
                  <c:v>43857</c:v>
                </c:pt>
                <c:pt idx="40">
                  <c:v>43864</c:v>
                </c:pt>
                <c:pt idx="41">
                  <c:v>43871</c:v>
                </c:pt>
                <c:pt idx="42">
                  <c:v>43878</c:v>
                </c:pt>
                <c:pt idx="43">
                  <c:v>43885</c:v>
                </c:pt>
                <c:pt idx="44">
                  <c:v>43892</c:v>
                </c:pt>
                <c:pt idx="45">
                  <c:v>43899</c:v>
                </c:pt>
                <c:pt idx="46">
                  <c:v>43906</c:v>
                </c:pt>
                <c:pt idx="47">
                  <c:v>43913</c:v>
                </c:pt>
                <c:pt idx="48">
                  <c:v>43920</c:v>
                </c:pt>
                <c:pt idx="49">
                  <c:v>43927</c:v>
                </c:pt>
                <c:pt idx="50">
                  <c:v>43934</c:v>
                </c:pt>
                <c:pt idx="51">
                  <c:v>43941</c:v>
                </c:pt>
              </c:numCache>
            </c:numRef>
          </c:cat>
          <c:val>
            <c:numRef>
              <c:f>[0]!Cap_Chart_Core_Range</c:f>
              <c:numCache>
                <c:formatCode>#,##0</c:formatCode>
                <c:ptCount val="52"/>
                <c:pt idx="0">
                  <c:v>14.192307692307693</c:v>
                </c:pt>
                <c:pt idx="1">
                  <c:v>14.192307692307693</c:v>
                </c:pt>
                <c:pt idx="2">
                  <c:v>14.192307692307693</c:v>
                </c:pt>
                <c:pt idx="3">
                  <c:v>14.192307692307693</c:v>
                </c:pt>
                <c:pt idx="4">
                  <c:v>14.192307692307693</c:v>
                </c:pt>
                <c:pt idx="5">
                  <c:v>14.192307692307693</c:v>
                </c:pt>
                <c:pt idx="6">
                  <c:v>14.192307692307693</c:v>
                </c:pt>
                <c:pt idx="7">
                  <c:v>14.192307692307693</c:v>
                </c:pt>
                <c:pt idx="8">
                  <c:v>14.192307692307693</c:v>
                </c:pt>
                <c:pt idx="9">
                  <c:v>14.192307692307693</c:v>
                </c:pt>
                <c:pt idx="10">
                  <c:v>14.192307692307693</c:v>
                </c:pt>
                <c:pt idx="11">
                  <c:v>14.192307692307693</c:v>
                </c:pt>
                <c:pt idx="12">
                  <c:v>14.192307692307693</c:v>
                </c:pt>
                <c:pt idx="13">
                  <c:v>14.192307692307693</c:v>
                </c:pt>
                <c:pt idx="14">
                  <c:v>14.192307692307693</c:v>
                </c:pt>
                <c:pt idx="15">
                  <c:v>14.192307692307693</c:v>
                </c:pt>
                <c:pt idx="16">
                  <c:v>14.192307692307693</c:v>
                </c:pt>
                <c:pt idx="17">
                  <c:v>14.192307692307693</c:v>
                </c:pt>
                <c:pt idx="18">
                  <c:v>14.192307692307693</c:v>
                </c:pt>
                <c:pt idx="19">
                  <c:v>14.192307692307693</c:v>
                </c:pt>
                <c:pt idx="20">
                  <c:v>14.192307692307693</c:v>
                </c:pt>
                <c:pt idx="21">
                  <c:v>14.192307692307693</c:v>
                </c:pt>
                <c:pt idx="22">
                  <c:v>14.192307692307693</c:v>
                </c:pt>
                <c:pt idx="23">
                  <c:v>14.192307692307693</c:v>
                </c:pt>
                <c:pt idx="24">
                  <c:v>14.192307692307693</c:v>
                </c:pt>
                <c:pt idx="25">
                  <c:v>14.192307692307693</c:v>
                </c:pt>
                <c:pt idx="26">
                  <c:v>14.192307692307693</c:v>
                </c:pt>
                <c:pt idx="27">
                  <c:v>14.192307692307693</c:v>
                </c:pt>
                <c:pt idx="28">
                  <c:v>14.192307692307693</c:v>
                </c:pt>
                <c:pt idx="29">
                  <c:v>14.192307692307693</c:v>
                </c:pt>
                <c:pt idx="30">
                  <c:v>14.192307692307693</c:v>
                </c:pt>
                <c:pt idx="31">
                  <c:v>14.192307692307693</c:v>
                </c:pt>
                <c:pt idx="32">
                  <c:v>14.192307692307693</c:v>
                </c:pt>
                <c:pt idx="33">
                  <c:v>14.192307692307693</c:v>
                </c:pt>
                <c:pt idx="34">
                  <c:v>14.192307692307693</c:v>
                </c:pt>
                <c:pt idx="35">
                  <c:v>14.192307692307693</c:v>
                </c:pt>
                <c:pt idx="36">
                  <c:v>14.192307692307693</c:v>
                </c:pt>
                <c:pt idx="37">
                  <c:v>14.192307692307693</c:v>
                </c:pt>
                <c:pt idx="38">
                  <c:v>14.192307692307693</c:v>
                </c:pt>
                <c:pt idx="39">
                  <c:v>14.192307692307693</c:v>
                </c:pt>
                <c:pt idx="40">
                  <c:v>14.192307692307693</c:v>
                </c:pt>
                <c:pt idx="41">
                  <c:v>14.192307692307693</c:v>
                </c:pt>
                <c:pt idx="42">
                  <c:v>14.192307692307693</c:v>
                </c:pt>
                <c:pt idx="43">
                  <c:v>14.192307692307693</c:v>
                </c:pt>
                <c:pt idx="44">
                  <c:v>14.192307692307693</c:v>
                </c:pt>
                <c:pt idx="45">
                  <c:v>14.192307692307693</c:v>
                </c:pt>
                <c:pt idx="46">
                  <c:v>14.192307692307693</c:v>
                </c:pt>
                <c:pt idx="47">
                  <c:v>14.192307692307693</c:v>
                </c:pt>
                <c:pt idx="48">
                  <c:v>14.192307692307693</c:v>
                </c:pt>
                <c:pt idx="49">
                  <c:v>14.192307692307693</c:v>
                </c:pt>
                <c:pt idx="50">
                  <c:v>14.192307692307693</c:v>
                </c:pt>
                <c:pt idx="51">
                  <c:v>14.192307692307693</c:v>
                </c:pt>
              </c:numCache>
            </c:numRef>
          </c:val>
          <c:extLst>
            <c:ext xmlns:c16="http://schemas.microsoft.com/office/drawing/2014/chart" uri="{C3380CC4-5D6E-409C-BE32-E72D297353CC}">
              <c16:uniqueId val="{00000000-E972-4F3E-97D5-C675FAA2DE91}"/>
            </c:ext>
          </c:extLst>
        </c:ser>
        <c:ser>
          <c:idx val="1"/>
          <c:order val="1"/>
          <c:tx>
            <c:v>Ad hoc</c:v>
          </c:tx>
          <c:spPr>
            <a:solidFill>
              <a:schemeClr val="accent5"/>
            </a:solidFill>
          </c:spPr>
          <c:invertIfNegative val="0"/>
          <c:cat>
            <c:numRef>
              <c:f>[0]!Cap_Chart_Xaxis</c:f>
              <c:numCache>
                <c:formatCode>m/d/yyyy</c:formatCode>
                <c:ptCount val="52"/>
                <c:pt idx="0">
                  <c:v>43584</c:v>
                </c:pt>
                <c:pt idx="1">
                  <c:v>43591</c:v>
                </c:pt>
                <c:pt idx="2">
                  <c:v>43598</c:v>
                </c:pt>
                <c:pt idx="3">
                  <c:v>43605</c:v>
                </c:pt>
                <c:pt idx="4">
                  <c:v>43612</c:v>
                </c:pt>
                <c:pt idx="5">
                  <c:v>43619</c:v>
                </c:pt>
                <c:pt idx="6">
                  <c:v>43626</c:v>
                </c:pt>
                <c:pt idx="7">
                  <c:v>43633</c:v>
                </c:pt>
                <c:pt idx="8">
                  <c:v>43640</c:v>
                </c:pt>
                <c:pt idx="9">
                  <c:v>43647</c:v>
                </c:pt>
                <c:pt idx="10">
                  <c:v>43654</c:v>
                </c:pt>
                <c:pt idx="11">
                  <c:v>43661</c:v>
                </c:pt>
                <c:pt idx="12">
                  <c:v>43668</c:v>
                </c:pt>
                <c:pt idx="13">
                  <c:v>43675</c:v>
                </c:pt>
                <c:pt idx="14">
                  <c:v>43682</c:v>
                </c:pt>
                <c:pt idx="15">
                  <c:v>43689</c:v>
                </c:pt>
                <c:pt idx="16">
                  <c:v>43696</c:v>
                </c:pt>
                <c:pt idx="17">
                  <c:v>43703</c:v>
                </c:pt>
                <c:pt idx="18">
                  <c:v>43710</c:v>
                </c:pt>
                <c:pt idx="19">
                  <c:v>43717</c:v>
                </c:pt>
                <c:pt idx="20">
                  <c:v>43724</c:v>
                </c:pt>
                <c:pt idx="21">
                  <c:v>43731</c:v>
                </c:pt>
                <c:pt idx="22">
                  <c:v>43738</c:v>
                </c:pt>
                <c:pt idx="23">
                  <c:v>43745</c:v>
                </c:pt>
                <c:pt idx="24">
                  <c:v>43752</c:v>
                </c:pt>
                <c:pt idx="25">
                  <c:v>43759</c:v>
                </c:pt>
                <c:pt idx="26">
                  <c:v>43766</c:v>
                </c:pt>
                <c:pt idx="27">
                  <c:v>43773</c:v>
                </c:pt>
                <c:pt idx="28">
                  <c:v>43780</c:v>
                </c:pt>
                <c:pt idx="29">
                  <c:v>43787</c:v>
                </c:pt>
                <c:pt idx="30">
                  <c:v>43794</c:v>
                </c:pt>
                <c:pt idx="31">
                  <c:v>43801</c:v>
                </c:pt>
                <c:pt idx="32">
                  <c:v>43808</c:v>
                </c:pt>
                <c:pt idx="33">
                  <c:v>43815</c:v>
                </c:pt>
                <c:pt idx="34">
                  <c:v>43822</c:v>
                </c:pt>
                <c:pt idx="35">
                  <c:v>43829</c:v>
                </c:pt>
                <c:pt idx="36">
                  <c:v>43836</c:v>
                </c:pt>
                <c:pt idx="37">
                  <c:v>43843</c:v>
                </c:pt>
                <c:pt idx="38">
                  <c:v>43850</c:v>
                </c:pt>
                <c:pt idx="39">
                  <c:v>43857</c:v>
                </c:pt>
                <c:pt idx="40">
                  <c:v>43864</c:v>
                </c:pt>
                <c:pt idx="41">
                  <c:v>43871</c:v>
                </c:pt>
                <c:pt idx="42">
                  <c:v>43878</c:v>
                </c:pt>
                <c:pt idx="43">
                  <c:v>43885</c:v>
                </c:pt>
                <c:pt idx="44">
                  <c:v>43892</c:v>
                </c:pt>
                <c:pt idx="45">
                  <c:v>43899</c:v>
                </c:pt>
                <c:pt idx="46">
                  <c:v>43906</c:v>
                </c:pt>
                <c:pt idx="47">
                  <c:v>43913</c:v>
                </c:pt>
                <c:pt idx="48">
                  <c:v>43920</c:v>
                </c:pt>
                <c:pt idx="49">
                  <c:v>43927</c:v>
                </c:pt>
                <c:pt idx="50">
                  <c:v>43934</c:v>
                </c:pt>
                <c:pt idx="51">
                  <c:v>43941</c:v>
                </c:pt>
              </c:numCache>
            </c:numRef>
          </c:cat>
          <c:val>
            <c:numRef>
              <c:f>[0]!Cap_Chart_Adhoc_Range</c:f>
              <c:numCache>
                <c:formatCode>#,##0</c:formatCode>
                <c:ptCount val="52"/>
                <c:pt idx="0">
                  <c:v>0</c:v>
                </c:pt>
                <c:pt idx="1">
                  <c:v>4</c:v>
                </c:pt>
                <c:pt idx="2">
                  <c:v>0</c:v>
                </c:pt>
                <c:pt idx="3">
                  <c:v>4</c:v>
                </c:pt>
                <c:pt idx="4">
                  <c:v>0</c:v>
                </c:pt>
                <c:pt idx="5">
                  <c:v>4</c:v>
                </c:pt>
                <c:pt idx="6">
                  <c:v>4</c:v>
                </c:pt>
                <c:pt idx="7">
                  <c:v>0</c:v>
                </c:pt>
                <c:pt idx="8">
                  <c:v>3.6923076923076925</c:v>
                </c:pt>
                <c:pt idx="9">
                  <c:v>7.6923076923076925</c:v>
                </c:pt>
                <c:pt idx="10">
                  <c:v>4</c:v>
                </c:pt>
                <c:pt idx="11">
                  <c:v>0</c:v>
                </c:pt>
                <c:pt idx="12">
                  <c:v>0</c:v>
                </c:pt>
                <c:pt idx="13">
                  <c:v>7.6923076923076925</c:v>
                </c:pt>
                <c:pt idx="14">
                  <c:v>0</c:v>
                </c:pt>
                <c:pt idx="15">
                  <c:v>0</c:v>
                </c:pt>
                <c:pt idx="16">
                  <c:v>0</c:v>
                </c:pt>
                <c:pt idx="17">
                  <c:v>0</c:v>
                </c:pt>
                <c:pt idx="18">
                  <c:v>0</c:v>
                </c:pt>
                <c:pt idx="19">
                  <c:v>0</c:v>
                </c:pt>
                <c:pt idx="20">
                  <c:v>0</c:v>
                </c:pt>
                <c:pt idx="21">
                  <c:v>0</c:v>
                </c:pt>
                <c:pt idx="22">
                  <c:v>0</c:v>
                </c:pt>
                <c:pt idx="23">
                  <c:v>0</c:v>
                </c:pt>
                <c:pt idx="24">
                  <c:v>0</c:v>
                </c:pt>
                <c:pt idx="25">
                  <c:v>3.6923076923076925</c:v>
                </c:pt>
                <c:pt idx="26">
                  <c:v>3.6923076923076925</c:v>
                </c:pt>
                <c:pt idx="27">
                  <c:v>7.6923076923076925</c:v>
                </c:pt>
                <c:pt idx="28">
                  <c:v>7.6923076923076925</c:v>
                </c:pt>
                <c:pt idx="29">
                  <c:v>3.6923076923076925</c:v>
                </c:pt>
                <c:pt idx="30">
                  <c:v>3.6923076923076925</c:v>
                </c:pt>
                <c:pt idx="31">
                  <c:v>3.6923076923076925</c:v>
                </c:pt>
                <c:pt idx="32">
                  <c:v>3.6923076923076925</c:v>
                </c:pt>
                <c:pt idx="33">
                  <c:v>3.6923076923076925</c:v>
                </c:pt>
                <c:pt idx="34">
                  <c:v>3.6923076923076925</c:v>
                </c:pt>
                <c:pt idx="35">
                  <c:v>0</c:v>
                </c:pt>
                <c:pt idx="36">
                  <c:v>4</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5A2F-4CC4-BD15-4EA20BAA07DE}"/>
            </c:ext>
          </c:extLst>
        </c:ser>
        <c:dLbls>
          <c:showLegendKey val="0"/>
          <c:showVal val="0"/>
          <c:showCatName val="0"/>
          <c:showSerName val="0"/>
          <c:showPercent val="0"/>
          <c:showBubbleSize val="0"/>
        </c:dLbls>
        <c:gapWidth val="0"/>
        <c:overlap val="100"/>
        <c:axId val="342488960"/>
        <c:axId val="342490496"/>
      </c:barChart>
      <c:catAx>
        <c:axId val="342488960"/>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42490496"/>
        <c:crossesAt val="0"/>
        <c:auto val="0"/>
        <c:lblAlgn val="ctr"/>
        <c:lblOffset val="100"/>
        <c:noMultiLvlLbl val="0"/>
      </c:catAx>
      <c:valAx>
        <c:axId val="342490496"/>
        <c:scaling>
          <c:orientation val="minMax"/>
          <c:min val="0"/>
        </c:scaling>
        <c:delete val="0"/>
        <c:axPos val="l"/>
        <c:majorGridlines>
          <c:spPr>
            <a:ln>
              <a:solidFill>
                <a:schemeClr val="bg1">
                  <a:lumMod val="85000"/>
                </a:schemeClr>
              </a:solidFill>
            </a:ln>
          </c:spPr>
        </c:majorGridlines>
        <c:numFmt formatCode="#,##0" sourceLinked="1"/>
        <c:majorTickMark val="out"/>
        <c:minorTickMark val="none"/>
        <c:tickLblPos val="nextTo"/>
        <c:crossAx val="342488960"/>
        <c:crosses val="autoZero"/>
        <c:crossBetween val="between"/>
      </c:valAx>
      <c:spPr>
        <a:noFill/>
      </c:spPr>
    </c:plotArea>
    <c:legend>
      <c:legendPos val="t"/>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baseline="0"/>
              <a:t>Waits for pathways (wks)</a:t>
            </a:r>
            <a:endParaRPr lang="en-GB"/>
          </a:p>
        </c:rich>
      </c:tx>
      <c:overlay val="0"/>
    </c:title>
    <c:autoTitleDeleted val="0"/>
    <c:plotArea>
      <c:layout/>
      <c:barChart>
        <c:barDir val="bar"/>
        <c:grouping val="stacked"/>
        <c:varyColors val="0"/>
        <c:ser>
          <c:idx val="0"/>
          <c:order val="0"/>
          <c:spPr>
            <a:noFill/>
          </c:spPr>
          <c:invertIfNegative val="0"/>
          <c:cat>
            <c:strRef>
              <c:f>'Parameters calculator (hide)'!$A$55:$A$57</c:f>
              <c:strCache>
                <c:ptCount val="3"/>
                <c:pt idx="0">
                  <c:v>Routine</c:v>
                </c:pt>
                <c:pt idx="1">
                  <c:v>Urgent</c:v>
                </c:pt>
                <c:pt idx="2">
                  <c:v>2WW</c:v>
                </c:pt>
              </c:strCache>
            </c:strRef>
          </c:cat>
          <c:val>
            <c:numRef>
              <c:f>'Parameters calculator (hide)'!$L$55:$L$57</c:f>
              <c:numCache>
                <c:formatCode>General</c:formatCode>
                <c:ptCount val="3"/>
                <c:pt idx="0">
                  <c:v>2</c:v>
                </c:pt>
                <c:pt idx="1">
                  <c:v>0</c:v>
                </c:pt>
                <c:pt idx="2">
                  <c:v>0</c:v>
                </c:pt>
              </c:numCache>
            </c:numRef>
          </c:val>
          <c:extLst>
            <c:ext xmlns:c16="http://schemas.microsoft.com/office/drawing/2014/chart" uri="{C3380CC4-5D6E-409C-BE32-E72D297353CC}">
              <c16:uniqueId val="{00000000-C4BC-4FB0-B467-138451C24579}"/>
            </c:ext>
          </c:extLst>
        </c:ser>
        <c:ser>
          <c:idx val="1"/>
          <c:order val="1"/>
          <c:spPr>
            <a:solidFill>
              <a:schemeClr val="accent1"/>
            </a:solidFill>
          </c:spPr>
          <c:invertIfNegative val="0"/>
          <c:cat>
            <c:strRef>
              <c:f>'Parameters calculator (hide)'!$A$55:$A$57</c:f>
              <c:strCache>
                <c:ptCount val="3"/>
                <c:pt idx="0">
                  <c:v>Routine</c:v>
                </c:pt>
                <c:pt idx="1">
                  <c:v>Urgent</c:v>
                </c:pt>
                <c:pt idx="2">
                  <c:v>2WW</c:v>
                </c:pt>
              </c:strCache>
            </c:strRef>
          </c:cat>
          <c:val>
            <c:numRef>
              <c:f>'Parameters calculator (hide)'!$M$55:$M$57</c:f>
              <c:numCache>
                <c:formatCode>General</c:formatCode>
                <c:ptCount val="3"/>
                <c:pt idx="0">
                  <c:v>4</c:v>
                </c:pt>
                <c:pt idx="1">
                  <c:v>2</c:v>
                </c:pt>
                <c:pt idx="2">
                  <c:v>0</c:v>
                </c:pt>
              </c:numCache>
            </c:numRef>
          </c:val>
          <c:extLst>
            <c:ext xmlns:c16="http://schemas.microsoft.com/office/drawing/2014/chart" uri="{C3380CC4-5D6E-409C-BE32-E72D297353CC}">
              <c16:uniqueId val="{00000001-C4BC-4FB0-B467-138451C24579}"/>
            </c:ext>
          </c:extLst>
        </c:ser>
        <c:ser>
          <c:idx val="2"/>
          <c:order val="2"/>
          <c:tx>
            <c:v>Rebookings</c:v>
          </c:tx>
          <c:invertIfNegative val="0"/>
          <c:cat>
            <c:strRef>
              <c:f>'Parameters calculator (hide)'!$A$55:$A$57</c:f>
              <c:strCache>
                <c:ptCount val="3"/>
                <c:pt idx="0">
                  <c:v>Routine</c:v>
                </c:pt>
                <c:pt idx="1">
                  <c:v>Urgent</c:v>
                </c:pt>
                <c:pt idx="2">
                  <c:v>2WW</c:v>
                </c:pt>
              </c:strCache>
            </c:strRef>
          </c:cat>
          <c:val>
            <c:numRef>
              <c:f>'Parameters calculator (hide)'!$N$55:$N$57</c:f>
              <c:numCache>
                <c:formatCode>General</c:formatCode>
                <c:ptCount val="3"/>
                <c:pt idx="0">
                  <c:v>0</c:v>
                </c:pt>
                <c:pt idx="1">
                  <c:v>0</c:v>
                </c:pt>
                <c:pt idx="2">
                  <c:v>0</c:v>
                </c:pt>
              </c:numCache>
            </c:numRef>
          </c:val>
          <c:extLst>
            <c:ext xmlns:c16="http://schemas.microsoft.com/office/drawing/2014/chart" uri="{C3380CC4-5D6E-409C-BE32-E72D297353CC}">
              <c16:uniqueId val="{00000000-C23A-461C-A1F6-A4DB4C6CF1EC}"/>
            </c:ext>
          </c:extLst>
        </c:ser>
        <c:dLbls>
          <c:showLegendKey val="0"/>
          <c:showVal val="0"/>
          <c:showCatName val="0"/>
          <c:showSerName val="0"/>
          <c:showPercent val="0"/>
          <c:showBubbleSize val="0"/>
        </c:dLbls>
        <c:gapWidth val="150"/>
        <c:overlap val="100"/>
        <c:axId val="341937152"/>
        <c:axId val="341943040"/>
      </c:barChart>
      <c:catAx>
        <c:axId val="341937152"/>
        <c:scaling>
          <c:orientation val="minMax"/>
        </c:scaling>
        <c:delete val="0"/>
        <c:axPos val="l"/>
        <c:numFmt formatCode="General" sourceLinked="0"/>
        <c:majorTickMark val="out"/>
        <c:minorTickMark val="none"/>
        <c:tickLblPos val="nextTo"/>
        <c:crossAx val="341943040"/>
        <c:crosses val="autoZero"/>
        <c:auto val="1"/>
        <c:lblAlgn val="ctr"/>
        <c:lblOffset val="100"/>
        <c:noMultiLvlLbl val="0"/>
      </c:catAx>
      <c:valAx>
        <c:axId val="341943040"/>
        <c:scaling>
          <c:orientation val="minMax"/>
        </c:scaling>
        <c:delete val="0"/>
        <c:axPos val="b"/>
        <c:majorGridlines>
          <c:spPr>
            <a:ln>
              <a:solidFill>
                <a:schemeClr val="bg1">
                  <a:lumMod val="95000"/>
                </a:schemeClr>
              </a:solidFill>
            </a:ln>
          </c:spPr>
        </c:majorGridlines>
        <c:title>
          <c:tx>
            <c:rich>
              <a:bodyPr/>
              <a:lstStyle/>
              <a:p>
                <a:pPr>
                  <a:defRPr/>
                </a:pPr>
                <a:r>
                  <a:rPr lang="en-GB"/>
                  <a:t>Weeks waiting</a:t>
                </a:r>
              </a:p>
            </c:rich>
          </c:tx>
          <c:overlay val="0"/>
        </c:title>
        <c:numFmt formatCode="General" sourceLinked="1"/>
        <c:majorTickMark val="out"/>
        <c:minorTickMark val="none"/>
        <c:tickLblPos val="nextTo"/>
        <c:crossAx val="341937152"/>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(hide)'!$R$12</c:f>
          <c:strCache>
            <c:ptCount val="1"/>
            <c:pt idx="0">
              <c:v>Required vs available capacity (patients)</c:v>
            </c:pt>
          </c:strCache>
        </c:strRef>
      </c:tx>
      <c:overlay val="0"/>
      <c:txPr>
        <a:bodyPr/>
        <a:lstStyle/>
        <a:p>
          <a:pPr>
            <a:defRPr/>
          </a:pPr>
          <a:endParaRPr lang="en-US"/>
        </a:p>
      </c:txPr>
    </c:title>
    <c:autoTitleDeleted val="0"/>
    <c:plotArea>
      <c:layout/>
      <c:barChart>
        <c:barDir val="col"/>
        <c:grouping val="stacked"/>
        <c:varyColors val="0"/>
        <c:ser>
          <c:idx val="0"/>
          <c:order val="0"/>
          <c:spPr>
            <a:noFill/>
          </c:spPr>
          <c:invertIfNegative val="0"/>
          <c:val>
            <c:numRef>
              <c:f>'Summary Calculations (hide)'!$M$70</c:f>
              <c:numCache>
                <c:formatCode>#,##0</c:formatCode>
                <c:ptCount val="1"/>
                <c:pt idx="0">
                  <c:v>14.254500348202729</c:v>
                </c:pt>
              </c:numCache>
            </c:numRef>
          </c:val>
          <c:extLst>
            <c:ext xmlns:c16="http://schemas.microsoft.com/office/drawing/2014/chart" uri="{C3380CC4-5D6E-409C-BE32-E72D297353CC}">
              <c16:uniqueId val="{00000000-B6E2-4B83-9F9A-3EF9D1F26E59}"/>
            </c:ext>
          </c:extLst>
        </c:ser>
        <c:ser>
          <c:idx val="1"/>
          <c:order val="1"/>
          <c:tx>
            <c:v>Required capacity</c:v>
          </c:tx>
          <c:spPr>
            <a:solidFill>
              <a:schemeClr val="accent1">
                <a:lumMod val="60000"/>
                <a:lumOff val="40000"/>
              </a:schemeClr>
            </a:solidFill>
            <a:ln>
              <a:noFill/>
            </a:ln>
          </c:spPr>
          <c:invertIfNegative val="0"/>
          <c:val>
            <c:numRef>
              <c:f>'Summary Calculations (hide)'!$N$71</c:f>
              <c:numCache>
                <c:formatCode>#,##0</c:formatCode>
                <c:ptCount val="1"/>
                <c:pt idx="0">
                  <c:v>2.9077629903405544</c:v>
                </c:pt>
              </c:numCache>
            </c:numRef>
          </c:val>
          <c:extLst>
            <c:ext xmlns:c16="http://schemas.microsoft.com/office/drawing/2014/chart" uri="{C3380CC4-5D6E-409C-BE32-E72D297353CC}">
              <c16:uniqueId val="{00000001-B6E2-4B83-9F9A-3EF9D1F26E59}"/>
            </c:ext>
          </c:extLst>
        </c:ser>
        <c:dLbls>
          <c:showLegendKey val="0"/>
          <c:showVal val="0"/>
          <c:showCatName val="0"/>
          <c:showSerName val="0"/>
          <c:showPercent val="0"/>
          <c:showBubbleSize val="0"/>
        </c:dLbls>
        <c:gapWidth val="150"/>
        <c:overlap val="100"/>
        <c:axId val="362836736"/>
        <c:axId val="362838656"/>
      </c:barChart>
      <c:lineChart>
        <c:grouping val="stacked"/>
        <c:varyColors val="0"/>
        <c:ser>
          <c:idx val="3"/>
          <c:order val="2"/>
          <c:tx>
            <c:v>Available capacity (core)</c:v>
          </c:tx>
          <c:spPr>
            <a:ln>
              <a:noFill/>
            </a:ln>
          </c:spPr>
          <c:marker>
            <c:symbol val="x"/>
            <c:size val="13"/>
            <c:spPr>
              <a:noFill/>
              <a:ln w="19050">
                <a:solidFill>
                  <a:schemeClr val="tx2"/>
                </a:solidFill>
              </a:ln>
            </c:spPr>
          </c:marker>
          <c:val>
            <c:numRef>
              <c:f>'Summary Calculations (hide)'!$K$70</c:f>
              <c:numCache>
                <c:formatCode>#,##0</c:formatCode>
                <c:ptCount val="1"/>
                <c:pt idx="0">
                  <c:v>10.39230769230768</c:v>
                </c:pt>
              </c:numCache>
            </c:numRef>
          </c:val>
          <c:smooth val="0"/>
          <c:extLst>
            <c:ext xmlns:c16="http://schemas.microsoft.com/office/drawing/2014/chart" uri="{C3380CC4-5D6E-409C-BE32-E72D297353CC}">
              <c16:uniqueId val="{00000002-B6E2-4B83-9F9A-3EF9D1F26E59}"/>
            </c:ext>
          </c:extLst>
        </c:ser>
        <c:ser>
          <c:idx val="4"/>
          <c:order val="3"/>
          <c:tx>
            <c:v>Available capacity (ad hoc)</c:v>
          </c:tx>
          <c:spPr>
            <a:ln w="28575">
              <a:noFill/>
            </a:ln>
          </c:spPr>
          <c:marker>
            <c:symbol val="dash"/>
            <c:size val="8"/>
            <c:spPr>
              <a:solidFill>
                <a:schemeClr val="accent3">
                  <a:lumMod val="75000"/>
                </a:schemeClr>
              </a:solidFill>
              <a:ln>
                <a:solidFill>
                  <a:schemeClr val="tx1"/>
                </a:solidFill>
              </a:ln>
            </c:spPr>
          </c:marker>
          <c:val>
            <c:numRef>
              <c:f>'Summary Calculations (hide)'!$L$70</c:f>
              <c:numCache>
                <c:formatCode>#,##0</c:formatCode>
                <c:ptCount val="1"/>
                <c:pt idx="0">
                  <c:v>1.7300435413642963</c:v>
                </c:pt>
              </c:numCache>
            </c:numRef>
          </c:val>
          <c:smooth val="0"/>
          <c:extLst>
            <c:ext xmlns:c16="http://schemas.microsoft.com/office/drawing/2014/chart" uri="{C3380CC4-5D6E-409C-BE32-E72D297353CC}">
              <c16:uniqueId val="{00000000-B7E6-4927-9171-4C531ABD773D}"/>
            </c:ext>
          </c:extLst>
        </c:ser>
        <c:ser>
          <c:idx val="2"/>
          <c:order val="4"/>
          <c:tx>
            <c:v>Carve out (planned and same day)</c:v>
          </c:tx>
          <c:spPr>
            <a:ln w="28575">
              <a:noFill/>
            </a:ln>
          </c:spPr>
          <c:marker>
            <c:symbol val="dash"/>
            <c:size val="8"/>
            <c:spPr>
              <a:solidFill>
                <a:srgbClr val="7030A0"/>
              </a:solidFill>
              <a:ln w="9525">
                <a:solidFill>
                  <a:schemeClr val="accent4">
                    <a:lumMod val="20000"/>
                    <a:lumOff val="80000"/>
                  </a:schemeClr>
                </a:solidFill>
              </a:ln>
            </c:spPr>
          </c:marker>
          <c:val>
            <c:numRef>
              <c:f>'Summary Calculations (hide)'!$V$70</c:f>
            </c:numRef>
          </c:val>
          <c:smooth val="0"/>
          <c:extLst>
            <c:ext xmlns:c16="http://schemas.microsoft.com/office/drawing/2014/chart" uri="{C3380CC4-5D6E-409C-BE32-E72D297353CC}">
              <c16:uniqueId val="{00000003-B6E2-4B83-9F9A-3EF9D1F26E59}"/>
            </c:ext>
          </c:extLst>
        </c:ser>
        <c:dLbls>
          <c:showLegendKey val="0"/>
          <c:showVal val="0"/>
          <c:showCatName val="0"/>
          <c:showSerName val="0"/>
          <c:showPercent val="0"/>
          <c:showBubbleSize val="0"/>
        </c:dLbls>
        <c:marker val="1"/>
        <c:smooth val="0"/>
        <c:axId val="362836736"/>
        <c:axId val="362838656"/>
      </c:lineChart>
      <c:catAx>
        <c:axId val="362836736"/>
        <c:scaling>
          <c:orientation val="minMax"/>
        </c:scaling>
        <c:delete val="1"/>
        <c:axPos val="b"/>
        <c:majorTickMark val="out"/>
        <c:minorTickMark val="none"/>
        <c:tickLblPos val="nextTo"/>
        <c:crossAx val="362838656"/>
        <c:crosses val="autoZero"/>
        <c:auto val="1"/>
        <c:lblAlgn val="ctr"/>
        <c:lblOffset val="100"/>
        <c:noMultiLvlLbl val="0"/>
      </c:catAx>
      <c:valAx>
        <c:axId val="3628386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836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'Parameters calculator (hide)'!$G$65</c:f>
          <c:strCache>
            <c:ptCount val="1"/>
            <c:pt idx="0">
              <c:v>Waiting list position (patients)</c:v>
            </c:pt>
          </c:strCache>
        </c:strRef>
      </c:tx>
      <c:overlay val="0"/>
    </c:title>
    <c:autoTitleDeleted val="0"/>
    <c:plotArea>
      <c:layout/>
      <c:barChart>
        <c:barDir val="col"/>
        <c:grouping val="stacked"/>
        <c:varyColors val="0"/>
        <c:ser>
          <c:idx val="0"/>
          <c:order val="0"/>
          <c:spPr>
            <a:noFill/>
          </c:spPr>
          <c:invertIfNegative val="0"/>
          <c:val>
            <c:numRef>
              <c:f>'Parameters calculator (hide)'!$H$66</c:f>
              <c:numCache>
                <c:formatCode>#,##0</c:formatCode>
                <c:ptCount val="1"/>
                <c:pt idx="0">
                  <c:v>42.562452931683694</c:v>
                </c:pt>
              </c:numCache>
            </c:numRef>
          </c:val>
          <c:extLst>
            <c:ext xmlns:c16="http://schemas.microsoft.com/office/drawing/2014/chart" uri="{C3380CC4-5D6E-409C-BE32-E72D297353CC}">
              <c16:uniqueId val="{00000000-44ED-495F-BD0B-597298BA7239}"/>
            </c:ext>
          </c:extLst>
        </c:ser>
        <c:ser>
          <c:idx val="1"/>
          <c:order val="1"/>
          <c:tx>
            <c:v>Sustainable waiting list size</c:v>
          </c:tx>
          <c:spPr>
            <a:solidFill>
              <a:schemeClr val="accent3">
                <a:lumMod val="60000"/>
                <a:lumOff val="40000"/>
              </a:schemeClr>
            </a:solidFill>
          </c:spPr>
          <c:invertIfNegative val="0"/>
          <c:val>
            <c:numRef>
              <c:f>'Parameters calculator (hide)'!$J$66</c:f>
              <c:numCache>
                <c:formatCode>#,##0</c:formatCode>
                <c:ptCount val="1"/>
                <c:pt idx="0">
                  <c:v>4.4802582033351257</c:v>
                </c:pt>
              </c:numCache>
            </c:numRef>
          </c:val>
          <c:extLst>
            <c:ext xmlns:c16="http://schemas.microsoft.com/office/drawing/2014/chart" uri="{C3380CC4-5D6E-409C-BE32-E72D297353CC}">
              <c16:uniqueId val="{00000001-44ED-495F-BD0B-597298BA7239}"/>
            </c:ext>
          </c:extLst>
        </c:ser>
        <c:dLbls>
          <c:showLegendKey val="0"/>
          <c:showVal val="0"/>
          <c:showCatName val="0"/>
          <c:showSerName val="0"/>
          <c:showPercent val="0"/>
          <c:showBubbleSize val="0"/>
        </c:dLbls>
        <c:gapWidth val="150"/>
        <c:overlap val="100"/>
        <c:axId val="362868736"/>
        <c:axId val="362870656"/>
      </c:barChart>
      <c:lineChart>
        <c:grouping val="standard"/>
        <c:varyColors val="0"/>
        <c:ser>
          <c:idx val="2"/>
          <c:order val="2"/>
          <c:tx>
            <c:v>Current waiting list size (total)</c:v>
          </c:tx>
          <c:spPr>
            <a:ln>
              <a:noFill/>
            </a:ln>
          </c:spPr>
          <c:marker>
            <c:symbol val="diamond"/>
            <c:size val="7"/>
            <c:spPr>
              <a:solidFill>
                <a:schemeClr val="tx2"/>
              </a:solidFill>
            </c:spPr>
          </c:marker>
          <c:val>
            <c:numRef>
              <c:f>'Parameters calculator (hide)'!$H$67</c:f>
              <c:numCache>
                <c:formatCode>#,##0</c:formatCode>
                <c:ptCount val="1"/>
                <c:pt idx="0">
                  <c:v>60</c:v>
                </c:pt>
              </c:numCache>
            </c:numRef>
          </c:val>
          <c:smooth val="0"/>
          <c:extLst>
            <c:ext xmlns:c16="http://schemas.microsoft.com/office/drawing/2014/chart" uri="{C3380CC4-5D6E-409C-BE32-E72D297353CC}">
              <c16:uniqueId val="{00000002-44ED-495F-BD0B-597298BA7239}"/>
            </c:ext>
          </c:extLst>
        </c:ser>
        <c:dLbls>
          <c:showLegendKey val="0"/>
          <c:showVal val="0"/>
          <c:showCatName val="0"/>
          <c:showSerName val="0"/>
          <c:showPercent val="0"/>
          <c:showBubbleSize val="0"/>
        </c:dLbls>
        <c:marker val="1"/>
        <c:smooth val="0"/>
        <c:axId val="362868736"/>
        <c:axId val="362870656"/>
      </c:lineChart>
      <c:catAx>
        <c:axId val="362868736"/>
        <c:scaling>
          <c:orientation val="minMax"/>
        </c:scaling>
        <c:delete val="1"/>
        <c:axPos val="b"/>
        <c:majorTickMark val="out"/>
        <c:minorTickMark val="none"/>
        <c:tickLblPos val="nextTo"/>
        <c:crossAx val="362870656"/>
        <c:crosses val="autoZero"/>
        <c:auto val="1"/>
        <c:lblAlgn val="ctr"/>
        <c:lblOffset val="100"/>
        <c:noMultiLvlLbl val="0"/>
      </c:catAx>
      <c:valAx>
        <c:axId val="362870656"/>
        <c:scaling>
          <c:orientation val="minMax"/>
        </c:scaling>
        <c:delete val="0"/>
        <c:axPos val="l"/>
        <c:majorGridlines>
          <c:spPr>
            <a:ln>
              <a:solidFill>
                <a:schemeClr val="bg1">
                  <a:lumMod val="95000"/>
                </a:schemeClr>
              </a:solidFill>
            </a:ln>
          </c:spPr>
        </c:majorGridlines>
        <c:numFmt formatCode="#,##0" sourceLinked="1"/>
        <c:majorTickMark val="out"/>
        <c:minorTickMark val="none"/>
        <c:tickLblPos val="nextTo"/>
        <c:crossAx val="362868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(hide)'!$A$2</c:f>
          <c:strCache>
            <c:ptCount val="1"/>
            <c:pt idx="0">
              <c:v>Required vs available capacity by week (Patients)</c:v>
            </c:pt>
          </c:strCache>
        </c:strRef>
      </c:tx>
      <c:overlay val="0"/>
      <c:txPr>
        <a:bodyPr/>
        <a:lstStyle/>
        <a:p>
          <a:pPr>
            <a:defRPr/>
          </a:pPr>
          <a:endParaRPr lang="en-US"/>
        </a:p>
      </c:txPr>
    </c:title>
    <c:autoTitleDeleted val="0"/>
    <c:plotArea>
      <c:layout/>
      <c:barChart>
        <c:barDir val="col"/>
        <c:grouping val="stacked"/>
        <c:varyColors val="0"/>
        <c:ser>
          <c:idx val="0"/>
          <c:order val="0"/>
          <c:tx>
            <c:v>[blank]</c:v>
          </c:tx>
          <c:spPr>
            <a:noFill/>
            <a:ln w="25400">
              <a:noFill/>
            </a:ln>
          </c:spPr>
          <c:invertIfNegative val="0"/>
          <c:cat>
            <c:multiLvlStrRef>
              <c:f>'Summary Calculations (hide)'!$B$15:$C$66</c:f>
              <c:multiLvlStrCache>
                <c:ptCount val="50"/>
                <c:lvl>
                  <c:pt idx="0">
                    <c:v>Apr</c:v>
                  </c:pt>
                  <c:pt idx="1">
                    <c:v>May</c:v>
                  </c:pt>
                  <c:pt idx="5">
                    <c:v>Jun</c:v>
                  </c:pt>
                  <c:pt idx="9">
                    <c:v>Jul</c:v>
                  </c:pt>
                  <c:pt idx="14">
                    <c:v>Aug</c:v>
                  </c:pt>
                  <c:pt idx="18">
                    <c:v>Sep</c:v>
                  </c:pt>
                  <c:pt idx="23">
                    <c:v>Oct</c:v>
                  </c:pt>
                  <c:pt idx="27">
                    <c:v>Nov</c:v>
                  </c:pt>
                  <c:pt idx="31">
                    <c:v>Dec</c:v>
                  </c:pt>
                  <c:pt idx="36">
                    <c:v>Jan</c:v>
                  </c:pt>
                  <c:pt idx="40">
                    <c:v>Feb</c:v>
                  </c:pt>
                  <c:pt idx="44">
                    <c:v>Mar</c:v>
                  </c:pt>
                  <c:pt idx="49">
                    <c:v>Apr</c:v>
                  </c:pt>
                </c:lvl>
                <c:lvl>
                  <c:pt idx="0">
                    <c:v>2019</c:v>
                  </c:pt>
                  <c:pt idx="36">
                    <c:v>2020</c:v>
                  </c:pt>
                </c:lvl>
              </c:multiLvlStrCache>
            </c:multiLvlStrRef>
          </c:cat>
          <c:val>
            <c:numRef>
              <c:f>'Summary Calculations (hide)'!$T$15:$T$66</c:f>
              <c:numCache>
                <c:formatCode>#,##0</c:formatCode>
                <c:ptCount val="52"/>
                <c:pt idx="0">
                  <c:v>14.254500348202729</c:v>
                </c:pt>
                <c:pt idx="1">
                  <c:v>14.254500348202729</c:v>
                </c:pt>
                <c:pt idx="2">
                  <c:v>14.254500348202729</c:v>
                </c:pt>
                <c:pt idx="3">
                  <c:v>14.254500348202729</c:v>
                </c:pt>
                <c:pt idx="4">
                  <c:v>14.254500348202729</c:v>
                </c:pt>
                <c:pt idx="5">
                  <c:v>14.254500348202729</c:v>
                </c:pt>
                <c:pt idx="6">
                  <c:v>14.254500348202729</c:v>
                </c:pt>
                <c:pt idx="7">
                  <c:v>14.254500348202729</c:v>
                </c:pt>
                <c:pt idx="8">
                  <c:v>14.254500348202729</c:v>
                </c:pt>
                <c:pt idx="9">
                  <c:v>14.254500348202729</c:v>
                </c:pt>
                <c:pt idx="10">
                  <c:v>14.254500348202729</c:v>
                </c:pt>
                <c:pt idx="11">
                  <c:v>14.254500348202729</c:v>
                </c:pt>
                <c:pt idx="12">
                  <c:v>14.254500348202729</c:v>
                </c:pt>
                <c:pt idx="13">
                  <c:v>14.254500348202729</c:v>
                </c:pt>
                <c:pt idx="14">
                  <c:v>14.254500348202729</c:v>
                </c:pt>
                <c:pt idx="15">
                  <c:v>14.254500348202729</c:v>
                </c:pt>
                <c:pt idx="16">
                  <c:v>14.254500348202729</c:v>
                </c:pt>
                <c:pt idx="17">
                  <c:v>14.254500348202729</c:v>
                </c:pt>
                <c:pt idx="18">
                  <c:v>14.254500348202729</c:v>
                </c:pt>
                <c:pt idx="19">
                  <c:v>14.254500348202729</c:v>
                </c:pt>
                <c:pt idx="20">
                  <c:v>14.254500348202729</c:v>
                </c:pt>
                <c:pt idx="21">
                  <c:v>14.254500348202729</c:v>
                </c:pt>
                <c:pt idx="22">
                  <c:v>14.254500348202729</c:v>
                </c:pt>
                <c:pt idx="23">
                  <c:v>14.254500348202729</c:v>
                </c:pt>
                <c:pt idx="24">
                  <c:v>14.254500348202729</c:v>
                </c:pt>
                <c:pt idx="25">
                  <c:v>14.254500348202729</c:v>
                </c:pt>
                <c:pt idx="26">
                  <c:v>14.254500348202729</c:v>
                </c:pt>
                <c:pt idx="27">
                  <c:v>14.254500348202729</c:v>
                </c:pt>
                <c:pt idx="28">
                  <c:v>14.254500348202729</c:v>
                </c:pt>
                <c:pt idx="29">
                  <c:v>14.254500348202729</c:v>
                </c:pt>
                <c:pt idx="30">
                  <c:v>14.254500348202729</c:v>
                </c:pt>
                <c:pt idx="31">
                  <c:v>14.254500348202729</c:v>
                </c:pt>
                <c:pt idx="32">
                  <c:v>14.254500348202729</c:v>
                </c:pt>
                <c:pt idx="33">
                  <c:v>14.254500348202729</c:v>
                </c:pt>
                <c:pt idx="34">
                  <c:v>14.254500348202729</c:v>
                </c:pt>
                <c:pt idx="35">
                  <c:v>14.254500348202729</c:v>
                </c:pt>
                <c:pt idx="36">
                  <c:v>14.254500348202729</c:v>
                </c:pt>
                <c:pt idx="37">
                  <c:v>14.254500348202729</c:v>
                </c:pt>
                <c:pt idx="38">
                  <c:v>14.254500348202729</c:v>
                </c:pt>
                <c:pt idx="39">
                  <c:v>14.254500348202729</c:v>
                </c:pt>
                <c:pt idx="40">
                  <c:v>14.254500348202729</c:v>
                </c:pt>
                <c:pt idx="41">
                  <c:v>14.254500348202729</c:v>
                </c:pt>
                <c:pt idx="42">
                  <c:v>14.254500348202729</c:v>
                </c:pt>
                <c:pt idx="43">
                  <c:v>14.254500348202729</c:v>
                </c:pt>
                <c:pt idx="44">
                  <c:v>14.254500348202729</c:v>
                </c:pt>
                <c:pt idx="45">
                  <c:v>14.254500348202729</c:v>
                </c:pt>
                <c:pt idx="46">
                  <c:v>14.254500348202729</c:v>
                </c:pt>
                <c:pt idx="47">
                  <c:v>14.254500348202729</c:v>
                </c:pt>
                <c:pt idx="48">
                  <c:v>14.254500348202729</c:v>
                </c:pt>
                <c:pt idx="49">
                  <c:v>14.254500348202729</c:v>
                </c:pt>
                <c:pt idx="50">
                  <c:v>14.254500348202729</c:v>
                </c:pt>
                <c:pt idx="51">
                  <c:v>14.254500348202729</c:v>
                </c:pt>
              </c:numCache>
            </c:numRef>
          </c:val>
          <c:extLst>
            <c:ext xmlns:c16="http://schemas.microsoft.com/office/drawing/2014/chart" uri="{C3380CC4-5D6E-409C-BE32-E72D297353CC}">
              <c16:uniqueId val="{00000000-B128-45B8-8878-4913986F5AF7}"/>
            </c:ext>
          </c:extLst>
        </c:ser>
        <c:ser>
          <c:idx val="1"/>
          <c:order val="1"/>
          <c:tx>
            <c:v>Required capacity</c:v>
          </c:tx>
          <c:spPr>
            <a:solidFill>
              <a:schemeClr val="accent1"/>
            </a:solidFill>
            <a:ln w="25400">
              <a:noFill/>
            </a:ln>
          </c:spPr>
          <c:invertIfNegative val="0"/>
          <c:cat>
            <c:multiLvlStrRef>
              <c:f>'Summary Calculations (hide)'!$B$15:$C$66</c:f>
              <c:multiLvlStrCache>
                <c:ptCount val="50"/>
                <c:lvl>
                  <c:pt idx="0">
                    <c:v>Apr</c:v>
                  </c:pt>
                  <c:pt idx="1">
                    <c:v>May</c:v>
                  </c:pt>
                  <c:pt idx="5">
                    <c:v>Jun</c:v>
                  </c:pt>
                  <c:pt idx="9">
                    <c:v>Jul</c:v>
                  </c:pt>
                  <c:pt idx="14">
                    <c:v>Aug</c:v>
                  </c:pt>
                  <c:pt idx="18">
                    <c:v>Sep</c:v>
                  </c:pt>
                  <c:pt idx="23">
                    <c:v>Oct</c:v>
                  </c:pt>
                  <c:pt idx="27">
                    <c:v>Nov</c:v>
                  </c:pt>
                  <c:pt idx="31">
                    <c:v>Dec</c:v>
                  </c:pt>
                  <c:pt idx="36">
                    <c:v>Jan</c:v>
                  </c:pt>
                  <c:pt idx="40">
                    <c:v>Feb</c:v>
                  </c:pt>
                  <c:pt idx="44">
                    <c:v>Mar</c:v>
                  </c:pt>
                  <c:pt idx="49">
                    <c:v>Apr</c:v>
                  </c:pt>
                </c:lvl>
                <c:lvl>
                  <c:pt idx="0">
                    <c:v>2019</c:v>
                  </c:pt>
                  <c:pt idx="36">
                    <c:v>2020</c:v>
                  </c:pt>
                </c:lvl>
              </c:multiLvlStrCache>
            </c:multiLvlStrRef>
          </c:cat>
          <c:val>
            <c:numRef>
              <c:f>'Summary Calculations (hide)'!$U$15:$U$66</c:f>
              <c:numCache>
                <c:formatCode>#,##0</c:formatCode>
                <c:ptCount val="52"/>
                <c:pt idx="0">
                  <c:v>2.9077629903405398</c:v>
                </c:pt>
                <c:pt idx="1">
                  <c:v>2.9077629903405398</c:v>
                </c:pt>
                <c:pt idx="2">
                  <c:v>2.9077629903405398</c:v>
                </c:pt>
                <c:pt idx="3">
                  <c:v>2.9077629903405398</c:v>
                </c:pt>
                <c:pt idx="4">
                  <c:v>2.9077629903405398</c:v>
                </c:pt>
                <c:pt idx="5">
                  <c:v>2.9077629903405398</c:v>
                </c:pt>
                <c:pt idx="6">
                  <c:v>2.9077629903405398</c:v>
                </c:pt>
                <c:pt idx="7">
                  <c:v>2.9077629903405398</c:v>
                </c:pt>
                <c:pt idx="8">
                  <c:v>2.9077629903405398</c:v>
                </c:pt>
                <c:pt idx="9">
                  <c:v>2.9077629903405398</c:v>
                </c:pt>
                <c:pt idx="10">
                  <c:v>2.9077629903405398</c:v>
                </c:pt>
                <c:pt idx="11">
                  <c:v>2.9077629903405398</c:v>
                </c:pt>
                <c:pt idx="12">
                  <c:v>2.9077629903405398</c:v>
                </c:pt>
                <c:pt idx="13">
                  <c:v>2.9077629903405398</c:v>
                </c:pt>
                <c:pt idx="14">
                  <c:v>2.9077629903405398</c:v>
                </c:pt>
                <c:pt idx="15">
                  <c:v>2.9077629903405398</c:v>
                </c:pt>
                <c:pt idx="16">
                  <c:v>2.9077629903405398</c:v>
                </c:pt>
                <c:pt idx="17">
                  <c:v>2.9077629903405398</c:v>
                </c:pt>
                <c:pt idx="18">
                  <c:v>2.9077629903405398</c:v>
                </c:pt>
                <c:pt idx="19">
                  <c:v>2.9077629903405398</c:v>
                </c:pt>
                <c:pt idx="20">
                  <c:v>2.9077629903405398</c:v>
                </c:pt>
                <c:pt idx="21">
                  <c:v>2.9077629903405398</c:v>
                </c:pt>
                <c:pt idx="22">
                  <c:v>2.9077629903405398</c:v>
                </c:pt>
                <c:pt idx="23">
                  <c:v>2.9077629903405398</c:v>
                </c:pt>
                <c:pt idx="24">
                  <c:v>2.9077629903405398</c:v>
                </c:pt>
                <c:pt idx="25">
                  <c:v>2.9077629903405398</c:v>
                </c:pt>
                <c:pt idx="26">
                  <c:v>2.9077629903405398</c:v>
                </c:pt>
                <c:pt idx="27">
                  <c:v>2.9077629903405398</c:v>
                </c:pt>
                <c:pt idx="28">
                  <c:v>2.9077629903405398</c:v>
                </c:pt>
                <c:pt idx="29">
                  <c:v>2.9077629903405398</c:v>
                </c:pt>
                <c:pt idx="30">
                  <c:v>2.9077629903405398</c:v>
                </c:pt>
                <c:pt idx="31">
                  <c:v>2.9077629903405398</c:v>
                </c:pt>
                <c:pt idx="32">
                  <c:v>2.9077629903405398</c:v>
                </c:pt>
                <c:pt idx="33">
                  <c:v>2.9077629903405398</c:v>
                </c:pt>
                <c:pt idx="34">
                  <c:v>2.9077629903405398</c:v>
                </c:pt>
                <c:pt idx="35">
                  <c:v>2.9077629903405398</c:v>
                </c:pt>
                <c:pt idx="36">
                  <c:v>2.9077629903405398</c:v>
                </c:pt>
                <c:pt idx="37">
                  <c:v>2.9077629903405398</c:v>
                </c:pt>
                <c:pt idx="38">
                  <c:v>2.9077629903405398</c:v>
                </c:pt>
                <c:pt idx="39">
                  <c:v>2.9077629903405398</c:v>
                </c:pt>
                <c:pt idx="40">
                  <c:v>2.9077629903405398</c:v>
                </c:pt>
                <c:pt idx="41">
                  <c:v>2.9077629903405398</c:v>
                </c:pt>
                <c:pt idx="42">
                  <c:v>2.9077629903405398</c:v>
                </c:pt>
                <c:pt idx="43">
                  <c:v>2.9077629903405398</c:v>
                </c:pt>
                <c:pt idx="44">
                  <c:v>2.9077629903405398</c:v>
                </c:pt>
                <c:pt idx="45">
                  <c:v>2.9077629903405398</c:v>
                </c:pt>
                <c:pt idx="46">
                  <c:v>2.9077629903405398</c:v>
                </c:pt>
                <c:pt idx="47">
                  <c:v>2.9077629903405398</c:v>
                </c:pt>
                <c:pt idx="48">
                  <c:v>2.9077629903405398</c:v>
                </c:pt>
                <c:pt idx="49">
                  <c:v>2.9077629903405398</c:v>
                </c:pt>
                <c:pt idx="50">
                  <c:v>2.9077629903405398</c:v>
                </c:pt>
                <c:pt idx="51">
                  <c:v>2.9077629903405398</c:v>
                </c:pt>
              </c:numCache>
            </c:numRef>
          </c:val>
          <c:extLst>
            <c:ext xmlns:c16="http://schemas.microsoft.com/office/drawing/2014/chart" uri="{C3380CC4-5D6E-409C-BE32-E72D297353CC}">
              <c16:uniqueId val="{00000001-B128-45B8-8878-4913986F5AF7}"/>
            </c:ext>
          </c:extLst>
        </c:ser>
        <c:dLbls>
          <c:showLegendKey val="0"/>
          <c:showVal val="0"/>
          <c:showCatName val="0"/>
          <c:showSerName val="0"/>
          <c:showPercent val="0"/>
          <c:showBubbleSize val="0"/>
        </c:dLbls>
        <c:gapWidth val="0"/>
        <c:overlap val="100"/>
        <c:axId val="362577920"/>
        <c:axId val="362579456"/>
      </c:barChart>
      <c:lineChart>
        <c:grouping val="stacked"/>
        <c:varyColors val="0"/>
        <c:ser>
          <c:idx val="2"/>
          <c:order val="2"/>
          <c:tx>
            <c:v>Available capacity (core)</c:v>
          </c:tx>
          <c:spPr>
            <a:ln w="22225">
              <a:solidFill>
                <a:schemeClr val="accent3">
                  <a:lumMod val="50000"/>
                </a:schemeClr>
              </a:solidFill>
            </a:ln>
          </c:spPr>
          <c:marker>
            <c:symbol val="none"/>
          </c:marker>
          <c:val>
            <c:numRef>
              <c:f>'Summary Calculations (hide)'!$R$15:$R$66</c:f>
              <c:numCache>
                <c:formatCode>#,##0</c:formatCode>
                <c:ptCount val="52"/>
                <c:pt idx="0">
                  <c:v>10.392307692307693</c:v>
                </c:pt>
                <c:pt idx="1">
                  <c:v>10.392307692307693</c:v>
                </c:pt>
                <c:pt idx="2">
                  <c:v>10.392307692307693</c:v>
                </c:pt>
                <c:pt idx="3">
                  <c:v>10.392307692307693</c:v>
                </c:pt>
                <c:pt idx="4">
                  <c:v>10.392307692307693</c:v>
                </c:pt>
                <c:pt idx="5">
                  <c:v>10.392307692307693</c:v>
                </c:pt>
                <c:pt idx="6">
                  <c:v>10.392307692307693</c:v>
                </c:pt>
                <c:pt idx="7">
                  <c:v>10.392307692307693</c:v>
                </c:pt>
                <c:pt idx="8">
                  <c:v>10.392307692307693</c:v>
                </c:pt>
                <c:pt idx="9">
                  <c:v>10.392307692307693</c:v>
                </c:pt>
                <c:pt idx="10">
                  <c:v>10.392307692307693</c:v>
                </c:pt>
                <c:pt idx="11">
                  <c:v>10.392307692307693</c:v>
                </c:pt>
                <c:pt idx="12">
                  <c:v>10.392307692307693</c:v>
                </c:pt>
                <c:pt idx="13">
                  <c:v>10.392307692307693</c:v>
                </c:pt>
                <c:pt idx="14">
                  <c:v>10.392307692307693</c:v>
                </c:pt>
                <c:pt idx="15">
                  <c:v>10.392307692307693</c:v>
                </c:pt>
                <c:pt idx="16">
                  <c:v>10.392307692307693</c:v>
                </c:pt>
                <c:pt idx="17">
                  <c:v>10.392307692307693</c:v>
                </c:pt>
                <c:pt idx="18">
                  <c:v>10.392307692307693</c:v>
                </c:pt>
                <c:pt idx="19">
                  <c:v>10.392307692307693</c:v>
                </c:pt>
                <c:pt idx="20">
                  <c:v>10.392307692307693</c:v>
                </c:pt>
                <c:pt idx="21">
                  <c:v>10.392307692307693</c:v>
                </c:pt>
                <c:pt idx="22">
                  <c:v>10.392307692307693</c:v>
                </c:pt>
                <c:pt idx="23">
                  <c:v>10.392307692307693</c:v>
                </c:pt>
                <c:pt idx="24">
                  <c:v>10.392307692307693</c:v>
                </c:pt>
                <c:pt idx="25">
                  <c:v>10.392307692307693</c:v>
                </c:pt>
                <c:pt idx="26">
                  <c:v>10.392307692307693</c:v>
                </c:pt>
                <c:pt idx="27">
                  <c:v>10.392307692307693</c:v>
                </c:pt>
                <c:pt idx="28">
                  <c:v>10.392307692307693</c:v>
                </c:pt>
                <c:pt idx="29">
                  <c:v>10.392307692307693</c:v>
                </c:pt>
                <c:pt idx="30">
                  <c:v>10.392307692307693</c:v>
                </c:pt>
                <c:pt idx="31">
                  <c:v>10.392307692307693</c:v>
                </c:pt>
                <c:pt idx="32">
                  <c:v>10.392307692307693</c:v>
                </c:pt>
                <c:pt idx="33">
                  <c:v>10.392307692307693</c:v>
                </c:pt>
                <c:pt idx="34">
                  <c:v>10.392307692307693</c:v>
                </c:pt>
                <c:pt idx="35">
                  <c:v>10.392307692307693</c:v>
                </c:pt>
                <c:pt idx="36">
                  <c:v>10.392307692307693</c:v>
                </c:pt>
                <c:pt idx="37">
                  <c:v>10.392307692307693</c:v>
                </c:pt>
                <c:pt idx="38">
                  <c:v>10.392307692307693</c:v>
                </c:pt>
                <c:pt idx="39">
                  <c:v>10.392307692307693</c:v>
                </c:pt>
                <c:pt idx="40">
                  <c:v>10.392307692307693</c:v>
                </c:pt>
                <c:pt idx="41">
                  <c:v>10.392307692307693</c:v>
                </c:pt>
                <c:pt idx="42">
                  <c:v>10.392307692307693</c:v>
                </c:pt>
                <c:pt idx="43">
                  <c:v>10.392307692307693</c:v>
                </c:pt>
                <c:pt idx="44">
                  <c:v>10.392307692307693</c:v>
                </c:pt>
                <c:pt idx="45">
                  <c:v>10.392307692307693</c:v>
                </c:pt>
                <c:pt idx="46">
                  <c:v>10.392307692307693</c:v>
                </c:pt>
                <c:pt idx="47">
                  <c:v>10.392307692307693</c:v>
                </c:pt>
                <c:pt idx="48">
                  <c:v>10.392307692307693</c:v>
                </c:pt>
                <c:pt idx="49">
                  <c:v>10.392307692307693</c:v>
                </c:pt>
                <c:pt idx="50">
                  <c:v>10.392307692307693</c:v>
                </c:pt>
                <c:pt idx="51">
                  <c:v>10.392307692307693</c:v>
                </c:pt>
              </c:numCache>
            </c:numRef>
          </c:val>
          <c:smooth val="0"/>
          <c:extLst>
            <c:ext xmlns:c16="http://schemas.microsoft.com/office/drawing/2014/chart" uri="{C3380CC4-5D6E-409C-BE32-E72D297353CC}">
              <c16:uniqueId val="{00000002-B128-45B8-8878-4913986F5AF7}"/>
            </c:ext>
          </c:extLst>
        </c:ser>
        <c:ser>
          <c:idx val="3"/>
          <c:order val="3"/>
          <c:tx>
            <c:v>Available capacity (plus ad hoc)</c:v>
          </c:tx>
          <c:spPr>
            <a:ln w="19050">
              <a:solidFill>
                <a:schemeClr val="accent3"/>
              </a:solidFill>
            </a:ln>
          </c:spPr>
          <c:marker>
            <c:symbol val="diamond"/>
            <c:size val="5"/>
            <c:spPr>
              <a:solidFill>
                <a:schemeClr val="accent3">
                  <a:lumMod val="60000"/>
                  <a:lumOff val="40000"/>
                </a:schemeClr>
              </a:solidFill>
              <a:ln>
                <a:solidFill>
                  <a:schemeClr val="accent3">
                    <a:lumMod val="75000"/>
                  </a:schemeClr>
                </a:solidFill>
              </a:ln>
            </c:spPr>
          </c:marker>
          <c:val>
            <c:numRef>
              <c:f>'Summary Calculations (hide)'!$S$15:$S$66</c:f>
              <c:numCache>
                <c:formatCode>#,##0</c:formatCode>
                <c:ptCount val="52"/>
                <c:pt idx="0">
                  <c:v>0</c:v>
                </c:pt>
                <c:pt idx="1">
                  <c:v>4</c:v>
                </c:pt>
                <c:pt idx="2">
                  <c:v>0</c:v>
                </c:pt>
                <c:pt idx="3">
                  <c:v>4</c:v>
                </c:pt>
                <c:pt idx="4">
                  <c:v>0</c:v>
                </c:pt>
                <c:pt idx="5">
                  <c:v>4</c:v>
                </c:pt>
                <c:pt idx="6">
                  <c:v>4</c:v>
                </c:pt>
                <c:pt idx="7">
                  <c:v>0</c:v>
                </c:pt>
                <c:pt idx="8">
                  <c:v>3.6923076923076925</c:v>
                </c:pt>
                <c:pt idx="9">
                  <c:v>7.6923076923076925</c:v>
                </c:pt>
                <c:pt idx="10">
                  <c:v>4</c:v>
                </c:pt>
                <c:pt idx="11">
                  <c:v>0</c:v>
                </c:pt>
                <c:pt idx="12">
                  <c:v>0</c:v>
                </c:pt>
                <c:pt idx="13">
                  <c:v>7.6923076923076925</c:v>
                </c:pt>
                <c:pt idx="14">
                  <c:v>0</c:v>
                </c:pt>
                <c:pt idx="15">
                  <c:v>0</c:v>
                </c:pt>
                <c:pt idx="16">
                  <c:v>0</c:v>
                </c:pt>
                <c:pt idx="17">
                  <c:v>0</c:v>
                </c:pt>
                <c:pt idx="18">
                  <c:v>0</c:v>
                </c:pt>
                <c:pt idx="19">
                  <c:v>0</c:v>
                </c:pt>
                <c:pt idx="20">
                  <c:v>0</c:v>
                </c:pt>
                <c:pt idx="21">
                  <c:v>0</c:v>
                </c:pt>
                <c:pt idx="22">
                  <c:v>0</c:v>
                </c:pt>
                <c:pt idx="23">
                  <c:v>0</c:v>
                </c:pt>
                <c:pt idx="24">
                  <c:v>0</c:v>
                </c:pt>
                <c:pt idx="25">
                  <c:v>3.6923076923076925</c:v>
                </c:pt>
                <c:pt idx="26">
                  <c:v>3.6923076923076925</c:v>
                </c:pt>
                <c:pt idx="27">
                  <c:v>7.6923076923076925</c:v>
                </c:pt>
                <c:pt idx="28">
                  <c:v>7.6923076923076925</c:v>
                </c:pt>
                <c:pt idx="29">
                  <c:v>3.6923076923076925</c:v>
                </c:pt>
                <c:pt idx="30">
                  <c:v>3.6923076923076925</c:v>
                </c:pt>
                <c:pt idx="31">
                  <c:v>3.6923076923076925</c:v>
                </c:pt>
                <c:pt idx="32">
                  <c:v>3.6923076923076925</c:v>
                </c:pt>
                <c:pt idx="33">
                  <c:v>3.6923076923076925</c:v>
                </c:pt>
                <c:pt idx="34">
                  <c:v>3.6923076923076925</c:v>
                </c:pt>
                <c:pt idx="35">
                  <c:v>0</c:v>
                </c:pt>
                <c:pt idx="36">
                  <c:v>4</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3-B128-45B8-8878-4913986F5AF7}"/>
            </c:ext>
          </c:extLst>
        </c:ser>
        <c:ser>
          <c:idx val="4"/>
          <c:order val="4"/>
          <c:tx>
            <c:v>Plus carve out (planned and same-day)</c:v>
          </c:tx>
          <c:spPr>
            <a:ln w="15875">
              <a:solidFill>
                <a:schemeClr val="accent3">
                  <a:lumMod val="50000"/>
                </a:schemeClr>
              </a:solidFill>
              <a:prstDash val="dashDot"/>
            </a:ln>
          </c:spPr>
          <c:marker>
            <c:symbol val="none"/>
          </c:marker>
          <c:val>
            <c:numRef>
              <c:f>'Summary Calculations (hide)'!$V$15:$V$66</c:f>
            </c:numRef>
          </c:val>
          <c:smooth val="0"/>
          <c:extLst>
            <c:ext xmlns:c16="http://schemas.microsoft.com/office/drawing/2014/chart" uri="{C3380CC4-5D6E-409C-BE32-E72D297353CC}">
              <c16:uniqueId val="{00000004-B128-45B8-8878-4913986F5AF7}"/>
            </c:ext>
          </c:extLst>
        </c:ser>
        <c:dLbls>
          <c:showLegendKey val="0"/>
          <c:showVal val="0"/>
          <c:showCatName val="0"/>
          <c:showSerName val="0"/>
          <c:showPercent val="0"/>
          <c:showBubbleSize val="0"/>
        </c:dLbls>
        <c:marker val="1"/>
        <c:smooth val="0"/>
        <c:axId val="362577920"/>
        <c:axId val="362579456"/>
      </c:lineChart>
      <c:catAx>
        <c:axId val="362577920"/>
        <c:scaling>
          <c:orientation val="minMax"/>
        </c:scaling>
        <c:delete val="0"/>
        <c:axPos val="b"/>
        <c:numFmt formatCode="General" sourceLinked="0"/>
        <c:majorTickMark val="none"/>
        <c:minorTickMark val="none"/>
        <c:tickLblPos val="nextTo"/>
        <c:txPr>
          <a:bodyPr/>
          <a:lstStyle/>
          <a:p>
            <a:pPr>
              <a:defRPr sz="800"/>
            </a:pPr>
            <a:endParaRPr lang="en-US"/>
          </a:p>
        </c:txPr>
        <c:crossAx val="362579456"/>
        <c:crosses val="autoZero"/>
        <c:auto val="1"/>
        <c:lblAlgn val="ctr"/>
        <c:lblOffset val="100"/>
        <c:noMultiLvlLbl val="1"/>
      </c:catAx>
      <c:valAx>
        <c:axId val="3625794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577920"/>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0"/>
          <c:order val="2"/>
          <c:tx>
            <c:strRef>
              <c:f>'WL PI Backing (hide)'!$T$10:$T$11</c:f>
              <c:strCache>
                <c:ptCount val="2"/>
                <c:pt idx="0">
                  <c:v>Prediction Output</c:v>
                </c:pt>
                <c:pt idx="1">
                  <c:v>1st</c:v>
                </c:pt>
              </c:strCache>
            </c:strRef>
          </c:tx>
          <c:spPr>
            <a:noFill/>
            <a:ln>
              <a:noFill/>
            </a:ln>
            <a:effectLst/>
          </c:spPr>
          <c:val>
            <c:numRef>
              <c:f>'WL PI Backing (hide)'!$T$13:$T$64</c:f>
              <c:numCache>
                <c:formatCode>General</c:formatCode>
                <c:ptCount val="52"/>
              </c:numCache>
            </c:numRef>
          </c:val>
          <c:extLst>
            <c:ext xmlns:c16="http://schemas.microsoft.com/office/drawing/2014/chart" uri="{C3380CC4-5D6E-409C-BE32-E72D297353CC}">
              <c16:uniqueId val="{00000000-0ACA-4B4B-8055-96490FA5BED2}"/>
            </c:ext>
          </c:extLst>
        </c:ser>
        <c:ser>
          <c:idx val="1"/>
          <c:order val="3"/>
          <c:tx>
            <c:v>1st / 99th Percentile</c:v>
          </c:tx>
          <c:spPr>
            <a:solidFill>
              <a:schemeClr val="tx2">
                <a:lumMod val="20000"/>
                <a:lumOff val="80000"/>
              </a:schemeClr>
            </a:solidFill>
            <a:ln>
              <a:noFill/>
            </a:ln>
            <a:effectLst/>
          </c:spPr>
          <c:val>
            <c:numRef>
              <c:f>'WL PI Backing (hide)'!$U$13:$U$64</c:f>
              <c:numCache>
                <c:formatCode>General</c:formatCode>
                <c:ptCount val="52"/>
              </c:numCache>
            </c:numRef>
          </c:val>
          <c:extLst>
            <c:ext xmlns:c16="http://schemas.microsoft.com/office/drawing/2014/chart" uri="{C3380CC4-5D6E-409C-BE32-E72D297353CC}">
              <c16:uniqueId val="{00000001-0ACA-4B4B-8055-96490FA5BED2}"/>
            </c:ext>
          </c:extLst>
        </c:ser>
        <c:ser>
          <c:idx val="2"/>
          <c:order val="4"/>
          <c:tx>
            <c:v>5th / 95th Percentile</c:v>
          </c:tx>
          <c:spPr>
            <a:solidFill>
              <a:schemeClr val="tx2"/>
            </a:solidFill>
            <a:ln>
              <a:noFill/>
            </a:ln>
            <a:effectLst/>
          </c:spPr>
          <c:val>
            <c:numRef>
              <c:f>'WL PI Backing (hide)'!$V$13:$V$64</c:f>
              <c:numCache>
                <c:formatCode>General</c:formatCode>
                <c:ptCount val="52"/>
              </c:numCache>
            </c:numRef>
          </c:val>
          <c:extLst>
            <c:ext xmlns:c16="http://schemas.microsoft.com/office/drawing/2014/chart" uri="{C3380CC4-5D6E-409C-BE32-E72D297353CC}">
              <c16:uniqueId val="{00000002-0ACA-4B4B-8055-96490FA5BED2}"/>
            </c:ext>
          </c:extLst>
        </c:ser>
        <c:ser>
          <c:idx val="3"/>
          <c:order val="5"/>
          <c:tx>
            <c:v>10th / 90th Percentile</c:v>
          </c:tx>
          <c:spPr>
            <a:solidFill>
              <a:schemeClr val="accent1"/>
            </a:solidFill>
            <a:ln>
              <a:noFill/>
            </a:ln>
            <a:effectLst/>
          </c:spPr>
          <c:val>
            <c:numRef>
              <c:f>'WL PI Backing (hide)'!$W$13:$W$64</c:f>
              <c:numCache>
                <c:formatCode>General</c:formatCode>
                <c:ptCount val="52"/>
              </c:numCache>
            </c:numRef>
          </c:val>
          <c:extLst>
            <c:ext xmlns:c16="http://schemas.microsoft.com/office/drawing/2014/chart" uri="{C3380CC4-5D6E-409C-BE32-E72D297353CC}">
              <c16:uniqueId val="{00000003-0ACA-4B4B-8055-96490FA5BED2}"/>
            </c:ext>
          </c:extLst>
        </c:ser>
        <c:ser>
          <c:idx val="4"/>
          <c:order val="6"/>
          <c:tx>
            <c:v>95th (hidden)</c:v>
          </c:tx>
          <c:spPr>
            <a:solidFill>
              <a:schemeClr val="tx2">
                <a:lumMod val="75000"/>
              </a:schemeClr>
            </a:solidFill>
            <a:ln>
              <a:noFill/>
            </a:ln>
            <a:effectLst/>
          </c:spPr>
          <c:val>
            <c:numRef>
              <c:f>'WL PI Backing (hide)'!$X$13:$X$64</c:f>
              <c:numCache>
                <c:formatCode>General</c:formatCode>
                <c:ptCount val="52"/>
              </c:numCache>
            </c:numRef>
          </c:val>
          <c:extLst>
            <c:ext xmlns:c16="http://schemas.microsoft.com/office/drawing/2014/chart" uri="{C3380CC4-5D6E-409C-BE32-E72D297353CC}">
              <c16:uniqueId val="{00000004-0ACA-4B4B-8055-96490FA5BED2}"/>
            </c:ext>
          </c:extLst>
        </c:ser>
        <c:ser>
          <c:idx val="5"/>
          <c:order val="7"/>
          <c:tx>
            <c:v>99th (hidden)</c:v>
          </c:tx>
          <c:spPr>
            <a:solidFill>
              <a:schemeClr val="tx2">
                <a:lumMod val="20000"/>
                <a:lumOff val="80000"/>
              </a:schemeClr>
            </a:solidFill>
            <a:ln>
              <a:noFill/>
            </a:ln>
            <a:effectLst/>
          </c:spPr>
          <c:val>
            <c:numRef>
              <c:f>'WL PI Backing (hide)'!$Y$13:$Y$64</c:f>
              <c:numCache>
                <c:formatCode>General</c:formatCode>
                <c:ptCount val="52"/>
              </c:numCache>
            </c:numRef>
          </c:val>
          <c:extLst>
            <c:ext xmlns:c16="http://schemas.microsoft.com/office/drawing/2014/chart" uri="{C3380CC4-5D6E-409C-BE32-E72D297353CC}">
              <c16:uniqueId val="{00000005-0ACA-4B4B-8055-96490FA5BED2}"/>
            </c:ext>
          </c:extLst>
        </c:ser>
        <c:dLbls>
          <c:showLegendKey val="0"/>
          <c:showVal val="0"/>
          <c:showCatName val="0"/>
          <c:showSerName val="0"/>
          <c:showPercent val="0"/>
          <c:showBubbleSize val="0"/>
        </c:dLbls>
        <c:axId val="505209616"/>
        <c:axId val="505205024"/>
      </c:areaChart>
      <c:barChart>
        <c:barDir val="col"/>
        <c:grouping val="stacked"/>
        <c:varyColors val="0"/>
        <c:ser>
          <c:idx val="7"/>
          <c:order val="0"/>
          <c:tx>
            <c:v>Blank Range</c:v>
          </c:tx>
          <c:spPr>
            <a:noFill/>
            <a:ln>
              <a:noFill/>
            </a:ln>
            <a:effectLst/>
          </c:spPr>
          <c:invertIfNegative val="0"/>
          <c:cat>
            <c:multiLvlStrRef>
              <c:f>'Summary Calculations (hide)'!$B$15:$C$66</c:f>
              <c:multiLvlStrCache>
                <c:ptCount val="50"/>
                <c:lvl>
                  <c:pt idx="0">
                    <c:v>Apr</c:v>
                  </c:pt>
                  <c:pt idx="1">
                    <c:v>May</c:v>
                  </c:pt>
                  <c:pt idx="5">
                    <c:v>Jun</c:v>
                  </c:pt>
                  <c:pt idx="9">
                    <c:v>Jul</c:v>
                  </c:pt>
                  <c:pt idx="14">
                    <c:v>Aug</c:v>
                  </c:pt>
                  <c:pt idx="18">
                    <c:v>Sep</c:v>
                  </c:pt>
                  <c:pt idx="23">
                    <c:v>Oct</c:v>
                  </c:pt>
                  <c:pt idx="27">
                    <c:v>Nov</c:v>
                  </c:pt>
                  <c:pt idx="31">
                    <c:v>Dec</c:v>
                  </c:pt>
                  <c:pt idx="36">
                    <c:v>Jan</c:v>
                  </c:pt>
                  <c:pt idx="40">
                    <c:v>Feb</c:v>
                  </c:pt>
                  <c:pt idx="44">
                    <c:v>Mar</c:v>
                  </c:pt>
                  <c:pt idx="49">
                    <c:v>Apr</c:v>
                  </c:pt>
                </c:lvl>
                <c:lvl>
                  <c:pt idx="0">
                    <c:v>2019</c:v>
                  </c:pt>
                  <c:pt idx="36">
                    <c:v>2020</c:v>
                  </c:pt>
                </c:lvl>
              </c:multiLvlStrCache>
            </c:multiLvlStrRef>
          </c:cat>
          <c:val>
            <c:numRef>
              <c:f>'WL PI Backing (hide)'!$AA$13:$AA$64</c:f>
              <c:numCache>
                <c:formatCode>General</c:formatCode>
                <c:ptCount val="52"/>
                <c:pt idx="0">
                  <c:v>42.562452931683694</c:v>
                </c:pt>
                <c:pt idx="1">
                  <c:v>42.562452931683694</c:v>
                </c:pt>
                <c:pt idx="2">
                  <c:v>42.562452931683694</c:v>
                </c:pt>
                <c:pt idx="3">
                  <c:v>42.562452931683694</c:v>
                </c:pt>
                <c:pt idx="4">
                  <c:v>42.562452931683694</c:v>
                </c:pt>
                <c:pt idx="5">
                  <c:v>42.562452931683694</c:v>
                </c:pt>
                <c:pt idx="6">
                  <c:v>42.562452931683694</c:v>
                </c:pt>
                <c:pt idx="7">
                  <c:v>42.562452931683694</c:v>
                </c:pt>
                <c:pt idx="8">
                  <c:v>42.562452931683694</c:v>
                </c:pt>
                <c:pt idx="9">
                  <c:v>42.562452931683694</c:v>
                </c:pt>
                <c:pt idx="10">
                  <c:v>42.562452931683694</c:v>
                </c:pt>
                <c:pt idx="11">
                  <c:v>42.562452931683694</c:v>
                </c:pt>
                <c:pt idx="12">
                  <c:v>42.562452931683694</c:v>
                </c:pt>
                <c:pt idx="13">
                  <c:v>42.562452931683694</c:v>
                </c:pt>
                <c:pt idx="14">
                  <c:v>42.562452931683694</c:v>
                </c:pt>
                <c:pt idx="15">
                  <c:v>42.562452931683694</c:v>
                </c:pt>
                <c:pt idx="16">
                  <c:v>42.562452931683694</c:v>
                </c:pt>
                <c:pt idx="17">
                  <c:v>42.562452931683694</c:v>
                </c:pt>
                <c:pt idx="18">
                  <c:v>42.562452931683694</c:v>
                </c:pt>
                <c:pt idx="19">
                  <c:v>42.562452931683694</c:v>
                </c:pt>
                <c:pt idx="20">
                  <c:v>42.562452931683694</c:v>
                </c:pt>
                <c:pt idx="21">
                  <c:v>42.562452931683694</c:v>
                </c:pt>
                <c:pt idx="22">
                  <c:v>42.562452931683694</c:v>
                </c:pt>
                <c:pt idx="23">
                  <c:v>42.562452931683694</c:v>
                </c:pt>
                <c:pt idx="24">
                  <c:v>42.562452931683694</c:v>
                </c:pt>
                <c:pt idx="25">
                  <c:v>42.562452931683694</c:v>
                </c:pt>
                <c:pt idx="26">
                  <c:v>42.562452931683694</c:v>
                </c:pt>
                <c:pt idx="27">
                  <c:v>42.562452931683694</c:v>
                </c:pt>
                <c:pt idx="28">
                  <c:v>42.562452931683694</c:v>
                </c:pt>
                <c:pt idx="29">
                  <c:v>42.562452931683694</c:v>
                </c:pt>
                <c:pt idx="30">
                  <c:v>42.562452931683694</c:v>
                </c:pt>
                <c:pt idx="31">
                  <c:v>42.562452931683694</c:v>
                </c:pt>
                <c:pt idx="32">
                  <c:v>42.562452931683694</c:v>
                </c:pt>
                <c:pt idx="33">
                  <c:v>42.562452931683694</c:v>
                </c:pt>
                <c:pt idx="34">
                  <c:v>42.562452931683694</c:v>
                </c:pt>
                <c:pt idx="35">
                  <c:v>42.562452931683694</c:v>
                </c:pt>
                <c:pt idx="36">
                  <c:v>42.562452931683694</c:v>
                </c:pt>
                <c:pt idx="37">
                  <c:v>42.562452931683694</c:v>
                </c:pt>
                <c:pt idx="38">
                  <c:v>42.562452931683694</c:v>
                </c:pt>
                <c:pt idx="39">
                  <c:v>42.562452931683694</c:v>
                </c:pt>
                <c:pt idx="40">
                  <c:v>42.562452931683694</c:v>
                </c:pt>
                <c:pt idx="41">
                  <c:v>42.562452931683694</c:v>
                </c:pt>
                <c:pt idx="42">
                  <c:v>42.562452931683694</c:v>
                </c:pt>
                <c:pt idx="43">
                  <c:v>42.562452931683694</c:v>
                </c:pt>
                <c:pt idx="44">
                  <c:v>42.562452931683694</c:v>
                </c:pt>
                <c:pt idx="45">
                  <c:v>42.562452931683694</c:v>
                </c:pt>
                <c:pt idx="46">
                  <c:v>42.562452931683694</c:v>
                </c:pt>
                <c:pt idx="47">
                  <c:v>42.562452931683694</c:v>
                </c:pt>
                <c:pt idx="48">
                  <c:v>42.562452931683694</c:v>
                </c:pt>
                <c:pt idx="49">
                  <c:v>42.562452931683694</c:v>
                </c:pt>
                <c:pt idx="50">
                  <c:v>42.562452931683694</c:v>
                </c:pt>
                <c:pt idx="51">
                  <c:v>42.562452931683694</c:v>
                </c:pt>
              </c:numCache>
            </c:numRef>
          </c:val>
          <c:extLst>
            <c:ext xmlns:c16="http://schemas.microsoft.com/office/drawing/2014/chart" uri="{C3380CC4-5D6E-409C-BE32-E72D297353CC}">
              <c16:uniqueId val="{00000001-0C40-4B1D-B3A1-8ACA6649A7A4}"/>
            </c:ext>
          </c:extLst>
        </c:ser>
        <c:ser>
          <c:idx val="8"/>
          <c:order val="1"/>
          <c:tx>
            <c:v>Sustainable Range</c:v>
          </c:tx>
          <c:spPr>
            <a:solidFill>
              <a:srgbClr val="FF0000">
                <a:alpha val="54000"/>
              </a:srgbClr>
            </a:solidFill>
            <a:ln>
              <a:noFill/>
            </a:ln>
            <a:effectLst/>
          </c:spPr>
          <c:invertIfNegative val="0"/>
          <c:cat>
            <c:multiLvlStrRef>
              <c:f>'Summary Calculations (hide)'!$B$15:$C$66</c:f>
              <c:multiLvlStrCache>
                <c:ptCount val="50"/>
                <c:lvl>
                  <c:pt idx="0">
                    <c:v>Apr</c:v>
                  </c:pt>
                  <c:pt idx="1">
                    <c:v>May</c:v>
                  </c:pt>
                  <c:pt idx="5">
                    <c:v>Jun</c:v>
                  </c:pt>
                  <c:pt idx="9">
                    <c:v>Jul</c:v>
                  </c:pt>
                  <c:pt idx="14">
                    <c:v>Aug</c:v>
                  </c:pt>
                  <c:pt idx="18">
                    <c:v>Sep</c:v>
                  </c:pt>
                  <c:pt idx="23">
                    <c:v>Oct</c:v>
                  </c:pt>
                  <c:pt idx="27">
                    <c:v>Nov</c:v>
                  </c:pt>
                  <c:pt idx="31">
                    <c:v>Dec</c:v>
                  </c:pt>
                  <c:pt idx="36">
                    <c:v>Jan</c:v>
                  </c:pt>
                  <c:pt idx="40">
                    <c:v>Feb</c:v>
                  </c:pt>
                  <c:pt idx="44">
                    <c:v>Mar</c:v>
                  </c:pt>
                  <c:pt idx="49">
                    <c:v>Apr</c:v>
                  </c:pt>
                </c:lvl>
                <c:lvl>
                  <c:pt idx="0">
                    <c:v>2019</c:v>
                  </c:pt>
                  <c:pt idx="36">
                    <c:v>2020</c:v>
                  </c:pt>
                </c:lvl>
              </c:multiLvlStrCache>
            </c:multiLvlStrRef>
          </c:cat>
          <c:val>
            <c:numRef>
              <c:f>'WL PI Backing (hide)'!$AC$13:$AC$64</c:f>
              <c:numCache>
                <c:formatCode>General</c:formatCode>
                <c:ptCount val="52"/>
                <c:pt idx="0">
                  <c:v>4.4802582033351257</c:v>
                </c:pt>
                <c:pt idx="1">
                  <c:v>4.4802582033351257</c:v>
                </c:pt>
                <c:pt idx="2">
                  <c:v>4.4802582033351257</c:v>
                </c:pt>
                <c:pt idx="3">
                  <c:v>4.4802582033351257</c:v>
                </c:pt>
                <c:pt idx="4">
                  <c:v>4.4802582033351257</c:v>
                </c:pt>
                <c:pt idx="5">
                  <c:v>4.4802582033351257</c:v>
                </c:pt>
                <c:pt idx="6">
                  <c:v>4.4802582033351257</c:v>
                </c:pt>
                <c:pt idx="7">
                  <c:v>4.4802582033351257</c:v>
                </c:pt>
                <c:pt idx="8">
                  <c:v>4.4802582033351257</c:v>
                </c:pt>
                <c:pt idx="9">
                  <c:v>4.4802582033351257</c:v>
                </c:pt>
                <c:pt idx="10">
                  <c:v>4.4802582033351257</c:v>
                </c:pt>
                <c:pt idx="11">
                  <c:v>4.4802582033351257</c:v>
                </c:pt>
                <c:pt idx="12">
                  <c:v>4.4802582033351257</c:v>
                </c:pt>
                <c:pt idx="13">
                  <c:v>4.4802582033351257</c:v>
                </c:pt>
                <c:pt idx="14">
                  <c:v>4.4802582033351257</c:v>
                </c:pt>
                <c:pt idx="15">
                  <c:v>4.4802582033351257</c:v>
                </c:pt>
                <c:pt idx="16">
                  <c:v>4.4802582033351257</c:v>
                </c:pt>
                <c:pt idx="17">
                  <c:v>4.4802582033351257</c:v>
                </c:pt>
                <c:pt idx="18">
                  <c:v>4.4802582033351257</c:v>
                </c:pt>
                <c:pt idx="19">
                  <c:v>4.4802582033351257</c:v>
                </c:pt>
                <c:pt idx="20">
                  <c:v>4.4802582033351257</c:v>
                </c:pt>
                <c:pt idx="21">
                  <c:v>4.4802582033351257</c:v>
                </c:pt>
                <c:pt idx="22">
                  <c:v>4.4802582033351257</c:v>
                </c:pt>
                <c:pt idx="23">
                  <c:v>4.4802582033351257</c:v>
                </c:pt>
                <c:pt idx="24">
                  <c:v>4.4802582033351257</c:v>
                </c:pt>
                <c:pt idx="25">
                  <c:v>4.4802582033351257</c:v>
                </c:pt>
                <c:pt idx="26">
                  <c:v>4.4802582033351257</c:v>
                </c:pt>
                <c:pt idx="27">
                  <c:v>4.4802582033351257</c:v>
                </c:pt>
                <c:pt idx="28">
                  <c:v>4.4802582033351257</c:v>
                </c:pt>
                <c:pt idx="29">
                  <c:v>4.4802582033351257</c:v>
                </c:pt>
                <c:pt idx="30">
                  <c:v>4.4802582033351257</c:v>
                </c:pt>
                <c:pt idx="31">
                  <c:v>4.4802582033351257</c:v>
                </c:pt>
                <c:pt idx="32">
                  <c:v>4.4802582033351257</c:v>
                </c:pt>
                <c:pt idx="33">
                  <c:v>4.4802582033351257</c:v>
                </c:pt>
                <c:pt idx="34">
                  <c:v>4.4802582033351257</c:v>
                </c:pt>
                <c:pt idx="35">
                  <c:v>4.4802582033351257</c:v>
                </c:pt>
                <c:pt idx="36">
                  <c:v>4.4802582033351257</c:v>
                </c:pt>
                <c:pt idx="37">
                  <c:v>4.4802582033351257</c:v>
                </c:pt>
                <c:pt idx="38">
                  <c:v>4.4802582033351257</c:v>
                </c:pt>
                <c:pt idx="39">
                  <c:v>4.4802582033351257</c:v>
                </c:pt>
                <c:pt idx="40">
                  <c:v>4.4802582033351257</c:v>
                </c:pt>
                <c:pt idx="41">
                  <c:v>4.4802582033351257</c:v>
                </c:pt>
                <c:pt idx="42">
                  <c:v>4.4802582033351257</c:v>
                </c:pt>
                <c:pt idx="43">
                  <c:v>4.4802582033351257</c:v>
                </c:pt>
                <c:pt idx="44">
                  <c:v>4.4802582033351257</c:v>
                </c:pt>
                <c:pt idx="45">
                  <c:v>4.4802582033351257</c:v>
                </c:pt>
                <c:pt idx="46">
                  <c:v>4.4802582033351257</c:v>
                </c:pt>
                <c:pt idx="47">
                  <c:v>4.4802582033351257</c:v>
                </c:pt>
                <c:pt idx="48">
                  <c:v>4.4802582033351257</c:v>
                </c:pt>
                <c:pt idx="49">
                  <c:v>4.4802582033351257</c:v>
                </c:pt>
                <c:pt idx="50">
                  <c:v>4.4802582033351257</c:v>
                </c:pt>
                <c:pt idx="51">
                  <c:v>4.4802582033351257</c:v>
                </c:pt>
              </c:numCache>
            </c:numRef>
          </c:val>
          <c:extLst>
            <c:ext xmlns:c16="http://schemas.microsoft.com/office/drawing/2014/chart" uri="{C3380CC4-5D6E-409C-BE32-E72D297353CC}">
              <c16:uniqueId val="{00000002-0C40-4B1D-B3A1-8ACA6649A7A4}"/>
            </c:ext>
          </c:extLst>
        </c:ser>
        <c:dLbls>
          <c:showLegendKey val="0"/>
          <c:showVal val="0"/>
          <c:showCatName val="0"/>
          <c:showSerName val="0"/>
          <c:showPercent val="0"/>
          <c:showBubbleSize val="0"/>
        </c:dLbls>
        <c:gapWidth val="0"/>
        <c:overlap val="100"/>
        <c:axId val="505209616"/>
        <c:axId val="505205024"/>
      </c:barChart>
      <c:lineChart>
        <c:grouping val="standard"/>
        <c:varyColors val="0"/>
        <c:ser>
          <c:idx val="6"/>
          <c:order val="8"/>
          <c:tx>
            <c:v>Mean</c:v>
          </c:tx>
          <c:spPr>
            <a:ln w="28575" cap="rnd">
              <a:solidFill>
                <a:srgbClr val="92D050"/>
              </a:solidFill>
              <a:round/>
            </a:ln>
            <a:effectLst/>
          </c:spPr>
          <c:marker>
            <c:symbol val="none"/>
          </c:marker>
          <c:val>
            <c:numRef>
              <c:f>'WL PI Backing (hide)'!$Z$13:$Z$64</c:f>
              <c:numCache>
                <c:formatCode>General</c:formatCode>
                <c:ptCount val="52"/>
              </c:numCache>
            </c:numRef>
          </c:val>
          <c:smooth val="0"/>
          <c:extLst>
            <c:ext xmlns:c16="http://schemas.microsoft.com/office/drawing/2014/chart" uri="{C3380CC4-5D6E-409C-BE32-E72D297353CC}">
              <c16:uniqueId val="{00000006-0ACA-4B4B-8055-96490FA5BED2}"/>
            </c:ext>
          </c:extLst>
        </c:ser>
        <c:dLbls>
          <c:showLegendKey val="0"/>
          <c:showVal val="0"/>
          <c:showCatName val="0"/>
          <c:showSerName val="0"/>
          <c:showPercent val="0"/>
          <c:showBubbleSize val="0"/>
        </c:dLbls>
        <c:marker val="1"/>
        <c:smooth val="0"/>
        <c:axId val="505209616"/>
        <c:axId val="505205024"/>
      </c:lineChart>
      <c:catAx>
        <c:axId val="5052096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5024"/>
        <c:crosses val="autoZero"/>
        <c:auto val="1"/>
        <c:lblAlgn val="ctr"/>
        <c:lblOffset val="100"/>
        <c:noMultiLvlLbl val="1"/>
      </c:catAx>
      <c:valAx>
        <c:axId val="505205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9616"/>
        <c:crosses val="autoZero"/>
        <c:crossBetween val="between"/>
      </c:valAx>
      <c:spPr>
        <a:noFill/>
        <a:ln>
          <a:noFill/>
        </a:ln>
        <a:effectLst/>
      </c:spPr>
    </c:plotArea>
    <c:legend>
      <c:legendPos val="b"/>
      <c:legendEntry>
        <c:idx val="0"/>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Planning</a:t>
            </a:r>
          </a:p>
        </c:rich>
      </c:tx>
      <c:overlay val="0"/>
    </c:title>
    <c:autoTitleDeleted val="0"/>
    <c:plotArea>
      <c:layout>
        <c:manualLayout>
          <c:layoutTarget val="inner"/>
          <c:xMode val="edge"/>
          <c:yMode val="edge"/>
          <c:x val="4.176406591181011E-2"/>
          <c:y val="0.1930283659837925"/>
          <c:w val="0.94337607837664428"/>
          <c:h val="0.66051792760040662"/>
        </c:manualLayout>
      </c:layout>
      <c:barChart>
        <c:barDir val="col"/>
        <c:grouping val="stacked"/>
        <c:varyColors val="0"/>
        <c:ser>
          <c:idx val="4"/>
          <c:order val="2"/>
          <c:tx>
            <c:v>Lower (original)</c:v>
          </c:tx>
          <c:spPr>
            <a:noFill/>
          </c:spPr>
          <c:invertIfNegative val="0"/>
          <c:cat>
            <c:numRef>
              <c:f>'Planning (hide)'!$A$4:$A$55</c:f>
              <c:numCache>
                <c:formatCode>m/d/yyyy</c:formatCode>
                <c:ptCount val="52"/>
                <c:pt idx="0">
                  <c:v>43586</c:v>
                </c:pt>
                <c:pt idx="1">
                  <c:v>43593</c:v>
                </c:pt>
                <c:pt idx="2">
                  <c:v>43600</c:v>
                </c:pt>
                <c:pt idx="3">
                  <c:v>43607</c:v>
                </c:pt>
                <c:pt idx="4">
                  <c:v>43614</c:v>
                </c:pt>
                <c:pt idx="5">
                  <c:v>43621</c:v>
                </c:pt>
                <c:pt idx="6">
                  <c:v>43628</c:v>
                </c:pt>
                <c:pt idx="7">
                  <c:v>43635</c:v>
                </c:pt>
                <c:pt idx="8">
                  <c:v>43642</c:v>
                </c:pt>
                <c:pt idx="9">
                  <c:v>43649</c:v>
                </c:pt>
                <c:pt idx="10">
                  <c:v>43656</c:v>
                </c:pt>
                <c:pt idx="11">
                  <c:v>43663</c:v>
                </c:pt>
                <c:pt idx="12">
                  <c:v>43670</c:v>
                </c:pt>
                <c:pt idx="13">
                  <c:v>43677</c:v>
                </c:pt>
                <c:pt idx="14">
                  <c:v>43684</c:v>
                </c:pt>
                <c:pt idx="15">
                  <c:v>43691</c:v>
                </c:pt>
                <c:pt idx="16">
                  <c:v>43698</c:v>
                </c:pt>
                <c:pt idx="17">
                  <c:v>43705</c:v>
                </c:pt>
                <c:pt idx="18">
                  <c:v>43712</c:v>
                </c:pt>
                <c:pt idx="19">
                  <c:v>43719</c:v>
                </c:pt>
                <c:pt idx="20">
                  <c:v>43726</c:v>
                </c:pt>
                <c:pt idx="21">
                  <c:v>43733</c:v>
                </c:pt>
                <c:pt idx="22">
                  <c:v>43740</c:v>
                </c:pt>
                <c:pt idx="23">
                  <c:v>43747</c:v>
                </c:pt>
                <c:pt idx="24">
                  <c:v>43754</c:v>
                </c:pt>
                <c:pt idx="25">
                  <c:v>43761</c:v>
                </c:pt>
                <c:pt idx="26">
                  <c:v>43768</c:v>
                </c:pt>
                <c:pt idx="27">
                  <c:v>43775</c:v>
                </c:pt>
                <c:pt idx="28">
                  <c:v>43782</c:v>
                </c:pt>
                <c:pt idx="29">
                  <c:v>43789</c:v>
                </c:pt>
                <c:pt idx="30">
                  <c:v>43796</c:v>
                </c:pt>
                <c:pt idx="31">
                  <c:v>43803</c:v>
                </c:pt>
                <c:pt idx="32">
                  <c:v>43810</c:v>
                </c:pt>
                <c:pt idx="33">
                  <c:v>43817</c:v>
                </c:pt>
                <c:pt idx="34">
                  <c:v>43824</c:v>
                </c:pt>
                <c:pt idx="35">
                  <c:v>43831</c:v>
                </c:pt>
                <c:pt idx="36">
                  <c:v>43838</c:v>
                </c:pt>
                <c:pt idx="37">
                  <c:v>43845</c:v>
                </c:pt>
                <c:pt idx="38">
                  <c:v>43852</c:v>
                </c:pt>
                <c:pt idx="39">
                  <c:v>43859</c:v>
                </c:pt>
                <c:pt idx="40">
                  <c:v>43866</c:v>
                </c:pt>
                <c:pt idx="41">
                  <c:v>43873</c:v>
                </c:pt>
                <c:pt idx="42">
                  <c:v>43880</c:v>
                </c:pt>
                <c:pt idx="43">
                  <c:v>43887</c:v>
                </c:pt>
                <c:pt idx="44">
                  <c:v>43894</c:v>
                </c:pt>
                <c:pt idx="45">
                  <c:v>43901</c:v>
                </c:pt>
                <c:pt idx="46">
                  <c:v>43908</c:v>
                </c:pt>
                <c:pt idx="47">
                  <c:v>43915</c:v>
                </c:pt>
                <c:pt idx="48">
                  <c:v>43922</c:v>
                </c:pt>
                <c:pt idx="49">
                  <c:v>43929</c:v>
                </c:pt>
                <c:pt idx="50">
                  <c:v>43936</c:v>
                </c:pt>
                <c:pt idx="51">
                  <c:v>43943</c:v>
                </c:pt>
              </c:numCache>
            </c:numRef>
          </c:cat>
          <c:val>
            <c:numRef>
              <c:f>'Planning (hide)'!$AD$4:$AD$55</c:f>
              <c:numCache>
                <c:formatCode>General</c:formatCode>
                <c:ptCount val="52"/>
                <c:pt idx="0">
                  <c:v>14.254500348202729</c:v>
                </c:pt>
                <c:pt idx="1">
                  <c:v>14.254500348202729</c:v>
                </c:pt>
                <c:pt idx="2">
                  <c:v>14.254500348202729</c:v>
                </c:pt>
                <c:pt idx="3">
                  <c:v>14.254500348202729</c:v>
                </c:pt>
                <c:pt idx="4">
                  <c:v>14.254500348202729</c:v>
                </c:pt>
                <c:pt idx="5">
                  <c:v>14.254500348202729</c:v>
                </c:pt>
                <c:pt idx="6">
                  <c:v>14.254500348202729</c:v>
                </c:pt>
                <c:pt idx="7">
                  <c:v>14.254500348202729</c:v>
                </c:pt>
                <c:pt idx="8">
                  <c:v>14.254500348202729</c:v>
                </c:pt>
                <c:pt idx="9">
                  <c:v>14.254500348202729</c:v>
                </c:pt>
                <c:pt idx="10">
                  <c:v>14.254500348202729</c:v>
                </c:pt>
                <c:pt idx="11">
                  <c:v>14.254500348202729</c:v>
                </c:pt>
                <c:pt idx="12">
                  <c:v>14.254500348202729</c:v>
                </c:pt>
                <c:pt idx="13">
                  <c:v>14.254500348202729</c:v>
                </c:pt>
                <c:pt idx="14">
                  <c:v>14.254500348202729</c:v>
                </c:pt>
                <c:pt idx="15">
                  <c:v>14.254500348202729</c:v>
                </c:pt>
                <c:pt idx="16">
                  <c:v>14.254500348202729</c:v>
                </c:pt>
                <c:pt idx="17">
                  <c:v>14.254500348202729</c:v>
                </c:pt>
                <c:pt idx="18">
                  <c:v>14.254500348202729</c:v>
                </c:pt>
                <c:pt idx="19">
                  <c:v>14.254500348202729</c:v>
                </c:pt>
                <c:pt idx="20">
                  <c:v>14.254500348202729</c:v>
                </c:pt>
                <c:pt idx="21">
                  <c:v>14.254500348202729</c:v>
                </c:pt>
                <c:pt idx="22">
                  <c:v>14.254500348202729</c:v>
                </c:pt>
                <c:pt idx="23">
                  <c:v>14.254500348202729</c:v>
                </c:pt>
                <c:pt idx="24">
                  <c:v>14.254500348202729</c:v>
                </c:pt>
                <c:pt idx="25">
                  <c:v>14.254500348202729</c:v>
                </c:pt>
                <c:pt idx="26">
                  <c:v>14.254500348202729</c:v>
                </c:pt>
                <c:pt idx="27">
                  <c:v>14.254500348202729</c:v>
                </c:pt>
                <c:pt idx="28">
                  <c:v>14.254500348202729</c:v>
                </c:pt>
                <c:pt idx="29">
                  <c:v>14.254500348202729</c:v>
                </c:pt>
                <c:pt idx="30">
                  <c:v>14.254500348202729</c:v>
                </c:pt>
                <c:pt idx="31">
                  <c:v>14.254500348202729</c:v>
                </c:pt>
                <c:pt idx="32">
                  <c:v>14.254500348202729</c:v>
                </c:pt>
                <c:pt idx="33">
                  <c:v>14.254500348202729</c:v>
                </c:pt>
                <c:pt idx="34">
                  <c:v>14.254500348202729</c:v>
                </c:pt>
                <c:pt idx="35">
                  <c:v>14.254500348202729</c:v>
                </c:pt>
                <c:pt idx="36">
                  <c:v>14.254500348202729</c:v>
                </c:pt>
                <c:pt idx="37">
                  <c:v>14.254500348202729</c:v>
                </c:pt>
                <c:pt idx="38">
                  <c:v>14.254500348202729</c:v>
                </c:pt>
                <c:pt idx="39">
                  <c:v>14.254500348202729</c:v>
                </c:pt>
                <c:pt idx="40">
                  <c:v>14.254500348202729</c:v>
                </c:pt>
                <c:pt idx="41">
                  <c:v>14.254500348202729</c:v>
                </c:pt>
                <c:pt idx="42">
                  <c:v>14.254500348202729</c:v>
                </c:pt>
                <c:pt idx="43">
                  <c:v>14.254500348202729</c:v>
                </c:pt>
                <c:pt idx="44">
                  <c:v>14.254500348202729</c:v>
                </c:pt>
                <c:pt idx="45">
                  <c:v>14.254500348202729</c:v>
                </c:pt>
                <c:pt idx="46">
                  <c:v>14.254500348202729</c:v>
                </c:pt>
                <c:pt idx="47">
                  <c:v>14.254500348202729</c:v>
                </c:pt>
                <c:pt idx="48">
                  <c:v>14.254500348202729</c:v>
                </c:pt>
                <c:pt idx="49">
                  <c:v>14.254500348202729</c:v>
                </c:pt>
                <c:pt idx="50">
                  <c:v>14.254500348202729</c:v>
                </c:pt>
                <c:pt idx="51">
                  <c:v>14.254500348202729</c:v>
                </c:pt>
              </c:numCache>
            </c:numRef>
          </c:val>
          <c:extLst>
            <c:ext xmlns:c16="http://schemas.microsoft.com/office/drawing/2014/chart" uri="{C3380CC4-5D6E-409C-BE32-E72D297353CC}">
              <c16:uniqueId val="{00000000-A49C-4843-B092-F122F64A40EC}"/>
            </c:ext>
          </c:extLst>
        </c:ser>
        <c:ser>
          <c:idx val="5"/>
          <c:order val="3"/>
          <c:tx>
            <c:v>Required capacity (original)</c:v>
          </c:tx>
          <c:spPr>
            <a:solidFill>
              <a:schemeClr val="tx2">
                <a:lumMod val="40000"/>
                <a:lumOff val="60000"/>
              </a:schemeClr>
            </a:solidFill>
            <a:ln>
              <a:noFill/>
            </a:ln>
          </c:spPr>
          <c:invertIfNegative val="0"/>
          <c:cat>
            <c:numRef>
              <c:f>'Planning (hide)'!$A$4:$A$55</c:f>
              <c:numCache>
                <c:formatCode>m/d/yyyy</c:formatCode>
                <c:ptCount val="52"/>
                <c:pt idx="0">
                  <c:v>43586</c:v>
                </c:pt>
                <c:pt idx="1">
                  <c:v>43593</c:v>
                </c:pt>
                <c:pt idx="2">
                  <c:v>43600</c:v>
                </c:pt>
                <c:pt idx="3">
                  <c:v>43607</c:v>
                </c:pt>
                <c:pt idx="4">
                  <c:v>43614</c:v>
                </c:pt>
                <c:pt idx="5">
                  <c:v>43621</c:v>
                </c:pt>
                <c:pt idx="6">
                  <c:v>43628</c:v>
                </c:pt>
                <c:pt idx="7">
                  <c:v>43635</c:v>
                </c:pt>
                <c:pt idx="8">
                  <c:v>43642</c:v>
                </c:pt>
                <c:pt idx="9">
                  <c:v>43649</c:v>
                </c:pt>
                <c:pt idx="10">
                  <c:v>43656</c:v>
                </c:pt>
                <c:pt idx="11">
                  <c:v>43663</c:v>
                </c:pt>
                <c:pt idx="12">
                  <c:v>43670</c:v>
                </c:pt>
                <c:pt idx="13">
                  <c:v>43677</c:v>
                </c:pt>
                <c:pt idx="14">
                  <c:v>43684</c:v>
                </c:pt>
                <c:pt idx="15">
                  <c:v>43691</c:v>
                </c:pt>
                <c:pt idx="16">
                  <c:v>43698</c:v>
                </c:pt>
                <c:pt idx="17">
                  <c:v>43705</c:v>
                </c:pt>
                <c:pt idx="18">
                  <c:v>43712</c:v>
                </c:pt>
                <c:pt idx="19">
                  <c:v>43719</c:v>
                </c:pt>
                <c:pt idx="20">
                  <c:v>43726</c:v>
                </c:pt>
                <c:pt idx="21">
                  <c:v>43733</c:v>
                </c:pt>
                <c:pt idx="22">
                  <c:v>43740</c:v>
                </c:pt>
                <c:pt idx="23">
                  <c:v>43747</c:v>
                </c:pt>
                <c:pt idx="24">
                  <c:v>43754</c:v>
                </c:pt>
                <c:pt idx="25">
                  <c:v>43761</c:v>
                </c:pt>
                <c:pt idx="26">
                  <c:v>43768</c:v>
                </c:pt>
                <c:pt idx="27">
                  <c:v>43775</c:v>
                </c:pt>
                <c:pt idx="28">
                  <c:v>43782</c:v>
                </c:pt>
                <c:pt idx="29">
                  <c:v>43789</c:v>
                </c:pt>
                <c:pt idx="30">
                  <c:v>43796</c:v>
                </c:pt>
                <c:pt idx="31">
                  <c:v>43803</c:v>
                </c:pt>
                <c:pt idx="32">
                  <c:v>43810</c:v>
                </c:pt>
                <c:pt idx="33">
                  <c:v>43817</c:v>
                </c:pt>
                <c:pt idx="34">
                  <c:v>43824</c:v>
                </c:pt>
                <c:pt idx="35">
                  <c:v>43831</c:v>
                </c:pt>
                <c:pt idx="36">
                  <c:v>43838</c:v>
                </c:pt>
                <c:pt idx="37">
                  <c:v>43845</c:v>
                </c:pt>
                <c:pt idx="38">
                  <c:v>43852</c:v>
                </c:pt>
                <c:pt idx="39">
                  <c:v>43859</c:v>
                </c:pt>
                <c:pt idx="40">
                  <c:v>43866</c:v>
                </c:pt>
                <c:pt idx="41">
                  <c:v>43873</c:v>
                </c:pt>
                <c:pt idx="42">
                  <c:v>43880</c:v>
                </c:pt>
                <c:pt idx="43">
                  <c:v>43887</c:v>
                </c:pt>
                <c:pt idx="44">
                  <c:v>43894</c:v>
                </c:pt>
                <c:pt idx="45">
                  <c:v>43901</c:v>
                </c:pt>
                <c:pt idx="46">
                  <c:v>43908</c:v>
                </c:pt>
                <c:pt idx="47">
                  <c:v>43915</c:v>
                </c:pt>
                <c:pt idx="48">
                  <c:v>43922</c:v>
                </c:pt>
                <c:pt idx="49">
                  <c:v>43929</c:v>
                </c:pt>
                <c:pt idx="50">
                  <c:v>43936</c:v>
                </c:pt>
                <c:pt idx="51">
                  <c:v>43943</c:v>
                </c:pt>
              </c:numCache>
            </c:numRef>
          </c:cat>
          <c:val>
            <c:numRef>
              <c:f>'Planning (hide)'!$AE$4:$AE$55</c:f>
              <c:numCache>
                <c:formatCode>General</c:formatCode>
                <c:ptCount val="52"/>
                <c:pt idx="0">
                  <c:v>2.9077629903405398</c:v>
                </c:pt>
                <c:pt idx="1">
                  <c:v>2.9077629903405398</c:v>
                </c:pt>
                <c:pt idx="2">
                  <c:v>2.9077629903405398</c:v>
                </c:pt>
                <c:pt idx="3">
                  <c:v>2.9077629903405398</c:v>
                </c:pt>
                <c:pt idx="4">
                  <c:v>2.9077629903405398</c:v>
                </c:pt>
                <c:pt idx="5">
                  <c:v>2.9077629903405398</c:v>
                </c:pt>
                <c:pt idx="6">
                  <c:v>2.9077629903405398</c:v>
                </c:pt>
                <c:pt idx="7">
                  <c:v>2.9077629903405398</c:v>
                </c:pt>
                <c:pt idx="8">
                  <c:v>2.9077629903405398</c:v>
                </c:pt>
                <c:pt idx="9">
                  <c:v>2.9077629903405398</c:v>
                </c:pt>
                <c:pt idx="10">
                  <c:v>2.9077629903405398</c:v>
                </c:pt>
                <c:pt idx="11">
                  <c:v>2.9077629903405398</c:v>
                </c:pt>
                <c:pt idx="12">
                  <c:v>2.9077629903405398</c:v>
                </c:pt>
                <c:pt idx="13">
                  <c:v>2.9077629903405398</c:v>
                </c:pt>
                <c:pt idx="14">
                  <c:v>2.9077629903405398</c:v>
                </c:pt>
                <c:pt idx="15">
                  <c:v>2.9077629903405398</c:v>
                </c:pt>
                <c:pt idx="16">
                  <c:v>2.9077629903405398</c:v>
                </c:pt>
                <c:pt idx="17">
                  <c:v>2.9077629903405398</c:v>
                </c:pt>
                <c:pt idx="18">
                  <c:v>2.9077629903405398</c:v>
                </c:pt>
                <c:pt idx="19">
                  <c:v>2.9077629903405398</c:v>
                </c:pt>
                <c:pt idx="20">
                  <c:v>2.9077629903405398</c:v>
                </c:pt>
                <c:pt idx="21">
                  <c:v>2.9077629903405398</c:v>
                </c:pt>
                <c:pt idx="22">
                  <c:v>2.9077629903405398</c:v>
                </c:pt>
                <c:pt idx="23">
                  <c:v>2.9077629903405398</c:v>
                </c:pt>
                <c:pt idx="24">
                  <c:v>2.9077629903405398</c:v>
                </c:pt>
                <c:pt idx="25">
                  <c:v>2.9077629903405398</c:v>
                </c:pt>
                <c:pt idx="26">
                  <c:v>2.9077629903405398</c:v>
                </c:pt>
                <c:pt idx="27">
                  <c:v>2.9077629903405398</c:v>
                </c:pt>
                <c:pt idx="28">
                  <c:v>2.9077629903405398</c:v>
                </c:pt>
                <c:pt idx="29">
                  <c:v>2.9077629903405398</c:v>
                </c:pt>
                <c:pt idx="30">
                  <c:v>2.9077629903405398</c:v>
                </c:pt>
                <c:pt idx="31">
                  <c:v>2.9077629903405398</c:v>
                </c:pt>
                <c:pt idx="32">
                  <c:v>2.9077629903405398</c:v>
                </c:pt>
                <c:pt idx="33">
                  <c:v>2.9077629903405398</c:v>
                </c:pt>
                <c:pt idx="34">
                  <c:v>2.9077629903405398</c:v>
                </c:pt>
                <c:pt idx="35">
                  <c:v>2.9077629903405398</c:v>
                </c:pt>
                <c:pt idx="36">
                  <c:v>2.9077629903405398</c:v>
                </c:pt>
                <c:pt idx="37">
                  <c:v>2.9077629903405398</c:v>
                </c:pt>
                <c:pt idx="38">
                  <c:v>2.9077629903405398</c:v>
                </c:pt>
                <c:pt idx="39">
                  <c:v>2.9077629903405398</c:v>
                </c:pt>
                <c:pt idx="40">
                  <c:v>2.9077629903405398</c:v>
                </c:pt>
                <c:pt idx="41">
                  <c:v>2.9077629903405398</c:v>
                </c:pt>
                <c:pt idx="42">
                  <c:v>2.9077629903405398</c:v>
                </c:pt>
                <c:pt idx="43">
                  <c:v>2.9077629903405398</c:v>
                </c:pt>
                <c:pt idx="44">
                  <c:v>2.9077629903405398</c:v>
                </c:pt>
                <c:pt idx="45">
                  <c:v>2.9077629903405398</c:v>
                </c:pt>
                <c:pt idx="46">
                  <c:v>2.9077629903405398</c:v>
                </c:pt>
                <c:pt idx="47">
                  <c:v>2.9077629903405398</c:v>
                </c:pt>
                <c:pt idx="48">
                  <c:v>2.9077629903405398</c:v>
                </c:pt>
                <c:pt idx="49">
                  <c:v>2.9077629903405398</c:v>
                </c:pt>
                <c:pt idx="50">
                  <c:v>2.9077629903405398</c:v>
                </c:pt>
                <c:pt idx="51">
                  <c:v>2.9077629903405398</c:v>
                </c:pt>
              </c:numCache>
            </c:numRef>
          </c:val>
          <c:extLst>
            <c:ext xmlns:c16="http://schemas.microsoft.com/office/drawing/2014/chart" uri="{C3380CC4-5D6E-409C-BE32-E72D297353CC}">
              <c16:uniqueId val="{00000001-A49C-4843-B092-F122F64A40EC}"/>
            </c:ext>
          </c:extLst>
        </c:ser>
        <c:dLbls>
          <c:showLegendKey val="0"/>
          <c:showVal val="0"/>
          <c:showCatName val="0"/>
          <c:showSerName val="0"/>
          <c:showPercent val="0"/>
          <c:showBubbleSize val="0"/>
        </c:dLbls>
        <c:gapWidth val="0"/>
        <c:overlap val="100"/>
        <c:axId val="363044224"/>
        <c:axId val="363058304"/>
      </c:barChart>
      <c:barChart>
        <c:barDir val="col"/>
        <c:grouping val="stacked"/>
        <c:varyColors val="0"/>
        <c:ser>
          <c:idx val="0"/>
          <c:order val="0"/>
          <c:tx>
            <c:v>Lower</c:v>
          </c:tx>
          <c:spPr>
            <a:noFill/>
          </c:spPr>
          <c:invertIfNegative val="0"/>
          <c:cat>
            <c:numRef>
              <c:f>'Planning (hide)'!$A$4:$A$55</c:f>
              <c:numCache>
                <c:formatCode>m/d/yyyy</c:formatCode>
                <c:ptCount val="52"/>
                <c:pt idx="0">
                  <c:v>43586</c:v>
                </c:pt>
                <c:pt idx="1">
                  <c:v>43593</c:v>
                </c:pt>
                <c:pt idx="2">
                  <c:v>43600</c:v>
                </c:pt>
                <c:pt idx="3">
                  <c:v>43607</c:v>
                </c:pt>
                <c:pt idx="4">
                  <c:v>43614</c:v>
                </c:pt>
                <c:pt idx="5">
                  <c:v>43621</c:v>
                </c:pt>
                <c:pt idx="6">
                  <c:v>43628</c:v>
                </c:pt>
                <c:pt idx="7">
                  <c:v>43635</c:v>
                </c:pt>
                <c:pt idx="8">
                  <c:v>43642</c:v>
                </c:pt>
                <c:pt idx="9">
                  <c:v>43649</c:v>
                </c:pt>
                <c:pt idx="10">
                  <c:v>43656</c:v>
                </c:pt>
                <c:pt idx="11">
                  <c:v>43663</c:v>
                </c:pt>
                <c:pt idx="12">
                  <c:v>43670</c:v>
                </c:pt>
                <c:pt idx="13">
                  <c:v>43677</c:v>
                </c:pt>
                <c:pt idx="14">
                  <c:v>43684</c:v>
                </c:pt>
                <c:pt idx="15">
                  <c:v>43691</c:v>
                </c:pt>
                <c:pt idx="16">
                  <c:v>43698</c:v>
                </c:pt>
                <c:pt idx="17">
                  <c:v>43705</c:v>
                </c:pt>
                <c:pt idx="18">
                  <c:v>43712</c:v>
                </c:pt>
                <c:pt idx="19">
                  <c:v>43719</c:v>
                </c:pt>
                <c:pt idx="20">
                  <c:v>43726</c:v>
                </c:pt>
                <c:pt idx="21">
                  <c:v>43733</c:v>
                </c:pt>
                <c:pt idx="22">
                  <c:v>43740</c:v>
                </c:pt>
                <c:pt idx="23">
                  <c:v>43747</c:v>
                </c:pt>
                <c:pt idx="24">
                  <c:v>43754</c:v>
                </c:pt>
                <c:pt idx="25">
                  <c:v>43761</c:v>
                </c:pt>
                <c:pt idx="26">
                  <c:v>43768</c:v>
                </c:pt>
                <c:pt idx="27">
                  <c:v>43775</c:v>
                </c:pt>
                <c:pt idx="28">
                  <c:v>43782</c:v>
                </c:pt>
                <c:pt idx="29">
                  <c:v>43789</c:v>
                </c:pt>
                <c:pt idx="30">
                  <c:v>43796</c:v>
                </c:pt>
                <c:pt idx="31">
                  <c:v>43803</c:v>
                </c:pt>
                <c:pt idx="32">
                  <c:v>43810</c:v>
                </c:pt>
                <c:pt idx="33">
                  <c:v>43817</c:v>
                </c:pt>
                <c:pt idx="34">
                  <c:v>43824</c:v>
                </c:pt>
                <c:pt idx="35">
                  <c:v>43831</c:v>
                </c:pt>
                <c:pt idx="36">
                  <c:v>43838</c:v>
                </c:pt>
                <c:pt idx="37">
                  <c:v>43845</c:v>
                </c:pt>
                <c:pt idx="38">
                  <c:v>43852</c:v>
                </c:pt>
                <c:pt idx="39">
                  <c:v>43859</c:v>
                </c:pt>
                <c:pt idx="40">
                  <c:v>43866</c:v>
                </c:pt>
                <c:pt idx="41">
                  <c:v>43873</c:v>
                </c:pt>
                <c:pt idx="42">
                  <c:v>43880</c:v>
                </c:pt>
                <c:pt idx="43">
                  <c:v>43887</c:v>
                </c:pt>
                <c:pt idx="44">
                  <c:v>43894</c:v>
                </c:pt>
                <c:pt idx="45">
                  <c:v>43901</c:v>
                </c:pt>
                <c:pt idx="46">
                  <c:v>43908</c:v>
                </c:pt>
                <c:pt idx="47">
                  <c:v>43915</c:v>
                </c:pt>
                <c:pt idx="48">
                  <c:v>43922</c:v>
                </c:pt>
                <c:pt idx="49">
                  <c:v>43929</c:v>
                </c:pt>
                <c:pt idx="50">
                  <c:v>43936</c:v>
                </c:pt>
                <c:pt idx="51">
                  <c:v>43943</c:v>
                </c:pt>
              </c:numCache>
            </c:numRef>
          </c:cat>
          <c:val>
            <c:numRef>
              <c:f>'Planning (hide)'!$C$4:$C$55</c:f>
            </c:numRef>
          </c:val>
          <c:extLst>
            <c:ext xmlns:c16="http://schemas.microsoft.com/office/drawing/2014/chart" uri="{C3380CC4-5D6E-409C-BE32-E72D297353CC}">
              <c16:uniqueId val="{00000000-E972-4F3E-97D5-C675FAA2DE91}"/>
            </c:ext>
          </c:extLst>
        </c:ser>
        <c:ser>
          <c:idx val="1"/>
          <c:order val="1"/>
          <c:tx>
            <c:v>Required Capacity</c:v>
          </c:tx>
          <c:spPr>
            <a:solidFill>
              <a:schemeClr val="accent5">
                <a:alpha val="73000"/>
              </a:schemeClr>
            </a:solidFill>
            <a:ln>
              <a:noFill/>
            </a:ln>
          </c:spPr>
          <c:invertIfNegative val="0"/>
          <c:cat>
            <c:numRef>
              <c:f>'Planning (hide)'!$A$4:$A$55</c:f>
              <c:numCache>
                <c:formatCode>m/d/yyyy</c:formatCode>
                <c:ptCount val="52"/>
                <c:pt idx="0">
                  <c:v>43586</c:v>
                </c:pt>
                <c:pt idx="1">
                  <c:v>43593</c:v>
                </c:pt>
                <c:pt idx="2">
                  <c:v>43600</c:v>
                </c:pt>
                <c:pt idx="3">
                  <c:v>43607</c:v>
                </c:pt>
                <c:pt idx="4">
                  <c:v>43614</c:v>
                </c:pt>
                <c:pt idx="5">
                  <c:v>43621</c:v>
                </c:pt>
                <c:pt idx="6">
                  <c:v>43628</c:v>
                </c:pt>
                <c:pt idx="7">
                  <c:v>43635</c:v>
                </c:pt>
                <c:pt idx="8">
                  <c:v>43642</c:v>
                </c:pt>
                <c:pt idx="9">
                  <c:v>43649</c:v>
                </c:pt>
                <c:pt idx="10">
                  <c:v>43656</c:v>
                </c:pt>
                <c:pt idx="11">
                  <c:v>43663</c:v>
                </c:pt>
                <c:pt idx="12">
                  <c:v>43670</c:v>
                </c:pt>
                <c:pt idx="13">
                  <c:v>43677</c:v>
                </c:pt>
                <c:pt idx="14">
                  <c:v>43684</c:v>
                </c:pt>
                <c:pt idx="15">
                  <c:v>43691</c:v>
                </c:pt>
                <c:pt idx="16">
                  <c:v>43698</c:v>
                </c:pt>
                <c:pt idx="17">
                  <c:v>43705</c:v>
                </c:pt>
                <c:pt idx="18">
                  <c:v>43712</c:v>
                </c:pt>
                <c:pt idx="19">
                  <c:v>43719</c:v>
                </c:pt>
                <c:pt idx="20">
                  <c:v>43726</c:v>
                </c:pt>
                <c:pt idx="21">
                  <c:v>43733</c:v>
                </c:pt>
                <c:pt idx="22">
                  <c:v>43740</c:v>
                </c:pt>
                <c:pt idx="23">
                  <c:v>43747</c:v>
                </c:pt>
                <c:pt idx="24">
                  <c:v>43754</c:v>
                </c:pt>
                <c:pt idx="25">
                  <c:v>43761</c:v>
                </c:pt>
                <c:pt idx="26">
                  <c:v>43768</c:v>
                </c:pt>
                <c:pt idx="27">
                  <c:v>43775</c:v>
                </c:pt>
                <c:pt idx="28">
                  <c:v>43782</c:v>
                </c:pt>
                <c:pt idx="29">
                  <c:v>43789</c:v>
                </c:pt>
                <c:pt idx="30">
                  <c:v>43796</c:v>
                </c:pt>
                <c:pt idx="31">
                  <c:v>43803</c:v>
                </c:pt>
                <c:pt idx="32">
                  <c:v>43810</c:v>
                </c:pt>
                <c:pt idx="33">
                  <c:v>43817</c:v>
                </c:pt>
                <c:pt idx="34">
                  <c:v>43824</c:v>
                </c:pt>
                <c:pt idx="35">
                  <c:v>43831</c:v>
                </c:pt>
                <c:pt idx="36">
                  <c:v>43838</c:v>
                </c:pt>
                <c:pt idx="37">
                  <c:v>43845</c:v>
                </c:pt>
                <c:pt idx="38">
                  <c:v>43852</c:v>
                </c:pt>
                <c:pt idx="39">
                  <c:v>43859</c:v>
                </c:pt>
                <c:pt idx="40">
                  <c:v>43866</c:v>
                </c:pt>
                <c:pt idx="41">
                  <c:v>43873</c:v>
                </c:pt>
                <c:pt idx="42">
                  <c:v>43880</c:v>
                </c:pt>
                <c:pt idx="43">
                  <c:v>43887</c:v>
                </c:pt>
                <c:pt idx="44">
                  <c:v>43894</c:v>
                </c:pt>
                <c:pt idx="45">
                  <c:v>43901</c:v>
                </c:pt>
                <c:pt idx="46">
                  <c:v>43908</c:v>
                </c:pt>
                <c:pt idx="47">
                  <c:v>43915</c:v>
                </c:pt>
                <c:pt idx="48">
                  <c:v>43922</c:v>
                </c:pt>
                <c:pt idx="49">
                  <c:v>43929</c:v>
                </c:pt>
                <c:pt idx="50">
                  <c:v>43936</c:v>
                </c:pt>
                <c:pt idx="51">
                  <c:v>43943</c:v>
                </c:pt>
              </c:numCache>
            </c:numRef>
          </c:cat>
          <c:val>
            <c:numRef>
              <c:f>'Planning (hide)'!$D$4:$D$55</c:f>
            </c:numRef>
          </c:val>
          <c:extLst>
            <c:ext xmlns:c16="http://schemas.microsoft.com/office/drawing/2014/chart" uri="{C3380CC4-5D6E-409C-BE32-E72D297353CC}">
              <c16:uniqueId val="{00000000-37B8-4D90-AC44-3A1104C5A053}"/>
            </c:ext>
          </c:extLst>
        </c:ser>
        <c:dLbls>
          <c:showLegendKey val="0"/>
          <c:showVal val="0"/>
          <c:showCatName val="0"/>
          <c:showSerName val="0"/>
          <c:showPercent val="0"/>
          <c:showBubbleSize val="0"/>
        </c:dLbls>
        <c:gapWidth val="0"/>
        <c:overlap val="100"/>
        <c:axId val="1110624304"/>
        <c:axId val="1110625944"/>
      </c:barChart>
      <c:lineChart>
        <c:grouping val="standard"/>
        <c:varyColors val="0"/>
        <c:ser>
          <c:idx val="3"/>
          <c:order val="4"/>
          <c:tx>
            <c:v>Original capacity</c:v>
          </c:tx>
          <c:spPr>
            <a:ln w="19050">
              <a:solidFill>
                <a:schemeClr val="accent3"/>
              </a:solidFill>
            </a:ln>
          </c:spPr>
          <c:marker>
            <c:symbol val="none"/>
          </c:marker>
          <c:val>
            <c:numRef>
              <c:f>'Planning (hide)'!$G$4:$G$55</c:f>
              <c:numCache>
                <c:formatCode>#,##0</c:formatCode>
                <c:ptCount val="52"/>
                <c:pt idx="0">
                  <c:v>10.392307692307693</c:v>
                </c:pt>
                <c:pt idx="1">
                  <c:v>14.392307692307693</c:v>
                </c:pt>
                <c:pt idx="2">
                  <c:v>10.392307692307693</c:v>
                </c:pt>
                <c:pt idx="3">
                  <c:v>14.392307692307693</c:v>
                </c:pt>
                <c:pt idx="4">
                  <c:v>10.392307692307693</c:v>
                </c:pt>
                <c:pt idx="5">
                  <c:v>14.392307692307693</c:v>
                </c:pt>
                <c:pt idx="6">
                  <c:v>14.392307692307693</c:v>
                </c:pt>
                <c:pt idx="7">
                  <c:v>10.392307692307693</c:v>
                </c:pt>
                <c:pt idx="8">
                  <c:v>14.084615384615386</c:v>
                </c:pt>
                <c:pt idx="9">
                  <c:v>18.084615384615386</c:v>
                </c:pt>
                <c:pt idx="10">
                  <c:v>14.392307692307693</c:v>
                </c:pt>
                <c:pt idx="11">
                  <c:v>10.392307692307693</c:v>
                </c:pt>
                <c:pt idx="12">
                  <c:v>10.392307692307693</c:v>
                </c:pt>
                <c:pt idx="13">
                  <c:v>18.084615384615386</c:v>
                </c:pt>
                <c:pt idx="14">
                  <c:v>10.392307692307693</c:v>
                </c:pt>
                <c:pt idx="15">
                  <c:v>10.392307692307693</c:v>
                </c:pt>
                <c:pt idx="16">
                  <c:v>10.392307692307693</c:v>
                </c:pt>
                <c:pt idx="17">
                  <c:v>10.392307692307693</c:v>
                </c:pt>
                <c:pt idx="18">
                  <c:v>10.392307692307693</c:v>
                </c:pt>
                <c:pt idx="19">
                  <c:v>10.392307692307693</c:v>
                </c:pt>
                <c:pt idx="20">
                  <c:v>10.392307692307693</c:v>
                </c:pt>
                <c:pt idx="21">
                  <c:v>10.392307692307693</c:v>
                </c:pt>
                <c:pt idx="22">
                  <c:v>10.392307692307693</c:v>
                </c:pt>
                <c:pt idx="23">
                  <c:v>10.392307692307693</c:v>
                </c:pt>
                <c:pt idx="24">
                  <c:v>10.392307692307693</c:v>
                </c:pt>
                <c:pt idx="25">
                  <c:v>14.084615384615386</c:v>
                </c:pt>
                <c:pt idx="26">
                  <c:v>14.084615384615386</c:v>
                </c:pt>
                <c:pt idx="27">
                  <c:v>18.084615384615386</c:v>
                </c:pt>
                <c:pt idx="28">
                  <c:v>18.084615384615386</c:v>
                </c:pt>
                <c:pt idx="29">
                  <c:v>14.084615384615386</c:v>
                </c:pt>
                <c:pt idx="30">
                  <c:v>14.084615384615386</c:v>
                </c:pt>
                <c:pt idx="31">
                  <c:v>14.084615384615386</c:v>
                </c:pt>
                <c:pt idx="32">
                  <c:v>14.084615384615386</c:v>
                </c:pt>
                <c:pt idx="33">
                  <c:v>14.084615384615386</c:v>
                </c:pt>
                <c:pt idx="34">
                  <c:v>14.084615384615386</c:v>
                </c:pt>
                <c:pt idx="35">
                  <c:v>10.392307692307693</c:v>
                </c:pt>
                <c:pt idx="36">
                  <c:v>14.392307692307693</c:v>
                </c:pt>
                <c:pt idx="37">
                  <c:v>10.392307692307693</c:v>
                </c:pt>
                <c:pt idx="38">
                  <c:v>10.392307692307693</c:v>
                </c:pt>
                <c:pt idx="39">
                  <c:v>10.392307692307693</c:v>
                </c:pt>
                <c:pt idx="40">
                  <c:v>10.392307692307693</c:v>
                </c:pt>
                <c:pt idx="41">
                  <c:v>10.392307692307693</c:v>
                </c:pt>
                <c:pt idx="42">
                  <c:v>10.392307692307693</c:v>
                </c:pt>
                <c:pt idx="43">
                  <c:v>10.392307692307693</c:v>
                </c:pt>
                <c:pt idx="44">
                  <c:v>10.392307692307693</c:v>
                </c:pt>
                <c:pt idx="45">
                  <c:v>10.392307692307693</c:v>
                </c:pt>
                <c:pt idx="46">
                  <c:v>10.392307692307693</c:v>
                </c:pt>
                <c:pt idx="47">
                  <c:v>10.392307692307693</c:v>
                </c:pt>
                <c:pt idx="48">
                  <c:v>10.392307692307693</c:v>
                </c:pt>
                <c:pt idx="49">
                  <c:v>10.392307692307693</c:v>
                </c:pt>
                <c:pt idx="50">
                  <c:v>10.392307692307693</c:v>
                </c:pt>
                <c:pt idx="51">
                  <c:v>10.392307692307693</c:v>
                </c:pt>
              </c:numCache>
            </c:numRef>
          </c:val>
          <c:smooth val="0"/>
          <c:extLst>
            <c:ext xmlns:c16="http://schemas.microsoft.com/office/drawing/2014/chart" uri="{C3380CC4-5D6E-409C-BE32-E72D297353CC}">
              <c16:uniqueId val="{00000002-37B8-4D90-AC44-3A1104C5A053}"/>
            </c:ext>
          </c:extLst>
        </c:ser>
        <c:ser>
          <c:idx val="2"/>
          <c:order val="5"/>
          <c:tx>
            <c:v>Adjusted Capacity</c:v>
          </c:tx>
          <c:spPr>
            <a:ln w="19050">
              <a:solidFill>
                <a:schemeClr val="accent3">
                  <a:lumMod val="50000"/>
                </a:schemeClr>
              </a:solidFill>
            </a:ln>
          </c:spPr>
          <c:marker>
            <c:symbol val="none"/>
          </c:marker>
          <c:val>
            <c:numRef>
              <c:f>'Planning (hide)'!$H$4:$H$55</c:f>
            </c:numRef>
          </c:val>
          <c:smooth val="0"/>
          <c:extLst>
            <c:ext xmlns:c16="http://schemas.microsoft.com/office/drawing/2014/chart" uri="{C3380CC4-5D6E-409C-BE32-E72D297353CC}">
              <c16:uniqueId val="{00000001-37B8-4D90-AC44-3A1104C5A053}"/>
            </c:ext>
          </c:extLst>
        </c:ser>
        <c:dLbls>
          <c:showLegendKey val="0"/>
          <c:showVal val="0"/>
          <c:showCatName val="0"/>
          <c:showSerName val="0"/>
          <c:showPercent val="0"/>
          <c:showBubbleSize val="0"/>
        </c:dLbls>
        <c:marker val="1"/>
        <c:smooth val="0"/>
        <c:axId val="363044224"/>
        <c:axId val="363058304"/>
      </c:lineChart>
      <c:catAx>
        <c:axId val="363044224"/>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63058304"/>
        <c:crossesAt val="0"/>
        <c:auto val="0"/>
        <c:lblAlgn val="ctr"/>
        <c:lblOffset val="100"/>
        <c:noMultiLvlLbl val="0"/>
      </c:catAx>
      <c:valAx>
        <c:axId val="363058304"/>
        <c:scaling>
          <c:orientation val="minMax"/>
          <c:min val="0"/>
        </c:scaling>
        <c:delete val="0"/>
        <c:axPos val="l"/>
        <c:majorGridlines>
          <c:spPr>
            <a:ln>
              <a:solidFill>
                <a:schemeClr val="bg1">
                  <a:lumMod val="85000"/>
                </a:schemeClr>
              </a:solidFill>
            </a:ln>
          </c:spPr>
        </c:majorGridlines>
        <c:numFmt formatCode="General" sourceLinked="1"/>
        <c:majorTickMark val="out"/>
        <c:minorTickMark val="none"/>
        <c:tickLblPos val="nextTo"/>
        <c:crossAx val="363044224"/>
        <c:crosses val="autoZero"/>
        <c:crossBetween val="between"/>
      </c:valAx>
      <c:valAx>
        <c:axId val="1110625944"/>
        <c:scaling>
          <c:orientation val="minMax"/>
          <c:min val="0"/>
        </c:scaling>
        <c:delete val="0"/>
        <c:axPos val="r"/>
        <c:numFmt formatCode="#,##0" sourceLinked="1"/>
        <c:majorTickMark val="out"/>
        <c:minorTickMark val="none"/>
        <c:tickLblPos val="none"/>
        <c:crossAx val="1110624304"/>
        <c:crosses val="max"/>
        <c:crossBetween val="between"/>
      </c:valAx>
      <c:catAx>
        <c:axId val="1110624304"/>
        <c:scaling>
          <c:orientation val="minMax"/>
        </c:scaling>
        <c:delete val="1"/>
        <c:axPos val="b"/>
        <c:numFmt formatCode="m/d/yyyy" sourceLinked="1"/>
        <c:majorTickMark val="out"/>
        <c:minorTickMark val="none"/>
        <c:tickLblPos val="nextTo"/>
        <c:crossAx val="1110625944"/>
        <c:crosses val="autoZero"/>
        <c:auto val="1"/>
        <c:lblAlgn val="ctr"/>
        <c:lblOffset val="100"/>
        <c:noMultiLvlLbl val="0"/>
      </c:catAx>
      <c:spPr>
        <a:noFill/>
      </c:spPr>
    </c:plotArea>
    <c:legend>
      <c:legendPos val="t"/>
      <c:legendEntry>
        <c:idx val="0"/>
        <c:delete val="1"/>
      </c:legendEntry>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Style="combo" dx="22" fmlaLink="'SPC background (hide)'!$C$4" fmlaRange="Range_S1Start" noThreeD="1" sel="99" val="0"/>
</file>

<file path=xl/ctrlProps/ctrlProp5.xml><?xml version="1.0" encoding="utf-8"?>
<formControlPr xmlns="http://schemas.microsoft.com/office/spreadsheetml/2009/9/main" objectType="Drop" dropStyle="combo" dx="22" fmlaLink="'SPC background (hide)'!$C$5" fmlaRange="Range_S1End" noThreeD="1" sel="44" val="0"/>
</file>

<file path=xl/ctrlProps/ctrlProp6.xml><?xml version="1.0" encoding="utf-8"?>
<formControlPr xmlns="http://schemas.microsoft.com/office/spreadsheetml/2009/9/main" objectType="Drop" dropStyle="combo" dx="22" fmlaLink="'SPC background (hide)'!$C$6" fmlaRange="Range_S2Start" noThreeD="1" sel="1" val="0"/>
</file>

<file path=xl/ctrlProps/ctrlProp7.xml><?xml version="1.0" encoding="utf-8"?>
<formControlPr xmlns="http://schemas.microsoft.com/office/spreadsheetml/2009/9/main" objectType="Drop" dropStyle="combo" dx="22" fmlaLink="'SPC background (hide)'!$C$7" fmlaRange="Range_S2End" noThreeD="1" sel="0" val="0"/>
</file>

<file path=xl/ctrlProps/ctrlProp8.xml><?xml version="1.0" encoding="utf-8"?>
<formControlPr xmlns="http://schemas.microsoft.com/office/spreadsheetml/2009/9/main" objectType="Drop" dropStyle="combo" dx="22" fmlaLink="'SPC background (hide)'!$C$8" fmlaRange="Range_S3Start" noThreeD="1" sel="1" val="0"/>
</file>

<file path=xl/ctrlProps/ctrlProp9.xml><?xml version="1.0" encoding="utf-8"?>
<formControlPr xmlns="http://schemas.microsoft.com/office/spreadsheetml/2009/9/main" objectType="Drop" dropStyle="combo" dx="22" fmlaLink="'SPC background (hide)'!$C$9" fmlaRange="Range_S3End" noThreeD="1" sel="0" val="0"/>
</file>

<file path=xl/ctrlProps/ctrlProp10.xml><?xml version="1.0" encoding="utf-8"?>
<formControlPr xmlns="http://schemas.microsoft.com/office/spreadsheetml/2009/9/main" objectType="Drop" dropStyle="combo" dx="22" fmlaLink="'SPC background (hide)'!$C$10" fmlaRange="Range_S4Start" noThreeD="1" sel="1" val="0"/>
</file>

<file path=xl/ctrlProps/ctrlProp11.xml><?xml version="1.0" encoding="utf-8"?>
<formControlPr xmlns="http://schemas.microsoft.com/office/spreadsheetml/2009/9/main" objectType="Drop" dropStyle="combo" dx="22" fmlaLink="'SPC background (hide)'!$C$11" fmlaRange="Range_S4End" noThreeD="1" sel="0" val="0"/>
</file>

<file path=xl/ctrlProps/ctrlProp12.xml><?xml version="1.0" encoding="utf-8"?>
<formControlPr xmlns="http://schemas.microsoft.com/office/spreadsheetml/2009/9/main" objectType="Drop" dropStyle="combo" dx="22" fmlaLink="'Planned background (hide)'!$U$18" fmlaRange="Planned_RangeStart" noThreeD="1" sel="1" val="0"/>
</file>

<file path=xl/ctrlProps/ctrlProp13.xml><?xml version="1.0" encoding="utf-8"?>
<formControlPr xmlns="http://schemas.microsoft.com/office/spreadsheetml/2009/9/main" objectType="Drop" dropStyle="combo" dx="22" fmlaLink="'Planned background (hide)'!$U$19" fmlaRange="Planned_RangeEnd" noThreeD="1" sel="1" val="0"/>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Drop" dropStyle="combo" dx="22" fmlaLink="#REF!" fmlaRange="CAP_HistoricDateStart" noThreeD="1" sel="0" val="0"/>
</file>

<file path=xl/ctrlProps/ctrlProp17.xml><?xml version="1.0" encoding="utf-8"?>
<formControlPr xmlns="http://schemas.microsoft.com/office/spreadsheetml/2009/9/main" objectType="Radio" checked="Checked" firstButton="1" fmlaLink="'Capacity calculation (hide)'!$E$1"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firstButton="1" fmlaLink="$D$9"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Radio" checked="Checked" firstButton="1" fmlaLink="'Capacity calculation (hide)'!$E$1" lockText="1" noThreeD="1"/>
</file>

<file path=xl/ctrlProps/ctrlProp22.xml><?xml version="1.0" encoding="utf-8"?>
<formControlPr xmlns="http://schemas.microsoft.com/office/spreadsheetml/2009/9/main" objectType="Radio" lockText="1" noThreeD="1"/>
</file>

<file path=xl/ctrlProps/ctrlProp23.xml><?xml version="1.0" encoding="utf-8"?>
<formControlPr xmlns="http://schemas.microsoft.com/office/spreadsheetml/2009/9/main" objectType="Radio" firstButton="1" fmlaLink="'Parameters calculator (hide)'!$B$34" lockText="1" noThreeD="1"/>
</file>

<file path=xl/ctrlProps/ctrlProp24.xml><?xml version="1.0" encoding="utf-8"?>
<formControlPr xmlns="http://schemas.microsoft.com/office/spreadsheetml/2009/9/main" objectType="Radio" checked="Checked" lockText="1" noThreeD="1"/>
</file>

<file path=xl/ctrlProps/ctrlProp2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4.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chart" Target="../charts/chart8.xml"/><Relationship Id="rId4" Type="http://schemas.openxmlformats.org/officeDocument/2006/relationships/image" Target="../media/image1.png"/></Relationships>
</file>

<file path=xl/drawings/_rels/drawing1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5</xdr:row>
          <xdr:rowOff>0</xdr:rowOff>
        </xdr:from>
        <xdr:to>
          <xdr:col>3</xdr:col>
          <xdr:colOff>0</xdr:colOff>
          <xdr:row>6</xdr:row>
          <xdr:rowOff>0</xdr:rowOff>
        </xdr:to>
        <xdr:sp macro="" textlink="">
          <xdr:nvSpPr>
            <xdr:cNvPr id="216065" name="Button 1" hidden="1">
              <a:extLst>
                <a:ext uri="{63B3BB69-23CF-44E3-9099-C40C66FF867C}">
                  <a14:compatExt spid="_x0000_s216065"/>
                </a:ext>
                <a:ext uri="{FF2B5EF4-FFF2-40B4-BE49-F238E27FC236}">
                  <a16:creationId xmlns:a16="http://schemas.microsoft.com/office/drawing/2014/main" id="{00000000-0008-0000-0100-0000014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Go back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180975</xdr:colOff>
      <xdr:row>0</xdr:row>
      <xdr:rowOff>171450</xdr:rowOff>
    </xdr:from>
    <xdr:to>
      <xdr:col>3</xdr:col>
      <xdr:colOff>422910</xdr:colOff>
      <xdr:row>2</xdr:row>
      <xdr:rowOff>80010</xdr:rowOff>
    </xdr:to>
    <xdr:pic macro="[0]!Sheet10.Note_help1_click">
      <xdr:nvPicPr>
        <xdr:cNvPr id="6" name="Picture 5">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38375" y="1714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7191375</xdr:colOff>
      <xdr:row>6</xdr:row>
      <xdr:rowOff>28575</xdr:rowOff>
    </xdr:from>
    <xdr:to>
      <xdr:col>3</xdr:col>
      <xdr:colOff>152400</xdr:colOff>
      <xdr:row>18</xdr:row>
      <xdr:rowOff>28575</xdr:rowOff>
    </xdr:to>
    <xdr:sp macro="" textlink="">
      <xdr:nvSpPr>
        <xdr:cNvPr id="2" name="Note Help 1" hidden="1">
          <a:extLst>
            <a:ext uri="{FF2B5EF4-FFF2-40B4-BE49-F238E27FC236}">
              <a16:creationId xmlns:a16="http://schemas.microsoft.com/office/drawing/2014/main" id="{00000000-0008-0000-0300-000002000000}"/>
            </a:ext>
          </a:extLst>
        </xdr:cNvPr>
        <xdr:cNvSpPr txBox="1"/>
      </xdr:nvSpPr>
      <xdr:spPr>
        <a:xfrm>
          <a:off x="7877175" y="1257300"/>
          <a:ext cx="3486150" cy="2724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measuring any of the parameters you enter in this workbook.</a:t>
          </a:r>
        </a:p>
        <a:p>
          <a:endParaRPr lang="en-GB" sz="1100" baseline="0"/>
        </a:p>
        <a:p>
          <a:r>
            <a:rPr lang="en-GB" sz="1100"/>
            <a:t>The</a:t>
          </a:r>
          <a:r>
            <a:rPr lang="en-GB" sz="1100" baseline="0"/>
            <a:t> cells should expand to fit text if you are typing over several lines. </a:t>
          </a:r>
          <a:r>
            <a:rPr lang="en-GB" sz="1100" b="0" i="0" u="none" strike="noStrike">
              <a:solidFill>
                <a:schemeClr val="dk1"/>
              </a:solidFill>
              <a:effectLst/>
              <a:latin typeface="+mn-lt"/>
              <a:ea typeface="+mn-ea"/>
              <a:cs typeface="+mn-cs"/>
            </a:rPr>
            <a:t> </a:t>
          </a:r>
          <a:r>
            <a:rPr lang="en-GB"/>
            <a:t> </a:t>
          </a:r>
        </a:p>
        <a:p>
          <a:endParaRPr lang="en-GB" sz="1100" baseline="0"/>
        </a:p>
        <a:p>
          <a:r>
            <a:rPr lang="en-GB" sz="1100" baseline="0"/>
            <a:t>There are 100 rows available - if you need more, then you should be able to create more cells by copying and pasting an existing row.</a:t>
          </a:r>
        </a:p>
        <a:p>
          <a:endParaRPr lang="en-GB" sz="1100" baseline="0"/>
        </a:p>
        <a:p>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0</xdr:colOff>
      <xdr:row>3</xdr:row>
      <xdr:rowOff>11811</xdr:rowOff>
    </xdr:from>
    <xdr:to>
      <xdr:col>11</xdr:col>
      <xdr:colOff>211709</xdr:colOff>
      <xdr:row>5</xdr:row>
      <xdr:rowOff>0</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8000" y="554736"/>
          <a:ext cx="893064" cy="359664"/>
        </a:xfrm>
        <a:prstGeom prst="rect">
          <a:avLst/>
        </a:prstGeom>
      </xdr:spPr>
    </xdr:pic>
    <xdr:clientData/>
  </xdr:twoCellAnchor>
  <xdr:twoCellAnchor editAs="oneCell">
    <xdr:from>
      <xdr:col>9</xdr:col>
      <xdr:colOff>76200</xdr:colOff>
      <xdr:row>2</xdr:row>
      <xdr:rowOff>133350</xdr:rowOff>
    </xdr:from>
    <xdr:to>
      <xdr:col>9</xdr:col>
      <xdr:colOff>330200</xdr:colOff>
      <xdr:row>4</xdr:row>
      <xdr:rowOff>63500</xdr:rowOff>
    </xdr:to>
    <xdr:pic macro="[0]!Sheet4.Setup_Help_Click">
      <xdr:nvPicPr>
        <xdr:cNvPr id="2" name="Picture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48400" y="4953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676275</xdr:colOff>
      <xdr:row>3</xdr:row>
      <xdr:rowOff>0</xdr:rowOff>
    </xdr:from>
    <xdr:to>
      <xdr:col>17</xdr:col>
      <xdr:colOff>476250</xdr:colOff>
      <xdr:row>14</xdr:row>
      <xdr:rowOff>133350</xdr:rowOff>
    </xdr:to>
    <xdr:sp macro="" textlink="">
      <xdr:nvSpPr>
        <xdr:cNvPr id="3" name="Setup Help 1" hidden="1">
          <a:extLst>
            <a:ext uri="{FF2B5EF4-FFF2-40B4-BE49-F238E27FC236}">
              <a16:creationId xmlns:a16="http://schemas.microsoft.com/office/drawing/2014/main" id="{00000000-0008-0000-0400-000003000000}"/>
            </a:ext>
          </a:extLst>
        </xdr:cNvPr>
        <xdr:cNvSpPr txBox="1"/>
      </xdr:nvSpPr>
      <xdr:spPr>
        <a:xfrm>
          <a:off x="6848475" y="552450"/>
          <a:ext cx="5286375" cy="2162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define the part of the service you are modelling. </a:t>
          </a:r>
        </a:p>
        <a:p>
          <a:endParaRPr lang="en-GB" sz="1100" baseline="0"/>
        </a:p>
        <a:p>
          <a:r>
            <a:rPr lang="en-GB" sz="1100" baseline="0"/>
            <a:t>Hover the mouse cursor over the cells with small red triangles in the corner for further details on each part of the setup page.</a:t>
          </a:r>
        </a:p>
        <a:p>
          <a:endParaRPr lang="en-GB" sz="1100" baseline="0"/>
        </a:p>
        <a:p>
          <a:r>
            <a:rPr lang="en-GB" sz="1100" baseline="0"/>
            <a:t>If you would like to customise the lists for the 'Provider Name' and 'Service Name' drop downs, please click on the 'Edit list' button.</a:t>
          </a:r>
        </a:p>
        <a:p>
          <a:endParaRPr lang="en-GB" sz="1100" baseline="0"/>
        </a:p>
        <a:p>
          <a:r>
            <a:rPr lang="en-GB" sz="1100" baseline="0"/>
            <a:t>If you have entered data on an earlier version of this model, you can import the data you have entered in your earlier files by clicking on the 'Import data from old files' button below. Note that this applies ONLY to versions of the core model.</a:t>
          </a:r>
        </a:p>
        <a:p>
          <a:endParaRPr lang="en-GB" sz="1100" baseline="0"/>
        </a:p>
      </xdr:txBody>
    </xdr:sp>
    <xdr:clientData/>
  </xdr:twoCellAnchor>
  <mc:AlternateContent xmlns:mc="http://schemas.openxmlformats.org/markup-compatibility/2006">
    <mc:Choice xmlns:a14="http://schemas.microsoft.com/office/drawing/2010/main" Requires="a14">
      <xdr:twoCellAnchor>
        <xdr:from>
          <xdr:col>8</xdr:col>
          <xdr:colOff>0</xdr:colOff>
          <xdr:row>4</xdr:row>
          <xdr:rowOff>0</xdr:rowOff>
        </xdr:from>
        <xdr:to>
          <xdr:col>9</xdr:col>
          <xdr:colOff>0</xdr:colOff>
          <xdr:row>5</xdr:row>
          <xdr:rowOff>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400-000009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Edit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18</xdr:row>
          <xdr:rowOff>0</xdr:rowOff>
        </xdr:from>
        <xdr:to>
          <xdr:col>12</xdr:col>
          <xdr:colOff>400050</xdr:colOff>
          <xdr:row>20</xdr:row>
          <xdr:rowOff>76200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400-00000A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Import data from old files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xdr:col>
      <xdr:colOff>0</xdr:colOff>
      <xdr:row>3</xdr:row>
      <xdr:rowOff>0</xdr:rowOff>
    </xdr:from>
    <xdr:to>
      <xdr:col>2</xdr:col>
      <xdr:colOff>259715</xdr:colOff>
      <xdr:row>4</xdr:row>
      <xdr:rowOff>107315</xdr:rowOff>
    </xdr:to>
    <xdr:pic macro="[0]!Sheet3.Demand_Help1_Click">
      <xdr:nvPicPr>
        <xdr:cNvPr id="2" name="Pictur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62025" y="542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123823</xdr:colOff>
      <xdr:row>3</xdr:row>
      <xdr:rowOff>57151</xdr:rowOff>
    </xdr:from>
    <xdr:to>
      <xdr:col>10</xdr:col>
      <xdr:colOff>371475</xdr:colOff>
      <xdr:row>24</xdr:row>
      <xdr:rowOff>104776</xdr:rowOff>
    </xdr:to>
    <xdr:sp macro="" textlink="">
      <xdr:nvSpPr>
        <xdr:cNvPr id="3" name="Demand Help 1" hidden="1">
          <a:extLst>
            <a:ext uri="{FF2B5EF4-FFF2-40B4-BE49-F238E27FC236}">
              <a16:creationId xmlns:a16="http://schemas.microsoft.com/office/drawing/2014/main" id="{00000000-0008-0000-0500-000003000000}"/>
            </a:ext>
          </a:extLst>
        </xdr:cNvPr>
        <xdr:cNvSpPr txBox="1"/>
      </xdr:nvSpPr>
      <xdr:spPr>
        <a:xfrm>
          <a:off x="3009898" y="600076"/>
          <a:ext cx="4295777" cy="3790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your demand data in the columns below. </a:t>
          </a:r>
        </a:p>
        <a:p>
          <a:endParaRPr lang="en-GB" sz="1100"/>
        </a:p>
        <a:p>
          <a:r>
            <a:rPr lang="en-GB" sz="1100"/>
            <a:t>To reduce the chance of errors,</a:t>
          </a:r>
          <a:r>
            <a:rPr lang="en-GB" sz="1100" baseline="0"/>
            <a:t> use the 'Paste special' method:</a:t>
          </a:r>
        </a:p>
        <a:p>
          <a:endParaRPr lang="en-GB" sz="1100" baseline="0"/>
        </a:p>
        <a:p>
          <a:r>
            <a:rPr lang="en-GB" sz="1100" baseline="0"/>
            <a:t>* Select the cell you would like to copy values into. </a:t>
          </a:r>
        </a:p>
        <a:p>
          <a:r>
            <a:rPr lang="en-GB" sz="1100" baseline="0"/>
            <a:t>* Press the following keys together: Control + Alt + 'V'</a:t>
          </a:r>
        </a:p>
        <a:p>
          <a:endParaRPr lang="en-GB" sz="1100" baseline="0"/>
        </a:p>
        <a:p>
          <a:endParaRPr lang="en-GB" sz="1100"/>
        </a:p>
        <a:p>
          <a:r>
            <a:rPr lang="en-GB" sz="1100"/>
            <a:t>When you are extracting your data, please</a:t>
          </a:r>
          <a:r>
            <a:rPr lang="en-GB" sz="1100" baseline="0"/>
            <a:t> try to ensure that it is as 'clean' as possible. This includes checking for the following:</a:t>
          </a:r>
        </a:p>
        <a:p>
          <a:endParaRPr lang="en-GB" sz="1100" baseline="0"/>
        </a:p>
        <a:p>
          <a:r>
            <a:rPr lang="en-GB" sz="1100" baseline="0"/>
            <a:t>- Data quality issues (eg. double entry of the same referral)</a:t>
          </a:r>
        </a:p>
        <a:p>
          <a:endParaRPr lang="en-GB" sz="1100" baseline="0"/>
        </a:p>
        <a:p>
          <a:r>
            <a:rPr lang="en-GB" sz="1100" baseline="0"/>
            <a:t>- Data completeness - ensure all sources of demand are accounted for. This may require collating from several different sources if you are receiving information from multiple electronic record systems.</a:t>
          </a:r>
        </a:p>
        <a:p>
          <a:endParaRPr lang="en-GB" sz="1100" baseline="0"/>
        </a:p>
        <a:p>
          <a:r>
            <a:rPr lang="en-GB" sz="1100" baseline="0"/>
            <a:t>- Appropriate demand - check that any requests for service you are recording on this sheet are relevant to the part of the service you are modelling. Drawing a process map may be helpful in checking your assumptions.</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4</xdr:row>
          <xdr:rowOff>0</xdr:rowOff>
        </xdr:to>
        <xdr:sp macro="" textlink="">
          <xdr:nvSpPr>
            <xdr:cNvPr id="27652" name="Section1Start" hidden="1">
              <a:extLst>
                <a:ext uri="{63B3BB69-23CF-44E3-9099-C40C66FF867C}">
                  <a14:compatExt spid="_x0000_s27652"/>
                </a:ext>
                <a:ext uri="{FF2B5EF4-FFF2-40B4-BE49-F238E27FC236}">
                  <a16:creationId xmlns:a16="http://schemas.microsoft.com/office/drawing/2014/main" id="{00000000-0008-0000-0700-000004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180975</xdr:rowOff>
        </xdr:from>
        <xdr:to>
          <xdr:col>2</xdr:col>
          <xdr:colOff>0</xdr:colOff>
          <xdr:row>5</xdr:row>
          <xdr:rowOff>0</xdr:rowOff>
        </xdr:to>
        <xdr:sp macro="" textlink="">
          <xdr:nvSpPr>
            <xdr:cNvPr id="27653" name="Section1End" hidden="1">
              <a:extLst>
                <a:ext uri="{63B3BB69-23CF-44E3-9099-C40C66FF867C}">
                  <a14:compatExt spid="_x0000_s27653"/>
                </a:ext>
                <a:ext uri="{FF2B5EF4-FFF2-40B4-BE49-F238E27FC236}">
                  <a16:creationId xmlns:a16="http://schemas.microsoft.com/office/drawing/2014/main" id="{00000000-0008-0000-0700-000005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2</xdr:col>
          <xdr:colOff>0</xdr:colOff>
          <xdr:row>7</xdr:row>
          <xdr:rowOff>0</xdr:rowOff>
        </xdr:to>
        <xdr:sp macro="" textlink="">
          <xdr:nvSpPr>
            <xdr:cNvPr id="27655" name="Section2Start" hidden="1">
              <a:extLst>
                <a:ext uri="{63B3BB69-23CF-44E3-9099-C40C66FF867C}">
                  <a14:compatExt spid="_x0000_s27655"/>
                </a:ext>
                <a:ext uri="{FF2B5EF4-FFF2-40B4-BE49-F238E27FC236}">
                  <a16:creationId xmlns:a16="http://schemas.microsoft.com/office/drawing/2014/main" id="{00000000-0008-0000-0700-000007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2</xdr:col>
          <xdr:colOff>0</xdr:colOff>
          <xdr:row>8</xdr:row>
          <xdr:rowOff>0</xdr:rowOff>
        </xdr:to>
        <xdr:sp macro="" textlink="">
          <xdr:nvSpPr>
            <xdr:cNvPr id="27658" name="Section2End" hidden="1">
              <a:extLst>
                <a:ext uri="{63B3BB69-23CF-44E3-9099-C40C66FF867C}">
                  <a14:compatExt spid="_x0000_s27658"/>
                </a:ext>
                <a:ext uri="{FF2B5EF4-FFF2-40B4-BE49-F238E27FC236}">
                  <a16:creationId xmlns:a16="http://schemas.microsoft.com/office/drawing/2014/main" id="{00000000-0008-0000-0700-00000A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2</xdr:col>
          <xdr:colOff>0</xdr:colOff>
          <xdr:row>10</xdr:row>
          <xdr:rowOff>0</xdr:rowOff>
        </xdr:to>
        <xdr:sp macro="" textlink="">
          <xdr:nvSpPr>
            <xdr:cNvPr id="27659" name="Section3Start" hidden="1">
              <a:extLst>
                <a:ext uri="{63B3BB69-23CF-44E3-9099-C40C66FF867C}">
                  <a14:compatExt spid="_x0000_s27659"/>
                </a:ext>
                <a:ext uri="{FF2B5EF4-FFF2-40B4-BE49-F238E27FC236}">
                  <a16:creationId xmlns:a16="http://schemas.microsoft.com/office/drawing/2014/main" id="{00000000-0008-0000-0700-00000B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2</xdr:col>
          <xdr:colOff>0</xdr:colOff>
          <xdr:row>11</xdr:row>
          <xdr:rowOff>0</xdr:rowOff>
        </xdr:to>
        <xdr:sp macro="" textlink="">
          <xdr:nvSpPr>
            <xdr:cNvPr id="27660" name="Section3End" hidden="1">
              <a:extLst>
                <a:ext uri="{63B3BB69-23CF-44E3-9099-C40C66FF867C}">
                  <a14:compatExt spid="_x0000_s27660"/>
                </a:ext>
                <a:ext uri="{FF2B5EF4-FFF2-40B4-BE49-F238E27FC236}">
                  <a16:creationId xmlns:a16="http://schemas.microsoft.com/office/drawing/2014/main" id="{00000000-0008-0000-0700-00000C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xdr:row>
          <xdr:rowOff>0</xdr:rowOff>
        </xdr:from>
        <xdr:to>
          <xdr:col>2</xdr:col>
          <xdr:colOff>0</xdr:colOff>
          <xdr:row>13</xdr:row>
          <xdr:rowOff>0</xdr:rowOff>
        </xdr:to>
        <xdr:sp macro="" textlink="">
          <xdr:nvSpPr>
            <xdr:cNvPr id="27661" name="Section4Start" hidden="1">
              <a:extLst>
                <a:ext uri="{63B3BB69-23CF-44E3-9099-C40C66FF867C}">
                  <a14:compatExt spid="_x0000_s27661"/>
                </a:ext>
                <a:ext uri="{FF2B5EF4-FFF2-40B4-BE49-F238E27FC236}">
                  <a16:creationId xmlns:a16="http://schemas.microsoft.com/office/drawing/2014/main" id="{00000000-0008-0000-0700-00000D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2</xdr:col>
          <xdr:colOff>0</xdr:colOff>
          <xdr:row>14</xdr:row>
          <xdr:rowOff>0</xdr:rowOff>
        </xdr:to>
        <xdr:sp macro="" textlink="">
          <xdr:nvSpPr>
            <xdr:cNvPr id="27662" name="Section4End" hidden="1">
              <a:extLst>
                <a:ext uri="{63B3BB69-23CF-44E3-9099-C40C66FF867C}">
                  <a14:compatExt spid="_x0000_s27662"/>
                </a:ext>
                <a:ext uri="{FF2B5EF4-FFF2-40B4-BE49-F238E27FC236}">
                  <a16:creationId xmlns:a16="http://schemas.microsoft.com/office/drawing/2014/main" id="{00000000-0008-0000-0700-00000E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257175</xdr:colOff>
      <xdr:row>1</xdr:row>
      <xdr:rowOff>19050</xdr:rowOff>
    </xdr:from>
    <xdr:to>
      <xdr:col>17</xdr:col>
      <xdr:colOff>200024</xdr:colOff>
      <xdr:row>26</xdr:row>
      <xdr:rowOff>85726</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648260</xdr:colOff>
      <xdr:row>1</xdr:row>
      <xdr:rowOff>171450</xdr:rowOff>
    </xdr:from>
    <xdr:to>
      <xdr:col>3</xdr:col>
      <xdr:colOff>225686</xdr:colOff>
      <xdr:row>3</xdr:row>
      <xdr:rowOff>82961</xdr:rowOff>
    </xdr:to>
    <xdr:pic macro="[0]!Sheet7.SPC_Help1_Click">
      <xdr:nvPicPr>
        <xdr:cNvPr id="11" name="Picture 10">
          <a:extLst>
            <a:ext uri="{FF2B5EF4-FFF2-40B4-BE49-F238E27FC236}">
              <a16:creationId xmlns:a16="http://schemas.microsoft.com/office/drawing/2014/main" id="{00000000-0008-0000-0700-00000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9510" y="352425"/>
          <a:ext cx="249891" cy="2874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6724</xdr:colOff>
      <xdr:row>1</xdr:row>
      <xdr:rowOff>24653</xdr:rowOff>
    </xdr:from>
    <xdr:to>
      <xdr:col>11</xdr:col>
      <xdr:colOff>555812</xdr:colOff>
      <xdr:row>24</xdr:row>
      <xdr:rowOff>59951</xdr:rowOff>
    </xdr:to>
    <xdr:sp macro="" textlink="">
      <xdr:nvSpPr>
        <xdr:cNvPr id="3" name="SPC Help 1" hidden="1">
          <a:extLst>
            <a:ext uri="{FF2B5EF4-FFF2-40B4-BE49-F238E27FC236}">
              <a16:creationId xmlns:a16="http://schemas.microsoft.com/office/drawing/2014/main" id="{00000000-0008-0000-0700-000003000000}"/>
            </a:ext>
          </a:extLst>
        </xdr:cNvPr>
        <xdr:cNvSpPr txBox="1"/>
      </xdr:nvSpPr>
      <xdr:spPr>
        <a:xfrm>
          <a:off x="3330949" y="205628"/>
          <a:ext cx="5349688" cy="42167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If you have seasonalities that you would like to take account of, then changing the 'Display type:' option to '1+ Seasons' will allow you to define up to 4 seasons, each of which will be analysed separately.</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r>
            <a:rPr lang="en-GB" sz="1100" baseline="0"/>
            <a:t>- Include same day/emergency figures on top of your regular demand data.</a:t>
          </a:r>
        </a:p>
        <a:p>
          <a:endParaRPr lang="en-GB" sz="1100" baseline="0"/>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28575</xdr:colOff>
      <xdr:row>3</xdr:row>
      <xdr:rowOff>19050</xdr:rowOff>
    </xdr:from>
    <xdr:to>
      <xdr:col>1</xdr:col>
      <xdr:colOff>274955</xdr:colOff>
      <xdr:row>4</xdr:row>
      <xdr:rowOff>122555</xdr:rowOff>
    </xdr:to>
    <xdr:pic macro="[0]!Sheet13.Planned_Help1_Click">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 y="561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628650</xdr:colOff>
      <xdr:row>4</xdr:row>
      <xdr:rowOff>47625</xdr:rowOff>
    </xdr:from>
    <xdr:to>
      <xdr:col>15</xdr:col>
      <xdr:colOff>152400</xdr:colOff>
      <xdr:row>13</xdr:row>
      <xdr:rowOff>57150</xdr:rowOff>
    </xdr:to>
    <xdr:sp macro="" textlink="">
      <xdr:nvSpPr>
        <xdr:cNvPr id="3" name="Planned Help 1" hidden="1">
          <a:extLst>
            <a:ext uri="{FF2B5EF4-FFF2-40B4-BE49-F238E27FC236}">
              <a16:creationId xmlns:a16="http://schemas.microsoft.com/office/drawing/2014/main" id="{00000000-0008-0000-0900-000003000000}"/>
            </a:ext>
          </a:extLst>
        </xdr:cNvPr>
        <xdr:cNvSpPr txBox="1"/>
      </xdr:nvSpPr>
      <xdr:spPr>
        <a:xfrm>
          <a:off x="628650" y="771525"/>
          <a:ext cx="3667125" cy="1638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 to enter your planned demand information. </a:t>
          </a:r>
        </a:p>
        <a:p>
          <a:endParaRPr lang="en-GB" sz="1100"/>
        </a:p>
        <a:p>
          <a:r>
            <a:rPr lang="en-GB" sz="1100"/>
            <a:t>Thi</a:t>
          </a:r>
          <a:r>
            <a:rPr lang="en-GB" sz="1100" baseline="0"/>
            <a:t>s page gives you the option to enter your planned demand as an overall figure, or by modality.</a:t>
          </a:r>
        </a:p>
        <a:p>
          <a:endParaRPr lang="en-GB" sz="1100" baseline="0"/>
        </a:p>
        <a:p>
          <a:r>
            <a:rPr lang="en-GB" sz="1100" baseline="0"/>
            <a:t>If you enter by modality, then the figures will be weighted based on any minute/point values you may have assigned in the main 'Demand' sheet.</a:t>
          </a:r>
        </a:p>
        <a:p>
          <a:endParaRPr lang="en-GB" sz="1100" baseline="0"/>
        </a:p>
        <a:p>
          <a:endParaRPr lang="en-GB" sz="1100"/>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xdr:col>
          <xdr:colOff>866775</xdr:colOff>
          <xdr:row>3</xdr:row>
          <xdr:rowOff>171450</xdr:rowOff>
        </xdr:to>
        <xdr:sp macro="" textlink="">
          <xdr:nvSpPr>
            <xdr:cNvPr id="62465" name="PlannedRangeStart" hidden="1">
              <a:extLst>
                <a:ext uri="{63B3BB69-23CF-44E3-9099-C40C66FF867C}">
                  <a14:compatExt spid="_x0000_s62465"/>
                </a:ext>
                <a:ext uri="{FF2B5EF4-FFF2-40B4-BE49-F238E27FC236}">
                  <a16:creationId xmlns:a16="http://schemas.microsoft.com/office/drawing/2014/main" id="{00000000-0008-0000-0B00-000001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209550</xdr:colOff>
      <xdr:row>0</xdr:row>
      <xdr:rowOff>152399</xdr:rowOff>
    </xdr:from>
    <xdr:to>
      <xdr:col>16</xdr:col>
      <xdr:colOff>447674</xdr:colOff>
      <xdr:row>26</xdr:row>
      <xdr:rowOff>38100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866775</xdr:colOff>
          <xdr:row>4</xdr:row>
          <xdr:rowOff>171450</xdr:rowOff>
        </xdr:to>
        <xdr:sp macro="" textlink="">
          <xdr:nvSpPr>
            <xdr:cNvPr id="62474" name="Section1Start" hidden="1">
              <a:extLst>
                <a:ext uri="{63B3BB69-23CF-44E3-9099-C40C66FF867C}">
                  <a14:compatExt spid="_x0000_s62474"/>
                </a:ext>
                <a:ext uri="{FF2B5EF4-FFF2-40B4-BE49-F238E27FC236}">
                  <a16:creationId xmlns:a16="http://schemas.microsoft.com/office/drawing/2014/main" id="{00000000-0008-0000-0B00-00000A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438150</xdr:colOff>
      <xdr:row>1</xdr:row>
      <xdr:rowOff>0</xdr:rowOff>
    </xdr:from>
    <xdr:to>
      <xdr:col>3</xdr:col>
      <xdr:colOff>0</xdr:colOff>
      <xdr:row>2</xdr:row>
      <xdr:rowOff>104775</xdr:rowOff>
    </xdr:to>
    <xdr:pic macro="[0]!Sheet19.PSPC_Help1_Click">
      <xdr:nvPicPr>
        <xdr:cNvPr id="5" name="Picture 4">
          <a:extLst>
            <a:ext uri="{FF2B5EF4-FFF2-40B4-BE49-F238E27FC236}">
              <a16:creationId xmlns:a16="http://schemas.microsoft.com/office/drawing/2014/main" id="{00000000-0008-0000-0B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6384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209550</xdr:colOff>
      <xdr:row>0</xdr:row>
      <xdr:rowOff>152401</xdr:rowOff>
    </xdr:from>
    <xdr:to>
      <xdr:col>11</xdr:col>
      <xdr:colOff>72838</xdr:colOff>
      <xdr:row>19</xdr:row>
      <xdr:rowOff>28576</xdr:rowOff>
    </xdr:to>
    <xdr:sp macro="" textlink="">
      <xdr:nvSpPr>
        <xdr:cNvPr id="6" name="PSPC Help 1" hidden="1">
          <a:extLst>
            <a:ext uri="{FF2B5EF4-FFF2-40B4-BE49-F238E27FC236}">
              <a16:creationId xmlns:a16="http://schemas.microsoft.com/office/drawing/2014/main" id="{00000000-0008-0000-0B00-000006000000}"/>
            </a:ext>
          </a:extLst>
        </xdr:cNvPr>
        <xdr:cNvSpPr txBox="1"/>
      </xdr:nvSpPr>
      <xdr:spPr>
        <a:xfrm>
          <a:off x="3095625" y="152401"/>
          <a:ext cx="5349688" cy="3333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planned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7</xdr:row>
          <xdr:rowOff>95250</xdr:rowOff>
        </xdr:from>
        <xdr:to>
          <xdr:col>3</xdr:col>
          <xdr:colOff>247650</xdr:colOff>
          <xdr:row>13</xdr:row>
          <xdr:rowOff>85725</xdr:rowOff>
        </xdr:to>
        <xdr:sp macro="" textlink="">
          <xdr:nvSpPr>
            <xdr:cNvPr id="32778" name="Group Box 10" hidden="1">
              <a:extLst>
                <a:ext uri="{63B3BB69-23CF-44E3-9099-C40C66FF867C}">
                  <a14:compatExt spid="_x0000_s32778"/>
                </a:ext>
                <a:ext uri="{FF2B5EF4-FFF2-40B4-BE49-F238E27FC236}">
                  <a16:creationId xmlns:a16="http://schemas.microsoft.com/office/drawing/2014/main" id="{00000000-0008-0000-0C00-00000A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95250</xdr:rowOff>
        </xdr:from>
        <xdr:to>
          <xdr:col>3</xdr:col>
          <xdr:colOff>142875</xdr:colOff>
          <xdr:row>6</xdr:row>
          <xdr:rowOff>171450</xdr:rowOff>
        </xdr:to>
        <xdr:sp macro="" textlink="">
          <xdr:nvSpPr>
            <xdr:cNvPr id="32781" name="Group Box 13" hidden="1">
              <a:extLst>
                <a:ext uri="{63B3BB69-23CF-44E3-9099-C40C66FF867C}">
                  <a14:compatExt spid="_x0000_s32781"/>
                </a:ext>
                <a:ext uri="{FF2B5EF4-FFF2-40B4-BE49-F238E27FC236}">
                  <a16:creationId xmlns:a16="http://schemas.microsoft.com/office/drawing/2014/main" id="{00000000-0008-0000-0C00-00000D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1419225</xdr:colOff>
          <xdr:row>15</xdr:row>
          <xdr:rowOff>533400</xdr:rowOff>
        </xdr:from>
        <xdr:to>
          <xdr:col>2</xdr:col>
          <xdr:colOff>1123950</xdr:colOff>
          <xdr:row>16</xdr:row>
          <xdr:rowOff>171450</xdr:rowOff>
        </xdr:to>
        <xdr:sp macro="" textlink="">
          <xdr:nvSpPr>
            <xdr:cNvPr id="32782" name="Drop Down 14" hidden="1">
              <a:extLst>
                <a:ext uri="{63B3BB69-23CF-44E3-9099-C40C66FF867C}">
                  <a14:compatExt spid="_x0000_s32782"/>
                </a:ext>
                <a:ext uri="{FF2B5EF4-FFF2-40B4-BE49-F238E27FC236}">
                  <a16:creationId xmlns:a16="http://schemas.microsoft.com/office/drawing/2014/main" id="{00000000-0008-0000-0C00-00000E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638175</xdr:colOff>
          <xdr:row>5</xdr:row>
          <xdr:rowOff>161925</xdr:rowOff>
        </xdr:from>
        <xdr:to>
          <xdr:col>1</xdr:col>
          <xdr:colOff>942975</xdr:colOff>
          <xdr:row>7</xdr:row>
          <xdr:rowOff>28575</xdr:rowOff>
        </xdr:to>
        <xdr:sp macro="" textlink="">
          <xdr:nvSpPr>
            <xdr:cNvPr id="32783" name="CAP_Simplified" hidden="1">
              <a:extLst>
                <a:ext uri="{63B3BB69-23CF-44E3-9099-C40C66FF867C}">
                  <a14:compatExt spid="_x0000_s32783"/>
                </a:ext>
                <a:ext uri="{FF2B5EF4-FFF2-40B4-BE49-F238E27FC236}">
                  <a16:creationId xmlns:a16="http://schemas.microsoft.com/office/drawing/2014/main" id="{00000000-0008-0000-0C00-00000F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561975</xdr:colOff>
          <xdr:row>5</xdr:row>
          <xdr:rowOff>161925</xdr:rowOff>
        </xdr:from>
        <xdr:to>
          <xdr:col>2</xdr:col>
          <xdr:colOff>866775</xdr:colOff>
          <xdr:row>7</xdr:row>
          <xdr:rowOff>28575</xdr:rowOff>
        </xdr:to>
        <xdr:sp macro="" textlink="">
          <xdr:nvSpPr>
            <xdr:cNvPr id="32784" name="CAP_Advanced" hidden="1">
              <a:extLst>
                <a:ext uri="{63B3BB69-23CF-44E3-9099-C40C66FF867C}">
                  <a14:compatExt spid="_x0000_s32784"/>
                </a:ext>
                <a:ext uri="{FF2B5EF4-FFF2-40B4-BE49-F238E27FC236}">
                  <a16:creationId xmlns:a16="http://schemas.microsoft.com/office/drawing/2014/main" id="{00000000-0008-0000-0C00-000010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571500</xdr:colOff>
          <xdr:row>8</xdr:row>
          <xdr:rowOff>0</xdr:rowOff>
        </xdr:from>
        <xdr:to>
          <xdr:col>1</xdr:col>
          <xdr:colOff>876300</xdr:colOff>
          <xdr:row>11</xdr:row>
          <xdr:rowOff>38100</xdr:rowOff>
        </xdr:to>
        <xdr:sp macro="" textlink="">
          <xdr:nvSpPr>
            <xdr:cNvPr id="32785" name="Option Button 17" hidden="1">
              <a:extLst>
                <a:ext uri="{63B3BB69-23CF-44E3-9099-C40C66FF867C}">
                  <a14:compatExt spid="_x0000_s32785"/>
                </a:ext>
                <a:ext uri="{FF2B5EF4-FFF2-40B4-BE49-F238E27FC236}">
                  <a16:creationId xmlns:a16="http://schemas.microsoft.com/office/drawing/2014/main" id="{00000000-0008-0000-0C00-000011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571500</xdr:colOff>
          <xdr:row>8</xdr:row>
          <xdr:rowOff>0</xdr:rowOff>
        </xdr:from>
        <xdr:to>
          <xdr:col>2</xdr:col>
          <xdr:colOff>819150</xdr:colOff>
          <xdr:row>11</xdr:row>
          <xdr:rowOff>38100</xdr:rowOff>
        </xdr:to>
        <xdr:sp macro="" textlink="">
          <xdr:nvSpPr>
            <xdr:cNvPr id="32786" name="Option Button 18" hidden="1">
              <a:extLst>
                <a:ext uri="{63B3BB69-23CF-44E3-9099-C40C66FF867C}">
                  <a14:compatExt spid="_x0000_s32786"/>
                </a:ext>
                <a:ext uri="{FF2B5EF4-FFF2-40B4-BE49-F238E27FC236}">
                  <a16:creationId xmlns:a16="http://schemas.microsoft.com/office/drawing/2014/main" id="{00000000-0008-0000-0C00-00001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76200</xdr:colOff>
      <xdr:row>0</xdr:row>
      <xdr:rowOff>95250</xdr:rowOff>
    </xdr:from>
    <xdr:to>
      <xdr:col>3</xdr:col>
      <xdr:colOff>323850</xdr:colOff>
      <xdr:row>2</xdr:row>
      <xdr:rowOff>8890</xdr:rowOff>
    </xdr:to>
    <xdr:pic macro="[0]!Sheet18.Capacity_Help1_Click">
      <xdr:nvPicPr>
        <xdr:cNvPr id="9" name="Picture 8">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0" y="952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609600</xdr:colOff>
      <xdr:row>1</xdr:row>
      <xdr:rowOff>47625</xdr:rowOff>
    </xdr:from>
    <xdr:to>
      <xdr:col>12</xdr:col>
      <xdr:colOff>161925</xdr:colOff>
      <xdr:row>15</xdr:row>
      <xdr:rowOff>123825</xdr:rowOff>
    </xdr:to>
    <xdr:sp macro="" textlink="">
      <xdr:nvSpPr>
        <xdr:cNvPr id="2" name="Capacity Help 1" hidden="1">
          <a:extLst>
            <a:ext uri="{FF2B5EF4-FFF2-40B4-BE49-F238E27FC236}">
              <a16:creationId xmlns:a16="http://schemas.microsoft.com/office/drawing/2014/main" id="{00000000-0008-0000-0C00-000002000000}"/>
            </a:ext>
          </a:extLst>
        </xdr:cNvPr>
        <xdr:cNvSpPr txBox="1"/>
      </xdr:nvSpPr>
      <xdr:spPr>
        <a:xfrm>
          <a:off x="3657600" y="228600"/>
          <a:ext cx="3819525" cy="2257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'Capacity'</a:t>
          </a:r>
          <a:r>
            <a:rPr lang="en-GB" sz="1100" baseline="0"/>
            <a:t> sheet allows you to enter your estimated capacity, differentiated by core and ad hoc (or plus cost) capacity.</a:t>
          </a:r>
        </a:p>
        <a:p>
          <a:endParaRPr lang="en-GB" sz="1100" baseline="0"/>
        </a:p>
        <a:p>
          <a:r>
            <a:rPr lang="en-GB" sz="1100" baseline="0"/>
            <a:t>If you select the 'Planning calculator', you can link your sessions to up to 3 key resources that must be available for it to run - this will let you see capacity pinch points. </a:t>
          </a:r>
        </a:p>
        <a:p>
          <a:endParaRPr lang="en-GB" sz="1100" baseline="0"/>
        </a:p>
        <a:p>
          <a:r>
            <a:rPr lang="en-GB" sz="1100" baseline="0"/>
            <a:t>If you do not use the 'Planning calculator', then the model will assume that your capacity will be phased evenly across the year.</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59</xdr:col>
      <xdr:colOff>186683</xdr:colOff>
      <xdr:row>22</xdr:row>
      <xdr:rowOff>339090</xdr:rowOff>
    </xdr:to>
    <xdr:graphicFrame macro="">
      <xdr:nvGraphicFramePr>
        <xdr:cNvPr id="3" name="Chart 2">
          <a:extLst>
            <a:ext uri="{FF2B5EF4-FFF2-40B4-BE49-F238E27FC236}">
              <a16:creationId xmlns:a16="http://schemas.microsoft.com/office/drawing/2014/main" id="{00000000-0008-0000-0F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638175</xdr:colOff>
          <xdr:row>5</xdr:row>
          <xdr:rowOff>161925</xdr:rowOff>
        </xdr:from>
        <xdr:to>
          <xdr:col>1</xdr:col>
          <xdr:colOff>942975</xdr:colOff>
          <xdr:row>7</xdr:row>
          <xdr:rowOff>28575</xdr:rowOff>
        </xdr:to>
        <xdr:sp macro="" textlink="">
          <xdr:nvSpPr>
            <xdr:cNvPr id="64841" name="CAP_Simplified" hidden="1">
              <a:extLst>
                <a:ext uri="{63B3BB69-23CF-44E3-9099-C40C66FF867C}">
                  <a14:compatExt spid="_x0000_s64841"/>
                </a:ext>
                <a:ext uri="{FF2B5EF4-FFF2-40B4-BE49-F238E27FC236}">
                  <a16:creationId xmlns:a16="http://schemas.microsoft.com/office/drawing/2014/main" id="{00000000-0008-0000-0F00-000049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5</xdr:row>
          <xdr:rowOff>161925</xdr:rowOff>
        </xdr:from>
        <xdr:to>
          <xdr:col>2</xdr:col>
          <xdr:colOff>552450</xdr:colOff>
          <xdr:row>7</xdr:row>
          <xdr:rowOff>28575</xdr:rowOff>
        </xdr:to>
        <xdr:sp macro="" textlink="">
          <xdr:nvSpPr>
            <xdr:cNvPr id="64842" name="CAP_Advanced" hidden="1">
              <a:extLst>
                <a:ext uri="{63B3BB69-23CF-44E3-9099-C40C66FF867C}">
                  <a14:compatExt spid="_x0000_s64842"/>
                </a:ext>
                <a:ext uri="{FF2B5EF4-FFF2-40B4-BE49-F238E27FC236}">
                  <a16:creationId xmlns:a16="http://schemas.microsoft.com/office/drawing/2014/main" id="{00000000-0008-0000-0F00-00004A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4</xdr:col>
      <xdr:colOff>114300</xdr:colOff>
      <xdr:row>0</xdr:row>
      <xdr:rowOff>133350</xdr:rowOff>
    </xdr:from>
    <xdr:to>
      <xdr:col>4</xdr:col>
      <xdr:colOff>377190</xdr:colOff>
      <xdr:row>2</xdr:row>
      <xdr:rowOff>41910</xdr:rowOff>
    </xdr:to>
    <xdr:pic macro="[0]!Sheet20.Cap_Summary_help1_click">
      <xdr:nvPicPr>
        <xdr:cNvPr id="5" name="Picture 4">
          <a:extLst>
            <a:ext uri="{FF2B5EF4-FFF2-40B4-BE49-F238E27FC236}">
              <a16:creationId xmlns:a16="http://schemas.microsoft.com/office/drawing/2014/main" id="{00000000-0008-0000-0F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43250" y="1333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76200</xdr:colOff>
      <xdr:row>1</xdr:row>
      <xdr:rowOff>85725</xdr:rowOff>
    </xdr:from>
    <xdr:to>
      <xdr:col>23</xdr:col>
      <xdr:colOff>66675</xdr:colOff>
      <xdr:row>22</xdr:row>
      <xdr:rowOff>200025</xdr:rowOff>
    </xdr:to>
    <xdr:sp macro="" textlink="">
      <xdr:nvSpPr>
        <xdr:cNvPr id="2" name="Cap_Summary Help 1" hidden="1">
          <a:extLst>
            <a:ext uri="{FF2B5EF4-FFF2-40B4-BE49-F238E27FC236}">
              <a16:creationId xmlns:a16="http://schemas.microsoft.com/office/drawing/2014/main" id="{00000000-0008-0000-0F00-000002000000}"/>
            </a:ext>
          </a:extLst>
        </xdr:cNvPr>
        <xdr:cNvSpPr txBox="1"/>
      </xdr:nvSpPr>
      <xdr:spPr>
        <a:xfrm>
          <a:off x="3810000" y="266700"/>
          <a:ext cx="3952875" cy="410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presents a summary of your capacity by week,</a:t>
          </a:r>
          <a:r>
            <a:rPr lang="en-GB" sz="1100" baseline="0"/>
            <a:t> based on the information you have entered.</a:t>
          </a:r>
        </a:p>
        <a:p>
          <a:endParaRPr lang="en-GB" sz="1100" baseline="0"/>
        </a:p>
        <a:p>
          <a:r>
            <a:rPr lang="en-GB" sz="1100" baseline="0"/>
            <a:t>If you selected 'Basic', the model will assume that the capacity entered in the 'Capacity' sheet can be evenly spread across 52 weeks.</a:t>
          </a:r>
        </a:p>
        <a:p>
          <a:endParaRPr lang="en-GB" sz="1100" baseline="0"/>
        </a:p>
        <a:p>
          <a:r>
            <a:rPr lang="en-GB" sz="1100" baseline="0"/>
            <a:t>Selecting 'Planning' will incorporate any information relating to critical resources which may limit the availability of core and ad hoc sessions.</a:t>
          </a:r>
        </a:p>
        <a:p>
          <a:endParaRPr lang="en-GB" sz="1100" baseline="0"/>
        </a:p>
        <a:p>
          <a:r>
            <a:rPr lang="en-GB" sz="1100" baseline="0"/>
            <a:t>The following rules apply to capacity calculations:</a:t>
          </a:r>
        </a:p>
        <a:p>
          <a:endParaRPr lang="en-GB" sz="1100" baseline="0"/>
        </a:p>
        <a:p>
          <a:r>
            <a:rPr lang="en-GB" sz="1100" baseline="0"/>
            <a:t>- If your adjusted clinic frequency is equal to, or greater than the session frequency stated in the 'Capacity tab' then the maximum deliverable capacity is assumed to be as stated in the 'Capacity' tab - this will be distributed evenly in the available weeks.</a:t>
          </a:r>
        </a:p>
        <a:p>
          <a:endParaRPr lang="en-GB" sz="1100" baseline="0"/>
        </a:p>
        <a:p>
          <a:r>
            <a:rPr lang="en-GB" sz="1100" baseline="0"/>
            <a:t>- If your adjusted frequency is less than the session frequency stated in the 'Capacity' tab then the clinic is assumed to run at the per-session rate entered in the 'Capacity' tab.</a:t>
          </a:r>
        </a:p>
        <a:p>
          <a:endParaRPr lang="en-GB" sz="1100" baseline="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275897</xdr:colOff>
      <xdr:row>8</xdr:row>
      <xdr:rowOff>183932</xdr:rowOff>
    </xdr:from>
    <xdr:to>
      <xdr:col>2</xdr:col>
      <xdr:colOff>413845</xdr:colOff>
      <xdr:row>8</xdr:row>
      <xdr:rowOff>183932</xdr:rowOff>
    </xdr:to>
    <xdr:cxnSp macro="">
      <xdr:nvCxnSpPr>
        <xdr:cNvPr id="2" name="Straight Arrow Connector 1">
          <a:extLst>
            <a:ext uri="{FF2B5EF4-FFF2-40B4-BE49-F238E27FC236}">
              <a16:creationId xmlns:a16="http://schemas.microsoft.com/office/drawing/2014/main" id="{00000000-0008-0000-1200-000002000000}"/>
            </a:ext>
          </a:extLst>
        </xdr:cNvPr>
        <xdr:cNvCxnSpPr/>
      </xdr:nvCxnSpPr>
      <xdr:spPr>
        <a:xfrm>
          <a:off x="2104697" y="1765082"/>
          <a:ext cx="137948"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315310</xdr:colOff>
      <xdr:row>8</xdr:row>
      <xdr:rowOff>183932</xdr:rowOff>
    </xdr:from>
    <xdr:to>
      <xdr:col>3</xdr:col>
      <xdr:colOff>472965</xdr:colOff>
      <xdr:row>8</xdr:row>
      <xdr:rowOff>183932</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2991835" y="1765082"/>
          <a:ext cx="157655"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xdr:row>
      <xdr:rowOff>144518</xdr:rowOff>
    </xdr:from>
    <xdr:to>
      <xdr:col>3</xdr:col>
      <xdr:colOff>0</xdr:colOff>
      <xdr:row>11</xdr:row>
      <xdr:rowOff>157656</xdr:rowOff>
    </xdr:to>
    <xdr:cxnSp macro="">
      <xdr:nvCxnSpPr>
        <xdr:cNvPr id="4" name="Straight Arrow Connector 3">
          <a:extLst>
            <a:ext uri="{FF2B5EF4-FFF2-40B4-BE49-F238E27FC236}">
              <a16:creationId xmlns:a16="http://schemas.microsoft.com/office/drawing/2014/main" id="{00000000-0008-0000-1200-000004000000}"/>
            </a:ext>
          </a:extLst>
        </xdr:cNvPr>
        <xdr:cNvCxnSpPr/>
      </xdr:nvCxnSpPr>
      <xdr:spPr>
        <a:xfrm>
          <a:off x="2676525" y="2106668"/>
          <a:ext cx="0" cy="20363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288707</xdr:colOff>
      <xdr:row>16</xdr:row>
      <xdr:rowOff>2956</xdr:rowOff>
    </xdr:from>
    <xdr:to>
      <xdr:col>4</xdr:col>
      <xdr:colOff>446361</xdr:colOff>
      <xdr:row>16</xdr:row>
      <xdr:rowOff>2957</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flipH="1">
          <a:off x="3812957" y="3098581"/>
          <a:ext cx="157654" cy="1"/>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18</xdr:row>
      <xdr:rowOff>105103</xdr:rowOff>
    </xdr:from>
    <xdr:to>
      <xdr:col>3</xdr:col>
      <xdr:colOff>0</xdr:colOff>
      <xdr:row>19</xdr:row>
      <xdr:rowOff>59120</xdr:rowOff>
    </xdr:to>
    <xdr:cxnSp macro="">
      <xdr:nvCxnSpPr>
        <xdr:cNvPr id="6" name="Straight Arrow Connector 5">
          <a:extLst>
            <a:ext uri="{FF2B5EF4-FFF2-40B4-BE49-F238E27FC236}">
              <a16:creationId xmlns:a16="http://schemas.microsoft.com/office/drawing/2014/main" id="{00000000-0008-0000-1200-000006000000}"/>
            </a:ext>
          </a:extLst>
        </xdr:cNvPr>
        <xdr:cNvCxnSpPr/>
      </xdr:nvCxnSpPr>
      <xdr:spPr>
        <a:xfrm>
          <a:off x="2676525" y="3572203"/>
          <a:ext cx="0" cy="134992"/>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601980</xdr:colOff>
      <xdr:row>20</xdr:row>
      <xdr:rowOff>186690</xdr:rowOff>
    </xdr:from>
    <xdr:to>
      <xdr:col>3</xdr:col>
      <xdr:colOff>788670</xdr:colOff>
      <xdr:row>20</xdr:row>
      <xdr:rowOff>186690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278505" y="4025265"/>
          <a:ext cx="1866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22</xdr:row>
      <xdr:rowOff>78827</xdr:rowOff>
    </xdr:from>
    <xdr:to>
      <xdr:col>3</xdr:col>
      <xdr:colOff>0</xdr:colOff>
      <xdr:row>23</xdr:row>
      <xdr:rowOff>45720</xdr:rowOff>
    </xdr:to>
    <xdr:cxnSp macro="">
      <xdr:nvCxnSpPr>
        <xdr:cNvPr id="8" name="Straight Arrow Connector 7">
          <a:extLst>
            <a:ext uri="{FF2B5EF4-FFF2-40B4-BE49-F238E27FC236}">
              <a16:creationId xmlns:a16="http://schemas.microsoft.com/office/drawing/2014/main" id="{00000000-0008-0000-1200-000008000000}"/>
            </a:ext>
          </a:extLst>
        </xdr:cNvPr>
        <xdr:cNvCxnSpPr/>
      </xdr:nvCxnSpPr>
      <xdr:spPr>
        <a:xfrm>
          <a:off x="2676525" y="4298402"/>
          <a:ext cx="0" cy="14786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76200</xdr:colOff>
      <xdr:row>20</xdr:row>
      <xdr:rowOff>177165</xdr:rowOff>
    </xdr:from>
    <xdr:to>
      <xdr:col>10</xdr:col>
      <xdr:colOff>300990</xdr:colOff>
      <xdr:row>20</xdr:row>
      <xdr:rowOff>177165</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9410700" y="4015740"/>
          <a:ext cx="2247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685800</xdr:colOff>
      <xdr:row>22</xdr:row>
      <xdr:rowOff>124810</xdr:rowOff>
    </xdr:from>
    <xdr:to>
      <xdr:col>9</xdr:col>
      <xdr:colOff>0</xdr:colOff>
      <xdr:row>24</xdr:row>
      <xdr:rowOff>0</xdr:rowOff>
    </xdr:to>
    <xdr:cxnSp macro="">
      <xdr:nvCxnSpPr>
        <xdr:cNvPr id="10" name="Straight Arrow Connector 9">
          <a:extLst>
            <a:ext uri="{FF2B5EF4-FFF2-40B4-BE49-F238E27FC236}">
              <a16:creationId xmlns:a16="http://schemas.microsoft.com/office/drawing/2014/main" id="{00000000-0008-0000-1200-00000A000000}"/>
            </a:ext>
          </a:extLst>
        </xdr:cNvPr>
        <xdr:cNvCxnSpPr/>
      </xdr:nvCxnSpPr>
      <xdr:spPr>
        <a:xfrm flipH="1">
          <a:off x="8629650" y="4344385"/>
          <a:ext cx="9525" cy="23714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533400</xdr:colOff>
          <xdr:row>4</xdr:row>
          <xdr:rowOff>28575</xdr:rowOff>
        </xdr:to>
        <xdr:sp macro="" textlink="">
          <xdr:nvSpPr>
            <xdr:cNvPr id="11281" name="Param_Calculator_Yes" hidden="1">
              <a:extLst>
                <a:ext uri="{63B3BB69-23CF-44E3-9099-C40C66FF867C}">
                  <a14:compatExt spid="_x0000_s11281"/>
                </a:ext>
                <a:ext uri="{FF2B5EF4-FFF2-40B4-BE49-F238E27FC236}">
                  <a16:creationId xmlns:a16="http://schemas.microsoft.com/office/drawing/2014/main" id="{00000000-0008-0000-1200-000011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981075</xdr:colOff>
          <xdr:row>3</xdr:row>
          <xdr:rowOff>0</xdr:rowOff>
        </xdr:from>
        <xdr:to>
          <xdr:col>6</xdr:col>
          <xdr:colOff>0</xdr:colOff>
          <xdr:row>4</xdr:row>
          <xdr:rowOff>28575</xdr:rowOff>
        </xdr:to>
        <xdr:sp macro="" textlink="">
          <xdr:nvSpPr>
            <xdr:cNvPr id="11282" name="Param_Calculator_No" hidden="1">
              <a:extLst>
                <a:ext uri="{63B3BB69-23CF-44E3-9099-C40C66FF867C}">
                  <a14:compatExt spid="_x0000_s11282"/>
                </a:ext>
                <a:ext uri="{FF2B5EF4-FFF2-40B4-BE49-F238E27FC236}">
                  <a16:creationId xmlns:a16="http://schemas.microsoft.com/office/drawing/2014/main" id="{00000000-0008-0000-1200-00001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No</a:t>
              </a:r>
            </a:p>
          </xdr:txBody>
        </xdr:sp>
        <xdr:clientData/>
      </xdr:twoCellAnchor>
    </mc:Choice>
    <mc:Fallback/>
  </mc:AlternateContent>
  <xdr:twoCellAnchor editAs="oneCell">
    <xdr:from>
      <xdr:col>11</xdr:col>
      <xdr:colOff>333375</xdr:colOff>
      <xdr:row>1</xdr:row>
      <xdr:rowOff>0</xdr:rowOff>
    </xdr:from>
    <xdr:to>
      <xdr:col>11</xdr:col>
      <xdr:colOff>581660</xdr:colOff>
      <xdr:row>2</xdr:row>
      <xdr:rowOff>104140</xdr:rowOff>
    </xdr:to>
    <xdr:pic macro="[0]!Sheet11.Parameter_help1_click">
      <xdr:nvPicPr>
        <xdr:cNvPr id="13" name="Picture 12">
          <a:extLst>
            <a:ext uri="{FF2B5EF4-FFF2-40B4-BE49-F238E27FC236}">
              <a16:creationId xmlns:a16="http://schemas.microsoft.com/office/drawing/2014/main" id="{00000000-0008-0000-1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7537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19050</xdr:colOff>
      <xdr:row>4</xdr:row>
      <xdr:rowOff>76200</xdr:rowOff>
    </xdr:from>
    <xdr:to>
      <xdr:col>11</xdr:col>
      <xdr:colOff>609600</xdr:colOff>
      <xdr:row>21</xdr:row>
      <xdr:rowOff>163286</xdr:rowOff>
    </xdr:to>
    <xdr:sp macro="" textlink="">
      <xdr:nvSpPr>
        <xdr:cNvPr id="11" name="Parameters Help 1" hidden="1">
          <a:extLst>
            <a:ext uri="{FF2B5EF4-FFF2-40B4-BE49-F238E27FC236}">
              <a16:creationId xmlns:a16="http://schemas.microsoft.com/office/drawing/2014/main" id="{00000000-0008-0000-1200-00000B000000}"/>
            </a:ext>
          </a:extLst>
        </xdr:cNvPr>
        <xdr:cNvSpPr txBox="1"/>
      </xdr:nvSpPr>
      <xdr:spPr>
        <a:xfrm>
          <a:off x="7652657" y="783771"/>
          <a:ext cx="3352800" cy="32847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page will allow you to calculate the parameter values for your required capacity calculation.</a:t>
          </a:r>
        </a:p>
        <a:p>
          <a:endParaRPr lang="en-GB" sz="1100"/>
        </a:p>
        <a:p>
          <a:r>
            <a:rPr lang="en-GB" sz="1100"/>
            <a:t>The parameters will be estimated from your activity outcomes - you will need to extract these from your patient records.</a:t>
          </a:r>
        </a:p>
        <a:p>
          <a:endParaRPr lang="en-GB" sz="1100"/>
        </a:p>
        <a:p>
          <a:r>
            <a:rPr lang="en-GB" sz="1100"/>
            <a:t>You can either estimate the parameter values directly, or enter the volume of related activity outcomes - the sheet will then calculate the % values, using the baseline you selected in the 'SPC' tab as the denominator.</a:t>
          </a:r>
        </a:p>
        <a:p>
          <a:endParaRPr lang="en-GB" sz="1100"/>
        </a:p>
        <a:p>
          <a:r>
            <a:rPr lang="en-GB" sz="1100"/>
            <a:t>If you have multiple modalities where each modality may take a different time to treat a patient, and your activity is recorded on a per-patient basis, then you may want to use the patient-to-activity outcome calculator.</a:t>
          </a:r>
        </a:p>
        <a:p>
          <a:endParaRPr lang="en-GB" sz="1100" baseline="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6</xdr:col>
      <xdr:colOff>561975</xdr:colOff>
      <xdr:row>1</xdr:row>
      <xdr:rowOff>76200</xdr:rowOff>
    </xdr:from>
    <xdr:to>
      <xdr:col>7</xdr:col>
      <xdr:colOff>0</xdr:colOff>
      <xdr:row>3</xdr:row>
      <xdr:rowOff>0</xdr:rowOff>
    </xdr:to>
    <xdr:pic>
      <xdr:nvPicPr>
        <xdr:cNvPr id="2" name="Picture 1">
          <a:extLst>
            <a:ext uri="{FF2B5EF4-FFF2-40B4-BE49-F238E27FC236}">
              <a16:creationId xmlns:a16="http://schemas.microsoft.com/office/drawing/2014/main" id="{00000000-0008-0000-1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58025" y="2667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571500</xdr:colOff>
      <xdr:row>11</xdr:row>
      <xdr:rowOff>0</xdr:rowOff>
    </xdr:from>
    <xdr:to>
      <xdr:col>13</xdr:col>
      <xdr:colOff>0</xdr:colOff>
      <xdr:row>29</xdr:row>
      <xdr:rowOff>28575</xdr:rowOff>
    </xdr:to>
    <xdr:graphicFrame macro="">
      <xdr:nvGraphicFramePr>
        <xdr:cNvPr id="2" name="Chart 1">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419100</xdr:colOff>
      <xdr:row>3</xdr:row>
      <xdr:rowOff>85725</xdr:rowOff>
    </xdr:from>
    <xdr:to>
      <xdr:col>12</xdr:col>
      <xdr:colOff>666750</xdr:colOff>
      <xdr:row>4</xdr:row>
      <xdr:rowOff>190500</xdr:rowOff>
    </xdr:to>
    <xdr:pic macro="[0]!Sheet9.Pathway_help1_click">
      <xdr:nvPicPr>
        <xdr:cNvPr id="3" name="Picture 2">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48700" y="6381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66675</xdr:colOff>
      <xdr:row>5</xdr:row>
      <xdr:rowOff>161926</xdr:rowOff>
    </xdr:from>
    <xdr:to>
      <xdr:col>15</xdr:col>
      <xdr:colOff>57150</xdr:colOff>
      <xdr:row>18</xdr:row>
      <xdr:rowOff>19051</xdr:rowOff>
    </xdr:to>
    <xdr:sp macro="" textlink="">
      <xdr:nvSpPr>
        <xdr:cNvPr id="4" name="Pathway Help 1" hidden="1">
          <a:extLst>
            <a:ext uri="{FF2B5EF4-FFF2-40B4-BE49-F238E27FC236}">
              <a16:creationId xmlns:a16="http://schemas.microsoft.com/office/drawing/2014/main" id="{00000000-0008-0000-1500-000004000000}"/>
            </a:ext>
          </a:extLst>
        </xdr:cNvPr>
        <xdr:cNvSpPr txBox="1"/>
      </xdr:nvSpPr>
      <xdr:spPr>
        <a:xfrm>
          <a:off x="5553075" y="1276351"/>
          <a:ext cx="4791075" cy="2209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the time</a:t>
          </a:r>
          <a:r>
            <a:rPr lang="en-GB" sz="1100" baseline="0"/>
            <a:t> in which patients should be seen on this page.</a:t>
          </a:r>
        </a:p>
        <a:p>
          <a:endParaRPr lang="en-GB" sz="1100" baseline="0"/>
        </a:p>
        <a:p>
          <a:r>
            <a:rPr lang="en-GB" sz="1100" baseline="0"/>
            <a:t>The labels for the urgency profiles can be customised on the 'Setup' sheet - please ensure that any data entered on the 'Demand' tab corresponds to the correct urgency profile.</a:t>
          </a:r>
        </a:p>
        <a:p>
          <a:endParaRPr lang="en-GB" sz="1100" baseline="0"/>
        </a:p>
        <a:p>
          <a:r>
            <a:rPr lang="en-GB" sz="1100" baseline="0"/>
            <a:t>The model will automatically calculate the proportion based on the data you have entered - note that this will be based on the baseline period you have selceted. </a:t>
          </a:r>
        </a:p>
        <a:p>
          <a:endParaRPr lang="en-GB" sz="1100" baseline="0"/>
        </a:p>
        <a:p>
          <a:r>
            <a:rPr lang="en-GB" sz="1100" baseline="0"/>
            <a:t>The data entered here will be used to calculate the estimated sustainable waiting list size.</a:t>
          </a:r>
          <a:endParaRPr lang="en-GB" sz="1100"/>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5</xdr:col>
      <xdr:colOff>0</xdr:colOff>
      <xdr:row>5</xdr:row>
      <xdr:rowOff>0</xdr:rowOff>
    </xdr:from>
    <xdr:to>
      <xdr:col>13</xdr:col>
      <xdr:colOff>104140</xdr:colOff>
      <xdr:row>22</xdr:row>
      <xdr:rowOff>0</xdr:rowOff>
    </xdr:to>
    <xdr:graphicFrame macro="">
      <xdr:nvGraphicFramePr>
        <xdr:cNvPr id="4" name="Req_Cap_Overall">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257175</xdr:colOff>
      <xdr:row>38</xdr:row>
      <xdr:rowOff>171450</xdr:rowOff>
    </xdr:from>
    <xdr:to>
      <xdr:col>13</xdr:col>
      <xdr:colOff>353060</xdr:colOff>
      <xdr:row>54</xdr:row>
      <xdr:rowOff>10160</xdr:rowOff>
    </xdr:to>
    <xdr:graphicFrame macro="">
      <xdr:nvGraphicFramePr>
        <xdr:cNvPr id="5" name="WL_Chart">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104775</xdr:colOff>
      <xdr:row>4</xdr:row>
      <xdr:rowOff>142876</xdr:rowOff>
    </xdr:from>
    <xdr:to>
      <xdr:col>19</xdr:col>
      <xdr:colOff>370840</xdr:colOff>
      <xdr:row>22</xdr:row>
      <xdr:rowOff>142240</xdr:rowOff>
    </xdr:to>
    <xdr:graphicFrame macro="">
      <xdr:nvGraphicFramePr>
        <xdr:cNvPr id="6" name="Req_Cap_Time" hidden="1">
          <a:extLst>
            <a:ext uri="{FF2B5EF4-FFF2-40B4-BE49-F238E27FC236}">
              <a16:creationId xmlns:a16="http://schemas.microsoft.com/office/drawing/2014/main" id="{00000000-0008-0000-1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19050</xdr:colOff>
      <xdr:row>1</xdr:row>
      <xdr:rowOff>28575</xdr:rowOff>
    </xdr:from>
    <xdr:to>
      <xdr:col>1</xdr:col>
      <xdr:colOff>266700</xdr:colOff>
      <xdr:row>2</xdr:row>
      <xdr:rowOff>142240</xdr:rowOff>
    </xdr:to>
    <xdr:pic macro="[0]!Sheet17.Summary_help1_click">
      <xdr:nvPicPr>
        <xdr:cNvPr id="7" name="Picture 6">
          <a:extLst>
            <a:ext uri="{FF2B5EF4-FFF2-40B4-BE49-F238E27FC236}">
              <a16:creationId xmlns:a16="http://schemas.microsoft.com/office/drawing/2014/main" id="{00000000-0008-0000-16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4300" y="2190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304800</xdr:colOff>
      <xdr:row>2</xdr:row>
      <xdr:rowOff>57150</xdr:rowOff>
    </xdr:from>
    <xdr:to>
      <xdr:col>10</xdr:col>
      <xdr:colOff>438150</xdr:colOff>
      <xdr:row>21</xdr:row>
      <xdr:rowOff>19050</xdr:rowOff>
    </xdr:to>
    <xdr:sp macro="" textlink="">
      <xdr:nvSpPr>
        <xdr:cNvPr id="2" name="Summary Help 1" hidden="1">
          <a:extLst>
            <a:ext uri="{FF2B5EF4-FFF2-40B4-BE49-F238E27FC236}">
              <a16:creationId xmlns:a16="http://schemas.microsoft.com/office/drawing/2014/main" id="{00000000-0008-0000-1600-000002000000}"/>
            </a:ext>
          </a:extLst>
        </xdr:cNvPr>
        <xdr:cNvSpPr txBox="1"/>
      </xdr:nvSpPr>
      <xdr:spPr>
        <a:xfrm>
          <a:off x="2028825" y="428625"/>
          <a:ext cx="4762500" cy="3438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provides</a:t>
          </a:r>
          <a:r>
            <a:rPr lang="en-GB" sz="1100" baseline="0"/>
            <a:t> you with a summary position of two key metrics of demand and capacity:</a:t>
          </a:r>
        </a:p>
        <a:p>
          <a:endParaRPr lang="en-GB" sz="1100" baseline="0"/>
        </a:p>
        <a:p>
          <a:r>
            <a:rPr lang="en-GB" sz="1100" baseline="0"/>
            <a:t>- the balance of required vs available capacity</a:t>
          </a:r>
        </a:p>
        <a:p>
          <a:endParaRPr lang="en-GB" sz="1100" baseline="0"/>
        </a:p>
        <a:p>
          <a:r>
            <a:rPr lang="en-GB" sz="1100" baseline="0"/>
            <a:t>- your current waiting list size vs the calculated sustainable size</a:t>
          </a:r>
        </a:p>
        <a:p>
          <a:endParaRPr lang="en-GB" sz="1100" baseline="0"/>
        </a:p>
        <a:p>
          <a:endParaRPr lang="en-GB" sz="1100" baseline="0"/>
        </a:p>
        <a:p>
          <a:r>
            <a:rPr lang="en-GB" sz="1100" baseline="0"/>
            <a:t>The balance of required vs available capacity provides you with the long term position - if there is a deficit, your waiting list size is likely to increase .</a:t>
          </a:r>
        </a:p>
        <a:p>
          <a:endParaRPr lang="en-GB" sz="1100" baseline="0"/>
        </a:p>
        <a:p>
          <a:r>
            <a:rPr lang="en-GB" sz="1100" baseline="0"/>
            <a:t>Your waiting list position informs you if you have a backlog that needs clearing in order to ensure you are seeing patients in a timely manner.</a:t>
          </a:r>
        </a:p>
        <a:p>
          <a:endParaRPr lang="en-GB" sz="1100" baseline="0"/>
        </a:p>
        <a:p>
          <a:r>
            <a:rPr lang="en-GB" sz="1100" baseline="0"/>
            <a:t>You can choose to view either the current waiting list position or a waiting list trajectory using the </a:t>
          </a:r>
          <a:r>
            <a:rPr lang="en-GB" sz="1100" b="1" baseline="0"/>
            <a:t>Breakdown</a:t>
          </a:r>
          <a:r>
            <a:rPr lang="en-GB" sz="1100" b="0" baseline="0"/>
            <a:t> drop-down selection.</a:t>
          </a:r>
          <a:endParaRPr lang="en-GB" sz="1100" baseline="0"/>
        </a:p>
        <a:p>
          <a:endParaRPr lang="en-GB" sz="1100" baseline="0"/>
        </a:p>
        <a:p>
          <a:endParaRPr lang="en-GB" sz="1100" baseline="0"/>
        </a:p>
        <a:p>
          <a:r>
            <a:rPr lang="en-GB" sz="1100" baseline="0"/>
            <a:t>You can also look at your required vs available capacity by time by selecting 'By time' as the breakdown option in the options below.</a:t>
          </a:r>
        </a:p>
      </xdr:txBody>
    </xdr:sp>
    <xdr:clientData/>
  </xdr:twoCellAnchor>
  <xdr:twoCellAnchor>
    <xdr:from>
      <xdr:col>5</xdr:col>
      <xdr:colOff>95250</xdr:colOff>
      <xdr:row>38</xdr:row>
      <xdr:rowOff>161925</xdr:rowOff>
    </xdr:from>
    <xdr:to>
      <xdr:col>21</xdr:col>
      <xdr:colOff>0</xdr:colOff>
      <xdr:row>59</xdr:row>
      <xdr:rowOff>114300</xdr:rowOff>
    </xdr:to>
    <xdr:graphicFrame macro="">
      <xdr:nvGraphicFramePr>
        <xdr:cNvPr id="8" name="WL_Prediction" hidden="1">
          <a:extLst>
            <a:ext uri="{FF2B5EF4-FFF2-40B4-BE49-F238E27FC236}">
              <a16:creationId xmlns:a16="http://schemas.microsoft.com/office/drawing/2014/main" id="{00000000-0008-0000-1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43</xdr:row>
          <xdr:rowOff>142875</xdr:rowOff>
        </xdr:from>
        <xdr:to>
          <xdr:col>4</xdr:col>
          <xdr:colOff>276225</xdr:colOff>
          <xdr:row>45</xdr:row>
          <xdr:rowOff>19050</xdr:rowOff>
        </xdr:to>
        <xdr:sp macro="" textlink="">
          <xdr:nvSpPr>
            <xdr:cNvPr id="172048" name="WL_Sim_Button" hidden="1">
              <a:extLst>
                <a:ext uri="{63B3BB69-23CF-44E3-9099-C40C66FF867C}">
                  <a14:compatExt spid="_x0000_s172048"/>
                </a:ext>
                <a:ext uri="{FF2B5EF4-FFF2-40B4-BE49-F238E27FC236}">
                  <a16:creationId xmlns:a16="http://schemas.microsoft.com/office/drawing/2014/main" id="{00000000-0008-0000-1600-000010A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Run WL Sim</a:t>
              </a:r>
            </a:p>
          </xdr:txBody>
        </xdr:sp>
        <xdr:clientData fPrintsWithSheet="0"/>
      </xdr:twoCellAnchor>
    </mc:Choice>
    <mc:Fallback/>
  </mc:AlternateContent>
  <xdr:twoCellAnchor editAs="oneCell">
    <xdr:from>
      <xdr:col>4</xdr:col>
      <xdr:colOff>358140</xdr:colOff>
      <xdr:row>40</xdr:row>
      <xdr:rowOff>97155</xdr:rowOff>
    </xdr:from>
    <xdr:to>
      <xdr:col>4</xdr:col>
      <xdr:colOff>599440</xdr:colOff>
      <xdr:row>42</xdr:row>
      <xdr:rowOff>48260</xdr:rowOff>
    </xdr:to>
    <xdr:pic macro="[0]!Sheet17.Summary_help2_click">
      <xdr:nvPicPr>
        <xdr:cNvPr id="9" name="Picture 8" hidden="1">
          <a:extLst>
            <a:ext uri="{FF2B5EF4-FFF2-40B4-BE49-F238E27FC236}">
              <a16:creationId xmlns:a16="http://schemas.microsoft.com/office/drawing/2014/main" id="{00000000-0008-0000-1600-000009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223260" y="5530215"/>
          <a:ext cx="247650"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99060</xdr:colOff>
      <xdr:row>40</xdr:row>
      <xdr:rowOff>121920</xdr:rowOff>
    </xdr:from>
    <xdr:to>
      <xdr:col>13</xdr:col>
      <xdr:colOff>72390</xdr:colOff>
      <xdr:row>54</xdr:row>
      <xdr:rowOff>53340</xdr:rowOff>
    </xdr:to>
    <xdr:sp macro="" textlink="">
      <xdr:nvSpPr>
        <xdr:cNvPr id="11" name="Summary Help 2" hidden="1">
          <a:extLst>
            <a:ext uri="{FF2B5EF4-FFF2-40B4-BE49-F238E27FC236}">
              <a16:creationId xmlns:a16="http://schemas.microsoft.com/office/drawing/2014/main" id="{00000000-0008-0000-1600-00000B000000}"/>
            </a:ext>
          </a:extLst>
        </xdr:cNvPr>
        <xdr:cNvSpPr txBox="1"/>
      </xdr:nvSpPr>
      <xdr:spPr>
        <a:xfrm>
          <a:off x="3764280" y="5554980"/>
          <a:ext cx="4743450" cy="2385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waiting list simulation</a:t>
          </a:r>
          <a:r>
            <a:rPr lang="en-GB" sz="1100">
              <a:solidFill>
                <a:schemeClr val="dk1"/>
              </a:solidFill>
              <a:effectLst/>
              <a:latin typeface="+mn-lt"/>
              <a:ea typeface="+mn-ea"/>
              <a:cs typeface="+mn-cs"/>
            </a:rPr>
            <a:t> allows you to account for any unplanned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adjustment rate refers to the likelihood of capacity being affected</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impact refers to the magnitude of the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For example, a capacity adjustment rate of 5% and a capacity impact of 10%, means 5% of the time, there would be a 10% reduction in capacity (eg due to sickness).</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Once you</a:t>
          </a:r>
          <a:r>
            <a:rPr lang="en-GB" sz="1100" baseline="0">
              <a:solidFill>
                <a:schemeClr val="dk1"/>
              </a:solidFill>
              <a:effectLst/>
              <a:latin typeface="+mn-lt"/>
              <a:ea typeface="+mn-ea"/>
              <a:cs typeface="+mn-cs"/>
            </a:rPr>
            <a:t> have entered the capacity adjustment rate and impact, click "Run WL Sim" to run the waiting list simulation.</a:t>
          </a:r>
          <a:endParaRPr lang="en-GB" sz="1100">
            <a:solidFill>
              <a:schemeClr val="dk1"/>
            </a:solidFill>
            <a:effectLst/>
            <a:latin typeface="+mn-lt"/>
            <a:ea typeface="+mn-ea"/>
            <a:cs typeface="+mn-cs"/>
          </a:endParaRP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4</xdr:col>
      <xdr:colOff>0</xdr:colOff>
      <xdr:row>1</xdr:row>
      <xdr:rowOff>0</xdr:rowOff>
    </xdr:from>
    <xdr:to>
      <xdr:col>57</xdr:col>
      <xdr:colOff>148583</xdr:colOff>
      <xdr:row>48</xdr:row>
      <xdr:rowOff>5715</xdr:rowOff>
    </xdr:to>
    <xdr:graphicFrame macro="">
      <xdr:nvGraphicFramePr>
        <xdr:cNvPr id="2" name="Chart 1">
          <a:extLst>
            <a:ext uri="{FF2B5EF4-FFF2-40B4-BE49-F238E27FC236}">
              <a16:creationId xmlns:a16="http://schemas.microsoft.com/office/drawing/2014/main" id="{00000000-0008-0000-1A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914400</xdr:colOff>
      <xdr:row>0</xdr:row>
      <xdr:rowOff>161925</xdr:rowOff>
    </xdr:from>
    <xdr:to>
      <xdr:col>1</xdr:col>
      <xdr:colOff>1177290</xdr:colOff>
      <xdr:row>2</xdr:row>
      <xdr:rowOff>76200</xdr:rowOff>
    </xdr:to>
    <xdr:pic macro="[0]!Sheet26.Planning_help1_click">
      <xdr:nvPicPr>
        <xdr:cNvPr id="5" name="Picture 4">
          <a:extLst>
            <a:ext uri="{FF2B5EF4-FFF2-40B4-BE49-F238E27FC236}">
              <a16:creationId xmlns:a16="http://schemas.microsoft.com/office/drawing/2014/main" id="{00000000-0008-0000-1A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3450" y="161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714375</xdr:colOff>
      <xdr:row>2</xdr:row>
      <xdr:rowOff>57150</xdr:rowOff>
    </xdr:from>
    <xdr:to>
      <xdr:col>27</xdr:col>
      <xdr:colOff>104775</xdr:colOff>
      <xdr:row>11</xdr:row>
      <xdr:rowOff>133350</xdr:rowOff>
    </xdr:to>
    <xdr:sp macro="" textlink="">
      <xdr:nvSpPr>
        <xdr:cNvPr id="3" name="Planning Help 1" hidden="1">
          <a:extLst>
            <a:ext uri="{FF2B5EF4-FFF2-40B4-BE49-F238E27FC236}">
              <a16:creationId xmlns:a16="http://schemas.microsoft.com/office/drawing/2014/main" id="{00000000-0008-0000-1A00-000003000000}"/>
            </a:ext>
          </a:extLst>
        </xdr:cNvPr>
        <xdr:cNvSpPr txBox="1"/>
      </xdr:nvSpPr>
      <xdr:spPr>
        <a:xfrm>
          <a:off x="3048000" y="428625"/>
          <a:ext cx="4305300" cy="1704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help you plan short term adjustments to your capacity. </a:t>
          </a:r>
        </a:p>
        <a:p>
          <a:endParaRPr lang="en-GB" sz="1100" baseline="0"/>
        </a:p>
        <a:p>
          <a:r>
            <a:rPr lang="en-GB" sz="1100" baseline="0"/>
            <a:t>Keeping the available capacity (dark and light green lines) within the bounds of the required capacity (blue shaded areas) should enable you to keep pace with demand, factored for variation.</a:t>
          </a:r>
        </a:p>
        <a:p>
          <a:endParaRPr lang="en-GB" sz="1100" baseline="0"/>
        </a:p>
        <a:p>
          <a:r>
            <a:rPr lang="en-GB" sz="1100" baseline="0"/>
            <a:t>In order to reduce waiting list backlogs, you will need to keep your available capacity consistently above the required capacity range. </a:t>
          </a:r>
        </a:p>
        <a:p>
          <a:endParaRPr lang="en-GB" sz="1100" baseline="0"/>
        </a:p>
        <a:p>
          <a:endParaRPr lang="en-GB" sz="1100" baseline="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GBBULVD\BULHOME19\KKhunpha\Data\Desktop\draft%20model%20development\Demand%20module\Demand%20module%20interface%200.4b%20blan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rg lookup (hide)"/>
      <sheetName val="Control sheet (hide)"/>
      <sheetName val="Input backing sheet (hide)"/>
      <sheetName val="Baseline calcluations (hide)"/>
      <sheetName val="Data input"/>
      <sheetName val="Drivers check"/>
      <sheetName val="Baseline selection"/>
      <sheetName val="Forecasting element"/>
      <sheetName val="Forecasting control (hide)"/>
      <sheetName val="Forecasting STM"/>
      <sheetName val="Forecasting S1M"/>
      <sheetName val="Forecasting S2M"/>
      <sheetName val="Forecasting S3M"/>
      <sheetName val="Forecasting S4M"/>
      <sheetName val="Forecasting S5M"/>
      <sheetName val="Forecasting STA"/>
      <sheetName val="Forecasting S1A"/>
      <sheetName val="Forecasting S2A"/>
      <sheetName val="Forecasting S3A"/>
      <sheetName val="Forecasting S4A"/>
      <sheetName val="Forecasting S5A"/>
      <sheetName val="test1"/>
      <sheetName val="Data for use in models"/>
    </sheetNames>
    <sheetDataSet>
      <sheetData sheetId="0" refreshError="1"/>
      <sheetData sheetId="1">
        <row r="2">
          <cell r="D2">
            <v>52</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5.vml"/><Relationship Id="rId7" Type="http://schemas.openxmlformats.org/officeDocument/2006/relationships/ctrlProp" Target="../ctrlProps/ctrlProp7.xml"/><Relationship Id="rId12" Type="http://schemas.openxmlformats.org/officeDocument/2006/relationships/comments" Target="../comments4.x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11.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8.xml"/><Relationship Id="rId3" Type="http://schemas.openxmlformats.org/officeDocument/2006/relationships/vmlDrawing" Target="../drawings/vmlDrawing7.vml"/><Relationship Id="rId7" Type="http://schemas.openxmlformats.org/officeDocument/2006/relationships/ctrlProp" Target="../ctrlProps/ctrlProp17.xml"/><Relationship Id="rId2" Type="http://schemas.openxmlformats.org/officeDocument/2006/relationships/drawing" Target="../drawings/drawing8.xml"/><Relationship Id="rId1" Type="http://schemas.openxmlformats.org/officeDocument/2006/relationships/printerSettings" Target="../printerSettings/printerSettings12.bin"/><Relationship Id="rId6" Type="http://schemas.openxmlformats.org/officeDocument/2006/relationships/ctrlProp" Target="../ctrlProps/ctrlProp16.xml"/><Relationship Id="rId11" Type="http://schemas.openxmlformats.org/officeDocument/2006/relationships/comments" Target="../comments5.xml"/><Relationship Id="rId5" Type="http://schemas.openxmlformats.org/officeDocument/2006/relationships/ctrlProp" Target="../ctrlProps/ctrlProp1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s>
</file>

<file path=xl/worksheets/_rels/sheet14.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8.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omments" Target="../comments8.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17.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11.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2.v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5.bin"/><Relationship Id="rId6" Type="http://schemas.openxmlformats.org/officeDocument/2006/relationships/comments" Target="../comments11.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6.bin"/><Relationship Id="rId4" Type="http://schemas.openxmlformats.org/officeDocument/2006/relationships/comments" Target="../comments12.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5.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2.xml"/><Relationship Id="rId1" Type="http://schemas.openxmlformats.org/officeDocument/2006/relationships/printerSettings" Target="../printerSettings/printerSettings18.bin"/><Relationship Id="rId4" Type="http://schemas.openxmlformats.org/officeDocument/2006/relationships/comments" Target="../comments1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19.bin"/><Relationship Id="rId5" Type="http://schemas.openxmlformats.org/officeDocument/2006/relationships/comments" Target="../comments15.xml"/><Relationship Id="rId4" Type="http://schemas.openxmlformats.org/officeDocument/2006/relationships/ctrlProp" Target="../ctrlProps/ctrlProp25.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8.vml"/><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omments" Target="../comments17.xml"/></Relationships>
</file>

<file path=xl/worksheets/_rels/sheet28.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0.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E30"/>
  <sheetViews>
    <sheetView showGridLines="0" workbookViewId="0">
      <selection activeCell="E3" sqref="E3"/>
    </sheetView>
  </sheetViews>
  <sheetFormatPr defaultRowHeight="14.25" x14ac:dyDescent="0.2"/>
  <cols>
    <col min="1" max="1" width="9.625" bestFit="1" customWidth="1"/>
    <col min="2" max="2" width="9.875" bestFit="1" customWidth="1"/>
    <col min="3" max="3" width="20.125" customWidth="1"/>
    <col min="4" max="4" width="74.375" customWidth="1"/>
    <col min="5" max="5" width="35.375" customWidth="1"/>
  </cols>
  <sheetData>
    <row r="2" spans="1:5" ht="15" x14ac:dyDescent="0.25">
      <c r="A2" s="291" t="s">
        <v>0</v>
      </c>
      <c r="B2" s="291" t="s">
        <v>1</v>
      </c>
      <c r="C2" s="291" t="s">
        <v>2</v>
      </c>
      <c r="D2" s="291" t="s">
        <v>3</v>
      </c>
      <c r="E2" s="291" t="s">
        <v>11</v>
      </c>
    </row>
    <row r="3" spans="1:5" s="68" customFormat="1" ht="71.25" x14ac:dyDescent="0.2">
      <c r="A3" s="295">
        <v>2.15</v>
      </c>
      <c r="B3" s="296">
        <v>44512</v>
      </c>
      <c r="C3" s="298" t="s">
        <v>1191</v>
      </c>
      <c r="D3" s="298" t="s">
        <v>1192</v>
      </c>
      <c r="E3" s="295"/>
    </row>
    <row r="4" spans="1:5" s="68" customFormat="1" ht="228" x14ac:dyDescent="0.2">
      <c r="A4" s="295">
        <v>2.14</v>
      </c>
      <c r="B4" s="296">
        <v>43920</v>
      </c>
      <c r="C4" s="298" t="s">
        <v>1190</v>
      </c>
      <c r="D4" s="298" t="s">
        <v>1189</v>
      </c>
      <c r="E4" s="295"/>
    </row>
    <row r="5" spans="1:5" s="68" customFormat="1" ht="171.75" x14ac:dyDescent="0.25">
      <c r="A5" s="295">
        <v>2.13</v>
      </c>
      <c r="B5" s="296">
        <v>43903</v>
      </c>
      <c r="C5" s="295" t="s">
        <v>5</v>
      </c>
      <c r="D5" s="298" t="s">
        <v>1188</v>
      </c>
      <c r="E5" s="291"/>
    </row>
    <row r="6" spans="1:5" s="68" customFormat="1" ht="29.25" x14ac:dyDescent="0.25">
      <c r="A6" s="295">
        <v>2.12</v>
      </c>
      <c r="B6" s="296">
        <v>43887</v>
      </c>
      <c r="C6" s="295" t="s">
        <v>278</v>
      </c>
      <c r="D6" s="298" t="s">
        <v>1187</v>
      </c>
      <c r="E6" s="291"/>
    </row>
    <row r="7" spans="1:5" s="68" customFormat="1" ht="57" x14ac:dyDescent="0.2">
      <c r="A7" s="295">
        <v>2.11</v>
      </c>
      <c r="B7" s="296">
        <v>43846</v>
      </c>
      <c r="C7" s="298" t="s">
        <v>1178</v>
      </c>
      <c r="D7" s="298" t="s">
        <v>1186</v>
      </c>
      <c r="E7" s="298" t="s">
        <v>1184</v>
      </c>
    </row>
    <row r="8" spans="1:5" s="68" customFormat="1" ht="43.5" x14ac:dyDescent="0.25">
      <c r="A8" s="338">
        <v>2.1</v>
      </c>
      <c r="B8" s="296">
        <v>43756</v>
      </c>
      <c r="C8" s="295" t="s">
        <v>278</v>
      </c>
      <c r="D8" s="298" t="s">
        <v>1182</v>
      </c>
      <c r="E8" s="291"/>
    </row>
    <row r="9" spans="1:5" s="68" customFormat="1" ht="57.75" x14ac:dyDescent="0.25">
      <c r="A9" s="295">
        <v>2.02</v>
      </c>
      <c r="B9" s="296">
        <v>43718</v>
      </c>
      <c r="C9" s="295" t="s">
        <v>5</v>
      </c>
      <c r="D9" s="298" t="s">
        <v>1181</v>
      </c>
      <c r="E9" s="291"/>
    </row>
    <row r="10" spans="1:5" s="68" customFormat="1" ht="57.75" x14ac:dyDescent="0.25">
      <c r="A10" s="295">
        <v>2.0099999999999998</v>
      </c>
      <c r="B10" s="296">
        <v>43693</v>
      </c>
      <c r="C10" s="295" t="s">
        <v>1117</v>
      </c>
      <c r="D10" s="298" t="s">
        <v>1180</v>
      </c>
      <c r="E10" s="291"/>
    </row>
    <row r="11" spans="1:5" s="68" customFormat="1" ht="100.5" x14ac:dyDescent="0.25">
      <c r="A11" s="335">
        <v>2</v>
      </c>
      <c r="B11" s="323">
        <v>43665</v>
      </c>
      <c r="C11" s="298" t="s">
        <v>1178</v>
      </c>
      <c r="D11" s="298" t="s">
        <v>1179</v>
      </c>
      <c r="E11" s="291"/>
    </row>
    <row r="12" spans="1:5" s="68" customFormat="1" ht="257.25" x14ac:dyDescent="0.25">
      <c r="A12" s="291">
        <v>1.05</v>
      </c>
      <c r="B12" s="323">
        <v>43570</v>
      </c>
      <c r="C12" s="298" t="s">
        <v>1177</v>
      </c>
      <c r="D12" s="298" t="s">
        <v>1171</v>
      </c>
      <c r="E12" s="325" t="s">
        <v>1170</v>
      </c>
    </row>
    <row r="13" spans="1:5" s="68" customFormat="1" ht="85.5" x14ac:dyDescent="0.2">
      <c r="A13" s="295">
        <v>1.04</v>
      </c>
      <c r="B13" s="296">
        <v>43516</v>
      </c>
      <c r="C13" s="295" t="s">
        <v>1117</v>
      </c>
      <c r="D13" s="298" t="s">
        <v>1120</v>
      </c>
      <c r="E13" s="298"/>
    </row>
    <row r="14" spans="1:5" s="68" customFormat="1" ht="128.25" x14ac:dyDescent="0.2">
      <c r="A14" s="295" t="s">
        <v>1116</v>
      </c>
      <c r="B14" s="296">
        <v>43486</v>
      </c>
      <c r="C14" s="295" t="s">
        <v>1117</v>
      </c>
      <c r="D14" s="298" t="s">
        <v>1118</v>
      </c>
      <c r="E14" s="298" t="s">
        <v>1119</v>
      </c>
    </row>
    <row r="15" spans="1:5" s="297" customFormat="1" ht="171" x14ac:dyDescent="0.2">
      <c r="A15" s="295" t="s">
        <v>1116</v>
      </c>
      <c r="B15" s="296">
        <v>43395</v>
      </c>
      <c r="C15" s="295" t="s">
        <v>5</v>
      </c>
      <c r="D15" s="298" t="s">
        <v>1115</v>
      </c>
      <c r="E15" s="298" t="s">
        <v>1114</v>
      </c>
    </row>
    <row r="16" spans="1:5" s="297" customFormat="1" ht="171" x14ac:dyDescent="0.2">
      <c r="A16" s="295">
        <v>1.03</v>
      </c>
      <c r="B16" s="296">
        <v>43319</v>
      </c>
      <c r="C16" s="295" t="s">
        <v>5</v>
      </c>
      <c r="D16" s="298" t="s">
        <v>1113</v>
      </c>
      <c r="E16" s="295"/>
    </row>
    <row r="17" spans="1:5" ht="409.5" x14ac:dyDescent="0.2">
      <c r="A17" s="292">
        <v>1.02</v>
      </c>
      <c r="B17" s="293">
        <v>43292</v>
      </c>
      <c r="C17" s="292" t="s">
        <v>5</v>
      </c>
      <c r="D17" s="294" t="s">
        <v>1112</v>
      </c>
      <c r="E17" s="294" t="s">
        <v>953</v>
      </c>
    </row>
    <row r="18" spans="1:5" ht="42.75" x14ac:dyDescent="0.2">
      <c r="A18" s="292" t="s">
        <v>941</v>
      </c>
      <c r="B18" s="293">
        <v>43291</v>
      </c>
      <c r="C18" s="292" t="s">
        <v>5</v>
      </c>
      <c r="D18" s="294" t="s">
        <v>942</v>
      </c>
      <c r="E18" s="292"/>
    </row>
    <row r="19" spans="1:5" ht="156.75" x14ac:dyDescent="0.2">
      <c r="A19" s="292" t="s">
        <v>883</v>
      </c>
      <c r="B19" s="293">
        <v>43255</v>
      </c>
      <c r="C19" s="292" t="s">
        <v>5</v>
      </c>
      <c r="D19" s="294" t="s">
        <v>884</v>
      </c>
      <c r="E19" s="292"/>
    </row>
    <row r="20" spans="1:5" ht="42.75" x14ac:dyDescent="0.2">
      <c r="A20" s="292" t="s">
        <v>876</v>
      </c>
      <c r="B20" s="293">
        <v>43247</v>
      </c>
      <c r="C20" s="292" t="s">
        <v>5</v>
      </c>
      <c r="D20" s="294" t="s">
        <v>877</v>
      </c>
      <c r="E20" s="292"/>
    </row>
    <row r="21" spans="1:5" ht="142.5" x14ac:dyDescent="0.2">
      <c r="A21" s="292">
        <v>0.4</v>
      </c>
      <c r="B21" s="293">
        <v>43229</v>
      </c>
      <c r="C21" s="292" t="s">
        <v>5</v>
      </c>
      <c r="D21" s="294" t="s">
        <v>494</v>
      </c>
      <c r="E21" s="294" t="s">
        <v>495</v>
      </c>
    </row>
    <row r="22" spans="1:5" ht="114" x14ac:dyDescent="0.2">
      <c r="A22" s="292" t="s">
        <v>326</v>
      </c>
      <c r="B22" s="293">
        <v>43206</v>
      </c>
      <c r="C22" s="292" t="s">
        <v>5</v>
      </c>
      <c r="D22" s="294" t="s">
        <v>327</v>
      </c>
      <c r="E22" s="294" t="s">
        <v>342</v>
      </c>
    </row>
    <row r="23" spans="1:5" ht="57" x14ac:dyDescent="0.2">
      <c r="A23" s="292" t="s">
        <v>302</v>
      </c>
      <c r="B23" s="293">
        <v>43185</v>
      </c>
      <c r="C23" s="292" t="s">
        <v>5</v>
      </c>
      <c r="D23" s="292"/>
      <c r="E23" s="294" t="s">
        <v>303</v>
      </c>
    </row>
    <row r="24" spans="1:5" ht="71.25" x14ac:dyDescent="0.2">
      <c r="A24" s="292" t="s">
        <v>300</v>
      </c>
      <c r="B24" s="293">
        <v>43178</v>
      </c>
      <c r="C24" s="292" t="s">
        <v>278</v>
      </c>
      <c r="D24" s="294" t="s">
        <v>301</v>
      </c>
      <c r="E24" s="292"/>
    </row>
    <row r="25" spans="1:5" ht="128.25" x14ac:dyDescent="0.2">
      <c r="A25" s="292" t="s">
        <v>290</v>
      </c>
      <c r="B25" s="293">
        <v>43172</v>
      </c>
      <c r="C25" s="292" t="s">
        <v>5</v>
      </c>
      <c r="D25" s="294" t="s">
        <v>291</v>
      </c>
      <c r="E25" s="294" t="s">
        <v>293</v>
      </c>
    </row>
    <row r="26" spans="1:5" ht="57" x14ac:dyDescent="0.2">
      <c r="A26" s="292" t="s">
        <v>277</v>
      </c>
      <c r="B26" s="293">
        <v>43167</v>
      </c>
      <c r="C26" s="292" t="s">
        <v>278</v>
      </c>
      <c r="D26" s="292" t="s">
        <v>279</v>
      </c>
      <c r="E26" s="294" t="s">
        <v>284</v>
      </c>
    </row>
    <row r="27" spans="1:5" x14ac:dyDescent="0.2">
      <c r="A27" s="292"/>
      <c r="B27" s="293">
        <v>43147</v>
      </c>
      <c r="C27" s="292" t="s">
        <v>5</v>
      </c>
      <c r="D27" s="292" t="s">
        <v>129</v>
      </c>
      <c r="E27" s="292"/>
    </row>
    <row r="28" spans="1:5" ht="99.75" x14ac:dyDescent="0.2">
      <c r="A28" s="292" t="s">
        <v>9</v>
      </c>
      <c r="B28" s="293">
        <v>43130</v>
      </c>
      <c r="C28" s="292" t="s">
        <v>5</v>
      </c>
      <c r="D28" s="294" t="s">
        <v>10</v>
      </c>
      <c r="E28" s="294" t="s">
        <v>12</v>
      </c>
    </row>
    <row r="29" spans="1:5" x14ac:dyDescent="0.2">
      <c r="A29" s="292" t="s">
        <v>7</v>
      </c>
      <c r="B29" s="293">
        <v>43068</v>
      </c>
      <c r="C29" s="292" t="s">
        <v>5</v>
      </c>
      <c r="D29" s="292" t="s">
        <v>8</v>
      </c>
      <c r="E29" s="292"/>
    </row>
    <row r="30" spans="1:5" x14ac:dyDescent="0.2">
      <c r="A30" s="292" t="s">
        <v>4</v>
      </c>
      <c r="B30" s="293">
        <v>42852</v>
      </c>
      <c r="C30" s="292" t="s">
        <v>5</v>
      </c>
      <c r="D30" s="292" t="s">
        <v>6</v>
      </c>
      <c r="E30" s="292"/>
    </row>
  </sheetData>
  <sortState xmlns:xlrd2="http://schemas.microsoft.com/office/spreadsheetml/2017/richdata2" ref="A13:E26">
    <sortCondition descending="1" ref="B13:B26"/>
  </sortSt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R245"/>
  <sheetViews>
    <sheetView showGridLines="0" topLeftCell="B1" workbookViewId="0">
      <selection activeCell="K8" sqref="K8"/>
    </sheetView>
  </sheetViews>
  <sheetFormatPr defaultRowHeight="14.25" x14ac:dyDescent="0.2"/>
  <cols>
    <col min="1" max="1" width="5.625" style="68" hidden="1" customWidth="1"/>
    <col min="2" max="2" width="27.5" customWidth="1"/>
    <col min="3" max="3" width="7.625" customWidth="1"/>
    <col min="4" max="4" width="23.25" customWidth="1"/>
  </cols>
  <sheetData>
    <row r="1" spans="1:18" x14ac:dyDescent="0.2">
      <c r="B1" t="s">
        <v>526</v>
      </c>
    </row>
    <row r="3" spans="1:18" x14ac:dyDescent="0.2">
      <c r="B3" t="s">
        <v>527</v>
      </c>
    </row>
    <row r="4" spans="1:18" x14ac:dyDescent="0.2">
      <c r="B4" t="s">
        <v>528</v>
      </c>
    </row>
    <row r="7" spans="1:18" ht="15" x14ac:dyDescent="0.25">
      <c r="B7" s="2" t="s">
        <v>956</v>
      </c>
      <c r="K7" s="2" t="s">
        <v>1111</v>
      </c>
    </row>
    <row r="9" spans="1:18" ht="15" x14ac:dyDescent="0.25">
      <c r="A9" s="68">
        <f>COUNTA(B10:B1048576)</f>
        <v>236</v>
      </c>
      <c r="B9" s="2" t="s">
        <v>529</v>
      </c>
      <c r="C9" s="2"/>
      <c r="D9" s="2" t="s">
        <v>530</v>
      </c>
      <c r="K9" s="2" t="s">
        <v>1109</v>
      </c>
      <c r="R9" s="2" t="s">
        <v>1110</v>
      </c>
    </row>
    <row r="10" spans="1:18" x14ac:dyDescent="0.2">
      <c r="A10" s="68">
        <f>COUNTA(D10:D1048576)</f>
        <v>79</v>
      </c>
      <c r="B10" s="68" t="s">
        <v>560</v>
      </c>
      <c r="D10" s="68" t="s">
        <v>830</v>
      </c>
      <c r="K10" t="s">
        <v>957</v>
      </c>
      <c r="R10" t="s">
        <v>830</v>
      </c>
    </row>
    <row r="11" spans="1:18" x14ac:dyDescent="0.2">
      <c r="B11" s="68" t="s">
        <v>561</v>
      </c>
      <c r="D11" s="68" t="s">
        <v>856</v>
      </c>
      <c r="K11" t="s">
        <v>958</v>
      </c>
      <c r="R11" t="s">
        <v>856</v>
      </c>
    </row>
    <row r="12" spans="1:18" x14ac:dyDescent="0.2">
      <c r="B12" s="68" t="s">
        <v>562</v>
      </c>
      <c r="D12" s="68" t="s">
        <v>814</v>
      </c>
      <c r="K12" t="s">
        <v>959</v>
      </c>
      <c r="R12" t="s">
        <v>814</v>
      </c>
    </row>
    <row r="13" spans="1:18" x14ac:dyDescent="0.2">
      <c r="B13" s="68" t="s">
        <v>563</v>
      </c>
      <c r="D13" s="68" t="s">
        <v>822</v>
      </c>
      <c r="K13" t="s">
        <v>960</v>
      </c>
      <c r="R13" t="s">
        <v>822</v>
      </c>
    </row>
    <row r="14" spans="1:18" x14ac:dyDescent="0.2">
      <c r="B14" s="68" t="s">
        <v>564</v>
      </c>
      <c r="D14" s="68" t="s">
        <v>864</v>
      </c>
      <c r="K14" t="s">
        <v>961</v>
      </c>
      <c r="R14" t="s">
        <v>864</v>
      </c>
    </row>
    <row r="15" spans="1:18" x14ac:dyDescent="0.2">
      <c r="B15" s="68" t="s">
        <v>565</v>
      </c>
      <c r="D15" s="68" t="s">
        <v>827</v>
      </c>
      <c r="K15" t="s">
        <v>962</v>
      </c>
      <c r="R15" t="s">
        <v>827</v>
      </c>
    </row>
    <row r="16" spans="1:18" x14ac:dyDescent="0.2">
      <c r="B16" s="68" t="s">
        <v>566</v>
      </c>
      <c r="D16" s="68" t="s">
        <v>812</v>
      </c>
      <c r="K16" t="s">
        <v>963</v>
      </c>
      <c r="R16" t="s">
        <v>812</v>
      </c>
    </row>
    <row r="17" spans="2:18" x14ac:dyDescent="0.2">
      <c r="B17" s="68" t="s">
        <v>567</v>
      </c>
      <c r="D17" s="68" t="s">
        <v>865</v>
      </c>
      <c r="K17" t="s">
        <v>964</v>
      </c>
      <c r="R17" t="s">
        <v>865</v>
      </c>
    </row>
    <row r="18" spans="2:18" x14ac:dyDescent="0.2">
      <c r="B18" s="68" t="s">
        <v>568</v>
      </c>
      <c r="D18" s="68" t="s">
        <v>857</v>
      </c>
      <c r="K18" t="s">
        <v>965</v>
      </c>
      <c r="R18" t="s">
        <v>857</v>
      </c>
    </row>
    <row r="19" spans="2:18" x14ac:dyDescent="0.2">
      <c r="B19" s="68" t="s">
        <v>569</v>
      </c>
      <c r="D19" s="68" t="s">
        <v>823</v>
      </c>
      <c r="K19" t="s">
        <v>966</v>
      </c>
      <c r="R19" t="s">
        <v>823</v>
      </c>
    </row>
    <row r="20" spans="2:18" x14ac:dyDescent="0.2">
      <c r="B20" s="68" t="s">
        <v>570</v>
      </c>
      <c r="D20" s="68" t="s">
        <v>819</v>
      </c>
      <c r="K20" t="s">
        <v>967</v>
      </c>
      <c r="R20" t="s">
        <v>819</v>
      </c>
    </row>
    <row r="21" spans="2:18" x14ac:dyDescent="0.2">
      <c r="B21" s="68" t="s">
        <v>571</v>
      </c>
      <c r="D21" s="68" t="s">
        <v>824</v>
      </c>
      <c r="K21" t="s">
        <v>968</v>
      </c>
      <c r="R21" t="s">
        <v>824</v>
      </c>
    </row>
    <row r="22" spans="2:18" x14ac:dyDescent="0.2">
      <c r="B22" s="68" t="s">
        <v>572</v>
      </c>
      <c r="D22" s="68" t="s">
        <v>840</v>
      </c>
      <c r="K22" t="s">
        <v>969</v>
      </c>
      <c r="R22" t="s">
        <v>840</v>
      </c>
    </row>
    <row r="23" spans="2:18" x14ac:dyDescent="0.2">
      <c r="B23" s="68" t="s">
        <v>573</v>
      </c>
      <c r="D23" s="68" t="s">
        <v>861</v>
      </c>
      <c r="K23" t="s">
        <v>970</v>
      </c>
      <c r="R23" t="s">
        <v>861</v>
      </c>
    </row>
    <row r="24" spans="2:18" x14ac:dyDescent="0.2">
      <c r="B24" s="68" t="s">
        <v>574</v>
      </c>
      <c r="D24" s="68" t="s">
        <v>821</v>
      </c>
      <c r="K24" t="s">
        <v>971</v>
      </c>
      <c r="R24" t="s">
        <v>821</v>
      </c>
    </row>
    <row r="25" spans="2:18" x14ac:dyDescent="0.2">
      <c r="B25" s="68" t="s">
        <v>575</v>
      </c>
      <c r="D25" s="68" t="s">
        <v>820</v>
      </c>
      <c r="K25" t="s">
        <v>972</v>
      </c>
      <c r="R25" t="s">
        <v>820</v>
      </c>
    </row>
    <row r="26" spans="2:18" x14ac:dyDescent="0.2">
      <c r="B26" s="68" t="s">
        <v>576</v>
      </c>
      <c r="D26" s="68" t="s">
        <v>874</v>
      </c>
      <c r="K26" t="s">
        <v>973</v>
      </c>
      <c r="R26" t="s">
        <v>874</v>
      </c>
    </row>
    <row r="27" spans="2:18" x14ac:dyDescent="0.2">
      <c r="B27" s="68" t="s">
        <v>577</v>
      </c>
      <c r="D27" s="68" t="s">
        <v>872</v>
      </c>
      <c r="K27" t="s">
        <v>974</v>
      </c>
      <c r="R27" t="s">
        <v>872</v>
      </c>
    </row>
    <row r="28" spans="2:18" x14ac:dyDescent="0.2">
      <c r="B28" s="68" t="s">
        <v>578</v>
      </c>
      <c r="D28" s="68" t="s">
        <v>851</v>
      </c>
      <c r="K28" t="s">
        <v>975</v>
      </c>
      <c r="R28" t="s">
        <v>851</v>
      </c>
    </row>
    <row r="29" spans="2:18" x14ac:dyDescent="0.2">
      <c r="B29" s="68" t="s">
        <v>579</v>
      </c>
      <c r="D29" s="68" t="s">
        <v>815</v>
      </c>
      <c r="K29" t="s">
        <v>976</v>
      </c>
      <c r="R29" t="s">
        <v>815</v>
      </c>
    </row>
    <row r="30" spans="2:18" x14ac:dyDescent="0.2">
      <c r="B30" s="68" t="s">
        <v>580</v>
      </c>
      <c r="D30" s="68" t="s">
        <v>845</v>
      </c>
      <c r="K30" t="s">
        <v>977</v>
      </c>
      <c r="R30" t="s">
        <v>845</v>
      </c>
    </row>
    <row r="31" spans="2:18" x14ac:dyDescent="0.2">
      <c r="B31" s="68" t="s">
        <v>581</v>
      </c>
      <c r="D31" s="68" t="s">
        <v>831</v>
      </c>
      <c r="K31" t="s">
        <v>978</v>
      </c>
      <c r="R31" t="s">
        <v>831</v>
      </c>
    </row>
    <row r="32" spans="2:18" x14ac:dyDescent="0.2">
      <c r="B32" s="68" t="s">
        <v>582</v>
      </c>
      <c r="D32" s="68" t="s">
        <v>818</v>
      </c>
      <c r="K32" t="s">
        <v>979</v>
      </c>
      <c r="R32" t="s">
        <v>818</v>
      </c>
    </row>
    <row r="33" spans="2:18" x14ac:dyDescent="0.2">
      <c r="B33" s="68" t="s">
        <v>583</v>
      </c>
      <c r="D33" s="68" t="s">
        <v>806</v>
      </c>
      <c r="K33" t="s">
        <v>980</v>
      </c>
      <c r="R33" t="s">
        <v>806</v>
      </c>
    </row>
    <row r="34" spans="2:18" x14ac:dyDescent="0.2">
      <c r="B34" s="68" t="s">
        <v>584</v>
      </c>
      <c r="D34" s="68" t="s">
        <v>799</v>
      </c>
      <c r="K34" t="s">
        <v>981</v>
      </c>
      <c r="R34" t="s">
        <v>799</v>
      </c>
    </row>
    <row r="35" spans="2:18" x14ac:dyDescent="0.2">
      <c r="B35" s="68" t="s">
        <v>585</v>
      </c>
      <c r="D35" s="68" t="s">
        <v>858</v>
      </c>
      <c r="K35" t="s">
        <v>982</v>
      </c>
      <c r="R35" t="s">
        <v>858</v>
      </c>
    </row>
    <row r="36" spans="2:18" x14ac:dyDescent="0.2">
      <c r="B36" s="68" t="s">
        <v>586</v>
      </c>
      <c r="D36" s="68" t="s">
        <v>817</v>
      </c>
      <c r="K36" t="s">
        <v>983</v>
      </c>
      <c r="R36" t="s">
        <v>817</v>
      </c>
    </row>
    <row r="37" spans="2:18" x14ac:dyDescent="0.2">
      <c r="B37" s="68" t="s">
        <v>587</v>
      </c>
      <c r="D37" s="68" t="s">
        <v>854</v>
      </c>
      <c r="K37" t="s">
        <v>984</v>
      </c>
      <c r="R37" t="s">
        <v>854</v>
      </c>
    </row>
    <row r="38" spans="2:18" x14ac:dyDescent="0.2">
      <c r="B38" s="68" t="s">
        <v>588</v>
      </c>
      <c r="D38" s="68" t="s">
        <v>853</v>
      </c>
      <c r="K38" t="s">
        <v>985</v>
      </c>
      <c r="R38" t="s">
        <v>853</v>
      </c>
    </row>
    <row r="39" spans="2:18" x14ac:dyDescent="0.2">
      <c r="B39" s="68" t="s">
        <v>589</v>
      </c>
      <c r="D39" s="68" t="s">
        <v>816</v>
      </c>
      <c r="K39" t="s">
        <v>986</v>
      </c>
      <c r="R39" t="s">
        <v>816</v>
      </c>
    </row>
    <row r="40" spans="2:18" x14ac:dyDescent="0.2">
      <c r="B40" s="68" t="s">
        <v>590</v>
      </c>
      <c r="D40" t="s">
        <v>863</v>
      </c>
      <c r="K40" t="s">
        <v>987</v>
      </c>
      <c r="R40" t="s">
        <v>863</v>
      </c>
    </row>
    <row r="41" spans="2:18" x14ac:dyDescent="0.2">
      <c r="B41" s="68" t="s">
        <v>591</v>
      </c>
      <c r="D41" t="s">
        <v>796</v>
      </c>
      <c r="K41" t="s">
        <v>988</v>
      </c>
      <c r="R41" t="s">
        <v>796</v>
      </c>
    </row>
    <row r="42" spans="2:18" x14ac:dyDescent="0.2">
      <c r="B42" s="68" t="s">
        <v>592</v>
      </c>
      <c r="D42" t="s">
        <v>835</v>
      </c>
      <c r="K42" t="s">
        <v>989</v>
      </c>
      <c r="R42" t="s">
        <v>835</v>
      </c>
    </row>
    <row r="43" spans="2:18" x14ac:dyDescent="0.2">
      <c r="B43" s="68" t="s">
        <v>593</v>
      </c>
      <c r="D43" t="s">
        <v>844</v>
      </c>
      <c r="K43" t="s">
        <v>990</v>
      </c>
      <c r="R43" t="s">
        <v>844</v>
      </c>
    </row>
    <row r="44" spans="2:18" x14ac:dyDescent="0.2">
      <c r="B44" s="68" t="s">
        <v>594</v>
      </c>
      <c r="D44" t="s">
        <v>850</v>
      </c>
      <c r="K44" t="s">
        <v>991</v>
      </c>
      <c r="R44" t="s">
        <v>850</v>
      </c>
    </row>
    <row r="45" spans="2:18" x14ac:dyDescent="0.2">
      <c r="B45" s="68" t="s">
        <v>595</v>
      </c>
      <c r="D45" t="s">
        <v>866</v>
      </c>
      <c r="K45" t="s">
        <v>992</v>
      </c>
      <c r="R45" t="s">
        <v>866</v>
      </c>
    </row>
    <row r="46" spans="2:18" x14ac:dyDescent="0.2">
      <c r="B46" s="68" t="s">
        <v>596</v>
      </c>
      <c r="D46" t="s">
        <v>867</v>
      </c>
      <c r="K46" t="s">
        <v>993</v>
      </c>
      <c r="R46" t="s">
        <v>867</v>
      </c>
    </row>
    <row r="47" spans="2:18" x14ac:dyDescent="0.2">
      <c r="B47" s="68" t="s">
        <v>597</v>
      </c>
      <c r="D47" t="s">
        <v>868</v>
      </c>
      <c r="K47" t="s">
        <v>994</v>
      </c>
      <c r="R47" t="s">
        <v>868</v>
      </c>
    </row>
    <row r="48" spans="2:18" x14ac:dyDescent="0.2">
      <c r="B48" s="68" t="s">
        <v>598</v>
      </c>
      <c r="D48" t="s">
        <v>833</v>
      </c>
      <c r="K48" t="s">
        <v>995</v>
      </c>
      <c r="R48" t="s">
        <v>833</v>
      </c>
    </row>
    <row r="49" spans="2:18" x14ac:dyDescent="0.2">
      <c r="B49" s="68" t="s">
        <v>599</v>
      </c>
      <c r="D49" t="s">
        <v>855</v>
      </c>
      <c r="K49" t="s">
        <v>996</v>
      </c>
      <c r="R49" t="s">
        <v>855</v>
      </c>
    </row>
    <row r="50" spans="2:18" x14ac:dyDescent="0.2">
      <c r="B50" s="68" t="s">
        <v>600</v>
      </c>
      <c r="D50" t="s">
        <v>870</v>
      </c>
      <c r="K50" t="s">
        <v>997</v>
      </c>
      <c r="R50" t="s">
        <v>870</v>
      </c>
    </row>
    <row r="51" spans="2:18" x14ac:dyDescent="0.2">
      <c r="B51" s="68" t="s">
        <v>601</v>
      </c>
      <c r="D51" t="s">
        <v>869</v>
      </c>
      <c r="K51" t="s">
        <v>998</v>
      </c>
      <c r="R51" t="s">
        <v>869</v>
      </c>
    </row>
    <row r="52" spans="2:18" x14ac:dyDescent="0.2">
      <c r="B52" s="68" t="s">
        <v>602</v>
      </c>
      <c r="D52" t="s">
        <v>837</v>
      </c>
      <c r="K52" t="s">
        <v>999</v>
      </c>
      <c r="R52" t="s">
        <v>837</v>
      </c>
    </row>
    <row r="53" spans="2:18" x14ac:dyDescent="0.2">
      <c r="B53" s="68" t="s">
        <v>603</v>
      </c>
      <c r="D53" t="s">
        <v>847</v>
      </c>
      <c r="K53" t="s">
        <v>1000</v>
      </c>
      <c r="R53" t="s">
        <v>847</v>
      </c>
    </row>
    <row r="54" spans="2:18" x14ac:dyDescent="0.2">
      <c r="B54" s="68" t="s">
        <v>604</v>
      </c>
      <c r="D54" t="s">
        <v>871</v>
      </c>
      <c r="K54" t="s">
        <v>1001</v>
      </c>
      <c r="R54" t="s">
        <v>871</v>
      </c>
    </row>
    <row r="55" spans="2:18" x14ac:dyDescent="0.2">
      <c r="B55" s="68" t="s">
        <v>605</v>
      </c>
      <c r="D55" t="s">
        <v>852</v>
      </c>
      <c r="K55" t="s">
        <v>1002</v>
      </c>
      <c r="R55" t="s">
        <v>852</v>
      </c>
    </row>
    <row r="56" spans="2:18" x14ac:dyDescent="0.2">
      <c r="B56" s="68" t="s">
        <v>606</v>
      </c>
      <c r="D56" t="s">
        <v>836</v>
      </c>
      <c r="K56" t="s">
        <v>1003</v>
      </c>
      <c r="R56" t="s">
        <v>836</v>
      </c>
    </row>
    <row r="57" spans="2:18" x14ac:dyDescent="0.2">
      <c r="B57" s="68" t="s">
        <v>607</v>
      </c>
      <c r="D57" t="s">
        <v>839</v>
      </c>
      <c r="K57" t="s">
        <v>1004</v>
      </c>
      <c r="R57" t="s">
        <v>839</v>
      </c>
    </row>
    <row r="58" spans="2:18" x14ac:dyDescent="0.2">
      <c r="B58" s="68" t="s">
        <v>608</v>
      </c>
      <c r="D58" t="s">
        <v>810</v>
      </c>
      <c r="K58" t="s">
        <v>1005</v>
      </c>
      <c r="R58" t="s">
        <v>810</v>
      </c>
    </row>
    <row r="59" spans="2:18" x14ac:dyDescent="0.2">
      <c r="B59" s="68" t="s">
        <v>609</v>
      </c>
      <c r="D59" t="s">
        <v>838</v>
      </c>
      <c r="K59" t="s">
        <v>1006</v>
      </c>
      <c r="R59" t="s">
        <v>838</v>
      </c>
    </row>
    <row r="60" spans="2:18" x14ac:dyDescent="0.2">
      <c r="B60" s="68" t="s">
        <v>610</v>
      </c>
      <c r="D60" t="s">
        <v>849</v>
      </c>
      <c r="K60" t="s">
        <v>1007</v>
      </c>
      <c r="R60" t="s">
        <v>849</v>
      </c>
    </row>
    <row r="61" spans="2:18" x14ac:dyDescent="0.2">
      <c r="B61" s="68" t="s">
        <v>611</v>
      </c>
      <c r="D61" t="s">
        <v>848</v>
      </c>
      <c r="K61" t="s">
        <v>1008</v>
      </c>
      <c r="R61" t="s">
        <v>848</v>
      </c>
    </row>
    <row r="62" spans="2:18" x14ac:dyDescent="0.2">
      <c r="B62" s="68" t="s">
        <v>612</v>
      </c>
      <c r="D62" t="s">
        <v>873</v>
      </c>
      <c r="K62" t="s">
        <v>1009</v>
      </c>
      <c r="R62" t="s">
        <v>873</v>
      </c>
    </row>
    <row r="63" spans="2:18" x14ac:dyDescent="0.2">
      <c r="B63" s="68" t="s">
        <v>613</v>
      </c>
      <c r="D63" t="s">
        <v>860</v>
      </c>
      <c r="K63" t="s">
        <v>1010</v>
      </c>
      <c r="R63" t="s">
        <v>860</v>
      </c>
    </row>
    <row r="64" spans="2:18" x14ac:dyDescent="0.2">
      <c r="B64" s="68" t="s">
        <v>614</v>
      </c>
      <c r="D64" t="s">
        <v>800</v>
      </c>
      <c r="K64" t="s">
        <v>1011</v>
      </c>
      <c r="R64" t="s">
        <v>800</v>
      </c>
    </row>
    <row r="65" spans="2:18" x14ac:dyDescent="0.2">
      <c r="B65" s="68" t="s">
        <v>615</v>
      </c>
      <c r="D65" t="s">
        <v>805</v>
      </c>
      <c r="K65" t="s">
        <v>1012</v>
      </c>
      <c r="R65" t="s">
        <v>805</v>
      </c>
    </row>
    <row r="66" spans="2:18" x14ac:dyDescent="0.2">
      <c r="B66" s="68" t="s">
        <v>616</v>
      </c>
      <c r="D66" t="s">
        <v>801</v>
      </c>
      <c r="K66" t="s">
        <v>1013</v>
      </c>
      <c r="R66" t="s">
        <v>801</v>
      </c>
    </row>
    <row r="67" spans="2:18" x14ac:dyDescent="0.2">
      <c r="B67" s="68" t="s">
        <v>617</v>
      </c>
      <c r="D67" t="s">
        <v>804</v>
      </c>
      <c r="K67" t="s">
        <v>1014</v>
      </c>
      <c r="R67" t="s">
        <v>804</v>
      </c>
    </row>
    <row r="68" spans="2:18" x14ac:dyDescent="0.2">
      <c r="B68" s="68" t="s">
        <v>618</v>
      </c>
      <c r="D68" t="s">
        <v>828</v>
      </c>
      <c r="K68" t="s">
        <v>1015</v>
      </c>
      <c r="R68" t="s">
        <v>828</v>
      </c>
    </row>
    <row r="69" spans="2:18" x14ac:dyDescent="0.2">
      <c r="B69" s="68" t="s">
        <v>619</v>
      </c>
      <c r="D69" t="s">
        <v>803</v>
      </c>
      <c r="K69" t="s">
        <v>1016</v>
      </c>
      <c r="R69" t="s">
        <v>803</v>
      </c>
    </row>
    <row r="70" spans="2:18" x14ac:dyDescent="0.2">
      <c r="B70" s="68" t="s">
        <v>620</v>
      </c>
      <c r="D70" t="s">
        <v>843</v>
      </c>
      <c r="K70" t="s">
        <v>1017</v>
      </c>
      <c r="R70" t="s">
        <v>843</v>
      </c>
    </row>
    <row r="71" spans="2:18" x14ac:dyDescent="0.2">
      <c r="B71" s="68" t="s">
        <v>621</v>
      </c>
      <c r="D71" t="s">
        <v>813</v>
      </c>
      <c r="K71" t="s">
        <v>1018</v>
      </c>
      <c r="R71" t="s">
        <v>813</v>
      </c>
    </row>
    <row r="72" spans="2:18" x14ac:dyDescent="0.2">
      <c r="B72" s="68" t="s">
        <v>622</v>
      </c>
      <c r="D72" t="s">
        <v>842</v>
      </c>
      <c r="K72" t="s">
        <v>1019</v>
      </c>
      <c r="R72" t="s">
        <v>842</v>
      </c>
    </row>
    <row r="73" spans="2:18" x14ac:dyDescent="0.2">
      <c r="B73" s="68" t="s">
        <v>623</v>
      </c>
      <c r="D73" t="s">
        <v>826</v>
      </c>
      <c r="K73" t="s">
        <v>1020</v>
      </c>
      <c r="R73" t="s">
        <v>826</v>
      </c>
    </row>
    <row r="74" spans="2:18" x14ac:dyDescent="0.2">
      <c r="B74" s="68" t="s">
        <v>624</v>
      </c>
      <c r="D74" t="s">
        <v>807</v>
      </c>
      <c r="K74" t="s">
        <v>1021</v>
      </c>
      <c r="R74" t="s">
        <v>807</v>
      </c>
    </row>
    <row r="75" spans="2:18" x14ac:dyDescent="0.2">
      <c r="B75" s="68" t="s">
        <v>625</v>
      </c>
      <c r="D75" t="s">
        <v>811</v>
      </c>
      <c r="K75" t="s">
        <v>1022</v>
      </c>
      <c r="R75" t="s">
        <v>811</v>
      </c>
    </row>
    <row r="76" spans="2:18" x14ac:dyDescent="0.2">
      <c r="B76" s="68" t="s">
        <v>626</v>
      </c>
      <c r="D76" t="s">
        <v>808</v>
      </c>
      <c r="K76" t="s">
        <v>1023</v>
      </c>
      <c r="R76" t="s">
        <v>808</v>
      </c>
    </row>
    <row r="77" spans="2:18" x14ac:dyDescent="0.2">
      <c r="B77" s="68" t="s">
        <v>627</v>
      </c>
      <c r="D77" t="s">
        <v>859</v>
      </c>
      <c r="K77" t="s">
        <v>1024</v>
      </c>
      <c r="R77" t="s">
        <v>859</v>
      </c>
    </row>
    <row r="78" spans="2:18" x14ac:dyDescent="0.2">
      <c r="B78" s="68" t="s">
        <v>628</v>
      </c>
      <c r="D78" t="s">
        <v>862</v>
      </c>
      <c r="K78" t="s">
        <v>1025</v>
      </c>
      <c r="R78" t="s">
        <v>862</v>
      </c>
    </row>
    <row r="79" spans="2:18" x14ac:dyDescent="0.2">
      <c r="B79" s="68" t="s">
        <v>629</v>
      </c>
      <c r="D79" t="s">
        <v>825</v>
      </c>
      <c r="K79" t="s">
        <v>1026</v>
      </c>
      <c r="R79" t="s">
        <v>825</v>
      </c>
    </row>
    <row r="80" spans="2:18" x14ac:dyDescent="0.2">
      <c r="B80" s="68" t="s">
        <v>630</v>
      </c>
      <c r="D80" t="s">
        <v>832</v>
      </c>
      <c r="K80" t="s">
        <v>1027</v>
      </c>
      <c r="R80" t="s">
        <v>832</v>
      </c>
    </row>
    <row r="81" spans="2:18" x14ac:dyDescent="0.2">
      <c r="B81" s="68" t="s">
        <v>631</v>
      </c>
      <c r="D81" t="s">
        <v>802</v>
      </c>
      <c r="K81" t="s">
        <v>1028</v>
      </c>
      <c r="R81" t="s">
        <v>802</v>
      </c>
    </row>
    <row r="82" spans="2:18" x14ac:dyDescent="0.2">
      <c r="B82" s="68" t="s">
        <v>632</v>
      </c>
      <c r="D82" t="s">
        <v>841</v>
      </c>
      <c r="K82" t="s">
        <v>1029</v>
      </c>
      <c r="R82" t="s">
        <v>841</v>
      </c>
    </row>
    <row r="83" spans="2:18" x14ac:dyDescent="0.2">
      <c r="B83" s="68" t="s">
        <v>633</v>
      </c>
      <c r="D83" t="s">
        <v>846</v>
      </c>
      <c r="K83" t="s">
        <v>1030</v>
      </c>
      <c r="R83" t="s">
        <v>846</v>
      </c>
    </row>
    <row r="84" spans="2:18" x14ac:dyDescent="0.2">
      <c r="B84" s="68" t="s">
        <v>634</v>
      </c>
      <c r="D84" t="s">
        <v>829</v>
      </c>
      <c r="K84" t="s">
        <v>1031</v>
      </c>
      <c r="R84" t="s">
        <v>829</v>
      </c>
    </row>
    <row r="85" spans="2:18" x14ac:dyDescent="0.2">
      <c r="B85" s="68" t="s">
        <v>635</v>
      </c>
      <c r="D85" t="s">
        <v>809</v>
      </c>
      <c r="K85" t="s">
        <v>1032</v>
      </c>
      <c r="R85" t="s">
        <v>809</v>
      </c>
    </row>
    <row r="86" spans="2:18" x14ac:dyDescent="0.2">
      <c r="B86" s="68" t="s">
        <v>636</v>
      </c>
      <c r="D86" t="s">
        <v>798</v>
      </c>
      <c r="K86" t="s">
        <v>1033</v>
      </c>
      <c r="R86" t="s">
        <v>798</v>
      </c>
    </row>
    <row r="87" spans="2:18" x14ac:dyDescent="0.2">
      <c r="B87" s="68" t="s">
        <v>637</v>
      </c>
      <c r="D87" t="s">
        <v>834</v>
      </c>
      <c r="K87" t="s">
        <v>1034</v>
      </c>
      <c r="R87" t="s">
        <v>834</v>
      </c>
    </row>
    <row r="88" spans="2:18" x14ac:dyDescent="0.2">
      <c r="B88" s="68" t="s">
        <v>638</v>
      </c>
      <c r="D88" t="s">
        <v>797</v>
      </c>
      <c r="K88" t="s">
        <v>1035</v>
      </c>
      <c r="R88" t="s">
        <v>797</v>
      </c>
    </row>
    <row r="89" spans="2:18" x14ac:dyDescent="0.2">
      <c r="B89" s="68" t="s">
        <v>639</v>
      </c>
      <c r="K89" t="s">
        <v>1036</v>
      </c>
    </row>
    <row r="90" spans="2:18" x14ac:dyDescent="0.2">
      <c r="B90" s="68" t="s">
        <v>640</v>
      </c>
      <c r="K90" t="s">
        <v>1037</v>
      </c>
    </row>
    <row r="91" spans="2:18" x14ac:dyDescent="0.2">
      <c r="B91" s="68" t="s">
        <v>641</v>
      </c>
      <c r="K91" t="s">
        <v>1038</v>
      </c>
    </row>
    <row r="92" spans="2:18" x14ac:dyDescent="0.2">
      <c r="B92" s="68" t="s">
        <v>642</v>
      </c>
      <c r="K92" t="s">
        <v>1039</v>
      </c>
    </row>
    <row r="93" spans="2:18" x14ac:dyDescent="0.2">
      <c r="B93" s="68" t="s">
        <v>643</v>
      </c>
      <c r="K93" t="s">
        <v>1040</v>
      </c>
    </row>
    <row r="94" spans="2:18" x14ac:dyDescent="0.2">
      <c r="B94" s="68" t="s">
        <v>644</v>
      </c>
      <c r="K94" t="s">
        <v>1041</v>
      </c>
    </row>
    <row r="95" spans="2:18" x14ac:dyDescent="0.2">
      <c r="B95" s="68" t="s">
        <v>645</v>
      </c>
      <c r="K95" t="s">
        <v>1042</v>
      </c>
    </row>
    <row r="96" spans="2:18" x14ac:dyDescent="0.2">
      <c r="B96" s="68" t="s">
        <v>646</v>
      </c>
      <c r="K96" t="s">
        <v>1043</v>
      </c>
    </row>
    <row r="97" spans="2:11" x14ac:dyDescent="0.2">
      <c r="B97" s="68" t="s">
        <v>647</v>
      </c>
      <c r="K97" t="s">
        <v>1044</v>
      </c>
    </row>
    <row r="98" spans="2:11" x14ac:dyDescent="0.2">
      <c r="B98" s="68" t="s">
        <v>648</v>
      </c>
      <c r="K98" t="s">
        <v>1045</v>
      </c>
    </row>
    <row r="99" spans="2:11" x14ac:dyDescent="0.2">
      <c r="B99" s="68" t="s">
        <v>649</v>
      </c>
      <c r="K99" t="s">
        <v>1046</v>
      </c>
    </row>
    <row r="100" spans="2:11" x14ac:dyDescent="0.2">
      <c r="B100" s="68" t="s">
        <v>650</v>
      </c>
      <c r="K100" t="s">
        <v>1047</v>
      </c>
    </row>
    <row r="101" spans="2:11" x14ac:dyDescent="0.2">
      <c r="B101" s="68" t="s">
        <v>651</v>
      </c>
      <c r="K101" t="s">
        <v>1048</v>
      </c>
    </row>
    <row r="102" spans="2:11" x14ac:dyDescent="0.2">
      <c r="B102" s="68" t="s">
        <v>652</v>
      </c>
      <c r="K102" t="s">
        <v>1049</v>
      </c>
    </row>
    <row r="103" spans="2:11" x14ac:dyDescent="0.2">
      <c r="B103" s="68" t="s">
        <v>653</v>
      </c>
      <c r="K103" t="s">
        <v>1050</v>
      </c>
    </row>
    <row r="104" spans="2:11" x14ac:dyDescent="0.2">
      <c r="B104" s="68" t="s">
        <v>654</v>
      </c>
      <c r="K104" t="s">
        <v>1051</v>
      </c>
    </row>
    <row r="105" spans="2:11" x14ac:dyDescent="0.2">
      <c r="B105" s="68" t="s">
        <v>655</v>
      </c>
      <c r="K105" t="s">
        <v>1052</v>
      </c>
    </row>
    <row r="106" spans="2:11" x14ac:dyDescent="0.2">
      <c r="B106" s="68" t="s">
        <v>656</v>
      </c>
      <c r="K106" t="s">
        <v>1053</v>
      </c>
    </row>
    <row r="107" spans="2:11" x14ac:dyDescent="0.2">
      <c r="B107" s="68" t="s">
        <v>657</v>
      </c>
      <c r="K107" t="s">
        <v>1054</v>
      </c>
    </row>
    <row r="108" spans="2:11" x14ac:dyDescent="0.2">
      <c r="B108" s="68" t="s">
        <v>658</v>
      </c>
      <c r="K108" t="s">
        <v>1055</v>
      </c>
    </row>
    <row r="109" spans="2:11" x14ac:dyDescent="0.2">
      <c r="B109" s="68" t="s">
        <v>659</v>
      </c>
      <c r="K109" t="s">
        <v>1056</v>
      </c>
    </row>
    <row r="110" spans="2:11" x14ac:dyDescent="0.2">
      <c r="B110" s="68" t="s">
        <v>660</v>
      </c>
      <c r="K110" t="s">
        <v>1057</v>
      </c>
    </row>
    <row r="111" spans="2:11" x14ac:dyDescent="0.2">
      <c r="B111" s="68" t="s">
        <v>661</v>
      </c>
      <c r="K111" t="s">
        <v>1058</v>
      </c>
    </row>
    <row r="112" spans="2:11" x14ac:dyDescent="0.2">
      <c r="B112" s="68" t="s">
        <v>662</v>
      </c>
      <c r="K112" t="s">
        <v>1059</v>
      </c>
    </row>
    <row r="113" spans="2:11" x14ac:dyDescent="0.2">
      <c r="B113" s="68" t="s">
        <v>663</v>
      </c>
      <c r="K113" t="s">
        <v>1060</v>
      </c>
    </row>
    <row r="114" spans="2:11" x14ac:dyDescent="0.2">
      <c r="B114" s="68" t="s">
        <v>664</v>
      </c>
      <c r="K114" t="s">
        <v>1061</v>
      </c>
    </row>
    <row r="115" spans="2:11" x14ac:dyDescent="0.2">
      <c r="B115" s="68" t="s">
        <v>665</v>
      </c>
      <c r="K115" t="s">
        <v>1062</v>
      </c>
    </row>
    <row r="116" spans="2:11" x14ac:dyDescent="0.2">
      <c r="B116" s="68" t="s">
        <v>666</v>
      </c>
      <c r="K116" t="s">
        <v>1063</v>
      </c>
    </row>
    <row r="117" spans="2:11" x14ac:dyDescent="0.2">
      <c r="B117" s="68" t="s">
        <v>667</v>
      </c>
      <c r="K117" t="s">
        <v>1064</v>
      </c>
    </row>
    <row r="118" spans="2:11" x14ac:dyDescent="0.2">
      <c r="B118" s="68" t="s">
        <v>668</v>
      </c>
      <c r="K118" t="s">
        <v>1065</v>
      </c>
    </row>
    <row r="119" spans="2:11" x14ac:dyDescent="0.2">
      <c r="B119" s="68" t="s">
        <v>669</v>
      </c>
      <c r="K119" t="s">
        <v>1066</v>
      </c>
    </row>
    <row r="120" spans="2:11" x14ac:dyDescent="0.2">
      <c r="B120" s="68" t="s">
        <v>670</v>
      </c>
      <c r="K120" t="s">
        <v>1067</v>
      </c>
    </row>
    <row r="121" spans="2:11" x14ac:dyDescent="0.2">
      <c r="B121" s="68" t="s">
        <v>671</v>
      </c>
      <c r="K121" t="s">
        <v>1068</v>
      </c>
    </row>
    <row r="122" spans="2:11" x14ac:dyDescent="0.2">
      <c r="B122" s="68" t="s">
        <v>672</v>
      </c>
      <c r="K122" t="s">
        <v>1069</v>
      </c>
    </row>
    <row r="123" spans="2:11" x14ac:dyDescent="0.2">
      <c r="B123" s="68" t="s">
        <v>673</v>
      </c>
      <c r="K123" t="s">
        <v>1070</v>
      </c>
    </row>
    <row r="124" spans="2:11" x14ac:dyDescent="0.2">
      <c r="B124" s="68" t="s">
        <v>674</v>
      </c>
      <c r="K124" t="s">
        <v>1071</v>
      </c>
    </row>
    <row r="125" spans="2:11" x14ac:dyDescent="0.2">
      <c r="B125" s="68" t="s">
        <v>675</v>
      </c>
      <c r="K125" t="s">
        <v>1072</v>
      </c>
    </row>
    <row r="126" spans="2:11" x14ac:dyDescent="0.2">
      <c r="B126" s="68" t="s">
        <v>676</v>
      </c>
      <c r="K126" t="s">
        <v>1073</v>
      </c>
    </row>
    <row r="127" spans="2:11" x14ac:dyDescent="0.2">
      <c r="B127" s="68" t="s">
        <v>677</v>
      </c>
      <c r="K127" t="s">
        <v>1074</v>
      </c>
    </row>
    <row r="128" spans="2:11" x14ac:dyDescent="0.2">
      <c r="B128" s="68" t="s">
        <v>678</v>
      </c>
      <c r="K128" t="s">
        <v>1075</v>
      </c>
    </row>
    <row r="129" spans="2:11" x14ac:dyDescent="0.2">
      <c r="B129" s="68" t="s">
        <v>679</v>
      </c>
      <c r="K129" t="s">
        <v>1076</v>
      </c>
    </row>
    <row r="130" spans="2:11" x14ac:dyDescent="0.2">
      <c r="B130" s="68" t="s">
        <v>680</v>
      </c>
      <c r="K130" t="s">
        <v>1077</v>
      </c>
    </row>
    <row r="131" spans="2:11" x14ac:dyDescent="0.2">
      <c r="B131" s="68" t="s">
        <v>681</v>
      </c>
      <c r="K131" t="s">
        <v>1078</v>
      </c>
    </row>
    <row r="132" spans="2:11" x14ac:dyDescent="0.2">
      <c r="B132" s="68" t="s">
        <v>682</v>
      </c>
      <c r="K132" t="s">
        <v>1079</v>
      </c>
    </row>
    <row r="133" spans="2:11" x14ac:dyDescent="0.2">
      <c r="B133" s="68" t="s">
        <v>683</v>
      </c>
      <c r="K133" t="s">
        <v>1080</v>
      </c>
    </row>
    <row r="134" spans="2:11" x14ac:dyDescent="0.2">
      <c r="B134" s="68" t="s">
        <v>684</v>
      </c>
      <c r="K134" t="s">
        <v>1081</v>
      </c>
    </row>
    <row r="135" spans="2:11" x14ac:dyDescent="0.2">
      <c r="B135" s="68" t="s">
        <v>685</v>
      </c>
      <c r="K135" t="s">
        <v>1082</v>
      </c>
    </row>
    <row r="136" spans="2:11" x14ac:dyDescent="0.2">
      <c r="B136" s="68" t="s">
        <v>686</v>
      </c>
      <c r="K136" t="s">
        <v>1083</v>
      </c>
    </row>
    <row r="137" spans="2:11" x14ac:dyDescent="0.2">
      <c r="B137" s="68" t="s">
        <v>687</v>
      </c>
      <c r="K137" t="s">
        <v>1084</v>
      </c>
    </row>
    <row r="138" spans="2:11" x14ac:dyDescent="0.2">
      <c r="B138" s="68" t="s">
        <v>688</v>
      </c>
      <c r="K138" t="s">
        <v>1085</v>
      </c>
    </row>
    <row r="139" spans="2:11" x14ac:dyDescent="0.2">
      <c r="B139" s="68" t="s">
        <v>689</v>
      </c>
      <c r="K139" t="s">
        <v>1086</v>
      </c>
    </row>
    <row r="140" spans="2:11" x14ac:dyDescent="0.2">
      <c r="B140" s="68" t="s">
        <v>690</v>
      </c>
      <c r="K140" t="s">
        <v>1087</v>
      </c>
    </row>
    <row r="141" spans="2:11" x14ac:dyDescent="0.2">
      <c r="B141" s="68" t="s">
        <v>691</v>
      </c>
      <c r="K141" t="s">
        <v>1088</v>
      </c>
    </row>
    <row r="142" spans="2:11" x14ac:dyDescent="0.2">
      <c r="B142" s="68" t="s">
        <v>692</v>
      </c>
      <c r="K142" t="s">
        <v>1089</v>
      </c>
    </row>
    <row r="143" spans="2:11" x14ac:dyDescent="0.2">
      <c r="B143" s="68" t="s">
        <v>693</v>
      </c>
      <c r="K143" t="s">
        <v>1090</v>
      </c>
    </row>
    <row r="144" spans="2:11" x14ac:dyDescent="0.2">
      <c r="B144" s="68" t="s">
        <v>694</v>
      </c>
      <c r="K144" t="s">
        <v>1091</v>
      </c>
    </row>
    <row r="145" spans="2:11" x14ac:dyDescent="0.2">
      <c r="B145" s="68" t="s">
        <v>695</v>
      </c>
      <c r="K145" t="s">
        <v>1092</v>
      </c>
    </row>
    <row r="146" spans="2:11" x14ac:dyDescent="0.2">
      <c r="B146" s="68" t="s">
        <v>696</v>
      </c>
      <c r="K146" t="s">
        <v>1093</v>
      </c>
    </row>
    <row r="147" spans="2:11" x14ac:dyDescent="0.2">
      <c r="B147" s="68" t="s">
        <v>697</v>
      </c>
      <c r="K147" t="s">
        <v>1094</v>
      </c>
    </row>
    <row r="148" spans="2:11" x14ac:dyDescent="0.2">
      <c r="B148" s="68" t="s">
        <v>698</v>
      </c>
      <c r="K148" t="s">
        <v>1095</v>
      </c>
    </row>
    <row r="149" spans="2:11" x14ac:dyDescent="0.2">
      <c r="B149" s="68" t="s">
        <v>699</v>
      </c>
      <c r="K149" t="s">
        <v>1096</v>
      </c>
    </row>
    <row r="150" spans="2:11" x14ac:dyDescent="0.2">
      <c r="B150" s="68" t="s">
        <v>700</v>
      </c>
      <c r="K150" t="s">
        <v>1097</v>
      </c>
    </row>
    <row r="151" spans="2:11" x14ac:dyDescent="0.2">
      <c r="B151" s="68" t="s">
        <v>701</v>
      </c>
      <c r="K151" t="s">
        <v>1098</v>
      </c>
    </row>
    <row r="152" spans="2:11" x14ac:dyDescent="0.2">
      <c r="B152" s="68" t="s">
        <v>702</v>
      </c>
      <c r="K152" t="s">
        <v>1099</v>
      </c>
    </row>
    <row r="153" spans="2:11" x14ac:dyDescent="0.2">
      <c r="B153" s="68" t="s">
        <v>703</v>
      </c>
      <c r="K153" t="s">
        <v>1100</v>
      </c>
    </row>
    <row r="154" spans="2:11" x14ac:dyDescent="0.2">
      <c r="B154" s="68" t="s">
        <v>704</v>
      </c>
      <c r="K154" t="s">
        <v>1101</v>
      </c>
    </row>
    <row r="155" spans="2:11" x14ac:dyDescent="0.2">
      <c r="B155" s="68" t="s">
        <v>705</v>
      </c>
      <c r="K155" t="s">
        <v>1102</v>
      </c>
    </row>
    <row r="156" spans="2:11" x14ac:dyDescent="0.2">
      <c r="B156" s="68" t="s">
        <v>706</v>
      </c>
      <c r="K156" t="s">
        <v>1103</v>
      </c>
    </row>
    <row r="157" spans="2:11" x14ac:dyDescent="0.2">
      <c r="B157" s="68" t="s">
        <v>707</v>
      </c>
      <c r="K157" t="s">
        <v>1104</v>
      </c>
    </row>
    <row r="158" spans="2:11" x14ac:dyDescent="0.2">
      <c r="B158" s="68" t="s">
        <v>708</v>
      </c>
      <c r="K158" t="s">
        <v>1105</v>
      </c>
    </row>
    <row r="159" spans="2:11" x14ac:dyDescent="0.2">
      <c r="B159" s="68" t="s">
        <v>709</v>
      </c>
      <c r="K159" t="s">
        <v>1106</v>
      </c>
    </row>
    <row r="160" spans="2:11" x14ac:dyDescent="0.2">
      <c r="B160" s="68" t="s">
        <v>710</v>
      </c>
      <c r="K160" t="s">
        <v>1107</v>
      </c>
    </row>
    <row r="161" spans="2:11" x14ac:dyDescent="0.2">
      <c r="B161" s="68" t="s">
        <v>711</v>
      </c>
      <c r="K161" t="s">
        <v>1108</v>
      </c>
    </row>
    <row r="162" spans="2:11" x14ac:dyDescent="0.2">
      <c r="B162" s="68" t="s">
        <v>712</v>
      </c>
    </row>
    <row r="163" spans="2:11" x14ac:dyDescent="0.2">
      <c r="B163" s="68" t="s">
        <v>713</v>
      </c>
    </row>
    <row r="164" spans="2:11" x14ac:dyDescent="0.2">
      <c r="B164" s="68" t="s">
        <v>714</v>
      </c>
    </row>
    <row r="165" spans="2:11" x14ac:dyDescent="0.2">
      <c r="B165" s="68" t="s">
        <v>715</v>
      </c>
    </row>
    <row r="166" spans="2:11" x14ac:dyDescent="0.2">
      <c r="B166" s="68" t="s">
        <v>716</v>
      </c>
    </row>
    <row r="167" spans="2:11" x14ac:dyDescent="0.2">
      <c r="B167" s="68" t="s">
        <v>717</v>
      </c>
    </row>
    <row r="168" spans="2:11" x14ac:dyDescent="0.2">
      <c r="B168" s="68" t="s">
        <v>718</v>
      </c>
    </row>
    <row r="169" spans="2:11" x14ac:dyDescent="0.2">
      <c r="B169" s="68" t="s">
        <v>719</v>
      </c>
    </row>
    <row r="170" spans="2:11" x14ac:dyDescent="0.2">
      <c r="B170" s="68" t="s">
        <v>720</v>
      </c>
    </row>
    <row r="171" spans="2:11" x14ac:dyDescent="0.2">
      <c r="B171" s="68" t="s">
        <v>721</v>
      </c>
    </row>
    <row r="172" spans="2:11" x14ac:dyDescent="0.2">
      <c r="B172" s="68" t="s">
        <v>722</v>
      </c>
    </row>
    <row r="173" spans="2:11" x14ac:dyDescent="0.2">
      <c r="B173" s="68" t="s">
        <v>723</v>
      </c>
    </row>
    <row r="174" spans="2:11" x14ac:dyDescent="0.2">
      <c r="B174" s="68" t="s">
        <v>724</v>
      </c>
    </row>
    <row r="175" spans="2:11" x14ac:dyDescent="0.2">
      <c r="B175" s="68" t="s">
        <v>725</v>
      </c>
    </row>
    <row r="176" spans="2:11" x14ac:dyDescent="0.2">
      <c r="B176" s="68" t="s">
        <v>726</v>
      </c>
    </row>
    <row r="177" spans="2:2" x14ac:dyDescent="0.2">
      <c r="B177" s="68" t="s">
        <v>727</v>
      </c>
    </row>
    <row r="178" spans="2:2" x14ac:dyDescent="0.2">
      <c r="B178" s="68" t="s">
        <v>728</v>
      </c>
    </row>
    <row r="179" spans="2:2" x14ac:dyDescent="0.2">
      <c r="B179" s="68" t="s">
        <v>729</v>
      </c>
    </row>
    <row r="180" spans="2:2" x14ac:dyDescent="0.2">
      <c r="B180" s="68" t="s">
        <v>730</v>
      </c>
    </row>
    <row r="181" spans="2:2" x14ac:dyDescent="0.2">
      <c r="B181" s="68" t="s">
        <v>731</v>
      </c>
    </row>
    <row r="182" spans="2:2" x14ac:dyDescent="0.2">
      <c r="B182" s="68" t="s">
        <v>732</v>
      </c>
    </row>
    <row r="183" spans="2:2" x14ac:dyDescent="0.2">
      <c r="B183" s="68" t="s">
        <v>733</v>
      </c>
    </row>
    <row r="184" spans="2:2" x14ac:dyDescent="0.2">
      <c r="B184" s="68" t="s">
        <v>734</v>
      </c>
    </row>
    <row r="185" spans="2:2" x14ac:dyDescent="0.2">
      <c r="B185" s="68" t="s">
        <v>735</v>
      </c>
    </row>
    <row r="186" spans="2:2" x14ac:dyDescent="0.2">
      <c r="B186" s="68" t="s">
        <v>736</v>
      </c>
    </row>
    <row r="187" spans="2:2" x14ac:dyDescent="0.2">
      <c r="B187" s="68" t="s">
        <v>737</v>
      </c>
    </row>
    <row r="188" spans="2:2" x14ac:dyDescent="0.2">
      <c r="B188" s="68" t="s">
        <v>738</v>
      </c>
    </row>
    <row r="189" spans="2:2" x14ac:dyDescent="0.2">
      <c r="B189" s="68" t="s">
        <v>739</v>
      </c>
    </row>
    <row r="190" spans="2:2" x14ac:dyDescent="0.2">
      <c r="B190" s="68" t="s">
        <v>740</v>
      </c>
    </row>
    <row r="191" spans="2:2" x14ac:dyDescent="0.2">
      <c r="B191" s="68" t="s">
        <v>741</v>
      </c>
    </row>
    <row r="192" spans="2:2" x14ac:dyDescent="0.2">
      <c r="B192" s="68" t="s">
        <v>742</v>
      </c>
    </row>
    <row r="193" spans="2:2" x14ac:dyDescent="0.2">
      <c r="B193" s="68" t="s">
        <v>743</v>
      </c>
    </row>
    <row r="194" spans="2:2" x14ac:dyDescent="0.2">
      <c r="B194" s="68" t="s">
        <v>744</v>
      </c>
    </row>
    <row r="195" spans="2:2" x14ac:dyDescent="0.2">
      <c r="B195" s="68" t="s">
        <v>745</v>
      </c>
    </row>
    <row r="196" spans="2:2" x14ac:dyDescent="0.2">
      <c r="B196" s="68" t="s">
        <v>746</v>
      </c>
    </row>
    <row r="197" spans="2:2" x14ac:dyDescent="0.2">
      <c r="B197" s="68" t="s">
        <v>747</v>
      </c>
    </row>
    <row r="198" spans="2:2" x14ac:dyDescent="0.2">
      <c r="B198" s="68" t="s">
        <v>748</v>
      </c>
    </row>
    <row r="199" spans="2:2" x14ac:dyDescent="0.2">
      <c r="B199" s="68" t="s">
        <v>749</v>
      </c>
    </row>
    <row r="200" spans="2:2" x14ac:dyDescent="0.2">
      <c r="B200" s="68" t="s">
        <v>750</v>
      </c>
    </row>
    <row r="201" spans="2:2" x14ac:dyDescent="0.2">
      <c r="B201" s="68" t="s">
        <v>751</v>
      </c>
    </row>
    <row r="202" spans="2:2" x14ac:dyDescent="0.2">
      <c r="B202" s="68" t="s">
        <v>752</v>
      </c>
    </row>
    <row r="203" spans="2:2" x14ac:dyDescent="0.2">
      <c r="B203" s="68" t="s">
        <v>753</v>
      </c>
    </row>
    <row r="204" spans="2:2" x14ac:dyDescent="0.2">
      <c r="B204" s="68" t="s">
        <v>754</v>
      </c>
    </row>
    <row r="205" spans="2:2" x14ac:dyDescent="0.2">
      <c r="B205" s="68" t="s">
        <v>755</v>
      </c>
    </row>
    <row r="206" spans="2:2" x14ac:dyDescent="0.2">
      <c r="B206" s="68" t="s">
        <v>756</v>
      </c>
    </row>
    <row r="207" spans="2:2" x14ac:dyDescent="0.2">
      <c r="B207" s="68" t="s">
        <v>757</v>
      </c>
    </row>
    <row r="208" spans="2:2" x14ac:dyDescent="0.2">
      <c r="B208" s="68" t="s">
        <v>758</v>
      </c>
    </row>
    <row r="209" spans="2:2" x14ac:dyDescent="0.2">
      <c r="B209" s="68" t="s">
        <v>759</v>
      </c>
    </row>
    <row r="210" spans="2:2" x14ac:dyDescent="0.2">
      <c r="B210" s="68" t="s">
        <v>760</v>
      </c>
    </row>
    <row r="211" spans="2:2" x14ac:dyDescent="0.2">
      <c r="B211" s="68" t="s">
        <v>761</v>
      </c>
    </row>
    <row r="212" spans="2:2" x14ac:dyDescent="0.2">
      <c r="B212" s="68" t="s">
        <v>762</v>
      </c>
    </row>
    <row r="213" spans="2:2" x14ac:dyDescent="0.2">
      <c r="B213" s="68" t="s">
        <v>763</v>
      </c>
    </row>
    <row r="214" spans="2:2" x14ac:dyDescent="0.2">
      <c r="B214" s="68" t="s">
        <v>764</v>
      </c>
    </row>
    <row r="215" spans="2:2" x14ac:dyDescent="0.2">
      <c r="B215" s="68" t="s">
        <v>765</v>
      </c>
    </row>
    <row r="216" spans="2:2" x14ac:dyDescent="0.2">
      <c r="B216" s="68" t="s">
        <v>766</v>
      </c>
    </row>
    <row r="217" spans="2:2" x14ac:dyDescent="0.2">
      <c r="B217" s="68" t="s">
        <v>767</v>
      </c>
    </row>
    <row r="218" spans="2:2" x14ac:dyDescent="0.2">
      <c r="B218" s="68" t="s">
        <v>768</v>
      </c>
    </row>
    <row r="219" spans="2:2" x14ac:dyDescent="0.2">
      <c r="B219" s="68" t="s">
        <v>769</v>
      </c>
    </row>
    <row r="220" spans="2:2" x14ac:dyDescent="0.2">
      <c r="B220" s="68" t="s">
        <v>770</v>
      </c>
    </row>
    <row r="221" spans="2:2" x14ac:dyDescent="0.2">
      <c r="B221" s="68" t="s">
        <v>771</v>
      </c>
    </row>
    <row r="222" spans="2:2" x14ac:dyDescent="0.2">
      <c r="B222" s="68" t="s">
        <v>772</v>
      </c>
    </row>
    <row r="223" spans="2:2" x14ac:dyDescent="0.2">
      <c r="B223" s="68" t="s">
        <v>773</v>
      </c>
    </row>
    <row r="224" spans="2:2" x14ac:dyDescent="0.2">
      <c r="B224" s="68" t="s">
        <v>774</v>
      </c>
    </row>
    <row r="225" spans="2:2" x14ac:dyDescent="0.2">
      <c r="B225" s="68" t="s">
        <v>775</v>
      </c>
    </row>
    <row r="226" spans="2:2" x14ac:dyDescent="0.2">
      <c r="B226" s="68" t="s">
        <v>776</v>
      </c>
    </row>
    <row r="227" spans="2:2" x14ac:dyDescent="0.2">
      <c r="B227" s="68" t="s">
        <v>777</v>
      </c>
    </row>
    <row r="228" spans="2:2" x14ac:dyDescent="0.2">
      <c r="B228" s="68" t="s">
        <v>778</v>
      </c>
    </row>
    <row r="229" spans="2:2" x14ac:dyDescent="0.2">
      <c r="B229" s="68" t="s">
        <v>779</v>
      </c>
    </row>
    <row r="230" spans="2:2" x14ac:dyDescent="0.2">
      <c r="B230" s="68" t="s">
        <v>780</v>
      </c>
    </row>
    <row r="231" spans="2:2" x14ac:dyDescent="0.2">
      <c r="B231" s="68" t="s">
        <v>781</v>
      </c>
    </row>
    <row r="232" spans="2:2" x14ac:dyDescent="0.2">
      <c r="B232" s="68" t="s">
        <v>782</v>
      </c>
    </row>
    <row r="233" spans="2:2" x14ac:dyDescent="0.2">
      <c r="B233" s="68" t="s">
        <v>783</v>
      </c>
    </row>
    <row r="234" spans="2:2" x14ac:dyDescent="0.2">
      <c r="B234" s="68" t="s">
        <v>784</v>
      </c>
    </row>
    <row r="235" spans="2:2" x14ac:dyDescent="0.2">
      <c r="B235" s="68" t="s">
        <v>785</v>
      </c>
    </row>
    <row r="236" spans="2:2" x14ac:dyDescent="0.2">
      <c r="B236" s="68" t="s">
        <v>786</v>
      </c>
    </row>
    <row r="237" spans="2:2" x14ac:dyDescent="0.2">
      <c r="B237" s="68" t="s">
        <v>787</v>
      </c>
    </row>
    <row r="238" spans="2:2" x14ac:dyDescent="0.2">
      <c r="B238" s="68" t="s">
        <v>788</v>
      </c>
    </row>
    <row r="239" spans="2:2" x14ac:dyDescent="0.2">
      <c r="B239" s="68" t="s">
        <v>789</v>
      </c>
    </row>
    <row r="240" spans="2:2" x14ac:dyDescent="0.2">
      <c r="B240" s="68" t="s">
        <v>790</v>
      </c>
    </row>
    <row r="241" spans="2:2" x14ac:dyDescent="0.2">
      <c r="B241" s="68" t="s">
        <v>791</v>
      </c>
    </row>
    <row r="242" spans="2:2" x14ac:dyDescent="0.2">
      <c r="B242" s="68" t="s">
        <v>792</v>
      </c>
    </row>
    <row r="243" spans="2:2" x14ac:dyDescent="0.2">
      <c r="B243" s="68" t="s">
        <v>793</v>
      </c>
    </row>
    <row r="244" spans="2:2" x14ac:dyDescent="0.2">
      <c r="B244" s="68" t="s">
        <v>794</v>
      </c>
    </row>
    <row r="245" spans="2:2" x14ac:dyDescent="0.2">
      <c r="B245" s="68" t="s">
        <v>795</v>
      </c>
    </row>
  </sheetData>
  <sortState xmlns:xlrd2="http://schemas.microsoft.com/office/spreadsheetml/2017/richdata2" ref="D10:D88">
    <sortCondition ref="D10:D88"/>
  </sortState>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16065" r:id="rId4" name="Button 1">
              <controlPr defaultSize="0" print="0" autoFill="0" autoPict="0" macro="[0]!List_Set">
                <anchor moveWithCells="1" sizeWithCells="1">
                  <from>
                    <xdr:col>2</xdr:col>
                    <xdr:colOff>0</xdr:colOff>
                    <xdr:row>5</xdr:row>
                    <xdr:rowOff>0</xdr:rowOff>
                  </from>
                  <to>
                    <xdr:col>3</xdr:col>
                    <xdr:colOff>0</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I262"/>
  <sheetViews>
    <sheetView topLeftCell="A4" workbookViewId="0">
      <selection activeCell="I9" sqref="I9"/>
    </sheetView>
  </sheetViews>
  <sheetFormatPr defaultRowHeight="14.25" x14ac:dyDescent="0.2"/>
  <cols>
    <col min="6" max="6" width="11.375" bestFit="1" customWidth="1"/>
    <col min="11" max="11" width="28.25" customWidth="1"/>
    <col min="13" max="13" width="17.5" customWidth="1"/>
    <col min="16" max="16" width="10" bestFit="1" customWidth="1"/>
    <col min="17" max="17" width="11.25" bestFit="1" customWidth="1"/>
    <col min="19" max="19" width="12.375" bestFit="1" customWidth="1"/>
  </cols>
  <sheetData>
    <row r="1" spans="1:35" x14ac:dyDescent="0.2">
      <c r="A1" t="s">
        <v>26</v>
      </c>
      <c r="C1" t="s">
        <v>13</v>
      </c>
      <c r="E1" t="s">
        <v>14</v>
      </c>
      <c r="F1" t="s">
        <v>15</v>
      </c>
      <c r="H1" t="s">
        <v>16</v>
      </c>
      <c r="S1" t="s">
        <v>17</v>
      </c>
      <c r="V1" t="s">
        <v>18</v>
      </c>
      <c r="Y1" t="s">
        <v>209</v>
      </c>
      <c r="AE1" t="s">
        <v>299</v>
      </c>
      <c r="AI1" t="s">
        <v>329</v>
      </c>
    </row>
    <row r="2" spans="1:35" x14ac:dyDescent="0.2">
      <c r="A2">
        <v>0</v>
      </c>
      <c r="E2" t="s">
        <v>19</v>
      </c>
      <c r="F2">
        <v>1</v>
      </c>
      <c r="H2">
        <v>65</v>
      </c>
      <c r="I2">
        <v>0.65</v>
      </c>
      <c r="S2" s="8">
        <f>IF(Demand!$C$6="","",Demand!$C$6)</f>
        <v>42461</v>
      </c>
      <c r="V2">
        <v>1</v>
      </c>
      <c r="Y2" t="s">
        <v>212</v>
      </c>
      <c r="Z2" t="s">
        <v>210</v>
      </c>
      <c r="AA2" t="s">
        <v>211</v>
      </c>
      <c r="AE2" t="s">
        <v>58</v>
      </c>
      <c r="AI2" t="str">
        <f ca="1">"Baseline: "&amp;TEXT(MAX('SPC background (hide)'!$I$5:$I$11),"#")&amp;" wks"</f>
        <v>Baseline: 52 wks</v>
      </c>
    </row>
    <row r="3" spans="1:35" x14ac:dyDescent="0.2">
      <c r="A3">
        <v>1</v>
      </c>
      <c r="C3" t="s">
        <v>20</v>
      </c>
      <c r="E3" t="s">
        <v>21</v>
      </c>
      <c r="F3">
        <v>2</v>
      </c>
      <c r="H3">
        <v>70</v>
      </c>
      <c r="I3">
        <v>0.7</v>
      </c>
      <c r="S3" s="8">
        <f>IF($S$2="","",S2+7)</f>
        <v>42468</v>
      </c>
      <c r="V3">
        <v>1.5</v>
      </c>
      <c r="Y3" t="s">
        <v>32</v>
      </c>
      <c r="Z3" t="str">
        <f>Setup!C27</f>
        <v>Test name 1</v>
      </c>
      <c r="AA3" t="str">
        <f>IF(Z3="",Y3,Z3)</f>
        <v>Test name 1</v>
      </c>
      <c r="AE3" t="str">
        <f>IF(Capacity!B17="","",ROW(A1)&amp;". "&amp;Capacity!B17)</f>
        <v>1. Core Clinic 1</v>
      </c>
      <c r="AF3" s="68"/>
      <c r="AI3">
        <v>20</v>
      </c>
    </row>
    <row r="4" spans="1:35" x14ac:dyDescent="0.2">
      <c r="A4">
        <v>2</v>
      </c>
      <c r="C4" t="s">
        <v>22</v>
      </c>
      <c r="E4" t="s">
        <v>23</v>
      </c>
      <c r="F4">
        <v>3</v>
      </c>
      <c r="H4">
        <v>75</v>
      </c>
      <c r="I4">
        <v>0.75</v>
      </c>
      <c r="S4" s="8">
        <f t="shared" ref="S4:S53" si="0">IF($S$2="","",S3+7)</f>
        <v>42475</v>
      </c>
      <c r="V4">
        <v>2</v>
      </c>
      <c r="Y4" t="s">
        <v>34</v>
      </c>
      <c r="Z4" t="str">
        <f>Setup!C28</f>
        <v>Test name 2</v>
      </c>
      <c r="AA4" t="str">
        <f t="shared" ref="AA4:AA12" si="1">IF(Z4="",Y4,Z4)</f>
        <v>Test name 2</v>
      </c>
      <c r="AE4" s="68" t="str">
        <f>IF(Capacity!B18="","",ROW(A2)&amp;". "&amp;Capacity!B18)</f>
        <v>2. Core Clinic 2</v>
      </c>
      <c r="AF4" s="68"/>
      <c r="AI4">
        <v>21</v>
      </c>
    </row>
    <row r="5" spans="1:35" x14ac:dyDescent="0.2">
      <c r="A5">
        <v>3</v>
      </c>
      <c r="H5">
        <v>80</v>
      </c>
      <c r="I5">
        <v>0.8</v>
      </c>
      <c r="S5" s="8">
        <f t="shared" si="0"/>
        <v>42482</v>
      </c>
      <c r="V5">
        <v>2.5</v>
      </c>
      <c r="Y5" t="s">
        <v>36</v>
      </c>
      <c r="Z5" t="str">
        <f>Setup!C29</f>
        <v>Another modality</v>
      </c>
      <c r="AA5" t="str">
        <f t="shared" si="1"/>
        <v>Another modality</v>
      </c>
      <c r="AE5" s="68" t="str">
        <f>IF(Capacity!B19="","",ROW(A3)&amp;". "&amp;Capacity!B19)</f>
        <v>3. Core Clinic 3</v>
      </c>
      <c r="AF5" s="68"/>
      <c r="AI5" s="68">
        <v>22</v>
      </c>
    </row>
    <row r="6" spans="1:35" x14ac:dyDescent="0.2">
      <c r="A6">
        <v>4</v>
      </c>
      <c r="C6" t="s">
        <v>22</v>
      </c>
      <c r="E6" t="s">
        <v>19</v>
      </c>
      <c r="I6">
        <v>0.85</v>
      </c>
      <c r="S6" s="8">
        <f t="shared" si="0"/>
        <v>42489</v>
      </c>
      <c r="V6">
        <v>3</v>
      </c>
      <c r="Y6" t="s">
        <v>38</v>
      </c>
      <c r="Z6" t="str">
        <f>Setup!C30</f>
        <v>Modality 4</v>
      </c>
      <c r="AA6" t="str">
        <f t="shared" si="1"/>
        <v>Modality 4</v>
      </c>
      <c r="AE6" s="68" t="str">
        <f>IF(Capacity!B20="","",ROW(A4)&amp;". "&amp;Capacity!B20)</f>
        <v>4. Core Clinic 4</v>
      </c>
      <c r="AF6" s="68"/>
      <c r="AI6" s="68">
        <v>23</v>
      </c>
    </row>
    <row r="7" spans="1:35" x14ac:dyDescent="0.2">
      <c r="A7">
        <v>5</v>
      </c>
      <c r="C7" t="s">
        <v>20</v>
      </c>
      <c r="E7" t="s">
        <v>23</v>
      </c>
      <c r="S7" s="8">
        <f t="shared" si="0"/>
        <v>42496</v>
      </c>
      <c r="V7">
        <v>3.5</v>
      </c>
      <c r="Y7" t="s">
        <v>40</v>
      </c>
      <c r="Z7" t="str">
        <f>Setup!C31</f>
        <v>Modality 5</v>
      </c>
      <c r="AA7" t="str">
        <f t="shared" si="1"/>
        <v>Modality 5</v>
      </c>
      <c r="AE7" s="68" t="str">
        <f>IF(Capacity!B21="","",ROW(A5)&amp;". "&amp;Capacity!B21)</f>
        <v/>
      </c>
      <c r="AF7" s="68"/>
      <c r="AI7" s="68">
        <v>24</v>
      </c>
    </row>
    <row r="8" spans="1:35" x14ac:dyDescent="0.2">
      <c r="A8">
        <v>6</v>
      </c>
      <c r="S8" s="8">
        <f t="shared" si="0"/>
        <v>42503</v>
      </c>
      <c r="V8">
        <v>4</v>
      </c>
      <c r="Y8" t="s">
        <v>42</v>
      </c>
      <c r="Z8" t="str">
        <f>Setup!C32</f>
        <v>Modality 6</v>
      </c>
      <c r="AA8" t="str">
        <f t="shared" si="1"/>
        <v>Modality 6</v>
      </c>
      <c r="AE8" s="68" t="str">
        <f>IF(Capacity!B22="","",ROW(A6)&amp;". "&amp;Capacity!B22)</f>
        <v/>
      </c>
      <c r="AF8" s="68"/>
      <c r="AI8" s="68">
        <v>25</v>
      </c>
    </row>
    <row r="9" spans="1:35" x14ac:dyDescent="0.2">
      <c r="A9">
        <v>7</v>
      </c>
      <c r="E9" t="s">
        <v>19</v>
      </c>
      <c r="H9" t="s">
        <v>139</v>
      </c>
      <c r="I9">
        <f>VLOOKUP(Setup!I19,'Control sheet (hide)'!H2:I5,2,0)</f>
        <v>0.65</v>
      </c>
      <c r="S9" s="8">
        <f t="shared" si="0"/>
        <v>42510</v>
      </c>
      <c r="V9">
        <v>4.5</v>
      </c>
      <c r="Y9" t="s">
        <v>44</v>
      </c>
      <c r="Z9" t="str">
        <f>Setup!C33</f>
        <v>Modality 7</v>
      </c>
      <c r="AA9" t="str">
        <f t="shared" si="1"/>
        <v>Modality 7</v>
      </c>
      <c r="AE9" s="68" t="str">
        <f>IF(Capacity!B23="","",ROW(A7)&amp;". "&amp;Capacity!B23)</f>
        <v/>
      </c>
      <c r="AF9" s="68"/>
      <c r="AI9" s="68">
        <v>26</v>
      </c>
    </row>
    <row r="10" spans="1:35" x14ac:dyDescent="0.2">
      <c r="A10">
        <v>8</v>
      </c>
      <c r="E10" t="s">
        <v>21</v>
      </c>
      <c r="H10" t="s">
        <v>140</v>
      </c>
      <c r="I10">
        <f>I6</f>
        <v>0.85</v>
      </c>
      <c r="S10" s="8">
        <f t="shared" si="0"/>
        <v>42517</v>
      </c>
      <c r="V10">
        <v>5</v>
      </c>
      <c r="Y10" t="s">
        <v>46</v>
      </c>
      <c r="Z10" t="str">
        <f>Setup!C34</f>
        <v>Modality 8</v>
      </c>
      <c r="AA10" t="str">
        <f t="shared" si="1"/>
        <v>Modality 8</v>
      </c>
      <c r="AE10" s="68" t="str">
        <f>IF(Capacity!B24="","",ROW(A8)&amp;". "&amp;Capacity!B24)</f>
        <v/>
      </c>
      <c r="AF10" s="68"/>
      <c r="AI10" s="68">
        <v>27</v>
      </c>
    </row>
    <row r="11" spans="1:35" x14ac:dyDescent="0.2">
      <c r="A11">
        <v>9</v>
      </c>
      <c r="S11" s="8">
        <f t="shared" si="0"/>
        <v>42524</v>
      </c>
      <c r="V11">
        <v>5.5</v>
      </c>
      <c r="Y11" t="s">
        <v>48</v>
      </c>
      <c r="Z11" t="str">
        <f>Setup!C35</f>
        <v>Modality 9</v>
      </c>
      <c r="AA11" t="str">
        <f t="shared" si="1"/>
        <v>Modality 9</v>
      </c>
      <c r="AE11" s="68" t="str">
        <f>IF(Capacity!B25="","",ROW(A9)&amp;". "&amp;Capacity!B25)</f>
        <v/>
      </c>
      <c r="AF11" s="68"/>
      <c r="AI11" s="68">
        <v>28</v>
      </c>
    </row>
    <row r="12" spans="1:35" x14ac:dyDescent="0.2">
      <c r="A12">
        <v>10</v>
      </c>
      <c r="S12" s="8">
        <f t="shared" si="0"/>
        <v>42531</v>
      </c>
      <c r="V12">
        <v>6</v>
      </c>
      <c r="Y12" t="s">
        <v>50</v>
      </c>
      <c r="Z12" t="str">
        <f>Setup!C36</f>
        <v>Modality 10</v>
      </c>
      <c r="AA12" t="str">
        <f t="shared" si="1"/>
        <v>Modality 10</v>
      </c>
      <c r="AE12" s="68" t="str">
        <f>IF(Capacity!B26="","",ROW(A10)&amp;". "&amp;Capacity!B26)</f>
        <v/>
      </c>
      <c r="AF12" s="68"/>
      <c r="AI12" s="68">
        <v>29</v>
      </c>
    </row>
    <row r="13" spans="1:35" x14ac:dyDescent="0.2">
      <c r="A13">
        <v>11</v>
      </c>
      <c r="E13" t="s">
        <v>24</v>
      </c>
      <c r="H13" t="s">
        <v>878</v>
      </c>
      <c r="S13" s="8">
        <f t="shared" si="0"/>
        <v>42538</v>
      </c>
      <c r="V13">
        <v>6.5</v>
      </c>
      <c r="AA13" t="s">
        <v>213</v>
      </c>
      <c r="AE13" s="68" t="str">
        <f>IF(Capacity!B27="","",ROW(A11)&amp;". "&amp;Capacity!B27)</f>
        <v/>
      </c>
      <c r="AF13" s="68"/>
      <c r="AI13" s="68">
        <v>30</v>
      </c>
    </row>
    <row r="14" spans="1:35" x14ac:dyDescent="0.2">
      <c r="A14">
        <v>12</v>
      </c>
      <c r="E14" t="s">
        <v>25</v>
      </c>
      <c r="H14" t="s">
        <v>879</v>
      </c>
      <c r="S14" s="8">
        <f t="shared" si="0"/>
        <v>42545</v>
      </c>
      <c r="V14">
        <v>7</v>
      </c>
      <c r="AE14" s="68" t="str">
        <f>IF(Capacity!B28="","",ROW(A12)&amp;". "&amp;Capacity!B28)</f>
        <v/>
      </c>
      <c r="AF14" s="68"/>
      <c r="AI14" s="68">
        <v>31</v>
      </c>
    </row>
    <row r="15" spans="1:35" x14ac:dyDescent="0.2">
      <c r="A15">
        <v>13</v>
      </c>
      <c r="S15" s="8">
        <f t="shared" si="0"/>
        <v>42552</v>
      </c>
      <c r="V15">
        <v>7.5</v>
      </c>
      <c r="AE15" s="68" t="str">
        <f>IF(Capacity!B29="","",ROW(A13)&amp;". "&amp;Capacity!B29)</f>
        <v/>
      </c>
      <c r="AF15" s="68"/>
      <c r="AI15" s="68">
        <v>32</v>
      </c>
    </row>
    <row r="16" spans="1:35" x14ac:dyDescent="0.2">
      <c r="A16">
        <v>14</v>
      </c>
      <c r="E16" t="s">
        <v>90</v>
      </c>
      <c r="S16" s="8">
        <f t="shared" si="0"/>
        <v>42559</v>
      </c>
      <c r="V16">
        <v>8</v>
      </c>
      <c r="AE16" s="68" t="str">
        <f>IF(Capacity!B30="","",ROW(A14)&amp;". "&amp;Capacity!B30)</f>
        <v/>
      </c>
      <c r="AF16" s="68"/>
      <c r="AI16" s="68">
        <v>33</v>
      </c>
    </row>
    <row r="17" spans="1:35" x14ac:dyDescent="0.2">
      <c r="A17">
        <v>15</v>
      </c>
      <c r="E17" t="s">
        <v>89</v>
      </c>
      <c r="S17" s="8">
        <f t="shared" si="0"/>
        <v>42566</v>
      </c>
      <c r="V17">
        <v>8.5</v>
      </c>
      <c r="AE17" s="68" t="str">
        <f>IF(Capacity!B31="","",ROW(A15)&amp;". "&amp;Capacity!B31)</f>
        <v/>
      </c>
      <c r="AF17" s="68"/>
      <c r="AI17" s="68">
        <v>34</v>
      </c>
    </row>
    <row r="18" spans="1:35" x14ac:dyDescent="0.2">
      <c r="A18">
        <v>16</v>
      </c>
      <c r="S18" s="8">
        <f t="shared" si="0"/>
        <v>42573</v>
      </c>
      <c r="V18">
        <v>9</v>
      </c>
      <c r="AE18" s="68" t="str">
        <f>IF(Capacity!B32="","",ROW(A16)&amp;". "&amp;Capacity!B32)</f>
        <v/>
      </c>
      <c r="AF18" s="68"/>
      <c r="AI18" s="68">
        <v>35</v>
      </c>
    </row>
    <row r="19" spans="1:35" x14ac:dyDescent="0.2">
      <c r="A19">
        <v>17</v>
      </c>
      <c r="E19" t="s">
        <v>405</v>
      </c>
      <c r="S19" s="8">
        <f t="shared" si="0"/>
        <v>42580</v>
      </c>
      <c r="V19">
        <v>9.5</v>
      </c>
      <c r="AE19" s="68" t="str">
        <f>IF(Capacity!B33="","",ROW(A17)&amp;". "&amp;Capacity!B33)</f>
        <v/>
      </c>
      <c r="AF19" s="68"/>
      <c r="AI19" s="68">
        <v>36</v>
      </c>
    </row>
    <row r="20" spans="1:35" x14ac:dyDescent="0.2">
      <c r="A20">
        <v>18</v>
      </c>
      <c r="E20" t="s">
        <v>404</v>
      </c>
      <c r="S20" s="8">
        <f t="shared" si="0"/>
        <v>42587</v>
      </c>
      <c r="V20">
        <v>10</v>
      </c>
      <c r="AE20" s="68" t="str">
        <f>IF(Capacity!B34="","",ROW(A18)&amp;". "&amp;Capacity!B34)</f>
        <v/>
      </c>
      <c r="AF20" s="68"/>
      <c r="AI20" s="68">
        <v>37</v>
      </c>
    </row>
    <row r="21" spans="1:35" x14ac:dyDescent="0.2">
      <c r="A21">
        <v>19</v>
      </c>
      <c r="S21" s="8">
        <f t="shared" si="0"/>
        <v>42594</v>
      </c>
      <c r="V21">
        <v>10.5</v>
      </c>
      <c r="AE21" s="68" t="str">
        <f>IF(Capacity!B35="","",ROW(A19)&amp;". "&amp;Capacity!B35)</f>
        <v/>
      </c>
      <c r="AF21" s="68"/>
      <c r="AI21" s="68">
        <v>38</v>
      </c>
    </row>
    <row r="22" spans="1:35" x14ac:dyDescent="0.2">
      <c r="A22">
        <v>20</v>
      </c>
      <c r="E22" t="s">
        <v>24</v>
      </c>
      <c r="S22" s="8">
        <f t="shared" si="0"/>
        <v>42601</v>
      </c>
      <c r="V22">
        <v>11</v>
      </c>
      <c r="AE22" s="68" t="str">
        <f>IF(Capacity!B36="","",ROW(A20)&amp;". "&amp;Capacity!B36)</f>
        <v/>
      </c>
      <c r="AF22" s="68"/>
      <c r="AI22" s="68">
        <v>39</v>
      </c>
    </row>
    <row r="23" spans="1:35" x14ac:dyDescent="0.2">
      <c r="A23">
        <v>21</v>
      </c>
      <c r="E23" t="s">
        <v>424</v>
      </c>
      <c r="S23" s="8">
        <f t="shared" si="0"/>
        <v>42608</v>
      </c>
      <c r="V23">
        <v>11.5</v>
      </c>
      <c r="AE23" s="68" t="str">
        <f>IF(Capacity!B37="","",ROW(A21)&amp;". "&amp;Capacity!B37)</f>
        <v/>
      </c>
      <c r="AF23" s="68"/>
      <c r="AI23" s="68">
        <v>40</v>
      </c>
    </row>
    <row r="24" spans="1:35" x14ac:dyDescent="0.2">
      <c r="A24">
        <v>22</v>
      </c>
      <c r="S24" s="8">
        <f t="shared" si="0"/>
        <v>42615</v>
      </c>
      <c r="V24">
        <v>12</v>
      </c>
      <c r="AE24" s="68" t="str">
        <f>IF(Capacity!B38="","",ROW(A22)&amp;". "&amp;Capacity!B38)</f>
        <v/>
      </c>
      <c r="AF24" s="68"/>
      <c r="AI24" s="68">
        <v>41</v>
      </c>
    </row>
    <row r="25" spans="1:35" x14ac:dyDescent="0.2">
      <c r="A25">
        <v>23</v>
      </c>
      <c r="E25" t="s">
        <v>483</v>
      </c>
      <c r="S25" s="8">
        <f t="shared" si="0"/>
        <v>42622</v>
      </c>
      <c r="AE25" s="68" t="str">
        <f>IF(Capacity!B39="","",ROW(A23)&amp;". "&amp;Capacity!B39)</f>
        <v/>
      </c>
      <c r="AF25" s="68"/>
      <c r="AI25" s="68">
        <v>42</v>
      </c>
    </row>
    <row r="26" spans="1:35" x14ac:dyDescent="0.2">
      <c r="A26">
        <v>24</v>
      </c>
      <c r="E26" t="s">
        <v>484</v>
      </c>
      <c r="S26" s="8">
        <f t="shared" si="0"/>
        <v>42629</v>
      </c>
      <c r="AE26" s="68" t="str">
        <f>IF(Capacity!B40="","",ROW(A24)&amp;". "&amp;Capacity!B40)</f>
        <v/>
      </c>
      <c r="AF26" s="68"/>
      <c r="AI26" s="68">
        <v>43</v>
      </c>
    </row>
    <row r="27" spans="1:35" x14ac:dyDescent="0.2">
      <c r="A27">
        <v>25</v>
      </c>
      <c r="S27" s="8">
        <f t="shared" si="0"/>
        <v>42636</v>
      </c>
      <c r="AE27" s="68" t="str">
        <f>IF(Capacity!B41="","",ROW(A25)&amp;". "&amp;Capacity!B41)</f>
        <v/>
      </c>
      <c r="AF27" s="68"/>
      <c r="AI27" s="68">
        <v>44</v>
      </c>
    </row>
    <row r="28" spans="1:35" x14ac:dyDescent="0.2">
      <c r="A28">
        <v>26</v>
      </c>
      <c r="S28" s="8">
        <f t="shared" si="0"/>
        <v>42643</v>
      </c>
      <c r="AE28" s="68" t="str">
        <f>IF(Capacity!B42="","",ROW(A26)&amp;". "&amp;Capacity!B42)</f>
        <v/>
      </c>
      <c r="AF28" s="68"/>
      <c r="AI28" s="68">
        <v>45</v>
      </c>
    </row>
    <row r="29" spans="1:35" x14ac:dyDescent="0.2">
      <c r="A29">
        <v>27</v>
      </c>
      <c r="C29" t="s">
        <v>196</v>
      </c>
      <c r="E29" t="s">
        <v>485</v>
      </c>
      <c r="S29" s="8">
        <f t="shared" si="0"/>
        <v>42650</v>
      </c>
      <c r="AE29" s="68" t="str">
        <f>IF(Capacity!B43="","",ROW(A27)&amp;". "&amp;Capacity!B43)</f>
        <v/>
      </c>
      <c r="AF29" s="68"/>
      <c r="AI29" s="68">
        <v>46</v>
      </c>
    </row>
    <row r="30" spans="1:35" x14ac:dyDescent="0.2">
      <c r="A30">
        <v>28</v>
      </c>
      <c r="C30" t="s">
        <v>194</v>
      </c>
      <c r="S30" s="8">
        <f t="shared" si="0"/>
        <v>42657</v>
      </c>
      <c r="AE30" s="68" t="str">
        <f>IF(Capacity!B44="","",ROW(A28)&amp;". "&amp;Capacity!B44)</f>
        <v/>
      </c>
      <c r="AF30" s="68"/>
      <c r="AI30" s="68">
        <v>47</v>
      </c>
    </row>
    <row r="31" spans="1:35" x14ac:dyDescent="0.2">
      <c r="A31">
        <v>29</v>
      </c>
      <c r="C31" t="s">
        <v>195</v>
      </c>
      <c r="S31" s="8">
        <f t="shared" si="0"/>
        <v>42664</v>
      </c>
      <c r="AE31" s="68" t="str">
        <f>IF(Capacity!B45="","",ROW(A29)&amp;". "&amp;Capacity!B45)</f>
        <v/>
      </c>
      <c r="AF31" s="68"/>
      <c r="AI31" s="68">
        <v>48</v>
      </c>
    </row>
    <row r="32" spans="1:35" x14ac:dyDescent="0.2">
      <c r="A32">
        <v>30</v>
      </c>
      <c r="S32" s="8">
        <f t="shared" si="0"/>
        <v>42671</v>
      </c>
      <c r="AE32" s="68" t="str">
        <f>IF(Capacity!B46="","",ROW(A30)&amp;". "&amp;Capacity!B46)</f>
        <v/>
      </c>
      <c r="AF32" s="68"/>
      <c r="AI32" s="68">
        <v>49</v>
      </c>
    </row>
    <row r="33" spans="1:35" x14ac:dyDescent="0.2">
      <c r="A33">
        <v>31</v>
      </c>
      <c r="S33" s="8">
        <f t="shared" si="0"/>
        <v>42678</v>
      </c>
      <c r="AE33" s="68" t="str">
        <f>IF(Capacity!B47="","",ROW(A31)&amp;". "&amp;Capacity!B47)</f>
        <v/>
      </c>
      <c r="AF33" s="68"/>
      <c r="AI33" s="68">
        <v>50</v>
      </c>
    </row>
    <row r="34" spans="1:35" x14ac:dyDescent="0.2">
      <c r="A34">
        <v>32</v>
      </c>
      <c r="C34" t="s">
        <v>24</v>
      </c>
      <c r="S34" s="8">
        <f t="shared" si="0"/>
        <v>42685</v>
      </c>
      <c r="AE34" s="68" t="str">
        <f>IF(Capacity!B48="","",ROW(A32)&amp;". "&amp;Capacity!B48)</f>
        <v/>
      </c>
      <c r="AF34" s="68"/>
      <c r="AI34" s="68">
        <v>51</v>
      </c>
    </row>
    <row r="35" spans="1:35" x14ac:dyDescent="0.2">
      <c r="A35">
        <v>33</v>
      </c>
      <c r="C35" t="s">
        <v>104</v>
      </c>
      <c r="S35" s="8">
        <f t="shared" si="0"/>
        <v>42692</v>
      </c>
      <c r="AE35" s="68" t="str">
        <f>IF(Capacity!B49="","",ROW(A33)&amp;". "&amp;Capacity!B49)</f>
        <v/>
      </c>
      <c r="AF35" s="68"/>
      <c r="AI35" s="68">
        <v>52</v>
      </c>
    </row>
    <row r="36" spans="1:35" x14ac:dyDescent="0.2">
      <c r="A36">
        <v>34</v>
      </c>
      <c r="S36" s="8">
        <f t="shared" si="0"/>
        <v>42699</v>
      </c>
      <c r="AE36" s="68" t="str">
        <f>IF(Capacity!B50="","",ROW(A34)&amp;". "&amp;Capacity!B50)</f>
        <v/>
      </c>
      <c r="AF36" s="68"/>
    </row>
    <row r="37" spans="1:35" x14ac:dyDescent="0.2">
      <c r="A37">
        <v>35</v>
      </c>
      <c r="S37" s="8">
        <f t="shared" si="0"/>
        <v>42706</v>
      </c>
      <c r="AE37" s="68" t="str">
        <f>IF(Capacity!B51="","",ROW(A35)&amp;". "&amp;Capacity!B51)</f>
        <v/>
      </c>
      <c r="AF37" s="68"/>
    </row>
    <row r="38" spans="1:35" x14ac:dyDescent="0.2">
      <c r="A38">
        <v>36</v>
      </c>
      <c r="S38" s="8">
        <f t="shared" si="0"/>
        <v>42713</v>
      </c>
      <c r="AE38" s="68" t="str">
        <f>IF(Capacity!B52="","",ROW(A36)&amp;". "&amp;Capacity!B52)</f>
        <v/>
      </c>
      <c r="AF38" s="68"/>
    </row>
    <row r="39" spans="1:35" x14ac:dyDescent="0.2">
      <c r="A39">
        <v>37</v>
      </c>
      <c r="S39" s="8">
        <f t="shared" si="0"/>
        <v>42720</v>
      </c>
      <c r="AE39" s="68" t="str">
        <f>IF(Capacity!B53="","",ROW(A37)&amp;". "&amp;Capacity!B53)</f>
        <v/>
      </c>
      <c r="AF39" s="68"/>
    </row>
    <row r="40" spans="1:35" x14ac:dyDescent="0.2">
      <c r="A40">
        <v>38</v>
      </c>
      <c r="S40" s="8">
        <f t="shared" si="0"/>
        <v>42727</v>
      </c>
      <c r="AE40" s="68" t="str">
        <f>IF(Capacity!B54="","",ROW(A38)&amp;". "&amp;Capacity!B54)</f>
        <v/>
      </c>
      <c r="AF40" s="68"/>
    </row>
    <row r="41" spans="1:35" x14ac:dyDescent="0.2">
      <c r="A41">
        <v>39</v>
      </c>
      <c r="S41" s="8">
        <f t="shared" si="0"/>
        <v>42734</v>
      </c>
      <c r="AE41" s="68" t="str">
        <f>IF(Capacity!B55="","",ROW(A39)&amp;". "&amp;Capacity!B55)</f>
        <v/>
      </c>
      <c r="AF41" s="68"/>
    </row>
    <row r="42" spans="1:35" x14ac:dyDescent="0.2">
      <c r="A42">
        <v>40</v>
      </c>
      <c r="S42" s="8">
        <f t="shared" si="0"/>
        <v>42741</v>
      </c>
      <c r="AE42" s="68" t="str">
        <f>IF(Capacity!B56="","",ROW(A40)&amp;". "&amp;Capacity!B56)</f>
        <v/>
      </c>
      <c r="AF42" s="68"/>
    </row>
    <row r="43" spans="1:35" x14ac:dyDescent="0.2">
      <c r="A43">
        <v>41</v>
      </c>
      <c r="S43" s="8">
        <f t="shared" si="0"/>
        <v>42748</v>
      </c>
      <c r="AE43" s="68" t="str">
        <f>IF(Capacity!B57="","",ROW(A41)&amp;". "&amp;Capacity!B57)</f>
        <v/>
      </c>
      <c r="AF43" s="68"/>
    </row>
    <row r="44" spans="1:35" x14ac:dyDescent="0.2">
      <c r="A44">
        <v>42</v>
      </c>
      <c r="S44" s="8">
        <f t="shared" si="0"/>
        <v>42755</v>
      </c>
      <c r="AE44" s="68" t="str">
        <f>IF(Capacity!B58="","",ROW(A42)&amp;". "&amp;Capacity!B58)</f>
        <v/>
      </c>
      <c r="AF44" s="68"/>
    </row>
    <row r="45" spans="1:35" x14ac:dyDescent="0.2">
      <c r="A45">
        <v>43</v>
      </c>
      <c r="S45" s="8">
        <f t="shared" si="0"/>
        <v>42762</v>
      </c>
      <c r="AE45" s="68" t="str">
        <f>IF(Capacity!B59="","",ROW(A43)&amp;". "&amp;Capacity!B59)</f>
        <v/>
      </c>
      <c r="AF45" s="68"/>
    </row>
    <row r="46" spans="1:35" x14ac:dyDescent="0.2">
      <c r="A46">
        <v>44</v>
      </c>
      <c r="S46" s="8">
        <f t="shared" si="0"/>
        <v>42769</v>
      </c>
      <c r="AE46" s="68" t="str">
        <f>IF(Capacity!B60="","",ROW(A44)&amp;". "&amp;Capacity!B60)</f>
        <v/>
      </c>
      <c r="AF46" s="68"/>
    </row>
    <row r="47" spans="1:35" x14ac:dyDescent="0.2">
      <c r="A47">
        <v>45</v>
      </c>
      <c r="S47" s="8">
        <f t="shared" si="0"/>
        <v>42776</v>
      </c>
      <c r="AE47" s="68" t="str">
        <f>IF(Capacity!B61="","",ROW(A45)&amp;". "&amp;Capacity!B61)</f>
        <v/>
      </c>
      <c r="AF47" s="68"/>
    </row>
    <row r="48" spans="1:35" x14ac:dyDescent="0.2">
      <c r="A48">
        <v>46</v>
      </c>
      <c r="S48" s="8">
        <f t="shared" si="0"/>
        <v>42783</v>
      </c>
      <c r="AE48" s="68" t="str">
        <f>IF(Capacity!B62="","",ROW(A46)&amp;". "&amp;Capacity!B62)</f>
        <v/>
      </c>
      <c r="AF48" s="68"/>
    </row>
    <row r="49" spans="1:32" x14ac:dyDescent="0.2">
      <c r="A49">
        <v>47</v>
      </c>
      <c r="S49" s="8">
        <f t="shared" si="0"/>
        <v>42790</v>
      </c>
      <c r="AE49" s="68" t="str">
        <f>IF(Capacity!B63="","",ROW(A47)&amp;". "&amp;Capacity!B63)</f>
        <v/>
      </c>
      <c r="AF49" s="68"/>
    </row>
    <row r="50" spans="1:32" x14ac:dyDescent="0.2">
      <c r="A50">
        <v>48</v>
      </c>
      <c r="S50" s="8">
        <f t="shared" si="0"/>
        <v>42797</v>
      </c>
      <c r="AE50" s="68" t="str">
        <f>IF(Capacity!B64="","",ROW(A48)&amp;". "&amp;Capacity!B64)</f>
        <v/>
      </c>
      <c r="AF50" s="68"/>
    </row>
    <row r="51" spans="1:32" x14ac:dyDescent="0.2">
      <c r="A51">
        <v>49</v>
      </c>
      <c r="S51" s="8">
        <f t="shared" si="0"/>
        <v>42804</v>
      </c>
      <c r="AE51" s="68" t="str">
        <f>IF(Capacity!B65="","",ROW(A49)&amp;". "&amp;Capacity!B65)</f>
        <v/>
      </c>
      <c r="AF51" s="68"/>
    </row>
    <row r="52" spans="1:32" x14ac:dyDescent="0.2">
      <c r="A52">
        <v>50</v>
      </c>
      <c r="S52" s="8">
        <f t="shared" si="0"/>
        <v>42811</v>
      </c>
      <c r="AE52" s="68" t="str">
        <f>IF(Capacity!B66="","",ROW(A50)&amp;". "&amp;Capacity!B66)</f>
        <v/>
      </c>
      <c r="AF52" s="68"/>
    </row>
    <row r="53" spans="1:32" x14ac:dyDescent="0.2">
      <c r="A53">
        <v>51</v>
      </c>
      <c r="S53" s="8">
        <f t="shared" si="0"/>
        <v>42818</v>
      </c>
      <c r="AE53" s="68" t="str">
        <f>IF(Capacity!B67="","",ROW(A51)&amp;". "&amp;Capacity!B67)</f>
        <v/>
      </c>
      <c r="AF53" s="68"/>
    </row>
    <row r="54" spans="1:32" x14ac:dyDescent="0.2">
      <c r="A54">
        <v>52</v>
      </c>
      <c r="AE54" s="68" t="str">
        <f>IF(Capacity!B68="","",ROW(A52)&amp;". "&amp;Capacity!B68)</f>
        <v/>
      </c>
      <c r="AF54" s="68"/>
    </row>
    <row r="55" spans="1:32" x14ac:dyDescent="0.2">
      <c r="A55">
        <v>53</v>
      </c>
      <c r="AE55" s="68" t="str">
        <f>IF(Capacity!B69="","",ROW(A53)&amp;". "&amp;Capacity!B69)</f>
        <v/>
      </c>
      <c r="AF55" s="68"/>
    </row>
    <row r="56" spans="1:32" x14ac:dyDescent="0.2">
      <c r="A56">
        <v>54</v>
      </c>
      <c r="AE56" s="68" t="str">
        <f>IF(Capacity!B70="","",ROW(A54)&amp;". "&amp;Capacity!B70)</f>
        <v/>
      </c>
      <c r="AF56" s="68"/>
    </row>
    <row r="57" spans="1:32" x14ac:dyDescent="0.2">
      <c r="A57">
        <v>55</v>
      </c>
      <c r="AE57" s="68" t="str">
        <f>IF(Capacity!B71="","",ROW(A55)&amp;". "&amp;Capacity!B71)</f>
        <v/>
      </c>
      <c r="AF57" s="68"/>
    </row>
    <row r="58" spans="1:32" x14ac:dyDescent="0.2">
      <c r="A58">
        <v>56</v>
      </c>
      <c r="AE58" s="68" t="str">
        <f>IF(Capacity!B72="","",ROW(A56)&amp;". "&amp;Capacity!B72)</f>
        <v/>
      </c>
      <c r="AF58" s="68"/>
    </row>
    <row r="59" spans="1:32" x14ac:dyDescent="0.2">
      <c r="A59">
        <v>57</v>
      </c>
      <c r="AE59" s="68" t="str">
        <f>IF(Capacity!B73="","",ROW(A57)&amp;". "&amp;Capacity!B73)</f>
        <v/>
      </c>
      <c r="AF59" s="68"/>
    </row>
    <row r="60" spans="1:32" x14ac:dyDescent="0.2">
      <c r="A60">
        <v>58</v>
      </c>
      <c r="AE60" s="68" t="str">
        <f>IF(Capacity!B74="","",ROW(A58)&amp;". "&amp;Capacity!B74)</f>
        <v/>
      </c>
      <c r="AF60" s="68"/>
    </row>
    <row r="61" spans="1:32" x14ac:dyDescent="0.2">
      <c r="A61">
        <v>59</v>
      </c>
      <c r="AE61" s="68" t="str">
        <f>IF(Capacity!B75="","",ROW(A59)&amp;". "&amp;Capacity!B75)</f>
        <v/>
      </c>
      <c r="AF61" s="68"/>
    </row>
    <row r="62" spans="1:32" x14ac:dyDescent="0.2">
      <c r="A62">
        <v>60</v>
      </c>
      <c r="AE62" s="68" t="str">
        <f>IF(Capacity!B76="","",ROW(A60)&amp;". "&amp;Capacity!B76)</f>
        <v/>
      </c>
      <c r="AF62" s="68"/>
    </row>
    <row r="63" spans="1:32" x14ac:dyDescent="0.2">
      <c r="A63">
        <v>61</v>
      </c>
      <c r="AE63" s="68" t="str">
        <f>IF(Capacity!B77="","",ROW(A61)&amp;". "&amp;Capacity!B77)</f>
        <v/>
      </c>
      <c r="AF63" s="68"/>
    </row>
    <row r="64" spans="1:32" x14ac:dyDescent="0.2">
      <c r="A64">
        <v>62</v>
      </c>
      <c r="AE64" s="68" t="str">
        <f>IF(Capacity!B78="","",ROW(A62)&amp;". "&amp;Capacity!B78)</f>
        <v/>
      </c>
      <c r="AF64" s="68"/>
    </row>
    <row r="65" spans="1:32" x14ac:dyDescent="0.2">
      <c r="A65">
        <v>63</v>
      </c>
      <c r="AE65" s="68" t="str">
        <f>IF(Capacity!B79="","",ROW(A63)&amp;". "&amp;Capacity!B79)</f>
        <v/>
      </c>
      <c r="AF65" s="68"/>
    </row>
    <row r="66" spans="1:32" x14ac:dyDescent="0.2">
      <c r="A66">
        <v>64</v>
      </c>
      <c r="AE66" s="68" t="str">
        <f>IF(Capacity!B80="","",ROW(A64)&amp;". "&amp;Capacity!B80)</f>
        <v/>
      </c>
      <c r="AF66" s="68"/>
    </row>
    <row r="67" spans="1:32" x14ac:dyDescent="0.2">
      <c r="A67">
        <v>65</v>
      </c>
      <c r="AE67" s="68" t="str">
        <f>IF(Capacity!B81="","",ROW(A65)&amp;". "&amp;Capacity!B81)</f>
        <v/>
      </c>
      <c r="AF67" s="68"/>
    </row>
    <row r="68" spans="1:32" x14ac:dyDescent="0.2">
      <c r="A68">
        <v>66</v>
      </c>
      <c r="AE68" s="68" t="str">
        <f>IF(Capacity!B82="","",ROW(A66)&amp;". "&amp;Capacity!B82)</f>
        <v/>
      </c>
      <c r="AF68" s="68"/>
    </row>
    <row r="69" spans="1:32" x14ac:dyDescent="0.2">
      <c r="A69">
        <v>67</v>
      </c>
      <c r="AE69" s="68" t="str">
        <f>IF(Capacity!B83="","",ROW(A67)&amp;". "&amp;Capacity!B83)</f>
        <v/>
      </c>
      <c r="AF69" s="68"/>
    </row>
    <row r="70" spans="1:32" x14ac:dyDescent="0.2">
      <c r="A70">
        <v>68</v>
      </c>
      <c r="AE70" s="68" t="str">
        <f>IF(Capacity!B84="","",ROW(A68)&amp;". "&amp;Capacity!B84)</f>
        <v/>
      </c>
      <c r="AF70" s="68"/>
    </row>
    <row r="71" spans="1:32" x14ac:dyDescent="0.2">
      <c r="A71">
        <v>69</v>
      </c>
      <c r="AE71" s="68" t="str">
        <f>IF(Capacity!B85="","",ROW(A69)&amp;". "&amp;Capacity!B85)</f>
        <v/>
      </c>
      <c r="AF71" s="68"/>
    </row>
    <row r="72" spans="1:32" x14ac:dyDescent="0.2">
      <c r="A72">
        <v>70</v>
      </c>
      <c r="AE72" s="68" t="str">
        <f>IF(Capacity!B86="","",ROW(A70)&amp;". "&amp;Capacity!B86)</f>
        <v/>
      </c>
      <c r="AF72" s="68"/>
    </row>
    <row r="73" spans="1:32" x14ac:dyDescent="0.2">
      <c r="A73">
        <v>71</v>
      </c>
      <c r="AE73" s="68" t="str">
        <f>IF(Capacity!B87="","",ROW(A71)&amp;". "&amp;Capacity!B87)</f>
        <v/>
      </c>
      <c r="AF73" s="68"/>
    </row>
    <row r="74" spans="1:32" x14ac:dyDescent="0.2">
      <c r="A74">
        <v>72</v>
      </c>
      <c r="AE74" s="68" t="str">
        <f>IF(Capacity!B88="","",ROW(A72)&amp;". "&amp;Capacity!B88)</f>
        <v/>
      </c>
      <c r="AF74" s="68"/>
    </row>
    <row r="75" spans="1:32" x14ac:dyDescent="0.2">
      <c r="A75">
        <v>73</v>
      </c>
      <c r="AE75" s="68" t="str">
        <f>IF(Capacity!B89="","",ROW(A73)&amp;". "&amp;Capacity!B89)</f>
        <v/>
      </c>
      <c r="AF75" s="68"/>
    </row>
    <row r="76" spans="1:32" x14ac:dyDescent="0.2">
      <c r="A76">
        <v>74</v>
      </c>
      <c r="AE76" s="68" t="str">
        <f>IF(Capacity!B90="","",ROW(A74)&amp;". "&amp;Capacity!B90)</f>
        <v/>
      </c>
      <c r="AF76" s="68"/>
    </row>
    <row r="77" spans="1:32" x14ac:dyDescent="0.2">
      <c r="A77">
        <v>75</v>
      </c>
      <c r="AE77" s="68" t="str">
        <f>IF(Capacity!B91="","",ROW(A75)&amp;". "&amp;Capacity!B91)</f>
        <v/>
      </c>
      <c r="AF77" s="68"/>
    </row>
    <row r="78" spans="1:32" x14ac:dyDescent="0.2">
      <c r="A78">
        <v>76</v>
      </c>
      <c r="AE78" s="68" t="str">
        <f>IF(Capacity!B92="","",ROW(A76)&amp;". "&amp;Capacity!B92)</f>
        <v/>
      </c>
      <c r="AF78" s="68"/>
    </row>
    <row r="79" spans="1:32" x14ac:dyDescent="0.2">
      <c r="A79">
        <v>77</v>
      </c>
      <c r="AE79" s="68" t="str">
        <f>IF(Capacity!B93="","",ROW(A77)&amp;". "&amp;Capacity!B93)</f>
        <v/>
      </c>
      <c r="AF79" s="68"/>
    </row>
    <row r="80" spans="1:32" x14ac:dyDescent="0.2">
      <c r="A80">
        <v>78</v>
      </c>
      <c r="AE80" s="68" t="str">
        <f>IF(Capacity!B94="","",ROW(A78)&amp;". "&amp;Capacity!B94)</f>
        <v/>
      </c>
      <c r="AF80" s="68"/>
    </row>
    <row r="81" spans="1:32" x14ac:dyDescent="0.2">
      <c r="A81">
        <v>79</v>
      </c>
      <c r="AE81" s="68" t="str">
        <f>IF(Capacity!B95="","",ROW(A79)&amp;". "&amp;Capacity!B95)</f>
        <v/>
      </c>
      <c r="AF81" s="68"/>
    </row>
    <row r="82" spans="1:32" x14ac:dyDescent="0.2">
      <c r="A82">
        <v>80</v>
      </c>
      <c r="AE82" s="68" t="str">
        <f>IF(Capacity!B96="","",ROW(A80)&amp;". "&amp;Capacity!B96)</f>
        <v/>
      </c>
      <c r="AF82" s="68"/>
    </row>
    <row r="83" spans="1:32" x14ac:dyDescent="0.2">
      <c r="A83">
        <v>81</v>
      </c>
      <c r="AE83" s="68" t="str">
        <f>IF(Capacity!B97="","",ROW(A81)&amp;". "&amp;Capacity!B97)</f>
        <v/>
      </c>
      <c r="AF83" s="68"/>
    </row>
    <row r="84" spans="1:32" x14ac:dyDescent="0.2">
      <c r="A84">
        <v>82</v>
      </c>
      <c r="AE84" s="68" t="str">
        <f>IF(Capacity!B98="","",ROW(A82)&amp;". "&amp;Capacity!B98)</f>
        <v/>
      </c>
      <c r="AF84" s="68"/>
    </row>
    <row r="85" spans="1:32" x14ac:dyDescent="0.2">
      <c r="A85">
        <v>83</v>
      </c>
      <c r="AE85" s="68" t="str">
        <f>IF(Capacity!B99="","",ROW(A83)&amp;". "&amp;Capacity!B99)</f>
        <v/>
      </c>
      <c r="AF85" s="68"/>
    </row>
    <row r="86" spans="1:32" x14ac:dyDescent="0.2">
      <c r="A86">
        <v>84</v>
      </c>
      <c r="AE86" s="68" t="str">
        <f>IF(Capacity!B100="","",ROW(A84)&amp;". "&amp;Capacity!B100)</f>
        <v/>
      </c>
      <c r="AF86" s="68"/>
    </row>
    <row r="87" spans="1:32" x14ac:dyDescent="0.2">
      <c r="A87">
        <v>85</v>
      </c>
      <c r="AE87" s="68" t="str">
        <f>IF(Capacity!B101="","",ROW(A85)&amp;". "&amp;Capacity!B101)</f>
        <v/>
      </c>
      <c r="AF87" s="68"/>
    </row>
    <row r="88" spans="1:32" x14ac:dyDescent="0.2">
      <c r="A88">
        <v>86</v>
      </c>
      <c r="AE88" s="68" t="str">
        <f>IF(Capacity!B102="","",ROW(A86)&amp;". "&amp;Capacity!B102)</f>
        <v/>
      </c>
      <c r="AF88" s="68"/>
    </row>
    <row r="89" spans="1:32" x14ac:dyDescent="0.2">
      <c r="A89">
        <v>87</v>
      </c>
      <c r="AE89" s="68" t="str">
        <f>IF(Capacity!B103="","",ROW(A87)&amp;". "&amp;Capacity!B103)</f>
        <v/>
      </c>
      <c r="AF89" s="68"/>
    </row>
    <row r="90" spans="1:32" x14ac:dyDescent="0.2">
      <c r="A90">
        <v>88</v>
      </c>
      <c r="AE90" s="68" t="str">
        <f>IF(Capacity!B104="","",ROW(A88)&amp;". "&amp;Capacity!B104)</f>
        <v/>
      </c>
      <c r="AF90" s="68"/>
    </row>
    <row r="91" spans="1:32" x14ac:dyDescent="0.2">
      <c r="A91">
        <v>89</v>
      </c>
      <c r="AE91" s="68" t="str">
        <f>IF(Capacity!B105="","",ROW(A89)&amp;". "&amp;Capacity!B105)</f>
        <v/>
      </c>
      <c r="AF91" s="68"/>
    </row>
    <row r="92" spans="1:32" x14ac:dyDescent="0.2">
      <c r="A92">
        <v>90</v>
      </c>
      <c r="AE92" s="68" t="str">
        <f>IF(Capacity!B106="","",ROW(A90)&amp;". "&amp;Capacity!B106)</f>
        <v/>
      </c>
      <c r="AF92" s="68"/>
    </row>
    <row r="93" spans="1:32" x14ac:dyDescent="0.2">
      <c r="A93">
        <v>91</v>
      </c>
      <c r="AE93" s="68" t="str">
        <f>IF(Capacity!B107="","",ROW(A91)&amp;". "&amp;Capacity!B107)</f>
        <v/>
      </c>
      <c r="AF93" s="68"/>
    </row>
    <row r="94" spans="1:32" x14ac:dyDescent="0.2">
      <c r="A94">
        <v>92</v>
      </c>
      <c r="AE94" s="68" t="str">
        <f>IF(Capacity!B108="","",ROW(A92)&amp;". "&amp;Capacity!B108)</f>
        <v/>
      </c>
      <c r="AF94" s="68"/>
    </row>
    <row r="95" spans="1:32" x14ac:dyDescent="0.2">
      <c r="A95">
        <v>93</v>
      </c>
      <c r="AE95" s="68" t="str">
        <f>IF(Capacity!B109="","",ROW(A93)&amp;". "&amp;Capacity!B109)</f>
        <v/>
      </c>
      <c r="AF95" s="68"/>
    </row>
    <row r="96" spans="1:32" x14ac:dyDescent="0.2">
      <c r="A96">
        <v>94</v>
      </c>
      <c r="AE96" s="68" t="str">
        <f>IF(Capacity!B110="","",ROW(A94)&amp;". "&amp;Capacity!B110)</f>
        <v/>
      </c>
      <c r="AF96" s="68"/>
    </row>
    <row r="97" spans="1:32" x14ac:dyDescent="0.2">
      <c r="A97">
        <v>95</v>
      </c>
      <c r="AE97" s="68" t="str">
        <f>IF(Capacity!B111="","",ROW(A95)&amp;". "&amp;Capacity!B111)</f>
        <v/>
      </c>
      <c r="AF97" s="68"/>
    </row>
    <row r="98" spans="1:32" x14ac:dyDescent="0.2">
      <c r="A98">
        <v>96</v>
      </c>
      <c r="AE98" s="68" t="str">
        <f>IF(Capacity!B112="","",ROW(A96)&amp;". "&amp;Capacity!B112)</f>
        <v/>
      </c>
      <c r="AF98" s="68"/>
    </row>
    <row r="99" spans="1:32" x14ac:dyDescent="0.2">
      <c r="A99">
        <v>97</v>
      </c>
      <c r="AE99" s="68" t="str">
        <f>IF(Capacity!B113="","",ROW(A97)&amp;". "&amp;Capacity!B113)</f>
        <v/>
      </c>
      <c r="AF99" s="68"/>
    </row>
    <row r="100" spans="1:32" x14ac:dyDescent="0.2">
      <c r="A100">
        <v>98</v>
      </c>
      <c r="AE100" s="68" t="str">
        <f>IF(Capacity!B114="","",ROW(A98)&amp;". "&amp;Capacity!B114)</f>
        <v/>
      </c>
      <c r="AF100" s="68"/>
    </row>
    <row r="101" spans="1:32" x14ac:dyDescent="0.2">
      <c r="A101">
        <v>99</v>
      </c>
      <c r="AE101" s="68" t="str">
        <f>IF(Capacity!B115="","",ROW(A99)&amp;". "&amp;Capacity!B115)</f>
        <v/>
      </c>
      <c r="AF101" s="68"/>
    </row>
    <row r="102" spans="1:32" x14ac:dyDescent="0.2">
      <c r="A102">
        <v>100</v>
      </c>
      <c r="AE102" s="68" t="str">
        <f>IF(Capacity!B116="","",ROW(A100)&amp;". "&amp;Capacity!B116)</f>
        <v/>
      </c>
      <c r="AF102" s="68"/>
    </row>
    <row r="103" spans="1:32" x14ac:dyDescent="0.2">
      <c r="A103">
        <v>101</v>
      </c>
      <c r="AE103" s="68" t="e">
        <f>IF(Capacity!#REF!="","",ROW(A101)&amp;". "&amp;Capacity!#REF!)</f>
        <v>#REF!</v>
      </c>
      <c r="AF103" s="68"/>
    </row>
    <row r="104" spans="1:32" x14ac:dyDescent="0.2">
      <c r="A104">
        <v>102</v>
      </c>
      <c r="AE104" s="68" t="e">
        <f>IF(Capacity!#REF!="","",ROW(A102)&amp;". "&amp;Capacity!#REF!)</f>
        <v>#REF!</v>
      </c>
      <c r="AF104" s="68"/>
    </row>
    <row r="105" spans="1:32" x14ac:dyDescent="0.2">
      <c r="A105">
        <v>103</v>
      </c>
    </row>
    <row r="106" spans="1:32" x14ac:dyDescent="0.2">
      <c r="A106">
        <v>104</v>
      </c>
    </row>
    <row r="107" spans="1:32" x14ac:dyDescent="0.2">
      <c r="A107">
        <v>105</v>
      </c>
    </row>
    <row r="108" spans="1:32" x14ac:dyDescent="0.2">
      <c r="A108">
        <v>106</v>
      </c>
    </row>
    <row r="109" spans="1:32" x14ac:dyDescent="0.2">
      <c r="A109">
        <v>107</v>
      </c>
    </row>
    <row r="110" spans="1:32" x14ac:dyDescent="0.2">
      <c r="A110">
        <v>108</v>
      </c>
    </row>
    <row r="111" spans="1:32" x14ac:dyDescent="0.2">
      <c r="A111">
        <v>109</v>
      </c>
    </row>
    <row r="112" spans="1:32" x14ac:dyDescent="0.2">
      <c r="A112">
        <v>110</v>
      </c>
    </row>
    <row r="113" spans="1:1" x14ac:dyDescent="0.2">
      <c r="A113">
        <v>111</v>
      </c>
    </row>
    <row r="114" spans="1:1" x14ac:dyDescent="0.2">
      <c r="A114">
        <v>112</v>
      </c>
    </row>
    <row r="115" spans="1:1" x14ac:dyDescent="0.2">
      <c r="A115">
        <v>113</v>
      </c>
    </row>
    <row r="116" spans="1:1" x14ac:dyDescent="0.2">
      <c r="A116">
        <v>114</v>
      </c>
    </row>
    <row r="117" spans="1:1" x14ac:dyDescent="0.2">
      <c r="A117">
        <v>115</v>
      </c>
    </row>
    <row r="118" spans="1:1" x14ac:dyDescent="0.2">
      <c r="A118">
        <v>116</v>
      </c>
    </row>
    <row r="119" spans="1:1" x14ac:dyDescent="0.2">
      <c r="A119">
        <v>117</v>
      </c>
    </row>
    <row r="120" spans="1:1" x14ac:dyDescent="0.2">
      <c r="A120">
        <v>118</v>
      </c>
    </row>
    <row r="121" spans="1:1" x14ac:dyDescent="0.2">
      <c r="A121">
        <v>119</v>
      </c>
    </row>
    <row r="122" spans="1:1" x14ac:dyDescent="0.2">
      <c r="A122">
        <v>120</v>
      </c>
    </row>
    <row r="123" spans="1:1" x14ac:dyDescent="0.2">
      <c r="A123">
        <v>121</v>
      </c>
    </row>
    <row r="124" spans="1:1" x14ac:dyDescent="0.2">
      <c r="A124">
        <v>122</v>
      </c>
    </row>
    <row r="125" spans="1:1" x14ac:dyDescent="0.2">
      <c r="A125">
        <v>123</v>
      </c>
    </row>
    <row r="126" spans="1:1" x14ac:dyDescent="0.2">
      <c r="A126">
        <v>124</v>
      </c>
    </row>
    <row r="127" spans="1:1" x14ac:dyDescent="0.2">
      <c r="A127">
        <v>125</v>
      </c>
    </row>
    <row r="128" spans="1:1" x14ac:dyDescent="0.2">
      <c r="A128">
        <v>126</v>
      </c>
    </row>
    <row r="129" spans="1:1" x14ac:dyDescent="0.2">
      <c r="A129">
        <v>127</v>
      </c>
    </row>
    <row r="130" spans="1:1" x14ac:dyDescent="0.2">
      <c r="A130">
        <v>128</v>
      </c>
    </row>
    <row r="131" spans="1:1" x14ac:dyDescent="0.2">
      <c r="A131">
        <v>129</v>
      </c>
    </row>
    <row r="132" spans="1:1" x14ac:dyDescent="0.2">
      <c r="A132">
        <v>130</v>
      </c>
    </row>
    <row r="133" spans="1:1" x14ac:dyDescent="0.2">
      <c r="A133">
        <v>131</v>
      </c>
    </row>
    <row r="134" spans="1:1" x14ac:dyDescent="0.2">
      <c r="A134">
        <v>132</v>
      </c>
    </row>
    <row r="135" spans="1:1" x14ac:dyDescent="0.2">
      <c r="A135">
        <v>133</v>
      </c>
    </row>
    <row r="136" spans="1:1" x14ac:dyDescent="0.2">
      <c r="A136">
        <v>134</v>
      </c>
    </row>
    <row r="137" spans="1:1" x14ac:dyDescent="0.2">
      <c r="A137">
        <v>135</v>
      </c>
    </row>
    <row r="138" spans="1:1" x14ac:dyDescent="0.2">
      <c r="A138">
        <v>136</v>
      </c>
    </row>
    <row r="139" spans="1:1" x14ac:dyDescent="0.2">
      <c r="A139">
        <v>137</v>
      </c>
    </row>
    <row r="140" spans="1:1" x14ac:dyDescent="0.2">
      <c r="A140">
        <v>138</v>
      </c>
    </row>
    <row r="141" spans="1:1" x14ac:dyDescent="0.2">
      <c r="A141">
        <v>139</v>
      </c>
    </row>
    <row r="142" spans="1:1" x14ac:dyDescent="0.2">
      <c r="A142">
        <v>140</v>
      </c>
    </row>
    <row r="143" spans="1:1" x14ac:dyDescent="0.2">
      <c r="A143">
        <v>141</v>
      </c>
    </row>
    <row r="144" spans="1:1" x14ac:dyDescent="0.2">
      <c r="A144">
        <v>142</v>
      </c>
    </row>
    <row r="145" spans="1:1" x14ac:dyDescent="0.2">
      <c r="A145">
        <v>143</v>
      </c>
    </row>
    <row r="146" spans="1:1" x14ac:dyDescent="0.2">
      <c r="A146">
        <v>144</v>
      </c>
    </row>
    <row r="147" spans="1:1" x14ac:dyDescent="0.2">
      <c r="A147">
        <v>145</v>
      </c>
    </row>
    <row r="148" spans="1:1" x14ac:dyDescent="0.2">
      <c r="A148">
        <v>146</v>
      </c>
    </row>
    <row r="149" spans="1:1" x14ac:dyDescent="0.2">
      <c r="A149">
        <v>147</v>
      </c>
    </row>
    <row r="150" spans="1:1" x14ac:dyDescent="0.2">
      <c r="A150">
        <v>148</v>
      </c>
    </row>
    <row r="151" spans="1:1" x14ac:dyDescent="0.2">
      <c r="A151">
        <v>149</v>
      </c>
    </row>
    <row r="152" spans="1:1" x14ac:dyDescent="0.2">
      <c r="A152">
        <v>150</v>
      </c>
    </row>
    <row r="153" spans="1:1" x14ac:dyDescent="0.2">
      <c r="A153">
        <v>151</v>
      </c>
    </row>
    <row r="154" spans="1:1" x14ac:dyDescent="0.2">
      <c r="A154">
        <v>152</v>
      </c>
    </row>
    <row r="155" spans="1:1" x14ac:dyDescent="0.2">
      <c r="A155">
        <v>153</v>
      </c>
    </row>
    <row r="156" spans="1:1" x14ac:dyDescent="0.2">
      <c r="A156">
        <v>154</v>
      </c>
    </row>
    <row r="157" spans="1:1" x14ac:dyDescent="0.2">
      <c r="A157">
        <v>155</v>
      </c>
    </row>
    <row r="158" spans="1:1" x14ac:dyDescent="0.2">
      <c r="A158">
        <v>156</v>
      </c>
    </row>
    <row r="159" spans="1:1" x14ac:dyDescent="0.2">
      <c r="A159">
        <v>157</v>
      </c>
    </row>
    <row r="160" spans="1:1" x14ac:dyDescent="0.2">
      <c r="A160">
        <v>158</v>
      </c>
    </row>
    <row r="161" spans="1:1" x14ac:dyDescent="0.2">
      <c r="A161">
        <v>159</v>
      </c>
    </row>
    <row r="162" spans="1:1" x14ac:dyDescent="0.2">
      <c r="A162">
        <v>160</v>
      </c>
    </row>
    <row r="163" spans="1:1" x14ac:dyDescent="0.2">
      <c r="A163">
        <v>161</v>
      </c>
    </row>
    <row r="164" spans="1:1" x14ac:dyDescent="0.2">
      <c r="A164">
        <v>162</v>
      </c>
    </row>
    <row r="165" spans="1:1" x14ac:dyDescent="0.2">
      <c r="A165">
        <v>163</v>
      </c>
    </row>
    <row r="166" spans="1:1" x14ac:dyDescent="0.2">
      <c r="A166">
        <v>164</v>
      </c>
    </row>
    <row r="167" spans="1:1" x14ac:dyDescent="0.2">
      <c r="A167">
        <v>165</v>
      </c>
    </row>
    <row r="168" spans="1:1" x14ac:dyDescent="0.2">
      <c r="A168">
        <v>166</v>
      </c>
    </row>
    <row r="169" spans="1:1" x14ac:dyDescent="0.2">
      <c r="A169">
        <v>167</v>
      </c>
    </row>
    <row r="170" spans="1:1" x14ac:dyDescent="0.2">
      <c r="A170">
        <v>168</v>
      </c>
    </row>
    <row r="171" spans="1:1" x14ac:dyDescent="0.2">
      <c r="A171">
        <v>169</v>
      </c>
    </row>
    <row r="172" spans="1:1" x14ac:dyDescent="0.2">
      <c r="A172">
        <v>170</v>
      </c>
    </row>
    <row r="173" spans="1:1" x14ac:dyDescent="0.2">
      <c r="A173">
        <v>171</v>
      </c>
    </row>
    <row r="174" spans="1:1" x14ac:dyDescent="0.2">
      <c r="A174">
        <v>172</v>
      </c>
    </row>
    <row r="175" spans="1:1" x14ac:dyDescent="0.2">
      <c r="A175">
        <v>173</v>
      </c>
    </row>
    <row r="176" spans="1:1" x14ac:dyDescent="0.2">
      <c r="A176">
        <v>174</v>
      </c>
    </row>
    <row r="177" spans="1:1" x14ac:dyDescent="0.2">
      <c r="A177">
        <v>175</v>
      </c>
    </row>
    <row r="178" spans="1:1" x14ac:dyDescent="0.2">
      <c r="A178">
        <v>176</v>
      </c>
    </row>
    <row r="179" spans="1:1" x14ac:dyDescent="0.2">
      <c r="A179">
        <v>177</v>
      </c>
    </row>
    <row r="180" spans="1:1" x14ac:dyDescent="0.2">
      <c r="A180">
        <v>178</v>
      </c>
    </row>
    <row r="181" spans="1:1" x14ac:dyDescent="0.2">
      <c r="A181">
        <v>179</v>
      </c>
    </row>
    <row r="182" spans="1:1" x14ac:dyDescent="0.2">
      <c r="A182">
        <v>180</v>
      </c>
    </row>
    <row r="183" spans="1:1" x14ac:dyDescent="0.2">
      <c r="A183">
        <v>181</v>
      </c>
    </row>
    <row r="184" spans="1:1" x14ac:dyDescent="0.2">
      <c r="A184">
        <v>182</v>
      </c>
    </row>
    <row r="185" spans="1:1" x14ac:dyDescent="0.2">
      <c r="A185">
        <v>183</v>
      </c>
    </row>
    <row r="186" spans="1:1" x14ac:dyDescent="0.2">
      <c r="A186">
        <v>184</v>
      </c>
    </row>
    <row r="187" spans="1:1" x14ac:dyDescent="0.2">
      <c r="A187">
        <v>185</v>
      </c>
    </row>
    <row r="188" spans="1:1" x14ac:dyDescent="0.2">
      <c r="A188">
        <v>186</v>
      </c>
    </row>
    <row r="189" spans="1:1" x14ac:dyDescent="0.2">
      <c r="A189">
        <v>187</v>
      </c>
    </row>
    <row r="190" spans="1:1" x14ac:dyDescent="0.2">
      <c r="A190">
        <v>188</v>
      </c>
    </row>
    <row r="191" spans="1:1" x14ac:dyDescent="0.2">
      <c r="A191">
        <v>189</v>
      </c>
    </row>
    <row r="192" spans="1:1" x14ac:dyDescent="0.2">
      <c r="A192">
        <v>190</v>
      </c>
    </row>
    <row r="193" spans="1:1" x14ac:dyDescent="0.2">
      <c r="A193">
        <v>191</v>
      </c>
    </row>
    <row r="194" spans="1:1" x14ac:dyDescent="0.2">
      <c r="A194">
        <v>192</v>
      </c>
    </row>
    <row r="195" spans="1:1" x14ac:dyDescent="0.2">
      <c r="A195">
        <v>193</v>
      </c>
    </row>
    <row r="196" spans="1:1" x14ac:dyDescent="0.2">
      <c r="A196">
        <v>194</v>
      </c>
    </row>
    <row r="197" spans="1:1" x14ac:dyDescent="0.2">
      <c r="A197">
        <v>195</v>
      </c>
    </row>
    <row r="198" spans="1:1" x14ac:dyDescent="0.2">
      <c r="A198">
        <v>196</v>
      </c>
    </row>
    <row r="199" spans="1:1" x14ac:dyDescent="0.2">
      <c r="A199">
        <v>197</v>
      </c>
    </row>
    <row r="200" spans="1:1" x14ac:dyDescent="0.2">
      <c r="A200">
        <v>198</v>
      </c>
    </row>
    <row r="201" spans="1:1" x14ac:dyDescent="0.2">
      <c r="A201">
        <v>199</v>
      </c>
    </row>
    <row r="202" spans="1:1" x14ac:dyDescent="0.2">
      <c r="A202">
        <v>200</v>
      </c>
    </row>
    <row r="203" spans="1:1" x14ac:dyDescent="0.2">
      <c r="A203">
        <v>201</v>
      </c>
    </row>
    <row r="204" spans="1:1" x14ac:dyDescent="0.2">
      <c r="A204">
        <v>202</v>
      </c>
    </row>
    <row r="205" spans="1:1" x14ac:dyDescent="0.2">
      <c r="A205">
        <v>203</v>
      </c>
    </row>
    <row r="206" spans="1:1" x14ac:dyDescent="0.2">
      <c r="A206">
        <v>204</v>
      </c>
    </row>
    <row r="207" spans="1:1" x14ac:dyDescent="0.2">
      <c r="A207">
        <v>205</v>
      </c>
    </row>
    <row r="208" spans="1:1" x14ac:dyDescent="0.2">
      <c r="A208">
        <v>206</v>
      </c>
    </row>
    <row r="209" spans="1:1" x14ac:dyDescent="0.2">
      <c r="A209">
        <v>207</v>
      </c>
    </row>
    <row r="210" spans="1:1" x14ac:dyDescent="0.2">
      <c r="A210">
        <v>208</v>
      </c>
    </row>
    <row r="211" spans="1:1" x14ac:dyDescent="0.2">
      <c r="A211">
        <v>209</v>
      </c>
    </row>
    <row r="212" spans="1:1" x14ac:dyDescent="0.2">
      <c r="A212">
        <v>210</v>
      </c>
    </row>
    <row r="213" spans="1:1" x14ac:dyDescent="0.2">
      <c r="A213">
        <v>211</v>
      </c>
    </row>
    <row r="214" spans="1:1" x14ac:dyDescent="0.2">
      <c r="A214">
        <v>212</v>
      </c>
    </row>
    <row r="215" spans="1:1" x14ac:dyDescent="0.2">
      <c r="A215">
        <v>213</v>
      </c>
    </row>
    <row r="216" spans="1:1" x14ac:dyDescent="0.2">
      <c r="A216">
        <v>214</v>
      </c>
    </row>
    <row r="217" spans="1:1" x14ac:dyDescent="0.2">
      <c r="A217">
        <v>215</v>
      </c>
    </row>
    <row r="218" spans="1:1" x14ac:dyDescent="0.2">
      <c r="A218">
        <v>216</v>
      </c>
    </row>
    <row r="219" spans="1:1" x14ac:dyDescent="0.2">
      <c r="A219">
        <v>217</v>
      </c>
    </row>
    <row r="220" spans="1:1" x14ac:dyDescent="0.2">
      <c r="A220">
        <v>218</v>
      </c>
    </row>
    <row r="221" spans="1:1" x14ac:dyDescent="0.2">
      <c r="A221">
        <v>219</v>
      </c>
    </row>
    <row r="222" spans="1:1" x14ac:dyDescent="0.2">
      <c r="A222">
        <v>220</v>
      </c>
    </row>
    <row r="223" spans="1:1" x14ac:dyDescent="0.2">
      <c r="A223">
        <v>221</v>
      </c>
    </row>
    <row r="224" spans="1:1" x14ac:dyDescent="0.2">
      <c r="A224">
        <v>222</v>
      </c>
    </row>
    <row r="225" spans="1:1" x14ac:dyDescent="0.2">
      <c r="A225">
        <v>223</v>
      </c>
    </row>
    <row r="226" spans="1:1" x14ac:dyDescent="0.2">
      <c r="A226">
        <v>224</v>
      </c>
    </row>
    <row r="227" spans="1:1" x14ac:dyDescent="0.2">
      <c r="A227">
        <v>225</v>
      </c>
    </row>
    <row r="228" spans="1:1" x14ac:dyDescent="0.2">
      <c r="A228">
        <v>226</v>
      </c>
    </row>
    <row r="229" spans="1:1" x14ac:dyDescent="0.2">
      <c r="A229">
        <v>227</v>
      </c>
    </row>
    <row r="230" spans="1:1" x14ac:dyDescent="0.2">
      <c r="A230">
        <v>228</v>
      </c>
    </row>
    <row r="231" spans="1:1" x14ac:dyDescent="0.2">
      <c r="A231">
        <v>229</v>
      </c>
    </row>
    <row r="232" spans="1:1" x14ac:dyDescent="0.2">
      <c r="A232">
        <v>230</v>
      </c>
    </row>
    <row r="233" spans="1:1" x14ac:dyDescent="0.2">
      <c r="A233">
        <v>231</v>
      </c>
    </row>
    <row r="234" spans="1:1" x14ac:dyDescent="0.2">
      <c r="A234">
        <v>232</v>
      </c>
    </row>
    <row r="235" spans="1:1" x14ac:dyDescent="0.2">
      <c r="A235">
        <v>233</v>
      </c>
    </row>
    <row r="236" spans="1:1" x14ac:dyDescent="0.2">
      <c r="A236">
        <v>234</v>
      </c>
    </row>
    <row r="237" spans="1:1" x14ac:dyDescent="0.2">
      <c r="A237">
        <v>235</v>
      </c>
    </row>
    <row r="238" spans="1:1" x14ac:dyDescent="0.2">
      <c r="A238">
        <v>236</v>
      </c>
    </row>
    <row r="239" spans="1:1" x14ac:dyDescent="0.2">
      <c r="A239">
        <v>237</v>
      </c>
    </row>
    <row r="240" spans="1:1" x14ac:dyDescent="0.2">
      <c r="A240">
        <v>238</v>
      </c>
    </row>
    <row r="241" spans="1:1" x14ac:dyDescent="0.2">
      <c r="A241">
        <v>239</v>
      </c>
    </row>
    <row r="242" spans="1:1" x14ac:dyDescent="0.2">
      <c r="A242">
        <v>240</v>
      </c>
    </row>
    <row r="243" spans="1:1" x14ac:dyDescent="0.2">
      <c r="A243">
        <v>241</v>
      </c>
    </row>
    <row r="244" spans="1:1" x14ac:dyDescent="0.2">
      <c r="A244">
        <v>242</v>
      </c>
    </row>
    <row r="245" spans="1:1" x14ac:dyDescent="0.2">
      <c r="A245">
        <v>243</v>
      </c>
    </row>
    <row r="246" spans="1:1" x14ac:dyDescent="0.2">
      <c r="A246">
        <v>244</v>
      </c>
    </row>
    <row r="247" spans="1:1" x14ac:dyDescent="0.2">
      <c r="A247">
        <v>245</v>
      </c>
    </row>
    <row r="248" spans="1:1" x14ac:dyDescent="0.2">
      <c r="A248">
        <v>246</v>
      </c>
    </row>
    <row r="249" spans="1:1" x14ac:dyDescent="0.2">
      <c r="A249">
        <v>247</v>
      </c>
    </row>
    <row r="250" spans="1:1" x14ac:dyDescent="0.2">
      <c r="A250">
        <v>248</v>
      </c>
    </row>
    <row r="251" spans="1:1" x14ac:dyDescent="0.2">
      <c r="A251">
        <v>249</v>
      </c>
    </row>
    <row r="252" spans="1:1" x14ac:dyDescent="0.2">
      <c r="A252">
        <v>250</v>
      </c>
    </row>
    <row r="253" spans="1:1" x14ac:dyDescent="0.2">
      <c r="A253">
        <v>251</v>
      </c>
    </row>
    <row r="254" spans="1:1" x14ac:dyDescent="0.2">
      <c r="A254">
        <v>252</v>
      </c>
    </row>
    <row r="255" spans="1:1" x14ac:dyDescent="0.2">
      <c r="A255">
        <v>253</v>
      </c>
    </row>
    <row r="256" spans="1:1" x14ac:dyDescent="0.2">
      <c r="A256">
        <v>254</v>
      </c>
    </row>
    <row r="257" spans="1:1" x14ac:dyDescent="0.2">
      <c r="A257">
        <v>255</v>
      </c>
    </row>
    <row r="258" spans="1:1" x14ac:dyDescent="0.2">
      <c r="A258">
        <v>256</v>
      </c>
    </row>
    <row r="259" spans="1:1" x14ac:dyDescent="0.2">
      <c r="A259">
        <v>257</v>
      </c>
    </row>
    <row r="260" spans="1:1" x14ac:dyDescent="0.2">
      <c r="A260">
        <v>258</v>
      </c>
    </row>
    <row r="261" spans="1:1" x14ac:dyDescent="0.2">
      <c r="A261">
        <v>259</v>
      </c>
    </row>
    <row r="262" spans="1:1" x14ac:dyDescent="0.2">
      <c r="A262">
        <v>260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B2:Q1003"/>
  <sheetViews>
    <sheetView showGridLines="0" showRowColHeaders="0" workbookViewId="0">
      <selection activeCell="B5" sqref="B5:B104"/>
    </sheetView>
  </sheetViews>
  <sheetFormatPr defaultRowHeight="14.25" x14ac:dyDescent="0.2"/>
  <cols>
    <col min="2" max="2" width="129.125" customWidth="1"/>
  </cols>
  <sheetData>
    <row r="2" spans="2:17" ht="15" x14ac:dyDescent="0.25">
      <c r="B2" s="290" t="str">
        <f>"Demand and capacity analysis notes for "&amp;Setup!C5&amp;", "&amp;Setup!C7</f>
        <v>Demand and capacity analysis notes for A. N. Other Trust, Test Service</v>
      </c>
    </row>
    <row r="4" spans="2:17" x14ac:dyDescent="0.2">
      <c r="B4" s="153"/>
      <c r="C4" s="68"/>
      <c r="D4" s="68"/>
      <c r="E4" s="68"/>
      <c r="F4" s="68"/>
      <c r="G4" s="68"/>
      <c r="H4" s="68"/>
      <c r="I4" s="68"/>
      <c r="J4" s="68"/>
      <c r="K4" s="68"/>
      <c r="L4" s="68"/>
      <c r="M4" s="68"/>
      <c r="N4" s="68"/>
      <c r="O4" s="68"/>
      <c r="P4" s="68"/>
      <c r="Q4" s="68"/>
    </row>
    <row r="5" spans="2:17" s="1" customFormat="1" ht="15" x14ac:dyDescent="0.2">
      <c r="B5" s="333"/>
    </row>
    <row r="6" spans="2:17" s="1" customFormat="1" x14ac:dyDescent="0.2">
      <c r="B6" s="328"/>
    </row>
    <row r="7" spans="2:17" s="1" customFormat="1" ht="15" x14ac:dyDescent="0.2">
      <c r="B7" s="334"/>
    </row>
    <row r="8" spans="2:17" s="1" customFormat="1" x14ac:dyDescent="0.2">
      <c r="B8" s="328"/>
    </row>
    <row r="9" spans="2:17" s="1" customFormat="1" x14ac:dyDescent="0.2">
      <c r="B9" s="328"/>
    </row>
    <row r="10" spans="2:17" s="1" customFormat="1" ht="15" x14ac:dyDescent="0.2">
      <c r="B10" s="334"/>
    </row>
    <row r="11" spans="2:17" s="1" customFormat="1" x14ac:dyDescent="0.2">
      <c r="B11" s="328"/>
    </row>
    <row r="12" spans="2:17" s="1" customFormat="1" x14ac:dyDescent="0.2">
      <c r="B12" s="328"/>
    </row>
    <row r="13" spans="2:17" s="1" customFormat="1" ht="15" x14ac:dyDescent="0.2">
      <c r="B13" s="334"/>
    </row>
    <row r="14" spans="2:17" s="1" customFormat="1" x14ac:dyDescent="0.2">
      <c r="B14" s="328"/>
    </row>
    <row r="15" spans="2:17" s="1" customFormat="1" x14ac:dyDescent="0.2">
      <c r="B15" s="328"/>
    </row>
    <row r="16" spans="2:17" s="1" customFormat="1" x14ac:dyDescent="0.2">
      <c r="B16" s="328"/>
    </row>
    <row r="17" spans="2:2" s="1" customFormat="1" x14ac:dyDescent="0.2">
      <c r="B17" s="328"/>
    </row>
    <row r="18" spans="2:2" s="1" customFormat="1" x14ac:dyDescent="0.2">
      <c r="B18" s="328"/>
    </row>
    <row r="19" spans="2:2" s="1" customFormat="1" x14ac:dyDescent="0.2">
      <c r="B19" s="328"/>
    </row>
    <row r="20" spans="2:2" s="1" customFormat="1" x14ac:dyDescent="0.2">
      <c r="B20" s="328"/>
    </row>
    <row r="21" spans="2:2" s="1" customFormat="1" x14ac:dyDescent="0.2">
      <c r="B21" s="328"/>
    </row>
    <row r="22" spans="2:2" s="1" customFormat="1" x14ac:dyDescent="0.2">
      <c r="B22" s="328"/>
    </row>
    <row r="23" spans="2:2" s="1" customFormat="1" x14ac:dyDescent="0.2">
      <c r="B23" s="328"/>
    </row>
    <row r="24" spans="2:2" s="1" customFormat="1" x14ac:dyDescent="0.2">
      <c r="B24" s="328"/>
    </row>
    <row r="25" spans="2:2" s="1" customFormat="1" x14ac:dyDescent="0.2">
      <c r="B25" s="328"/>
    </row>
    <row r="26" spans="2:2" s="1" customFormat="1" x14ac:dyDescent="0.2">
      <c r="B26" s="328"/>
    </row>
    <row r="27" spans="2:2" s="1" customFormat="1" x14ac:dyDescent="0.2">
      <c r="B27" s="328"/>
    </row>
    <row r="28" spans="2:2" s="1" customFormat="1" x14ac:dyDescent="0.2">
      <c r="B28" s="328"/>
    </row>
    <row r="29" spans="2:2" s="1" customFormat="1" x14ac:dyDescent="0.2">
      <c r="B29" s="328"/>
    </row>
    <row r="30" spans="2:2" s="1" customFormat="1" x14ac:dyDescent="0.2">
      <c r="B30" s="328"/>
    </row>
    <row r="31" spans="2:2" s="1" customFormat="1" x14ac:dyDescent="0.2">
      <c r="B31" s="328"/>
    </row>
    <row r="32" spans="2:2" s="1" customFormat="1" x14ac:dyDescent="0.2">
      <c r="B32" s="328"/>
    </row>
    <row r="33" spans="2:17" s="1" customFormat="1" x14ac:dyDescent="0.2">
      <c r="B33" s="328"/>
    </row>
    <row r="34" spans="2:17" s="1" customFormat="1" x14ac:dyDescent="0.2">
      <c r="B34" s="328"/>
    </row>
    <row r="35" spans="2:17" s="1" customFormat="1" x14ac:dyDescent="0.2">
      <c r="B35" s="328"/>
    </row>
    <row r="36" spans="2:17" s="1" customFormat="1" x14ac:dyDescent="0.2">
      <c r="B36" s="328"/>
    </row>
    <row r="37" spans="2:17" s="1" customFormat="1" x14ac:dyDescent="0.2">
      <c r="B37" s="328"/>
    </row>
    <row r="38" spans="2:17" s="1" customFormat="1" x14ac:dyDescent="0.2">
      <c r="B38" s="328"/>
    </row>
    <row r="39" spans="2:17" s="1" customFormat="1" x14ac:dyDescent="0.2">
      <c r="B39" s="328"/>
    </row>
    <row r="40" spans="2:17" s="1" customFormat="1" x14ac:dyDescent="0.2">
      <c r="B40" s="328"/>
    </row>
    <row r="41" spans="2:17" s="1" customFormat="1" x14ac:dyDescent="0.2">
      <c r="B41" s="328"/>
    </row>
    <row r="42" spans="2:17" s="1" customFormat="1" x14ac:dyDescent="0.2">
      <c r="B42" s="328"/>
    </row>
    <row r="43" spans="2:17" s="1" customFormat="1" x14ac:dyDescent="0.2">
      <c r="B43" s="328"/>
    </row>
    <row r="44" spans="2:17" x14ac:dyDescent="0.2">
      <c r="B44" s="328"/>
      <c r="C44" s="68"/>
      <c r="D44" s="68"/>
      <c r="E44" s="68"/>
      <c r="F44" s="68"/>
      <c r="G44" s="68"/>
      <c r="H44" s="68"/>
      <c r="I44" s="68"/>
      <c r="J44" s="68"/>
      <c r="K44" s="68"/>
      <c r="L44" s="68"/>
      <c r="M44" s="68"/>
      <c r="N44" s="68"/>
      <c r="O44" s="68"/>
      <c r="P44" s="68"/>
      <c r="Q44" s="68"/>
    </row>
    <row r="45" spans="2:17" x14ac:dyDescent="0.2">
      <c r="B45" s="328"/>
    </row>
    <row r="46" spans="2:17" x14ac:dyDescent="0.2">
      <c r="B46" s="328"/>
    </row>
    <row r="47" spans="2:17" x14ac:dyDescent="0.2">
      <c r="B47" s="328"/>
    </row>
    <row r="48" spans="2:17" x14ac:dyDescent="0.2">
      <c r="B48" s="328"/>
    </row>
    <row r="49" spans="2:2" x14ac:dyDescent="0.2">
      <c r="B49" s="328"/>
    </row>
    <row r="50" spans="2:2" x14ac:dyDescent="0.2">
      <c r="B50" s="328"/>
    </row>
    <row r="51" spans="2:2" x14ac:dyDescent="0.2">
      <c r="B51" s="328"/>
    </row>
    <row r="52" spans="2:2" x14ac:dyDescent="0.2">
      <c r="B52" s="328"/>
    </row>
    <row r="53" spans="2:2" x14ac:dyDescent="0.2">
      <c r="B53" s="328"/>
    </row>
    <row r="54" spans="2:2" x14ac:dyDescent="0.2">
      <c r="B54" s="328"/>
    </row>
    <row r="55" spans="2:2" x14ac:dyDescent="0.2">
      <c r="B55" s="328"/>
    </row>
    <row r="56" spans="2:2" x14ac:dyDescent="0.2">
      <c r="B56" s="328"/>
    </row>
    <row r="57" spans="2:2" x14ac:dyDescent="0.2">
      <c r="B57" s="326"/>
    </row>
    <row r="58" spans="2:2" x14ac:dyDescent="0.2">
      <c r="B58" s="326"/>
    </row>
    <row r="59" spans="2:2" x14ac:dyDescent="0.2">
      <c r="B59" s="326"/>
    </row>
    <row r="60" spans="2:2" x14ac:dyDescent="0.2">
      <c r="B60" s="326"/>
    </row>
    <row r="61" spans="2:2" x14ac:dyDescent="0.2">
      <c r="B61" s="326"/>
    </row>
    <row r="62" spans="2:2" x14ac:dyDescent="0.2">
      <c r="B62" s="326"/>
    </row>
    <row r="63" spans="2:2" x14ac:dyDescent="0.2">
      <c r="B63" s="326"/>
    </row>
    <row r="64" spans="2:2" x14ac:dyDescent="0.2">
      <c r="B64" s="326"/>
    </row>
    <row r="65" spans="2:2" x14ac:dyDescent="0.2">
      <c r="B65" s="326"/>
    </row>
    <row r="66" spans="2:2" x14ac:dyDescent="0.2">
      <c r="B66" s="326"/>
    </row>
    <row r="67" spans="2:2" x14ac:dyDescent="0.2">
      <c r="B67" s="326"/>
    </row>
    <row r="68" spans="2:2" x14ac:dyDescent="0.2">
      <c r="B68" s="326"/>
    </row>
    <row r="69" spans="2:2" x14ac:dyDescent="0.2">
      <c r="B69" s="326"/>
    </row>
    <row r="70" spans="2:2" x14ac:dyDescent="0.2">
      <c r="B70" s="326"/>
    </row>
    <row r="71" spans="2:2" x14ac:dyDescent="0.2">
      <c r="B71" s="326"/>
    </row>
    <row r="72" spans="2:2" x14ac:dyDescent="0.2">
      <c r="B72" s="326"/>
    </row>
    <row r="73" spans="2:2" x14ac:dyDescent="0.2">
      <c r="B73" s="326"/>
    </row>
    <row r="74" spans="2:2" x14ac:dyDescent="0.2">
      <c r="B74" s="326"/>
    </row>
    <row r="75" spans="2:2" x14ac:dyDescent="0.2">
      <c r="B75" s="326"/>
    </row>
    <row r="76" spans="2:2" x14ac:dyDescent="0.2">
      <c r="B76" s="326"/>
    </row>
    <row r="77" spans="2:2" x14ac:dyDescent="0.2">
      <c r="B77" s="326"/>
    </row>
    <row r="78" spans="2:2" x14ac:dyDescent="0.2">
      <c r="B78" s="326"/>
    </row>
    <row r="79" spans="2:2" x14ac:dyDescent="0.2">
      <c r="B79" s="326"/>
    </row>
    <row r="80" spans="2:2" x14ac:dyDescent="0.2">
      <c r="B80" s="326"/>
    </row>
    <row r="81" spans="2:2" x14ac:dyDescent="0.2">
      <c r="B81" s="326"/>
    </row>
    <row r="82" spans="2:2" x14ac:dyDescent="0.2">
      <c r="B82" s="326"/>
    </row>
    <row r="83" spans="2:2" x14ac:dyDescent="0.2">
      <c r="B83" s="326"/>
    </row>
    <row r="84" spans="2:2" x14ac:dyDescent="0.2">
      <c r="B84" s="326"/>
    </row>
    <row r="85" spans="2:2" x14ac:dyDescent="0.2">
      <c r="B85" s="326"/>
    </row>
    <row r="86" spans="2:2" x14ac:dyDescent="0.2">
      <c r="B86" s="326"/>
    </row>
    <row r="87" spans="2:2" x14ac:dyDescent="0.2">
      <c r="B87" s="326"/>
    </row>
    <row r="88" spans="2:2" x14ac:dyDescent="0.2">
      <c r="B88" s="326"/>
    </row>
    <row r="89" spans="2:2" x14ac:dyDescent="0.2">
      <c r="B89" s="326"/>
    </row>
    <row r="90" spans="2:2" x14ac:dyDescent="0.2">
      <c r="B90" s="326"/>
    </row>
    <row r="91" spans="2:2" x14ac:dyDescent="0.2">
      <c r="B91" s="326"/>
    </row>
    <row r="92" spans="2:2" x14ac:dyDescent="0.2">
      <c r="B92" s="326"/>
    </row>
    <row r="93" spans="2:2" x14ac:dyDescent="0.2">
      <c r="B93" s="326"/>
    </row>
    <row r="94" spans="2:2" x14ac:dyDescent="0.2">
      <c r="B94" s="326"/>
    </row>
    <row r="95" spans="2:2" x14ac:dyDescent="0.2">
      <c r="B95" s="326"/>
    </row>
    <row r="96" spans="2:2" x14ac:dyDescent="0.2">
      <c r="B96" s="326"/>
    </row>
    <row r="97" spans="2:2" x14ac:dyDescent="0.2">
      <c r="B97" s="326"/>
    </row>
    <row r="98" spans="2:2" x14ac:dyDescent="0.2">
      <c r="B98" s="326"/>
    </row>
    <row r="99" spans="2:2" x14ac:dyDescent="0.2">
      <c r="B99" s="326"/>
    </row>
    <row r="100" spans="2:2" x14ac:dyDescent="0.2">
      <c r="B100" s="326"/>
    </row>
    <row r="101" spans="2:2" x14ac:dyDescent="0.2">
      <c r="B101" s="326"/>
    </row>
    <row r="102" spans="2:2" x14ac:dyDescent="0.2">
      <c r="B102" s="326"/>
    </row>
    <row r="103" spans="2:2" x14ac:dyDescent="0.2">
      <c r="B103" s="326"/>
    </row>
    <row r="104" spans="2:2" x14ac:dyDescent="0.2">
      <c r="B104" s="326"/>
    </row>
    <row r="105" spans="2:2" x14ac:dyDescent="0.2">
      <c r="B105" s="326"/>
    </row>
    <row r="106" spans="2:2" x14ac:dyDescent="0.2">
      <c r="B106" s="326"/>
    </row>
    <row r="107" spans="2:2" x14ac:dyDescent="0.2">
      <c r="B107" s="326"/>
    </row>
    <row r="108" spans="2:2" x14ac:dyDescent="0.2">
      <c r="B108" s="326"/>
    </row>
    <row r="109" spans="2:2" x14ac:dyDescent="0.2">
      <c r="B109" s="329"/>
    </row>
    <row r="110" spans="2:2" x14ac:dyDescent="0.2">
      <c r="B110" s="329"/>
    </row>
    <row r="111" spans="2:2" x14ac:dyDescent="0.2">
      <c r="B111" s="329"/>
    </row>
    <row r="112" spans="2:2" x14ac:dyDescent="0.2">
      <c r="B112" s="329"/>
    </row>
    <row r="113" spans="2:2" x14ac:dyDescent="0.2">
      <c r="B113" s="329"/>
    </row>
    <row r="114" spans="2:2" x14ac:dyDescent="0.2">
      <c r="B114" s="329"/>
    </row>
    <row r="115" spans="2:2" x14ac:dyDescent="0.2">
      <c r="B115" s="329"/>
    </row>
    <row r="116" spans="2:2" x14ac:dyDescent="0.2">
      <c r="B116" s="329"/>
    </row>
    <row r="117" spans="2:2" x14ac:dyDescent="0.2">
      <c r="B117" s="329"/>
    </row>
    <row r="118" spans="2:2" x14ac:dyDescent="0.2">
      <c r="B118" s="329"/>
    </row>
    <row r="119" spans="2:2" x14ac:dyDescent="0.2">
      <c r="B119" s="329"/>
    </row>
    <row r="120" spans="2:2" x14ac:dyDescent="0.2">
      <c r="B120" s="329"/>
    </row>
    <row r="121" spans="2:2" x14ac:dyDescent="0.2">
      <c r="B121" s="329"/>
    </row>
    <row r="122" spans="2:2" x14ac:dyDescent="0.2">
      <c r="B122" s="329"/>
    </row>
    <row r="123" spans="2:2" x14ac:dyDescent="0.2">
      <c r="B123" s="329"/>
    </row>
    <row r="124" spans="2:2" x14ac:dyDescent="0.2">
      <c r="B124" s="329"/>
    </row>
    <row r="125" spans="2:2" x14ac:dyDescent="0.2">
      <c r="B125" s="329"/>
    </row>
    <row r="126" spans="2:2" x14ac:dyDescent="0.2">
      <c r="B126" s="329"/>
    </row>
    <row r="127" spans="2:2" x14ac:dyDescent="0.2">
      <c r="B127" s="329"/>
    </row>
    <row r="128" spans="2:2" x14ac:dyDescent="0.2">
      <c r="B128" s="329"/>
    </row>
    <row r="129" spans="2:2" x14ac:dyDescent="0.2">
      <c r="B129" s="329"/>
    </row>
    <row r="130" spans="2:2" x14ac:dyDescent="0.2">
      <c r="B130" s="329"/>
    </row>
    <row r="131" spans="2:2" x14ac:dyDescent="0.2">
      <c r="B131" s="329"/>
    </row>
    <row r="132" spans="2:2" x14ac:dyDescent="0.2">
      <c r="B132" s="329"/>
    </row>
    <row r="133" spans="2:2" x14ac:dyDescent="0.2">
      <c r="B133" s="329"/>
    </row>
    <row r="134" spans="2:2" x14ac:dyDescent="0.2">
      <c r="B134" s="329"/>
    </row>
    <row r="135" spans="2:2" x14ac:dyDescent="0.2">
      <c r="B135" s="329"/>
    </row>
    <row r="136" spans="2:2" x14ac:dyDescent="0.2">
      <c r="B136" s="329"/>
    </row>
    <row r="137" spans="2:2" x14ac:dyDescent="0.2">
      <c r="B137" s="329"/>
    </row>
    <row r="138" spans="2:2" x14ac:dyDescent="0.2">
      <c r="B138" s="329"/>
    </row>
    <row r="139" spans="2:2" x14ac:dyDescent="0.2">
      <c r="B139" s="329"/>
    </row>
    <row r="140" spans="2:2" x14ac:dyDescent="0.2">
      <c r="B140" s="329"/>
    </row>
    <row r="141" spans="2:2" x14ac:dyDescent="0.2">
      <c r="B141" s="329"/>
    </row>
    <row r="142" spans="2:2" x14ac:dyDescent="0.2">
      <c r="B142" s="329"/>
    </row>
    <row r="143" spans="2:2" x14ac:dyDescent="0.2">
      <c r="B143" s="329"/>
    </row>
    <row r="144" spans="2:2" x14ac:dyDescent="0.2">
      <c r="B144" s="329"/>
    </row>
    <row r="145" spans="2:2" x14ac:dyDescent="0.2">
      <c r="B145" s="329"/>
    </row>
    <row r="146" spans="2:2" x14ac:dyDescent="0.2">
      <c r="B146" s="329"/>
    </row>
    <row r="147" spans="2:2" x14ac:dyDescent="0.2">
      <c r="B147" s="329"/>
    </row>
    <row r="148" spans="2:2" x14ac:dyDescent="0.2">
      <c r="B148" s="329"/>
    </row>
    <row r="149" spans="2:2" x14ac:dyDescent="0.2">
      <c r="B149" s="329"/>
    </row>
    <row r="150" spans="2:2" x14ac:dyDescent="0.2">
      <c r="B150" s="329"/>
    </row>
    <row r="151" spans="2:2" x14ac:dyDescent="0.2">
      <c r="B151" s="329"/>
    </row>
    <row r="152" spans="2:2" x14ac:dyDescent="0.2">
      <c r="B152" s="329"/>
    </row>
    <row r="153" spans="2:2" x14ac:dyDescent="0.2">
      <c r="B153" s="329"/>
    </row>
    <row r="154" spans="2:2" x14ac:dyDescent="0.2">
      <c r="B154" s="329"/>
    </row>
    <row r="155" spans="2:2" x14ac:dyDescent="0.2">
      <c r="B155" s="329"/>
    </row>
    <row r="156" spans="2:2" x14ac:dyDescent="0.2">
      <c r="B156" s="329"/>
    </row>
    <row r="157" spans="2:2" x14ac:dyDescent="0.2">
      <c r="B157" s="329"/>
    </row>
    <row r="158" spans="2:2" x14ac:dyDescent="0.2">
      <c r="B158" s="329"/>
    </row>
    <row r="159" spans="2:2" x14ac:dyDescent="0.2">
      <c r="B159" s="329"/>
    </row>
    <row r="160" spans="2:2" x14ac:dyDescent="0.2">
      <c r="B160" s="329"/>
    </row>
    <row r="161" spans="2:2" x14ac:dyDescent="0.2">
      <c r="B161" s="329"/>
    </row>
    <row r="162" spans="2:2" x14ac:dyDescent="0.2">
      <c r="B162" s="329"/>
    </row>
    <row r="163" spans="2:2" x14ac:dyDescent="0.2">
      <c r="B163" s="329"/>
    </row>
    <row r="164" spans="2:2" x14ac:dyDescent="0.2">
      <c r="B164" s="329"/>
    </row>
    <row r="165" spans="2:2" x14ac:dyDescent="0.2">
      <c r="B165" s="329"/>
    </row>
    <row r="166" spans="2:2" x14ac:dyDescent="0.2">
      <c r="B166" s="329"/>
    </row>
    <row r="167" spans="2:2" x14ac:dyDescent="0.2">
      <c r="B167" s="329"/>
    </row>
    <row r="168" spans="2:2" x14ac:dyDescent="0.2">
      <c r="B168" s="329"/>
    </row>
    <row r="169" spans="2:2" x14ac:dyDescent="0.2">
      <c r="B169" s="329"/>
    </row>
    <row r="170" spans="2:2" x14ac:dyDescent="0.2">
      <c r="B170" s="329"/>
    </row>
    <row r="171" spans="2:2" x14ac:dyDescent="0.2">
      <c r="B171" s="329"/>
    </row>
    <row r="172" spans="2:2" x14ac:dyDescent="0.2">
      <c r="B172" s="329"/>
    </row>
    <row r="173" spans="2:2" x14ac:dyDescent="0.2">
      <c r="B173" s="329"/>
    </row>
    <row r="174" spans="2:2" x14ac:dyDescent="0.2">
      <c r="B174" s="329"/>
    </row>
    <row r="175" spans="2:2" x14ac:dyDescent="0.2">
      <c r="B175" s="329"/>
    </row>
    <row r="176" spans="2:2" x14ac:dyDescent="0.2">
      <c r="B176" s="329"/>
    </row>
    <row r="177" spans="2:2" x14ac:dyDescent="0.2">
      <c r="B177" s="329"/>
    </row>
    <row r="178" spans="2:2" x14ac:dyDescent="0.2">
      <c r="B178" s="329"/>
    </row>
    <row r="179" spans="2:2" x14ac:dyDescent="0.2">
      <c r="B179" s="329"/>
    </row>
    <row r="180" spans="2:2" x14ac:dyDescent="0.2">
      <c r="B180" s="329"/>
    </row>
    <row r="181" spans="2:2" x14ac:dyDescent="0.2">
      <c r="B181" s="329"/>
    </row>
    <row r="182" spans="2:2" x14ac:dyDescent="0.2">
      <c r="B182" s="329"/>
    </row>
    <row r="183" spans="2:2" x14ac:dyDescent="0.2">
      <c r="B183" s="329"/>
    </row>
    <row r="184" spans="2:2" x14ac:dyDescent="0.2">
      <c r="B184" s="329"/>
    </row>
    <row r="185" spans="2:2" x14ac:dyDescent="0.2">
      <c r="B185" s="329"/>
    </row>
    <row r="186" spans="2:2" x14ac:dyDescent="0.2">
      <c r="B186" s="329"/>
    </row>
    <row r="187" spans="2:2" x14ac:dyDescent="0.2">
      <c r="B187" s="329"/>
    </row>
    <row r="188" spans="2:2" x14ac:dyDescent="0.2">
      <c r="B188" s="329"/>
    </row>
    <row r="189" spans="2:2" x14ac:dyDescent="0.2">
      <c r="B189" s="329"/>
    </row>
    <row r="190" spans="2:2" x14ac:dyDescent="0.2">
      <c r="B190" s="329"/>
    </row>
    <row r="191" spans="2:2" x14ac:dyDescent="0.2">
      <c r="B191" s="329"/>
    </row>
    <row r="192" spans="2:2" x14ac:dyDescent="0.2">
      <c r="B192" s="329"/>
    </row>
    <row r="193" spans="2:2" x14ac:dyDescent="0.2">
      <c r="B193" s="329"/>
    </row>
    <row r="194" spans="2:2" x14ac:dyDescent="0.2">
      <c r="B194" s="329"/>
    </row>
    <row r="195" spans="2:2" x14ac:dyDescent="0.2">
      <c r="B195" s="329"/>
    </row>
    <row r="196" spans="2:2" x14ac:dyDescent="0.2">
      <c r="B196" s="329"/>
    </row>
    <row r="197" spans="2:2" x14ac:dyDescent="0.2">
      <c r="B197" s="329"/>
    </row>
    <row r="198" spans="2:2" x14ac:dyDescent="0.2">
      <c r="B198" s="329"/>
    </row>
    <row r="199" spans="2:2" x14ac:dyDescent="0.2">
      <c r="B199" s="329"/>
    </row>
    <row r="200" spans="2:2" x14ac:dyDescent="0.2">
      <c r="B200" s="329"/>
    </row>
    <row r="201" spans="2:2" x14ac:dyDescent="0.2">
      <c r="B201" s="329"/>
    </row>
    <row r="202" spans="2:2" x14ac:dyDescent="0.2">
      <c r="B202" s="329"/>
    </row>
    <row r="203" spans="2:2" x14ac:dyDescent="0.2">
      <c r="B203" s="329"/>
    </row>
    <row r="204" spans="2:2" x14ac:dyDescent="0.2">
      <c r="B204" s="329"/>
    </row>
    <row r="205" spans="2:2" x14ac:dyDescent="0.2">
      <c r="B205" s="329"/>
    </row>
    <row r="206" spans="2:2" x14ac:dyDescent="0.2">
      <c r="B206" s="329"/>
    </row>
    <row r="207" spans="2:2" x14ac:dyDescent="0.2">
      <c r="B207" s="329"/>
    </row>
    <row r="208" spans="2:2" x14ac:dyDescent="0.2">
      <c r="B208" s="329"/>
    </row>
    <row r="209" spans="2:2" x14ac:dyDescent="0.2">
      <c r="B209" s="329"/>
    </row>
    <row r="210" spans="2:2" x14ac:dyDescent="0.2">
      <c r="B210" s="329"/>
    </row>
    <row r="211" spans="2:2" x14ac:dyDescent="0.2">
      <c r="B211" s="329"/>
    </row>
    <row r="212" spans="2:2" x14ac:dyDescent="0.2">
      <c r="B212" s="329"/>
    </row>
    <row r="213" spans="2:2" x14ac:dyDescent="0.2">
      <c r="B213" s="329"/>
    </row>
    <row r="214" spans="2:2" x14ac:dyDescent="0.2">
      <c r="B214" s="329"/>
    </row>
    <row r="215" spans="2:2" x14ac:dyDescent="0.2">
      <c r="B215" s="329"/>
    </row>
    <row r="216" spans="2:2" x14ac:dyDescent="0.2">
      <c r="B216" s="329"/>
    </row>
    <row r="217" spans="2:2" x14ac:dyDescent="0.2">
      <c r="B217" s="329"/>
    </row>
    <row r="218" spans="2:2" x14ac:dyDescent="0.2">
      <c r="B218" s="329"/>
    </row>
    <row r="219" spans="2:2" x14ac:dyDescent="0.2">
      <c r="B219" s="329"/>
    </row>
    <row r="220" spans="2:2" x14ac:dyDescent="0.2">
      <c r="B220" s="329"/>
    </row>
    <row r="221" spans="2:2" x14ac:dyDescent="0.2">
      <c r="B221" s="329"/>
    </row>
    <row r="222" spans="2:2" x14ac:dyDescent="0.2">
      <c r="B222" s="329"/>
    </row>
    <row r="223" spans="2:2" x14ac:dyDescent="0.2">
      <c r="B223" s="329"/>
    </row>
    <row r="224" spans="2:2" x14ac:dyDescent="0.2">
      <c r="B224" s="329"/>
    </row>
    <row r="225" spans="2:2" x14ac:dyDescent="0.2">
      <c r="B225" s="329"/>
    </row>
    <row r="226" spans="2:2" x14ac:dyDescent="0.2">
      <c r="B226" s="329"/>
    </row>
    <row r="227" spans="2:2" x14ac:dyDescent="0.2">
      <c r="B227" s="329"/>
    </row>
    <row r="228" spans="2:2" x14ac:dyDescent="0.2">
      <c r="B228" s="329"/>
    </row>
    <row r="229" spans="2:2" x14ac:dyDescent="0.2">
      <c r="B229" s="329"/>
    </row>
    <row r="230" spans="2:2" x14ac:dyDescent="0.2">
      <c r="B230" s="329"/>
    </row>
    <row r="231" spans="2:2" x14ac:dyDescent="0.2">
      <c r="B231" s="329"/>
    </row>
    <row r="232" spans="2:2" x14ac:dyDescent="0.2">
      <c r="B232" s="329"/>
    </row>
    <row r="233" spans="2:2" x14ac:dyDescent="0.2">
      <c r="B233" s="329"/>
    </row>
    <row r="234" spans="2:2" x14ac:dyDescent="0.2">
      <c r="B234" s="329"/>
    </row>
    <row r="235" spans="2:2" x14ac:dyDescent="0.2">
      <c r="B235" s="329"/>
    </row>
    <row r="236" spans="2:2" x14ac:dyDescent="0.2">
      <c r="B236" s="329"/>
    </row>
    <row r="237" spans="2:2" x14ac:dyDescent="0.2">
      <c r="B237" s="329"/>
    </row>
    <row r="238" spans="2:2" x14ac:dyDescent="0.2">
      <c r="B238" s="329"/>
    </row>
    <row r="239" spans="2:2" x14ac:dyDescent="0.2">
      <c r="B239" s="329"/>
    </row>
    <row r="240" spans="2:2" x14ac:dyDescent="0.2">
      <c r="B240" s="329"/>
    </row>
    <row r="241" spans="2:2" x14ac:dyDescent="0.2">
      <c r="B241" s="329"/>
    </row>
    <row r="242" spans="2:2" x14ac:dyDescent="0.2">
      <c r="B242" s="329"/>
    </row>
    <row r="243" spans="2:2" x14ac:dyDescent="0.2">
      <c r="B243" s="329"/>
    </row>
    <row r="244" spans="2:2" x14ac:dyDescent="0.2">
      <c r="B244" s="329"/>
    </row>
    <row r="245" spans="2:2" x14ac:dyDescent="0.2">
      <c r="B245" s="329"/>
    </row>
    <row r="246" spans="2:2" x14ac:dyDescent="0.2">
      <c r="B246" s="329"/>
    </row>
    <row r="247" spans="2:2" x14ac:dyDescent="0.2">
      <c r="B247" s="329"/>
    </row>
    <row r="248" spans="2:2" x14ac:dyDescent="0.2">
      <c r="B248" s="329"/>
    </row>
    <row r="249" spans="2:2" x14ac:dyDescent="0.2">
      <c r="B249" s="329"/>
    </row>
    <row r="250" spans="2:2" x14ac:dyDescent="0.2">
      <c r="B250" s="329"/>
    </row>
    <row r="251" spans="2:2" x14ac:dyDescent="0.2">
      <c r="B251" s="329"/>
    </row>
    <row r="252" spans="2:2" x14ac:dyDescent="0.2">
      <c r="B252" s="329"/>
    </row>
    <row r="253" spans="2:2" x14ac:dyDescent="0.2">
      <c r="B253" s="329"/>
    </row>
    <row r="254" spans="2:2" x14ac:dyDescent="0.2">
      <c r="B254" s="329"/>
    </row>
    <row r="255" spans="2:2" x14ac:dyDescent="0.2">
      <c r="B255" s="329"/>
    </row>
    <row r="256" spans="2:2" x14ac:dyDescent="0.2">
      <c r="B256" s="329"/>
    </row>
    <row r="257" spans="2:2" x14ac:dyDescent="0.2">
      <c r="B257" s="329"/>
    </row>
    <row r="258" spans="2:2" x14ac:dyDescent="0.2">
      <c r="B258" s="329"/>
    </row>
    <row r="259" spans="2:2" x14ac:dyDescent="0.2">
      <c r="B259" s="329"/>
    </row>
    <row r="260" spans="2:2" x14ac:dyDescent="0.2">
      <c r="B260" s="329"/>
    </row>
    <row r="261" spans="2:2" x14ac:dyDescent="0.2">
      <c r="B261" s="329"/>
    </row>
    <row r="262" spans="2:2" x14ac:dyDescent="0.2">
      <c r="B262" s="329"/>
    </row>
    <row r="263" spans="2:2" x14ac:dyDescent="0.2">
      <c r="B263" s="329"/>
    </row>
    <row r="264" spans="2:2" x14ac:dyDescent="0.2">
      <c r="B264" s="329"/>
    </row>
    <row r="265" spans="2:2" x14ac:dyDescent="0.2">
      <c r="B265" s="329"/>
    </row>
    <row r="266" spans="2:2" x14ac:dyDescent="0.2">
      <c r="B266" s="329"/>
    </row>
    <row r="267" spans="2:2" x14ac:dyDescent="0.2">
      <c r="B267" s="329"/>
    </row>
    <row r="268" spans="2:2" x14ac:dyDescent="0.2">
      <c r="B268" s="329"/>
    </row>
    <row r="269" spans="2:2" x14ac:dyDescent="0.2">
      <c r="B269" s="329"/>
    </row>
    <row r="270" spans="2:2" x14ac:dyDescent="0.2">
      <c r="B270" s="329"/>
    </row>
    <row r="271" spans="2:2" x14ac:dyDescent="0.2">
      <c r="B271" s="329"/>
    </row>
    <row r="272" spans="2:2" x14ac:dyDescent="0.2">
      <c r="B272" s="329"/>
    </row>
    <row r="273" spans="2:2" x14ac:dyDescent="0.2">
      <c r="B273" s="329"/>
    </row>
    <row r="274" spans="2:2" x14ac:dyDescent="0.2">
      <c r="B274" s="329"/>
    </row>
    <row r="275" spans="2:2" x14ac:dyDescent="0.2">
      <c r="B275" s="329"/>
    </row>
    <row r="276" spans="2:2" x14ac:dyDescent="0.2">
      <c r="B276" s="329"/>
    </row>
    <row r="277" spans="2:2" x14ac:dyDescent="0.2">
      <c r="B277" s="329"/>
    </row>
    <row r="278" spans="2:2" x14ac:dyDescent="0.2">
      <c r="B278" s="329"/>
    </row>
    <row r="279" spans="2:2" x14ac:dyDescent="0.2">
      <c r="B279" s="329"/>
    </row>
    <row r="280" spans="2:2" x14ac:dyDescent="0.2">
      <c r="B280" s="329"/>
    </row>
    <row r="281" spans="2:2" x14ac:dyDescent="0.2">
      <c r="B281" s="329"/>
    </row>
    <row r="282" spans="2:2" x14ac:dyDescent="0.2">
      <c r="B282" s="329"/>
    </row>
    <row r="283" spans="2:2" x14ac:dyDescent="0.2">
      <c r="B283" s="329"/>
    </row>
    <row r="284" spans="2:2" x14ac:dyDescent="0.2">
      <c r="B284" s="329"/>
    </row>
    <row r="285" spans="2:2" x14ac:dyDescent="0.2">
      <c r="B285" s="329"/>
    </row>
    <row r="286" spans="2:2" x14ac:dyDescent="0.2">
      <c r="B286" s="329"/>
    </row>
    <row r="287" spans="2:2" x14ac:dyDescent="0.2">
      <c r="B287" s="329"/>
    </row>
    <row r="288" spans="2:2" x14ac:dyDescent="0.2">
      <c r="B288" s="329"/>
    </row>
    <row r="289" spans="2:2" x14ac:dyDescent="0.2">
      <c r="B289" s="329"/>
    </row>
    <row r="290" spans="2:2" x14ac:dyDescent="0.2">
      <c r="B290" s="329"/>
    </row>
    <row r="291" spans="2:2" x14ac:dyDescent="0.2">
      <c r="B291" s="329"/>
    </row>
    <row r="292" spans="2:2" x14ac:dyDescent="0.2">
      <c r="B292" s="329"/>
    </row>
    <row r="293" spans="2:2" x14ac:dyDescent="0.2">
      <c r="B293" s="329"/>
    </row>
    <row r="294" spans="2:2" x14ac:dyDescent="0.2">
      <c r="B294" s="329"/>
    </row>
    <row r="295" spans="2:2" x14ac:dyDescent="0.2">
      <c r="B295" s="329"/>
    </row>
    <row r="296" spans="2:2" x14ac:dyDescent="0.2">
      <c r="B296" s="329"/>
    </row>
    <row r="297" spans="2:2" x14ac:dyDescent="0.2">
      <c r="B297" s="329"/>
    </row>
    <row r="298" spans="2:2" x14ac:dyDescent="0.2">
      <c r="B298" s="329"/>
    </row>
    <row r="299" spans="2:2" x14ac:dyDescent="0.2">
      <c r="B299" s="329"/>
    </row>
    <row r="300" spans="2:2" x14ac:dyDescent="0.2">
      <c r="B300" s="329"/>
    </row>
    <row r="301" spans="2:2" x14ac:dyDescent="0.2">
      <c r="B301" s="329"/>
    </row>
    <row r="302" spans="2:2" x14ac:dyDescent="0.2">
      <c r="B302" s="329"/>
    </row>
    <row r="303" spans="2:2" x14ac:dyDescent="0.2">
      <c r="B303" s="329"/>
    </row>
    <row r="304" spans="2:2" x14ac:dyDescent="0.2">
      <c r="B304" s="329"/>
    </row>
    <row r="305" spans="2:2" x14ac:dyDescent="0.2">
      <c r="B305" s="329"/>
    </row>
    <row r="306" spans="2:2" x14ac:dyDescent="0.2">
      <c r="B306" s="329"/>
    </row>
    <row r="307" spans="2:2" x14ac:dyDescent="0.2">
      <c r="B307" s="329"/>
    </row>
    <row r="308" spans="2:2" x14ac:dyDescent="0.2">
      <c r="B308" s="329"/>
    </row>
    <row r="309" spans="2:2" x14ac:dyDescent="0.2">
      <c r="B309" s="329"/>
    </row>
    <row r="310" spans="2:2" x14ac:dyDescent="0.2">
      <c r="B310" s="329"/>
    </row>
    <row r="311" spans="2:2" x14ac:dyDescent="0.2">
      <c r="B311" s="329"/>
    </row>
    <row r="312" spans="2:2" x14ac:dyDescent="0.2">
      <c r="B312" s="329"/>
    </row>
    <row r="313" spans="2:2" x14ac:dyDescent="0.2">
      <c r="B313" s="329"/>
    </row>
    <row r="314" spans="2:2" x14ac:dyDescent="0.2">
      <c r="B314" s="329"/>
    </row>
    <row r="315" spans="2:2" x14ac:dyDescent="0.2">
      <c r="B315" s="329"/>
    </row>
    <row r="316" spans="2:2" x14ac:dyDescent="0.2">
      <c r="B316" s="329"/>
    </row>
    <row r="317" spans="2:2" x14ac:dyDescent="0.2">
      <c r="B317" s="329"/>
    </row>
    <row r="318" spans="2:2" x14ac:dyDescent="0.2">
      <c r="B318" s="329"/>
    </row>
    <row r="319" spans="2:2" x14ac:dyDescent="0.2">
      <c r="B319" s="329"/>
    </row>
    <row r="320" spans="2:2" x14ac:dyDescent="0.2">
      <c r="B320" s="329"/>
    </row>
    <row r="321" spans="2:2" x14ac:dyDescent="0.2">
      <c r="B321" s="329"/>
    </row>
    <row r="322" spans="2:2" x14ac:dyDescent="0.2">
      <c r="B322" s="329"/>
    </row>
    <row r="323" spans="2:2" x14ac:dyDescent="0.2">
      <c r="B323" s="329"/>
    </row>
    <row r="324" spans="2:2" x14ac:dyDescent="0.2">
      <c r="B324" s="329"/>
    </row>
    <row r="325" spans="2:2" x14ac:dyDescent="0.2">
      <c r="B325" s="329"/>
    </row>
    <row r="326" spans="2:2" x14ac:dyDescent="0.2">
      <c r="B326" s="329"/>
    </row>
    <row r="327" spans="2:2" x14ac:dyDescent="0.2">
      <c r="B327" s="329"/>
    </row>
    <row r="328" spans="2:2" x14ac:dyDescent="0.2">
      <c r="B328" s="329"/>
    </row>
    <row r="329" spans="2:2" x14ac:dyDescent="0.2">
      <c r="B329" s="329"/>
    </row>
    <row r="330" spans="2:2" x14ac:dyDescent="0.2">
      <c r="B330" s="329"/>
    </row>
    <row r="331" spans="2:2" x14ac:dyDescent="0.2">
      <c r="B331" s="329"/>
    </row>
    <row r="332" spans="2:2" x14ac:dyDescent="0.2">
      <c r="B332" s="329"/>
    </row>
    <row r="333" spans="2:2" x14ac:dyDescent="0.2">
      <c r="B333" s="329"/>
    </row>
    <row r="334" spans="2:2" x14ac:dyDescent="0.2">
      <c r="B334" s="329"/>
    </row>
    <row r="335" spans="2:2" x14ac:dyDescent="0.2">
      <c r="B335" s="329"/>
    </row>
    <row r="336" spans="2:2" x14ac:dyDescent="0.2">
      <c r="B336" s="329"/>
    </row>
    <row r="337" spans="2:2" x14ac:dyDescent="0.2">
      <c r="B337" s="329"/>
    </row>
    <row r="338" spans="2:2" x14ac:dyDescent="0.2">
      <c r="B338" s="329"/>
    </row>
    <row r="339" spans="2:2" x14ac:dyDescent="0.2">
      <c r="B339" s="329"/>
    </row>
    <row r="340" spans="2:2" x14ac:dyDescent="0.2">
      <c r="B340" s="329"/>
    </row>
    <row r="341" spans="2:2" x14ac:dyDescent="0.2">
      <c r="B341" s="329"/>
    </row>
    <row r="342" spans="2:2" x14ac:dyDescent="0.2">
      <c r="B342" s="329"/>
    </row>
    <row r="343" spans="2:2" x14ac:dyDescent="0.2">
      <c r="B343" s="329"/>
    </row>
    <row r="344" spans="2:2" x14ac:dyDescent="0.2">
      <c r="B344" s="329"/>
    </row>
    <row r="345" spans="2:2" x14ac:dyDescent="0.2">
      <c r="B345" s="329"/>
    </row>
    <row r="346" spans="2:2" x14ac:dyDescent="0.2">
      <c r="B346" s="329"/>
    </row>
    <row r="347" spans="2:2" x14ac:dyDescent="0.2">
      <c r="B347" s="329"/>
    </row>
    <row r="348" spans="2:2" x14ac:dyDescent="0.2">
      <c r="B348" s="329"/>
    </row>
    <row r="349" spans="2:2" x14ac:dyDescent="0.2">
      <c r="B349" s="329"/>
    </row>
    <row r="350" spans="2:2" x14ac:dyDescent="0.2">
      <c r="B350" s="329"/>
    </row>
    <row r="351" spans="2:2" x14ac:dyDescent="0.2">
      <c r="B351" s="329"/>
    </row>
    <row r="352" spans="2:2" x14ac:dyDescent="0.2">
      <c r="B352" s="329"/>
    </row>
    <row r="353" spans="2:2" x14ac:dyDescent="0.2">
      <c r="B353" s="329"/>
    </row>
    <row r="354" spans="2:2" x14ac:dyDescent="0.2">
      <c r="B354" s="329"/>
    </row>
    <row r="355" spans="2:2" x14ac:dyDescent="0.2">
      <c r="B355" s="329"/>
    </row>
    <row r="356" spans="2:2" x14ac:dyDescent="0.2">
      <c r="B356" s="329"/>
    </row>
    <row r="357" spans="2:2" x14ac:dyDescent="0.2">
      <c r="B357" s="329"/>
    </row>
    <row r="358" spans="2:2" x14ac:dyDescent="0.2">
      <c r="B358" s="329"/>
    </row>
    <row r="359" spans="2:2" x14ac:dyDescent="0.2">
      <c r="B359" s="329"/>
    </row>
    <row r="360" spans="2:2" x14ac:dyDescent="0.2">
      <c r="B360" s="329"/>
    </row>
    <row r="361" spans="2:2" x14ac:dyDescent="0.2">
      <c r="B361" s="329"/>
    </row>
    <row r="362" spans="2:2" x14ac:dyDescent="0.2">
      <c r="B362" s="329"/>
    </row>
    <row r="363" spans="2:2" x14ac:dyDescent="0.2">
      <c r="B363" s="329"/>
    </row>
    <row r="364" spans="2:2" x14ac:dyDescent="0.2">
      <c r="B364" s="329"/>
    </row>
    <row r="365" spans="2:2" x14ac:dyDescent="0.2">
      <c r="B365" s="329"/>
    </row>
    <row r="366" spans="2:2" x14ac:dyDescent="0.2">
      <c r="B366" s="329"/>
    </row>
    <row r="367" spans="2:2" x14ac:dyDescent="0.2">
      <c r="B367" s="329"/>
    </row>
    <row r="368" spans="2:2" x14ac:dyDescent="0.2">
      <c r="B368" s="329"/>
    </row>
    <row r="369" spans="2:2" x14ac:dyDescent="0.2">
      <c r="B369" s="329"/>
    </row>
    <row r="370" spans="2:2" x14ac:dyDescent="0.2">
      <c r="B370" s="329"/>
    </row>
    <row r="371" spans="2:2" x14ac:dyDescent="0.2">
      <c r="B371" s="329"/>
    </row>
    <row r="372" spans="2:2" x14ac:dyDescent="0.2">
      <c r="B372" s="329"/>
    </row>
    <row r="373" spans="2:2" x14ac:dyDescent="0.2">
      <c r="B373" s="329"/>
    </row>
    <row r="374" spans="2:2" x14ac:dyDescent="0.2">
      <c r="B374" s="329"/>
    </row>
    <row r="375" spans="2:2" x14ac:dyDescent="0.2">
      <c r="B375" s="329"/>
    </row>
    <row r="376" spans="2:2" x14ac:dyDescent="0.2">
      <c r="B376" s="329"/>
    </row>
    <row r="377" spans="2:2" x14ac:dyDescent="0.2">
      <c r="B377" s="329"/>
    </row>
    <row r="378" spans="2:2" x14ac:dyDescent="0.2">
      <c r="B378" s="329"/>
    </row>
    <row r="379" spans="2:2" x14ac:dyDescent="0.2">
      <c r="B379" s="329"/>
    </row>
    <row r="380" spans="2:2" x14ac:dyDescent="0.2">
      <c r="B380" s="329"/>
    </row>
    <row r="381" spans="2:2" x14ac:dyDescent="0.2">
      <c r="B381" s="329"/>
    </row>
    <row r="382" spans="2:2" x14ac:dyDescent="0.2">
      <c r="B382" s="329"/>
    </row>
    <row r="383" spans="2:2" x14ac:dyDescent="0.2">
      <c r="B383" s="329"/>
    </row>
    <row r="384" spans="2:2" x14ac:dyDescent="0.2">
      <c r="B384" s="329"/>
    </row>
    <row r="385" spans="2:2" x14ac:dyDescent="0.2">
      <c r="B385" s="329"/>
    </row>
    <row r="386" spans="2:2" x14ac:dyDescent="0.2">
      <c r="B386" s="329"/>
    </row>
    <row r="387" spans="2:2" x14ac:dyDescent="0.2">
      <c r="B387" s="329"/>
    </row>
    <row r="388" spans="2:2" x14ac:dyDescent="0.2">
      <c r="B388" s="329"/>
    </row>
    <row r="389" spans="2:2" x14ac:dyDescent="0.2">
      <c r="B389" s="329"/>
    </row>
    <row r="390" spans="2:2" x14ac:dyDescent="0.2">
      <c r="B390" s="329"/>
    </row>
    <row r="391" spans="2:2" x14ac:dyDescent="0.2">
      <c r="B391" s="329"/>
    </row>
    <row r="392" spans="2:2" x14ac:dyDescent="0.2">
      <c r="B392" s="329"/>
    </row>
    <row r="393" spans="2:2" x14ac:dyDescent="0.2">
      <c r="B393" s="329"/>
    </row>
    <row r="394" spans="2:2" x14ac:dyDescent="0.2">
      <c r="B394" s="329"/>
    </row>
    <row r="395" spans="2:2" x14ac:dyDescent="0.2">
      <c r="B395" s="329"/>
    </row>
    <row r="396" spans="2:2" x14ac:dyDescent="0.2">
      <c r="B396" s="329"/>
    </row>
    <row r="397" spans="2:2" x14ac:dyDescent="0.2">
      <c r="B397" s="329"/>
    </row>
    <row r="398" spans="2:2" x14ac:dyDescent="0.2">
      <c r="B398" s="329"/>
    </row>
    <row r="399" spans="2:2" x14ac:dyDescent="0.2">
      <c r="B399" s="329"/>
    </row>
    <row r="400" spans="2:2" x14ac:dyDescent="0.2">
      <c r="B400" s="329"/>
    </row>
    <row r="401" spans="2:2" x14ac:dyDescent="0.2">
      <c r="B401" s="329"/>
    </row>
    <row r="402" spans="2:2" x14ac:dyDescent="0.2">
      <c r="B402" s="329"/>
    </row>
    <row r="403" spans="2:2" x14ac:dyDescent="0.2">
      <c r="B403" s="329"/>
    </row>
    <row r="404" spans="2:2" x14ac:dyDescent="0.2">
      <c r="B404" s="329"/>
    </row>
    <row r="405" spans="2:2" x14ac:dyDescent="0.2">
      <c r="B405" s="329"/>
    </row>
    <row r="406" spans="2:2" x14ac:dyDescent="0.2">
      <c r="B406" s="329"/>
    </row>
    <row r="407" spans="2:2" x14ac:dyDescent="0.2">
      <c r="B407" s="329"/>
    </row>
    <row r="408" spans="2:2" x14ac:dyDescent="0.2">
      <c r="B408" s="329"/>
    </row>
    <row r="409" spans="2:2" x14ac:dyDescent="0.2">
      <c r="B409" s="329"/>
    </row>
    <row r="410" spans="2:2" x14ac:dyDescent="0.2">
      <c r="B410" s="329"/>
    </row>
    <row r="411" spans="2:2" x14ac:dyDescent="0.2">
      <c r="B411" s="329"/>
    </row>
    <row r="412" spans="2:2" x14ac:dyDescent="0.2">
      <c r="B412" s="329"/>
    </row>
    <row r="413" spans="2:2" x14ac:dyDescent="0.2">
      <c r="B413" s="329"/>
    </row>
    <row r="414" spans="2:2" x14ac:dyDescent="0.2">
      <c r="B414" s="329"/>
    </row>
    <row r="415" spans="2:2" x14ac:dyDescent="0.2">
      <c r="B415" s="329"/>
    </row>
    <row r="416" spans="2:2" x14ac:dyDescent="0.2">
      <c r="B416" s="329"/>
    </row>
    <row r="417" spans="2:2" x14ac:dyDescent="0.2">
      <c r="B417" s="329"/>
    </row>
    <row r="418" spans="2:2" x14ac:dyDescent="0.2">
      <c r="B418" s="329"/>
    </row>
    <row r="419" spans="2:2" x14ac:dyDescent="0.2">
      <c r="B419" s="329"/>
    </row>
    <row r="420" spans="2:2" x14ac:dyDescent="0.2">
      <c r="B420" s="329"/>
    </row>
    <row r="421" spans="2:2" x14ac:dyDescent="0.2">
      <c r="B421" s="329"/>
    </row>
    <row r="422" spans="2:2" x14ac:dyDescent="0.2">
      <c r="B422" s="329"/>
    </row>
    <row r="423" spans="2:2" x14ac:dyDescent="0.2">
      <c r="B423" s="329"/>
    </row>
    <row r="424" spans="2:2" x14ac:dyDescent="0.2">
      <c r="B424" s="329"/>
    </row>
    <row r="425" spans="2:2" x14ac:dyDescent="0.2">
      <c r="B425" s="329"/>
    </row>
    <row r="426" spans="2:2" x14ac:dyDescent="0.2">
      <c r="B426" s="329"/>
    </row>
    <row r="427" spans="2:2" x14ac:dyDescent="0.2">
      <c r="B427" s="329"/>
    </row>
    <row r="428" spans="2:2" x14ac:dyDescent="0.2">
      <c r="B428" s="329"/>
    </row>
    <row r="429" spans="2:2" x14ac:dyDescent="0.2">
      <c r="B429" s="329"/>
    </row>
    <row r="430" spans="2:2" x14ac:dyDescent="0.2">
      <c r="B430" s="154"/>
    </row>
    <row r="431" spans="2:2" x14ac:dyDescent="0.2">
      <c r="B431" s="154"/>
    </row>
    <row r="432" spans="2:2" x14ac:dyDescent="0.2">
      <c r="B432" s="154"/>
    </row>
    <row r="433" spans="2:2" x14ac:dyDescent="0.2">
      <c r="B433" s="154"/>
    </row>
    <row r="434" spans="2:2" x14ac:dyDescent="0.2">
      <c r="B434" s="154"/>
    </row>
    <row r="435" spans="2:2" x14ac:dyDescent="0.2">
      <c r="B435" s="154"/>
    </row>
    <row r="436" spans="2:2" x14ac:dyDescent="0.2">
      <c r="B436" s="154"/>
    </row>
    <row r="437" spans="2:2" x14ac:dyDescent="0.2">
      <c r="B437" s="154"/>
    </row>
    <row r="438" spans="2:2" x14ac:dyDescent="0.2">
      <c r="B438" s="154"/>
    </row>
    <row r="439" spans="2:2" x14ac:dyDescent="0.2">
      <c r="B439" s="154"/>
    </row>
    <row r="440" spans="2:2" x14ac:dyDescent="0.2">
      <c r="B440" s="154"/>
    </row>
    <row r="441" spans="2:2" x14ac:dyDescent="0.2">
      <c r="B441" s="154"/>
    </row>
    <row r="442" spans="2:2" x14ac:dyDescent="0.2">
      <c r="B442" s="154"/>
    </row>
    <row r="443" spans="2:2" x14ac:dyDescent="0.2">
      <c r="B443" s="154"/>
    </row>
    <row r="444" spans="2:2" x14ac:dyDescent="0.2">
      <c r="B444" s="154"/>
    </row>
    <row r="445" spans="2:2" x14ac:dyDescent="0.2">
      <c r="B445" s="154"/>
    </row>
    <row r="446" spans="2:2" x14ac:dyDescent="0.2">
      <c r="B446" s="154"/>
    </row>
    <row r="447" spans="2:2" x14ac:dyDescent="0.2">
      <c r="B447" s="154"/>
    </row>
    <row r="448" spans="2:2" x14ac:dyDescent="0.2">
      <c r="B448" s="154"/>
    </row>
    <row r="449" spans="2:2" x14ac:dyDescent="0.2">
      <c r="B449" s="154"/>
    </row>
    <row r="450" spans="2:2" x14ac:dyDescent="0.2">
      <c r="B450" s="154"/>
    </row>
    <row r="451" spans="2:2" x14ac:dyDescent="0.2">
      <c r="B451" s="154"/>
    </row>
    <row r="452" spans="2:2" x14ac:dyDescent="0.2">
      <c r="B452" s="154"/>
    </row>
    <row r="453" spans="2:2" x14ac:dyDescent="0.2">
      <c r="B453" s="154"/>
    </row>
    <row r="454" spans="2:2" x14ac:dyDescent="0.2">
      <c r="B454" s="154"/>
    </row>
    <row r="455" spans="2:2" x14ac:dyDescent="0.2">
      <c r="B455" s="154"/>
    </row>
    <row r="456" spans="2:2" x14ac:dyDescent="0.2">
      <c r="B456" s="154"/>
    </row>
    <row r="457" spans="2:2" x14ac:dyDescent="0.2">
      <c r="B457" s="154"/>
    </row>
    <row r="458" spans="2:2" x14ac:dyDescent="0.2">
      <c r="B458" s="154"/>
    </row>
    <row r="459" spans="2:2" x14ac:dyDescent="0.2">
      <c r="B459" s="154"/>
    </row>
    <row r="460" spans="2:2" x14ac:dyDescent="0.2">
      <c r="B460" s="154"/>
    </row>
    <row r="461" spans="2:2" x14ac:dyDescent="0.2">
      <c r="B461" s="154"/>
    </row>
    <row r="462" spans="2:2" x14ac:dyDescent="0.2">
      <c r="B462" s="154"/>
    </row>
    <row r="463" spans="2:2" x14ac:dyDescent="0.2">
      <c r="B463" s="154"/>
    </row>
    <row r="464" spans="2:2" x14ac:dyDescent="0.2">
      <c r="B464" s="154"/>
    </row>
    <row r="465" spans="2:2" x14ac:dyDescent="0.2">
      <c r="B465" s="154"/>
    </row>
    <row r="466" spans="2:2" x14ac:dyDescent="0.2">
      <c r="B466" s="154"/>
    </row>
    <row r="467" spans="2:2" x14ac:dyDescent="0.2">
      <c r="B467" s="154"/>
    </row>
    <row r="468" spans="2:2" x14ac:dyDescent="0.2">
      <c r="B468" s="154"/>
    </row>
    <row r="469" spans="2:2" x14ac:dyDescent="0.2">
      <c r="B469" s="154"/>
    </row>
    <row r="470" spans="2:2" x14ac:dyDescent="0.2">
      <c r="B470" s="154"/>
    </row>
    <row r="471" spans="2:2" x14ac:dyDescent="0.2">
      <c r="B471" s="154"/>
    </row>
    <row r="472" spans="2:2" x14ac:dyDescent="0.2">
      <c r="B472" s="154"/>
    </row>
    <row r="473" spans="2:2" x14ac:dyDescent="0.2">
      <c r="B473" s="154"/>
    </row>
    <row r="474" spans="2:2" x14ac:dyDescent="0.2">
      <c r="B474" s="154"/>
    </row>
    <row r="475" spans="2:2" x14ac:dyDescent="0.2">
      <c r="B475" s="154"/>
    </row>
    <row r="476" spans="2:2" x14ac:dyDescent="0.2">
      <c r="B476" s="154"/>
    </row>
    <row r="477" spans="2:2" x14ac:dyDescent="0.2">
      <c r="B477" s="154"/>
    </row>
    <row r="478" spans="2:2" x14ac:dyDescent="0.2">
      <c r="B478" s="154"/>
    </row>
    <row r="479" spans="2:2" x14ac:dyDescent="0.2">
      <c r="B479" s="154"/>
    </row>
    <row r="480" spans="2:2" x14ac:dyDescent="0.2">
      <c r="B480" s="154"/>
    </row>
    <row r="481" spans="2:2" x14ac:dyDescent="0.2">
      <c r="B481" s="154"/>
    </row>
    <row r="482" spans="2:2" x14ac:dyDescent="0.2">
      <c r="B482" s="154"/>
    </row>
    <row r="483" spans="2:2" x14ac:dyDescent="0.2">
      <c r="B483" s="154"/>
    </row>
    <row r="484" spans="2:2" x14ac:dyDescent="0.2">
      <c r="B484" s="154"/>
    </row>
    <row r="485" spans="2:2" x14ac:dyDescent="0.2">
      <c r="B485" s="154"/>
    </row>
    <row r="486" spans="2:2" x14ac:dyDescent="0.2">
      <c r="B486" s="154"/>
    </row>
    <row r="487" spans="2:2" x14ac:dyDescent="0.2">
      <c r="B487" s="154"/>
    </row>
    <row r="488" spans="2:2" x14ac:dyDescent="0.2">
      <c r="B488" s="154"/>
    </row>
    <row r="489" spans="2:2" x14ac:dyDescent="0.2">
      <c r="B489" s="154"/>
    </row>
    <row r="490" spans="2:2" x14ac:dyDescent="0.2">
      <c r="B490" s="154"/>
    </row>
    <row r="491" spans="2:2" x14ac:dyDescent="0.2">
      <c r="B491" s="154"/>
    </row>
    <row r="492" spans="2:2" x14ac:dyDescent="0.2">
      <c r="B492" s="154"/>
    </row>
    <row r="493" spans="2:2" x14ac:dyDescent="0.2">
      <c r="B493" s="154"/>
    </row>
    <row r="494" spans="2:2" x14ac:dyDescent="0.2">
      <c r="B494" s="154"/>
    </row>
    <row r="495" spans="2:2" x14ac:dyDescent="0.2">
      <c r="B495" s="154"/>
    </row>
    <row r="496" spans="2:2" x14ac:dyDescent="0.2">
      <c r="B496" s="154"/>
    </row>
    <row r="497" spans="2:2" x14ac:dyDescent="0.2">
      <c r="B497" s="154"/>
    </row>
    <row r="498" spans="2:2" x14ac:dyDescent="0.2">
      <c r="B498" s="154"/>
    </row>
    <row r="499" spans="2:2" x14ac:dyDescent="0.2">
      <c r="B499" s="154"/>
    </row>
    <row r="500" spans="2:2" x14ac:dyDescent="0.2">
      <c r="B500" s="154"/>
    </row>
    <row r="501" spans="2:2" x14ac:dyDescent="0.2">
      <c r="B501" s="154"/>
    </row>
    <row r="502" spans="2:2" x14ac:dyDescent="0.2">
      <c r="B502" s="154"/>
    </row>
    <row r="503" spans="2:2" x14ac:dyDescent="0.2">
      <c r="B503" s="154"/>
    </row>
    <row r="504" spans="2:2" x14ac:dyDescent="0.2">
      <c r="B504" s="154"/>
    </row>
    <row r="505" spans="2:2" x14ac:dyDescent="0.2">
      <c r="B505" s="154"/>
    </row>
    <row r="506" spans="2:2" x14ac:dyDescent="0.2">
      <c r="B506" s="154"/>
    </row>
    <row r="507" spans="2:2" x14ac:dyDescent="0.2">
      <c r="B507" s="154"/>
    </row>
    <row r="508" spans="2:2" x14ac:dyDescent="0.2">
      <c r="B508" s="154"/>
    </row>
    <row r="509" spans="2:2" x14ac:dyDescent="0.2">
      <c r="B509" s="154"/>
    </row>
    <row r="510" spans="2:2" x14ac:dyDescent="0.2">
      <c r="B510" s="154"/>
    </row>
    <row r="511" spans="2:2" x14ac:dyDescent="0.2">
      <c r="B511" s="154"/>
    </row>
    <row r="512" spans="2:2" x14ac:dyDescent="0.2">
      <c r="B512" s="154"/>
    </row>
    <row r="513" spans="2:2" x14ac:dyDescent="0.2">
      <c r="B513" s="154"/>
    </row>
    <row r="514" spans="2:2" x14ac:dyDescent="0.2">
      <c r="B514" s="154"/>
    </row>
    <row r="515" spans="2:2" x14ac:dyDescent="0.2">
      <c r="B515" s="154"/>
    </row>
    <row r="516" spans="2:2" x14ac:dyDescent="0.2">
      <c r="B516" s="154"/>
    </row>
    <row r="517" spans="2:2" x14ac:dyDescent="0.2">
      <c r="B517" s="154"/>
    </row>
    <row r="518" spans="2:2" x14ac:dyDescent="0.2">
      <c r="B518" s="154"/>
    </row>
    <row r="519" spans="2:2" x14ac:dyDescent="0.2">
      <c r="B519" s="154"/>
    </row>
    <row r="520" spans="2:2" x14ac:dyDescent="0.2">
      <c r="B520" s="154"/>
    </row>
    <row r="521" spans="2:2" x14ac:dyDescent="0.2">
      <c r="B521" s="154"/>
    </row>
    <row r="522" spans="2:2" x14ac:dyDescent="0.2">
      <c r="B522" s="154"/>
    </row>
    <row r="523" spans="2:2" x14ac:dyDescent="0.2">
      <c r="B523" s="154"/>
    </row>
    <row r="524" spans="2:2" x14ac:dyDescent="0.2">
      <c r="B524" s="154"/>
    </row>
    <row r="525" spans="2:2" x14ac:dyDescent="0.2">
      <c r="B525" s="154"/>
    </row>
    <row r="526" spans="2:2" x14ac:dyDescent="0.2">
      <c r="B526" s="154"/>
    </row>
    <row r="527" spans="2:2" x14ac:dyDescent="0.2">
      <c r="B527" s="154"/>
    </row>
    <row r="528" spans="2:2" x14ac:dyDescent="0.2">
      <c r="B528" s="154"/>
    </row>
    <row r="529" spans="2:2" x14ac:dyDescent="0.2">
      <c r="B529" s="154"/>
    </row>
    <row r="530" spans="2:2" x14ac:dyDescent="0.2">
      <c r="B530" s="154"/>
    </row>
    <row r="531" spans="2:2" x14ac:dyDescent="0.2">
      <c r="B531" s="154"/>
    </row>
    <row r="532" spans="2:2" x14ac:dyDescent="0.2">
      <c r="B532" s="154"/>
    </row>
    <row r="533" spans="2:2" x14ac:dyDescent="0.2">
      <c r="B533" s="154"/>
    </row>
    <row r="534" spans="2:2" x14ac:dyDescent="0.2">
      <c r="B534" s="154"/>
    </row>
    <row r="535" spans="2:2" x14ac:dyDescent="0.2">
      <c r="B535" s="154"/>
    </row>
    <row r="536" spans="2:2" x14ac:dyDescent="0.2">
      <c r="B536" s="154"/>
    </row>
    <row r="537" spans="2:2" x14ac:dyDescent="0.2">
      <c r="B537" s="154"/>
    </row>
    <row r="538" spans="2:2" x14ac:dyDescent="0.2">
      <c r="B538" s="154"/>
    </row>
    <row r="539" spans="2:2" x14ac:dyDescent="0.2">
      <c r="B539" s="154"/>
    </row>
    <row r="540" spans="2:2" x14ac:dyDescent="0.2">
      <c r="B540" s="154"/>
    </row>
    <row r="541" spans="2:2" x14ac:dyDescent="0.2">
      <c r="B541" s="154"/>
    </row>
    <row r="542" spans="2:2" x14ac:dyDescent="0.2">
      <c r="B542" s="154"/>
    </row>
    <row r="543" spans="2:2" x14ac:dyDescent="0.2">
      <c r="B543" s="154"/>
    </row>
    <row r="544" spans="2:2" x14ac:dyDescent="0.2">
      <c r="B544" s="154"/>
    </row>
    <row r="545" spans="2:2" x14ac:dyDescent="0.2">
      <c r="B545" s="154"/>
    </row>
    <row r="546" spans="2:2" x14ac:dyDescent="0.2">
      <c r="B546" s="154"/>
    </row>
    <row r="547" spans="2:2" x14ac:dyDescent="0.2">
      <c r="B547" s="154"/>
    </row>
    <row r="548" spans="2:2" x14ac:dyDescent="0.2">
      <c r="B548" s="154"/>
    </row>
    <row r="549" spans="2:2" x14ac:dyDescent="0.2">
      <c r="B549" s="154"/>
    </row>
    <row r="550" spans="2:2" x14ac:dyDescent="0.2">
      <c r="B550" s="154"/>
    </row>
    <row r="551" spans="2:2" x14ac:dyDescent="0.2">
      <c r="B551" s="154"/>
    </row>
    <row r="552" spans="2:2" x14ac:dyDescent="0.2">
      <c r="B552" s="154"/>
    </row>
    <row r="553" spans="2:2" x14ac:dyDescent="0.2">
      <c r="B553" s="154"/>
    </row>
    <row r="554" spans="2:2" x14ac:dyDescent="0.2">
      <c r="B554" s="154"/>
    </row>
    <row r="555" spans="2:2" x14ac:dyDescent="0.2">
      <c r="B555" s="154"/>
    </row>
    <row r="556" spans="2:2" x14ac:dyDescent="0.2">
      <c r="B556" s="154"/>
    </row>
    <row r="557" spans="2:2" x14ac:dyDescent="0.2">
      <c r="B557" s="154"/>
    </row>
    <row r="558" spans="2:2" x14ac:dyDescent="0.2">
      <c r="B558" s="154"/>
    </row>
    <row r="559" spans="2:2" x14ac:dyDescent="0.2">
      <c r="B559" s="154"/>
    </row>
    <row r="560" spans="2:2" x14ac:dyDescent="0.2">
      <c r="B560" s="154"/>
    </row>
    <row r="561" spans="2:2" x14ac:dyDescent="0.2">
      <c r="B561" s="154"/>
    </row>
    <row r="562" spans="2:2" x14ac:dyDescent="0.2">
      <c r="B562" s="154"/>
    </row>
    <row r="563" spans="2:2" x14ac:dyDescent="0.2">
      <c r="B563" s="154"/>
    </row>
    <row r="564" spans="2:2" x14ac:dyDescent="0.2">
      <c r="B564" s="154"/>
    </row>
    <row r="565" spans="2:2" x14ac:dyDescent="0.2">
      <c r="B565" s="154"/>
    </row>
    <row r="566" spans="2:2" x14ac:dyDescent="0.2">
      <c r="B566" s="154"/>
    </row>
    <row r="567" spans="2:2" x14ac:dyDescent="0.2">
      <c r="B567" s="154"/>
    </row>
    <row r="568" spans="2:2" x14ac:dyDescent="0.2">
      <c r="B568" s="154"/>
    </row>
    <row r="569" spans="2:2" x14ac:dyDescent="0.2">
      <c r="B569" s="154"/>
    </row>
    <row r="570" spans="2:2" x14ac:dyDescent="0.2">
      <c r="B570" s="154"/>
    </row>
    <row r="571" spans="2:2" x14ac:dyDescent="0.2">
      <c r="B571" s="154"/>
    </row>
    <row r="572" spans="2:2" x14ac:dyDescent="0.2">
      <c r="B572" s="154"/>
    </row>
    <row r="573" spans="2:2" x14ac:dyDescent="0.2">
      <c r="B573" s="154"/>
    </row>
    <row r="574" spans="2:2" x14ac:dyDescent="0.2">
      <c r="B574" s="154"/>
    </row>
    <row r="575" spans="2:2" x14ac:dyDescent="0.2">
      <c r="B575" s="154"/>
    </row>
    <row r="576" spans="2:2" x14ac:dyDescent="0.2">
      <c r="B576" s="154"/>
    </row>
    <row r="577" spans="2:2" x14ac:dyDescent="0.2">
      <c r="B577" s="154"/>
    </row>
    <row r="578" spans="2:2" x14ac:dyDescent="0.2">
      <c r="B578" s="154"/>
    </row>
    <row r="579" spans="2:2" x14ac:dyDescent="0.2">
      <c r="B579" s="154"/>
    </row>
    <row r="580" spans="2:2" x14ac:dyDescent="0.2">
      <c r="B580" s="154"/>
    </row>
    <row r="581" spans="2:2" x14ac:dyDescent="0.2">
      <c r="B581" s="154"/>
    </row>
    <row r="582" spans="2:2" x14ac:dyDescent="0.2">
      <c r="B582" s="154"/>
    </row>
    <row r="583" spans="2:2" x14ac:dyDescent="0.2">
      <c r="B583" s="154"/>
    </row>
    <row r="584" spans="2:2" x14ac:dyDescent="0.2">
      <c r="B584" s="154"/>
    </row>
    <row r="585" spans="2:2" x14ac:dyDescent="0.2">
      <c r="B585" s="154"/>
    </row>
    <row r="586" spans="2:2" x14ac:dyDescent="0.2">
      <c r="B586" s="154"/>
    </row>
    <row r="587" spans="2:2" x14ac:dyDescent="0.2">
      <c r="B587" s="154"/>
    </row>
    <row r="588" spans="2:2" x14ac:dyDescent="0.2">
      <c r="B588" s="154"/>
    </row>
    <row r="589" spans="2:2" x14ac:dyDescent="0.2">
      <c r="B589" s="154"/>
    </row>
    <row r="590" spans="2:2" x14ac:dyDescent="0.2">
      <c r="B590" s="154"/>
    </row>
    <row r="591" spans="2:2" x14ac:dyDescent="0.2">
      <c r="B591" s="154"/>
    </row>
    <row r="592" spans="2:2" x14ac:dyDescent="0.2">
      <c r="B592" s="154"/>
    </row>
    <row r="593" spans="2:2" x14ac:dyDescent="0.2">
      <c r="B593" s="154"/>
    </row>
    <row r="594" spans="2:2" x14ac:dyDescent="0.2">
      <c r="B594" s="154"/>
    </row>
    <row r="595" spans="2:2" x14ac:dyDescent="0.2">
      <c r="B595" s="154"/>
    </row>
    <row r="596" spans="2:2" x14ac:dyDescent="0.2">
      <c r="B596" s="154"/>
    </row>
    <row r="597" spans="2:2" x14ac:dyDescent="0.2">
      <c r="B597" s="154"/>
    </row>
    <row r="598" spans="2:2" x14ac:dyDescent="0.2">
      <c r="B598" s="154"/>
    </row>
    <row r="599" spans="2:2" x14ac:dyDescent="0.2">
      <c r="B599" s="154"/>
    </row>
    <row r="600" spans="2:2" x14ac:dyDescent="0.2">
      <c r="B600" s="154"/>
    </row>
    <row r="601" spans="2:2" x14ac:dyDescent="0.2">
      <c r="B601" s="154"/>
    </row>
    <row r="602" spans="2:2" x14ac:dyDescent="0.2">
      <c r="B602" s="154"/>
    </row>
    <row r="603" spans="2:2" x14ac:dyDescent="0.2">
      <c r="B603" s="154"/>
    </row>
    <row r="604" spans="2:2" x14ac:dyDescent="0.2">
      <c r="B604" s="154"/>
    </row>
    <row r="605" spans="2:2" x14ac:dyDescent="0.2">
      <c r="B605" s="154"/>
    </row>
    <row r="606" spans="2:2" x14ac:dyDescent="0.2">
      <c r="B606" s="154"/>
    </row>
    <row r="607" spans="2:2" x14ac:dyDescent="0.2">
      <c r="B607" s="154"/>
    </row>
    <row r="608" spans="2:2" x14ac:dyDescent="0.2">
      <c r="B608" s="154"/>
    </row>
    <row r="609" spans="2:2" x14ac:dyDescent="0.2">
      <c r="B609" s="154"/>
    </row>
    <row r="610" spans="2:2" x14ac:dyDescent="0.2">
      <c r="B610" s="154"/>
    </row>
    <row r="611" spans="2:2" x14ac:dyDescent="0.2">
      <c r="B611" s="154"/>
    </row>
    <row r="612" spans="2:2" x14ac:dyDescent="0.2">
      <c r="B612" s="154"/>
    </row>
    <row r="613" spans="2:2" x14ac:dyDescent="0.2">
      <c r="B613" s="154"/>
    </row>
    <row r="614" spans="2:2" x14ac:dyDescent="0.2">
      <c r="B614" s="154"/>
    </row>
    <row r="615" spans="2:2" x14ac:dyDescent="0.2">
      <c r="B615" s="154"/>
    </row>
    <row r="616" spans="2:2" x14ac:dyDescent="0.2">
      <c r="B616" s="154"/>
    </row>
    <row r="617" spans="2:2" x14ac:dyDescent="0.2">
      <c r="B617" s="154"/>
    </row>
    <row r="618" spans="2:2" x14ac:dyDescent="0.2">
      <c r="B618" s="154"/>
    </row>
    <row r="619" spans="2:2" x14ac:dyDescent="0.2">
      <c r="B619" s="154"/>
    </row>
    <row r="620" spans="2:2" x14ac:dyDescent="0.2">
      <c r="B620" s="154"/>
    </row>
    <row r="621" spans="2:2" x14ac:dyDescent="0.2">
      <c r="B621" s="154"/>
    </row>
    <row r="622" spans="2:2" x14ac:dyDescent="0.2">
      <c r="B622" s="154"/>
    </row>
    <row r="623" spans="2:2" x14ac:dyDescent="0.2">
      <c r="B623" s="154"/>
    </row>
    <row r="624" spans="2:2" x14ac:dyDescent="0.2">
      <c r="B624" s="154"/>
    </row>
    <row r="625" spans="2:2" x14ac:dyDescent="0.2">
      <c r="B625" s="154"/>
    </row>
    <row r="626" spans="2:2" x14ac:dyDescent="0.2">
      <c r="B626" s="154"/>
    </row>
    <row r="627" spans="2:2" x14ac:dyDescent="0.2">
      <c r="B627" s="154"/>
    </row>
    <row r="628" spans="2:2" x14ac:dyDescent="0.2">
      <c r="B628" s="154"/>
    </row>
    <row r="629" spans="2:2" x14ac:dyDescent="0.2">
      <c r="B629" s="154"/>
    </row>
    <row r="630" spans="2:2" x14ac:dyDescent="0.2">
      <c r="B630" s="154"/>
    </row>
    <row r="631" spans="2:2" x14ac:dyDescent="0.2">
      <c r="B631" s="154"/>
    </row>
    <row r="632" spans="2:2" x14ac:dyDescent="0.2">
      <c r="B632" s="154"/>
    </row>
    <row r="633" spans="2:2" x14ac:dyDescent="0.2">
      <c r="B633" s="154"/>
    </row>
    <row r="634" spans="2:2" x14ac:dyDescent="0.2">
      <c r="B634" s="154"/>
    </row>
    <row r="635" spans="2:2" x14ac:dyDescent="0.2">
      <c r="B635" s="154"/>
    </row>
    <row r="636" spans="2:2" x14ac:dyDescent="0.2">
      <c r="B636" s="154"/>
    </row>
    <row r="637" spans="2:2" x14ac:dyDescent="0.2">
      <c r="B637" s="154"/>
    </row>
    <row r="638" spans="2:2" x14ac:dyDescent="0.2">
      <c r="B638" s="154"/>
    </row>
    <row r="639" spans="2:2" x14ac:dyDescent="0.2">
      <c r="B639" s="154"/>
    </row>
    <row r="640" spans="2:2" x14ac:dyDescent="0.2">
      <c r="B640" s="154"/>
    </row>
    <row r="641" spans="2:2" x14ac:dyDescent="0.2">
      <c r="B641" s="154"/>
    </row>
    <row r="642" spans="2:2" x14ac:dyDescent="0.2">
      <c r="B642" s="154"/>
    </row>
    <row r="643" spans="2:2" x14ac:dyDescent="0.2">
      <c r="B643" s="154"/>
    </row>
    <row r="644" spans="2:2" x14ac:dyDescent="0.2">
      <c r="B644" s="154"/>
    </row>
    <row r="645" spans="2:2" x14ac:dyDescent="0.2">
      <c r="B645" s="154"/>
    </row>
    <row r="646" spans="2:2" x14ac:dyDescent="0.2">
      <c r="B646" s="154"/>
    </row>
    <row r="647" spans="2:2" x14ac:dyDescent="0.2">
      <c r="B647" s="154"/>
    </row>
    <row r="648" spans="2:2" x14ac:dyDescent="0.2">
      <c r="B648" s="154"/>
    </row>
    <row r="649" spans="2:2" x14ac:dyDescent="0.2">
      <c r="B649" s="154"/>
    </row>
    <row r="650" spans="2:2" x14ac:dyDescent="0.2">
      <c r="B650" s="154"/>
    </row>
    <row r="651" spans="2:2" x14ac:dyDescent="0.2">
      <c r="B651" s="154"/>
    </row>
    <row r="652" spans="2:2" x14ac:dyDescent="0.2">
      <c r="B652" s="154"/>
    </row>
    <row r="653" spans="2:2" x14ac:dyDescent="0.2">
      <c r="B653" s="154"/>
    </row>
    <row r="654" spans="2:2" x14ac:dyDescent="0.2">
      <c r="B654" s="154"/>
    </row>
    <row r="655" spans="2:2" x14ac:dyDescent="0.2">
      <c r="B655" s="154"/>
    </row>
    <row r="656" spans="2:2" x14ac:dyDescent="0.2">
      <c r="B656" s="154"/>
    </row>
    <row r="657" spans="2:2" x14ac:dyDescent="0.2">
      <c r="B657" s="154"/>
    </row>
    <row r="658" spans="2:2" x14ac:dyDescent="0.2">
      <c r="B658" s="154"/>
    </row>
    <row r="659" spans="2:2" x14ac:dyDescent="0.2">
      <c r="B659" s="154"/>
    </row>
    <row r="660" spans="2:2" x14ac:dyDescent="0.2">
      <c r="B660" s="154"/>
    </row>
    <row r="661" spans="2:2" x14ac:dyDescent="0.2">
      <c r="B661" s="154"/>
    </row>
    <row r="662" spans="2:2" x14ac:dyDescent="0.2">
      <c r="B662" s="154"/>
    </row>
    <row r="663" spans="2:2" x14ac:dyDescent="0.2">
      <c r="B663" s="154"/>
    </row>
    <row r="664" spans="2:2" x14ac:dyDescent="0.2">
      <c r="B664" s="154"/>
    </row>
    <row r="665" spans="2:2" x14ac:dyDescent="0.2">
      <c r="B665" s="154"/>
    </row>
    <row r="666" spans="2:2" x14ac:dyDescent="0.2">
      <c r="B666" s="154"/>
    </row>
    <row r="667" spans="2:2" x14ac:dyDescent="0.2">
      <c r="B667" s="154"/>
    </row>
    <row r="668" spans="2:2" x14ac:dyDescent="0.2">
      <c r="B668" s="154"/>
    </row>
    <row r="669" spans="2:2" x14ac:dyDescent="0.2">
      <c r="B669" s="154"/>
    </row>
    <row r="670" spans="2:2" x14ac:dyDescent="0.2">
      <c r="B670" s="154"/>
    </row>
    <row r="671" spans="2:2" x14ac:dyDescent="0.2">
      <c r="B671" s="154"/>
    </row>
    <row r="672" spans="2:2" x14ac:dyDescent="0.2">
      <c r="B672" s="154"/>
    </row>
    <row r="673" spans="2:2" x14ac:dyDescent="0.2">
      <c r="B673" s="154"/>
    </row>
    <row r="674" spans="2:2" x14ac:dyDescent="0.2">
      <c r="B674" s="154"/>
    </row>
    <row r="675" spans="2:2" x14ac:dyDescent="0.2">
      <c r="B675" s="154"/>
    </row>
    <row r="676" spans="2:2" x14ac:dyDescent="0.2">
      <c r="B676" s="154"/>
    </row>
    <row r="677" spans="2:2" x14ac:dyDescent="0.2">
      <c r="B677" s="154"/>
    </row>
    <row r="678" spans="2:2" x14ac:dyDescent="0.2">
      <c r="B678" s="154"/>
    </row>
    <row r="679" spans="2:2" x14ac:dyDescent="0.2">
      <c r="B679" s="154"/>
    </row>
    <row r="680" spans="2:2" x14ac:dyDescent="0.2">
      <c r="B680" s="154"/>
    </row>
    <row r="681" spans="2:2" x14ac:dyDescent="0.2">
      <c r="B681" s="154"/>
    </row>
    <row r="682" spans="2:2" x14ac:dyDescent="0.2">
      <c r="B682" s="154"/>
    </row>
    <row r="683" spans="2:2" x14ac:dyDescent="0.2">
      <c r="B683" s="154"/>
    </row>
    <row r="684" spans="2:2" x14ac:dyDescent="0.2">
      <c r="B684" s="154"/>
    </row>
    <row r="685" spans="2:2" x14ac:dyDescent="0.2">
      <c r="B685" s="154"/>
    </row>
    <row r="686" spans="2:2" x14ac:dyDescent="0.2">
      <c r="B686" s="154"/>
    </row>
    <row r="687" spans="2:2" x14ac:dyDescent="0.2">
      <c r="B687" s="154"/>
    </row>
    <row r="688" spans="2:2" x14ac:dyDescent="0.2">
      <c r="B688" s="154"/>
    </row>
    <row r="689" spans="2:2" x14ac:dyDescent="0.2">
      <c r="B689" s="154"/>
    </row>
    <row r="690" spans="2:2" x14ac:dyDescent="0.2">
      <c r="B690" s="154"/>
    </row>
    <row r="691" spans="2:2" x14ac:dyDescent="0.2">
      <c r="B691" s="154"/>
    </row>
    <row r="692" spans="2:2" x14ac:dyDescent="0.2">
      <c r="B692" s="154"/>
    </row>
    <row r="693" spans="2:2" x14ac:dyDescent="0.2">
      <c r="B693" s="154"/>
    </row>
    <row r="694" spans="2:2" x14ac:dyDescent="0.2">
      <c r="B694" s="154"/>
    </row>
    <row r="695" spans="2:2" x14ac:dyDescent="0.2">
      <c r="B695" s="154"/>
    </row>
    <row r="696" spans="2:2" x14ac:dyDescent="0.2">
      <c r="B696" s="154"/>
    </row>
    <row r="697" spans="2:2" x14ac:dyDescent="0.2">
      <c r="B697" s="154"/>
    </row>
    <row r="698" spans="2:2" x14ac:dyDescent="0.2">
      <c r="B698" s="154"/>
    </row>
    <row r="699" spans="2:2" x14ac:dyDescent="0.2">
      <c r="B699" s="154"/>
    </row>
    <row r="700" spans="2:2" x14ac:dyDescent="0.2">
      <c r="B700" s="154"/>
    </row>
    <row r="701" spans="2:2" x14ac:dyDescent="0.2">
      <c r="B701" s="154"/>
    </row>
    <row r="702" spans="2:2" x14ac:dyDescent="0.2">
      <c r="B702" s="154"/>
    </row>
    <row r="703" spans="2:2" x14ac:dyDescent="0.2">
      <c r="B703" s="154"/>
    </row>
    <row r="704" spans="2:2" x14ac:dyDescent="0.2">
      <c r="B704" s="154"/>
    </row>
    <row r="705" spans="2:2" x14ac:dyDescent="0.2">
      <c r="B705" s="154"/>
    </row>
    <row r="706" spans="2:2" x14ac:dyDescent="0.2">
      <c r="B706" s="154"/>
    </row>
    <row r="707" spans="2:2" x14ac:dyDescent="0.2">
      <c r="B707" s="154"/>
    </row>
    <row r="708" spans="2:2" x14ac:dyDescent="0.2">
      <c r="B708" s="154"/>
    </row>
    <row r="709" spans="2:2" x14ac:dyDescent="0.2">
      <c r="B709" s="154"/>
    </row>
    <row r="710" spans="2:2" x14ac:dyDescent="0.2">
      <c r="B710" s="154"/>
    </row>
    <row r="711" spans="2:2" x14ac:dyDescent="0.2">
      <c r="B711" s="154"/>
    </row>
    <row r="712" spans="2:2" x14ac:dyDescent="0.2">
      <c r="B712" s="154"/>
    </row>
    <row r="713" spans="2:2" x14ac:dyDescent="0.2">
      <c r="B713" s="154"/>
    </row>
    <row r="714" spans="2:2" x14ac:dyDescent="0.2">
      <c r="B714" s="154"/>
    </row>
    <row r="715" spans="2:2" x14ac:dyDescent="0.2">
      <c r="B715" s="154"/>
    </row>
    <row r="716" spans="2:2" x14ac:dyDescent="0.2">
      <c r="B716" s="154"/>
    </row>
    <row r="717" spans="2:2" x14ac:dyDescent="0.2">
      <c r="B717" s="154"/>
    </row>
    <row r="718" spans="2:2" x14ac:dyDescent="0.2">
      <c r="B718" s="154"/>
    </row>
    <row r="719" spans="2:2" x14ac:dyDescent="0.2">
      <c r="B719" s="154"/>
    </row>
    <row r="720" spans="2:2" x14ac:dyDescent="0.2">
      <c r="B720" s="154"/>
    </row>
    <row r="721" spans="2:2" x14ac:dyDescent="0.2">
      <c r="B721" s="154"/>
    </row>
    <row r="722" spans="2:2" x14ac:dyDescent="0.2">
      <c r="B722" s="154"/>
    </row>
    <row r="723" spans="2:2" x14ac:dyDescent="0.2">
      <c r="B723" s="154"/>
    </row>
    <row r="724" spans="2:2" x14ac:dyDescent="0.2">
      <c r="B724" s="154"/>
    </row>
    <row r="725" spans="2:2" x14ac:dyDescent="0.2">
      <c r="B725" s="154"/>
    </row>
    <row r="726" spans="2:2" x14ac:dyDescent="0.2">
      <c r="B726" s="154"/>
    </row>
    <row r="727" spans="2:2" x14ac:dyDescent="0.2">
      <c r="B727" s="154"/>
    </row>
    <row r="728" spans="2:2" x14ac:dyDescent="0.2">
      <c r="B728" s="154"/>
    </row>
    <row r="729" spans="2:2" x14ac:dyDescent="0.2">
      <c r="B729" s="154"/>
    </row>
    <row r="730" spans="2:2" x14ac:dyDescent="0.2">
      <c r="B730" s="154"/>
    </row>
    <row r="731" spans="2:2" x14ac:dyDescent="0.2">
      <c r="B731" s="154"/>
    </row>
    <row r="732" spans="2:2" x14ac:dyDescent="0.2">
      <c r="B732" s="154"/>
    </row>
    <row r="733" spans="2:2" x14ac:dyDescent="0.2">
      <c r="B733" s="154"/>
    </row>
    <row r="734" spans="2:2" x14ac:dyDescent="0.2">
      <c r="B734" s="154"/>
    </row>
    <row r="735" spans="2:2" x14ac:dyDescent="0.2">
      <c r="B735" s="154"/>
    </row>
    <row r="736" spans="2:2" x14ac:dyDescent="0.2">
      <c r="B736" s="154"/>
    </row>
    <row r="737" spans="2:2" x14ac:dyDescent="0.2">
      <c r="B737" s="154"/>
    </row>
    <row r="738" spans="2:2" x14ac:dyDescent="0.2">
      <c r="B738" s="154"/>
    </row>
    <row r="739" spans="2:2" x14ac:dyDescent="0.2">
      <c r="B739" s="154"/>
    </row>
    <row r="740" spans="2:2" x14ac:dyDescent="0.2">
      <c r="B740" s="154"/>
    </row>
    <row r="741" spans="2:2" x14ac:dyDescent="0.2">
      <c r="B741" s="154"/>
    </row>
    <row r="742" spans="2:2" x14ac:dyDescent="0.2">
      <c r="B742" s="154"/>
    </row>
    <row r="743" spans="2:2" x14ac:dyDescent="0.2">
      <c r="B743" s="154"/>
    </row>
    <row r="744" spans="2:2" x14ac:dyDescent="0.2">
      <c r="B744" s="154"/>
    </row>
    <row r="745" spans="2:2" x14ac:dyDescent="0.2">
      <c r="B745" s="154"/>
    </row>
    <row r="746" spans="2:2" x14ac:dyDescent="0.2">
      <c r="B746" s="154"/>
    </row>
    <row r="747" spans="2:2" x14ac:dyDescent="0.2">
      <c r="B747" s="154"/>
    </row>
    <row r="748" spans="2:2" x14ac:dyDescent="0.2">
      <c r="B748" s="154"/>
    </row>
    <row r="749" spans="2:2" x14ac:dyDescent="0.2">
      <c r="B749" s="154"/>
    </row>
    <row r="750" spans="2:2" x14ac:dyDescent="0.2">
      <c r="B750" s="154"/>
    </row>
    <row r="751" spans="2:2" x14ac:dyDescent="0.2">
      <c r="B751" s="154"/>
    </row>
    <row r="752" spans="2:2" x14ac:dyDescent="0.2">
      <c r="B752" s="154"/>
    </row>
    <row r="753" spans="2:2" x14ac:dyDescent="0.2">
      <c r="B753" s="154"/>
    </row>
    <row r="754" spans="2:2" x14ac:dyDescent="0.2">
      <c r="B754" s="154"/>
    </row>
    <row r="755" spans="2:2" x14ac:dyDescent="0.2">
      <c r="B755" s="154"/>
    </row>
    <row r="756" spans="2:2" x14ac:dyDescent="0.2">
      <c r="B756" s="154"/>
    </row>
    <row r="757" spans="2:2" x14ac:dyDescent="0.2">
      <c r="B757" s="154"/>
    </row>
    <row r="758" spans="2:2" x14ac:dyDescent="0.2">
      <c r="B758" s="154"/>
    </row>
    <row r="759" spans="2:2" x14ac:dyDescent="0.2">
      <c r="B759" s="154"/>
    </row>
    <row r="760" spans="2:2" x14ac:dyDescent="0.2">
      <c r="B760" s="154"/>
    </row>
    <row r="761" spans="2:2" x14ac:dyDescent="0.2">
      <c r="B761" s="154"/>
    </row>
    <row r="762" spans="2:2" x14ac:dyDescent="0.2">
      <c r="B762" s="154"/>
    </row>
    <row r="763" spans="2:2" x14ac:dyDescent="0.2">
      <c r="B763" s="154"/>
    </row>
    <row r="764" spans="2:2" x14ac:dyDescent="0.2">
      <c r="B764" s="154"/>
    </row>
    <row r="765" spans="2:2" x14ac:dyDescent="0.2">
      <c r="B765" s="154"/>
    </row>
    <row r="766" spans="2:2" x14ac:dyDescent="0.2">
      <c r="B766" s="154"/>
    </row>
    <row r="767" spans="2:2" x14ac:dyDescent="0.2">
      <c r="B767" s="154"/>
    </row>
    <row r="768" spans="2:2" x14ac:dyDescent="0.2">
      <c r="B768" s="154"/>
    </row>
    <row r="769" spans="2:2" x14ac:dyDescent="0.2">
      <c r="B769" s="154"/>
    </row>
    <row r="770" spans="2:2" x14ac:dyDescent="0.2">
      <c r="B770" s="154"/>
    </row>
    <row r="771" spans="2:2" x14ac:dyDescent="0.2">
      <c r="B771" s="154"/>
    </row>
    <row r="772" spans="2:2" x14ac:dyDescent="0.2">
      <c r="B772" s="154"/>
    </row>
    <row r="773" spans="2:2" x14ac:dyDescent="0.2">
      <c r="B773" s="154"/>
    </row>
    <row r="774" spans="2:2" x14ac:dyDescent="0.2">
      <c r="B774" s="154"/>
    </row>
    <row r="775" spans="2:2" x14ac:dyDescent="0.2">
      <c r="B775" s="154"/>
    </row>
    <row r="776" spans="2:2" x14ac:dyDescent="0.2">
      <c r="B776" s="154"/>
    </row>
    <row r="777" spans="2:2" x14ac:dyDescent="0.2">
      <c r="B777" s="154"/>
    </row>
    <row r="778" spans="2:2" x14ac:dyDescent="0.2">
      <c r="B778" s="154"/>
    </row>
    <row r="779" spans="2:2" x14ac:dyDescent="0.2">
      <c r="B779" s="154"/>
    </row>
    <row r="780" spans="2:2" x14ac:dyDescent="0.2">
      <c r="B780" s="154"/>
    </row>
    <row r="781" spans="2:2" x14ac:dyDescent="0.2">
      <c r="B781" s="154"/>
    </row>
    <row r="782" spans="2:2" x14ac:dyDescent="0.2">
      <c r="B782" s="154"/>
    </row>
    <row r="783" spans="2:2" x14ac:dyDescent="0.2">
      <c r="B783" s="154"/>
    </row>
    <row r="784" spans="2:2" x14ac:dyDescent="0.2">
      <c r="B784" s="154"/>
    </row>
    <row r="785" spans="2:2" x14ac:dyDescent="0.2">
      <c r="B785" s="154"/>
    </row>
    <row r="786" spans="2:2" x14ac:dyDescent="0.2">
      <c r="B786" s="154"/>
    </row>
    <row r="787" spans="2:2" x14ac:dyDescent="0.2">
      <c r="B787" s="154"/>
    </row>
    <row r="788" spans="2:2" x14ac:dyDescent="0.2">
      <c r="B788" s="154"/>
    </row>
    <row r="789" spans="2:2" x14ac:dyDescent="0.2">
      <c r="B789" s="154"/>
    </row>
    <row r="790" spans="2:2" x14ac:dyDescent="0.2">
      <c r="B790" s="154"/>
    </row>
    <row r="791" spans="2:2" x14ac:dyDescent="0.2">
      <c r="B791" s="154"/>
    </row>
    <row r="792" spans="2:2" x14ac:dyDescent="0.2">
      <c r="B792" s="154"/>
    </row>
    <row r="793" spans="2:2" x14ac:dyDescent="0.2">
      <c r="B793" s="154"/>
    </row>
    <row r="794" spans="2:2" x14ac:dyDescent="0.2">
      <c r="B794" s="154"/>
    </row>
    <row r="795" spans="2:2" x14ac:dyDescent="0.2">
      <c r="B795" s="154"/>
    </row>
    <row r="796" spans="2:2" x14ac:dyDescent="0.2">
      <c r="B796" s="154"/>
    </row>
    <row r="797" spans="2:2" x14ac:dyDescent="0.2">
      <c r="B797" s="154"/>
    </row>
    <row r="798" spans="2:2" x14ac:dyDescent="0.2">
      <c r="B798" s="154"/>
    </row>
    <row r="799" spans="2:2" x14ac:dyDescent="0.2">
      <c r="B799" s="154"/>
    </row>
    <row r="800" spans="2:2" x14ac:dyDescent="0.2">
      <c r="B800" s="154"/>
    </row>
    <row r="801" spans="2:2" x14ac:dyDescent="0.2">
      <c r="B801" s="154"/>
    </row>
    <row r="802" spans="2:2" x14ac:dyDescent="0.2">
      <c r="B802" s="154"/>
    </row>
    <row r="803" spans="2:2" x14ac:dyDescent="0.2">
      <c r="B803" s="154"/>
    </row>
    <row r="804" spans="2:2" x14ac:dyDescent="0.2">
      <c r="B804" s="154"/>
    </row>
    <row r="805" spans="2:2" x14ac:dyDescent="0.2">
      <c r="B805" s="154"/>
    </row>
    <row r="806" spans="2:2" x14ac:dyDescent="0.2">
      <c r="B806" s="154"/>
    </row>
    <row r="807" spans="2:2" x14ac:dyDescent="0.2">
      <c r="B807" s="154"/>
    </row>
    <row r="808" spans="2:2" x14ac:dyDescent="0.2">
      <c r="B808" s="154"/>
    </row>
    <row r="809" spans="2:2" x14ac:dyDescent="0.2">
      <c r="B809" s="154"/>
    </row>
    <row r="810" spans="2:2" x14ac:dyDescent="0.2">
      <c r="B810" s="154"/>
    </row>
    <row r="811" spans="2:2" x14ac:dyDescent="0.2">
      <c r="B811" s="154"/>
    </row>
    <row r="812" spans="2:2" x14ac:dyDescent="0.2">
      <c r="B812" s="154"/>
    </row>
    <row r="813" spans="2:2" x14ac:dyDescent="0.2">
      <c r="B813" s="154"/>
    </row>
    <row r="814" spans="2:2" x14ac:dyDescent="0.2">
      <c r="B814" s="154"/>
    </row>
    <row r="815" spans="2:2" x14ac:dyDescent="0.2">
      <c r="B815" s="154"/>
    </row>
    <row r="816" spans="2:2" x14ac:dyDescent="0.2">
      <c r="B816" s="154"/>
    </row>
    <row r="817" spans="2:2" x14ac:dyDescent="0.2">
      <c r="B817" s="154"/>
    </row>
    <row r="818" spans="2:2" x14ac:dyDescent="0.2">
      <c r="B818" s="154"/>
    </row>
    <row r="819" spans="2:2" x14ac:dyDescent="0.2">
      <c r="B819" s="154"/>
    </row>
    <row r="820" spans="2:2" x14ac:dyDescent="0.2">
      <c r="B820" s="154"/>
    </row>
    <row r="821" spans="2:2" x14ac:dyDescent="0.2">
      <c r="B821" s="154"/>
    </row>
    <row r="822" spans="2:2" x14ac:dyDescent="0.2">
      <c r="B822" s="154"/>
    </row>
    <row r="823" spans="2:2" x14ac:dyDescent="0.2">
      <c r="B823" s="154"/>
    </row>
    <row r="824" spans="2:2" x14ac:dyDescent="0.2">
      <c r="B824" s="154"/>
    </row>
    <row r="825" spans="2:2" x14ac:dyDescent="0.2">
      <c r="B825" s="154"/>
    </row>
    <row r="826" spans="2:2" x14ac:dyDescent="0.2">
      <c r="B826" s="154"/>
    </row>
    <row r="827" spans="2:2" x14ac:dyDescent="0.2">
      <c r="B827" s="154"/>
    </row>
    <row r="828" spans="2:2" x14ac:dyDescent="0.2">
      <c r="B828" s="154"/>
    </row>
    <row r="829" spans="2:2" x14ac:dyDescent="0.2">
      <c r="B829" s="154"/>
    </row>
    <row r="830" spans="2:2" x14ac:dyDescent="0.2">
      <c r="B830" s="154"/>
    </row>
    <row r="831" spans="2:2" x14ac:dyDescent="0.2">
      <c r="B831" s="154"/>
    </row>
    <row r="832" spans="2:2" x14ac:dyDescent="0.2">
      <c r="B832" s="154"/>
    </row>
    <row r="833" spans="2:2" x14ac:dyDescent="0.2">
      <c r="B833" s="154"/>
    </row>
    <row r="834" spans="2:2" x14ac:dyDescent="0.2">
      <c r="B834" s="154"/>
    </row>
    <row r="835" spans="2:2" x14ac:dyDescent="0.2">
      <c r="B835" s="154"/>
    </row>
    <row r="836" spans="2:2" x14ac:dyDescent="0.2">
      <c r="B836" s="154"/>
    </row>
    <row r="837" spans="2:2" x14ac:dyDescent="0.2">
      <c r="B837" s="154"/>
    </row>
    <row r="838" spans="2:2" x14ac:dyDescent="0.2">
      <c r="B838" s="154"/>
    </row>
    <row r="839" spans="2:2" x14ac:dyDescent="0.2">
      <c r="B839" s="154"/>
    </row>
    <row r="840" spans="2:2" x14ac:dyDescent="0.2">
      <c r="B840" s="154"/>
    </row>
    <row r="841" spans="2:2" x14ac:dyDescent="0.2">
      <c r="B841" s="154"/>
    </row>
    <row r="842" spans="2:2" x14ac:dyDescent="0.2">
      <c r="B842" s="154"/>
    </row>
    <row r="843" spans="2:2" x14ac:dyDescent="0.2">
      <c r="B843" s="154"/>
    </row>
    <row r="844" spans="2:2" x14ac:dyDescent="0.2">
      <c r="B844" s="154"/>
    </row>
    <row r="845" spans="2:2" x14ac:dyDescent="0.2">
      <c r="B845" s="154"/>
    </row>
    <row r="846" spans="2:2" x14ac:dyDescent="0.2">
      <c r="B846" s="154"/>
    </row>
    <row r="847" spans="2:2" x14ac:dyDescent="0.2">
      <c r="B847" s="154"/>
    </row>
    <row r="848" spans="2:2" x14ac:dyDescent="0.2">
      <c r="B848" s="154"/>
    </row>
    <row r="849" spans="2:2" x14ac:dyDescent="0.2">
      <c r="B849" s="154"/>
    </row>
    <row r="850" spans="2:2" x14ac:dyDescent="0.2">
      <c r="B850" s="154"/>
    </row>
    <row r="851" spans="2:2" x14ac:dyDescent="0.2">
      <c r="B851" s="154"/>
    </row>
    <row r="852" spans="2:2" x14ac:dyDescent="0.2">
      <c r="B852" s="154"/>
    </row>
    <row r="853" spans="2:2" x14ac:dyDescent="0.2">
      <c r="B853" s="154"/>
    </row>
    <row r="854" spans="2:2" x14ac:dyDescent="0.2">
      <c r="B854" s="154"/>
    </row>
    <row r="855" spans="2:2" x14ac:dyDescent="0.2">
      <c r="B855" s="154"/>
    </row>
    <row r="856" spans="2:2" x14ac:dyDescent="0.2">
      <c r="B856" s="154"/>
    </row>
    <row r="857" spans="2:2" x14ac:dyDescent="0.2">
      <c r="B857" s="154"/>
    </row>
    <row r="858" spans="2:2" x14ac:dyDescent="0.2">
      <c r="B858" s="154"/>
    </row>
    <row r="859" spans="2:2" x14ac:dyDescent="0.2">
      <c r="B859" s="154"/>
    </row>
    <row r="860" spans="2:2" x14ac:dyDescent="0.2">
      <c r="B860" s="154"/>
    </row>
    <row r="861" spans="2:2" x14ac:dyDescent="0.2">
      <c r="B861" s="154"/>
    </row>
    <row r="862" spans="2:2" x14ac:dyDescent="0.2">
      <c r="B862" s="154"/>
    </row>
    <row r="863" spans="2:2" x14ac:dyDescent="0.2">
      <c r="B863" s="154"/>
    </row>
    <row r="864" spans="2:2" x14ac:dyDescent="0.2">
      <c r="B864" s="154"/>
    </row>
    <row r="865" spans="2:2" x14ac:dyDescent="0.2">
      <c r="B865" s="154"/>
    </row>
    <row r="866" spans="2:2" x14ac:dyDescent="0.2">
      <c r="B866" s="154"/>
    </row>
    <row r="867" spans="2:2" x14ac:dyDescent="0.2">
      <c r="B867" s="154"/>
    </row>
    <row r="868" spans="2:2" x14ac:dyDescent="0.2">
      <c r="B868" s="154"/>
    </row>
    <row r="869" spans="2:2" x14ac:dyDescent="0.2">
      <c r="B869" s="154"/>
    </row>
    <row r="870" spans="2:2" x14ac:dyDescent="0.2">
      <c r="B870" s="154"/>
    </row>
    <row r="871" spans="2:2" x14ac:dyDescent="0.2">
      <c r="B871" s="154"/>
    </row>
    <row r="872" spans="2:2" x14ac:dyDescent="0.2">
      <c r="B872" s="154"/>
    </row>
    <row r="873" spans="2:2" x14ac:dyDescent="0.2">
      <c r="B873" s="154"/>
    </row>
    <row r="874" spans="2:2" x14ac:dyDescent="0.2">
      <c r="B874" s="154"/>
    </row>
    <row r="875" spans="2:2" x14ac:dyDescent="0.2">
      <c r="B875" s="154"/>
    </row>
    <row r="876" spans="2:2" x14ac:dyDescent="0.2">
      <c r="B876" s="154"/>
    </row>
    <row r="877" spans="2:2" x14ac:dyDescent="0.2">
      <c r="B877" s="154"/>
    </row>
    <row r="878" spans="2:2" x14ac:dyDescent="0.2">
      <c r="B878" s="154"/>
    </row>
    <row r="879" spans="2:2" x14ac:dyDescent="0.2">
      <c r="B879" s="154"/>
    </row>
    <row r="880" spans="2:2" x14ac:dyDescent="0.2">
      <c r="B880" s="154"/>
    </row>
    <row r="881" spans="2:2" x14ac:dyDescent="0.2">
      <c r="B881" s="154"/>
    </row>
    <row r="882" spans="2:2" x14ac:dyDescent="0.2">
      <c r="B882" s="154"/>
    </row>
    <row r="883" spans="2:2" x14ac:dyDescent="0.2">
      <c r="B883" s="154"/>
    </row>
    <row r="884" spans="2:2" x14ac:dyDescent="0.2">
      <c r="B884" s="154"/>
    </row>
    <row r="885" spans="2:2" x14ac:dyDescent="0.2">
      <c r="B885" s="154"/>
    </row>
    <row r="886" spans="2:2" x14ac:dyDescent="0.2">
      <c r="B886" s="154"/>
    </row>
    <row r="887" spans="2:2" x14ac:dyDescent="0.2">
      <c r="B887" s="154"/>
    </row>
    <row r="888" spans="2:2" x14ac:dyDescent="0.2">
      <c r="B888" s="154"/>
    </row>
    <row r="889" spans="2:2" x14ac:dyDescent="0.2">
      <c r="B889" s="154"/>
    </row>
    <row r="890" spans="2:2" x14ac:dyDescent="0.2">
      <c r="B890" s="154"/>
    </row>
    <row r="891" spans="2:2" x14ac:dyDescent="0.2">
      <c r="B891" s="154"/>
    </row>
    <row r="892" spans="2:2" x14ac:dyDescent="0.2">
      <c r="B892" s="154"/>
    </row>
    <row r="893" spans="2:2" x14ac:dyDescent="0.2">
      <c r="B893" s="154"/>
    </row>
    <row r="894" spans="2:2" x14ac:dyDescent="0.2">
      <c r="B894" s="154"/>
    </row>
    <row r="895" spans="2:2" x14ac:dyDescent="0.2">
      <c r="B895" s="154"/>
    </row>
    <row r="896" spans="2:2" x14ac:dyDescent="0.2">
      <c r="B896" s="154"/>
    </row>
    <row r="897" spans="2:2" x14ac:dyDescent="0.2">
      <c r="B897" s="154"/>
    </row>
    <row r="898" spans="2:2" x14ac:dyDescent="0.2">
      <c r="B898" s="154"/>
    </row>
    <row r="899" spans="2:2" x14ac:dyDescent="0.2">
      <c r="B899" s="154"/>
    </row>
    <row r="900" spans="2:2" x14ac:dyDescent="0.2">
      <c r="B900" s="154"/>
    </row>
    <row r="901" spans="2:2" x14ac:dyDescent="0.2">
      <c r="B901" s="154"/>
    </row>
    <row r="902" spans="2:2" x14ac:dyDescent="0.2">
      <c r="B902" s="154"/>
    </row>
    <row r="903" spans="2:2" x14ac:dyDescent="0.2">
      <c r="B903" s="154"/>
    </row>
    <row r="904" spans="2:2" x14ac:dyDescent="0.2">
      <c r="B904" s="154"/>
    </row>
    <row r="905" spans="2:2" x14ac:dyDescent="0.2">
      <c r="B905" s="154"/>
    </row>
    <row r="906" spans="2:2" x14ac:dyDescent="0.2">
      <c r="B906" s="154"/>
    </row>
    <row r="907" spans="2:2" x14ac:dyDescent="0.2">
      <c r="B907" s="154"/>
    </row>
    <row r="908" spans="2:2" x14ac:dyDescent="0.2">
      <c r="B908" s="154"/>
    </row>
    <row r="909" spans="2:2" x14ac:dyDescent="0.2">
      <c r="B909" s="154"/>
    </row>
    <row r="910" spans="2:2" x14ac:dyDescent="0.2">
      <c r="B910" s="154"/>
    </row>
    <row r="911" spans="2:2" x14ac:dyDescent="0.2">
      <c r="B911" s="154"/>
    </row>
    <row r="912" spans="2:2" x14ac:dyDescent="0.2">
      <c r="B912" s="154"/>
    </row>
    <row r="913" spans="2:2" x14ac:dyDescent="0.2">
      <c r="B913" s="154"/>
    </row>
    <row r="914" spans="2:2" x14ac:dyDescent="0.2">
      <c r="B914" s="154"/>
    </row>
    <row r="915" spans="2:2" x14ac:dyDescent="0.2">
      <c r="B915" s="154"/>
    </row>
    <row r="916" spans="2:2" x14ac:dyDescent="0.2">
      <c r="B916" s="154"/>
    </row>
    <row r="917" spans="2:2" x14ac:dyDescent="0.2">
      <c r="B917" s="154"/>
    </row>
    <row r="918" spans="2:2" x14ac:dyDescent="0.2">
      <c r="B918" s="154"/>
    </row>
    <row r="919" spans="2:2" x14ac:dyDescent="0.2">
      <c r="B919" s="154"/>
    </row>
    <row r="920" spans="2:2" x14ac:dyDescent="0.2">
      <c r="B920" s="154"/>
    </row>
    <row r="921" spans="2:2" x14ac:dyDescent="0.2">
      <c r="B921" s="154"/>
    </row>
    <row r="922" spans="2:2" x14ac:dyDescent="0.2">
      <c r="B922" s="154"/>
    </row>
    <row r="923" spans="2:2" x14ac:dyDescent="0.2">
      <c r="B923" s="154"/>
    </row>
    <row r="924" spans="2:2" x14ac:dyDescent="0.2">
      <c r="B924" s="154"/>
    </row>
    <row r="925" spans="2:2" x14ac:dyDescent="0.2">
      <c r="B925" s="154"/>
    </row>
    <row r="926" spans="2:2" x14ac:dyDescent="0.2">
      <c r="B926" s="154"/>
    </row>
    <row r="927" spans="2:2" x14ac:dyDescent="0.2">
      <c r="B927" s="154"/>
    </row>
    <row r="928" spans="2:2" x14ac:dyDescent="0.2">
      <c r="B928" s="154"/>
    </row>
    <row r="929" spans="2:2" x14ac:dyDescent="0.2">
      <c r="B929" s="154"/>
    </row>
    <row r="930" spans="2:2" x14ac:dyDescent="0.2">
      <c r="B930" s="154"/>
    </row>
    <row r="931" spans="2:2" x14ac:dyDescent="0.2">
      <c r="B931" s="154"/>
    </row>
    <row r="932" spans="2:2" x14ac:dyDescent="0.2">
      <c r="B932" s="154"/>
    </row>
    <row r="933" spans="2:2" x14ac:dyDescent="0.2">
      <c r="B933" s="154"/>
    </row>
    <row r="934" spans="2:2" x14ac:dyDescent="0.2">
      <c r="B934" s="154"/>
    </row>
    <row r="935" spans="2:2" x14ac:dyDescent="0.2">
      <c r="B935" s="154"/>
    </row>
    <row r="936" spans="2:2" x14ac:dyDescent="0.2">
      <c r="B936" s="154"/>
    </row>
    <row r="937" spans="2:2" x14ac:dyDescent="0.2">
      <c r="B937" s="154"/>
    </row>
    <row r="938" spans="2:2" x14ac:dyDescent="0.2">
      <c r="B938" s="154"/>
    </row>
    <row r="939" spans="2:2" x14ac:dyDescent="0.2">
      <c r="B939" s="154"/>
    </row>
    <row r="940" spans="2:2" x14ac:dyDescent="0.2">
      <c r="B940" s="154"/>
    </row>
    <row r="941" spans="2:2" x14ac:dyDescent="0.2">
      <c r="B941" s="154"/>
    </row>
    <row r="942" spans="2:2" x14ac:dyDescent="0.2">
      <c r="B942" s="154"/>
    </row>
    <row r="943" spans="2:2" x14ac:dyDescent="0.2">
      <c r="B943" s="154"/>
    </row>
    <row r="944" spans="2:2" x14ac:dyDescent="0.2">
      <c r="B944" s="154"/>
    </row>
    <row r="945" spans="2:2" x14ac:dyDescent="0.2">
      <c r="B945" s="154"/>
    </row>
    <row r="946" spans="2:2" x14ac:dyDescent="0.2">
      <c r="B946" s="154"/>
    </row>
    <row r="947" spans="2:2" x14ac:dyDescent="0.2">
      <c r="B947" s="154"/>
    </row>
    <row r="948" spans="2:2" x14ac:dyDescent="0.2">
      <c r="B948" s="154"/>
    </row>
    <row r="949" spans="2:2" x14ac:dyDescent="0.2">
      <c r="B949" s="154"/>
    </row>
    <row r="950" spans="2:2" x14ac:dyDescent="0.2">
      <c r="B950" s="154"/>
    </row>
    <row r="951" spans="2:2" x14ac:dyDescent="0.2">
      <c r="B951" s="154"/>
    </row>
    <row r="952" spans="2:2" x14ac:dyDescent="0.2">
      <c r="B952" s="154"/>
    </row>
    <row r="953" spans="2:2" x14ac:dyDescent="0.2">
      <c r="B953" s="154"/>
    </row>
    <row r="954" spans="2:2" x14ac:dyDescent="0.2">
      <c r="B954" s="154"/>
    </row>
    <row r="955" spans="2:2" x14ac:dyDescent="0.2">
      <c r="B955" s="154"/>
    </row>
    <row r="956" spans="2:2" x14ac:dyDescent="0.2">
      <c r="B956" s="154"/>
    </row>
    <row r="957" spans="2:2" x14ac:dyDescent="0.2">
      <c r="B957" s="154"/>
    </row>
    <row r="958" spans="2:2" x14ac:dyDescent="0.2">
      <c r="B958" s="154"/>
    </row>
    <row r="959" spans="2:2" x14ac:dyDescent="0.2">
      <c r="B959" s="154"/>
    </row>
    <row r="960" spans="2:2" x14ac:dyDescent="0.2">
      <c r="B960" s="154"/>
    </row>
    <row r="961" spans="2:2" x14ac:dyDescent="0.2">
      <c r="B961" s="154"/>
    </row>
    <row r="962" spans="2:2" x14ac:dyDescent="0.2">
      <c r="B962" s="154"/>
    </row>
    <row r="963" spans="2:2" x14ac:dyDescent="0.2">
      <c r="B963" s="154"/>
    </row>
    <row r="964" spans="2:2" x14ac:dyDescent="0.2">
      <c r="B964" s="154"/>
    </row>
    <row r="965" spans="2:2" x14ac:dyDescent="0.2">
      <c r="B965" s="154"/>
    </row>
    <row r="966" spans="2:2" x14ac:dyDescent="0.2">
      <c r="B966" s="154"/>
    </row>
    <row r="967" spans="2:2" x14ac:dyDescent="0.2">
      <c r="B967" s="154"/>
    </row>
    <row r="968" spans="2:2" x14ac:dyDescent="0.2">
      <c r="B968" s="154"/>
    </row>
    <row r="969" spans="2:2" x14ac:dyDescent="0.2">
      <c r="B969" s="154"/>
    </row>
    <row r="970" spans="2:2" x14ac:dyDescent="0.2">
      <c r="B970" s="154"/>
    </row>
    <row r="971" spans="2:2" x14ac:dyDescent="0.2">
      <c r="B971" s="154"/>
    </row>
    <row r="972" spans="2:2" x14ac:dyDescent="0.2">
      <c r="B972" s="154"/>
    </row>
    <row r="973" spans="2:2" x14ac:dyDescent="0.2">
      <c r="B973" s="154"/>
    </row>
    <row r="974" spans="2:2" x14ac:dyDescent="0.2">
      <c r="B974" s="154"/>
    </row>
    <row r="975" spans="2:2" x14ac:dyDescent="0.2">
      <c r="B975" s="154"/>
    </row>
    <row r="976" spans="2:2" x14ac:dyDescent="0.2">
      <c r="B976" s="154"/>
    </row>
    <row r="977" spans="2:2" x14ac:dyDescent="0.2">
      <c r="B977" s="154"/>
    </row>
    <row r="978" spans="2:2" x14ac:dyDescent="0.2">
      <c r="B978" s="154"/>
    </row>
    <row r="979" spans="2:2" x14ac:dyDescent="0.2">
      <c r="B979" s="154"/>
    </row>
    <row r="980" spans="2:2" x14ac:dyDescent="0.2">
      <c r="B980" s="154"/>
    </row>
    <row r="981" spans="2:2" x14ac:dyDescent="0.2">
      <c r="B981" s="154"/>
    </row>
    <row r="982" spans="2:2" x14ac:dyDescent="0.2">
      <c r="B982" s="154"/>
    </row>
    <row r="983" spans="2:2" x14ac:dyDescent="0.2">
      <c r="B983" s="154"/>
    </row>
    <row r="984" spans="2:2" x14ac:dyDescent="0.2">
      <c r="B984" s="154"/>
    </row>
    <row r="985" spans="2:2" x14ac:dyDescent="0.2">
      <c r="B985" s="154"/>
    </row>
    <row r="986" spans="2:2" x14ac:dyDescent="0.2">
      <c r="B986" s="154"/>
    </row>
    <row r="987" spans="2:2" x14ac:dyDescent="0.2">
      <c r="B987" s="154"/>
    </row>
    <row r="988" spans="2:2" x14ac:dyDescent="0.2">
      <c r="B988" s="154"/>
    </row>
    <row r="989" spans="2:2" x14ac:dyDescent="0.2">
      <c r="B989" s="154"/>
    </row>
    <row r="990" spans="2:2" x14ac:dyDescent="0.2">
      <c r="B990" s="154"/>
    </row>
    <row r="991" spans="2:2" x14ac:dyDescent="0.2">
      <c r="B991" s="154"/>
    </row>
    <row r="992" spans="2:2" x14ac:dyDescent="0.2">
      <c r="B992" s="154"/>
    </row>
    <row r="993" spans="2:2" x14ac:dyDescent="0.2">
      <c r="B993" s="154"/>
    </row>
    <row r="994" spans="2:2" x14ac:dyDescent="0.2">
      <c r="B994" s="154"/>
    </row>
    <row r="995" spans="2:2" x14ac:dyDescent="0.2">
      <c r="B995" s="154"/>
    </row>
    <row r="996" spans="2:2" x14ac:dyDescent="0.2">
      <c r="B996" s="154"/>
    </row>
    <row r="997" spans="2:2" x14ac:dyDescent="0.2">
      <c r="B997" s="154"/>
    </row>
    <row r="998" spans="2:2" x14ac:dyDescent="0.2">
      <c r="B998" s="154"/>
    </row>
    <row r="999" spans="2:2" x14ac:dyDescent="0.2">
      <c r="B999" s="154"/>
    </row>
    <row r="1000" spans="2:2" x14ac:dyDescent="0.2">
      <c r="B1000" s="154"/>
    </row>
    <row r="1001" spans="2:2" x14ac:dyDescent="0.2">
      <c r="B1001" s="154"/>
    </row>
    <row r="1002" spans="2:2" x14ac:dyDescent="0.2">
      <c r="B1002" s="154"/>
    </row>
    <row r="1003" spans="2:2" x14ac:dyDescent="0.2">
      <c r="B1003" s="154"/>
    </row>
  </sheetData>
  <sheetProtection algorithmName="SHA-512" hashValue="H9x6D+k/wrQ+D3a06W7EKkCAhrbt6zBgWmxxIw8Y55fKiHpGYPiPRT2LQkadWWA+Vw8BDJjtbCSbtL/h8K8SSg==" saltValue="2iog29iq/mlzH0q94VrNsQ==" spinCount="100000" sheet="1" objects="1" scenarios="1"/>
  <conditionalFormatting sqref="B5:B7 B11:B12 B18:B108 B14:B16">
    <cfRule type="expression" dxfId="39" priority="7">
      <formula>IF(B5&lt;&gt;"",TRUE,FALSE)</formula>
    </cfRule>
  </conditionalFormatting>
  <conditionalFormatting sqref="B8">
    <cfRule type="expression" dxfId="38" priority="6">
      <formula>IF(B8&lt;&gt;"",TRUE,FALSE)</formula>
    </cfRule>
  </conditionalFormatting>
  <conditionalFormatting sqref="B17">
    <cfRule type="expression" dxfId="37" priority="4">
      <formula>IF(B17&lt;&gt;"",TRUE,FALSE)</formula>
    </cfRule>
  </conditionalFormatting>
  <conditionalFormatting sqref="B9">
    <cfRule type="expression" dxfId="36" priority="3">
      <formula>IF(B9&lt;&gt;"",TRUE,FALSE)</formula>
    </cfRule>
  </conditionalFormatting>
  <conditionalFormatting sqref="B10">
    <cfRule type="expression" dxfId="35" priority="2">
      <formula>IF(B10&lt;&gt;"",TRUE,FALSE)</formula>
    </cfRule>
  </conditionalFormatting>
  <conditionalFormatting sqref="B13">
    <cfRule type="expression" dxfId="34" priority="1">
      <formula>IF(B13&lt;&gt;"",TRUE,FALSE)</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2:I36"/>
  <sheetViews>
    <sheetView showGridLines="0" showRowColHeaders="0" workbookViewId="0">
      <selection activeCell="A4" sqref="A4"/>
    </sheetView>
  </sheetViews>
  <sheetFormatPr defaultRowHeight="14.25" x14ac:dyDescent="0.2"/>
  <cols>
    <col min="57" max="57" width="0" hidden="1" customWidth="1"/>
  </cols>
  <sheetData>
    <row r="2" spans="1:9" ht="15" x14ac:dyDescent="0.25">
      <c r="A2" s="2" t="s">
        <v>882</v>
      </c>
    </row>
    <row r="3" spans="1:9" x14ac:dyDescent="0.2">
      <c r="A3" s="279" t="s">
        <v>1193</v>
      </c>
    </row>
    <row r="4" spans="1:9" x14ac:dyDescent="0.2">
      <c r="A4" s="9"/>
      <c r="B4" s="9"/>
      <c r="C4" s="9"/>
      <c r="D4" s="9"/>
      <c r="E4" s="9"/>
      <c r="F4" s="9"/>
      <c r="G4" s="9"/>
      <c r="H4" s="9"/>
      <c r="I4" s="9"/>
    </row>
    <row r="5" spans="1:9" ht="15" x14ac:dyDescent="0.25">
      <c r="A5" s="2" t="s">
        <v>27</v>
      </c>
      <c r="C5" s="345" t="s">
        <v>875</v>
      </c>
      <c r="D5" s="346"/>
      <c r="E5" s="346"/>
      <c r="F5" s="346"/>
      <c r="G5" s="347"/>
    </row>
    <row r="7" spans="1:9" ht="15" x14ac:dyDescent="0.25">
      <c r="A7" s="2" t="s">
        <v>28</v>
      </c>
      <c r="C7" s="345" t="s">
        <v>904</v>
      </c>
      <c r="D7" s="346"/>
      <c r="E7" s="346"/>
      <c r="F7" s="346"/>
      <c r="G7" s="347"/>
    </row>
    <row r="8" spans="1:9" x14ac:dyDescent="0.2">
      <c r="A8" s="9"/>
      <c r="B8" s="9"/>
      <c r="C8" s="9"/>
      <c r="D8" s="9"/>
      <c r="E8" s="9"/>
      <c r="F8" s="9"/>
      <c r="G8" s="9"/>
      <c r="H8" s="9"/>
      <c r="I8" s="9"/>
    </row>
    <row r="9" spans="1:9" x14ac:dyDescent="0.2">
      <c r="A9" s="3"/>
      <c r="B9" s="3"/>
      <c r="C9" s="3"/>
      <c r="D9" s="3"/>
      <c r="E9" s="3"/>
      <c r="F9" s="3"/>
      <c r="G9" s="3"/>
      <c r="H9" s="3"/>
      <c r="I9" s="3"/>
    </row>
    <row r="10" spans="1:9" ht="15" x14ac:dyDescent="0.25">
      <c r="A10" s="2" t="s">
        <v>51</v>
      </c>
      <c r="I10" s="4"/>
    </row>
    <row r="11" spans="1:9" x14ac:dyDescent="0.2">
      <c r="A11" s="348" t="s">
        <v>934</v>
      </c>
      <c r="B11" s="348"/>
      <c r="C11" s="348"/>
      <c r="D11" s="348"/>
      <c r="E11" s="348"/>
      <c r="F11" s="348"/>
      <c r="G11" s="348"/>
      <c r="H11" s="348"/>
      <c r="I11" s="212">
        <v>2</v>
      </c>
    </row>
    <row r="12" spans="1:9" x14ac:dyDescent="0.2">
      <c r="I12" s="4"/>
    </row>
    <row r="13" spans="1:9" ht="15" x14ac:dyDescent="0.25">
      <c r="A13" s="348" t="s">
        <v>427</v>
      </c>
      <c r="B13" s="348"/>
      <c r="C13" s="348"/>
      <c r="D13" s="348"/>
      <c r="E13" s="348"/>
      <c r="F13" s="348"/>
      <c r="G13" s="348"/>
      <c r="H13" s="348"/>
      <c r="I13" s="212" t="s">
        <v>20</v>
      </c>
    </row>
    <row r="14" spans="1:9" x14ac:dyDescent="0.2">
      <c r="I14" s="4"/>
    </row>
    <row r="15" spans="1:9" ht="15" x14ac:dyDescent="0.25">
      <c r="A15" s="348" t="s">
        <v>428</v>
      </c>
      <c r="B15" s="348"/>
      <c r="C15" s="348"/>
      <c r="D15" s="348"/>
      <c r="E15" s="348"/>
      <c r="F15" s="348"/>
      <c r="G15" s="348"/>
      <c r="H15" s="348"/>
      <c r="I15" s="212" t="s">
        <v>22</v>
      </c>
    </row>
    <row r="16" spans="1:9" x14ac:dyDescent="0.2">
      <c r="I16" s="4"/>
    </row>
    <row r="17" spans="1:9" x14ac:dyDescent="0.2">
      <c r="A17" s="348" t="s">
        <v>29</v>
      </c>
      <c r="B17" s="348"/>
      <c r="C17" s="348"/>
      <c r="D17" s="348"/>
      <c r="E17" s="348"/>
      <c r="F17" s="348"/>
      <c r="G17" s="348"/>
      <c r="H17" s="348"/>
      <c r="I17" s="212" t="s">
        <v>21</v>
      </c>
    </row>
    <row r="18" spans="1:9" x14ac:dyDescent="0.2">
      <c r="I18" s="4"/>
    </row>
    <row r="19" spans="1:9" x14ac:dyDescent="0.2">
      <c r="A19" s="348" t="s">
        <v>30</v>
      </c>
      <c r="B19" s="348"/>
      <c r="C19" s="348"/>
      <c r="D19" s="348"/>
      <c r="E19" s="348"/>
      <c r="F19" s="348"/>
      <c r="G19" s="348"/>
      <c r="H19" s="348"/>
      <c r="I19" s="212">
        <v>65</v>
      </c>
    </row>
    <row r="21" spans="1:9" x14ac:dyDescent="0.2">
      <c r="A21" t="s">
        <v>65</v>
      </c>
    </row>
    <row r="22" spans="1:9" x14ac:dyDescent="0.2">
      <c r="A22" s="143">
        <v>1</v>
      </c>
      <c r="B22" s="164" t="s">
        <v>59</v>
      </c>
    </row>
    <row r="23" spans="1:9" x14ac:dyDescent="0.2">
      <c r="A23" s="143">
        <v>2</v>
      </c>
      <c r="B23" s="164" t="s">
        <v>60</v>
      </c>
    </row>
    <row r="24" spans="1:9" x14ac:dyDescent="0.2">
      <c r="A24" s="143">
        <v>3</v>
      </c>
      <c r="B24" s="164" t="s">
        <v>61</v>
      </c>
    </row>
    <row r="26" spans="1:9" x14ac:dyDescent="0.2">
      <c r="G26" s="353" t="s">
        <v>935</v>
      </c>
      <c r="H26" s="353"/>
      <c r="I26" s="353"/>
    </row>
    <row r="27" spans="1:9" ht="19.5" customHeight="1" x14ac:dyDescent="0.2">
      <c r="A27" s="349" t="s">
        <v>31</v>
      </c>
      <c r="B27" s="350"/>
      <c r="C27" s="351" t="s">
        <v>1194</v>
      </c>
      <c r="D27" s="352"/>
      <c r="E27" s="352"/>
      <c r="F27" s="352"/>
      <c r="G27" s="344">
        <v>30</v>
      </c>
      <c r="H27" s="344"/>
      <c r="I27" s="344"/>
    </row>
    <row r="28" spans="1:9" ht="19.5" customHeight="1" x14ac:dyDescent="0.2">
      <c r="A28" s="349" t="s">
        <v>33</v>
      </c>
      <c r="B28" s="350"/>
      <c r="C28" s="351" t="s">
        <v>1195</v>
      </c>
      <c r="D28" s="352"/>
      <c r="E28" s="352"/>
      <c r="F28" s="352"/>
      <c r="G28" s="344">
        <v>30</v>
      </c>
      <c r="H28" s="344"/>
      <c r="I28" s="344"/>
    </row>
    <row r="29" spans="1:9" ht="19.5" hidden="1" customHeight="1" x14ac:dyDescent="0.2">
      <c r="A29" s="349" t="s">
        <v>35</v>
      </c>
      <c r="B29" s="350"/>
      <c r="C29" s="351" t="s">
        <v>1196</v>
      </c>
      <c r="D29" s="352"/>
      <c r="E29" s="352"/>
      <c r="F29" s="352"/>
      <c r="G29" s="344">
        <v>20</v>
      </c>
      <c r="H29" s="344"/>
      <c r="I29" s="344"/>
    </row>
    <row r="30" spans="1:9" ht="19.5" hidden="1" customHeight="1" x14ac:dyDescent="0.2">
      <c r="A30" s="349" t="s">
        <v>37</v>
      </c>
      <c r="B30" s="350"/>
      <c r="C30" s="351" t="s">
        <v>38</v>
      </c>
      <c r="D30" s="352"/>
      <c r="E30" s="352"/>
      <c r="F30" s="352"/>
      <c r="G30" s="344">
        <v>2</v>
      </c>
      <c r="H30" s="344"/>
      <c r="I30" s="344"/>
    </row>
    <row r="31" spans="1:9" ht="19.5" hidden="1" customHeight="1" x14ac:dyDescent="0.2">
      <c r="A31" s="349" t="s">
        <v>39</v>
      </c>
      <c r="B31" s="350"/>
      <c r="C31" s="351" t="s">
        <v>40</v>
      </c>
      <c r="D31" s="352"/>
      <c r="E31" s="352"/>
      <c r="F31" s="352"/>
      <c r="G31" s="344">
        <v>4</v>
      </c>
      <c r="H31" s="344"/>
      <c r="I31" s="344"/>
    </row>
    <row r="32" spans="1:9" ht="19.5" hidden="1" customHeight="1" x14ac:dyDescent="0.2">
      <c r="A32" s="349" t="s">
        <v>41</v>
      </c>
      <c r="B32" s="350"/>
      <c r="C32" s="351" t="s">
        <v>42</v>
      </c>
      <c r="D32" s="352"/>
      <c r="E32" s="352"/>
      <c r="F32" s="352"/>
      <c r="G32" s="344">
        <v>8</v>
      </c>
      <c r="H32" s="344"/>
      <c r="I32" s="344"/>
    </row>
    <row r="33" spans="1:9" ht="19.5" hidden="1" customHeight="1" x14ac:dyDescent="0.2">
      <c r="A33" s="349" t="s">
        <v>43</v>
      </c>
      <c r="B33" s="350"/>
      <c r="C33" s="351" t="s">
        <v>44</v>
      </c>
      <c r="D33" s="352"/>
      <c r="E33" s="352"/>
      <c r="F33" s="352"/>
      <c r="G33" s="344">
        <v>16</v>
      </c>
      <c r="H33" s="344"/>
      <c r="I33" s="344"/>
    </row>
    <row r="34" spans="1:9" ht="19.5" hidden="1" customHeight="1" x14ac:dyDescent="0.2">
      <c r="A34" s="349" t="s">
        <v>45</v>
      </c>
      <c r="B34" s="350"/>
      <c r="C34" s="351" t="s">
        <v>46</v>
      </c>
      <c r="D34" s="352"/>
      <c r="E34" s="352"/>
      <c r="F34" s="352"/>
      <c r="G34" s="344">
        <v>32</v>
      </c>
      <c r="H34" s="344"/>
      <c r="I34" s="344"/>
    </row>
    <row r="35" spans="1:9" ht="19.5" hidden="1" customHeight="1" x14ac:dyDescent="0.2">
      <c r="A35" s="349" t="s">
        <v>47</v>
      </c>
      <c r="B35" s="350"/>
      <c r="C35" s="351" t="s">
        <v>48</v>
      </c>
      <c r="D35" s="352"/>
      <c r="E35" s="352"/>
      <c r="F35" s="352"/>
      <c r="G35" s="344">
        <v>64</v>
      </c>
      <c r="H35" s="344"/>
      <c r="I35" s="344"/>
    </row>
    <row r="36" spans="1:9" ht="19.5" hidden="1" customHeight="1" x14ac:dyDescent="0.2">
      <c r="A36" s="349" t="s">
        <v>49</v>
      </c>
      <c r="B36" s="350"/>
      <c r="C36" s="351" t="s">
        <v>50</v>
      </c>
      <c r="D36" s="352"/>
      <c r="E36" s="352"/>
      <c r="F36" s="352"/>
      <c r="G36" s="344">
        <v>128</v>
      </c>
      <c r="H36" s="344"/>
      <c r="I36" s="344"/>
    </row>
  </sheetData>
  <sheetProtection algorithmName="SHA-512" hashValue="f7hWjyG9DTaObsvsfbAlpRWt40S3/c0HbbyVjU98qRuj4tMjKVXcNhvHXOHMrjX/Z5cgmiUF68HBcT6mNt1FVQ==" saltValue="1VgnvQlbjfZr0ypMeq+iaw==" spinCount="100000" sheet="1" objects="1" scenarios="1"/>
  <mergeCells count="38">
    <mergeCell ref="A35:B35"/>
    <mergeCell ref="C35:F35"/>
    <mergeCell ref="A36:B36"/>
    <mergeCell ref="C36:F36"/>
    <mergeCell ref="A32:B32"/>
    <mergeCell ref="C32:F32"/>
    <mergeCell ref="A33:B33"/>
    <mergeCell ref="C33:F33"/>
    <mergeCell ref="A34:B34"/>
    <mergeCell ref="C34:F34"/>
    <mergeCell ref="A29:B29"/>
    <mergeCell ref="C29:F29"/>
    <mergeCell ref="A30:B30"/>
    <mergeCell ref="C30:F30"/>
    <mergeCell ref="A31:B31"/>
    <mergeCell ref="C31:F31"/>
    <mergeCell ref="A17:H17"/>
    <mergeCell ref="A19:H19"/>
    <mergeCell ref="A27:B27"/>
    <mergeCell ref="C27:F27"/>
    <mergeCell ref="A28:B28"/>
    <mergeCell ref="C28:F28"/>
    <mergeCell ref="G26:I26"/>
    <mergeCell ref="G27:I27"/>
    <mergeCell ref="G28:I28"/>
    <mergeCell ref="C5:G5"/>
    <mergeCell ref="C7:G7"/>
    <mergeCell ref="A11:H11"/>
    <mergeCell ref="A13:H13"/>
    <mergeCell ref="A15:H15"/>
    <mergeCell ref="G34:I34"/>
    <mergeCell ref="G35:I35"/>
    <mergeCell ref="G36:I36"/>
    <mergeCell ref="G29:I29"/>
    <mergeCell ref="G30:I30"/>
    <mergeCell ref="G31:I31"/>
    <mergeCell ref="G32:I32"/>
    <mergeCell ref="G33:I33"/>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57" r:id="rId4" name="Button 9">
              <controlPr defaultSize="0" print="0" autoFill="0" autoPict="0" macro="[0]!Customise_List">
                <anchor moveWithCells="1" sizeWithCells="1">
                  <from>
                    <xdr:col>8</xdr:col>
                    <xdr:colOff>0</xdr:colOff>
                    <xdr:row>4</xdr:row>
                    <xdr:rowOff>0</xdr:rowOff>
                  </from>
                  <to>
                    <xdr:col>9</xdr:col>
                    <xdr:colOff>0</xdr:colOff>
                    <xdr:row>5</xdr:row>
                    <xdr:rowOff>0</xdr:rowOff>
                  </to>
                </anchor>
              </controlPr>
            </control>
          </mc:Choice>
        </mc:AlternateContent>
        <mc:AlternateContent xmlns:mc="http://schemas.openxmlformats.org/markup-compatibility/2006">
          <mc:Choice Requires="x14">
            <control shapeId="2058" r:id="rId5" name="Button 10">
              <controlPr defaultSize="0" print="0" autoFill="0" autoPict="0" macro="[0]!Import_Button">
                <anchor moveWithCells="1" sizeWithCells="1">
                  <from>
                    <xdr:col>10</xdr:col>
                    <xdr:colOff>0</xdr:colOff>
                    <xdr:row>18</xdr:row>
                    <xdr:rowOff>0</xdr:rowOff>
                  </from>
                  <to>
                    <xdr:col>12</xdr:col>
                    <xdr:colOff>400050</xdr:colOff>
                    <xdr:row>20</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00000000}">
          <x14:formula1>
            <xm:f>'Control sheet (hide)'!$A$3:$A$12</xm:f>
          </x14:formula1>
          <xm:sqref>I11</xm:sqref>
        </x14:dataValidation>
        <x14:dataValidation type="list" allowBlank="1" showInputMessage="1" showErrorMessage="1" xr:uid="{00000000-0002-0000-0400-000001000000}">
          <x14:formula1>
            <xm:f>'Control sheet (hide)'!$C$3:$C$4</xm:f>
          </x14:formula1>
          <xm:sqref>I13 I15</xm:sqref>
        </x14:dataValidation>
        <x14:dataValidation type="list" allowBlank="1" showInputMessage="1" showErrorMessage="1" xr:uid="{00000000-0002-0000-0400-000002000000}">
          <x14:formula1>
            <xm:f>'Control sheet (hide)'!$E$2:$E$4</xm:f>
          </x14:formula1>
          <xm:sqref>I17</xm:sqref>
        </x14:dataValidation>
        <x14:dataValidation type="list" allowBlank="1" showInputMessage="1" showErrorMessage="1" xr:uid="{00000000-0002-0000-0400-000003000000}">
          <x14:formula1>
            <xm:f>'Control sheet (hide)'!$H$2:$H$5</xm:f>
          </x14:formula1>
          <xm:sqref>I19</xm:sqref>
        </x14:dataValidation>
        <x14:dataValidation type="list" allowBlank="1" showInputMessage="1" xr:uid="{00000000-0002-0000-0400-000004000000}">
          <x14:formula1>
            <xm:f>OFFSET(List!$B$10,0,0,List!$A$9,1)</xm:f>
          </x14:formula1>
          <xm:sqref>C5:G5</xm:sqref>
        </x14:dataValidation>
        <x14:dataValidation type="list" allowBlank="1" showInputMessage="1" xr:uid="{00000000-0002-0000-0400-000005000000}">
          <x14:formula1>
            <xm:f>OFFSET(List!$D$10,0,0,List!$A$10,1)</xm:f>
          </x14:formula1>
          <xm:sqref>C7:G7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G272"/>
  <sheetViews>
    <sheetView showGridLines="0" showRowColHeaders="0" zoomScaleNormal="100" workbookViewId="0">
      <pane xSplit="4" ySplit="12" topLeftCell="E13" activePane="bottomRight" state="frozenSplit"/>
      <selection activeCell="I45" sqref="I45"/>
      <selection pane="topRight" activeCell="I45" sqref="I45"/>
      <selection pane="bottomLeft" activeCell="I45" sqref="I45"/>
      <selection pane="bottomRight" activeCell="BH21" sqref="BH21"/>
    </sheetView>
  </sheetViews>
  <sheetFormatPr defaultRowHeight="14.25" x14ac:dyDescent="0.2"/>
  <cols>
    <col min="1" max="1" width="9" hidden="1" customWidth="1"/>
    <col min="2" max="4" width="12.625" customWidth="1"/>
    <col min="5" max="7" width="10.625" customWidth="1"/>
    <col min="8" max="8" width="10.625" hidden="1" customWidth="1"/>
    <col min="9" max="12" width="10.625" customWidth="1"/>
    <col min="13" max="13" width="10.625" hidden="1" customWidth="1"/>
    <col min="14" max="14" width="10.625" customWidth="1"/>
    <col min="15" max="53" width="10.625" hidden="1" customWidth="1"/>
    <col min="54" max="54" width="9" hidden="1" customWidth="1"/>
    <col min="55" max="56" width="9.125" customWidth="1"/>
    <col min="59" max="59" width="9.875" bestFit="1" customWidth="1"/>
  </cols>
  <sheetData>
    <row r="1" spans="1:57" x14ac:dyDescent="0.2">
      <c r="A1" t="s">
        <v>53</v>
      </c>
    </row>
    <row r="2" spans="1:57" x14ac:dyDescent="0.2">
      <c r="B2" t="s">
        <v>105</v>
      </c>
    </row>
    <row r="3" spans="1:57" x14ac:dyDescent="0.2">
      <c r="A3" t="s">
        <v>55</v>
      </c>
      <c r="B3" t="s">
        <v>114</v>
      </c>
    </row>
    <row r="5" spans="1:57" x14ac:dyDescent="0.2">
      <c r="A5" t="s">
        <v>54</v>
      </c>
    </row>
    <row r="6" spans="1:57" x14ac:dyDescent="0.2">
      <c r="A6">
        <f ca="1">MAX(A13:A272)</f>
        <v>151</v>
      </c>
      <c r="B6" t="s">
        <v>68</v>
      </c>
      <c r="C6" s="268">
        <v>42461</v>
      </c>
    </row>
    <row r="7" spans="1:57" ht="14.25" hidden="1" customHeight="1" x14ac:dyDescent="0.2">
      <c r="B7" t="s">
        <v>885</v>
      </c>
      <c r="D7" t="s">
        <v>56</v>
      </c>
      <c r="E7" s="164">
        <v>4</v>
      </c>
    </row>
    <row r="10" spans="1:57" x14ac:dyDescent="0.2">
      <c r="B10" s="355" t="s">
        <v>130</v>
      </c>
      <c r="C10" s="355" t="s">
        <v>57</v>
      </c>
      <c r="D10" s="355" t="s">
        <v>1</v>
      </c>
      <c r="E10" s="271" t="str">
        <f ca="1">OFFSET('Control sheet (hide)'!$AA$3,QUOTIENT(COLUMN(Demand!E9)-4,5),0,1,1)</f>
        <v>Test name 1</v>
      </c>
      <c r="F10" s="271"/>
      <c r="G10" s="271"/>
      <c r="H10" s="271"/>
      <c r="I10" s="271"/>
      <c r="J10" s="272" t="str">
        <f ca="1">OFFSET('Control sheet (hide)'!$AA$3,QUOTIENT(COLUMN(Demand!J9)-4,5),0,1,1)</f>
        <v>Test name 2</v>
      </c>
      <c r="K10" s="272"/>
      <c r="L10" s="272"/>
      <c r="M10" s="272"/>
      <c r="N10" s="272"/>
      <c r="O10" s="271" t="str">
        <f ca="1">OFFSET('Control sheet (hide)'!$AA$3,QUOTIENT(COLUMN(Demand!O9)-4,5),0,1,1)</f>
        <v>Another modality</v>
      </c>
      <c r="P10" s="271"/>
      <c r="Q10" s="271"/>
      <c r="R10" s="271"/>
      <c r="S10" s="271"/>
      <c r="T10" s="272" t="str">
        <f ca="1">OFFSET('Control sheet (hide)'!$AA$3,QUOTIENT(COLUMN(Demand!T9)-4,5),0,1,1)</f>
        <v>Modality 4</v>
      </c>
      <c r="U10" s="272"/>
      <c r="V10" s="272"/>
      <c r="W10" s="272"/>
      <c r="X10" s="272"/>
      <c r="Y10" s="271" t="str">
        <f ca="1">OFFSET('Control sheet (hide)'!$AA$3,QUOTIENT(COLUMN(Demand!Y9)-4,5),0,1,1)</f>
        <v>Modality 5</v>
      </c>
      <c r="Z10" s="271"/>
      <c r="AA10" s="271"/>
      <c r="AB10" s="271"/>
      <c r="AC10" s="271"/>
      <c r="AD10" s="272" t="str">
        <f ca="1">OFFSET('Control sheet (hide)'!$AA$3,QUOTIENT(COLUMN(Demand!AD9)-4,5),0,1,1)</f>
        <v>Modality 6</v>
      </c>
      <c r="AE10" s="272"/>
      <c r="AF10" s="272"/>
      <c r="AG10" s="272"/>
      <c r="AH10" s="272"/>
      <c r="AI10" s="271" t="str">
        <f ca="1">OFFSET('Control sheet (hide)'!$AA$3,QUOTIENT(COLUMN(Demand!AI9)-4,5),0,1,1)</f>
        <v>Modality 7</v>
      </c>
      <c r="AJ10" s="271"/>
      <c r="AK10" s="271"/>
      <c r="AL10" s="271"/>
      <c r="AM10" s="271"/>
      <c r="AN10" s="272" t="str">
        <f ca="1">OFFSET('Control sheet (hide)'!$AA$3,QUOTIENT(COLUMN(Demand!AN9)-4,5),0,1,1)</f>
        <v>Modality 8</v>
      </c>
      <c r="AO10" s="272"/>
      <c r="AP10" s="272"/>
      <c r="AQ10" s="272"/>
      <c r="AR10" s="272"/>
      <c r="AS10" s="271" t="str">
        <f ca="1">OFFSET('Control sheet (hide)'!$AA$3,QUOTIENT(COLUMN(Demand!AS9)-4,5),0,1,1)</f>
        <v>Modality 9</v>
      </c>
      <c r="AT10" s="271"/>
      <c r="AU10" s="271"/>
      <c r="AV10" s="271"/>
      <c r="AW10" s="271"/>
      <c r="AX10" s="272" t="str">
        <f ca="1">OFFSET('Control sheet (hide)'!$AA$3,QUOTIENT(COLUMN(Demand!AX9)-4,5),0,1,1)</f>
        <v>Modality 10</v>
      </c>
      <c r="AY10" s="272"/>
      <c r="AZ10" s="272"/>
      <c r="BA10" s="272"/>
      <c r="BB10" s="272"/>
      <c r="BC10" s="354" t="str">
        <f>"Total"&amp;IF(Setup!$I$17&lt;&gt;"Patients","
(Patients)","")</f>
        <v>Total
(Patients)</v>
      </c>
      <c r="BD10" s="354" t="str">
        <f>"Total
("&amp;Setup!$I$17&amp;")"</f>
        <v>Total
(Minutes)</v>
      </c>
      <c r="BE10" s="354" t="s">
        <v>113</v>
      </c>
    </row>
    <row r="11" spans="1:57" ht="14.25" customHeight="1" x14ac:dyDescent="0.2">
      <c r="B11" s="355"/>
      <c r="C11" s="355"/>
      <c r="D11" s="355"/>
      <c r="E11" s="7" t="str">
        <f>IF(Setup!$I$17&lt;&gt;"Patients",Setup!$I$17&amp;":","")</f>
        <v>Minutes:</v>
      </c>
      <c r="F11" s="270">
        <v>30</v>
      </c>
      <c r="G11" s="7"/>
      <c r="H11" s="7"/>
      <c r="I11" s="7"/>
      <c r="J11" s="6" t="str">
        <f>IF(Setup!$I$17&lt;&gt;"Patients",Setup!$I$17&amp;":","")</f>
        <v>Minutes:</v>
      </c>
      <c r="K11" s="270">
        <v>40</v>
      </c>
      <c r="L11" s="6"/>
      <c r="M11" s="6"/>
      <c r="N11" s="6"/>
      <c r="O11" s="7" t="str">
        <f>IF(Setup!$I$17&lt;&gt;"Patients",Setup!$I$17&amp;":","")</f>
        <v>Minutes:</v>
      </c>
      <c r="P11" s="270">
        <v>1</v>
      </c>
      <c r="Q11" s="7"/>
      <c r="R11" s="7"/>
      <c r="S11" s="7"/>
      <c r="T11" s="6" t="str">
        <f>IF(Setup!$I$17&lt;&gt;"Patients",Setup!$I$17&amp;":","")</f>
        <v>Minutes:</v>
      </c>
      <c r="U11" s="270">
        <v>1</v>
      </c>
      <c r="V11" s="6"/>
      <c r="W11" s="6"/>
      <c r="X11" s="6"/>
      <c r="Y11" s="7" t="str">
        <f>IF(Setup!$I$17&lt;&gt;"Patients",Setup!$I$17&amp;":","")</f>
        <v>Minutes:</v>
      </c>
      <c r="Z11" s="270">
        <v>1</v>
      </c>
      <c r="AA11" s="7"/>
      <c r="AB11" s="7"/>
      <c r="AC11" s="7"/>
      <c r="AD11" s="6" t="str">
        <f>IF(Setup!$I$17&lt;&gt;"Patients",Setup!$I$17&amp;":","")</f>
        <v>Minutes:</v>
      </c>
      <c r="AE11" s="270">
        <v>1</v>
      </c>
      <c r="AF11" s="6"/>
      <c r="AG11" s="6"/>
      <c r="AH11" s="6"/>
      <c r="AI11" s="7" t="str">
        <f>IF(Setup!$I$17&lt;&gt;"Patients",Setup!$I$17&amp;":","")</f>
        <v>Minutes:</v>
      </c>
      <c r="AJ11" s="270">
        <v>1</v>
      </c>
      <c r="AK11" s="7"/>
      <c r="AL11" s="7"/>
      <c r="AM11" s="7"/>
      <c r="AN11" s="6" t="str">
        <f>IF(Setup!$I$17&lt;&gt;"Patients",Setup!$I$17&amp;":","")</f>
        <v>Minutes:</v>
      </c>
      <c r="AO11" s="270">
        <v>1</v>
      </c>
      <c r="AP11" s="6"/>
      <c r="AQ11" s="6"/>
      <c r="AR11" s="6"/>
      <c r="AS11" s="7" t="str">
        <f>IF(Setup!$I$17&lt;&gt;"Patients",Setup!$I$17&amp;":","")</f>
        <v>Minutes:</v>
      </c>
      <c r="AT11" s="270">
        <v>1</v>
      </c>
      <c r="AU11" s="7"/>
      <c r="AV11" s="7"/>
      <c r="AW11" s="7"/>
      <c r="AX11" s="6" t="str">
        <f>IF(Setup!$I$17&lt;&gt;"Patients",Setup!$I$17&amp;":","")</f>
        <v>Minutes:</v>
      </c>
      <c r="AY11" s="270">
        <v>1</v>
      </c>
      <c r="AZ11" s="6"/>
      <c r="BA11" s="6"/>
      <c r="BB11" s="6"/>
      <c r="BC11" s="354"/>
      <c r="BD11" s="354"/>
      <c r="BE11" s="354"/>
    </row>
    <row r="12" spans="1:57" ht="15" thickBot="1" x14ac:dyDescent="0.25">
      <c r="B12" s="355"/>
      <c r="C12" s="355"/>
      <c r="D12" s="355"/>
      <c r="E12" s="7" t="str">
        <f ca="1">OFFSET(Setup!$B$21,MOD(COLUMN(A1),5),0,1,1)</f>
        <v>2WW</v>
      </c>
      <c r="F12" s="7" t="str">
        <f ca="1">OFFSET(Setup!$B$21,MOD(COLUMN(B1),5),0,1,1)</f>
        <v>Urgent</v>
      </c>
      <c r="G12" s="7" t="str">
        <f ca="1">OFFSET(Setup!$B$21,MOD(COLUMN(C1),5),0,1,1)</f>
        <v>Routine</v>
      </c>
      <c r="H12" s="7" t="s">
        <v>62</v>
      </c>
      <c r="I12" s="7" t="s">
        <v>58</v>
      </c>
      <c r="J12" s="6" t="str">
        <f ca="1">OFFSET(Setup!$B$21,MOD(COLUMN(F1),5),0,1,1)</f>
        <v>2WW</v>
      </c>
      <c r="K12" s="6" t="str">
        <f ca="1">OFFSET(Setup!$B$21,MOD(COLUMN(G1),5),0,1,1)</f>
        <v>Urgent</v>
      </c>
      <c r="L12" s="6" t="str">
        <f ca="1">OFFSET(Setup!$B$21,MOD(COLUMN(H1),5),0,1,1)</f>
        <v>Routine</v>
      </c>
      <c r="M12" s="6" t="s">
        <v>62</v>
      </c>
      <c r="N12" s="6" t="s">
        <v>58</v>
      </c>
      <c r="O12" s="7" t="str">
        <f ca="1">OFFSET(Setup!$B$21,MOD(COLUMN(K1),5),0,1,1)</f>
        <v>2WW</v>
      </c>
      <c r="P12" s="7" t="str">
        <f ca="1">OFFSET(Setup!$B$21,MOD(COLUMN(L1),5),0,1,1)</f>
        <v>Urgent</v>
      </c>
      <c r="Q12" s="7" t="str">
        <f ca="1">OFFSET(Setup!$B$21,MOD(COLUMN(M1),5),0,1,1)</f>
        <v>Routine</v>
      </c>
      <c r="R12" s="7" t="s">
        <v>62</v>
      </c>
      <c r="S12" s="7" t="s">
        <v>58</v>
      </c>
      <c r="T12" s="6" t="str">
        <f ca="1">OFFSET(Setup!$B$21,MOD(COLUMN(P1),5),0,1,1)</f>
        <v>2WW</v>
      </c>
      <c r="U12" s="6" t="str">
        <f ca="1">OFFSET(Setup!$B$21,MOD(COLUMN(Q1),5),0,1,1)</f>
        <v>Urgent</v>
      </c>
      <c r="V12" s="6" t="str">
        <f ca="1">OFFSET(Setup!$B$21,MOD(COLUMN(R1),5),0,1,1)</f>
        <v>Routine</v>
      </c>
      <c r="W12" s="6" t="s">
        <v>62</v>
      </c>
      <c r="X12" s="6" t="s">
        <v>58</v>
      </c>
      <c r="Y12" s="7" t="str">
        <f ca="1">OFFSET(Setup!$B$21,MOD(COLUMN(U1),5),0,1,1)</f>
        <v>2WW</v>
      </c>
      <c r="Z12" s="7" t="str">
        <f ca="1">OFFSET(Setup!$B$21,MOD(COLUMN(V1),5),0,1,1)</f>
        <v>Urgent</v>
      </c>
      <c r="AA12" s="7" t="str">
        <f ca="1">OFFSET(Setup!$B$21,MOD(COLUMN(W1),5),0,1,1)</f>
        <v>Routine</v>
      </c>
      <c r="AB12" s="7" t="s">
        <v>62</v>
      </c>
      <c r="AC12" s="7" t="s">
        <v>58</v>
      </c>
      <c r="AD12" s="6" t="str">
        <f ca="1">OFFSET(Setup!$B$21,MOD(COLUMN(Z1),5),0,1,1)</f>
        <v>2WW</v>
      </c>
      <c r="AE12" s="6" t="str">
        <f ca="1">OFFSET(Setup!$B$21,MOD(COLUMN(AA1),5),0,1,1)</f>
        <v>Urgent</v>
      </c>
      <c r="AF12" s="6" t="str">
        <f ca="1">OFFSET(Setup!$B$21,MOD(COLUMN(AB1),5),0,1,1)</f>
        <v>Routine</v>
      </c>
      <c r="AG12" s="6" t="s">
        <v>62</v>
      </c>
      <c r="AH12" s="6" t="s">
        <v>58</v>
      </c>
      <c r="AI12" s="7" t="str">
        <f ca="1">OFFSET(Setup!$B$21,MOD(COLUMN(AE1),5),0,1,1)</f>
        <v>2WW</v>
      </c>
      <c r="AJ12" s="7" t="str">
        <f ca="1">OFFSET(Setup!$B$21,MOD(COLUMN(AF1),5),0,1,1)</f>
        <v>Urgent</v>
      </c>
      <c r="AK12" s="7" t="str">
        <f ca="1">OFFSET(Setup!$B$21,MOD(COLUMN(AG1),5),0,1,1)</f>
        <v>Routine</v>
      </c>
      <c r="AL12" s="7" t="s">
        <v>62</v>
      </c>
      <c r="AM12" s="7" t="s">
        <v>58</v>
      </c>
      <c r="AN12" s="6" t="str">
        <f ca="1">OFFSET(Setup!$B$21,MOD(COLUMN(AJ1),5),0,1,1)</f>
        <v>2WW</v>
      </c>
      <c r="AO12" s="6" t="str">
        <f ca="1">OFFSET(Setup!$B$21,MOD(COLUMN(AK1),5),0,1,1)</f>
        <v>Urgent</v>
      </c>
      <c r="AP12" s="6" t="str">
        <f ca="1">OFFSET(Setup!$B$21,MOD(COLUMN(AL1),5),0,1,1)</f>
        <v>Routine</v>
      </c>
      <c r="AQ12" s="6" t="s">
        <v>62</v>
      </c>
      <c r="AR12" s="6" t="s">
        <v>58</v>
      </c>
      <c r="AS12" s="7" t="str">
        <f ca="1">OFFSET(Setup!$B$21,MOD(COLUMN(AO1),5),0,1,1)</f>
        <v>2WW</v>
      </c>
      <c r="AT12" s="7" t="str">
        <f ca="1">OFFSET(Setup!$B$21,MOD(COLUMN(AP1),5),0,1,1)</f>
        <v>Urgent</v>
      </c>
      <c r="AU12" s="7" t="str">
        <f ca="1">OFFSET(Setup!$B$21,MOD(COLUMN(AQ1),5),0,1,1)</f>
        <v>Routine</v>
      </c>
      <c r="AV12" s="7" t="s">
        <v>62</v>
      </c>
      <c r="AW12" s="7" t="s">
        <v>58</v>
      </c>
      <c r="AX12" s="6" t="str">
        <f ca="1">OFFSET(Setup!$B$21,MOD(COLUMN(AT1),5),0,1,1)</f>
        <v>2WW</v>
      </c>
      <c r="AY12" s="6" t="str">
        <f ca="1">OFFSET(Setup!$B$21,MOD(COLUMN(AU1),5),0,1,1)</f>
        <v>Urgent</v>
      </c>
      <c r="AZ12" s="6" t="str">
        <f ca="1">OFFSET(Setup!$B$21,MOD(COLUMN(AV1),5),0,1,1)</f>
        <v>Routine</v>
      </c>
      <c r="BA12" s="6" t="s">
        <v>62</v>
      </c>
      <c r="BB12" s="6" t="s">
        <v>58</v>
      </c>
      <c r="BC12" s="354"/>
      <c r="BD12" s="354"/>
      <c r="BE12" s="354"/>
    </row>
    <row r="13" spans="1:57" ht="15" x14ac:dyDescent="0.25">
      <c r="A13">
        <v>1</v>
      </c>
      <c r="B13" s="262">
        <f>IF(C6&lt;&gt;"",YEAR(D13),1)</f>
        <v>2016</v>
      </c>
      <c r="C13" s="263">
        <f>IF($C$6&lt;&gt;"",WEEKNUM($C$6, 21),1)</f>
        <v>13</v>
      </c>
      <c r="D13" s="421">
        <f>IF($C$6&lt;&gt;"",$C$6,"")</f>
        <v>42461</v>
      </c>
      <c r="E13" s="182"/>
      <c r="F13" s="183">
        <v>1</v>
      </c>
      <c r="G13" s="184">
        <v>0</v>
      </c>
      <c r="H13" s="185"/>
      <c r="I13" s="250">
        <f>IF(COUNTBLANK(E13:H13)=4,"",SUM(E13:G13)+IF(Setup!$I$15="No",0,H13))</f>
        <v>1</v>
      </c>
      <c r="J13" s="196"/>
      <c r="K13" s="197">
        <v>2</v>
      </c>
      <c r="L13" s="198">
        <v>7</v>
      </c>
      <c r="M13" s="199"/>
      <c r="N13" s="254">
        <f>IF(COUNTBLANK(J13:M13)=4,"",SUM(J13:L13)+IF(Setup!$I$15="No",0,M13))</f>
        <v>9</v>
      </c>
      <c r="O13" s="182"/>
      <c r="P13" s="183"/>
      <c r="Q13" s="184"/>
      <c r="R13" s="185"/>
      <c r="S13" s="250" t="str">
        <f>IF(COUNTBLANK(O13:R13)=4,"",SUM(O13:Q13)+IF(Setup!$I$15="No",0,R13))</f>
        <v/>
      </c>
      <c r="T13" s="196"/>
      <c r="U13" s="197"/>
      <c r="V13" s="198"/>
      <c r="W13" s="199"/>
      <c r="X13" s="254" t="str">
        <f>IF(COUNTBLANK(T13:W13)=4,"",SUM(T13:V13)+IF(Setup!$I$15="No",0,W13))</f>
        <v/>
      </c>
      <c r="Y13" s="182"/>
      <c r="Z13" s="183"/>
      <c r="AA13" s="184"/>
      <c r="AB13" s="185"/>
      <c r="AC13" s="250" t="str">
        <f>IF(COUNTBLANK(Y13:AB13)=4,"",SUM(Y13:AA13)+IF(Setup!$I$15="No",0,AB13))</f>
        <v/>
      </c>
      <c r="AD13" s="196"/>
      <c r="AE13" s="197"/>
      <c r="AF13" s="198"/>
      <c r="AG13" s="199"/>
      <c r="AH13" s="254" t="str">
        <f>IF(COUNTBLANK(AD13:AG13)=4,"",SUM(AD13:AF13)+IF(Setup!$I$15="No",0,AG13))</f>
        <v/>
      </c>
      <c r="AI13" s="182"/>
      <c r="AJ13" s="183"/>
      <c r="AK13" s="184"/>
      <c r="AL13" s="185"/>
      <c r="AM13" s="250" t="str">
        <f>IF(COUNTBLANK(AI13:AL13)=4,"",SUM(AI13:AK13)+IF(Setup!$I$15="No",0,AL13))</f>
        <v/>
      </c>
      <c r="AN13" s="196"/>
      <c r="AO13" s="197"/>
      <c r="AP13" s="198"/>
      <c r="AQ13" s="199"/>
      <c r="AR13" s="254" t="str">
        <f>IF(COUNTBLANK(AN13:AQ13)=4,"",SUM(AN13:AP13)+IF(Setup!$I$15="No",0,AQ13))</f>
        <v/>
      </c>
      <c r="AS13" s="182"/>
      <c r="AT13" s="183"/>
      <c r="AU13" s="184"/>
      <c r="AV13" s="185"/>
      <c r="AW13" s="250" t="str">
        <f>IF(COUNTBLANK(AS13:AV13)=4,"",SUM(AS13:AU13)+IF(Setup!$I$15="No",0,AV13))</f>
        <v/>
      </c>
      <c r="AX13" s="196"/>
      <c r="AY13" s="197"/>
      <c r="AZ13" s="198"/>
      <c r="BA13" s="199"/>
      <c r="BB13" s="254" t="str">
        <f>IF(COUNTBLANK(AX13:BA13)=4,"",SUM(AX13:AZ13)+IF(Setup!$I$15="No",0,BA13))</f>
        <v/>
      </c>
      <c r="BC13" s="258">
        <f ca="1">IF('Demand background (hide)'!A4=Num_Modalities,"",SUM(Demand!I13, Demand!N13))</f>
        <v>10</v>
      </c>
      <c r="BD13" s="258">
        <f ca="1">IF(AND(A13&lt;=MaxRows,BE13&lt;&gt;"Yes"),'Demand background (hide)'!X4+IF(Setup!$I$15="Yes",'Demand background (hide)'!AJ4,0),"")</f>
        <v>390</v>
      </c>
      <c r="BE13" s="208"/>
    </row>
    <row r="14" spans="1:57" ht="15" x14ac:dyDescent="0.25">
      <c r="A14">
        <f t="shared" ref="A14:A76" ca="1" si="0">IF(BC14&lt;&gt;"",ROW(A2),"")</f>
        <v>2</v>
      </c>
      <c r="B14" s="262" t="str">
        <f t="shared" ref="B14:B77" ca="1" si="1">IF(A14&lt;=MaxRows,IF($C$6&lt;&gt;"",IF(YEAR(D14)&lt;&gt;YEAR(D13),YEAR(D14)," "),IF(C14&lt;&gt;1,"",OFFSET(B14,-C13,0,1,1)+1))," ")</f>
        <v xml:space="preserve"> </v>
      </c>
      <c r="C14" s="264">
        <f t="shared" ref="C14:C77" ca="1" si="2">IF(ROW(A2)&lt;=MaxRows,IF($C$6&lt;&gt;"",WEEKNUM(D14,21),IF(MOD((C13+1),52)&gt;0,MOD((C13+1),52),52)),"")</f>
        <v>14</v>
      </c>
      <c r="D14" s="422">
        <f t="shared" ref="D14:D77" ca="1" si="3">IF(ROW(A2)&lt;=MaxRows,IF($C$6&lt;&gt;"",D13+7,""),"")</f>
        <v>42468</v>
      </c>
      <c r="E14" s="186"/>
      <c r="F14" s="187">
        <v>5</v>
      </c>
      <c r="G14" s="188">
        <v>2</v>
      </c>
      <c r="H14" s="189"/>
      <c r="I14" s="251">
        <f>IF(COUNTBLANK(E14:H14)=4,"",SUM(E14:G14)+IF(Setup!$I$15="No",0,H14))</f>
        <v>7</v>
      </c>
      <c r="J14" s="200"/>
      <c r="K14" s="201">
        <v>3</v>
      </c>
      <c r="L14" s="202">
        <v>7</v>
      </c>
      <c r="M14" s="203"/>
      <c r="N14" s="255">
        <f>IF(COUNTBLANK(J14:M14)=4,"",SUM(J14:L14)+IF(Setup!$I$15="No",0,M14))</f>
        <v>10</v>
      </c>
      <c r="O14" s="186"/>
      <c r="P14" s="187"/>
      <c r="Q14" s="188"/>
      <c r="R14" s="189"/>
      <c r="S14" s="251" t="str">
        <f>IF(COUNTBLANK(O14:R14)=4,"",SUM(O14:Q14)+IF(Setup!$I$15="No",0,R14))</f>
        <v/>
      </c>
      <c r="T14" s="200"/>
      <c r="U14" s="201"/>
      <c r="V14" s="202"/>
      <c r="W14" s="203"/>
      <c r="X14" s="255" t="str">
        <f>IF(COUNTBLANK(T14:W14)=4,"",SUM(T14:V14)+IF(Setup!$I$15="No",0,W14))</f>
        <v/>
      </c>
      <c r="Y14" s="186"/>
      <c r="Z14" s="187"/>
      <c r="AA14" s="188"/>
      <c r="AB14" s="189"/>
      <c r="AC14" s="251" t="str">
        <f>IF(COUNTBLANK(Y14:AB14)=4,"",SUM(Y14:AA14)+IF(Setup!$I$15="No",0,AB14))</f>
        <v/>
      </c>
      <c r="AD14" s="200"/>
      <c r="AE14" s="201"/>
      <c r="AF14" s="202"/>
      <c r="AG14" s="203"/>
      <c r="AH14" s="255" t="str">
        <f>IF(COUNTBLANK(AD14:AG14)=4,"",SUM(AD14:AF14)+IF(Setup!$I$15="No",0,AG14))</f>
        <v/>
      </c>
      <c r="AI14" s="186"/>
      <c r="AJ14" s="187"/>
      <c r="AK14" s="188"/>
      <c r="AL14" s="189"/>
      <c r="AM14" s="251" t="str">
        <f>IF(COUNTBLANK(AI14:AL14)=4,"",SUM(AI14:AK14)+IF(Setup!$I$15="No",0,AL14))</f>
        <v/>
      </c>
      <c r="AN14" s="200"/>
      <c r="AO14" s="201"/>
      <c r="AP14" s="202"/>
      <c r="AQ14" s="203"/>
      <c r="AR14" s="255" t="str">
        <f>IF(COUNTBLANK(AN14:AQ14)=4,"",SUM(AN14:AP14)+IF(Setup!$I$15="No",0,AQ14))</f>
        <v/>
      </c>
      <c r="AS14" s="186"/>
      <c r="AT14" s="187"/>
      <c r="AU14" s="188"/>
      <c r="AV14" s="189"/>
      <c r="AW14" s="251" t="str">
        <f>IF(COUNTBLANK(AS14:AV14)=4,"",SUM(AS14:AU14)+IF(Setup!$I$15="No",0,AV14))</f>
        <v/>
      </c>
      <c r="AX14" s="200"/>
      <c r="AY14" s="201"/>
      <c r="AZ14" s="202"/>
      <c r="BA14" s="203"/>
      <c r="BB14" s="255" t="str">
        <f>IF(COUNTBLANK(AX14:BA14)=4,"",SUM(AX14:AZ14)+IF(Setup!$I$15="No",0,BA14))</f>
        <v/>
      </c>
      <c r="BC14" s="259">
        <f ca="1">IF('Demand background (hide)'!A5=Num_Modalities,"",SUM(Demand!I14, Demand!N14))</f>
        <v>17</v>
      </c>
      <c r="BD14" s="259">
        <f ca="1">IF(AND(A14&lt;=MaxRows,BE14&lt;&gt;"Yes"),'Demand background (hide)'!X5+IF(Setup!$I$15="Yes",'Demand background (hide)'!AJ5,0),"")</f>
        <v>610</v>
      </c>
      <c r="BE14" s="209"/>
    </row>
    <row r="15" spans="1:57" ht="15" x14ac:dyDescent="0.25">
      <c r="A15">
        <f t="shared" ca="1" si="0"/>
        <v>3</v>
      </c>
      <c r="B15" s="262" t="str">
        <f t="shared" ca="1" si="1"/>
        <v xml:space="preserve"> </v>
      </c>
      <c r="C15" s="264">
        <f t="shared" ca="1" si="2"/>
        <v>15</v>
      </c>
      <c r="D15" s="422">
        <f t="shared" ca="1" si="3"/>
        <v>42475</v>
      </c>
      <c r="E15" s="186"/>
      <c r="F15" s="187">
        <v>0</v>
      </c>
      <c r="G15" s="188">
        <v>2</v>
      </c>
      <c r="H15" s="189"/>
      <c r="I15" s="251">
        <f>IF(COUNTBLANK(E15:H15)=4,"",SUM(E15:G15)+IF(Setup!$I$15="No",0,H15))</f>
        <v>2</v>
      </c>
      <c r="J15" s="200"/>
      <c r="K15" s="201">
        <v>3</v>
      </c>
      <c r="L15" s="202">
        <v>5</v>
      </c>
      <c r="M15" s="203"/>
      <c r="N15" s="255">
        <f>IF(COUNTBLANK(J15:M15)=4,"",SUM(J15:L15)+IF(Setup!$I$15="No",0,M15))</f>
        <v>8</v>
      </c>
      <c r="O15" s="186"/>
      <c r="P15" s="187"/>
      <c r="Q15" s="188"/>
      <c r="R15" s="189"/>
      <c r="S15" s="251" t="str">
        <f>IF(COUNTBLANK(O15:R15)=4,"",SUM(O15:Q15)+IF(Setup!$I$15="No",0,R15))</f>
        <v/>
      </c>
      <c r="T15" s="200"/>
      <c r="U15" s="201"/>
      <c r="V15" s="202"/>
      <c r="W15" s="203"/>
      <c r="X15" s="255" t="str">
        <f>IF(COUNTBLANK(T15:W15)=4,"",SUM(T15:V15)+IF(Setup!$I$15="No",0,W15))</f>
        <v/>
      </c>
      <c r="Y15" s="186"/>
      <c r="Z15" s="187"/>
      <c r="AA15" s="188"/>
      <c r="AB15" s="189"/>
      <c r="AC15" s="251" t="str">
        <f>IF(COUNTBLANK(Y15:AB15)=4,"",SUM(Y15:AA15)+IF(Setup!$I$15="No",0,AB15))</f>
        <v/>
      </c>
      <c r="AD15" s="200"/>
      <c r="AE15" s="201"/>
      <c r="AF15" s="202"/>
      <c r="AG15" s="203"/>
      <c r="AH15" s="255" t="str">
        <f>IF(COUNTBLANK(AD15:AG15)=4,"",SUM(AD15:AF15)+IF(Setup!$I$15="No",0,AG15))</f>
        <v/>
      </c>
      <c r="AI15" s="186"/>
      <c r="AJ15" s="187"/>
      <c r="AK15" s="188"/>
      <c r="AL15" s="189"/>
      <c r="AM15" s="251" t="str">
        <f>IF(COUNTBLANK(AI15:AL15)=4,"",SUM(AI15:AK15)+IF(Setup!$I$15="No",0,AL15))</f>
        <v/>
      </c>
      <c r="AN15" s="200"/>
      <c r="AO15" s="201"/>
      <c r="AP15" s="202"/>
      <c r="AQ15" s="203"/>
      <c r="AR15" s="255" t="str">
        <f>IF(COUNTBLANK(AN15:AQ15)=4,"",SUM(AN15:AP15)+IF(Setup!$I$15="No",0,AQ15))</f>
        <v/>
      </c>
      <c r="AS15" s="186"/>
      <c r="AT15" s="187"/>
      <c r="AU15" s="188"/>
      <c r="AV15" s="189"/>
      <c r="AW15" s="251" t="str">
        <f>IF(COUNTBLANK(AS15:AV15)=4,"",SUM(AS15:AU15)+IF(Setup!$I$15="No",0,AV15))</f>
        <v/>
      </c>
      <c r="AX15" s="200"/>
      <c r="AY15" s="201"/>
      <c r="AZ15" s="202"/>
      <c r="BA15" s="203"/>
      <c r="BB15" s="255" t="str">
        <f>IF(COUNTBLANK(AX15:BA15)=4,"",SUM(AX15:AZ15)+IF(Setup!$I$15="No",0,BA15))</f>
        <v/>
      </c>
      <c r="BC15" s="259">
        <f ca="1">IF('Demand background (hide)'!A6=Num_Modalities,"",SUM(Demand!I15, Demand!N15))</f>
        <v>10</v>
      </c>
      <c r="BD15" s="259">
        <f ca="1">IF(AND(A15&lt;=MaxRows,BE15&lt;&gt;"Yes"),'Demand background (hide)'!X6+IF(Setup!$I$15="Yes",'Demand background (hide)'!AJ6,0),"")</f>
        <v>380</v>
      </c>
      <c r="BE15" s="209"/>
    </row>
    <row r="16" spans="1:57" ht="15" x14ac:dyDescent="0.25">
      <c r="A16">
        <f t="shared" ca="1" si="0"/>
        <v>4</v>
      </c>
      <c r="B16" s="262" t="str">
        <f t="shared" ca="1" si="1"/>
        <v xml:space="preserve"> </v>
      </c>
      <c r="C16" s="264">
        <f t="shared" ca="1" si="2"/>
        <v>16</v>
      </c>
      <c r="D16" s="422">
        <f t="shared" ca="1" si="3"/>
        <v>42482</v>
      </c>
      <c r="E16" s="186"/>
      <c r="F16" s="187">
        <v>1</v>
      </c>
      <c r="G16" s="188">
        <v>8</v>
      </c>
      <c r="H16" s="189"/>
      <c r="I16" s="251">
        <f>IF(COUNTBLANK(E16:H16)=4,"",SUM(E16:G16)+IF(Setup!$I$15="No",0,H16))</f>
        <v>9</v>
      </c>
      <c r="J16" s="200"/>
      <c r="K16" s="201">
        <v>3</v>
      </c>
      <c r="L16" s="202">
        <v>9</v>
      </c>
      <c r="M16" s="203"/>
      <c r="N16" s="255">
        <f>IF(COUNTBLANK(J16:M16)=4,"",SUM(J16:L16)+IF(Setup!$I$15="No",0,M16))</f>
        <v>12</v>
      </c>
      <c r="O16" s="186"/>
      <c r="P16" s="187"/>
      <c r="Q16" s="188"/>
      <c r="R16" s="189"/>
      <c r="S16" s="251" t="str">
        <f>IF(COUNTBLANK(O16:R16)=4,"",SUM(O16:Q16)+IF(Setup!$I$15="No",0,R16))</f>
        <v/>
      </c>
      <c r="T16" s="200"/>
      <c r="U16" s="201"/>
      <c r="V16" s="202"/>
      <c r="W16" s="203"/>
      <c r="X16" s="255" t="str">
        <f>IF(COUNTBLANK(T16:W16)=4,"",SUM(T16:V16)+IF(Setup!$I$15="No",0,W16))</f>
        <v/>
      </c>
      <c r="Y16" s="186"/>
      <c r="Z16" s="187"/>
      <c r="AA16" s="188"/>
      <c r="AB16" s="189"/>
      <c r="AC16" s="251" t="str">
        <f>IF(COUNTBLANK(Y16:AB16)=4,"",SUM(Y16:AA16)+IF(Setup!$I$15="No",0,AB16))</f>
        <v/>
      </c>
      <c r="AD16" s="200"/>
      <c r="AE16" s="201"/>
      <c r="AF16" s="202"/>
      <c r="AG16" s="203"/>
      <c r="AH16" s="255" t="str">
        <f>IF(COUNTBLANK(AD16:AG16)=4,"",SUM(AD16:AF16)+IF(Setup!$I$15="No",0,AG16))</f>
        <v/>
      </c>
      <c r="AI16" s="186"/>
      <c r="AJ16" s="187"/>
      <c r="AK16" s="188"/>
      <c r="AL16" s="189"/>
      <c r="AM16" s="251" t="str">
        <f>IF(COUNTBLANK(AI16:AL16)=4,"",SUM(AI16:AK16)+IF(Setup!$I$15="No",0,AL16))</f>
        <v/>
      </c>
      <c r="AN16" s="200"/>
      <c r="AO16" s="201"/>
      <c r="AP16" s="202"/>
      <c r="AQ16" s="203"/>
      <c r="AR16" s="255" t="str">
        <f>IF(COUNTBLANK(AN16:AQ16)=4,"",SUM(AN16:AP16)+IF(Setup!$I$15="No",0,AQ16))</f>
        <v/>
      </c>
      <c r="AS16" s="186"/>
      <c r="AT16" s="187"/>
      <c r="AU16" s="188"/>
      <c r="AV16" s="189"/>
      <c r="AW16" s="251" t="str">
        <f>IF(COUNTBLANK(AS16:AV16)=4,"",SUM(AS16:AU16)+IF(Setup!$I$15="No",0,AV16))</f>
        <v/>
      </c>
      <c r="AX16" s="200"/>
      <c r="AY16" s="201"/>
      <c r="AZ16" s="202"/>
      <c r="BA16" s="203"/>
      <c r="BB16" s="255" t="str">
        <f>IF(COUNTBLANK(AX16:BA16)=4,"",SUM(AX16:AZ16)+IF(Setup!$I$15="No",0,BA16))</f>
        <v/>
      </c>
      <c r="BC16" s="259">
        <f ca="1">IF('Demand background (hide)'!A7=Num_Modalities,"",SUM(Demand!I16, Demand!N16))</f>
        <v>21</v>
      </c>
      <c r="BD16" s="259">
        <f ca="1">IF(AND(A16&lt;=MaxRows,BE16&lt;&gt;"Yes"),'Demand background (hide)'!X7+IF(Setup!$I$15="Yes",'Demand background (hide)'!AJ7,0),"")</f>
        <v>750</v>
      </c>
      <c r="BE16" s="209"/>
    </row>
    <row r="17" spans="1:57" ht="15" x14ac:dyDescent="0.25">
      <c r="A17">
        <f t="shared" ca="1" si="0"/>
        <v>5</v>
      </c>
      <c r="B17" s="262" t="str">
        <f t="shared" ca="1" si="1"/>
        <v xml:space="preserve"> </v>
      </c>
      <c r="C17" s="264">
        <f t="shared" ca="1" si="2"/>
        <v>17</v>
      </c>
      <c r="D17" s="422">
        <f t="shared" ca="1" si="3"/>
        <v>42489</v>
      </c>
      <c r="E17" s="186"/>
      <c r="F17" s="187">
        <v>1</v>
      </c>
      <c r="G17" s="188">
        <v>2</v>
      </c>
      <c r="H17" s="189"/>
      <c r="I17" s="251">
        <f>IF(COUNTBLANK(E17:H17)=4,"",SUM(E17:G17)+IF(Setup!$I$15="No",0,H17))</f>
        <v>3</v>
      </c>
      <c r="J17" s="200"/>
      <c r="K17" s="201">
        <v>3</v>
      </c>
      <c r="L17" s="202">
        <v>7</v>
      </c>
      <c r="M17" s="203"/>
      <c r="N17" s="255">
        <f>IF(COUNTBLANK(J17:M17)=4,"",SUM(J17:L17)+IF(Setup!$I$15="No",0,M17))</f>
        <v>10</v>
      </c>
      <c r="O17" s="186"/>
      <c r="P17" s="187"/>
      <c r="Q17" s="188"/>
      <c r="R17" s="189"/>
      <c r="S17" s="251" t="str">
        <f>IF(COUNTBLANK(O17:R17)=4,"",SUM(O17:Q17)+IF(Setup!$I$15="No",0,R17))</f>
        <v/>
      </c>
      <c r="T17" s="200"/>
      <c r="U17" s="201"/>
      <c r="V17" s="202"/>
      <c r="W17" s="203"/>
      <c r="X17" s="255" t="str">
        <f>IF(COUNTBLANK(T17:W17)=4,"",SUM(T17:V17)+IF(Setup!$I$15="No",0,W17))</f>
        <v/>
      </c>
      <c r="Y17" s="186"/>
      <c r="Z17" s="187"/>
      <c r="AA17" s="188"/>
      <c r="AB17" s="189"/>
      <c r="AC17" s="251" t="str">
        <f>IF(COUNTBLANK(Y17:AB17)=4,"",SUM(Y17:AA17)+IF(Setup!$I$15="No",0,AB17))</f>
        <v/>
      </c>
      <c r="AD17" s="200"/>
      <c r="AE17" s="201"/>
      <c r="AF17" s="202"/>
      <c r="AG17" s="203"/>
      <c r="AH17" s="255" t="str">
        <f>IF(COUNTBLANK(AD17:AG17)=4,"",SUM(AD17:AF17)+IF(Setup!$I$15="No",0,AG17))</f>
        <v/>
      </c>
      <c r="AI17" s="186"/>
      <c r="AJ17" s="187"/>
      <c r="AK17" s="188"/>
      <c r="AL17" s="189"/>
      <c r="AM17" s="251" t="str">
        <f>IF(COUNTBLANK(AI17:AL17)=4,"",SUM(AI17:AK17)+IF(Setup!$I$15="No",0,AL17))</f>
        <v/>
      </c>
      <c r="AN17" s="200"/>
      <c r="AO17" s="201"/>
      <c r="AP17" s="202"/>
      <c r="AQ17" s="203"/>
      <c r="AR17" s="255" t="str">
        <f>IF(COUNTBLANK(AN17:AQ17)=4,"",SUM(AN17:AP17)+IF(Setup!$I$15="No",0,AQ17))</f>
        <v/>
      </c>
      <c r="AS17" s="186"/>
      <c r="AT17" s="187"/>
      <c r="AU17" s="188"/>
      <c r="AV17" s="189"/>
      <c r="AW17" s="251" t="str">
        <f>IF(COUNTBLANK(AS17:AV17)=4,"",SUM(AS17:AU17)+IF(Setup!$I$15="No",0,AV17))</f>
        <v/>
      </c>
      <c r="AX17" s="200"/>
      <c r="AY17" s="201"/>
      <c r="AZ17" s="202"/>
      <c r="BA17" s="203"/>
      <c r="BB17" s="255" t="str">
        <f>IF(COUNTBLANK(AX17:BA17)=4,"",SUM(AX17:AZ17)+IF(Setup!$I$15="No",0,BA17))</f>
        <v/>
      </c>
      <c r="BC17" s="259">
        <f ca="1">IF('Demand background (hide)'!A8=Num_Modalities,"",SUM(Demand!I17, Demand!N17))</f>
        <v>13</v>
      </c>
      <c r="BD17" s="259">
        <f ca="1">IF(AND(A17&lt;=MaxRows,BE17&lt;&gt;"Yes"),'Demand background (hide)'!X8+IF(Setup!$I$15="Yes",'Demand background (hide)'!AJ8,0),"")</f>
        <v>490</v>
      </c>
      <c r="BE17" s="209"/>
    </row>
    <row r="18" spans="1:57" ht="15" x14ac:dyDescent="0.25">
      <c r="A18">
        <f t="shared" ca="1" si="0"/>
        <v>6</v>
      </c>
      <c r="B18" s="262" t="str">
        <f t="shared" ca="1" si="1"/>
        <v xml:space="preserve"> </v>
      </c>
      <c r="C18" s="264">
        <f t="shared" ca="1" si="2"/>
        <v>18</v>
      </c>
      <c r="D18" s="422">
        <f t="shared" ca="1" si="3"/>
        <v>42496</v>
      </c>
      <c r="E18" s="186"/>
      <c r="F18" s="187">
        <v>0</v>
      </c>
      <c r="G18" s="188">
        <v>4</v>
      </c>
      <c r="H18" s="189"/>
      <c r="I18" s="251">
        <f>IF(COUNTBLANK(E18:H18)=4,"",SUM(E18:G18)+IF(Setup!$I$15="No",0,H18))</f>
        <v>4</v>
      </c>
      <c r="J18" s="200"/>
      <c r="K18" s="201">
        <v>2</v>
      </c>
      <c r="L18" s="202">
        <v>5</v>
      </c>
      <c r="M18" s="203"/>
      <c r="N18" s="255">
        <f>IF(COUNTBLANK(J18:M18)=4,"",SUM(J18:L18)+IF(Setup!$I$15="No",0,M18))</f>
        <v>7</v>
      </c>
      <c r="O18" s="186"/>
      <c r="P18" s="187"/>
      <c r="Q18" s="188"/>
      <c r="R18" s="189"/>
      <c r="S18" s="251" t="str">
        <f>IF(COUNTBLANK(O18:R18)=4,"",SUM(O18:Q18)+IF(Setup!$I$15="No",0,R18))</f>
        <v/>
      </c>
      <c r="T18" s="200"/>
      <c r="U18" s="201"/>
      <c r="V18" s="202"/>
      <c r="W18" s="203"/>
      <c r="X18" s="255" t="str">
        <f>IF(COUNTBLANK(T18:W18)=4,"",SUM(T18:V18)+IF(Setup!$I$15="No",0,W18))</f>
        <v/>
      </c>
      <c r="Y18" s="186"/>
      <c r="Z18" s="187"/>
      <c r="AA18" s="188"/>
      <c r="AB18" s="189"/>
      <c r="AC18" s="251" t="str">
        <f>IF(COUNTBLANK(Y18:AB18)=4,"",SUM(Y18:AA18)+IF(Setup!$I$15="No",0,AB18))</f>
        <v/>
      </c>
      <c r="AD18" s="200"/>
      <c r="AE18" s="201"/>
      <c r="AF18" s="202"/>
      <c r="AG18" s="203"/>
      <c r="AH18" s="255" t="str">
        <f>IF(COUNTBLANK(AD18:AG18)=4,"",SUM(AD18:AF18)+IF(Setup!$I$15="No",0,AG18))</f>
        <v/>
      </c>
      <c r="AI18" s="186"/>
      <c r="AJ18" s="187"/>
      <c r="AK18" s="188"/>
      <c r="AL18" s="189"/>
      <c r="AM18" s="251" t="str">
        <f>IF(COUNTBLANK(AI18:AL18)=4,"",SUM(AI18:AK18)+IF(Setup!$I$15="No",0,AL18))</f>
        <v/>
      </c>
      <c r="AN18" s="200"/>
      <c r="AO18" s="201"/>
      <c r="AP18" s="202"/>
      <c r="AQ18" s="203"/>
      <c r="AR18" s="255" t="str">
        <f>IF(COUNTBLANK(AN18:AQ18)=4,"",SUM(AN18:AP18)+IF(Setup!$I$15="No",0,AQ18))</f>
        <v/>
      </c>
      <c r="AS18" s="186"/>
      <c r="AT18" s="187"/>
      <c r="AU18" s="188"/>
      <c r="AV18" s="189"/>
      <c r="AW18" s="251" t="str">
        <f>IF(COUNTBLANK(AS18:AV18)=4,"",SUM(AS18:AU18)+IF(Setup!$I$15="No",0,AV18))</f>
        <v/>
      </c>
      <c r="AX18" s="200"/>
      <c r="AY18" s="201"/>
      <c r="AZ18" s="202"/>
      <c r="BA18" s="203"/>
      <c r="BB18" s="255" t="str">
        <f>IF(COUNTBLANK(AX18:BA18)=4,"",SUM(AX18:AZ18)+IF(Setup!$I$15="No",0,BA18))</f>
        <v/>
      </c>
      <c r="BC18" s="259">
        <f ca="1">IF('Demand background (hide)'!A9=Num_Modalities,"",SUM(Demand!I18, Demand!N18))</f>
        <v>11</v>
      </c>
      <c r="BD18" s="259">
        <f ca="1">IF(AND(A18&lt;=MaxRows,BE18&lt;&gt;"Yes"),'Demand background (hide)'!X9+IF(Setup!$I$15="Yes",'Demand background (hide)'!AJ9,0),"")</f>
        <v>400</v>
      </c>
      <c r="BE18" s="209"/>
    </row>
    <row r="19" spans="1:57" ht="15" x14ac:dyDescent="0.25">
      <c r="A19">
        <f t="shared" ca="1" si="0"/>
        <v>7</v>
      </c>
      <c r="B19" s="262" t="str">
        <f t="shared" ca="1" si="1"/>
        <v xml:space="preserve"> </v>
      </c>
      <c r="C19" s="264">
        <f t="shared" ca="1" si="2"/>
        <v>19</v>
      </c>
      <c r="D19" s="422">
        <f t="shared" ca="1" si="3"/>
        <v>42503</v>
      </c>
      <c r="E19" s="186"/>
      <c r="F19" s="187">
        <v>1</v>
      </c>
      <c r="G19" s="188">
        <v>4</v>
      </c>
      <c r="H19" s="189"/>
      <c r="I19" s="251">
        <f>IF(COUNTBLANK(E19:H19)=4,"",SUM(E19:G19)+IF(Setup!$I$15="No",0,H19))</f>
        <v>5</v>
      </c>
      <c r="J19" s="200"/>
      <c r="K19" s="201">
        <v>2</v>
      </c>
      <c r="L19" s="202">
        <v>9</v>
      </c>
      <c r="M19" s="203"/>
      <c r="N19" s="255">
        <f>IF(COUNTBLANK(J19:M19)=4,"",SUM(J19:L19)+IF(Setup!$I$15="No",0,M19))</f>
        <v>11</v>
      </c>
      <c r="O19" s="186"/>
      <c r="P19" s="187"/>
      <c r="Q19" s="188"/>
      <c r="R19" s="189"/>
      <c r="S19" s="251" t="str">
        <f>IF(COUNTBLANK(O19:R19)=4,"",SUM(O19:Q19)+IF(Setup!$I$15="No",0,R19))</f>
        <v/>
      </c>
      <c r="T19" s="200"/>
      <c r="U19" s="201"/>
      <c r="V19" s="202"/>
      <c r="W19" s="203"/>
      <c r="X19" s="255" t="str">
        <f>IF(COUNTBLANK(T19:W19)=4,"",SUM(T19:V19)+IF(Setup!$I$15="No",0,W19))</f>
        <v/>
      </c>
      <c r="Y19" s="186"/>
      <c r="Z19" s="187"/>
      <c r="AA19" s="188"/>
      <c r="AB19" s="189"/>
      <c r="AC19" s="251" t="str">
        <f>IF(COUNTBLANK(Y19:AB19)=4,"",SUM(Y19:AA19)+IF(Setup!$I$15="No",0,AB19))</f>
        <v/>
      </c>
      <c r="AD19" s="200"/>
      <c r="AE19" s="201"/>
      <c r="AF19" s="202"/>
      <c r="AG19" s="203"/>
      <c r="AH19" s="255" t="str">
        <f>IF(COUNTBLANK(AD19:AG19)=4,"",SUM(AD19:AF19)+IF(Setup!$I$15="No",0,AG19))</f>
        <v/>
      </c>
      <c r="AI19" s="186"/>
      <c r="AJ19" s="187"/>
      <c r="AK19" s="188"/>
      <c r="AL19" s="189"/>
      <c r="AM19" s="251" t="str">
        <f>IF(COUNTBLANK(AI19:AL19)=4,"",SUM(AI19:AK19)+IF(Setup!$I$15="No",0,AL19))</f>
        <v/>
      </c>
      <c r="AN19" s="200"/>
      <c r="AO19" s="201"/>
      <c r="AP19" s="202"/>
      <c r="AQ19" s="203"/>
      <c r="AR19" s="255" t="str">
        <f>IF(COUNTBLANK(AN19:AQ19)=4,"",SUM(AN19:AP19)+IF(Setup!$I$15="No",0,AQ19))</f>
        <v/>
      </c>
      <c r="AS19" s="186"/>
      <c r="AT19" s="187"/>
      <c r="AU19" s="188"/>
      <c r="AV19" s="189"/>
      <c r="AW19" s="251" t="str">
        <f>IF(COUNTBLANK(AS19:AV19)=4,"",SUM(AS19:AU19)+IF(Setup!$I$15="No",0,AV19))</f>
        <v/>
      </c>
      <c r="AX19" s="200"/>
      <c r="AY19" s="201"/>
      <c r="AZ19" s="202"/>
      <c r="BA19" s="203"/>
      <c r="BB19" s="255" t="str">
        <f>IF(COUNTBLANK(AX19:BA19)=4,"",SUM(AX19:AZ19)+IF(Setup!$I$15="No",0,BA19))</f>
        <v/>
      </c>
      <c r="BC19" s="259">
        <f ca="1">IF('Demand background (hide)'!A10=Num_Modalities,"",SUM(Demand!I19, Demand!N19))</f>
        <v>16</v>
      </c>
      <c r="BD19" s="259">
        <f ca="1">IF(AND(A19&lt;=MaxRows,BE19&lt;&gt;"Yes"),'Demand background (hide)'!X10+IF(Setup!$I$15="Yes",'Demand background (hide)'!AJ10,0),"")</f>
        <v>590</v>
      </c>
      <c r="BE19" s="209"/>
    </row>
    <row r="20" spans="1:57" ht="15" x14ac:dyDescent="0.25">
      <c r="A20">
        <f t="shared" ca="1" si="0"/>
        <v>8</v>
      </c>
      <c r="B20" s="262" t="str">
        <f t="shared" ca="1" si="1"/>
        <v xml:space="preserve"> </v>
      </c>
      <c r="C20" s="264">
        <f t="shared" ca="1" si="2"/>
        <v>20</v>
      </c>
      <c r="D20" s="422">
        <f t="shared" ca="1" si="3"/>
        <v>42510</v>
      </c>
      <c r="E20" s="186"/>
      <c r="F20" s="187">
        <v>0</v>
      </c>
      <c r="G20" s="188">
        <v>3</v>
      </c>
      <c r="H20" s="189"/>
      <c r="I20" s="251">
        <f>IF(COUNTBLANK(E20:H20)=4,"",SUM(E20:G20)+IF(Setup!$I$15="No",0,H20))</f>
        <v>3</v>
      </c>
      <c r="J20" s="200"/>
      <c r="K20" s="201">
        <v>2</v>
      </c>
      <c r="L20" s="202">
        <v>7</v>
      </c>
      <c r="M20" s="203"/>
      <c r="N20" s="255">
        <f>IF(COUNTBLANK(J20:M20)=4,"",SUM(J20:L20)+IF(Setup!$I$15="No",0,M20))</f>
        <v>9</v>
      </c>
      <c r="O20" s="186"/>
      <c r="P20" s="187"/>
      <c r="Q20" s="188"/>
      <c r="R20" s="189"/>
      <c r="S20" s="251" t="str">
        <f>IF(COUNTBLANK(O20:R20)=4,"",SUM(O20:Q20)+IF(Setup!$I$15="No",0,R20))</f>
        <v/>
      </c>
      <c r="T20" s="200"/>
      <c r="U20" s="201"/>
      <c r="V20" s="202"/>
      <c r="W20" s="203"/>
      <c r="X20" s="255" t="str">
        <f>IF(COUNTBLANK(T20:W20)=4,"",SUM(T20:V20)+IF(Setup!$I$15="No",0,W20))</f>
        <v/>
      </c>
      <c r="Y20" s="186"/>
      <c r="Z20" s="187"/>
      <c r="AA20" s="188"/>
      <c r="AB20" s="189"/>
      <c r="AC20" s="251" t="str">
        <f>IF(COUNTBLANK(Y20:AB20)=4,"",SUM(Y20:AA20)+IF(Setup!$I$15="No",0,AB20))</f>
        <v/>
      </c>
      <c r="AD20" s="200"/>
      <c r="AE20" s="201"/>
      <c r="AF20" s="202"/>
      <c r="AG20" s="203"/>
      <c r="AH20" s="255" t="str">
        <f>IF(COUNTBLANK(AD20:AG20)=4,"",SUM(AD20:AF20)+IF(Setup!$I$15="No",0,AG20))</f>
        <v/>
      </c>
      <c r="AI20" s="186"/>
      <c r="AJ20" s="187"/>
      <c r="AK20" s="188"/>
      <c r="AL20" s="189"/>
      <c r="AM20" s="251" t="str">
        <f>IF(COUNTBLANK(AI20:AL20)=4,"",SUM(AI20:AK20)+IF(Setup!$I$15="No",0,AL20))</f>
        <v/>
      </c>
      <c r="AN20" s="200"/>
      <c r="AO20" s="201"/>
      <c r="AP20" s="202"/>
      <c r="AQ20" s="203"/>
      <c r="AR20" s="255" t="str">
        <f>IF(COUNTBLANK(AN20:AQ20)=4,"",SUM(AN20:AP20)+IF(Setup!$I$15="No",0,AQ20))</f>
        <v/>
      </c>
      <c r="AS20" s="186"/>
      <c r="AT20" s="187"/>
      <c r="AU20" s="188"/>
      <c r="AV20" s="189"/>
      <c r="AW20" s="251" t="str">
        <f>IF(COUNTBLANK(AS20:AV20)=4,"",SUM(AS20:AU20)+IF(Setup!$I$15="No",0,AV20))</f>
        <v/>
      </c>
      <c r="AX20" s="200"/>
      <c r="AY20" s="201"/>
      <c r="AZ20" s="202"/>
      <c r="BA20" s="203"/>
      <c r="BB20" s="255" t="str">
        <f>IF(COUNTBLANK(AX20:BA20)=4,"",SUM(AX20:AZ20)+IF(Setup!$I$15="No",0,BA20))</f>
        <v/>
      </c>
      <c r="BC20" s="259">
        <f ca="1">IF('Demand background (hide)'!A11=Num_Modalities,"",SUM(Demand!I20, Demand!N20))</f>
        <v>12</v>
      </c>
      <c r="BD20" s="259">
        <f ca="1">IF(AND(A20&lt;=MaxRows,BE20&lt;&gt;"Yes"),'Demand background (hide)'!X11+IF(Setup!$I$15="Yes",'Demand background (hide)'!AJ11,0),"")</f>
        <v>450</v>
      </c>
      <c r="BE20" s="209"/>
    </row>
    <row r="21" spans="1:57" ht="15" x14ac:dyDescent="0.25">
      <c r="A21">
        <f t="shared" ca="1" si="0"/>
        <v>9</v>
      </c>
      <c r="B21" s="262" t="str">
        <f t="shared" ca="1" si="1"/>
        <v xml:space="preserve"> </v>
      </c>
      <c r="C21" s="264">
        <f t="shared" ca="1" si="2"/>
        <v>21</v>
      </c>
      <c r="D21" s="422">
        <f t="shared" ca="1" si="3"/>
        <v>42517</v>
      </c>
      <c r="E21" s="186"/>
      <c r="F21" s="187">
        <v>2</v>
      </c>
      <c r="G21" s="188">
        <v>0</v>
      </c>
      <c r="H21" s="189"/>
      <c r="I21" s="251">
        <f>IF(COUNTBLANK(E21:H21)=4,"",SUM(E21:G21)+IF(Setup!$I$15="No",0,H21))</f>
        <v>2</v>
      </c>
      <c r="J21" s="200"/>
      <c r="K21" s="201">
        <v>0</v>
      </c>
      <c r="L21" s="202">
        <v>5</v>
      </c>
      <c r="M21" s="203"/>
      <c r="N21" s="255">
        <f>IF(COUNTBLANK(J21:M21)=4,"",SUM(J21:L21)+IF(Setup!$I$15="No",0,M21))</f>
        <v>5</v>
      </c>
      <c r="O21" s="186"/>
      <c r="P21" s="187"/>
      <c r="Q21" s="188"/>
      <c r="R21" s="189"/>
      <c r="S21" s="251" t="str">
        <f>IF(COUNTBLANK(O21:R21)=4,"",SUM(O21:Q21)+IF(Setup!$I$15="No",0,R21))</f>
        <v/>
      </c>
      <c r="T21" s="200"/>
      <c r="U21" s="201"/>
      <c r="V21" s="202"/>
      <c r="W21" s="203"/>
      <c r="X21" s="255" t="str">
        <f>IF(COUNTBLANK(T21:W21)=4,"",SUM(T21:V21)+IF(Setup!$I$15="No",0,W21))</f>
        <v/>
      </c>
      <c r="Y21" s="186"/>
      <c r="Z21" s="187"/>
      <c r="AA21" s="188"/>
      <c r="AB21" s="189"/>
      <c r="AC21" s="251" t="str">
        <f>IF(COUNTBLANK(Y21:AB21)=4,"",SUM(Y21:AA21)+IF(Setup!$I$15="No",0,AB21))</f>
        <v/>
      </c>
      <c r="AD21" s="200"/>
      <c r="AE21" s="201"/>
      <c r="AF21" s="202"/>
      <c r="AG21" s="203"/>
      <c r="AH21" s="255" t="str">
        <f>IF(COUNTBLANK(AD21:AG21)=4,"",SUM(AD21:AF21)+IF(Setup!$I$15="No",0,AG21))</f>
        <v/>
      </c>
      <c r="AI21" s="186"/>
      <c r="AJ21" s="187"/>
      <c r="AK21" s="188"/>
      <c r="AL21" s="189"/>
      <c r="AM21" s="251" t="str">
        <f>IF(COUNTBLANK(AI21:AL21)=4,"",SUM(AI21:AK21)+IF(Setup!$I$15="No",0,AL21))</f>
        <v/>
      </c>
      <c r="AN21" s="200"/>
      <c r="AO21" s="201"/>
      <c r="AP21" s="202"/>
      <c r="AQ21" s="203"/>
      <c r="AR21" s="255" t="str">
        <f>IF(COUNTBLANK(AN21:AQ21)=4,"",SUM(AN21:AP21)+IF(Setup!$I$15="No",0,AQ21))</f>
        <v/>
      </c>
      <c r="AS21" s="186"/>
      <c r="AT21" s="187"/>
      <c r="AU21" s="188"/>
      <c r="AV21" s="189"/>
      <c r="AW21" s="251" t="str">
        <f>IF(COUNTBLANK(AS21:AV21)=4,"",SUM(AS21:AU21)+IF(Setup!$I$15="No",0,AV21))</f>
        <v/>
      </c>
      <c r="AX21" s="200"/>
      <c r="AY21" s="201"/>
      <c r="AZ21" s="202"/>
      <c r="BA21" s="203"/>
      <c r="BB21" s="255" t="str">
        <f>IF(COUNTBLANK(AX21:BA21)=4,"",SUM(AX21:AZ21)+IF(Setup!$I$15="No",0,BA21))</f>
        <v/>
      </c>
      <c r="BC21" s="259">
        <f ca="1">IF('Demand background (hide)'!A12=Num_Modalities,"",SUM(Demand!I21, Demand!N21))</f>
        <v>7</v>
      </c>
      <c r="BD21" s="259">
        <f ca="1">IF(AND(A21&lt;=MaxRows,BE21&lt;&gt;"Yes"),'Demand background (hide)'!X12+IF(Setup!$I$15="Yes",'Demand background (hide)'!AJ12,0),"")</f>
        <v>260</v>
      </c>
      <c r="BE21" s="209"/>
    </row>
    <row r="22" spans="1:57" ht="15" x14ac:dyDescent="0.25">
      <c r="A22">
        <f t="shared" ca="1" si="0"/>
        <v>10</v>
      </c>
      <c r="B22" s="262" t="str">
        <f t="shared" ca="1" si="1"/>
        <v xml:space="preserve"> </v>
      </c>
      <c r="C22" s="264">
        <f t="shared" ca="1" si="2"/>
        <v>22</v>
      </c>
      <c r="D22" s="422">
        <f t="shared" ca="1" si="3"/>
        <v>42524</v>
      </c>
      <c r="E22" s="186"/>
      <c r="F22" s="187">
        <v>4</v>
      </c>
      <c r="G22" s="188">
        <v>4</v>
      </c>
      <c r="H22" s="189"/>
      <c r="I22" s="251">
        <f>IF(COUNTBLANK(E22:H22)=4,"",SUM(E22:G22)+IF(Setup!$I$15="No",0,H22))</f>
        <v>8</v>
      </c>
      <c r="J22" s="200"/>
      <c r="K22" s="201">
        <v>1</v>
      </c>
      <c r="L22" s="202">
        <v>8</v>
      </c>
      <c r="M22" s="203"/>
      <c r="N22" s="255">
        <f>IF(COUNTBLANK(J22:M22)=4,"",SUM(J22:L22)+IF(Setup!$I$15="No",0,M22))</f>
        <v>9</v>
      </c>
      <c r="O22" s="186"/>
      <c r="P22" s="187"/>
      <c r="Q22" s="188"/>
      <c r="R22" s="189"/>
      <c r="S22" s="251" t="str">
        <f>IF(COUNTBLANK(O22:R22)=4,"",SUM(O22:Q22)+IF(Setup!$I$15="No",0,R22))</f>
        <v/>
      </c>
      <c r="T22" s="200"/>
      <c r="U22" s="201"/>
      <c r="V22" s="202"/>
      <c r="W22" s="203"/>
      <c r="X22" s="255" t="str">
        <f>IF(COUNTBLANK(T22:W22)=4,"",SUM(T22:V22)+IF(Setup!$I$15="No",0,W22))</f>
        <v/>
      </c>
      <c r="Y22" s="186"/>
      <c r="Z22" s="187"/>
      <c r="AA22" s="188"/>
      <c r="AB22" s="189"/>
      <c r="AC22" s="251" t="str">
        <f>IF(COUNTBLANK(Y22:AB22)=4,"",SUM(Y22:AA22)+IF(Setup!$I$15="No",0,AB22))</f>
        <v/>
      </c>
      <c r="AD22" s="200"/>
      <c r="AE22" s="201"/>
      <c r="AF22" s="202"/>
      <c r="AG22" s="203"/>
      <c r="AH22" s="255" t="str">
        <f>IF(COUNTBLANK(AD22:AG22)=4,"",SUM(AD22:AF22)+IF(Setup!$I$15="No",0,AG22))</f>
        <v/>
      </c>
      <c r="AI22" s="186"/>
      <c r="AJ22" s="187"/>
      <c r="AK22" s="188"/>
      <c r="AL22" s="189"/>
      <c r="AM22" s="251" t="str">
        <f>IF(COUNTBLANK(AI22:AL22)=4,"",SUM(AI22:AK22)+IF(Setup!$I$15="No",0,AL22))</f>
        <v/>
      </c>
      <c r="AN22" s="200"/>
      <c r="AO22" s="201"/>
      <c r="AP22" s="202"/>
      <c r="AQ22" s="203"/>
      <c r="AR22" s="255" t="str">
        <f>IF(COUNTBLANK(AN22:AQ22)=4,"",SUM(AN22:AP22)+IF(Setup!$I$15="No",0,AQ22))</f>
        <v/>
      </c>
      <c r="AS22" s="186"/>
      <c r="AT22" s="187"/>
      <c r="AU22" s="188"/>
      <c r="AV22" s="189"/>
      <c r="AW22" s="251" t="str">
        <f>IF(COUNTBLANK(AS22:AV22)=4,"",SUM(AS22:AU22)+IF(Setup!$I$15="No",0,AV22))</f>
        <v/>
      </c>
      <c r="AX22" s="200"/>
      <c r="AY22" s="201"/>
      <c r="AZ22" s="202"/>
      <c r="BA22" s="203"/>
      <c r="BB22" s="255" t="str">
        <f>IF(COUNTBLANK(AX22:BA22)=4,"",SUM(AX22:AZ22)+IF(Setup!$I$15="No",0,BA22))</f>
        <v/>
      </c>
      <c r="BC22" s="259">
        <f ca="1">IF('Demand background (hide)'!A13=Num_Modalities,"",SUM(Demand!I22, Demand!N22))</f>
        <v>17</v>
      </c>
      <c r="BD22" s="259">
        <f ca="1">IF(AND(A22&lt;=MaxRows,BE22&lt;&gt;"Yes"),'Demand background (hide)'!X13+IF(Setup!$I$15="Yes",'Demand background (hide)'!AJ13,0),"")</f>
        <v>600</v>
      </c>
      <c r="BE22" s="209"/>
    </row>
    <row r="23" spans="1:57" ht="15" x14ac:dyDescent="0.25">
      <c r="A23">
        <f t="shared" ca="1" si="0"/>
        <v>11</v>
      </c>
      <c r="B23" s="262" t="str">
        <f t="shared" ca="1" si="1"/>
        <v xml:space="preserve"> </v>
      </c>
      <c r="C23" s="264">
        <f t="shared" ca="1" si="2"/>
        <v>23</v>
      </c>
      <c r="D23" s="422">
        <f t="shared" ca="1" si="3"/>
        <v>42531</v>
      </c>
      <c r="E23" s="186"/>
      <c r="F23" s="187">
        <v>2</v>
      </c>
      <c r="G23" s="188">
        <v>2</v>
      </c>
      <c r="H23" s="189"/>
      <c r="I23" s="251">
        <f>IF(COUNTBLANK(E23:H23)=4,"",SUM(E23:G23)+IF(Setup!$I$15="No",0,H23))</f>
        <v>4</v>
      </c>
      <c r="J23" s="200"/>
      <c r="K23" s="201">
        <v>0</v>
      </c>
      <c r="L23" s="202">
        <v>14</v>
      </c>
      <c r="M23" s="203"/>
      <c r="N23" s="255">
        <f>IF(COUNTBLANK(J23:M23)=4,"",SUM(J23:L23)+IF(Setup!$I$15="No",0,M23))</f>
        <v>14</v>
      </c>
      <c r="O23" s="186"/>
      <c r="P23" s="187"/>
      <c r="Q23" s="188"/>
      <c r="R23" s="189"/>
      <c r="S23" s="251" t="str">
        <f>IF(COUNTBLANK(O23:R23)=4,"",SUM(O23:Q23)+IF(Setup!$I$15="No",0,R23))</f>
        <v/>
      </c>
      <c r="T23" s="200"/>
      <c r="U23" s="201"/>
      <c r="V23" s="202"/>
      <c r="W23" s="203"/>
      <c r="X23" s="255" t="str">
        <f>IF(COUNTBLANK(T23:W23)=4,"",SUM(T23:V23)+IF(Setup!$I$15="No",0,W23))</f>
        <v/>
      </c>
      <c r="Y23" s="186"/>
      <c r="Z23" s="187"/>
      <c r="AA23" s="188"/>
      <c r="AB23" s="189"/>
      <c r="AC23" s="251" t="str">
        <f>IF(COUNTBLANK(Y23:AB23)=4,"",SUM(Y23:AA23)+IF(Setup!$I$15="No",0,AB23))</f>
        <v/>
      </c>
      <c r="AD23" s="200"/>
      <c r="AE23" s="201"/>
      <c r="AF23" s="202"/>
      <c r="AG23" s="203"/>
      <c r="AH23" s="255" t="str">
        <f>IF(COUNTBLANK(AD23:AG23)=4,"",SUM(AD23:AF23)+IF(Setup!$I$15="No",0,AG23))</f>
        <v/>
      </c>
      <c r="AI23" s="186"/>
      <c r="AJ23" s="187"/>
      <c r="AK23" s="188"/>
      <c r="AL23" s="189"/>
      <c r="AM23" s="251" t="str">
        <f>IF(COUNTBLANK(AI23:AL23)=4,"",SUM(AI23:AK23)+IF(Setup!$I$15="No",0,AL23))</f>
        <v/>
      </c>
      <c r="AN23" s="200"/>
      <c r="AO23" s="201"/>
      <c r="AP23" s="202"/>
      <c r="AQ23" s="203"/>
      <c r="AR23" s="255" t="str">
        <f>IF(COUNTBLANK(AN23:AQ23)=4,"",SUM(AN23:AP23)+IF(Setup!$I$15="No",0,AQ23))</f>
        <v/>
      </c>
      <c r="AS23" s="186"/>
      <c r="AT23" s="187"/>
      <c r="AU23" s="188"/>
      <c r="AV23" s="189"/>
      <c r="AW23" s="251" t="str">
        <f>IF(COUNTBLANK(AS23:AV23)=4,"",SUM(AS23:AU23)+IF(Setup!$I$15="No",0,AV23))</f>
        <v/>
      </c>
      <c r="AX23" s="200"/>
      <c r="AY23" s="201"/>
      <c r="AZ23" s="202"/>
      <c r="BA23" s="203"/>
      <c r="BB23" s="255" t="str">
        <f>IF(COUNTBLANK(AX23:BA23)=4,"",SUM(AX23:AZ23)+IF(Setup!$I$15="No",0,BA23))</f>
        <v/>
      </c>
      <c r="BC23" s="259">
        <f ca="1">IF('Demand background (hide)'!A14=Num_Modalities,"",SUM(Demand!I23, Demand!N23))</f>
        <v>18</v>
      </c>
      <c r="BD23" s="259">
        <f ca="1">IF(AND(A23&lt;=MaxRows,BE23&lt;&gt;"Yes"),'Demand background (hide)'!X14+IF(Setup!$I$15="Yes",'Demand background (hide)'!AJ14,0),"")</f>
        <v>680</v>
      </c>
      <c r="BE23" s="209"/>
    </row>
    <row r="24" spans="1:57" ht="15" x14ac:dyDescent="0.25">
      <c r="A24">
        <f t="shared" ca="1" si="0"/>
        <v>12</v>
      </c>
      <c r="B24" s="262" t="str">
        <f t="shared" ca="1" si="1"/>
        <v xml:space="preserve"> </v>
      </c>
      <c r="C24" s="264">
        <f t="shared" ca="1" si="2"/>
        <v>24</v>
      </c>
      <c r="D24" s="422">
        <f t="shared" ca="1" si="3"/>
        <v>42538</v>
      </c>
      <c r="E24" s="186"/>
      <c r="F24" s="187">
        <v>2</v>
      </c>
      <c r="G24" s="188">
        <v>3</v>
      </c>
      <c r="H24" s="189"/>
      <c r="I24" s="251">
        <f>IF(COUNTBLANK(E24:H24)=4,"",SUM(E24:G24)+IF(Setup!$I$15="No",0,H24))</f>
        <v>5</v>
      </c>
      <c r="J24" s="200"/>
      <c r="K24" s="201">
        <v>2</v>
      </c>
      <c r="L24" s="202">
        <v>3</v>
      </c>
      <c r="M24" s="203"/>
      <c r="N24" s="255">
        <f>IF(COUNTBLANK(J24:M24)=4,"",SUM(J24:L24)+IF(Setup!$I$15="No",0,M24))</f>
        <v>5</v>
      </c>
      <c r="O24" s="186"/>
      <c r="P24" s="187"/>
      <c r="Q24" s="188"/>
      <c r="R24" s="189"/>
      <c r="S24" s="251" t="str">
        <f>IF(COUNTBLANK(O24:R24)=4,"",SUM(O24:Q24)+IF(Setup!$I$15="No",0,R24))</f>
        <v/>
      </c>
      <c r="T24" s="200"/>
      <c r="U24" s="201"/>
      <c r="V24" s="202"/>
      <c r="W24" s="203"/>
      <c r="X24" s="255" t="str">
        <f>IF(COUNTBLANK(T24:W24)=4,"",SUM(T24:V24)+IF(Setup!$I$15="No",0,W24))</f>
        <v/>
      </c>
      <c r="Y24" s="186"/>
      <c r="Z24" s="187"/>
      <c r="AA24" s="188"/>
      <c r="AB24" s="189"/>
      <c r="AC24" s="251" t="str">
        <f>IF(COUNTBLANK(Y24:AB24)=4,"",SUM(Y24:AA24)+IF(Setup!$I$15="No",0,AB24))</f>
        <v/>
      </c>
      <c r="AD24" s="200"/>
      <c r="AE24" s="201"/>
      <c r="AF24" s="202"/>
      <c r="AG24" s="203"/>
      <c r="AH24" s="255" t="str">
        <f>IF(COUNTBLANK(AD24:AG24)=4,"",SUM(AD24:AF24)+IF(Setup!$I$15="No",0,AG24))</f>
        <v/>
      </c>
      <c r="AI24" s="186"/>
      <c r="AJ24" s="187"/>
      <c r="AK24" s="188"/>
      <c r="AL24" s="189"/>
      <c r="AM24" s="251" t="str">
        <f>IF(COUNTBLANK(AI24:AL24)=4,"",SUM(AI24:AK24)+IF(Setup!$I$15="No",0,AL24))</f>
        <v/>
      </c>
      <c r="AN24" s="200"/>
      <c r="AO24" s="201"/>
      <c r="AP24" s="202"/>
      <c r="AQ24" s="203"/>
      <c r="AR24" s="255" t="str">
        <f>IF(COUNTBLANK(AN24:AQ24)=4,"",SUM(AN24:AP24)+IF(Setup!$I$15="No",0,AQ24))</f>
        <v/>
      </c>
      <c r="AS24" s="186"/>
      <c r="AT24" s="187"/>
      <c r="AU24" s="188"/>
      <c r="AV24" s="189"/>
      <c r="AW24" s="251" t="str">
        <f>IF(COUNTBLANK(AS24:AV24)=4,"",SUM(AS24:AU24)+IF(Setup!$I$15="No",0,AV24))</f>
        <v/>
      </c>
      <c r="AX24" s="200"/>
      <c r="AY24" s="201"/>
      <c r="AZ24" s="202"/>
      <c r="BA24" s="203"/>
      <c r="BB24" s="255" t="str">
        <f>IF(COUNTBLANK(AX24:BA24)=4,"",SUM(AX24:AZ24)+IF(Setup!$I$15="No",0,BA24))</f>
        <v/>
      </c>
      <c r="BC24" s="259">
        <f ca="1">IF('Demand background (hide)'!A15=Num_Modalities,"",SUM(Demand!I24, Demand!N24))</f>
        <v>10</v>
      </c>
      <c r="BD24" s="259">
        <f ca="1">IF(AND(A24&lt;=MaxRows,BE24&lt;&gt;"Yes"),'Demand background (hide)'!X15+IF(Setup!$I$15="Yes",'Demand background (hide)'!AJ15,0),"")</f>
        <v>350</v>
      </c>
      <c r="BE24" s="209"/>
    </row>
    <row r="25" spans="1:57" ht="15" x14ac:dyDescent="0.25">
      <c r="A25">
        <f t="shared" ca="1" si="0"/>
        <v>13</v>
      </c>
      <c r="B25" s="262" t="str">
        <f t="shared" ca="1" si="1"/>
        <v xml:space="preserve"> </v>
      </c>
      <c r="C25" s="264">
        <f t="shared" ca="1" si="2"/>
        <v>25</v>
      </c>
      <c r="D25" s="422">
        <f t="shared" ca="1" si="3"/>
        <v>42545</v>
      </c>
      <c r="E25" s="186"/>
      <c r="F25" s="187">
        <v>2</v>
      </c>
      <c r="G25" s="188">
        <v>2</v>
      </c>
      <c r="H25" s="189"/>
      <c r="I25" s="251">
        <f>IF(COUNTBLANK(E25:H25)=4,"",SUM(E25:G25)+IF(Setup!$I$15="No",0,H25))</f>
        <v>4</v>
      </c>
      <c r="J25" s="200"/>
      <c r="K25" s="201">
        <v>0</v>
      </c>
      <c r="L25" s="202">
        <v>7</v>
      </c>
      <c r="M25" s="203"/>
      <c r="N25" s="255">
        <f>IF(COUNTBLANK(J25:M25)=4,"",SUM(J25:L25)+IF(Setup!$I$15="No",0,M25))</f>
        <v>7</v>
      </c>
      <c r="O25" s="186"/>
      <c r="P25" s="187"/>
      <c r="Q25" s="188"/>
      <c r="R25" s="189"/>
      <c r="S25" s="251" t="str">
        <f>IF(COUNTBLANK(O25:R25)=4,"",SUM(O25:Q25)+IF(Setup!$I$15="No",0,R25))</f>
        <v/>
      </c>
      <c r="T25" s="200"/>
      <c r="U25" s="201"/>
      <c r="V25" s="202"/>
      <c r="W25" s="203"/>
      <c r="X25" s="255" t="str">
        <f>IF(COUNTBLANK(T25:W25)=4,"",SUM(T25:V25)+IF(Setup!$I$15="No",0,W25))</f>
        <v/>
      </c>
      <c r="Y25" s="186"/>
      <c r="Z25" s="187"/>
      <c r="AA25" s="188"/>
      <c r="AB25" s="189"/>
      <c r="AC25" s="251" t="str">
        <f>IF(COUNTBLANK(Y25:AB25)=4,"",SUM(Y25:AA25)+IF(Setup!$I$15="No",0,AB25))</f>
        <v/>
      </c>
      <c r="AD25" s="200"/>
      <c r="AE25" s="201"/>
      <c r="AF25" s="202"/>
      <c r="AG25" s="203"/>
      <c r="AH25" s="255" t="str">
        <f>IF(COUNTBLANK(AD25:AG25)=4,"",SUM(AD25:AF25)+IF(Setup!$I$15="No",0,AG25))</f>
        <v/>
      </c>
      <c r="AI25" s="186"/>
      <c r="AJ25" s="187"/>
      <c r="AK25" s="188"/>
      <c r="AL25" s="189"/>
      <c r="AM25" s="251" t="str">
        <f>IF(COUNTBLANK(AI25:AL25)=4,"",SUM(AI25:AK25)+IF(Setup!$I$15="No",0,AL25))</f>
        <v/>
      </c>
      <c r="AN25" s="200"/>
      <c r="AO25" s="201"/>
      <c r="AP25" s="202"/>
      <c r="AQ25" s="203"/>
      <c r="AR25" s="255" t="str">
        <f>IF(COUNTBLANK(AN25:AQ25)=4,"",SUM(AN25:AP25)+IF(Setup!$I$15="No",0,AQ25))</f>
        <v/>
      </c>
      <c r="AS25" s="186"/>
      <c r="AT25" s="187"/>
      <c r="AU25" s="188"/>
      <c r="AV25" s="189"/>
      <c r="AW25" s="251" t="str">
        <f>IF(COUNTBLANK(AS25:AV25)=4,"",SUM(AS25:AU25)+IF(Setup!$I$15="No",0,AV25))</f>
        <v/>
      </c>
      <c r="AX25" s="200"/>
      <c r="AY25" s="201"/>
      <c r="AZ25" s="202"/>
      <c r="BA25" s="203"/>
      <c r="BB25" s="255" t="str">
        <f>IF(COUNTBLANK(AX25:BA25)=4,"",SUM(AX25:AZ25)+IF(Setup!$I$15="No",0,BA25))</f>
        <v/>
      </c>
      <c r="BC25" s="259">
        <f ca="1">IF('Demand background (hide)'!A16=Num_Modalities,"",SUM(Demand!I25, Demand!N25))</f>
        <v>11</v>
      </c>
      <c r="BD25" s="259">
        <f ca="1">IF(AND(A25&lt;=MaxRows,BE25&lt;&gt;"Yes"),'Demand background (hide)'!X16+IF(Setup!$I$15="Yes",'Demand background (hide)'!AJ16,0),"")</f>
        <v>400</v>
      </c>
      <c r="BE25" s="209"/>
    </row>
    <row r="26" spans="1:57" ht="15" x14ac:dyDescent="0.25">
      <c r="A26">
        <f t="shared" ca="1" si="0"/>
        <v>14</v>
      </c>
      <c r="B26" s="262" t="str">
        <f t="shared" ca="1" si="1"/>
        <v xml:space="preserve"> </v>
      </c>
      <c r="C26" s="264">
        <f t="shared" ca="1" si="2"/>
        <v>26</v>
      </c>
      <c r="D26" s="422">
        <f t="shared" ca="1" si="3"/>
        <v>42552</v>
      </c>
      <c r="E26" s="186"/>
      <c r="F26" s="187">
        <v>1</v>
      </c>
      <c r="G26" s="188">
        <v>4</v>
      </c>
      <c r="H26" s="189"/>
      <c r="I26" s="251">
        <f>IF(COUNTBLANK(E26:H26)=4,"",SUM(E26:G26)+IF(Setup!$I$15="No",0,H26))</f>
        <v>5</v>
      </c>
      <c r="J26" s="200"/>
      <c r="K26" s="201">
        <v>3</v>
      </c>
      <c r="L26" s="202">
        <v>10</v>
      </c>
      <c r="M26" s="203"/>
      <c r="N26" s="255">
        <f>IF(COUNTBLANK(J26:M26)=4,"",SUM(J26:L26)+IF(Setup!$I$15="No",0,M26))</f>
        <v>13</v>
      </c>
      <c r="O26" s="186"/>
      <c r="P26" s="187"/>
      <c r="Q26" s="188"/>
      <c r="R26" s="189"/>
      <c r="S26" s="251" t="str">
        <f>IF(COUNTBLANK(O26:R26)=4,"",SUM(O26:Q26)+IF(Setup!$I$15="No",0,R26))</f>
        <v/>
      </c>
      <c r="T26" s="200"/>
      <c r="U26" s="201"/>
      <c r="V26" s="202"/>
      <c r="W26" s="203"/>
      <c r="X26" s="255" t="str">
        <f>IF(COUNTBLANK(T26:W26)=4,"",SUM(T26:V26)+IF(Setup!$I$15="No",0,W26))</f>
        <v/>
      </c>
      <c r="Y26" s="186"/>
      <c r="Z26" s="187"/>
      <c r="AA26" s="188"/>
      <c r="AB26" s="189"/>
      <c r="AC26" s="251" t="str">
        <f>IF(COUNTBLANK(Y26:AB26)=4,"",SUM(Y26:AA26)+IF(Setup!$I$15="No",0,AB26))</f>
        <v/>
      </c>
      <c r="AD26" s="200"/>
      <c r="AE26" s="201"/>
      <c r="AF26" s="202"/>
      <c r="AG26" s="203"/>
      <c r="AH26" s="255" t="str">
        <f>IF(COUNTBLANK(AD26:AG26)=4,"",SUM(AD26:AF26)+IF(Setup!$I$15="No",0,AG26))</f>
        <v/>
      </c>
      <c r="AI26" s="186"/>
      <c r="AJ26" s="187"/>
      <c r="AK26" s="188"/>
      <c r="AL26" s="189"/>
      <c r="AM26" s="251" t="str">
        <f>IF(COUNTBLANK(AI26:AL26)=4,"",SUM(AI26:AK26)+IF(Setup!$I$15="No",0,AL26))</f>
        <v/>
      </c>
      <c r="AN26" s="200"/>
      <c r="AO26" s="201"/>
      <c r="AP26" s="202"/>
      <c r="AQ26" s="203"/>
      <c r="AR26" s="255" t="str">
        <f>IF(COUNTBLANK(AN26:AQ26)=4,"",SUM(AN26:AP26)+IF(Setup!$I$15="No",0,AQ26))</f>
        <v/>
      </c>
      <c r="AS26" s="186"/>
      <c r="AT26" s="187"/>
      <c r="AU26" s="188"/>
      <c r="AV26" s="189"/>
      <c r="AW26" s="251" t="str">
        <f>IF(COUNTBLANK(AS26:AV26)=4,"",SUM(AS26:AU26)+IF(Setup!$I$15="No",0,AV26))</f>
        <v/>
      </c>
      <c r="AX26" s="200"/>
      <c r="AY26" s="201"/>
      <c r="AZ26" s="202"/>
      <c r="BA26" s="203"/>
      <c r="BB26" s="255" t="str">
        <f>IF(COUNTBLANK(AX26:BA26)=4,"",SUM(AX26:AZ26)+IF(Setup!$I$15="No",0,BA26))</f>
        <v/>
      </c>
      <c r="BC26" s="259">
        <f ca="1">IF('Demand background (hide)'!A17=Num_Modalities,"",SUM(Demand!I26, Demand!N26))</f>
        <v>18</v>
      </c>
      <c r="BD26" s="259">
        <f ca="1">IF(AND(A26&lt;=MaxRows,BE26&lt;&gt;"Yes"),'Demand background (hide)'!X17+IF(Setup!$I$15="Yes",'Demand background (hide)'!AJ17,0),"")</f>
        <v>670</v>
      </c>
      <c r="BE26" s="209"/>
    </row>
    <row r="27" spans="1:57" ht="15" x14ac:dyDescent="0.25">
      <c r="A27">
        <f t="shared" ca="1" si="0"/>
        <v>15</v>
      </c>
      <c r="B27" s="262" t="str">
        <f t="shared" ca="1" si="1"/>
        <v xml:space="preserve"> </v>
      </c>
      <c r="C27" s="264">
        <f t="shared" ca="1" si="2"/>
        <v>27</v>
      </c>
      <c r="D27" s="422">
        <f t="shared" ca="1" si="3"/>
        <v>42559</v>
      </c>
      <c r="E27" s="186"/>
      <c r="F27" s="187">
        <v>2</v>
      </c>
      <c r="G27" s="188">
        <v>1</v>
      </c>
      <c r="H27" s="189"/>
      <c r="I27" s="251">
        <f>IF(COUNTBLANK(E27:H27)=4,"",SUM(E27:G27)+IF(Setup!$I$15="No",0,H27))</f>
        <v>3</v>
      </c>
      <c r="J27" s="200"/>
      <c r="K27" s="201">
        <v>2</v>
      </c>
      <c r="L27" s="202">
        <v>9</v>
      </c>
      <c r="M27" s="203"/>
      <c r="N27" s="255">
        <f>IF(COUNTBLANK(J27:M27)=4,"",SUM(J27:L27)+IF(Setup!$I$15="No",0,M27))</f>
        <v>11</v>
      </c>
      <c r="O27" s="186"/>
      <c r="P27" s="187"/>
      <c r="Q27" s="188"/>
      <c r="R27" s="189"/>
      <c r="S27" s="251" t="str">
        <f>IF(COUNTBLANK(O27:R27)=4,"",SUM(O27:Q27)+IF(Setup!$I$15="No",0,R27))</f>
        <v/>
      </c>
      <c r="T27" s="200"/>
      <c r="U27" s="201"/>
      <c r="V27" s="202"/>
      <c r="W27" s="203"/>
      <c r="X27" s="255" t="str">
        <f>IF(COUNTBLANK(T27:W27)=4,"",SUM(T27:V27)+IF(Setup!$I$15="No",0,W27))</f>
        <v/>
      </c>
      <c r="Y27" s="186"/>
      <c r="Z27" s="187"/>
      <c r="AA27" s="188"/>
      <c r="AB27" s="189"/>
      <c r="AC27" s="251" t="str">
        <f>IF(COUNTBLANK(Y27:AB27)=4,"",SUM(Y27:AA27)+IF(Setup!$I$15="No",0,AB27))</f>
        <v/>
      </c>
      <c r="AD27" s="200"/>
      <c r="AE27" s="201"/>
      <c r="AF27" s="202"/>
      <c r="AG27" s="203"/>
      <c r="AH27" s="255" t="str">
        <f>IF(COUNTBLANK(AD27:AG27)=4,"",SUM(AD27:AF27)+IF(Setup!$I$15="No",0,AG27))</f>
        <v/>
      </c>
      <c r="AI27" s="186"/>
      <c r="AJ27" s="187"/>
      <c r="AK27" s="188"/>
      <c r="AL27" s="189"/>
      <c r="AM27" s="251" t="str">
        <f>IF(COUNTBLANK(AI27:AL27)=4,"",SUM(AI27:AK27)+IF(Setup!$I$15="No",0,AL27))</f>
        <v/>
      </c>
      <c r="AN27" s="200"/>
      <c r="AO27" s="201"/>
      <c r="AP27" s="202"/>
      <c r="AQ27" s="203"/>
      <c r="AR27" s="255" t="str">
        <f>IF(COUNTBLANK(AN27:AQ27)=4,"",SUM(AN27:AP27)+IF(Setup!$I$15="No",0,AQ27))</f>
        <v/>
      </c>
      <c r="AS27" s="186"/>
      <c r="AT27" s="187"/>
      <c r="AU27" s="188"/>
      <c r="AV27" s="189"/>
      <c r="AW27" s="251" t="str">
        <f>IF(COUNTBLANK(AS27:AV27)=4,"",SUM(AS27:AU27)+IF(Setup!$I$15="No",0,AV27))</f>
        <v/>
      </c>
      <c r="AX27" s="200"/>
      <c r="AY27" s="201"/>
      <c r="AZ27" s="202"/>
      <c r="BA27" s="203"/>
      <c r="BB27" s="255" t="str">
        <f>IF(COUNTBLANK(AX27:BA27)=4,"",SUM(AX27:AZ27)+IF(Setup!$I$15="No",0,BA27))</f>
        <v/>
      </c>
      <c r="BC27" s="259">
        <f ca="1">IF('Demand background (hide)'!A18=Num_Modalities,"",SUM(Demand!I27, Demand!N27))</f>
        <v>14</v>
      </c>
      <c r="BD27" s="259">
        <f ca="1">IF(AND(A27&lt;=MaxRows,BE27&lt;&gt;"Yes"),'Demand background (hide)'!X18+IF(Setup!$I$15="Yes",'Demand background (hide)'!AJ18,0),"")</f>
        <v>530</v>
      </c>
      <c r="BE27" s="209"/>
    </row>
    <row r="28" spans="1:57" ht="15" x14ac:dyDescent="0.25">
      <c r="A28">
        <f t="shared" ca="1" si="0"/>
        <v>16</v>
      </c>
      <c r="B28" s="262" t="str">
        <f t="shared" ca="1" si="1"/>
        <v xml:space="preserve"> </v>
      </c>
      <c r="C28" s="264">
        <f t="shared" ca="1" si="2"/>
        <v>28</v>
      </c>
      <c r="D28" s="422">
        <f t="shared" ca="1" si="3"/>
        <v>42566</v>
      </c>
      <c r="E28" s="186"/>
      <c r="F28" s="187">
        <v>2</v>
      </c>
      <c r="G28" s="188">
        <v>3</v>
      </c>
      <c r="H28" s="189"/>
      <c r="I28" s="251">
        <f>IF(COUNTBLANK(E28:H28)=4,"",SUM(E28:G28)+IF(Setup!$I$15="No",0,H28))</f>
        <v>5</v>
      </c>
      <c r="J28" s="200"/>
      <c r="K28" s="201">
        <v>2</v>
      </c>
      <c r="L28" s="202">
        <v>7</v>
      </c>
      <c r="M28" s="203"/>
      <c r="N28" s="255">
        <f>IF(COUNTBLANK(J28:M28)=4,"",SUM(J28:L28)+IF(Setup!$I$15="No",0,M28))</f>
        <v>9</v>
      </c>
      <c r="O28" s="186"/>
      <c r="P28" s="187"/>
      <c r="Q28" s="188"/>
      <c r="R28" s="189"/>
      <c r="S28" s="251" t="str">
        <f>IF(COUNTBLANK(O28:R28)=4,"",SUM(O28:Q28)+IF(Setup!$I$15="No",0,R28))</f>
        <v/>
      </c>
      <c r="T28" s="200"/>
      <c r="U28" s="201"/>
      <c r="V28" s="202"/>
      <c r="W28" s="203"/>
      <c r="X28" s="255" t="str">
        <f>IF(COUNTBLANK(T28:W28)=4,"",SUM(T28:V28)+IF(Setup!$I$15="No",0,W28))</f>
        <v/>
      </c>
      <c r="Y28" s="186"/>
      <c r="Z28" s="187"/>
      <c r="AA28" s="188"/>
      <c r="AB28" s="189"/>
      <c r="AC28" s="251" t="str">
        <f>IF(COUNTBLANK(Y28:AB28)=4,"",SUM(Y28:AA28)+IF(Setup!$I$15="No",0,AB28))</f>
        <v/>
      </c>
      <c r="AD28" s="200"/>
      <c r="AE28" s="201"/>
      <c r="AF28" s="202"/>
      <c r="AG28" s="203"/>
      <c r="AH28" s="255" t="str">
        <f>IF(COUNTBLANK(AD28:AG28)=4,"",SUM(AD28:AF28)+IF(Setup!$I$15="No",0,AG28))</f>
        <v/>
      </c>
      <c r="AI28" s="186"/>
      <c r="AJ28" s="187"/>
      <c r="AK28" s="188"/>
      <c r="AL28" s="189"/>
      <c r="AM28" s="251" t="str">
        <f>IF(COUNTBLANK(AI28:AL28)=4,"",SUM(AI28:AK28)+IF(Setup!$I$15="No",0,AL28))</f>
        <v/>
      </c>
      <c r="AN28" s="200"/>
      <c r="AO28" s="201"/>
      <c r="AP28" s="202"/>
      <c r="AQ28" s="203"/>
      <c r="AR28" s="255" t="str">
        <f>IF(COUNTBLANK(AN28:AQ28)=4,"",SUM(AN28:AP28)+IF(Setup!$I$15="No",0,AQ28))</f>
        <v/>
      </c>
      <c r="AS28" s="186"/>
      <c r="AT28" s="187"/>
      <c r="AU28" s="188"/>
      <c r="AV28" s="189"/>
      <c r="AW28" s="251" t="str">
        <f>IF(COUNTBLANK(AS28:AV28)=4,"",SUM(AS28:AU28)+IF(Setup!$I$15="No",0,AV28))</f>
        <v/>
      </c>
      <c r="AX28" s="200"/>
      <c r="AY28" s="201"/>
      <c r="AZ28" s="202"/>
      <c r="BA28" s="203"/>
      <c r="BB28" s="255" t="str">
        <f>IF(COUNTBLANK(AX28:BA28)=4,"",SUM(AX28:AZ28)+IF(Setup!$I$15="No",0,BA28))</f>
        <v/>
      </c>
      <c r="BC28" s="259">
        <f ca="1">IF('Demand background (hide)'!A19=Num_Modalities,"",SUM(Demand!I28, Demand!N28))</f>
        <v>14</v>
      </c>
      <c r="BD28" s="259">
        <f ca="1">IF(AND(A28&lt;=MaxRows,BE28&lt;&gt;"Yes"),'Demand background (hide)'!X19+IF(Setup!$I$15="Yes",'Demand background (hide)'!AJ19,0),"")</f>
        <v>510</v>
      </c>
      <c r="BE28" s="209"/>
    </row>
    <row r="29" spans="1:57" ht="15" x14ac:dyDescent="0.25">
      <c r="A29">
        <f t="shared" ca="1" si="0"/>
        <v>17</v>
      </c>
      <c r="B29" s="262" t="str">
        <f t="shared" ca="1" si="1"/>
        <v xml:space="preserve"> </v>
      </c>
      <c r="C29" s="264">
        <f t="shared" ca="1" si="2"/>
        <v>29</v>
      </c>
      <c r="D29" s="422">
        <f t="shared" ca="1" si="3"/>
        <v>42573</v>
      </c>
      <c r="E29" s="186"/>
      <c r="F29" s="187">
        <v>2</v>
      </c>
      <c r="G29" s="188">
        <v>6</v>
      </c>
      <c r="H29" s="189"/>
      <c r="I29" s="251">
        <f>IF(COUNTBLANK(E29:H29)=4,"",SUM(E29:G29)+IF(Setup!$I$15="No",0,H29))</f>
        <v>8</v>
      </c>
      <c r="J29" s="200"/>
      <c r="K29" s="201">
        <v>2</v>
      </c>
      <c r="L29" s="202">
        <v>7</v>
      </c>
      <c r="M29" s="203"/>
      <c r="N29" s="255">
        <f>IF(COUNTBLANK(J29:M29)=4,"",SUM(J29:L29)+IF(Setup!$I$15="No",0,M29))</f>
        <v>9</v>
      </c>
      <c r="O29" s="186"/>
      <c r="P29" s="187"/>
      <c r="Q29" s="188"/>
      <c r="R29" s="189"/>
      <c r="S29" s="251" t="str">
        <f>IF(COUNTBLANK(O29:R29)=4,"",SUM(O29:Q29)+IF(Setup!$I$15="No",0,R29))</f>
        <v/>
      </c>
      <c r="T29" s="200"/>
      <c r="U29" s="201"/>
      <c r="V29" s="202"/>
      <c r="W29" s="203"/>
      <c r="X29" s="255" t="str">
        <f>IF(COUNTBLANK(T29:W29)=4,"",SUM(T29:V29)+IF(Setup!$I$15="No",0,W29))</f>
        <v/>
      </c>
      <c r="Y29" s="186"/>
      <c r="Z29" s="187"/>
      <c r="AA29" s="188"/>
      <c r="AB29" s="189"/>
      <c r="AC29" s="251" t="str">
        <f>IF(COUNTBLANK(Y29:AB29)=4,"",SUM(Y29:AA29)+IF(Setup!$I$15="No",0,AB29))</f>
        <v/>
      </c>
      <c r="AD29" s="200"/>
      <c r="AE29" s="201"/>
      <c r="AF29" s="202"/>
      <c r="AG29" s="203"/>
      <c r="AH29" s="255" t="str">
        <f>IF(COUNTBLANK(AD29:AG29)=4,"",SUM(AD29:AF29)+IF(Setup!$I$15="No",0,AG29))</f>
        <v/>
      </c>
      <c r="AI29" s="186"/>
      <c r="AJ29" s="187"/>
      <c r="AK29" s="188"/>
      <c r="AL29" s="189"/>
      <c r="AM29" s="251" t="str">
        <f>IF(COUNTBLANK(AI29:AL29)=4,"",SUM(AI29:AK29)+IF(Setup!$I$15="No",0,AL29))</f>
        <v/>
      </c>
      <c r="AN29" s="200"/>
      <c r="AO29" s="201"/>
      <c r="AP29" s="202"/>
      <c r="AQ29" s="203"/>
      <c r="AR29" s="255" t="str">
        <f>IF(COUNTBLANK(AN29:AQ29)=4,"",SUM(AN29:AP29)+IF(Setup!$I$15="No",0,AQ29))</f>
        <v/>
      </c>
      <c r="AS29" s="186"/>
      <c r="AT29" s="187"/>
      <c r="AU29" s="188"/>
      <c r="AV29" s="189"/>
      <c r="AW29" s="251" t="str">
        <f>IF(COUNTBLANK(AS29:AV29)=4,"",SUM(AS29:AU29)+IF(Setup!$I$15="No",0,AV29))</f>
        <v/>
      </c>
      <c r="AX29" s="200"/>
      <c r="AY29" s="201"/>
      <c r="AZ29" s="202"/>
      <c r="BA29" s="203"/>
      <c r="BB29" s="255" t="str">
        <f>IF(COUNTBLANK(AX29:BA29)=4,"",SUM(AX29:AZ29)+IF(Setup!$I$15="No",0,BA29))</f>
        <v/>
      </c>
      <c r="BC29" s="259">
        <f ca="1">IF('Demand background (hide)'!A20=Num_Modalities,"",SUM(Demand!I29, Demand!N29))</f>
        <v>17</v>
      </c>
      <c r="BD29" s="259">
        <f ca="1">IF(AND(A29&lt;=MaxRows,BE29&lt;&gt;"Yes"),'Demand background (hide)'!X20+IF(Setup!$I$15="Yes",'Demand background (hide)'!AJ20,0),"")</f>
        <v>600</v>
      </c>
      <c r="BE29" s="209"/>
    </row>
    <row r="30" spans="1:57" ht="15" x14ac:dyDescent="0.25">
      <c r="A30">
        <f t="shared" ca="1" si="0"/>
        <v>18</v>
      </c>
      <c r="B30" s="262" t="str">
        <f t="shared" ca="1" si="1"/>
        <v xml:space="preserve"> </v>
      </c>
      <c r="C30" s="264">
        <f t="shared" ca="1" si="2"/>
        <v>30</v>
      </c>
      <c r="D30" s="422">
        <f t="shared" ca="1" si="3"/>
        <v>42580</v>
      </c>
      <c r="E30" s="186"/>
      <c r="F30" s="187">
        <v>2</v>
      </c>
      <c r="G30" s="188">
        <v>2</v>
      </c>
      <c r="H30" s="189"/>
      <c r="I30" s="251">
        <f>IF(COUNTBLANK(E30:H30)=4,"",SUM(E30:G30)+IF(Setup!$I$15="No",0,H30))</f>
        <v>4</v>
      </c>
      <c r="J30" s="200"/>
      <c r="K30" s="201">
        <v>1</v>
      </c>
      <c r="L30" s="202">
        <v>9</v>
      </c>
      <c r="M30" s="203"/>
      <c r="N30" s="255">
        <f>IF(COUNTBLANK(J30:M30)=4,"",SUM(J30:L30)+IF(Setup!$I$15="No",0,M30))</f>
        <v>10</v>
      </c>
      <c r="O30" s="186"/>
      <c r="P30" s="187"/>
      <c r="Q30" s="188"/>
      <c r="R30" s="189"/>
      <c r="S30" s="251" t="str">
        <f>IF(COUNTBLANK(O30:R30)=4,"",SUM(O30:Q30)+IF(Setup!$I$15="No",0,R30))</f>
        <v/>
      </c>
      <c r="T30" s="200"/>
      <c r="U30" s="201"/>
      <c r="V30" s="202"/>
      <c r="W30" s="203"/>
      <c r="X30" s="255" t="str">
        <f>IF(COUNTBLANK(T30:W30)=4,"",SUM(T30:V30)+IF(Setup!$I$15="No",0,W30))</f>
        <v/>
      </c>
      <c r="Y30" s="186"/>
      <c r="Z30" s="187"/>
      <c r="AA30" s="188"/>
      <c r="AB30" s="189"/>
      <c r="AC30" s="251" t="str">
        <f>IF(COUNTBLANK(Y30:AB30)=4,"",SUM(Y30:AA30)+IF(Setup!$I$15="No",0,AB30))</f>
        <v/>
      </c>
      <c r="AD30" s="200"/>
      <c r="AE30" s="201"/>
      <c r="AF30" s="202"/>
      <c r="AG30" s="203"/>
      <c r="AH30" s="255" t="str">
        <f>IF(COUNTBLANK(AD30:AG30)=4,"",SUM(AD30:AF30)+IF(Setup!$I$15="No",0,AG30))</f>
        <v/>
      </c>
      <c r="AI30" s="186"/>
      <c r="AJ30" s="187"/>
      <c r="AK30" s="188"/>
      <c r="AL30" s="189"/>
      <c r="AM30" s="251" t="str">
        <f>IF(COUNTBLANK(AI30:AL30)=4,"",SUM(AI30:AK30)+IF(Setup!$I$15="No",0,AL30))</f>
        <v/>
      </c>
      <c r="AN30" s="200"/>
      <c r="AO30" s="201"/>
      <c r="AP30" s="202"/>
      <c r="AQ30" s="203"/>
      <c r="AR30" s="255" t="str">
        <f>IF(COUNTBLANK(AN30:AQ30)=4,"",SUM(AN30:AP30)+IF(Setup!$I$15="No",0,AQ30))</f>
        <v/>
      </c>
      <c r="AS30" s="186"/>
      <c r="AT30" s="187"/>
      <c r="AU30" s="188"/>
      <c r="AV30" s="189"/>
      <c r="AW30" s="251" t="str">
        <f>IF(COUNTBLANK(AS30:AV30)=4,"",SUM(AS30:AU30)+IF(Setup!$I$15="No",0,AV30))</f>
        <v/>
      </c>
      <c r="AX30" s="200"/>
      <c r="AY30" s="201"/>
      <c r="AZ30" s="202"/>
      <c r="BA30" s="203"/>
      <c r="BB30" s="255" t="str">
        <f>IF(COUNTBLANK(AX30:BA30)=4,"",SUM(AX30:AZ30)+IF(Setup!$I$15="No",0,BA30))</f>
        <v/>
      </c>
      <c r="BC30" s="259">
        <f ca="1">IF('Demand background (hide)'!A21=Num_Modalities,"",SUM(Demand!I30, Demand!N30))</f>
        <v>14</v>
      </c>
      <c r="BD30" s="259">
        <f ca="1">IF(AND(A30&lt;=MaxRows,BE30&lt;&gt;"Yes"),'Demand background (hide)'!X21+IF(Setup!$I$15="Yes",'Demand background (hide)'!AJ21,0),"")</f>
        <v>520</v>
      </c>
      <c r="BE30" s="209"/>
    </row>
    <row r="31" spans="1:57" ht="15" x14ac:dyDescent="0.25">
      <c r="A31">
        <f t="shared" ca="1" si="0"/>
        <v>19</v>
      </c>
      <c r="B31" s="262" t="str">
        <f t="shared" ca="1" si="1"/>
        <v xml:space="preserve"> </v>
      </c>
      <c r="C31" s="264">
        <f t="shared" ca="1" si="2"/>
        <v>31</v>
      </c>
      <c r="D31" s="422">
        <f t="shared" ca="1" si="3"/>
        <v>42587</v>
      </c>
      <c r="E31" s="186"/>
      <c r="F31" s="187">
        <v>1</v>
      </c>
      <c r="G31" s="188">
        <v>7</v>
      </c>
      <c r="H31" s="189"/>
      <c r="I31" s="251">
        <f>IF(COUNTBLANK(E31:H31)=4,"",SUM(E31:G31)+IF(Setup!$I$15="No",0,H31))</f>
        <v>8</v>
      </c>
      <c r="J31" s="200"/>
      <c r="K31" s="201">
        <v>1</v>
      </c>
      <c r="L31" s="202">
        <v>8</v>
      </c>
      <c r="M31" s="203"/>
      <c r="N31" s="255">
        <f>IF(COUNTBLANK(J31:M31)=4,"",SUM(J31:L31)+IF(Setup!$I$15="No",0,M31))</f>
        <v>9</v>
      </c>
      <c r="O31" s="186"/>
      <c r="P31" s="187"/>
      <c r="Q31" s="188"/>
      <c r="R31" s="189"/>
      <c r="S31" s="251" t="str">
        <f>IF(COUNTBLANK(O31:R31)=4,"",SUM(O31:Q31)+IF(Setup!$I$15="No",0,R31))</f>
        <v/>
      </c>
      <c r="T31" s="200"/>
      <c r="U31" s="201"/>
      <c r="V31" s="202"/>
      <c r="W31" s="203"/>
      <c r="X31" s="255" t="str">
        <f>IF(COUNTBLANK(T31:W31)=4,"",SUM(T31:V31)+IF(Setup!$I$15="No",0,W31))</f>
        <v/>
      </c>
      <c r="Y31" s="186"/>
      <c r="Z31" s="187"/>
      <c r="AA31" s="188"/>
      <c r="AB31" s="189"/>
      <c r="AC31" s="251" t="str">
        <f>IF(COUNTBLANK(Y31:AB31)=4,"",SUM(Y31:AA31)+IF(Setup!$I$15="No",0,AB31))</f>
        <v/>
      </c>
      <c r="AD31" s="200"/>
      <c r="AE31" s="201"/>
      <c r="AF31" s="202"/>
      <c r="AG31" s="203"/>
      <c r="AH31" s="255" t="str">
        <f>IF(COUNTBLANK(AD31:AG31)=4,"",SUM(AD31:AF31)+IF(Setup!$I$15="No",0,AG31))</f>
        <v/>
      </c>
      <c r="AI31" s="186"/>
      <c r="AJ31" s="187"/>
      <c r="AK31" s="188"/>
      <c r="AL31" s="189"/>
      <c r="AM31" s="251" t="str">
        <f>IF(COUNTBLANK(AI31:AL31)=4,"",SUM(AI31:AK31)+IF(Setup!$I$15="No",0,AL31))</f>
        <v/>
      </c>
      <c r="AN31" s="200"/>
      <c r="AO31" s="201"/>
      <c r="AP31" s="202"/>
      <c r="AQ31" s="203"/>
      <c r="AR31" s="255" t="str">
        <f>IF(COUNTBLANK(AN31:AQ31)=4,"",SUM(AN31:AP31)+IF(Setup!$I$15="No",0,AQ31))</f>
        <v/>
      </c>
      <c r="AS31" s="186"/>
      <c r="AT31" s="187"/>
      <c r="AU31" s="188"/>
      <c r="AV31" s="189"/>
      <c r="AW31" s="251" t="str">
        <f>IF(COUNTBLANK(AS31:AV31)=4,"",SUM(AS31:AU31)+IF(Setup!$I$15="No",0,AV31))</f>
        <v/>
      </c>
      <c r="AX31" s="200"/>
      <c r="AY31" s="201"/>
      <c r="AZ31" s="202"/>
      <c r="BA31" s="203"/>
      <c r="BB31" s="255" t="str">
        <f>IF(COUNTBLANK(AX31:BA31)=4,"",SUM(AX31:AZ31)+IF(Setup!$I$15="No",0,BA31))</f>
        <v/>
      </c>
      <c r="BC31" s="259">
        <f ca="1">IF('Demand background (hide)'!A22=Num_Modalities,"",SUM(Demand!I31, Demand!N31))</f>
        <v>17</v>
      </c>
      <c r="BD31" s="259">
        <f ca="1">IF(AND(A31&lt;=MaxRows,BE31&lt;&gt;"Yes"),'Demand background (hide)'!X22+IF(Setup!$I$15="Yes",'Demand background (hide)'!AJ22,0),"")</f>
        <v>600</v>
      </c>
      <c r="BE31" s="209"/>
    </row>
    <row r="32" spans="1:57" ht="15" x14ac:dyDescent="0.25">
      <c r="A32">
        <f t="shared" ca="1" si="0"/>
        <v>20</v>
      </c>
      <c r="B32" s="262" t="str">
        <f t="shared" ca="1" si="1"/>
        <v xml:space="preserve"> </v>
      </c>
      <c r="C32" s="264">
        <f t="shared" ca="1" si="2"/>
        <v>32</v>
      </c>
      <c r="D32" s="422">
        <f t="shared" ca="1" si="3"/>
        <v>42594</v>
      </c>
      <c r="E32" s="186"/>
      <c r="F32" s="187">
        <v>1</v>
      </c>
      <c r="G32" s="188">
        <v>4</v>
      </c>
      <c r="H32" s="189"/>
      <c r="I32" s="251">
        <f>IF(COUNTBLANK(E32:H32)=4,"",SUM(E32:G32)+IF(Setup!$I$15="No",0,H32))</f>
        <v>5</v>
      </c>
      <c r="J32" s="200"/>
      <c r="K32" s="201">
        <v>3</v>
      </c>
      <c r="L32" s="202">
        <v>11</v>
      </c>
      <c r="M32" s="203"/>
      <c r="N32" s="255">
        <f>IF(COUNTBLANK(J32:M32)=4,"",SUM(J32:L32)+IF(Setup!$I$15="No",0,M32))</f>
        <v>14</v>
      </c>
      <c r="O32" s="186"/>
      <c r="P32" s="187"/>
      <c r="Q32" s="188"/>
      <c r="R32" s="189"/>
      <c r="S32" s="251" t="str">
        <f>IF(COUNTBLANK(O32:R32)=4,"",SUM(O32:Q32)+IF(Setup!$I$15="No",0,R32))</f>
        <v/>
      </c>
      <c r="T32" s="200"/>
      <c r="U32" s="201"/>
      <c r="V32" s="202"/>
      <c r="W32" s="203"/>
      <c r="X32" s="255" t="str">
        <f>IF(COUNTBLANK(T32:W32)=4,"",SUM(T32:V32)+IF(Setup!$I$15="No",0,W32))</f>
        <v/>
      </c>
      <c r="Y32" s="186"/>
      <c r="Z32" s="187"/>
      <c r="AA32" s="188"/>
      <c r="AB32" s="189"/>
      <c r="AC32" s="251" t="str">
        <f>IF(COUNTBLANK(Y32:AB32)=4,"",SUM(Y32:AA32)+IF(Setup!$I$15="No",0,AB32))</f>
        <v/>
      </c>
      <c r="AD32" s="200"/>
      <c r="AE32" s="201"/>
      <c r="AF32" s="202"/>
      <c r="AG32" s="203"/>
      <c r="AH32" s="255" t="str">
        <f>IF(COUNTBLANK(AD32:AG32)=4,"",SUM(AD32:AF32)+IF(Setup!$I$15="No",0,AG32))</f>
        <v/>
      </c>
      <c r="AI32" s="186"/>
      <c r="AJ32" s="187"/>
      <c r="AK32" s="188"/>
      <c r="AL32" s="189"/>
      <c r="AM32" s="251" t="str">
        <f>IF(COUNTBLANK(AI32:AL32)=4,"",SUM(AI32:AK32)+IF(Setup!$I$15="No",0,AL32))</f>
        <v/>
      </c>
      <c r="AN32" s="200"/>
      <c r="AO32" s="201"/>
      <c r="AP32" s="202"/>
      <c r="AQ32" s="203"/>
      <c r="AR32" s="255" t="str">
        <f>IF(COUNTBLANK(AN32:AQ32)=4,"",SUM(AN32:AP32)+IF(Setup!$I$15="No",0,AQ32))</f>
        <v/>
      </c>
      <c r="AS32" s="186"/>
      <c r="AT32" s="187"/>
      <c r="AU32" s="188"/>
      <c r="AV32" s="189"/>
      <c r="AW32" s="251" t="str">
        <f>IF(COUNTBLANK(AS32:AV32)=4,"",SUM(AS32:AU32)+IF(Setup!$I$15="No",0,AV32))</f>
        <v/>
      </c>
      <c r="AX32" s="200"/>
      <c r="AY32" s="201"/>
      <c r="AZ32" s="202"/>
      <c r="BA32" s="203"/>
      <c r="BB32" s="255" t="str">
        <f>IF(COUNTBLANK(AX32:BA32)=4,"",SUM(AX32:AZ32)+IF(Setup!$I$15="No",0,BA32))</f>
        <v/>
      </c>
      <c r="BC32" s="259">
        <f ca="1">IF('Demand background (hide)'!A23=Num_Modalities,"",SUM(Demand!I32, Demand!N32))</f>
        <v>19</v>
      </c>
      <c r="BD32" s="259">
        <f ca="1">IF(AND(A32&lt;=MaxRows,BE32&lt;&gt;"Yes"),'Demand background (hide)'!X23+IF(Setup!$I$15="Yes",'Demand background (hide)'!AJ23,0),"")</f>
        <v>710</v>
      </c>
      <c r="BE32" s="209"/>
    </row>
    <row r="33" spans="1:57" ht="15" x14ac:dyDescent="0.25">
      <c r="A33">
        <f t="shared" ca="1" si="0"/>
        <v>21</v>
      </c>
      <c r="B33" s="262" t="str">
        <f t="shared" ca="1" si="1"/>
        <v xml:space="preserve"> </v>
      </c>
      <c r="C33" s="264">
        <f t="shared" ca="1" si="2"/>
        <v>33</v>
      </c>
      <c r="D33" s="422">
        <f t="shared" ca="1" si="3"/>
        <v>42601</v>
      </c>
      <c r="E33" s="186"/>
      <c r="F33" s="187">
        <v>3</v>
      </c>
      <c r="G33" s="188">
        <v>6</v>
      </c>
      <c r="H33" s="189"/>
      <c r="I33" s="251">
        <f>IF(COUNTBLANK(E33:H33)=4,"",SUM(E33:G33)+IF(Setup!$I$15="No",0,H33))</f>
        <v>9</v>
      </c>
      <c r="J33" s="200"/>
      <c r="K33" s="201">
        <v>3</v>
      </c>
      <c r="L33" s="202">
        <v>7</v>
      </c>
      <c r="M33" s="203"/>
      <c r="N33" s="255">
        <f>IF(COUNTBLANK(J33:M33)=4,"",SUM(J33:L33)+IF(Setup!$I$15="No",0,M33))</f>
        <v>10</v>
      </c>
      <c r="O33" s="186"/>
      <c r="P33" s="187"/>
      <c r="Q33" s="188"/>
      <c r="R33" s="189"/>
      <c r="S33" s="251" t="str">
        <f>IF(COUNTBLANK(O33:R33)=4,"",SUM(O33:Q33)+IF(Setup!$I$15="No",0,R33))</f>
        <v/>
      </c>
      <c r="T33" s="200"/>
      <c r="U33" s="201"/>
      <c r="V33" s="202"/>
      <c r="W33" s="203"/>
      <c r="X33" s="255" t="str">
        <f>IF(COUNTBLANK(T33:W33)=4,"",SUM(T33:V33)+IF(Setup!$I$15="No",0,W33))</f>
        <v/>
      </c>
      <c r="Y33" s="186"/>
      <c r="Z33" s="187"/>
      <c r="AA33" s="188"/>
      <c r="AB33" s="189"/>
      <c r="AC33" s="251" t="str">
        <f>IF(COUNTBLANK(Y33:AB33)=4,"",SUM(Y33:AA33)+IF(Setup!$I$15="No",0,AB33))</f>
        <v/>
      </c>
      <c r="AD33" s="200"/>
      <c r="AE33" s="201"/>
      <c r="AF33" s="202"/>
      <c r="AG33" s="203"/>
      <c r="AH33" s="255" t="str">
        <f>IF(COUNTBLANK(AD33:AG33)=4,"",SUM(AD33:AF33)+IF(Setup!$I$15="No",0,AG33))</f>
        <v/>
      </c>
      <c r="AI33" s="186"/>
      <c r="AJ33" s="187"/>
      <c r="AK33" s="188"/>
      <c r="AL33" s="189"/>
      <c r="AM33" s="251" t="str">
        <f>IF(COUNTBLANK(AI33:AL33)=4,"",SUM(AI33:AK33)+IF(Setup!$I$15="No",0,AL33))</f>
        <v/>
      </c>
      <c r="AN33" s="200"/>
      <c r="AO33" s="201"/>
      <c r="AP33" s="202"/>
      <c r="AQ33" s="203"/>
      <c r="AR33" s="255" t="str">
        <f>IF(COUNTBLANK(AN33:AQ33)=4,"",SUM(AN33:AP33)+IF(Setup!$I$15="No",0,AQ33))</f>
        <v/>
      </c>
      <c r="AS33" s="186"/>
      <c r="AT33" s="187"/>
      <c r="AU33" s="188"/>
      <c r="AV33" s="189"/>
      <c r="AW33" s="251" t="str">
        <f>IF(COUNTBLANK(AS33:AV33)=4,"",SUM(AS33:AU33)+IF(Setup!$I$15="No",0,AV33))</f>
        <v/>
      </c>
      <c r="AX33" s="200"/>
      <c r="AY33" s="201"/>
      <c r="AZ33" s="202"/>
      <c r="BA33" s="203"/>
      <c r="BB33" s="255" t="str">
        <f>IF(COUNTBLANK(AX33:BA33)=4,"",SUM(AX33:AZ33)+IF(Setup!$I$15="No",0,BA33))</f>
        <v/>
      </c>
      <c r="BC33" s="259">
        <f ca="1">IF('Demand background (hide)'!A24=Num_Modalities,"",SUM(Demand!I33, Demand!N33))</f>
        <v>19</v>
      </c>
      <c r="BD33" s="259">
        <f ca="1">IF(AND(A33&lt;=MaxRows,BE33&lt;&gt;"Yes"),'Demand background (hide)'!X24+IF(Setup!$I$15="Yes",'Demand background (hide)'!AJ24,0),"")</f>
        <v>670</v>
      </c>
      <c r="BE33" s="209"/>
    </row>
    <row r="34" spans="1:57" ht="15" x14ac:dyDescent="0.25">
      <c r="A34">
        <f t="shared" ca="1" si="0"/>
        <v>22</v>
      </c>
      <c r="B34" s="262" t="str">
        <f t="shared" ca="1" si="1"/>
        <v xml:space="preserve"> </v>
      </c>
      <c r="C34" s="264">
        <f t="shared" ca="1" si="2"/>
        <v>34</v>
      </c>
      <c r="D34" s="422">
        <f t="shared" ca="1" si="3"/>
        <v>42608</v>
      </c>
      <c r="E34" s="186"/>
      <c r="F34" s="187">
        <v>2</v>
      </c>
      <c r="G34" s="188">
        <v>10</v>
      </c>
      <c r="H34" s="189"/>
      <c r="I34" s="251">
        <f>IF(COUNTBLANK(E34:H34)=4,"",SUM(E34:G34)+IF(Setup!$I$15="No",0,H34))</f>
        <v>12</v>
      </c>
      <c r="J34" s="200"/>
      <c r="K34" s="201">
        <v>1</v>
      </c>
      <c r="L34" s="202">
        <v>5</v>
      </c>
      <c r="M34" s="203"/>
      <c r="N34" s="255">
        <f>IF(COUNTBLANK(J34:M34)=4,"",SUM(J34:L34)+IF(Setup!$I$15="No",0,M34))</f>
        <v>6</v>
      </c>
      <c r="O34" s="186"/>
      <c r="P34" s="187"/>
      <c r="Q34" s="188"/>
      <c r="R34" s="189"/>
      <c r="S34" s="251" t="str">
        <f>IF(COUNTBLANK(O34:R34)=4,"",SUM(O34:Q34)+IF(Setup!$I$15="No",0,R34))</f>
        <v/>
      </c>
      <c r="T34" s="200"/>
      <c r="U34" s="201"/>
      <c r="V34" s="202"/>
      <c r="W34" s="203"/>
      <c r="X34" s="255" t="str">
        <f>IF(COUNTBLANK(T34:W34)=4,"",SUM(T34:V34)+IF(Setup!$I$15="No",0,W34))</f>
        <v/>
      </c>
      <c r="Y34" s="186"/>
      <c r="Z34" s="187"/>
      <c r="AA34" s="188"/>
      <c r="AB34" s="189"/>
      <c r="AC34" s="251" t="str">
        <f>IF(COUNTBLANK(Y34:AB34)=4,"",SUM(Y34:AA34)+IF(Setup!$I$15="No",0,AB34))</f>
        <v/>
      </c>
      <c r="AD34" s="200"/>
      <c r="AE34" s="201"/>
      <c r="AF34" s="202"/>
      <c r="AG34" s="203"/>
      <c r="AH34" s="255" t="str">
        <f>IF(COUNTBLANK(AD34:AG34)=4,"",SUM(AD34:AF34)+IF(Setup!$I$15="No",0,AG34))</f>
        <v/>
      </c>
      <c r="AI34" s="186"/>
      <c r="AJ34" s="187"/>
      <c r="AK34" s="188"/>
      <c r="AL34" s="189"/>
      <c r="AM34" s="251" t="str">
        <f>IF(COUNTBLANK(AI34:AL34)=4,"",SUM(AI34:AK34)+IF(Setup!$I$15="No",0,AL34))</f>
        <v/>
      </c>
      <c r="AN34" s="200"/>
      <c r="AO34" s="201"/>
      <c r="AP34" s="202"/>
      <c r="AQ34" s="203"/>
      <c r="AR34" s="255" t="str">
        <f>IF(COUNTBLANK(AN34:AQ34)=4,"",SUM(AN34:AP34)+IF(Setup!$I$15="No",0,AQ34))</f>
        <v/>
      </c>
      <c r="AS34" s="186"/>
      <c r="AT34" s="187"/>
      <c r="AU34" s="188"/>
      <c r="AV34" s="189"/>
      <c r="AW34" s="251" t="str">
        <f>IF(COUNTBLANK(AS34:AV34)=4,"",SUM(AS34:AU34)+IF(Setup!$I$15="No",0,AV34))</f>
        <v/>
      </c>
      <c r="AX34" s="200"/>
      <c r="AY34" s="201"/>
      <c r="AZ34" s="202"/>
      <c r="BA34" s="203"/>
      <c r="BB34" s="255" t="str">
        <f>IF(COUNTBLANK(AX34:BA34)=4,"",SUM(AX34:AZ34)+IF(Setup!$I$15="No",0,BA34))</f>
        <v/>
      </c>
      <c r="BC34" s="259">
        <f ca="1">IF('Demand background (hide)'!A25=Num_Modalities,"",SUM(Demand!I34, Demand!N34))</f>
        <v>18</v>
      </c>
      <c r="BD34" s="259">
        <f ca="1">IF(AND(A34&lt;=MaxRows,BE34&lt;&gt;"Yes"),'Demand background (hide)'!X25+IF(Setup!$I$15="Yes",'Demand background (hide)'!AJ25,0),"")</f>
        <v>600</v>
      </c>
      <c r="BE34" s="209"/>
    </row>
    <row r="35" spans="1:57" ht="15" x14ac:dyDescent="0.25">
      <c r="A35">
        <f t="shared" ca="1" si="0"/>
        <v>23</v>
      </c>
      <c r="B35" s="262" t="str">
        <f t="shared" ca="1" si="1"/>
        <v xml:space="preserve"> </v>
      </c>
      <c r="C35" s="264">
        <f t="shared" ca="1" si="2"/>
        <v>35</v>
      </c>
      <c r="D35" s="422">
        <f t="shared" ca="1" si="3"/>
        <v>42615</v>
      </c>
      <c r="E35" s="186"/>
      <c r="F35" s="187">
        <v>1</v>
      </c>
      <c r="G35" s="188">
        <v>5</v>
      </c>
      <c r="H35" s="189"/>
      <c r="I35" s="251">
        <f>IF(COUNTBLANK(E35:H35)=4,"",SUM(E35:G35)+IF(Setup!$I$15="No",0,H35))</f>
        <v>6</v>
      </c>
      <c r="J35" s="200"/>
      <c r="K35" s="201">
        <v>0</v>
      </c>
      <c r="L35" s="202">
        <v>12</v>
      </c>
      <c r="M35" s="203"/>
      <c r="N35" s="255">
        <f>IF(COUNTBLANK(J35:M35)=4,"",SUM(J35:L35)+IF(Setup!$I$15="No",0,M35))</f>
        <v>12</v>
      </c>
      <c r="O35" s="186"/>
      <c r="P35" s="187"/>
      <c r="Q35" s="188"/>
      <c r="R35" s="189"/>
      <c r="S35" s="251" t="str">
        <f>IF(COUNTBLANK(O35:R35)=4,"",SUM(O35:Q35)+IF(Setup!$I$15="No",0,R35))</f>
        <v/>
      </c>
      <c r="T35" s="200"/>
      <c r="U35" s="201"/>
      <c r="V35" s="202"/>
      <c r="W35" s="203"/>
      <c r="X35" s="255" t="str">
        <f>IF(COUNTBLANK(T35:W35)=4,"",SUM(T35:V35)+IF(Setup!$I$15="No",0,W35))</f>
        <v/>
      </c>
      <c r="Y35" s="186"/>
      <c r="Z35" s="187"/>
      <c r="AA35" s="188"/>
      <c r="AB35" s="189"/>
      <c r="AC35" s="251" t="str">
        <f>IF(COUNTBLANK(Y35:AB35)=4,"",SUM(Y35:AA35)+IF(Setup!$I$15="No",0,AB35))</f>
        <v/>
      </c>
      <c r="AD35" s="200"/>
      <c r="AE35" s="201"/>
      <c r="AF35" s="202"/>
      <c r="AG35" s="203"/>
      <c r="AH35" s="255" t="str">
        <f>IF(COUNTBLANK(AD35:AG35)=4,"",SUM(AD35:AF35)+IF(Setup!$I$15="No",0,AG35))</f>
        <v/>
      </c>
      <c r="AI35" s="186"/>
      <c r="AJ35" s="187"/>
      <c r="AK35" s="188"/>
      <c r="AL35" s="189"/>
      <c r="AM35" s="251" t="str">
        <f>IF(COUNTBLANK(AI35:AL35)=4,"",SUM(AI35:AK35)+IF(Setup!$I$15="No",0,AL35))</f>
        <v/>
      </c>
      <c r="AN35" s="200"/>
      <c r="AO35" s="201"/>
      <c r="AP35" s="202"/>
      <c r="AQ35" s="203"/>
      <c r="AR35" s="255" t="str">
        <f>IF(COUNTBLANK(AN35:AQ35)=4,"",SUM(AN35:AP35)+IF(Setup!$I$15="No",0,AQ35))</f>
        <v/>
      </c>
      <c r="AS35" s="186"/>
      <c r="AT35" s="187"/>
      <c r="AU35" s="188"/>
      <c r="AV35" s="189"/>
      <c r="AW35" s="251" t="str">
        <f>IF(COUNTBLANK(AS35:AV35)=4,"",SUM(AS35:AU35)+IF(Setup!$I$15="No",0,AV35))</f>
        <v/>
      </c>
      <c r="AX35" s="200"/>
      <c r="AY35" s="201"/>
      <c r="AZ35" s="202"/>
      <c r="BA35" s="203"/>
      <c r="BB35" s="255" t="str">
        <f>IF(COUNTBLANK(AX35:BA35)=4,"",SUM(AX35:AZ35)+IF(Setup!$I$15="No",0,BA35))</f>
        <v/>
      </c>
      <c r="BC35" s="259">
        <f ca="1">IF('Demand background (hide)'!A26=Num_Modalities,"",SUM(Demand!I35, Demand!N35))</f>
        <v>18</v>
      </c>
      <c r="BD35" s="259">
        <f ca="1">IF(AND(A35&lt;=MaxRows,BE35&lt;&gt;"Yes"),'Demand background (hide)'!X26+IF(Setup!$I$15="Yes",'Demand background (hide)'!AJ26,0),"")</f>
        <v>660</v>
      </c>
      <c r="BE35" s="209"/>
    </row>
    <row r="36" spans="1:57" ht="15" x14ac:dyDescent="0.25">
      <c r="A36">
        <f t="shared" ca="1" si="0"/>
        <v>24</v>
      </c>
      <c r="B36" s="262" t="str">
        <f t="shared" ca="1" si="1"/>
        <v xml:space="preserve"> </v>
      </c>
      <c r="C36" s="264">
        <f t="shared" ca="1" si="2"/>
        <v>36</v>
      </c>
      <c r="D36" s="422">
        <f t="shared" ca="1" si="3"/>
        <v>42622</v>
      </c>
      <c r="E36" s="186"/>
      <c r="F36" s="187">
        <v>1</v>
      </c>
      <c r="G36" s="188">
        <v>1</v>
      </c>
      <c r="H36" s="189"/>
      <c r="I36" s="251">
        <f>IF(COUNTBLANK(E36:H36)=4,"",SUM(E36:G36)+IF(Setup!$I$15="No",0,H36))</f>
        <v>2</v>
      </c>
      <c r="J36" s="200"/>
      <c r="K36" s="201">
        <v>1</v>
      </c>
      <c r="L36" s="202">
        <v>8</v>
      </c>
      <c r="M36" s="203"/>
      <c r="N36" s="255">
        <f>IF(COUNTBLANK(J36:M36)=4,"",SUM(J36:L36)+IF(Setup!$I$15="No",0,M36))</f>
        <v>9</v>
      </c>
      <c r="O36" s="186"/>
      <c r="P36" s="187"/>
      <c r="Q36" s="188"/>
      <c r="R36" s="189"/>
      <c r="S36" s="251" t="str">
        <f>IF(COUNTBLANK(O36:R36)=4,"",SUM(O36:Q36)+IF(Setup!$I$15="No",0,R36))</f>
        <v/>
      </c>
      <c r="T36" s="200"/>
      <c r="U36" s="201"/>
      <c r="V36" s="202"/>
      <c r="W36" s="203"/>
      <c r="X36" s="255" t="str">
        <f>IF(COUNTBLANK(T36:W36)=4,"",SUM(T36:V36)+IF(Setup!$I$15="No",0,W36))</f>
        <v/>
      </c>
      <c r="Y36" s="186"/>
      <c r="Z36" s="187"/>
      <c r="AA36" s="188"/>
      <c r="AB36" s="189"/>
      <c r="AC36" s="251" t="str">
        <f>IF(COUNTBLANK(Y36:AB36)=4,"",SUM(Y36:AA36)+IF(Setup!$I$15="No",0,AB36))</f>
        <v/>
      </c>
      <c r="AD36" s="200"/>
      <c r="AE36" s="201"/>
      <c r="AF36" s="202"/>
      <c r="AG36" s="203"/>
      <c r="AH36" s="255" t="str">
        <f>IF(COUNTBLANK(AD36:AG36)=4,"",SUM(AD36:AF36)+IF(Setup!$I$15="No",0,AG36))</f>
        <v/>
      </c>
      <c r="AI36" s="186"/>
      <c r="AJ36" s="187"/>
      <c r="AK36" s="188"/>
      <c r="AL36" s="189"/>
      <c r="AM36" s="251" t="str">
        <f>IF(COUNTBLANK(AI36:AL36)=4,"",SUM(AI36:AK36)+IF(Setup!$I$15="No",0,AL36))</f>
        <v/>
      </c>
      <c r="AN36" s="200"/>
      <c r="AO36" s="201"/>
      <c r="AP36" s="202"/>
      <c r="AQ36" s="203"/>
      <c r="AR36" s="255" t="str">
        <f>IF(COUNTBLANK(AN36:AQ36)=4,"",SUM(AN36:AP36)+IF(Setup!$I$15="No",0,AQ36))</f>
        <v/>
      </c>
      <c r="AS36" s="186"/>
      <c r="AT36" s="187"/>
      <c r="AU36" s="188"/>
      <c r="AV36" s="189"/>
      <c r="AW36" s="251" t="str">
        <f>IF(COUNTBLANK(AS36:AV36)=4,"",SUM(AS36:AU36)+IF(Setup!$I$15="No",0,AV36))</f>
        <v/>
      </c>
      <c r="AX36" s="200"/>
      <c r="AY36" s="201"/>
      <c r="AZ36" s="202"/>
      <c r="BA36" s="203"/>
      <c r="BB36" s="255" t="str">
        <f>IF(COUNTBLANK(AX36:BA36)=4,"",SUM(AX36:AZ36)+IF(Setup!$I$15="No",0,BA36))</f>
        <v/>
      </c>
      <c r="BC36" s="259">
        <f ca="1">IF('Demand background (hide)'!A27=Num_Modalities,"",SUM(Demand!I36, Demand!N36))</f>
        <v>11</v>
      </c>
      <c r="BD36" s="259">
        <f ca="1">IF(AND(A36&lt;=MaxRows,BE36&lt;&gt;"Yes"),'Demand background (hide)'!X27+IF(Setup!$I$15="Yes",'Demand background (hide)'!AJ27,0),"")</f>
        <v>420</v>
      </c>
      <c r="BE36" s="209"/>
    </row>
    <row r="37" spans="1:57" ht="15" x14ac:dyDescent="0.25">
      <c r="A37">
        <f t="shared" ca="1" si="0"/>
        <v>25</v>
      </c>
      <c r="B37" s="262" t="str">
        <f t="shared" ca="1" si="1"/>
        <v xml:space="preserve"> </v>
      </c>
      <c r="C37" s="264">
        <f t="shared" ca="1" si="2"/>
        <v>37</v>
      </c>
      <c r="D37" s="422">
        <f t="shared" ca="1" si="3"/>
        <v>42629</v>
      </c>
      <c r="E37" s="186"/>
      <c r="F37" s="187">
        <v>2</v>
      </c>
      <c r="G37" s="188">
        <v>5</v>
      </c>
      <c r="H37" s="189"/>
      <c r="I37" s="251">
        <f>IF(COUNTBLANK(E37:H37)=4,"",SUM(E37:G37)+IF(Setup!$I$15="No",0,H37))</f>
        <v>7</v>
      </c>
      <c r="J37" s="200"/>
      <c r="K37" s="201">
        <v>6</v>
      </c>
      <c r="L37" s="202">
        <v>7</v>
      </c>
      <c r="M37" s="203"/>
      <c r="N37" s="255">
        <f>IF(COUNTBLANK(J37:M37)=4,"",SUM(J37:L37)+IF(Setup!$I$15="No",0,M37))</f>
        <v>13</v>
      </c>
      <c r="O37" s="186"/>
      <c r="P37" s="187"/>
      <c r="Q37" s="188"/>
      <c r="R37" s="189"/>
      <c r="S37" s="251" t="str">
        <f>IF(COUNTBLANK(O37:R37)=4,"",SUM(O37:Q37)+IF(Setup!$I$15="No",0,R37))</f>
        <v/>
      </c>
      <c r="T37" s="200"/>
      <c r="U37" s="201"/>
      <c r="V37" s="202"/>
      <c r="W37" s="203"/>
      <c r="X37" s="255" t="str">
        <f>IF(COUNTBLANK(T37:W37)=4,"",SUM(T37:V37)+IF(Setup!$I$15="No",0,W37))</f>
        <v/>
      </c>
      <c r="Y37" s="186"/>
      <c r="Z37" s="187"/>
      <c r="AA37" s="188"/>
      <c r="AB37" s="189"/>
      <c r="AC37" s="251" t="str">
        <f>IF(COUNTBLANK(Y37:AB37)=4,"",SUM(Y37:AA37)+IF(Setup!$I$15="No",0,AB37))</f>
        <v/>
      </c>
      <c r="AD37" s="200"/>
      <c r="AE37" s="201"/>
      <c r="AF37" s="202"/>
      <c r="AG37" s="203"/>
      <c r="AH37" s="255" t="str">
        <f>IF(COUNTBLANK(AD37:AG37)=4,"",SUM(AD37:AF37)+IF(Setup!$I$15="No",0,AG37))</f>
        <v/>
      </c>
      <c r="AI37" s="186"/>
      <c r="AJ37" s="187"/>
      <c r="AK37" s="188"/>
      <c r="AL37" s="189"/>
      <c r="AM37" s="251" t="str">
        <f>IF(COUNTBLANK(AI37:AL37)=4,"",SUM(AI37:AK37)+IF(Setup!$I$15="No",0,AL37))</f>
        <v/>
      </c>
      <c r="AN37" s="200"/>
      <c r="AO37" s="201"/>
      <c r="AP37" s="202"/>
      <c r="AQ37" s="203"/>
      <c r="AR37" s="255" t="str">
        <f>IF(COUNTBLANK(AN37:AQ37)=4,"",SUM(AN37:AP37)+IF(Setup!$I$15="No",0,AQ37))</f>
        <v/>
      </c>
      <c r="AS37" s="186"/>
      <c r="AT37" s="187"/>
      <c r="AU37" s="188"/>
      <c r="AV37" s="189"/>
      <c r="AW37" s="251" t="str">
        <f>IF(COUNTBLANK(AS37:AV37)=4,"",SUM(AS37:AU37)+IF(Setup!$I$15="No",0,AV37))</f>
        <v/>
      </c>
      <c r="AX37" s="200"/>
      <c r="AY37" s="201"/>
      <c r="AZ37" s="202"/>
      <c r="BA37" s="203"/>
      <c r="BB37" s="255" t="str">
        <f>IF(COUNTBLANK(AX37:BA37)=4,"",SUM(AX37:AZ37)+IF(Setup!$I$15="No",0,BA37))</f>
        <v/>
      </c>
      <c r="BC37" s="259">
        <f ca="1">IF('Demand background (hide)'!A28=Num_Modalities,"",SUM(Demand!I37, Demand!N37))</f>
        <v>20</v>
      </c>
      <c r="BD37" s="259">
        <f ca="1">IF(AND(A37&lt;=MaxRows,BE37&lt;&gt;"Yes"),'Demand background (hide)'!X28+IF(Setup!$I$15="Yes",'Demand background (hide)'!AJ28,0),"")</f>
        <v>730</v>
      </c>
      <c r="BE37" s="209"/>
    </row>
    <row r="38" spans="1:57" ht="15" x14ac:dyDescent="0.25">
      <c r="A38">
        <f t="shared" ca="1" si="0"/>
        <v>26</v>
      </c>
      <c r="B38" s="262" t="str">
        <f t="shared" ca="1" si="1"/>
        <v xml:space="preserve"> </v>
      </c>
      <c r="C38" s="264">
        <f t="shared" ca="1" si="2"/>
        <v>38</v>
      </c>
      <c r="D38" s="422">
        <f t="shared" ca="1" si="3"/>
        <v>42636</v>
      </c>
      <c r="E38" s="186"/>
      <c r="F38" s="187">
        <v>1</v>
      </c>
      <c r="G38" s="188">
        <v>4</v>
      </c>
      <c r="H38" s="189"/>
      <c r="I38" s="251">
        <f>IF(COUNTBLANK(E38:H38)=4,"",SUM(E38:G38)+IF(Setup!$I$15="No",0,H38))</f>
        <v>5</v>
      </c>
      <c r="J38" s="200"/>
      <c r="K38" s="201">
        <v>2</v>
      </c>
      <c r="L38" s="202">
        <v>11</v>
      </c>
      <c r="M38" s="203"/>
      <c r="N38" s="255">
        <f>IF(COUNTBLANK(J38:M38)=4,"",SUM(J38:L38)+IF(Setup!$I$15="No",0,M38))</f>
        <v>13</v>
      </c>
      <c r="O38" s="186"/>
      <c r="P38" s="187"/>
      <c r="Q38" s="188"/>
      <c r="R38" s="189"/>
      <c r="S38" s="251" t="str">
        <f>IF(COUNTBLANK(O38:R38)=4,"",SUM(O38:Q38)+IF(Setup!$I$15="No",0,R38))</f>
        <v/>
      </c>
      <c r="T38" s="200"/>
      <c r="U38" s="201"/>
      <c r="V38" s="202"/>
      <c r="W38" s="203"/>
      <c r="X38" s="255" t="str">
        <f>IF(COUNTBLANK(T38:W38)=4,"",SUM(T38:V38)+IF(Setup!$I$15="No",0,W38))</f>
        <v/>
      </c>
      <c r="Y38" s="186"/>
      <c r="Z38" s="187"/>
      <c r="AA38" s="188"/>
      <c r="AB38" s="189"/>
      <c r="AC38" s="251" t="str">
        <f>IF(COUNTBLANK(Y38:AB38)=4,"",SUM(Y38:AA38)+IF(Setup!$I$15="No",0,AB38))</f>
        <v/>
      </c>
      <c r="AD38" s="200"/>
      <c r="AE38" s="201"/>
      <c r="AF38" s="202"/>
      <c r="AG38" s="203"/>
      <c r="AH38" s="255" t="str">
        <f>IF(COUNTBLANK(AD38:AG38)=4,"",SUM(AD38:AF38)+IF(Setup!$I$15="No",0,AG38))</f>
        <v/>
      </c>
      <c r="AI38" s="186"/>
      <c r="AJ38" s="187"/>
      <c r="AK38" s="188"/>
      <c r="AL38" s="189"/>
      <c r="AM38" s="251" t="str">
        <f>IF(COUNTBLANK(AI38:AL38)=4,"",SUM(AI38:AK38)+IF(Setup!$I$15="No",0,AL38))</f>
        <v/>
      </c>
      <c r="AN38" s="200"/>
      <c r="AO38" s="201"/>
      <c r="AP38" s="202"/>
      <c r="AQ38" s="203"/>
      <c r="AR38" s="255" t="str">
        <f>IF(COUNTBLANK(AN38:AQ38)=4,"",SUM(AN38:AP38)+IF(Setup!$I$15="No",0,AQ38))</f>
        <v/>
      </c>
      <c r="AS38" s="186"/>
      <c r="AT38" s="187"/>
      <c r="AU38" s="188"/>
      <c r="AV38" s="189"/>
      <c r="AW38" s="251" t="str">
        <f>IF(COUNTBLANK(AS38:AV38)=4,"",SUM(AS38:AU38)+IF(Setup!$I$15="No",0,AV38))</f>
        <v/>
      </c>
      <c r="AX38" s="200"/>
      <c r="AY38" s="201"/>
      <c r="AZ38" s="202"/>
      <c r="BA38" s="203"/>
      <c r="BB38" s="255" t="str">
        <f>IF(COUNTBLANK(AX38:BA38)=4,"",SUM(AX38:AZ38)+IF(Setup!$I$15="No",0,BA38))</f>
        <v/>
      </c>
      <c r="BC38" s="259">
        <f ca="1">IF('Demand background (hide)'!A29=Num_Modalities,"",SUM(Demand!I38, Demand!N38))</f>
        <v>18</v>
      </c>
      <c r="BD38" s="259">
        <f ca="1">IF(AND(A38&lt;=MaxRows,BE38&lt;&gt;"Yes"),'Demand background (hide)'!X29+IF(Setup!$I$15="Yes",'Demand background (hide)'!AJ29,0),"")</f>
        <v>670</v>
      </c>
      <c r="BE38" s="209"/>
    </row>
    <row r="39" spans="1:57" ht="15" x14ac:dyDescent="0.25">
      <c r="A39">
        <f t="shared" ca="1" si="0"/>
        <v>27</v>
      </c>
      <c r="B39" s="262" t="str">
        <f t="shared" ca="1" si="1"/>
        <v xml:space="preserve"> </v>
      </c>
      <c r="C39" s="264">
        <f t="shared" ca="1" si="2"/>
        <v>39</v>
      </c>
      <c r="D39" s="422">
        <f t="shared" ca="1" si="3"/>
        <v>42643</v>
      </c>
      <c r="E39" s="186"/>
      <c r="F39" s="187">
        <v>0</v>
      </c>
      <c r="G39" s="188">
        <v>2</v>
      </c>
      <c r="H39" s="189"/>
      <c r="I39" s="251">
        <f>IF(COUNTBLANK(E39:H39)=4,"",SUM(E39:G39)+IF(Setup!$I$15="No",0,H39))</f>
        <v>2</v>
      </c>
      <c r="J39" s="200"/>
      <c r="K39" s="201">
        <v>4</v>
      </c>
      <c r="L39" s="202">
        <v>9</v>
      </c>
      <c r="M39" s="203"/>
      <c r="N39" s="255">
        <f>IF(COUNTBLANK(J39:M39)=4,"",SUM(J39:L39)+IF(Setup!$I$15="No",0,M39))</f>
        <v>13</v>
      </c>
      <c r="O39" s="186"/>
      <c r="P39" s="187"/>
      <c r="Q39" s="188"/>
      <c r="R39" s="189"/>
      <c r="S39" s="251" t="str">
        <f>IF(COUNTBLANK(O39:R39)=4,"",SUM(O39:Q39)+IF(Setup!$I$15="No",0,R39))</f>
        <v/>
      </c>
      <c r="T39" s="200"/>
      <c r="U39" s="201"/>
      <c r="V39" s="202"/>
      <c r="W39" s="203"/>
      <c r="X39" s="255" t="str">
        <f>IF(COUNTBLANK(T39:W39)=4,"",SUM(T39:V39)+IF(Setup!$I$15="No",0,W39))</f>
        <v/>
      </c>
      <c r="Y39" s="186"/>
      <c r="Z39" s="187"/>
      <c r="AA39" s="188"/>
      <c r="AB39" s="189"/>
      <c r="AC39" s="251" t="str">
        <f>IF(COUNTBLANK(Y39:AB39)=4,"",SUM(Y39:AA39)+IF(Setup!$I$15="No",0,AB39))</f>
        <v/>
      </c>
      <c r="AD39" s="200"/>
      <c r="AE39" s="201"/>
      <c r="AF39" s="202"/>
      <c r="AG39" s="203"/>
      <c r="AH39" s="255" t="str">
        <f>IF(COUNTBLANK(AD39:AG39)=4,"",SUM(AD39:AF39)+IF(Setup!$I$15="No",0,AG39))</f>
        <v/>
      </c>
      <c r="AI39" s="186"/>
      <c r="AJ39" s="187"/>
      <c r="AK39" s="188"/>
      <c r="AL39" s="189"/>
      <c r="AM39" s="251" t="str">
        <f>IF(COUNTBLANK(AI39:AL39)=4,"",SUM(AI39:AK39)+IF(Setup!$I$15="No",0,AL39))</f>
        <v/>
      </c>
      <c r="AN39" s="200"/>
      <c r="AO39" s="201"/>
      <c r="AP39" s="202"/>
      <c r="AQ39" s="203"/>
      <c r="AR39" s="255" t="str">
        <f>IF(COUNTBLANK(AN39:AQ39)=4,"",SUM(AN39:AP39)+IF(Setup!$I$15="No",0,AQ39))</f>
        <v/>
      </c>
      <c r="AS39" s="186"/>
      <c r="AT39" s="187"/>
      <c r="AU39" s="188"/>
      <c r="AV39" s="189"/>
      <c r="AW39" s="251" t="str">
        <f>IF(COUNTBLANK(AS39:AV39)=4,"",SUM(AS39:AU39)+IF(Setup!$I$15="No",0,AV39))</f>
        <v/>
      </c>
      <c r="AX39" s="200"/>
      <c r="AY39" s="201"/>
      <c r="AZ39" s="202"/>
      <c r="BA39" s="203"/>
      <c r="BB39" s="255" t="str">
        <f>IF(COUNTBLANK(AX39:BA39)=4,"",SUM(AX39:AZ39)+IF(Setup!$I$15="No",0,BA39))</f>
        <v/>
      </c>
      <c r="BC39" s="259">
        <f ca="1">IF('Demand background (hide)'!A30=Num_Modalities,"",SUM(Demand!I39, Demand!N39))</f>
        <v>15</v>
      </c>
      <c r="BD39" s="259">
        <f ca="1">IF(AND(A39&lt;=MaxRows,BE39&lt;&gt;"Yes"),'Demand background (hide)'!X30+IF(Setup!$I$15="Yes",'Demand background (hide)'!AJ30,0),"")</f>
        <v>580</v>
      </c>
      <c r="BE39" s="209"/>
    </row>
    <row r="40" spans="1:57" ht="15" x14ac:dyDescent="0.25">
      <c r="A40">
        <f t="shared" ca="1" si="0"/>
        <v>28</v>
      </c>
      <c r="B40" s="262" t="str">
        <f t="shared" ca="1" si="1"/>
        <v xml:space="preserve"> </v>
      </c>
      <c r="C40" s="264">
        <f t="shared" ca="1" si="2"/>
        <v>40</v>
      </c>
      <c r="D40" s="422">
        <f t="shared" ca="1" si="3"/>
        <v>42650</v>
      </c>
      <c r="E40" s="186"/>
      <c r="F40" s="187">
        <v>0</v>
      </c>
      <c r="G40" s="188">
        <v>3</v>
      </c>
      <c r="H40" s="189"/>
      <c r="I40" s="251">
        <f>IF(COUNTBLANK(E40:H40)=4,"",SUM(E40:G40)+IF(Setup!$I$15="No",0,H40))</f>
        <v>3</v>
      </c>
      <c r="J40" s="200"/>
      <c r="K40" s="201">
        <v>2</v>
      </c>
      <c r="L40" s="202">
        <v>3</v>
      </c>
      <c r="M40" s="203"/>
      <c r="N40" s="255">
        <f>IF(COUNTBLANK(J40:M40)=4,"",SUM(J40:L40)+IF(Setup!$I$15="No",0,M40))</f>
        <v>5</v>
      </c>
      <c r="O40" s="186"/>
      <c r="P40" s="187"/>
      <c r="Q40" s="188"/>
      <c r="R40" s="189"/>
      <c r="S40" s="251" t="str">
        <f>IF(COUNTBLANK(O40:R40)=4,"",SUM(O40:Q40)+IF(Setup!$I$15="No",0,R40))</f>
        <v/>
      </c>
      <c r="T40" s="200"/>
      <c r="U40" s="201"/>
      <c r="V40" s="202"/>
      <c r="W40" s="203"/>
      <c r="X40" s="255" t="str">
        <f>IF(COUNTBLANK(T40:W40)=4,"",SUM(T40:V40)+IF(Setup!$I$15="No",0,W40))</f>
        <v/>
      </c>
      <c r="Y40" s="186"/>
      <c r="Z40" s="187"/>
      <c r="AA40" s="188"/>
      <c r="AB40" s="189"/>
      <c r="AC40" s="251" t="str">
        <f>IF(COUNTBLANK(Y40:AB40)=4,"",SUM(Y40:AA40)+IF(Setup!$I$15="No",0,AB40))</f>
        <v/>
      </c>
      <c r="AD40" s="200"/>
      <c r="AE40" s="201"/>
      <c r="AF40" s="202"/>
      <c r="AG40" s="203"/>
      <c r="AH40" s="255" t="str">
        <f>IF(COUNTBLANK(AD40:AG40)=4,"",SUM(AD40:AF40)+IF(Setup!$I$15="No",0,AG40))</f>
        <v/>
      </c>
      <c r="AI40" s="186"/>
      <c r="AJ40" s="187"/>
      <c r="AK40" s="188"/>
      <c r="AL40" s="189"/>
      <c r="AM40" s="251" t="str">
        <f>IF(COUNTBLANK(AI40:AL40)=4,"",SUM(AI40:AK40)+IF(Setup!$I$15="No",0,AL40))</f>
        <v/>
      </c>
      <c r="AN40" s="200"/>
      <c r="AO40" s="201"/>
      <c r="AP40" s="202"/>
      <c r="AQ40" s="203"/>
      <c r="AR40" s="255" t="str">
        <f>IF(COUNTBLANK(AN40:AQ40)=4,"",SUM(AN40:AP40)+IF(Setup!$I$15="No",0,AQ40))</f>
        <v/>
      </c>
      <c r="AS40" s="186"/>
      <c r="AT40" s="187"/>
      <c r="AU40" s="188"/>
      <c r="AV40" s="189"/>
      <c r="AW40" s="251" t="str">
        <f>IF(COUNTBLANK(AS40:AV40)=4,"",SUM(AS40:AU40)+IF(Setup!$I$15="No",0,AV40))</f>
        <v/>
      </c>
      <c r="AX40" s="200"/>
      <c r="AY40" s="201"/>
      <c r="AZ40" s="202"/>
      <c r="BA40" s="203"/>
      <c r="BB40" s="255" t="str">
        <f>IF(COUNTBLANK(AX40:BA40)=4,"",SUM(AX40:AZ40)+IF(Setup!$I$15="No",0,BA40))</f>
        <v/>
      </c>
      <c r="BC40" s="259">
        <f ca="1">IF('Demand background (hide)'!A31=Num_Modalities,"",SUM(Demand!I40, Demand!N40))</f>
        <v>8</v>
      </c>
      <c r="BD40" s="259">
        <f ca="1">IF(AND(A40&lt;=MaxRows,BE40&lt;&gt;"Yes"),'Demand background (hide)'!X31+IF(Setup!$I$15="Yes",'Demand background (hide)'!AJ31,0),"")</f>
        <v>290</v>
      </c>
      <c r="BE40" s="209"/>
    </row>
    <row r="41" spans="1:57" ht="15" x14ac:dyDescent="0.25">
      <c r="A41">
        <f t="shared" ca="1" si="0"/>
        <v>29</v>
      </c>
      <c r="B41" s="262" t="str">
        <f t="shared" ca="1" si="1"/>
        <v xml:space="preserve"> </v>
      </c>
      <c r="C41" s="264">
        <f t="shared" ca="1" si="2"/>
        <v>41</v>
      </c>
      <c r="D41" s="422">
        <f t="shared" ca="1" si="3"/>
        <v>42657</v>
      </c>
      <c r="E41" s="186"/>
      <c r="F41" s="187">
        <v>0</v>
      </c>
      <c r="G41" s="188">
        <v>3</v>
      </c>
      <c r="H41" s="189"/>
      <c r="I41" s="251">
        <f>IF(COUNTBLANK(E41:H41)=4,"",SUM(E41:G41)+IF(Setup!$I$15="No",0,H41))</f>
        <v>3</v>
      </c>
      <c r="J41" s="200"/>
      <c r="K41" s="201">
        <v>0</v>
      </c>
      <c r="L41" s="202">
        <v>11</v>
      </c>
      <c r="M41" s="203"/>
      <c r="N41" s="255">
        <f>IF(COUNTBLANK(J41:M41)=4,"",SUM(J41:L41)+IF(Setup!$I$15="No",0,M41))</f>
        <v>11</v>
      </c>
      <c r="O41" s="186"/>
      <c r="P41" s="187"/>
      <c r="Q41" s="188"/>
      <c r="R41" s="189"/>
      <c r="S41" s="251" t="str">
        <f>IF(COUNTBLANK(O41:R41)=4,"",SUM(O41:Q41)+IF(Setup!$I$15="No",0,R41))</f>
        <v/>
      </c>
      <c r="T41" s="200"/>
      <c r="U41" s="201"/>
      <c r="V41" s="202"/>
      <c r="W41" s="203"/>
      <c r="X41" s="255" t="str">
        <f>IF(COUNTBLANK(T41:W41)=4,"",SUM(T41:V41)+IF(Setup!$I$15="No",0,W41))</f>
        <v/>
      </c>
      <c r="Y41" s="186"/>
      <c r="Z41" s="187"/>
      <c r="AA41" s="188"/>
      <c r="AB41" s="189"/>
      <c r="AC41" s="251" t="str">
        <f>IF(COUNTBLANK(Y41:AB41)=4,"",SUM(Y41:AA41)+IF(Setup!$I$15="No",0,AB41))</f>
        <v/>
      </c>
      <c r="AD41" s="200"/>
      <c r="AE41" s="201"/>
      <c r="AF41" s="202"/>
      <c r="AG41" s="203"/>
      <c r="AH41" s="255" t="str">
        <f>IF(COUNTBLANK(AD41:AG41)=4,"",SUM(AD41:AF41)+IF(Setup!$I$15="No",0,AG41))</f>
        <v/>
      </c>
      <c r="AI41" s="186"/>
      <c r="AJ41" s="187"/>
      <c r="AK41" s="188"/>
      <c r="AL41" s="189"/>
      <c r="AM41" s="251" t="str">
        <f>IF(COUNTBLANK(AI41:AL41)=4,"",SUM(AI41:AK41)+IF(Setup!$I$15="No",0,AL41))</f>
        <v/>
      </c>
      <c r="AN41" s="200"/>
      <c r="AO41" s="201"/>
      <c r="AP41" s="202"/>
      <c r="AQ41" s="203"/>
      <c r="AR41" s="255" t="str">
        <f>IF(COUNTBLANK(AN41:AQ41)=4,"",SUM(AN41:AP41)+IF(Setup!$I$15="No",0,AQ41))</f>
        <v/>
      </c>
      <c r="AS41" s="186"/>
      <c r="AT41" s="187"/>
      <c r="AU41" s="188"/>
      <c r="AV41" s="189"/>
      <c r="AW41" s="251" t="str">
        <f>IF(COUNTBLANK(AS41:AV41)=4,"",SUM(AS41:AU41)+IF(Setup!$I$15="No",0,AV41))</f>
        <v/>
      </c>
      <c r="AX41" s="200"/>
      <c r="AY41" s="201"/>
      <c r="AZ41" s="202"/>
      <c r="BA41" s="203"/>
      <c r="BB41" s="255" t="str">
        <f>IF(COUNTBLANK(AX41:BA41)=4,"",SUM(AX41:AZ41)+IF(Setup!$I$15="No",0,BA41))</f>
        <v/>
      </c>
      <c r="BC41" s="259">
        <f ca="1">IF('Demand background (hide)'!A32=Num_Modalities,"",SUM(Demand!I41, Demand!N41))</f>
        <v>14</v>
      </c>
      <c r="BD41" s="259">
        <f ca="1">IF(AND(A41&lt;=MaxRows,BE41&lt;&gt;"Yes"),'Demand background (hide)'!X32+IF(Setup!$I$15="Yes",'Demand background (hide)'!AJ32,0),"")</f>
        <v>530</v>
      </c>
      <c r="BE41" s="209"/>
    </row>
    <row r="42" spans="1:57" ht="15" x14ac:dyDescent="0.25">
      <c r="A42">
        <f t="shared" ca="1" si="0"/>
        <v>30</v>
      </c>
      <c r="B42" s="262" t="str">
        <f t="shared" ca="1" si="1"/>
        <v xml:space="preserve"> </v>
      </c>
      <c r="C42" s="264">
        <f t="shared" ca="1" si="2"/>
        <v>42</v>
      </c>
      <c r="D42" s="422">
        <f t="shared" ca="1" si="3"/>
        <v>42664</v>
      </c>
      <c r="E42" s="186"/>
      <c r="F42" s="187">
        <v>2</v>
      </c>
      <c r="G42" s="188">
        <v>2</v>
      </c>
      <c r="H42" s="189"/>
      <c r="I42" s="251">
        <f>IF(COUNTBLANK(E42:H42)=4,"",SUM(E42:G42)+IF(Setup!$I$15="No",0,H42))</f>
        <v>4</v>
      </c>
      <c r="J42" s="200"/>
      <c r="K42" s="201">
        <v>0</v>
      </c>
      <c r="L42" s="202">
        <v>5</v>
      </c>
      <c r="M42" s="203"/>
      <c r="N42" s="255">
        <f>IF(COUNTBLANK(J42:M42)=4,"",SUM(J42:L42)+IF(Setup!$I$15="No",0,M42))</f>
        <v>5</v>
      </c>
      <c r="O42" s="186"/>
      <c r="P42" s="187"/>
      <c r="Q42" s="188"/>
      <c r="R42" s="189"/>
      <c r="S42" s="251" t="str">
        <f>IF(COUNTBLANK(O42:R42)=4,"",SUM(O42:Q42)+IF(Setup!$I$15="No",0,R42))</f>
        <v/>
      </c>
      <c r="T42" s="200"/>
      <c r="U42" s="201"/>
      <c r="V42" s="202"/>
      <c r="W42" s="203"/>
      <c r="X42" s="255" t="str">
        <f>IF(COUNTBLANK(T42:W42)=4,"",SUM(T42:V42)+IF(Setup!$I$15="No",0,W42))</f>
        <v/>
      </c>
      <c r="Y42" s="186"/>
      <c r="Z42" s="187"/>
      <c r="AA42" s="188"/>
      <c r="AB42" s="189"/>
      <c r="AC42" s="251" t="str">
        <f>IF(COUNTBLANK(Y42:AB42)=4,"",SUM(Y42:AA42)+IF(Setup!$I$15="No",0,AB42))</f>
        <v/>
      </c>
      <c r="AD42" s="200"/>
      <c r="AE42" s="201"/>
      <c r="AF42" s="202"/>
      <c r="AG42" s="203"/>
      <c r="AH42" s="255" t="str">
        <f>IF(COUNTBLANK(AD42:AG42)=4,"",SUM(AD42:AF42)+IF(Setup!$I$15="No",0,AG42))</f>
        <v/>
      </c>
      <c r="AI42" s="186"/>
      <c r="AJ42" s="187"/>
      <c r="AK42" s="188"/>
      <c r="AL42" s="189"/>
      <c r="AM42" s="251" t="str">
        <f>IF(COUNTBLANK(AI42:AL42)=4,"",SUM(AI42:AK42)+IF(Setup!$I$15="No",0,AL42))</f>
        <v/>
      </c>
      <c r="AN42" s="200"/>
      <c r="AO42" s="201"/>
      <c r="AP42" s="202"/>
      <c r="AQ42" s="203"/>
      <c r="AR42" s="255" t="str">
        <f>IF(COUNTBLANK(AN42:AQ42)=4,"",SUM(AN42:AP42)+IF(Setup!$I$15="No",0,AQ42))</f>
        <v/>
      </c>
      <c r="AS42" s="186"/>
      <c r="AT42" s="187"/>
      <c r="AU42" s="188"/>
      <c r="AV42" s="189"/>
      <c r="AW42" s="251" t="str">
        <f>IF(COUNTBLANK(AS42:AV42)=4,"",SUM(AS42:AU42)+IF(Setup!$I$15="No",0,AV42))</f>
        <v/>
      </c>
      <c r="AX42" s="200"/>
      <c r="AY42" s="201"/>
      <c r="AZ42" s="202"/>
      <c r="BA42" s="203"/>
      <c r="BB42" s="255" t="str">
        <f>IF(COUNTBLANK(AX42:BA42)=4,"",SUM(AX42:AZ42)+IF(Setup!$I$15="No",0,BA42))</f>
        <v/>
      </c>
      <c r="BC42" s="259">
        <f ca="1">IF('Demand background (hide)'!A33=Num_Modalities,"",SUM(Demand!I42, Demand!N42))</f>
        <v>9</v>
      </c>
      <c r="BD42" s="259">
        <f ca="1">IF(AND(A42&lt;=MaxRows,BE42&lt;&gt;"Yes"),'Demand background (hide)'!X33+IF(Setup!$I$15="Yes",'Demand background (hide)'!AJ33,0),"")</f>
        <v>320</v>
      </c>
      <c r="BE42" s="209"/>
    </row>
    <row r="43" spans="1:57" ht="15" x14ac:dyDescent="0.25">
      <c r="A43">
        <f t="shared" ca="1" si="0"/>
        <v>31</v>
      </c>
      <c r="B43" s="262" t="str">
        <f t="shared" ca="1" si="1"/>
        <v xml:space="preserve"> </v>
      </c>
      <c r="C43" s="264">
        <f t="shared" ca="1" si="2"/>
        <v>43</v>
      </c>
      <c r="D43" s="422">
        <f t="shared" ca="1" si="3"/>
        <v>42671</v>
      </c>
      <c r="E43" s="186"/>
      <c r="F43" s="187">
        <v>1</v>
      </c>
      <c r="G43" s="188">
        <v>2</v>
      </c>
      <c r="H43" s="189"/>
      <c r="I43" s="251">
        <f>IF(COUNTBLANK(E43:H43)=4,"",SUM(E43:G43)+IF(Setup!$I$15="No",0,H43))</f>
        <v>3</v>
      </c>
      <c r="J43" s="200"/>
      <c r="K43" s="201">
        <v>2</v>
      </c>
      <c r="L43" s="202">
        <v>14</v>
      </c>
      <c r="M43" s="203"/>
      <c r="N43" s="255">
        <f>IF(COUNTBLANK(J43:M43)=4,"",SUM(J43:L43)+IF(Setup!$I$15="No",0,M43))</f>
        <v>16</v>
      </c>
      <c r="O43" s="186"/>
      <c r="P43" s="187"/>
      <c r="Q43" s="188"/>
      <c r="R43" s="189"/>
      <c r="S43" s="251" t="str">
        <f>IF(COUNTBLANK(O43:R43)=4,"",SUM(O43:Q43)+IF(Setup!$I$15="No",0,R43))</f>
        <v/>
      </c>
      <c r="T43" s="200"/>
      <c r="U43" s="201"/>
      <c r="V43" s="202"/>
      <c r="W43" s="203"/>
      <c r="X43" s="255" t="str">
        <f>IF(COUNTBLANK(T43:W43)=4,"",SUM(T43:V43)+IF(Setup!$I$15="No",0,W43))</f>
        <v/>
      </c>
      <c r="Y43" s="186"/>
      <c r="Z43" s="187"/>
      <c r="AA43" s="188"/>
      <c r="AB43" s="189"/>
      <c r="AC43" s="251" t="str">
        <f>IF(COUNTBLANK(Y43:AB43)=4,"",SUM(Y43:AA43)+IF(Setup!$I$15="No",0,AB43))</f>
        <v/>
      </c>
      <c r="AD43" s="200"/>
      <c r="AE43" s="201"/>
      <c r="AF43" s="202"/>
      <c r="AG43" s="203"/>
      <c r="AH43" s="255" t="str">
        <f>IF(COUNTBLANK(AD43:AG43)=4,"",SUM(AD43:AF43)+IF(Setup!$I$15="No",0,AG43))</f>
        <v/>
      </c>
      <c r="AI43" s="186"/>
      <c r="AJ43" s="187"/>
      <c r="AK43" s="188"/>
      <c r="AL43" s="189"/>
      <c r="AM43" s="251" t="str">
        <f>IF(COUNTBLANK(AI43:AL43)=4,"",SUM(AI43:AK43)+IF(Setup!$I$15="No",0,AL43))</f>
        <v/>
      </c>
      <c r="AN43" s="200"/>
      <c r="AO43" s="201"/>
      <c r="AP43" s="202"/>
      <c r="AQ43" s="203"/>
      <c r="AR43" s="255" t="str">
        <f>IF(COUNTBLANK(AN43:AQ43)=4,"",SUM(AN43:AP43)+IF(Setup!$I$15="No",0,AQ43))</f>
        <v/>
      </c>
      <c r="AS43" s="186"/>
      <c r="AT43" s="187"/>
      <c r="AU43" s="188"/>
      <c r="AV43" s="189"/>
      <c r="AW43" s="251" t="str">
        <f>IF(COUNTBLANK(AS43:AV43)=4,"",SUM(AS43:AU43)+IF(Setup!$I$15="No",0,AV43))</f>
        <v/>
      </c>
      <c r="AX43" s="200"/>
      <c r="AY43" s="201"/>
      <c r="AZ43" s="202"/>
      <c r="BA43" s="203"/>
      <c r="BB43" s="255" t="str">
        <f>IF(COUNTBLANK(AX43:BA43)=4,"",SUM(AX43:AZ43)+IF(Setup!$I$15="No",0,BA43))</f>
        <v/>
      </c>
      <c r="BC43" s="259">
        <f ca="1">IF('Demand background (hide)'!A34=Num_Modalities,"",SUM(Demand!I43, Demand!N43))</f>
        <v>19</v>
      </c>
      <c r="BD43" s="259">
        <f ca="1">IF(AND(A43&lt;=MaxRows,BE43&lt;&gt;"Yes"),'Demand background (hide)'!X34+IF(Setup!$I$15="Yes",'Demand background (hide)'!AJ34,0),"")</f>
        <v>730</v>
      </c>
      <c r="BE43" s="209"/>
    </row>
    <row r="44" spans="1:57" ht="15" x14ac:dyDescent="0.25">
      <c r="A44">
        <f t="shared" ca="1" si="0"/>
        <v>32</v>
      </c>
      <c r="B44" s="262" t="str">
        <f t="shared" ca="1" si="1"/>
        <v xml:space="preserve"> </v>
      </c>
      <c r="C44" s="264">
        <f t="shared" ca="1" si="2"/>
        <v>44</v>
      </c>
      <c r="D44" s="422">
        <f t="shared" ca="1" si="3"/>
        <v>42678</v>
      </c>
      <c r="E44" s="186"/>
      <c r="F44" s="187">
        <v>0</v>
      </c>
      <c r="G44" s="188">
        <v>6</v>
      </c>
      <c r="H44" s="189"/>
      <c r="I44" s="251">
        <f>IF(COUNTBLANK(E44:H44)=4,"",SUM(E44:G44)+IF(Setup!$I$15="No",0,H44))</f>
        <v>6</v>
      </c>
      <c r="J44" s="200"/>
      <c r="K44" s="201">
        <v>2</v>
      </c>
      <c r="L44" s="202">
        <v>8</v>
      </c>
      <c r="M44" s="203"/>
      <c r="N44" s="255">
        <f>IF(COUNTBLANK(J44:M44)=4,"",SUM(J44:L44)+IF(Setup!$I$15="No",0,M44))</f>
        <v>10</v>
      </c>
      <c r="O44" s="186"/>
      <c r="P44" s="187"/>
      <c r="Q44" s="188"/>
      <c r="R44" s="189"/>
      <c r="S44" s="251" t="str">
        <f>IF(COUNTBLANK(O44:R44)=4,"",SUM(O44:Q44)+IF(Setup!$I$15="No",0,R44))</f>
        <v/>
      </c>
      <c r="T44" s="200"/>
      <c r="U44" s="201"/>
      <c r="V44" s="202"/>
      <c r="W44" s="203"/>
      <c r="X44" s="255" t="str">
        <f>IF(COUNTBLANK(T44:W44)=4,"",SUM(T44:V44)+IF(Setup!$I$15="No",0,W44))</f>
        <v/>
      </c>
      <c r="Y44" s="186"/>
      <c r="Z44" s="187"/>
      <c r="AA44" s="188"/>
      <c r="AB44" s="189"/>
      <c r="AC44" s="251" t="str">
        <f>IF(COUNTBLANK(Y44:AB44)=4,"",SUM(Y44:AA44)+IF(Setup!$I$15="No",0,AB44))</f>
        <v/>
      </c>
      <c r="AD44" s="200"/>
      <c r="AE44" s="201"/>
      <c r="AF44" s="202"/>
      <c r="AG44" s="203"/>
      <c r="AH44" s="255" t="str">
        <f>IF(COUNTBLANK(AD44:AG44)=4,"",SUM(AD44:AF44)+IF(Setup!$I$15="No",0,AG44))</f>
        <v/>
      </c>
      <c r="AI44" s="186"/>
      <c r="AJ44" s="187"/>
      <c r="AK44" s="188"/>
      <c r="AL44" s="189"/>
      <c r="AM44" s="251" t="str">
        <f>IF(COUNTBLANK(AI44:AL44)=4,"",SUM(AI44:AK44)+IF(Setup!$I$15="No",0,AL44))</f>
        <v/>
      </c>
      <c r="AN44" s="200"/>
      <c r="AO44" s="201"/>
      <c r="AP44" s="202"/>
      <c r="AQ44" s="203"/>
      <c r="AR44" s="255" t="str">
        <f>IF(COUNTBLANK(AN44:AQ44)=4,"",SUM(AN44:AP44)+IF(Setup!$I$15="No",0,AQ44))</f>
        <v/>
      </c>
      <c r="AS44" s="186"/>
      <c r="AT44" s="187"/>
      <c r="AU44" s="188"/>
      <c r="AV44" s="189"/>
      <c r="AW44" s="251" t="str">
        <f>IF(COUNTBLANK(AS44:AV44)=4,"",SUM(AS44:AU44)+IF(Setup!$I$15="No",0,AV44))</f>
        <v/>
      </c>
      <c r="AX44" s="200"/>
      <c r="AY44" s="201"/>
      <c r="AZ44" s="202"/>
      <c r="BA44" s="203"/>
      <c r="BB44" s="255" t="str">
        <f>IF(COUNTBLANK(AX44:BA44)=4,"",SUM(AX44:AZ44)+IF(Setup!$I$15="No",0,BA44))</f>
        <v/>
      </c>
      <c r="BC44" s="259">
        <f ca="1">IF('Demand background (hide)'!A35=Num_Modalities,"",SUM(Demand!I44, Demand!N44))</f>
        <v>16</v>
      </c>
      <c r="BD44" s="259">
        <f ca="1">IF(AND(A44&lt;=MaxRows,BE44&lt;&gt;"Yes"),'Demand background (hide)'!X35+IF(Setup!$I$15="Yes",'Demand background (hide)'!AJ35,0),"")</f>
        <v>580</v>
      </c>
      <c r="BE44" s="209"/>
    </row>
    <row r="45" spans="1:57" ht="15" x14ac:dyDescent="0.25">
      <c r="A45">
        <f t="shared" ca="1" si="0"/>
        <v>33</v>
      </c>
      <c r="B45" s="262" t="str">
        <f t="shared" ca="1" si="1"/>
        <v xml:space="preserve"> </v>
      </c>
      <c r="C45" s="264">
        <f t="shared" ca="1" si="2"/>
        <v>45</v>
      </c>
      <c r="D45" s="422">
        <f t="shared" ca="1" si="3"/>
        <v>42685</v>
      </c>
      <c r="E45" s="186"/>
      <c r="F45" s="187">
        <v>0</v>
      </c>
      <c r="G45" s="188">
        <v>7</v>
      </c>
      <c r="H45" s="189"/>
      <c r="I45" s="251">
        <f>IF(COUNTBLANK(E45:H45)=4,"",SUM(E45:G45)+IF(Setup!$I$15="No",0,H45))</f>
        <v>7</v>
      </c>
      <c r="J45" s="200"/>
      <c r="K45" s="201">
        <v>3</v>
      </c>
      <c r="L45" s="202">
        <v>3</v>
      </c>
      <c r="M45" s="203"/>
      <c r="N45" s="255">
        <f>IF(COUNTBLANK(J45:M45)=4,"",SUM(J45:L45)+IF(Setup!$I$15="No",0,M45))</f>
        <v>6</v>
      </c>
      <c r="O45" s="186"/>
      <c r="P45" s="187"/>
      <c r="Q45" s="188"/>
      <c r="R45" s="189"/>
      <c r="S45" s="251" t="str">
        <f>IF(COUNTBLANK(O45:R45)=4,"",SUM(O45:Q45)+IF(Setup!$I$15="No",0,R45))</f>
        <v/>
      </c>
      <c r="T45" s="200"/>
      <c r="U45" s="201"/>
      <c r="V45" s="202"/>
      <c r="W45" s="203"/>
      <c r="X45" s="255" t="str">
        <f>IF(COUNTBLANK(T45:W45)=4,"",SUM(T45:V45)+IF(Setup!$I$15="No",0,W45))</f>
        <v/>
      </c>
      <c r="Y45" s="186"/>
      <c r="Z45" s="187"/>
      <c r="AA45" s="188"/>
      <c r="AB45" s="189"/>
      <c r="AC45" s="251" t="str">
        <f>IF(COUNTBLANK(Y45:AB45)=4,"",SUM(Y45:AA45)+IF(Setup!$I$15="No",0,AB45))</f>
        <v/>
      </c>
      <c r="AD45" s="200"/>
      <c r="AE45" s="201"/>
      <c r="AF45" s="202"/>
      <c r="AG45" s="203"/>
      <c r="AH45" s="255" t="str">
        <f>IF(COUNTBLANK(AD45:AG45)=4,"",SUM(AD45:AF45)+IF(Setup!$I$15="No",0,AG45))</f>
        <v/>
      </c>
      <c r="AI45" s="186"/>
      <c r="AJ45" s="187"/>
      <c r="AK45" s="188"/>
      <c r="AL45" s="189"/>
      <c r="AM45" s="251" t="str">
        <f>IF(COUNTBLANK(AI45:AL45)=4,"",SUM(AI45:AK45)+IF(Setup!$I$15="No",0,AL45))</f>
        <v/>
      </c>
      <c r="AN45" s="200"/>
      <c r="AO45" s="201"/>
      <c r="AP45" s="202"/>
      <c r="AQ45" s="203"/>
      <c r="AR45" s="255" t="str">
        <f>IF(COUNTBLANK(AN45:AQ45)=4,"",SUM(AN45:AP45)+IF(Setup!$I$15="No",0,AQ45))</f>
        <v/>
      </c>
      <c r="AS45" s="186"/>
      <c r="AT45" s="187"/>
      <c r="AU45" s="188"/>
      <c r="AV45" s="189"/>
      <c r="AW45" s="251" t="str">
        <f>IF(COUNTBLANK(AS45:AV45)=4,"",SUM(AS45:AU45)+IF(Setup!$I$15="No",0,AV45))</f>
        <v/>
      </c>
      <c r="AX45" s="200"/>
      <c r="AY45" s="201"/>
      <c r="AZ45" s="202"/>
      <c r="BA45" s="203"/>
      <c r="BB45" s="255" t="str">
        <f>IF(COUNTBLANK(AX45:BA45)=4,"",SUM(AX45:AZ45)+IF(Setup!$I$15="No",0,BA45))</f>
        <v/>
      </c>
      <c r="BC45" s="259">
        <f ca="1">IF('Demand background (hide)'!A36=Num_Modalities,"",SUM(Demand!I45, Demand!N45))</f>
        <v>13</v>
      </c>
      <c r="BD45" s="259">
        <f ca="1">IF(AND(A45&lt;=MaxRows,BE45&lt;&gt;"Yes"),'Demand background (hide)'!X36+IF(Setup!$I$15="Yes",'Demand background (hide)'!AJ36,0),"")</f>
        <v>450</v>
      </c>
      <c r="BE45" s="209"/>
    </row>
    <row r="46" spans="1:57" ht="15" x14ac:dyDescent="0.25">
      <c r="A46">
        <f t="shared" ca="1" si="0"/>
        <v>34</v>
      </c>
      <c r="B46" s="262" t="str">
        <f t="shared" ca="1" si="1"/>
        <v xml:space="preserve"> </v>
      </c>
      <c r="C46" s="264">
        <f t="shared" ca="1" si="2"/>
        <v>46</v>
      </c>
      <c r="D46" s="422">
        <f t="shared" ca="1" si="3"/>
        <v>42692</v>
      </c>
      <c r="E46" s="186"/>
      <c r="F46" s="187">
        <v>3</v>
      </c>
      <c r="G46" s="188">
        <v>3</v>
      </c>
      <c r="H46" s="189"/>
      <c r="I46" s="251">
        <f>IF(COUNTBLANK(E46:H46)=4,"",SUM(E46:G46)+IF(Setup!$I$15="No",0,H46))</f>
        <v>6</v>
      </c>
      <c r="J46" s="200"/>
      <c r="K46" s="201">
        <v>0</v>
      </c>
      <c r="L46" s="202">
        <v>7</v>
      </c>
      <c r="M46" s="203"/>
      <c r="N46" s="255">
        <f>IF(COUNTBLANK(J46:M46)=4,"",SUM(J46:L46)+IF(Setup!$I$15="No",0,M46))</f>
        <v>7</v>
      </c>
      <c r="O46" s="186"/>
      <c r="P46" s="187"/>
      <c r="Q46" s="188"/>
      <c r="R46" s="189"/>
      <c r="S46" s="251" t="str">
        <f>IF(COUNTBLANK(O46:R46)=4,"",SUM(O46:Q46)+IF(Setup!$I$15="No",0,R46))</f>
        <v/>
      </c>
      <c r="T46" s="200"/>
      <c r="U46" s="201"/>
      <c r="V46" s="202"/>
      <c r="W46" s="203"/>
      <c r="X46" s="255" t="str">
        <f>IF(COUNTBLANK(T46:W46)=4,"",SUM(T46:V46)+IF(Setup!$I$15="No",0,W46))</f>
        <v/>
      </c>
      <c r="Y46" s="186"/>
      <c r="Z46" s="187"/>
      <c r="AA46" s="188"/>
      <c r="AB46" s="189"/>
      <c r="AC46" s="251" t="str">
        <f>IF(COUNTBLANK(Y46:AB46)=4,"",SUM(Y46:AA46)+IF(Setup!$I$15="No",0,AB46))</f>
        <v/>
      </c>
      <c r="AD46" s="200"/>
      <c r="AE46" s="201"/>
      <c r="AF46" s="202"/>
      <c r="AG46" s="203"/>
      <c r="AH46" s="255" t="str">
        <f>IF(COUNTBLANK(AD46:AG46)=4,"",SUM(AD46:AF46)+IF(Setup!$I$15="No",0,AG46))</f>
        <v/>
      </c>
      <c r="AI46" s="186"/>
      <c r="AJ46" s="187"/>
      <c r="AK46" s="188"/>
      <c r="AL46" s="189"/>
      <c r="AM46" s="251" t="str">
        <f>IF(COUNTBLANK(AI46:AL46)=4,"",SUM(AI46:AK46)+IF(Setup!$I$15="No",0,AL46))</f>
        <v/>
      </c>
      <c r="AN46" s="200"/>
      <c r="AO46" s="201"/>
      <c r="AP46" s="202"/>
      <c r="AQ46" s="203"/>
      <c r="AR46" s="255" t="str">
        <f>IF(COUNTBLANK(AN46:AQ46)=4,"",SUM(AN46:AP46)+IF(Setup!$I$15="No",0,AQ46))</f>
        <v/>
      </c>
      <c r="AS46" s="186"/>
      <c r="AT46" s="187"/>
      <c r="AU46" s="188"/>
      <c r="AV46" s="189"/>
      <c r="AW46" s="251" t="str">
        <f>IF(COUNTBLANK(AS46:AV46)=4,"",SUM(AS46:AU46)+IF(Setup!$I$15="No",0,AV46))</f>
        <v/>
      </c>
      <c r="AX46" s="200"/>
      <c r="AY46" s="201"/>
      <c r="AZ46" s="202"/>
      <c r="BA46" s="203"/>
      <c r="BB46" s="255" t="str">
        <f>IF(COUNTBLANK(AX46:BA46)=4,"",SUM(AX46:AZ46)+IF(Setup!$I$15="No",0,BA46))</f>
        <v/>
      </c>
      <c r="BC46" s="259">
        <f ca="1">IF('Demand background (hide)'!A37=Num_Modalities,"",SUM(Demand!I46, Demand!N46))</f>
        <v>13</v>
      </c>
      <c r="BD46" s="259">
        <f ca="1">IF(AND(A46&lt;=MaxRows,BE46&lt;&gt;"Yes"),'Demand background (hide)'!X37+IF(Setup!$I$15="Yes",'Demand background (hide)'!AJ37,0),"")</f>
        <v>460</v>
      </c>
      <c r="BE46" s="209"/>
    </row>
    <row r="47" spans="1:57" ht="15" x14ac:dyDescent="0.25">
      <c r="A47">
        <f t="shared" ca="1" si="0"/>
        <v>35</v>
      </c>
      <c r="B47" s="262" t="str">
        <f t="shared" ca="1" si="1"/>
        <v xml:space="preserve"> </v>
      </c>
      <c r="C47" s="264">
        <f t="shared" ca="1" si="2"/>
        <v>47</v>
      </c>
      <c r="D47" s="422">
        <f t="shared" ca="1" si="3"/>
        <v>42699</v>
      </c>
      <c r="E47" s="186"/>
      <c r="F47" s="187">
        <v>1</v>
      </c>
      <c r="G47" s="188">
        <v>5</v>
      </c>
      <c r="H47" s="189"/>
      <c r="I47" s="251">
        <f>IF(COUNTBLANK(E47:H47)=4,"",SUM(E47:G47)+IF(Setup!$I$15="No",0,H47))</f>
        <v>6</v>
      </c>
      <c r="J47" s="200"/>
      <c r="K47" s="201">
        <v>2</v>
      </c>
      <c r="L47" s="202">
        <v>11</v>
      </c>
      <c r="M47" s="203"/>
      <c r="N47" s="255">
        <f>IF(COUNTBLANK(J47:M47)=4,"",SUM(J47:L47)+IF(Setup!$I$15="No",0,M47))</f>
        <v>13</v>
      </c>
      <c r="O47" s="186"/>
      <c r="P47" s="187"/>
      <c r="Q47" s="188"/>
      <c r="R47" s="189"/>
      <c r="S47" s="251" t="str">
        <f>IF(COUNTBLANK(O47:R47)=4,"",SUM(O47:Q47)+IF(Setup!$I$15="No",0,R47))</f>
        <v/>
      </c>
      <c r="T47" s="200"/>
      <c r="U47" s="201"/>
      <c r="V47" s="202"/>
      <c r="W47" s="203"/>
      <c r="X47" s="255" t="str">
        <f>IF(COUNTBLANK(T47:W47)=4,"",SUM(T47:V47)+IF(Setup!$I$15="No",0,W47))</f>
        <v/>
      </c>
      <c r="Y47" s="186"/>
      <c r="Z47" s="187"/>
      <c r="AA47" s="188"/>
      <c r="AB47" s="189"/>
      <c r="AC47" s="251" t="str">
        <f>IF(COUNTBLANK(Y47:AB47)=4,"",SUM(Y47:AA47)+IF(Setup!$I$15="No",0,AB47))</f>
        <v/>
      </c>
      <c r="AD47" s="200"/>
      <c r="AE47" s="201"/>
      <c r="AF47" s="202"/>
      <c r="AG47" s="203"/>
      <c r="AH47" s="255" t="str">
        <f>IF(COUNTBLANK(AD47:AG47)=4,"",SUM(AD47:AF47)+IF(Setup!$I$15="No",0,AG47))</f>
        <v/>
      </c>
      <c r="AI47" s="186"/>
      <c r="AJ47" s="187"/>
      <c r="AK47" s="188"/>
      <c r="AL47" s="189"/>
      <c r="AM47" s="251" t="str">
        <f>IF(COUNTBLANK(AI47:AL47)=4,"",SUM(AI47:AK47)+IF(Setup!$I$15="No",0,AL47))</f>
        <v/>
      </c>
      <c r="AN47" s="200"/>
      <c r="AO47" s="201"/>
      <c r="AP47" s="202"/>
      <c r="AQ47" s="203"/>
      <c r="AR47" s="255" t="str">
        <f>IF(COUNTBLANK(AN47:AQ47)=4,"",SUM(AN47:AP47)+IF(Setup!$I$15="No",0,AQ47))</f>
        <v/>
      </c>
      <c r="AS47" s="186"/>
      <c r="AT47" s="187"/>
      <c r="AU47" s="188"/>
      <c r="AV47" s="189"/>
      <c r="AW47" s="251" t="str">
        <f>IF(COUNTBLANK(AS47:AV47)=4,"",SUM(AS47:AU47)+IF(Setup!$I$15="No",0,AV47))</f>
        <v/>
      </c>
      <c r="AX47" s="200"/>
      <c r="AY47" s="201"/>
      <c r="AZ47" s="202"/>
      <c r="BA47" s="203"/>
      <c r="BB47" s="255" t="str">
        <f>IF(COUNTBLANK(AX47:BA47)=4,"",SUM(AX47:AZ47)+IF(Setup!$I$15="No",0,BA47))</f>
        <v/>
      </c>
      <c r="BC47" s="259">
        <f ca="1">IF('Demand background (hide)'!A38=Num_Modalities,"",SUM(Demand!I47, Demand!N47))</f>
        <v>19</v>
      </c>
      <c r="BD47" s="259">
        <f ca="1">IF(AND(A47&lt;=MaxRows,BE47&lt;&gt;"Yes"),'Demand background (hide)'!X38+IF(Setup!$I$15="Yes",'Demand background (hide)'!AJ38,0),"")</f>
        <v>700</v>
      </c>
      <c r="BE47" s="209"/>
    </row>
    <row r="48" spans="1:57" ht="15" x14ac:dyDescent="0.25">
      <c r="A48">
        <f t="shared" ca="1" si="0"/>
        <v>36</v>
      </c>
      <c r="B48" s="262" t="str">
        <f t="shared" ca="1" si="1"/>
        <v xml:space="preserve"> </v>
      </c>
      <c r="C48" s="264">
        <f t="shared" ca="1" si="2"/>
        <v>48</v>
      </c>
      <c r="D48" s="422">
        <f t="shared" ca="1" si="3"/>
        <v>42706</v>
      </c>
      <c r="E48" s="186"/>
      <c r="F48" s="187">
        <v>0</v>
      </c>
      <c r="G48" s="188">
        <v>3</v>
      </c>
      <c r="H48" s="189"/>
      <c r="I48" s="251">
        <f>IF(COUNTBLANK(E48:H48)=4,"",SUM(E48:G48)+IF(Setup!$I$15="No",0,H48))</f>
        <v>3</v>
      </c>
      <c r="J48" s="200"/>
      <c r="K48" s="201">
        <v>3</v>
      </c>
      <c r="L48" s="202">
        <v>9</v>
      </c>
      <c r="M48" s="203"/>
      <c r="N48" s="255">
        <f>IF(COUNTBLANK(J48:M48)=4,"",SUM(J48:L48)+IF(Setup!$I$15="No",0,M48))</f>
        <v>12</v>
      </c>
      <c r="O48" s="186"/>
      <c r="P48" s="187"/>
      <c r="Q48" s="188"/>
      <c r="R48" s="189"/>
      <c r="S48" s="251" t="str">
        <f>IF(COUNTBLANK(O48:R48)=4,"",SUM(O48:Q48)+IF(Setup!$I$15="No",0,R48))</f>
        <v/>
      </c>
      <c r="T48" s="200"/>
      <c r="U48" s="201"/>
      <c r="V48" s="202"/>
      <c r="W48" s="203"/>
      <c r="X48" s="255" t="str">
        <f>IF(COUNTBLANK(T48:W48)=4,"",SUM(T48:V48)+IF(Setup!$I$15="No",0,W48))</f>
        <v/>
      </c>
      <c r="Y48" s="186"/>
      <c r="Z48" s="187"/>
      <c r="AA48" s="188"/>
      <c r="AB48" s="189"/>
      <c r="AC48" s="251" t="str">
        <f>IF(COUNTBLANK(Y48:AB48)=4,"",SUM(Y48:AA48)+IF(Setup!$I$15="No",0,AB48))</f>
        <v/>
      </c>
      <c r="AD48" s="200"/>
      <c r="AE48" s="201"/>
      <c r="AF48" s="202"/>
      <c r="AG48" s="203"/>
      <c r="AH48" s="255" t="str">
        <f>IF(COUNTBLANK(AD48:AG48)=4,"",SUM(AD48:AF48)+IF(Setup!$I$15="No",0,AG48))</f>
        <v/>
      </c>
      <c r="AI48" s="186"/>
      <c r="AJ48" s="187"/>
      <c r="AK48" s="188"/>
      <c r="AL48" s="189"/>
      <c r="AM48" s="251" t="str">
        <f>IF(COUNTBLANK(AI48:AL48)=4,"",SUM(AI48:AK48)+IF(Setup!$I$15="No",0,AL48))</f>
        <v/>
      </c>
      <c r="AN48" s="200"/>
      <c r="AO48" s="201"/>
      <c r="AP48" s="202"/>
      <c r="AQ48" s="203"/>
      <c r="AR48" s="255" t="str">
        <f>IF(COUNTBLANK(AN48:AQ48)=4,"",SUM(AN48:AP48)+IF(Setup!$I$15="No",0,AQ48))</f>
        <v/>
      </c>
      <c r="AS48" s="186"/>
      <c r="AT48" s="187"/>
      <c r="AU48" s="188"/>
      <c r="AV48" s="189"/>
      <c r="AW48" s="251" t="str">
        <f>IF(COUNTBLANK(AS48:AV48)=4,"",SUM(AS48:AU48)+IF(Setup!$I$15="No",0,AV48))</f>
        <v/>
      </c>
      <c r="AX48" s="200"/>
      <c r="AY48" s="201"/>
      <c r="AZ48" s="202"/>
      <c r="BA48" s="203"/>
      <c r="BB48" s="255" t="str">
        <f>IF(COUNTBLANK(AX48:BA48)=4,"",SUM(AX48:AZ48)+IF(Setup!$I$15="No",0,BA48))</f>
        <v/>
      </c>
      <c r="BC48" s="259">
        <f ca="1">IF('Demand background (hide)'!A39=Num_Modalities,"",SUM(Demand!I48, Demand!N48))</f>
        <v>15</v>
      </c>
      <c r="BD48" s="259">
        <f ca="1">IF(AND(A48&lt;=MaxRows,BE48&lt;&gt;"Yes"),'Demand background (hide)'!X39+IF(Setup!$I$15="Yes",'Demand background (hide)'!AJ39,0),"")</f>
        <v>570</v>
      </c>
      <c r="BE48" s="209"/>
    </row>
    <row r="49" spans="1:57" ht="15" x14ac:dyDescent="0.25">
      <c r="A49">
        <f t="shared" ca="1" si="0"/>
        <v>37</v>
      </c>
      <c r="B49" s="262" t="str">
        <f t="shared" ca="1" si="1"/>
        <v xml:space="preserve"> </v>
      </c>
      <c r="C49" s="264">
        <f t="shared" ca="1" si="2"/>
        <v>49</v>
      </c>
      <c r="D49" s="422">
        <f t="shared" ca="1" si="3"/>
        <v>42713</v>
      </c>
      <c r="E49" s="186"/>
      <c r="F49" s="187">
        <v>1</v>
      </c>
      <c r="G49" s="188">
        <v>3</v>
      </c>
      <c r="H49" s="189"/>
      <c r="I49" s="251">
        <f>IF(COUNTBLANK(E49:H49)=4,"",SUM(E49:G49)+IF(Setup!$I$15="No",0,H49))</f>
        <v>4</v>
      </c>
      <c r="J49" s="200"/>
      <c r="K49" s="201">
        <v>1</v>
      </c>
      <c r="L49" s="202">
        <v>11</v>
      </c>
      <c r="M49" s="203"/>
      <c r="N49" s="255">
        <f>IF(COUNTBLANK(J49:M49)=4,"",SUM(J49:L49)+IF(Setup!$I$15="No",0,M49))</f>
        <v>12</v>
      </c>
      <c r="O49" s="186"/>
      <c r="P49" s="187"/>
      <c r="Q49" s="188"/>
      <c r="R49" s="189"/>
      <c r="S49" s="251" t="str">
        <f>IF(COUNTBLANK(O49:R49)=4,"",SUM(O49:Q49)+IF(Setup!$I$15="No",0,R49))</f>
        <v/>
      </c>
      <c r="T49" s="200"/>
      <c r="U49" s="201"/>
      <c r="V49" s="202"/>
      <c r="W49" s="203"/>
      <c r="X49" s="255" t="str">
        <f>IF(COUNTBLANK(T49:W49)=4,"",SUM(T49:V49)+IF(Setup!$I$15="No",0,W49))</f>
        <v/>
      </c>
      <c r="Y49" s="186"/>
      <c r="Z49" s="187"/>
      <c r="AA49" s="188"/>
      <c r="AB49" s="189"/>
      <c r="AC49" s="251" t="str">
        <f>IF(COUNTBLANK(Y49:AB49)=4,"",SUM(Y49:AA49)+IF(Setup!$I$15="No",0,AB49))</f>
        <v/>
      </c>
      <c r="AD49" s="200"/>
      <c r="AE49" s="201"/>
      <c r="AF49" s="202"/>
      <c r="AG49" s="203"/>
      <c r="AH49" s="255" t="str">
        <f>IF(COUNTBLANK(AD49:AG49)=4,"",SUM(AD49:AF49)+IF(Setup!$I$15="No",0,AG49))</f>
        <v/>
      </c>
      <c r="AI49" s="186"/>
      <c r="AJ49" s="187"/>
      <c r="AK49" s="188"/>
      <c r="AL49" s="189"/>
      <c r="AM49" s="251" t="str">
        <f>IF(COUNTBLANK(AI49:AL49)=4,"",SUM(AI49:AK49)+IF(Setup!$I$15="No",0,AL49))</f>
        <v/>
      </c>
      <c r="AN49" s="200"/>
      <c r="AO49" s="201"/>
      <c r="AP49" s="202"/>
      <c r="AQ49" s="203"/>
      <c r="AR49" s="255" t="str">
        <f>IF(COUNTBLANK(AN49:AQ49)=4,"",SUM(AN49:AP49)+IF(Setup!$I$15="No",0,AQ49))</f>
        <v/>
      </c>
      <c r="AS49" s="186"/>
      <c r="AT49" s="187"/>
      <c r="AU49" s="188"/>
      <c r="AV49" s="189"/>
      <c r="AW49" s="251" t="str">
        <f>IF(COUNTBLANK(AS49:AV49)=4,"",SUM(AS49:AU49)+IF(Setup!$I$15="No",0,AV49))</f>
        <v/>
      </c>
      <c r="AX49" s="200"/>
      <c r="AY49" s="201"/>
      <c r="AZ49" s="202"/>
      <c r="BA49" s="203"/>
      <c r="BB49" s="255" t="str">
        <f>IF(COUNTBLANK(AX49:BA49)=4,"",SUM(AX49:AZ49)+IF(Setup!$I$15="No",0,BA49))</f>
        <v/>
      </c>
      <c r="BC49" s="259">
        <f ca="1">IF('Demand background (hide)'!A40=Num_Modalities,"",SUM(Demand!I49, Demand!N49))</f>
        <v>16</v>
      </c>
      <c r="BD49" s="259">
        <f ca="1">IF(AND(A49&lt;=MaxRows,BE49&lt;&gt;"Yes"),'Demand background (hide)'!X40+IF(Setup!$I$15="Yes",'Demand background (hide)'!AJ40,0),"")</f>
        <v>600</v>
      </c>
      <c r="BE49" s="209"/>
    </row>
    <row r="50" spans="1:57" ht="15" x14ac:dyDescent="0.25">
      <c r="A50">
        <f t="shared" ca="1" si="0"/>
        <v>38</v>
      </c>
      <c r="B50" s="262" t="str">
        <f t="shared" ca="1" si="1"/>
        <v xml:space="preserve"> </v>
      </c>
      <c r="C50" s="264">
        <f t="shared" ca="1" si="2"/>
        <v>50</v>
      </c>
      <c r="D50" s="422">
        <f t="shared" ca="1" si="3"/>
        <v>42720</v>
      </c>
      <c r="E50" s="186"/>
      <c r="F50" s="187">
        <v>0</v>
      </c>
      <c r="G50" s="188">
        <v>1</v>
      </c>
      <c r="H50" s="189"/>
      <c r="I50" s="251">
        <f>IF(COUNTBLANK(E50:H50)=4,"",SUM(E50:G50)+IF(Setup!$I$15="No",0,H50))</f>
        <v>1</v>
      </c>
      <c r="J50" s="200"/>
      <c r="K50" s="201">
        <v>5</v>
      </c>
      <c r="L50" s="202">
        <v>7</v>
      </c>
      <c r="M50" s="203"/>
      <c r="N50" s="255">
        <f>IF(COUNTBLANK(J50:M50)=4,"",SUM(J50:L50)+IF(Setup!$I$15="No",0,M50))</f>
        <v>12</v>
      </c>
      <c r="O50" s="186"/>
      <c r="P50" s="187"/>
      <c r="Q50" s="188"/>
      <c r="R50" s="189"/>
      <c r="S50" s="251" t="str">
        <f>IF(COUNTBLANK(O50:R50)=4,"",SUM(O50:Q50)+IF(Setup!$I$15="No",0,R50))</f>
        <v/>
      </c>
      <c r="T50" s="200"/>
      <c r="U50" s="201"/>
      <c r="V50" s="202"/>
      <c r="W50" s="203"/>
      <c r="X50" s="255" t="str">
        <f>IF(COUNTBLANK(T50:W50)=4,"",SUM(T50:V50)+IF(Setup!$I$15="No",0,W50))</f>
        <v/>
      </c>
      <c r="Y50" s="186"/>
      <c r="Z50" s="187"/>
      <c r="AA50" s="188"/>
      <c r="AB50" s="189"/>
      <c r="AC50" s="251" t="str">
        <f>IF(COUNTBLANK(Y50:AB50)=4,"",SUM(Y50:AA50)+IF(Setup!$I$15="No",0,AB50))</f>
        <v/>
      </c>
      <c r="AD50" s="200"/>
      <c r="AE50" s="201"/>
      <c r="AF50" s="202"/>
      <c r="AG50" s="203"/>
      <c r="AH50" s="255" t="str">
        <f>IF(COUNTBLANK(AD50:AG50)=4,"",SUM(AD50:AF50)+IF(Setup!$I$15="No",0,AG50))</f>
        <v/>
      </c>
      <c r="AI50" s="186"/>
      <c r="AJ50" s="187"/>
      <c r="AK50" s="188"/>
      <c r="AL50" s="189"/>
      <c r="AM50" s="251" t="str">
        <f>IF(COUNTBLANK(AI50:AL50)=4,"",SUM(AI50:AK50)+IF(Setup!$I$15="No",0,AL50))</f>
        <v/>
      </c>
      <c r="AN50" s="200"/>
      <c r="AO50" s="201"/>
      <c r="AP50" s="202"/>
      <c r="AQ50" s="203"/>
      <c r="AR50" s="255" t="str">
        <f>IF(COUNTBLANK(AN50:AQ50)=4,"",SUM(AN50:AP50)+IF(Setup!$I$15="No",0,AQ50))</f>
        <v/>
      </c>
      <c r="AS50" s="186"/>
      <c r="AT50" s="187"/>
      <c r="AU50" s="188"/>
      <c r="AV50" s="189"/>
      <c r="AW50" s="251" t="str">
        <f>IF(COUNTBLANK(AS50:AV50)=4,"",SUM(AS50:AU50)+IF(Setup!$I$15="No",0,AV50))</f>
        <v/>
      </c>
      <c r="AX50" s="200"/>
      <c r="AY50" s="201"/>
      <c r="AZ50" s="202"/>
      <c r="BA50" s="203"/>
      <c r="BB50" s="255" t="str">
        <f>IF(COUNTBLANK(AX50:BA50)=4,"",SUM(AX50:AZ50)+IF(Setup!$I$15="No",0,BA50))</f>
        <v/>
      </c>
      <c r="BC50" s="259">
        <f ca="1">IF('Demand background (hide)'!A41=Num_Modalities,"",SUM(Demand!I50, Demand!N50))</f>
        <v>13</v>
      </c>
      <c r="BD50" s="259">
        <f ca="1">IF(AND(A50&lt;=MaxRows,BE50&lt;&gt;"Yes"),'Demand background (hide)'!X41+IF(Setup!$I$15="Yes",'Demand background (hide)'!AJ41,0),"")</f>
        <v>510</v>
      </c>
      <c r="BE50" s="209"/>
    </row>
    <row r="51" spans="1:57" ht="15" x14ac:dyDescent="0.25">
      <c r="A51">
        <f t="shared" ca="1" si="0"/>
        <v>39</v>
      </c>
      <c r="B51" s="262" t="str">
        <f t="shared" ca="1" si="1"/>
        <v xml:space="preserve"> </v>
      </c>
      <c r="C51" s="264">
        <f t="shared" ca="1" si="2"/>
        <v>51</v>
      </c>
      <c r="D51" s="422">
        <f t="shared" ca="1" si="3"/>
        <v>42727</v>
      </c>
      <c r="E51" s="186"/>
      <c r="F51" s="187">
        <v>0</v>
      </c>
      <c r="G51" s="188">
        <v>2</v>
      </c>
      <c r="H51" s="189"/>
      <c r="I51" s="251">
        <f>IF(COUNTBLANK(E51:H51)=4,"",SUM(E51:G51)+IF(Setup!$I$15="No",0,H51))</f>
        <v>2</v>
      </c>
      <c r="J51" s="200"/>
      <c r="K51" s="201">
        <v>2</v>
      </c>
      <c r="L51" s="202">
        <v>4</v>
      </c>
      <c r="M51" s="203"/>
      <c r="N51" s="255">
        <f>IF(COUNTBLANK(J51:M51)=4,"",SUM(J51:L51)+IF(Setup!$I$15="No",0,M51))</f>
        <v>6</v>
      </c>
      <c r="O51" s="186"/>
      <c r="P51" s="187"/>
      <c r="Q51" s="188"/>
      <c r="R51" s="189"/>
      <c r="S51" s="251" t="str">
        <f>IF(COUNTBLANK(O51:R51)=4,"",SUM(O51:Q51)+IF(Setup!$I$15="No",0,R51))</f>
        <v/>
      </c>
      <c r="T51" s="200"/>
      <c r="U51" s="201"/>
      <c r="V51" s="202"/>
      <c r="W51" s="203"/>
      <c r="X51" s="255" t="str">
        <f>IF(COUNTBLANK(T51:W51)=4,"",SUM(T51:V51)+IF(Setup!$I$15="No",0,W51))</f>
        <v/>
      </c>
      <c r="Y51" s="186"/>
      <c r="Z51" s="187"/>
      <c r="AA51" s="188"/>
      <c r="AB51" s="189"/>
      <c r="AC51" s="251" t="str">
        <f>IF(COUNTBLANK(Y51:AB51)=4,"",SUM(Y51:AA51)+IF(Setup!$I$15="No",0,AB51))</f>
        <v/>
      </c>
      <c r="AD51" s="200"/>
      <c r="AE51" s="201"/>
      <c r="AF51" s="202"/>
      <c r="AG51" s="203"/>
      <c r="AH51" s="255" t="str">
        <f>IF(COUNTBLANK(AD51:AG51)=4,"",SUM(AD51:AF51)+IF(Setup!$I$15="No",0,AG51))</f>
        <v/>
      </c>
      <c r="AI51" s="186"/>
      <c r="AJ51" s="187"/>
      <c r="AK51" s="188"/>
      <c r="AL51" s="189"/>
      <c r="AM51" s="251" t="str">
        <f>IF(COUNTBLANK(AI51:AL51)=4,"",SUM(AI51:AK51)+IF(Setup!$I$15="No",0,AL51))</f>
        <v/>
      </c>
      <c r="AN51" s="200"/>
      <c r="AO51" s="201"/>
      <c r="AP51" s="202"/>
      <c r="AQ51" s="203"/>
      <c r="AR51" s="255" t="str">
        <f>IF(COUNTBLANK(AN51:AQ51)=4,"",SUM(AN51:AP51)+IF(Setup!$I$15="No",0,AQ51))</f>
        <v/>
      </c>
      <c r="AS51" s="186"/>
      <c r="AT51" s="187"/>
      <c r="AU51" s="188"/>
      <c r="AV51" s="189"/>
      <c r="AW51" s="251" t="str">
        <f>IF(COUNTBLANK(AS51:AV51)=4,"",SUM(AS51:AU51)+IF(Setup!$I$15="No",0,AV51))</f>
        <v/>
      </c>
      <c r="AX51" s="200"/>
      <c r="AY51" s="201"/>
      <c r="AZ51" s="202"/>
      <c r="BA51" s="203"/>
      <c r="BB51" s="255" t="str">
        <f>IF(COUNTBLANK(AX51:BA51)=4,"",SUM(AX51:AZ51)+IF(Setup!$I$15="No",0,BA51))</f>
        <v/>
      </c>
      <c r="BC51" s="259">
        <f ca="1">IF('Demand background (hide)'!A42=Num_Modalities,"",SUM(Demand!I51, Demand!N51))</f>
        <v>8</v>
      </c>
      <c r="BD51" s="259">
        <f ca="1">IF(AND(A51&lt;=MaxRows,BE51&lt;&gt;"Yes"),'Demand background (hide)'!X42+IF(Setup!$I$15="Yes",'Demand background (hide)'!AJ42,0),"")</f>
        <v>300</v>
      </c>
      <c r="BE51" s="209"/>
    </row>
    <row r="52" spans="1:57" ht="15" x14ac:dyDescent="0.25">
      <c r="A52">
        <f t="shared" ca="1" si="0"/>
        <v>40</v>
      </c>
      <c r="B52" s="262" t="str">
        <f t="shared" ca="1" si="1"/>
        <v xml:space="preserve"> </v>
      </c>
      <c r="C52" s="264">
        <f t="shared" ca="1" si="2"/>
        <v>52</v>
      </c>
      <c r="D52" s="422">
        <f t="shared" ca="1" si="3"/>
        <v>42734</v>
      </c>
      <c r="E52" s="186"/>
      <c r="F52" s="187">
        <v>0</v>
      </c>
      <c r="G52" s="188">
        <v>7</v>
      </c>
      <c r="H52" s="189"/>
      <c r="I52" s="251">
        <f>IF(COUNTBLANK(E52:H52)=4,"",SUM(E52:G52)+IF(Setup!$I$15="No",0,H52))</f>
        <v>7</v>
      </c>
      <c r="J52" s="200"/>
      <c r="K52" s="201">
        <v>1</v>
      </c>
      <c r="L52" s="202">
        <v>13</v>
      </c>
      <c r="M52" s="203"/>
      <c r="N52" s="255">
        <f>IF(COUNTBLANK(J52:M52)=4,"",SUM(J52:L52)+IF(Setup!$I$15="No",0,M52))</f>
        <v>14</v>
      </c>
      <c r="O52" s="186"/>
      <c r="P52" s="187"/>
      <c r="Q52" s="188"/>
      <c r="R52" s="189"/>
      <c r="S52" s="251" t="str">
        <f>IF(COUNTBLANK(O52:R52)=4,"",SUM(O52:Q52)+IF(Setup!$I$15="No",0,R52))</f>
        <v/>
      </c>
      <c r="T52" s="200"/>
      <c r="U52" s="201"/>
      <c r="V52" s="202"/>
      <c r="W52" s="203"/>
      <c r="X52" s="255" t="str">
        <f>IF(COUNTBLANK(T52:W52)=4,"",SUM(T52:V52)+IF(Setup!$I$15="No",0,W52))</f>
        <v/>
      </c>
      <c r="Y52" s="186"/>
      <c r="Z52" s="187"/>
      <c r="AA52" s="188"/>
      <c r="AB52" s="189"/>
      <c r="AC52" s="251" t="str">
        <f>IF(COUNTBLANK(Y52:AB52)=4,"",SUM(Y52:AA52)+IF(Setup!$I$15="No",0,AB52))</f>
        <v/>
      </c>
      <c r="AD52" s="200"/>
      <c r="AE52" s="201"/>
      <c r="AF52" s="202"/>
      <c r="AG52" s="203"/>
      <c r="AH52" s="255" t="str">
        <f>IF(COUNTBLANK(AD52:AG52)=4,"",SUM(AD52:AF52)+IF(Setup!$I$15="No",0,AG52))</f>
        <v/>
      </c>
      <c r="AI52" s="186"/>
      <c r="AJ52" s="187"/>
      <c r="AK52" s="188"/>
      <c r="AL52" s="189"/>
      <c r="AM52" s="251" t="str">
        <f>IF(COUNTBLANK(AI52:AL52)=4,"",SUM(AI52:AK52)+IF(Setup!$I$15="No",0,AL52))</f>
        <v/>
      </c>
      <c r="AN52" s="200"/>
      <c r="AO52" s="201"/>
      <c r="AP52" s="202"/>
      <c r="AQ52" s="203"/>
      <c r="AR52" s="255" t="str">
        <f>IF(COUNTBLANK(AN52:AQ52)=4,"",SUM(AN52:AP52)+IF(Setup!$I$15="No",0,AQ52))</f>
        <v/>
      </c>
      <c r="AS52" s="186"/>
      <c r="AT52" s="187"/>
      <c r="AU52" s="188"/>
      <c r="AV52" s="189"/>
      <c r="AW52" s="251" t="str">
        <f>IF(COUNTBLANK(AS52:AV52)=4,"",SUM(AS52:AU52)+IF(Setup!$I$15="No",0,AV52))</f>
        <v/>
      </c>
      <c r="AX52" s="200"/>
      <c r="AY52" s="201"/>
      <c r="AZ52" s="202"/>
      <c r="BA52" s="203"/>
      <c r="BB52" s="255" t="str">
        <f>IF(COUNTBLANK(AX52:BA52)=4,"",SUM(AX52:AZ52)+IF(Setup!$I$15="No",0,BA52))</f>
        <v/>
      </c>
      <c r="BC52" s="259">
        <f ca="1">IF('Demand background (hide)'!A43=Num_Modalities,"",SUM(Demand!I52, Demand!N52))</f>
        <v>21</v>
      </c>
      <c r="BD52" s="259">
        <f ca="1">IF(AND(A52&lt;=MaxRows,BE52&lt;&gt;"Yes"),'Demand background (hide)'!X43+IF(Setup!$I$15="Yes",'Demand background (hide)'!AJ43,0),"")</f>
        <v>770</v>
      </c>
      <c r="BE52" s="209"/>
    </row>
    <row r="53" spans="1:57" ht="15" x14ac:dyDescent="0.25">
      <c r="A53">
        <f t="shared" ca="1" si="0"/>
        <v>41</v>
      </c>
      <c r="B53" s="262">
        <f t="shared" ca="1" si="1"/>
        <v>2017</v>
      </c>
      <c r="C53" s="264">
        <f t="shared" ca="1" si="2"/>
        <v>1</v>
      </c>
      <c r="D53" s="422">
        <f t="shared" ca="1" si="3"/>
        <v>42741</v>
      </c>
      <c r="E53" s="186"/>
      <c r="F53" s="187">
        <v>0</v>
      </c>
      <c r="G53" s="188">
        <v>1</v>
      </c>
      <c r="H53" s="189"/>
      <c r="I53" s="251">
        <f>IF(COUNTBLANK(E53:H53)=4,"",SUM(E53:G53)+IF(Setup!$I$15="No",0,H53))</f>
        <v>1</v>
      </c>
      <c r="J53" s="200"/>
      <c r="K53" s="201">
        <v>4</v>
      </c>
      <c r="L53" s="202">
        <v>8</v>
      </c>
      <c r="M53" s="203"/>
      <c r="N53" s="255">
        <f>IF(COUNTBLANK(J53:M53)=4,"",SUM(J53:L53)+IF(Setup!$I$15="No",0,M53))</f>
        <v>12</v>
      </c>
      <c r="O53" s="186"/>
      <c r="P53" s="187"/>
      <c r="Q53" s="188"/>
      <c r="R53" s="189"/>
      <c r="S53" s="251" t="str">
        <f>IF(COUNTBLANK(O53:R53)=4,"",SUM(O53:Q53)+IF(Setup!$I$15="No",0,R53))</f>
        <v/>
      </c>
      <c r="T53" s="200"/>
      <c r="U53" s="201"/>
      <c r="V53" s="202"/>
      <c r="W53" s="203"/>
      <c r="X53" s="255" t="str">
        <f>IF(COUNTBLANK(T53:W53)=4,"",SUM(T53:V53)+IF(Setup!$I$15="No",0,W53))</f>
        <v/>
      </c>
      <c r="Y53" s="186"/>
      <c r="Z53" s="187"/>
      <c r="AA53" s="188"/>
      <c r="AB53" s="189"/>
      <c r="AC53" s="251" t="str">
        <f>IF(COUNTBLANK(Y53:AB53)=4,"",SUM(Y53:AA53)+IF(Setup!$I$15="No",0,AB53))</f>
        <v/>
      </c>
      <c r="AD53" s="200"/>
      <c r="AE53" s="201"/>
      <c r="AF53" s="202"/>
      <c r="AG53" s="203"/>
      <c r="AH53" s="255" t="str">
        <f>IF(COUNTBLANK(AD53:AG53)=4,"",SUM(AD53:AF53)+IF(Setup!$I$15="No",0,AG53))</f>
        <v/>
      </c>
      <c r="AI53" s="186"/>
      <c r="AJ53" s="187"/>
      <c r="AK53" s="188"/>
      <c r="AL53" s="189"/>
      <c r="AM53" s="251" t="str">
        <f>IF(COUNTBLANK(AI53:AL53)=4,"",SUM(AI53:AK53)+IF(Setup!$I$15="No",0,AL53))</f>
        <v/>
      </c>
      <c r="AN53" s="200"/>
      <c r="AO53" s="201"/>
      <c r="AP53" s="202"/>
      <c r="AQ53" s="203"/>
      <c r="AR53" s="255" t="str">
        <f>IF(COUNTBLANK(AN53:AQ53)=4,"",SUM(AN53:AP53)+IF(Setup!$I$15="No",0,AQ53))</f>
        <v/>
      </c>
      <c r="AS53" s="186"/>
      <c r="AT53" s="187"/>
      <c r="AU53" s="188"/>
      <c r="AV53" s="189"/>
      <c r="AW53" s="251" t="str">
        <f>IF(COUNTBLANK(AS53:AV53)=4,"",SUM(AS53:AU53)+IF(Setup!$I$15="No",0,AV53))</f>
        <v/>
      </c>
      <c r="AX53" s="200"/>
      <c r="AY53" s="201"/>
      <c r="AZ53" s="202"/>
      <c r="BA53" s="203"/>
      <c r="BB53" s="255" t="str">
        <f>IF(COUNTBLANK(AX53:BA53)=4,"",SUM(AX53:AZ53)+IF(Setup!$I$15="No",0,BA53))</f>
        <v/>
      </c>
      <c r="BC53" s="259">
        <f ca="1">IF('Demand background (hide)'!A44=Num_Modalities,"",SUM(Demand!I53, Demand!N53))</f>
        <v>13</v>
      </c>
      <c r="BD53" s="259">
        <f ca="1">IF(AND(A53&lt;=MaxRows,BE53&lt;&gt;"Yes"),'Demand background (hide)'!X44+IF(Setup!$I$15="Yes",'Demand background (hide)'!AJ44,0),"")</f>
        <v>510</v>
      </c>
      <c r="BE53" s="209"/>
    </row>
    <row r="54" spans="1:57" ht="15" x14ac:dyDescent="0.25">
      <c r="A54">
        <f t="shared" ca="1" si="0"/>
        <v>42</v>
      </c>
      <c r="B54" s="262" t="str">
        <f t="shared" ca="1" si="1"/>
        <v xml:space="preserve"> </v>
      </c>
      <c r="C54" s="264">
        <f t="shared" ca="1" si="2"/>
        <v>2</v>
      </c>
      <c r="D54" s="422">
        <f t="shared" ca="1" si="3"/>
        <v>42748</v>
      </c>
      <c r="E54" s="186"/>
      <c r="F54" s="187">
        <v>0</v>
      </c>
      <c r="G54" s="188">
        <v>4</v>
      </c>
      <c r="H54" s="189"/>
      <c r="I54" s="251">
        <f>IF(COUNTBLANK(E54:H54)=4,"",SUM(E54:G54)+IF(Setup!$I$15="No",0,H54))</f>
        <v>4</v>
      </c>
      <c r="J54" s="200"/>
      <c r="K54" s="201">
        <v>2</v>
      </c>
      <c r="L54" s="202">
        <v>6</v>
      </c>
      <c r="M54" s="203"/>
      <c r="N54" s="255">
        <f>IF(COUNTBLANK(J54:M54)=4,"",SUM(J54:L54)+IF(Setup!$I$15="No",0,M54))</f>
        <v>8</v>
      </c>
      <c r="O54" s="186"/>
      <c r="P54" s="187"/>
      <c r="Q54" s="188"/>
      <c r="R54" s="189"/>
      <c r="S54" s="251" t="str">
        <f>IF(COUNTBLANK(O54:R54)=4,"",SUM(O54:Q54)+IF(Setup!$I$15="No",0,R54))</f>
        <v/>
      </c>
      <c r="T54" s="200"/>
      <c r="U54" s="201"/>
      <c r="V54" s="202"/>
      <c r="W54" s="203"/>
      <c r="X54" s="255" t="str">
        <f>IF(COUNTBLANK(T54:W54)=4,"",SUM(T54:V54)+IF(Setup!$I$15="No",0,W54))</f>
        <v/>
      </c>
      <c r="Y54" s="186"/>
      <c r="Z54" s="187"/>
      <c r="AA54" s="188"/>
      <c r="AB54" s="189"/>
      <c r="AC54" s="251" t="str">
        <f>IF(COUNTBLANK(Y54:AB54)=4,"",SUM(Y54:AA54)+IF(Setup!$I$15="No",0,AB54))</f>
        <v/>
      </c>
      <c r="AD54" s="200"/>
      <c r="AE54" s="201"/>
      <c r="AF54" s="202"/>
      <c r="AG54" s="203"/>
      <c r="AH54" s="255" t="str">
        <f>IF(COUNTBLANK(AD54:AG54)=4,"",SUM(AD54:AF54)+IF(Setup!$I$15="No",0,AG54))</f>
        <v/>
      </c>
      <c r="AI54" s="186"/>
      <c r="AJ54" s="187"/>
      <c r="AK54" s="188"/>
      <c r="AL54" s="189"/>
      <c r="AM54" s="251" t="str">
        <f>IF(COUNTBLANK(AI54:AL54)=4,"",SUM(AI54:AK54)+IF(Setup!$I$15="No",0,AL54))</f>
        <v/>
      </c>
      <c r="AN54" s="200"/>
      <c r="AO54" s="201"/>
      <c r="AP54" s="202"/>
      <c r="AQ54" s="203"/>
      <c r="AR54" s="255" t="str">
        <f>IF(COUNTBLANK(AN54:AQ54)=4,"",SUM(AN54:AP54)+IF(Setup!$I$15="No",0,AQ54))</f>
        <v/>
      </c>
      <c r="AS54" s="186"/>
      <c r="AT54" s="187"/>
      <c r="AU54" s="188"/>
      <c r="AV54" s="189"/>
      <c r="AW54" s="251" t="str">
        <f>IF(COUNTBLANK(AS54:AV54)=4,"",SUM(AS54:AU54)+IF(Setup!$I$15="No",0,AV54))</f>
        <v/>
      </c>
      <c r="AX54" s="200"/>
      <c r="AY54" s="201"/>
      <c r="AZ54" s="202"/>
      <c r="BA54" s="203"/>
      <c r="BB54" s="255" t="str">
        <f>IF(COUNTBLANK(AX54:BA54)=4,"",SUM(AX54:AZ54)+IF(Setup!$I$15="No",0,BA54))</f>
        <v/>
      </c>
      <c r="BC54" s="259">
        <f ca="1">IF('Demand background (hide)'!A45=Num_Modalities,"",SUM(Demand!I54, Demand!N54))</f>
        <v>12</v>
      </c>
      <c r="BD54" s="259">
        <f ca="1">IF(AND(A54&lt;=MaxRows,BE54&lt;&gt;"Yes"),'Demand background (hide)'!X45+IF(Setup!$I$15="Yes",'Demand background (hide)'!AJ45,0),"")</f>
        <v>440</v>
      </c>
      <c r="BE54" s="209"/>
    </row>
    <row r="55" spans="1:57" ht="15" x14ac:dyDescent="0.25">
      <c r="A55">
        <f t="shared" ca="1" si="0"/>
        <v>43</v>
      </c>
      <c r="B55" s="262" t="str">
        <f t="shared" ca="1" si="1"/>
        <v xml:space="preserve"> </v>
      </c>
      <c r="C55" s="264">
        <f t="shared" ca="1" si="2"/>
        <v>3</v>
      </c>
      <c r="D55" s="422">
        <f t="shared" ca="1" si="3"/>
        <v>42755</v>
      </c>
      <c r="E55" s="186"/>
      <c r="F55" s="187">
        <v>2</v>
      </c>
      <c r="G55" s="188">
        <v>9</v>
      </c>
      <c r="H55" s="189"/>
      <c r="I55" s="251">
        <f>IF(COUNTBLANK(E55:H55)=4,"",SUM(E55:G55)+IF(Setup!$I$15="No",0,H55))</f>
        <v>11</v>
      </c>
      <c r="J55" s="200"/>
      <c r="K55" s="201">
        <v>2</v>
      </c>
      <c r="L55" s="202">
        <v>6</v>
      </c>
      <c r="M55" s="203"/>
      <c r="N55" s="255">
        <f>IF(COUNTBLANK(J55:M55)=4,"",SUM(J55:L55)+IF(Setup!$I$15="No",0,M55))</f>
        <v>8</v>
      </c>
      <c r="O55" s="186"/>
      <c r="P55" s="187"/>
      <c r="Q55" s="188"/>
      <c r="R55" s="189"/>
      <c r="S55" s="251" t="str">
        <f>IF(COUNTBLANK(O55:R55)=4,"",SUM(O55:Q55)+IF(Setup!$I$15="No",0,R55))</f>
        <v/>
      </c>
      <c r="T55" s="200"/>
      <c r="U55" s="201"/>
      <c r="V55" s="202"/>
      <c r="W55" s="203"/>
      <c r="X55" s="255" t="str">
        <f>IF(COUNTBLANK(T55:W55)=4,"",SUM(T55:V55)+IF(Setup!$I$15="No",0,W55))</f>
        <v/>
      </c>
      <c r="Y55" s="186"/>
      <c r="Z55" s="187"/>
      <c r="AA55" s="188"/>
      <c r="AB55" s="189"/>
      <c r="AC55" s="251" t="str">
        <f>IF(COUNTBLANK(Y55:AB55)=4,"",SUM(Y55:AA55)+IF(Setup!$I$15="No",0,AB55))</f>
        <v/>
      </c>
      <c r="AD55" s="200"/>
      <c r="AE55" s="201"/>
      <c r="AF55" s="202"/>
      <c r="AG55" s="203"/>
      <c r="AH55" s="255" t="str">
        <f>IF(COUNTBLANK(AD55:AG55)=4,"",SUM(AD55:AF55)+IF(Setup!$I$15="No",0,AG55))</f>
        <v/>
      </c>
      <c r="AI55" s="186"/>
      <c r="AJ55" s="187"/>
      <c r="AK55" s="188"/>
      <c r="AL55" s="189"/>
      <c r="AM55" s="251" t="str">
        <f>IF(COUNTBLANK(AI55:AL55)=4,"",SUM(AI55:AK55)+IF(Setup!$I$15="No",0,AL55))</f>
        <v/>
      </c>
      <c r="AN55" s="200"/>
      <c r="AO55" s="201"/>
      <c r="AP55" s="202"/>
      <c r="AQ55" s="203"/>
      <c r="AR55" s="255" t="str">
        <f>IF(COUNTBLANK(AN55:AQ55)=4,"",SUM(AN55:AP55)+IF(Setup!$I$15="No",0,AQ55))</f>
        <v/>
      </c>
      <c r="AS55" s="186"/>
      <c r="AT55" s="187"/>
      <c r="AU55" s="188"/>
      <c r="AV55" s="189"/>
      <c r="AW55" s="251" t="str">
        <f>IF(COUNTBLANK(AS55:AV55)=4,"",SUM(AS55:AU55)+IF(Setup!$I$15="No",0,AV55))</f>
        <v/>
      </c>
      <c r="AX55" s="200"/>
      <c r="AY55" s="201"/>
      <c r="AZ55" s="202"/>
      <c r="BA55" s="203"/>
      <c r="BB55" s="255" t="str">
        <f>IF(COUNTBLANK(AX55:BA55)=4,"",SUM(AX55:AZ55)+IF(Setup!$I$15="No",0,BA55))</f>
        <v/>
      </c>
      <c r="BC55" s="259">
        <f ca="1">IF('Demand background (hide)'!A46=Num_Modalities,"",SUM(Demand!I55, Demand!N55))</f>
        <v>19</v>
      </c>
      <c r="BD55" s="259">
        <f ca="1">IF(AND(A55&lt;=MaxRows,BE55&lt;&gt;"Yes"),'Demand background (hide)'!X46+IF(Setup!$I$15="Yes",'Demand background (hide)'!AJ46,0),"")</f>
        <v>650</v>
      </c>
      <c r="BE55" s="209"/>
    </row>
    <row r="56" spans="1:57" ht="15" x14ac:dyDescent="0.25">
      <c r="A56">
        <f t="shared" ca="1" si="0"/>
        <v>44</v>
      </c>
      <c r="B56" s="262" t="str">
        <f t="shared" ca="1" si="1"/>
        <v xml:space="preserve"> </v>
      </c>
      <c r="C56" s="264">
        <f t="shared" ca="1" si="2"/>
        <v>4</v>
      </c>
      <c r="D56" s="422">
        <f t="shared" ca="1" si="3"/>
        <v>42762</v>
      </c>
      <c r="E56" s="186"/>
      <c r="F56" s="187">
        <v>0</v>
      </c>
      <c r="G56" s="188">
        <v>2</v>
      </c>
      <c r="H56" s="189"/>
      <c r="I56" s="251">
        <f>IF(COUNTBLANK(E56:H56)=4,"",SUM(E56:G56)+IF(Setup!$I$15="No",0,H56))</f>
        <v>2</v>
      </c>
      <c r="J56" s="200"/>
      <c r="K56" s="201">
        <v>5</v>
      </c>
      <c r="L56" s="202">
        <v>9</v>
      </c>
      <c r="M56" s="203"/>
      <c r="N56" s="255">
        <f>IF(COUNTBLANK(J56:M56)=4,"",SUM(J56:L56)+IF(Setup!$I$15="No",0,M56))</f>
        <v>14</v>
      </c>
      <c r="O56" s="186"/>
      <c r="P56" s="187"/>
      <c r="Q56" s="188"/>
      <c r="R56" s="189"/>
      <c r="S56" s="251" t="str">
        <f>IF(COUNTBLANK(O56:R56)=4,"",SUM(O56:Q56)+IF(Setup!$I$15="No",0,R56))</f>
        <v/>
      </c>
      <c r="T56" s="200"/>
      <c r="U56" s="201"/>
      <c r="V56" s="202"/>
      <c r="W56" s="203"/>
      <c r="X56" s="255" t="str">
        <f>IF(COUNTBLANK(T56:W56)=4,"",SUM(T56:V56)+IF(Setup!$I$15="No",0,W56))</f>
        <v/>
      </c>
      <c r="Y56" s="186"/>
      <c r="Z56" s="187"/>
      <c r="AA56" s="188"/>
      <c r="AB56" s="189"/>
      <c r="AC56" s="251" t="str">
        <f>IF(COUNTBLANK(Y56:AB56)=4,"",SUM(Y56:AA56)+IF(Setup!$I$15="No",0,AB56))</f>
        <v/>
      </c>
      <c r="AD56" s="200"/>
      <c r="AE56" s="201"/>
      <c r="AF56" s="202"/>
      <c r="AG56" s="203"/>
      <c r="AH56" s="255" t="str">
        <f>IF(COUNTBLANK(AD56:AG56)=4,"",SUM(AD56:AF56)+IF(Setup!$I$15="No",0,AG56))</f>
        <v/>
      </c>
      <c r="AI56" s="186"/>
      <c r="AJ56" s="187"/>
      <c r="AK56" s="188"/>
      <c r="AL56" s="189"/>
      <c r="AM56" s="251" t="str">
        <f>IF(COUNTBLANK(AI56:AL56)=4,"",SUM(AI56:AK56)+IF(Setup!$I$15="No",0,AL56))</f>
        <v/>
      </c>
      <c r="AN56" s="200"/>
      <c r="AO56" s="201"/>
      <c r="AP56" s="202"/>
      <c r="AQ56" s="203"/>
      <c r="AR56" s="255" t="str">
        <f>IF(COUNTBLANK(AN56:AQ56)=4,"",SUM(AN56:AP56)+IF(Setup!$I$15="No",0,AQ56))</f>
        <v/>
      </c>
      <c r="AS56" s="186"/>
      <c r="AT56" s="187"/>
      <c r="AU56" s="188"/>
      <c r="AV56" s="189"/>
      <c r="AW56" s="251" t="str">
        <f>IF(COUNTBLANK(AS56:AV56)=4,"",SUM(AS56:AU56)+IF(Setup!$I$15="No",0,AV56))</f>
        <v/>
      </c>
      <c r="AX56" s="200"/>
      <c r="AY56" s="201"/>
      <c r="AZ56" s="202"/>
      <c r="BA56" s="203"/>
      <c r="BB56" s="255" t="str">
        <f>IF(COUNTBLANK(AX56:BA56)=4,"",SUM(AX56:AZ56)+IF(Setup!$I$15="No",0,BA56))</f>
        <v/>
      </c>
      <c r="BC56" s="259">
        <f ca="1">IF('Demand background (hide)'!A47=Num_Modalities,"",SUM(Demand!I56, Demand!N56))</f>
        <v>16</v>
      </c>
      <c r="BD56" s="259">
        <f ca="1">IF(AND(A56&lt;=MaxRows,BE56&lt;&gt;"Yes"),'Demand background (hide)'!X47+IF(Setup!$I$15="Yes",'Demand background (hide)'!AJ47,0),"")</f>
        <v>620</v>
      </c>
      <c r="BE56" s="209"/>
    </row>
    <row r="57" spans="1:57" ht="15" x14ac:dyDescent="0.25">
      <c r="A57">
        <f t="shared" ca="1" si="0"/>
        <v>45</v>
      </c>
      <c r="B57" s="262" t="str">
        <f t="shared" ca="1" si="1"/>
        <v xml:space="preserve"> </v>
      </c>
      <c r="C57" s="264">
        <f t="shared" ca="1" si="2"/>
        <v>5</v>
      </c>
      <c r="D57" s="422">
        <f t="shared" ca="1" si="3"/>
        <v>42769</v>
      </c>
      <c r="E57" s="186"/>
      <c r="F57" s="187">
        <v>2</v>
      </c>
      <c r="G57" s="188">
        <v>2</v>
      </c>
      <c r="H57" s="189"/>
      <c r="I57" s="251">
        <f>IF(COUNTBLANK(E57:H57)=4,"",SUM(E57:G57)+IF(Setup!$I$15="No",0,H57))</f>
        <v>4</v>
      </c>
      <c r="J57" s="200"/>
      <c r="K57" s="201">
        <v>0</v>
      </c>
      <c r="L57" s="202">
        <v>5</v>
      </c>
      <c r="M57" s="203"/>
      <c r="N57" s="255">
        <f>IF(COUNTBLANK(J57:M57)=4,"",SUM(J57:L57)+IF(Setup!$I$15="No",0,M57))</f>
        <v>5</v>
      </c>
      <c r="O57" s="186"/>
      <c r="P57" s="187"/>
      <c r="Q57" s="188"/>
      <c r="R57" s="189"/>
      <c r="S57" s="251" t="str">
        <f>IF(COUNTBLANK(O57:R57)=4,"",SUM(O57:Q57)+IF(Setup!$I$15="No",0,R57))</f>
        <v/>
      </c>
      <c r="T57" s="200"/>
      <c r="U57" s="201"/>
      <c r="V57" s="202"/>
      <c r="W57" s="203"/>
      <c r="X57" s="255" t="str">
        <f>IF(COUNTBLANK(T57:W57)=4,"",SUM(T57:V57)+IF(Setup!$I$15="No",0,W57))</f>
        <v/>
      </c>
      <c r="Y57" s="186"/>
      <c r="Z57" s="187"/>
      <c r="AA57" s="188"/>
      <c r="AB57" s="189"/>
      <c r="AC57" s="251" t="str">
        <f>IF(COUNTBLANK(Y57:AB57)=4,"",SUM(Y57:AA57)+IF(Setup!$I$15="No",0,AB57))</f>
        <v/>
      </c>
      <c r="AD57" s="200"/>
      <c r="AE57" s="201"/>
      <c r="AF57" s="202"/>
      <c r="AG57" s="203"/>
      <c r="AH57" s="255" t="str">
        <f>IF(COUNTBLANK(AD57:AG57)=4,"",SUM(AD57:AF57)+IF(Setup!$I$15="No",0,AG57))</f>
        <v/>
      </c>
      <c r="AI57" s="186"/>
      <c r="AJ57" s="187"/>
      <c r="AK57" s="188"/>
      <c r="AL57" s="189"/>
      <c r="AM57" s="251" t="str">
        <f>IF(COUNTBLANK(AI57:AL57)=4,"",SUM(AI57:AK57)+IF(Setup!$I$15="No",0,AL57))</f>
        <v/>
      </c>
      <c r="AN57" s="200"/>
      <c r="AO57" s="201"/>
      <c r="AP57" s="202"/>
      <c r="AQ57" s="203"/>
      <c r="AR57" s="255" t="str">
        <f>IF(COUNTBLANK(AN57:AQ57)=4,"",SUM(AN57:AP57)+IF(Setup!$I$15="No",0,AQ57))</f>
        <v/>
      </c>
      <c r="AS57" s="186"/>
      <c r="AT57" s="187"/>
      <c r="AU57" s="188"/>
      <c r="AV57" s="189"/>
      <c r="AW57" s="251" t="str">
        <f>IF(COUNTBLANK(AS57:AV57)=4,"",SUM(AS57:AU57)+IF(Setup!$I$15="No",0,AV57))</f>
        <v/>
      </c>
      <c r="AX57" s="200"/>
      <c r="AY57" s="201"/>
      <c r="AZ57" s="202"/>
      <c r="BA57" s="203"/>
      <c r="BB57" s="255" t="str">
        <f>IF(COUNTBLANK(AX57:BA57)=4,"",SUM(AX57:AZ57)+IF(Setup!$I$15="No",0,BA57))</f>
        <v/>
      </c>
      <c r="BC57" s="259">
        <f ca="1">IF('Demand background (hide)'!A48=Num_Modalities,"",SUM(Demand!I57, Demand!N57))</f>
        <v>9</v>
      </c>
      <c r="BD57" s="259">
        <f ca="1">IF(AND(A57&lt;=MaxRows,BE57&lt;&gt;"Yes"),'Demand background (hide)'!X48+IF(Setup!$I$15="Yes",'Demand background (hide)'!AJ48,0),"")</f>
        <v>320</v>
      </c>
      <c r="BE57" s="209"/>
    </row>
    <row r="58" spans="1:57" ht="15" x14ac:dyDescent="0.25">
      <c r="A58">
        <f t="shared" ca="1" si="0"/>
        <v>46</v>
      </c>
      <c r="B58" s="262" t="str">
        <f t="shared" ca="1" si="1"/>
        <v xml:space="preserve"> </v>
      </c>
      <c r="C58" s="264">
        <f t="shared" ca="1" si="2"/>
        <v>6</v>
      </c>
      <c r="D58" s="422">
        <f t="shared" ca="1" si="3"/>
        <v>42776</v>
      </c>
      <c r="E58" s="186"/>
      <c r="F58" s="187">
        <v>1</v>
      </c>
      <c r="G58" s="188">
        <v>2</v>
      </c>
      <c r="H58" s="189"/>
      <c r="I58" s="251">
        <f>IF(COUNTBLANK(E58:H58)=4,"",SUM(E58:G58)+IF(Setup!$I$15="No",0,H58))</f>
        <v>3</v>
      </c>
      <c r="J58" s="200"/>
      <c r="K58" s="201">
        <v>2</v>
      </c>
      <c r="L58" s="202">
        <v>7</v>
      </c>
      <c r="M58" s="203"/>
      <c r="N58" s="255">
        <f>IF(COUNTBLANK(J58:M58)=4,"",SUM(J58:L58)+IF(Setup!$I$15="No",0,M58))</f>
        <v>9</v>
      </c>
      <c r="O58" s="186"/>
      <c r="P58" s="187"/>
      <c r="Q58" s="188"/>
      <c r="R58" s="189"/>
      <c r="S58" s="251" t="str">
        <f>IF(COUNTBLANK(O58:R58)=4,"",SUM(O58:Q58)+IF(Setup!$I$15="No",0,R58))</f>
        <v/>
      </c>
      <c r="T58" s="200"/>
      <c r="U58" s="201"/>
      <c r="V58" s="202"/>
      <c r="W58" s="203"/>
      <c r="X58" s="255" t="str">
        <f>IF(COUNTBLANK(T58:W58)=4,"",SUM(T58:V58)+IF(Setup!$I$15="No",0,W58))</f>
        <v/>
      </c>
      <c r="Y58" s="186"/>
      <c r="Z58" s="187"/>
      <c r="AA58" s="188"/>
      <c r="AB58" s="189"/>
      <c r="AC58" s="251" t="str">
        <f>IF(COUNTBLANK(Y58:AB58)=4,"",SUM(Y58:AA58)+IF(Setup!$I$15="No",0,AB58))</f>
        <v/>
      </c>
      <c r="AD58" s="200"/>
      <c r="AE58" s="201"/>
      <c r="AF58" s="202"/>
      <c r="AG58" s="203"/>
      <c r="AH58" s="255" t="str">
        <f>IF(COUNTBLANK(AD58:AG58)=4,"",SUM(AD58:AF58)+IF(Setup!$I$15="No",0,AG58))</f>
        <v/>
      </c>
      <c r="AI58" s="186"/>
      <c r="AJ58" s="187"/>
      <c r="AK58" s="188"/>
      <c r="AL58" s="189"/>
      <c r="AM58" s="251" t="str">
        <f>IF(COUNTBLANK(AI58:AL58)=4,"",SUM(AI58:AK58)+IF(Setup!$I$15="No",0,AL58))</f>
        <v/>
      </c>
      <c r="AN58" s="200"/>
      <c r="AO58" s="201"/>
      <c r="AP58" s="202"/>
      <c r="AQ58" s="203"/>
      <c r="AR58" s="255" t="str">
        <f>IF(COUNTBLANK(AN58:AQ58)=4,"",SUM(AN58:AP58)+IF(Setup!$I$15="No",0,AQ58))</f>
        <v/>
      </c>
      <c r="AS58" s="186"/>
      <c r="AT58" s="187"/>
      <c r="AU58" s="188"/>
      <c r="AV58" s="189"/>
      <c r="AW58" s="251" t="str">
        <f>IF(COUNTBLANK(AS58:AV58)=4,"",SUM(AS58:AU58)+IF(Setup!$I$15="No",0,AV58))</f>
        <v/>
      </c>
      <c r="AX58" s="200"/>
      <c r="AY58" s="201"/>
      <c r="AZ58" s="202"/>
      <c r="BA58" s="203"/>
      <c r="BB58" s="255" t="str">
        <f>IF(COUNTBLANK(AX58:BA58)=4,"",SUM(AX58:AZ58)+IF(Setup!$I$15="No",0,BA58))</f>
        <v/>
      </c>
      <c r="BC58" s="259">
        <f ca="1">IF('Demand background (hide)'!A49=Num_Modalities,"",SUM(Demand!I58, Demand!N58))</f>
        <v>12</v>
      </c>
      <c r="BD58" s="259">
        <f ca="1">IF(AND(A58&lt;=MaxRows,BE58&lt;&gt;"Yes"),'Demand background (hide)'!X49+IF(Setup!$I$15="Yes",'Demand background (hide)'!AJ49,0),"")</f>
        <v>450</v>
      </c>
      <c r="BE58" s="209"/>
    </row>
    <row r="59" spans="1:57" ht="15" x14ac:dyDescent="0.25">
      <c r="A59">
        <f t="shared" ca="1" si="0"/>
        <v>47</v>
      </c>
      <c r="B59" s="262" t="str">
        <f t="shared" ca="1" si="1"/>
        <v xml:space="preserve"> </v>
      </c>
      <c r="C59" s="264">
        <f t="shared" ca="1" si="2"/>
        <v>7</v>
      </c>
      <c r="D59" s="422">
        <f t="shared" ca="1" si="3"/>
        <v>42783</v>
      </c>
      <c r="E59" s="186"/>
      <c r="F59" s="187">
        <v>0</v>
      </c>
      <c r="G59" s="188">
        <v>4</v>
      </c>
      <c r="H59" s="189"/>
      <c r="I59" s="251">
        <f>IF(COUNTBLANK(E59:H59)=4,"",SUM(E59:G59)+IF(Setup!$I$15="No",0,H59))</f>
        <v>4</v>
      </c>
      <c r="J59" s="200"/>
      <c r="K59" s="201">
        <v>2</v>
      </c>
      <c r="L59" s="202">
        <v>7</v>
      </c>
      <c r="M59" s="203"/>
      <c r="N59" s="255">
        <f>IF(COUNTBLANK(J59:M59)=4,"",SUM(J59:L59)+IF(Setup!$I$15="No",0,M59))</f>
        <v>9</v>
      </c>
      <c r="O59" s="186"/>
      <c r="P59" s="187"/>
      <c r="Q59" s="188"/>
      <c r="R59" s="189"/>
      <c r="S59" s="251" t="str">
        <f>IF(COUNTBLANK(O59:R59)=4,"",SUM(O59:Q59)+IF(Setup!$I$15="No",0,R59))</f>
        <v/>
      </c>
      <c r="T59" s="200"/>
      <c r="U59" s="201"/>
      <c r="V59" s="202"/>
      <c r="W59" s="203"/>
      <c r="X59" s="255" t="str">
        <f>IF(COUNTBLANK(T59:W59)=4,"",SUM(T59:V59)+IF(Setup!$I$15="No",0,W59))</f>
        <v/>
      </c>
      <c r="Y59" s="186"/>
      <c r="Z59" s="187"/>
      <c r="AA59" s="188"/>
      <c r="AB59" s="189"/>
      <c r="AC59" s="251" t="str">
        <f>IF(COUNTBLANK(Y59:AB59)=4,"",SUM(Y59:AA59)+IF(Setup!$I$15="No",0,AB59))</f>
        <v/>
      </c>
      <c r="AD59" s="200"/>
      <c r="AE59" s="201"/>
      <c r="AF59" s="202"/>
      <c r="AG59" s="203"/>
      <c r="AH59" s="255" t="str">
        <f>IF(COUNTBLANK(AD59:AG59)=4,"",SUM(AD59:AF59)+IF(Setup!$I$15="No",0,AG59))</f>
        <v/>
      </c>
      <c r="AI59" s="186"/>
      <c r="AJ59" s="187"/>
      <c r="AK59" s="188"/>
      <c r="AL59" s="189"/>
      <c r="AM59" s="251" t="str">
        <f>IF(COUNTBLANK(AI59:AL59)=4,"",SUM(AI59:AK59)+IF(Setup!$I$15="No",0,AL59))</f>
        <v/>
      </c>
      <c r="AN59" s="200"/>
      <c r="AO59" s="201"/>
      <c r="AP59" s="202"/>
      <c r="AQ59" s="203"/>
      <c r="AR59" s="255" t="str">
        <f>IF(COUNTBLANK(AN59:AQ59)=4,"",SUM(AN59:AP59)+IF(Setup!$I$15="No",0,AQ59))</f>
        <v/>
      </c>
      <c r="AS59" s="186"/>
      <c r="AT59" s="187"/>
      <c r="AU59" s="188"/>
      <c r="AV59" s="189"/>
      <c r="AW59" s="251" t="str">
        <f>IF(COUNTBLANK(AS59:AV59)=4,"",SUM(AS59:AU59)+IF(Setup!$I$15="No",0,AV59))</f>
        <v/>
      </c>
      <c r="AX59" s="200"/>
      <c r="AY59" s="201"/>
      <c r="AZ59" s="202"/>
      <c r="BA59" s="203"/>
      <c r="BB59" s="255" t="str">
        <f>IF(COUNTBLANK(AX59:BA59)=4,"",SUM(AX59:AZ59)+IF(Setup!$I$15="No",0,BA59))</f>
        <v/>
      </c>
      <c r="BC59" s="259">
        <f ca="1">IF('Demand background (hide)'!A50=Num_Modalities,"",SUM(Demand!I59, Demand!N59))</f>
        <v>13</v>
      </c>
      <c r="BD59" s="259">
        <f ca="1">IF(AND(A59&lt;=MaxRows,BE59&lt;&gt;"Yes"),'Demand background (hide)'!X50+IF(Setup!$I$15="Yes",'Demand background (hide)'!AJ50,0),"")</f>
        <v>480</v>
      </c>
      <c r="BE59" s="209"/>
    </row>
    <row r="60" spans="1:57" ht="15" x14ac:dyDescent="0.25">
      <c r="A60">
        <f t="shared" ca="1" si="0"/>
        <v>48</v>
      </c>
      <c r="B60" s="262" t="str">
        <f t="shared" ca="1" si="1"/>
        <v xml:space="preserve"> </v>
      </c>
      <c r="C60" s="264">
        <f t="shared" ca="1" si="2"/>
        <v>8</v>
      </c>
      <c r="D60" s="422">
        <f t="shared" ca="1" si="3"/>
        <v>42790</v>
      </c>
      <c r="E60" s="186"/>
      <c r="F60" s="187">
        <v>3</v>
      </c>
      <c r="G60" s="188">
        <v>2</v>
      </c>
      <c r="H60" s="189"/>
      <c r="I60" s="251">
        <f>IF(COUNTBLANK(E60:H60)=4,"",SUM(E60:G60)+IF(Setup!$I$15="No",0,H60))</f>
        <v>5</v>
      </c>
      <c r="J60" s="200"/>
      <c r="K60" s="201">
        <v>4</v>
      </c>
      <c r="L60" s="202">
        <v>12</v>
      </c>
      <c r="M60" s="203"/>
      <c r="N60" s="255">
        <f>IF(COUNTBLANK(J60:M60)=4,"",SUM(J60:L60)+IF(Setup!$I$15="No",0,M60))</f>
        <v>16</v>
      </c>
      <c r="O60" s="186"/>
      <c r="P60" s="187"/>
      <c r="Q60" s="188"/>
      <c r="R60" s="189"/>
      <c r="S60" s="251" t="str">
        <f>IF(COUNTBLANK(O60:R60)=4,"",SUM(O60:Q60)+IF(Setup!$I$15="No",0,R60))</f>
        <v/>
      </c>
      <c r="T60" s="200"/>
      <c r="U60" s="201"/>
      <c r="V60" s="202"/>
      <c r="W60" s="203"/>
      <c r="X60" s="255" t="str">
        <f>IF(COUNTBLANK(T60:W60)=4,"",SUM(T60:V60)+IF(Setup!$I$15="No",0,W60))</f>
        <v/>
      </c>
      <c r="Y60" s="186"/>
      <c r="Z60" s="187"/>
      <c r="AA60" s="188"/>
      <c r="AB60" s="189"/>
      <c r="AC60" s="251" t="str">
        <f>IF(COUNTBLANK(Y60:AB60)=4,"",SUM(Y60:AA60)+IF(Setup!$I$15="No",0,AB60))</f>
        <v/>
      </c>
      <c r="AD60" s="200"/>
      <c r="AE60" s="201"/>
      <c r="AF60" s="202"/>
      <c r="AG60" s="203"/>
      <c r="AH60" s="255" t="str">
        <f>IF(COUNTBLANK(AD60:AG60)=4,"",SUM(AD60:AF60)+IF(Setup!$I$15="No",0,AG60))</f>
        <v/>
      </c>
      <c r="AI60" s="186"/>
      <c r="AJ60" s="187"/>
      <c r="AK60" s="188"/>
      <c r="AL60" s="189"/>
      <c r="AM60" s="251" t="str">
        <f>IF(COUNTBLANK(AI60:AL60)=4,"",SUM(AI60:AK60)+IF(Setup!$I$15="No",0,AL60))</f>
        <v/>
      </c>
      <c r="AN60" s="200"/>
      <c r="AO60" s="201"/>
      <c r="AP60" s="202"/>
      <c r="AQ60" s="203"/>
      <c r="AR60" s="255" t="str">
        <f>IF(COUNTBLANK(AN60:AQ60)=4,"",SUM(AN60:AP60)+IF(Setup!$I$15="No",0,AQ60))</f>
        <v/>
      </c>
      <c r="AS60" s="186"/>
      <c r="AT60" s="187"/>
      <c r="AU60" s="188"/>
      <c r="AV60" s="189"/>
      <c r="AW60" s="251" t="str">
        <f>IF(COUNTBLANK(AS60:AV60)=4,"",SUM(AS60:AU60)+IF(Setup!$I$15="No",0,AV60))</f>
        <v/>
      </c>
      <c r="AX60" s="200"/>
      <c r="AY60" s="201"/>
      <c r="AZ60" s="202"/>
      <c r="BA60" s="203"/>
      <c r="BB60" s="255" t="str">
        <f>IF(COUNTBLANK(AX60:BA60)=4,"",SUM(AX60:AZ60)+IF(Setup!$I$15="No",0,BA60))</f>
        <v/>
      </c>
      <c r="BC60" s="259">
        <f ca="1">IF('Demand background (hide)'!A51=Num_Modalities,"",SUM(Demand!I60, Demand!N60))</f>
        <v>21</v>
      </c>
      <c r="BD60" s="259">
        <f ca="1">IF(AND(A60&lt;=MaxRows,BE60&lt;&gt;"Yes"),'Demand background (hide)'!X51+IF(Setup!$I$15="Yes",'Demand background (hide)'!AJ51,0),"")</f>
        <v>790</v>
      </c>
      <c r="BE60" s="209"/>
    </row>
    <row r="61" spans="1:57" ht="15" x14ac:dyDescent="0.25">
      <c r="A61">
        <f t="shared" ca="1" si="0"/>
        <v>49</v>
      </c>
      <c r="B61" s="262" t="str">
        <f t="shared" ca="1" si="1"/>
        <v xml:space="preserve"> </v>
      </c>
      <c r="C61" s="264">
        <f t="shared" ca="1" si="2"/>
        <v>9</v>
      </c>
      <c r="D61" s="422">
        <f t="shared" ca="1" si="3"/>
        <v>42797</v>
      </c>
      <c r="E61" s="186"/>
      <c r="F61" s="187">
        <v>0</v>
      </c>
      <c r="G61" s="188">
        <v>3</v>
      </c>
      <c r="H61" s="189"/>
      <c r="I61" s="251">
        <f>IF(COUNTBLANK(E61:H61)=4,"",SUM(E61:G61)+IF(Setup!$I$15="No",0,H61))</f>
        <v>3</v>
      </c>
      <c r="J61" s="200"/>
      <c r="K61" s="201">
        <v>1</v>
      </c>
      <c r="L61" s="202">
        <v>5</v>
      </c>
      <c r="M61" s="203"/>
      <c r="N61" s="255">
        <f>IF(COUNTBLANK(J61:M61)=4,"",SUM(J61:L61)+IF(Setup!$I$15="No",0,M61))</f>
        <v>6</v>
      </c>
      <c r="O61" s="186"/>
      <c r="P61" s="187"/>
      <c r="Q61" s="188"/>
      <c r="R61" s="189"/>
      <c r="S61" s="251" t="str">
        <f>IF(COUNTBLANK(O61:R61)=4,"",SUM(O61:Q61)+IF(Setup!$I$15="No",0,R61))</f>
        <v/>
      </c>
      <c r="T61" s="200"/>
      <c r="U61" s="201"/>
      <c r="V61" s="202"/>
      <c r="W61" s="203"/>
      <c r="X61" s="255" t="str">
        <f>IF(COUNTBLANK(T61:W61)=4,"",SUM(T61:V61)+IF(Setup!$I$15="No",0,W61))</f>
        <v/>
      </c>
      <c r="Y61" s="186"/>
      <c r="Z61" s="187"/>
      <c r="AA61" s="188"/>
      <c r="AB61" s="189"/>
      <c r="AC61" s="251" t="str">
        <f>IF(COUNTBLANK(Y61:AB61)=4,"",SUM(Y61:AA61)+IF(Setup!$I$15="No",0,AB61))</f>
        <v/>
      </c>
      <c r="AD61" s="200"/>
      <c r="AE61" s="201"/>
      <c r="AF61" s="202"/>
      <c r="AG61" s="203"/>
      <c r="AH61" s="255" t="str">
        <f>IF(COUNTBLANK(AD61:AG61)=4,"",SUM(AD61:AF61)+IF(Setup!$I$15="No",0,AG61))</f>
        <v/>
      </c>
      <c r="AI61" s="186"/>
      <c r="AJ61" s="187"/>
      <c r="AK61" s="188"/>
      <c r="AL61" s="189"/>
      <c r="AM61" s="251" t="str">
        <f>IF(COUNTBLANK(AI61:AL61)=4,"",SUM(AI61:AK61)+IF(Setup!$I$15="No",0,AL61))</f>
        <v/>
      </c>
      <c r="AN61" s="200"/>
      <c r="AO61" s="201"/>
      <c r="AP61" s="202"/>
      <c r="AQ61" s="203"/>
      <c r="AR61" s="255" t="str">
        <f>IF(COUNTBLANK(AN61:AQ61)=4,"",SUM(AN61:AP61)+IF(Setup!$I$15="No",0,AQ61))</f>
        <v/>
      </c>
      <c r="AS61" s="186"/>
      <c r="AT61" s="187"/>
      <c r="AU61" s="188"/>
      <c r="AV61" s="189"/>
      <c r="AW61" s="251" t="str">
        <f>IF(COUNTBLANK(AS61:AV61)=4,"",SUM(AS61:AU61)+IF(Setup!$I$15="No",0,AV61))</f>
        <v/>
      </c>
      <c r="AX61" s="200"/>
      <c r="AY61" s="201"/>
      <c r="AZ61" s="202"/>
      <c r="BA61" s="203"/>
      <c r="BB61" s="255" t="str">
        <f>IF(COUNTBLANK(AX61:BA61)=4,"",SUM(AX61:AZ61)+IF(Setup!$I$15="No",0,BA61))</f>
        <v/>
      </c>
      <c r="BC61" s="259">
        <f ca="1">IF('Demand background (hide)'!A52=Num_Modalities,"",SUM(Demand!I61, Demand!N61))</f>
        <v>9</v>
      </c>
      <c r="BD61" s="259">
        <f ca="1">IF(AND(A61&lt;=MaxRows,BE61&lt;&gt;"Yes"),'Demand background (hide)'!X52+IF(Setup!$I$15="Yes",'Demand background (hide)'!AJ52,0),"")</f>
        <v>330</v>
      </c>
      <c r="BE61" s="209"/>
    </row>
    <row r="62" spans="1:57" ht="15" x14ac:dyDescent="0.25">
      <c r="A62">
        <f t="shared" ca="1" si="0"/>
        <v>50</v>
      </c>
      <c r="B62" s="262" t="str">
        <f t="shared" ca="1" si="1"/>
        <v xml:space="preserve"> </v>
      </c>
      <c r="C62" s="264">
        <f t="shared" ca="1" si="2"/>
        <v>10</v>
      </c>
      <c r="D62" s="422">
        <f t="shared" ca="1" si="3"/>
        <v>42804</v>
      </c>
      <c r="E62" s="186"/>
      <c r="F62" s="187">
        <v>1</v>
      </c>
      <c r="G62" s="188">
        <v>4</v>
      </c>
      <c r="H62" s="189"/>
      <c r="I62" s="251">
        <f>IF(COUNTBLANK(E62:H62)=4,"",SUM(E62:G62)+IF(Setup!$I$15="No",0,H62))</f>
        <v>5</v>
      </c>
      <c r="J62" s="200"/>
      <c r="K62" s="201">
        <v>3</v>
      </c>
      <c r="L62" s="202">
        <v>8</v>
      </c>
      <c r="M62" s="203"/>
      <c r="N62" s="255">
        <f>IF(COUNTBLANK(J62:M62)=4,"",SUM(J62:L62)+IF(Setup!$I$15="No",0,M62))</f>
        <v>11</v>
      </c>
      <c r="O62" s="186"/>
      <c r="P62" s="187"/>
      <c r="Q62" s="188"/>
      <c r="R62" s="189"/>
      <c r="S62" s="251" t="str">
        <f>IF(COUNTBLANK(O62:R62)=4,"",SUM(O62:Q62)+IF(Setup!$I$15="No",0,R62))</f>
        <v/>
      </c>
      <c r="T62" s="200"/>
      <c r="U62" s="201"/>
      <c r="V62" s="202"/>
      <c r="W62" s="203"/>
      <c r="X62" s="255" t="str">
        <f>IF(COUNTBLANK(T62:W62)=4,"",SUM(T62:V62)+IF(Setup!$I$15="No",0,W62))</f>
        <v/>
      </c>
      <c r="Y62" s="186"/>
      <c r="Z62" s="187"/>
      <c r="AA62" s="188"/>
      <c r="AB62" s="189"/>
      <c r="AC62" s="251" t="str">
        <f>IF(COUNTBLANK(Y62:AB62)=4,"",SUM(Y62:AA62)+IF(Setup!$I$15="No",0,AB62))</f>
        <v/>
      </c>
      <c r="AD62" s="200"/>
      <c r="AE62" s="201"/>
      <c r="AF62" s="202"/>
      <c r="AG62" s="203"/>
      <c r="AH62" s="255" t="str">
        <f>IF(COUNTBLANK(AD62:AG62)=4,"",SUM(AD62:AF62)+IF(Setup!$I$15="No",0,AG62))</f>
        <v/>
      </c>
      <c r="AI62" s="186"/>
      <c r="AJ62" s="187"/>
      <c r="AK62" s="188"/>
      <c r="AL62" s="189"/>
      <c r="AM62" s="251" t="str">
        <f>IF(COUNTBLANK(AI62:AL62)=4,"",SUM(AI62:AK62)+IF(Setup!$I$15="No",0,AL62))</f>
        <v/>
      </c>
      <c r="AN62" s="200"/>
      <c r="AO62" s="201"/>
      <c r="AP62" s="202"/>
      <c r="AQ62" s="203"/>
      <c r="AR62" s="255" t="str">
        <f>IF(COUNTBLANK(AN62:AQ62)=4,"",SUM(AN62:AP62)+IF(Setup!$I$15="No",0,AQ62))</f>
        <v/>
      </c>
      <c r="AS62" s="186"/>
      <c r="AT62" s="187"/>
      <c r="AU62" s="188"/>
      <c r="AV62" s="189"/>
      <c r="AW62" s="251" t="str">
        <f>IF(COUNTBLANK(AS62:AV62)=4,"",SUM(AS62:AU62)+IF(Setup!$I$15="No",0,AV62))</f>
        <v/>
      </c>
      <c r="AX62" s="200"/>
      <c r="AY62" s="201"/>
      <c r="AZ62" s="202"/>
      <c r="BA62" s="203"/>
      <c r="BB62" s="255" t="str">
        <f>IF(COUNTBLANK(AX62:BA62)=4,"",SUM(AX62:AZ62)+IF(Setup!$I$15="No",0,BA62))</f>
        <v/>
      </c>
      <c r="BC62" s="259">
        <f ca="1">IF('Demand background (hide)'!A53=Num_Modalities,"",SUM(Demand!I62, Demand!N62))</f>
        <v>16</v>
      </c>
      <c r="BD62" s="259">
        <f ca="1">IF(AND(A62&lt;=MaxRows,BE62&lt;&gt;"Yes"),'Demand background (hide)'!X53+IF(Setup!$I$15="Yes",'Demand background (hide)'!AJ53,0),"")</f>
        <v>590</v>
      </c>
      <c r="BE62" s="209"/>
    </row>
    <row r="63" spans="1:57" ht="15" x14ac:dyDescent="0.25">
      <c r="A63">
        <f t="shared" ca="1" si="0"/>
        <v>51</v>
      </c>
      <c r="B63" s="262" t="str">
        <f t="shared" ca="1" si="1"/>
        <v xml:space="preserve"> </v>
      </c>
      <c r="C63" s="264">
        <f t="shared" ca="1" si="2"/>
        <v>11</v>
      </c>
      <c r="D63" s="422">
        <f t="shared" ca="1" si="3"/>
        <v>42811</v>
      </c>
      <c r="E63" s="186"/>
      <c r="F63" s="187">
        <v>1</v>
      </c>
      <c r="G63" s="188">
        <v>1</v>
      </c>
      <c r="H63" s="189"/>
      <c r="I63" s="251">
        <f>IF(COUNTBLANK(E63:H63)=4,"",SUM(E63:G63)+IF(Setup!$I$15="No",0,H63))</f>
        <v>2</v>
      </c>
      <c r="J63" s="200"/>
      <c r="K63" s="201">
        <v>1</v>
      </c>
      <c r="L63" s="202">
        <v>8</v>
      </c>
      <c r="M63" s="203"/>
      <c r="N63" s="255">
        <f>IF(COUNTBLANK(J63:M63)=4,"",SUM(J63:L63)+IF(Setup!$I$15="No",0,M63))</f>
        <v>9</v>
      </c>
      <c r="O63" s="186"/>
      <c r="P63" s="187"/>
      <c r="Q63" s="188"/>
      <c r="R63" s="189"/>
      <c r="S63" s="251" t="str">
        <f>IF(COUNTBLANK(O63:R63)=4,"",SUM(O63:Q63)+IF(Setup!$I$15="No",0,R63))</f>
        <v/>
      </c>
      <c r="T63" s="200"/>
      <c r="U63" s="201"/>
      <c r="V63" s="202"/>
      <c r="W63" s="203"/>
      <c r="X63" s="255" t="str">
        <f>IF(COUNTBLANK(T63:W63)=4,"",SUM(T63:V63)+IF(Setup!$I$15="No",0,W63))</f>
        <v/>
      </c>
      <c r="Y63" s="186"/>
      <c r="Z63" s="187"/>
      <c r="AA63" s="188"/>
      <c r="AB63" s="189"/>
      <c r="AC63" s="251" t="str">
        <f>IF(COUNTBLANK(Y63:AB63)=4,"",SUM(Y63:AA63)+IF(Setup!$I$15="No",0,AB63))</f>
        <v/>
      </c>
      <c r="AD63" s="200"/>
      <c r="AE63" s="201"/>
      <c r="AF63" s="202"/>
      <c r="AG63" s="203"/>
      <c r="AH63" s="255" t="str">
        <f>IF(COUNTBLANK(AD63:AG63)=4,"",SUM(AD63:AF63)+IF(Setup!$I$15="No",0,AG63))</f>
        <v/>
      </c>
      <c r="AI63" s="186"/>
      <c r="AJ63" s="187"/>
      <c r="AK63" s="188"/>
      <c r="AL63" s="189"/>
      <c r="AM63" s="251" t="str">
        <f>IF(COUNTBLANK(AI63:AL63)=4,"",SUM(AI63:AK63)+IF(Setup!$I$15="No",0,AL63))</f>
        <v/>
      </c>
      <c r="AN63" s="200"/>
      <c r="AO63" s="201"/>
      <c r="AP63" s="202"/>
      <c r="AQ63" s="203"/>
      <c r="AR63" s="255" t="str">
        <f>IF(COUNTBLANK(AN63:AQ63)=4,"",SUM(AN63:AP63)+IF(Setup!$I$15="No",0,AQ63))</f>
        <v/>
      </c>
      <c r="AS63" s="186"/>
      <c r="AT63" s="187"/>
      <c r="AU63" s="188"/>
      <c r="AV63" s="189"/>
      <c r="AW63" s="251" t="str">
        <f>IF(COUNTBLANK(AS63:AV63)=4,"",SUM(AS63:AU63)+IF(Setup!$I$15="No",0,AV63))</f>
        <v/>
      </c>
      <c r="AX63" s="200"/>
      <c r="AY63" s="201"/>
      <c r="AZ63" s="202"/>
      <c r="BA63" s="203"/>
      <c r="BB63" s="255" t="str">
        <f>IF(COUNTBLANK(AX63:BA63)=4,"",SUM(AX63:AZ63)+IF(Setup!$I$15="No",0,BA63))</f>
        <v/>
      </c>
      <c r="BC63" s="259">
        <f ca="1">IF('Demand background (hide)'!A54=Num_Modalities,"",SUM(Demand!I63, Demand!N63))</f>
        <v>11</v>
      </c>
      <c r="BD63" s="259">
        <f ca="1">IF(AND(A63&lt;=MaxRows,BE63&lt;&gt;"Yes"),'Demand background (hide)'!X54+IF(Setup!$I$15="Yes",'Demand background (hide)'!AJ54,0),"")</f>
        <v>420</v>
      </c>
      <c r="BE63" s="209"/>
    </row>
    <row r="64" spans="1:57" ht="15.75" thickBot="1" x14ac:dyDescent="0.3">
      <c r="A64">
        <f t="shared" ca="1" si="0"/>
        <v>52</v>
      </c>
      <c r="B64" s="262" t="str">
        <f t="shared" ca="1" si="1"/>
        <v xml:space="preserve"> </v>
      </c>
      <c r="C64" s="265">
        <f t="shared" ca="1" si="2"/>
        <v>12</v>
      </c>
      <c r="D64" s="423">
        <f t="shared" ca="1" si="3"/>
        <v>42818</v>
      </c>
      <c r="E64" s="190"/>
      <c r="F64" s="191">
        <v>1</v>
      </c>
      <c r="G64" s="192">
        <v>1</v>
      </c>
      <c r="H64" s="193"/>
      <c r="I64" s="252">
        <f>IF(COUNTBLANK(E64:H64)=4,"",SUM(E64:G64)+IF(Setup!$I$15="No",0,H64))</f>
        <v>2</v>
      </c>
      <c r="J64" s="204"/>
      <c r="K64" s="205">
        <v>3</v>
      </c>
      <c r="L64" s="206">
        <v>15</v>
      </c>
      <c r="M64" s="207"/>
      <c r="N64" s="256">
        <f>IF(COUNTBLANK(J64:M64)=4,"",SUM(J64:L64)+IF(Setup!$I$15="No",0,M64))</f>
        <v>18</v>
      </c>
      <c r="O64" s="190"/>
      <c r="P64" s="191"/>
      <c r="Q64" s="192"/>
      <c r="R64" s="193"/>
      <c r="S64" s="252" t="str">
        <f>IF(COUNTBLANK(O64:R64)=4,"",SUM(O64:Q64)+IF(Setup!$I$15="No",0,R64))</f>
        <v/>
      </c>
      <c r="T64" s="204"/>
      <c r="U64" s="205"/>
      <c r="V64" s="206"/>
      <c r="W64" s="207"/>
      <c r="X64" s="256" t="str">
        <f>IF(COUNTBLANK(T64:W64)=4,"",SUM(T64:V64)+IF(Setup!$I$15="No",0,W64))</f>
        <v/>
      </c>
      <c r="Y64" s="190"/>
      <c r="Z64" s="191"/>
      <c r="AA64" s="192"/>
      <c r="AB64" s="193"/>
      <c r="AC64" s="252" t="str">
        <f>IF(COUNTBLANK(Y64:AB64)=4,"",SUM(Y64:AA64)+IF(Setup!$I$15="No",0,AB64))</f>
        <v/>
      </c>
      <c r="AD64" s="204"/>
      <c r="AE64" s="205"/>
      <c r="AF64" s="206"/>
      <c r="AG64" s="207"/>
      <c r="AH64" s="256" t="str">
        <f>IF(COUNTBLANK(AD64:AG64)=4,"",SUM(AD64:AF64)+IF(Setup!$I$15="No",0,AG64))</f>
        <v/>
      </c>
      <c r="AI64" s="190"/>
      <c r="AJ64" s="191"/>
      <c r="AK64" s="192"/>
      <c r="AL64" s="193"/>
      <c r="AM64" s="252" t="str">
        <f>IF(COUNTBLANK(AI64:AL64)=4,"",SUM(AI64:AK64)+IF(Setup!$I$15="No",0,AL64))</f>
        <v/>
      </c>
      <c r="AN64" s="204"/>
      <c r="AO64" s="205"/>
      <c r="AP64" s="206"/>
      <c r="AQ64" s="207"/>
      <c r="AR64" s="256" t="str">
        <f>IF(COUNTBLANK(AN64:AQ64)=4,"",SUM(AN64:AP64)+IF(Setup!$I$15="No",0,AQ64))</f>
        <v/>
      </c>
      <c r="AS64" s="190"/>
      <c r="AT64" s="191"/>
      <c r="AU64" s="192"/>
      <c r="AV64" s="193"/>
      <c r="AW64" s="252" t="str">
        <f>IF(COUNTBLANK(AS64:AV64)=4,"",SUM(AS64:AU64)+IF(Setup!$I$15="No",0,AV64))</f>
        <v/>
      </c>
      <c r="AX64" s="204"/>
      <c r="AY64" s="205"/>
      <c r="AZ64" s="206"/>
      <c r="BA64" s="207"/>
      <c r="BB64" s="256" t="str">
        <f>IF(COUNTBLANK(AX64:BA64)=4,"",SUM(AX64:AZ64)+IF(Setup!$I$15="No",0,BA64))</f>
        <v/>
      </c>
      <c r="BC64" s="260">
        <f ca="1">IF('Demand background (hide)'!A55=Num_Modalities,"",SUM(Demand!I64, Demand!N64))</f>
        <v>20</v>
      </c>
      <c r="BD64" s="260">
        <f ca="1">IF(AND(A64&lt;=MaxRows,BE64&lt;&gt;"Yes"),'Demand background (hide)'!X55+IF(Setup!$I$15="Yes",'Demand background (hide)'!AJ55,0),"")</f>
        <v>780</v>
      </c>
      <c r="BE64" s="210"/>
    </row>
    <row r="65" spans="1:57" ht="15" x14ac:dyDescent="0.25">
      <c r="A65">
        <f t="shared" ca="1" si="0"/>
        <v>53</v>
      </c>
      <c r="B65" s="266" t="str">
        <f t="shared" ca="1" si="1"/>
        <v xml:space="preserve"> </v>
      </c>
      <c r="C65" s="267">
        <f t="shared" ca="1" si="2"/>
        <v>13</v>
      </c>
      <c r="D65" s="424">
        <f t="shared" ca="1" si="3"/>
        <v>42825</v>
      </c>
      <c r="E65" s="194"/>
      <c r="F65" s="194">
        <v>1</v>
      </c>
      <c r="G65" s="195">
        <v>2</v>
      </c>
      <c r="H65" s="194"/>
      <c r="I65" s="253">
        <f>IF(COUNTBLANK(E65:H65)=4,"",SUM(E65:G65)+IF(Setup!$I$15="No",0,H65))</f>
        <v>3</v>
      </c>
      <c r="J65" s="194"/>
      <c r="K65" s="194">
        <v>0</v>
      </c>
      <c r="L65" s="194">
        <v>7</v>
      </c>
      <c r="M65" s="194"/>
      <c r="N65" s="257">
        <f>IF(COUNTBLANK(J65:M65)=4,"",SUM(J65:L65)+IF(Setup!$I$15="No",0,M65))</f>
        <v>7</v>
      </c>
      <c r="O65" s="194"/>
      <c r="P65" s="194"/>
      <c r="Q65" s="194"/>
      <c r="R65" s="194"/>
      <c r="S65" s="257" t="str">
        <f>IF(COUNTBLANK(O65:R65)=4,"",SUM(O65:Q65)+IF(Setup!$I$15="No",0,R65))</f>
        <v/>
      </c>
      <c r="T65" s="194"/>
      <c r="U65" s="194"/>
      <c r="V65" s="194"/>
      <c r="W65" s="194"/>
      <c r="X65" s="257" t="str">
        <f>IF(COUNTBLANK(T65:W65)=4,"",SUM(T65:V65)+IF(Setup!$I$15="No",0,W65))</f>
        <v/>
      </c>
      <c r="Y65" s="194"/>
      <c r="Z65" s="194"/>
      <c r="AA65" s="194"/>
      <c r="AB65" s="194"/>
      <c r="AC65" s="257" t="str">
        <f>IF(COUNTBLANK(Y65:AB65)=4,"",SUM(Y65:AA65)+IF(Setup!$I$15="No",0,AB65))</f>
        <v/>
      </c>
      <c r="AD65" s="194"/>
      <c r="AE65" s="194"/>
      <c r="AF65" s="194"/>
      <c r="AG65" s="194"/>
      <c r="AH65" s="257" t="str">
        <f>IF(COUNTBLANK(AD65:AG65)=4,"",SUM(AD65:AF65)+IF(Setup!$I$15="No",0,AG65))</f>
        <v/>
      </c>
      <c r="AI65" s="194"/>
      <c r="AJ65" s="194"/>
      <c r="AK65" s="194"/>
      <c r="AL65" s="194"/>
      <c r="AM65" s="257" t="str">
        <f>IF(COUNTBLANK(AI65:AL65)=4,"",SUM(AI65:AK65)+IF(Setup!$I$15="No",0,AL65))</f>
        <v/>
      </c>
      <c r="AN65" s="194"/>
      <c r="AO65" s="194"/>
      <c r="AP65" s="194"/>
      <c r="AQ65" s="194"/>
      <c r="AR65" s="257" t="str">
        <f>IF(COUNTBLANK(AN65:AQ65)=4,"",SUM(AN65:AP65)+IF(Setup!$I$15="No",0,AQ65))</f>
        <v/>
      </c>
      <c r="AS65" s="194"/>
      <c r="AT65" s="194"/>
      <c r="AU65" s="194"/>
      <c r="AV65" s="194"/>
      <c r="AW65" s="257" t="str">
        <f>IF(COUNTBLANK(AS65:AV65)=4,"",SUM(AS65:AU65)+IF(Setup!$I$15="No",0,AV65))</f>
        <v/>
      </c>
      <c r="AX65" s="194"/>
      <c r="AY65" s="194"/>
      <c r="AZ65" s="194"/>
      <c r="BA65" s="194"/>
      <c r="BB65" s="257" t="str">
        <f>IF(COUNTBLANK(AX65:BA65)=4,"",SUM(AX65:AZ65)+IF(Setup!$I$15="No",0,BA65))</f>
        <v/>
      </c>
      <c r="BC65" s="261">
        <f ca="1">IF('Demand background (hide)'!A56=Num_Modalities,"",SUM(Demand!I65, Demand!N65))</f>
        <v>10</v>
      </c>
      <c r="BD65" s="261">
        <f ca="1">IF(AND(A65&lt;=MaxRows,BE65&lt;&gt;"Yes"),'Demand background (hide)'!X56+IF(Setup!$I$15="Yes",'Demand background (hide)'!AJ56,0),"")</f>
        <v>370</v>
      </c>
      <c r="BE65" s="211"/>
    </row>
    <row r="66" spans="1:57" ht="15" x14ac:dyDescent="0.25">
      <c r="A66">
        <f t="shared" ca="1" si="0"/>
        <v>54</v>
      </c>
      <c r="B66" s="266" t="str">
        <f t="shared" ca="1" si="1"/>
        <v xml:space="preserve"> </v>
      </c>
      <c r="C66" s="267">
        <f t="shared" ca="1" si="2"/>
        <v>14</v>
      </c>
      <c r="D66" s="424">
        <f t="shared" ca="1" si="3"/>
        <v>42832</v>
      </c>
      <c r="E66" s="194"/>
      <c r="F66" s="194">
        <v>0</v>
      </c>
      <c r="G66" s="195">
        <v>3</v>
      </c>
      <c r="H66" s="194"/>
      <c r="I66" s="253">
        <f>IF(COUNTBLANK(E66:H66)=4,"",SUM(E66:G66)+IF(Setup!$I$15="No",0,H66))</f>
        <v>3</v>
      </c>
      <c r="J66" s="194"/>
      <c r="K66" s="194">
        <v>2</v>
      </c>
      <c r="L66" s="194">
        <v>7</v>
      </c>
      <c r="M66" s="194"/>
      <c r="N66" s="257">
        <f>IF(COUNTBLANK(J66:M66)=4,"",SUM(J66:L66)+IF(Setup!$I$15="No",0,M66))</f>
        <v>9</v>
      </c>
      <c r="O66" s="194"/>
      <c r="P66" s="194"/>
      <c r="Q66" s="194"/>
      <c r="R66" s="194"/>
      <c r="S66" s="257" t="str">
        <f>IF(COUNTBLANK(O66:R66)=4,"",SUM(O66:Q66)+IF(Setup!$I$15="No",0,R66))</f>
        <v/>
      </c>
      <c r="T66" s="194"/>
      <c r="U66" s="194"/>
      <c r="V66" s="194"/>
      <c r="W66" s="194"/>
      <c r="X66" s="257" t="str">
        <f>IF(COUNTBLANK(T66:W66)=4,"",SUM(T66:V66)+IF(Setup!$I$15="No",0,W66))</f>
        <v/>
      </c>
      <c r="Y66" s="194"/>
      <c r="Z66" s="194"/>
      <c r="AA66" s="194"/>
      <c r="AB66" s="194"/>
      <c r="AC66" s="257" t="str">
        <f>IF(COUNTBLANK(Y66:AB66)=4,"",SUM(Y66:AA66)+IF(Setup!$I$15="No",0,AB66))</f>
        <v/>
      </c>
      <c r="AD66" s="194"/>
      <c r="AE66" s="194"/>
      <c r="AF66" s="194"/>
      <c r="AG66" s="194"/>
      <c r="AH66" s="257" t="str">
        <f>IF(COUNTBLANK(AD66:AG66)=4,"",SUM(AD66:AF66)+IF(Setup!$I$15="No",0,AG66))</f>
        <v/>
      </c>
      <c r="AI66" s="194"/>
      <c r="AJ66" s="194"/>
      <c r="AK66" s="194"/>
      <c r="AL66" s="194"/>
      <c r="AM66" s="257" t="str">
        <f>IF(COUNTBLANK(AI66:AL66)=4,"",SUM(AI66:AK66)+IF(Setup!$I$15="No",0,AL66))</f>
        <v/>
      </c>
      <c r="AN66" s="194"/>
      <c r="AO66" s="194"/>
      <c r="AP66" s="194"/>
      <c r="AQ66" s="194"/>
      <c r="AR66" s="257" t="str">
        <f>IF(COUNTBLANK(AN66:AQ66)=4,"",SUM(AN66:AP66)+IF(Setup!$I$15="No",0,AQ66))</f>
        <v/>
      </c>
      <c r="AS66" s="194"/>
      <c r="AT66" s="194"/>
      <c r="AU66" s="194"/>
      <c r="AV66" s="194"/>
      <c r="AW66" s="257" t="str">
        <f>IF(COUNTBLANK(AS66:AV66)=4,"",SUM(AS66:AU66)+IF(Setup!$I$15="No",0,AV66))</f>
        <v/>
      </c>
      <c r="AX66" s="194"/>
      <c r="AY66" s="194"/>
      <c r="AZ66" s="194"/>
      <c r="BA66" s="194"/>
      <c r="BB66" s="257" t="str">
        <f>IF(COUNTBLANK(AX66:BA66)=4,"",SUM(AX66:AZ66)+IF(Setup!$I$15="No",0,BA66))</f>
        <v/>
      </c>
      <c r="BC66" s="261">
        <f ca="1">IF('Demand background (hide)'!A57=Num_Modalities,"",SUM(Demand!I66, Demand!N66))</f>
        <v>12</v>
      </c>
      <c r="BD66" s="261">
        <f ca="1">IF(AND(A66&lt;=MaxRows,BE66&lt;&gt;"Yes"),'Demand background (hide)'!X57+IF(Setup!$I$15="Yes",'Demand background (hide)'!AJ57,0),"")</f>
        <v>450</v>
      </c>
      <c r="BE66" s="211"/>
    </row>
    <row r="67" spans="1:57" ht="15" x14ac:dyDescent="0.25">
      <c r="A67">
        <f t="shared" ca="1" si="0"/>
        <v>55</v>
      </c>
      <c r="B67" s="266" t="str">
        <f t="shared" ca="1" si="1"/>
        <v xml:space="preserve"> </v>
      </c>
      <c r="C67" s="267">
        <f t="shared" ca="1" si="2"/>
        <v>15</v>
      </c>
      <c r="D67" s="424">
        <f t="shared" ca="1" si="3"/>
        <v>42839</v>
      </c>
      <c r="E67" s="194"/>
      <c r="F67" s="194">
        <v>2</v>
      </c>
      <c r="G67" s="195">
        <v>3</v>
      </c>
      <c r="H67" s="194"/>
      <c r="I67" s="253">
        <f>IF(COUNTBLANK(E67:H67)=4,"",SUM(E67:G67)+IF(Setup!$I$15="No",0,H67))</f>
        <v>5</v>
      </c>
      <c r="J67" s="194"/>
      <c r="K67" s="194">
        <v>1</v>
      </c>
      <c r="L67" s="194">
        <v>6</v>
      </c>
      <c r="M67" s="194"/>
      <c r="N67" s="257">
        <f>IF(COUNTBLANK(J67:M67)=4,"",SUM(J67:L67)+IF(Setup!$I$15="No",0,M67))</f>
        <v>7</v>
      </c>
      <c r="O67" s="194"/>
      <c r="P67" s="194"/>
      <c r="Q67" s="194"/>
      <c r="R67" s="194"/>
      <c r="S67" s="257" t="str">
        <f>IF(COUNTBLANK(O67:R67)=4,"",SUM(O67:Q67)+IF(Setup!$I$15="No",0,R67))</f>
        <v/>
      </c>
      <c r="T67" s="194"/>
      <c r="U67" s="194"/>
      <c r="V67" s="194"/>
      <c r="W67" s="194"/>
      <c r="X67" s="257" t="str">
        <f>IF(COUNTBLANK(T67:W67)=4,"",SUM(T67:V67)+IF(Setup!$I$15="No",0,W67))</f>
        <v/>
      </c>
      <c r="Y67" s="194"/>
      <c r="Z67" s="194"/>
      <c r="AA67" s="194"/>
      <c r="AB67" s="194"/>
      <c r="AC67" s="257" t="str">
        <f>IF(COUNTBLANK(Y67:AB67)=4,"",SUM(Y67:AA67)+IF(Setup!$I$15="No",0,AB67))</f>
        <v/>
      </c>
      <c r="AD67" s="194"/>
      <c r="AE67" s="194"/>
      <c r="AF67" s="194"/>
      <c r="AG67" s="194"/>
      <c r="AH67" s="257" t="str">
        <f>IF(COUNTBLANK(AD67:AG67)=4,"",SUM(AD67:AF67)+IF(Setup!$I$15="No",0,AG67))</f>
        <v/>
      </c>
      <c r="AI67" s="194"/>
      <c r="AJ67" s="194"/>
      <c r="AK67" s="194"/>
      <c r="AL67" s="194"/>
      <c r="AM67" s="257" t="str">
        <f>IF(COUNTBLANK(AI67:AL67)=4,"",SUM(AI67:AK67)+IF(Setup!$I$15="No",0,AL67))</f>
        <v/>
      </c>
      <c r="AN67" s="194"/>
      <c r="AO67" s="194"/>
      <c r="AP67" s="194"/>
      <c r="AQ67" s="194"/>
      <c r="AR67" s="257" t="str">
        <f>IF(COUNTBLANK(AN67:AQ67)=4,"",SUM(AN67:AP67)+IF(Setup!$I$15="No",0,AQ67))</f>
        <v/>
      </c>
      <c r="AS67" s="194"/>
      <c r="AT67" s="194"/>
      <c r="AU67" s="194"/>
      <c r="AV67" s="194"/>
      <c r="AW67" s="257" t="str">
        <f>IF(COUNTBLANK(AS67:AV67)=4,"",SUM(AS67:AU67)+IF(Setup!$I$15="No",0,AV67))</f>
        <v/>
      </c>
      <c r="AX67" s="194"/>
      <c r="AY67" s="194"/>
      <c r="AZ67" s="194"/>
      <c r="BA67" s="194"/>
      <c r="BB67" s="257" t="str">
        <f>IF(COUNTBLANK(AX67:BA67)=4,"",SUM(AX67:AZ67)+IF(Setup!$I$15="No",0,BA67))</f>
        <v/>
      </c>
      <c r="BC67" s="261">
        <f ca="1">IF('Demand background (hide)'!A58=Num_Modalities,"",SUM(Demand!I67, Demand!N67))</f>
        <v>12</v>
      </c>
      <c r="BD67" s="261">
        <f ca="1">IF(AND(A67&lt;=MaxRows,BE67&lt;&gt;"Yes"),'Demand background (hide)'!X58+IF(Setup!$I$15="Yes",'Demand background (hide)'!AJ58,0),"")</f>
        <v>430</v>
      </c>
      <c r="BE67" s="211"/>
    </row>
    <row r="68" spans="1:57" ht="15" x14ac:dyDescent="0.25">
      <c r="A68">
        <f t="shared" ca="1" si="0"/>
        <v>56</v>
      </c>
      <c r="B68" s="266" t="str">
        <f t="shared" ca="1" si="1"/>
        <v xml:space="preserve"> </v>
      </c>
      <c r="C68" s="267">
        <f t="shared" ca="1" si="2"/>
        <v>16</v>
      </c>
      <c r="D68" s="424">
        <f t="shared" ca="1" si="3"/>
        <v>42846</v>
      </c>
      <c r="E68" s="194"/>
      <c r="F68" s="194">
        <v>1</v>
      </c>
      <c r="G68" s="195">
        <v>5</v>
      </c>
      <c r="H68" s="194"/>
      <c r="I68" s="253">
        <f>IF(COUNTBLANK(E68:H68)=4,"",SUM(E68:G68)+IF(Setup!$I$15="No",0,H68))</f>
        <v>6</v>
      </c>
      <c r="J68" s="194"/>
      <c r="K68" s="194">
        <v>0</v>
      </c>
      <c r="L68" s="194">
        <v>11</v>
      </c>
      <c r="M68" s="194"/>
      <c r="N68" s="257">
        <f>IF(COUNTBLANK(J68:M68)=4,"",SUM(J68:L68)+IF(Setup!$I$15="No",0,M68))</f>
        <v>11</v>
      </c>
      <c r="O68" s="194"/>
      <c r="P68" s="194"/>
      <c r="Q68" s="194"/>
      <c r="R68" s="194"/>
      <c r="S68" s="257" t="str">
        <f>IF(COUNTBLANK(O68:R68)=4,"",SUM(O68:Q68)+IF(Setup!$I$15="No",0,R68))</f>
        <v/>
      </c>
      <c r="T68" s="194"/>
      <c r="U68" s="194"/>
      <c r="V68" s="194"/>
      <c r="W68" s="194"/>
      <c r="X68" s="257" t="str">
        <f>IF(COUNTBLANK(T68:W68)=4,"",SUM(T68:V68)+IF(Setup!$I$15="No",0,W68))</f>
        <v/>
      </c>
      <c r="Y68" s="194"/>
      <c r="Z68" s="194"/>
      <c r="AA68" s="194"/>
      <c r="AB68" s="194"/>
      <c r="AC68" s="257" t="str">
        <f>IF(COUNTBLANK(Y68:AB68)=4,"",SUM(Y68:AA68)+IF(Setup!$I$15="No",0,AB68))</f>
        <v/>
      </c>
      <c r="AD68" s="194"/>
      <c r="AE68" s="194"/>
      <c r="AF68" s="194"/>
      <c r="AG68" s="194"/>
      <c r="AH68" s="257" t="str">
        <f>IF(COUNTBLANK(AD68:AG68)=4,"",SUM(AD68:AF68)+IF(Setup!$I$15="No",0,AG68))</f>
        <v/>
      </c>
      <c r="AI68" s="194"/>
      <c r="AJ68" s="194"/>
      <c r="AK68" s="194"/>
      <c r="AL68" s="194"/>
      <c r="AM68" s="257" t="str">
        <f>IF(COUNTBLANK(AI68:AL68)=4,"",SUM(AI68:AK68)+IF(Setup!$I$15="No",0,AL68))</f>
        <v/>
      </c>
      <c r="AN68" s="194"/>
      <c r="AO68" s="194"/>
      <c r="AP68" s="194"/>
      <c r="AQ68" s="194"/>
      <c r="AR68" s="257" t="str">
        <f>IF(COUNTBLANK(AN68:AQ68)=4,"",SUM(AN68:AP68)+IF(Setup!$I$15="No",0,AQ68))</f>
        <v/>
      </c>
      <c r="AS68" s="194"/>
      <c r="AT68" s="194"/>
      <c r="AU68" s="194"/>
      <c r="AV68" s="194"/>
      <c r="AW68" s="257" t="str">
        <f>IF(COUNTBLANK(AS68:AV68)=4,"",SUM(AS68:AU68)+IF(Setup!$I$15="No",0,AV68))</f>
        <v/>
      </c>
      <c r="AX68" s="194"/>
      <c r="AY68" s="194"/>
      <c r="AZ68" s="194"/>
      <c r="BA68" s="194"/>
      <c r="BB68" s="257" t="str">
        <f>IF(COUNTBLANK(AX68:BA68)=4,"",SUM(AX68:AZ68)+IF(Setup!$I$15="No",0,BA68))</f>
        <v/>
      </c>
      <c r="BC68" s="261">
        <f ca="1">IF('Demand background (hide)'!A59=Num_Modalities,"",SUM(Demand!I68, Demand!N68))</f>
        <v>17</v>
      </c>
      <c r="BD68" s="261">
        <f ca="1">IF(AND(A68&lt;=MaxRows,BE68&lt;&gt;"Yes"),'Demand background (hide)'!X59+IF(Setup!$I$15="Yes",'Demand background (hide)'!AJ59,0),"")</f>
        <v>620</v>
      </c>
      <c r="BE68" s="211"/>
    </row>
    <row r="69" spans="1:57" ht="15" x14ac:dyDescent="0.25">
      <c r="A69">
        <f t="shared" ca="1" si="0"/>
        <v>57</v>
      </c>
      <c r="B69" s="266" t="str">
        <f t="shared" ca="1" si="1"/>
        <v xml:space="preserve"> </v>
      </c>
      <c r="C69" s="267">
        <f t="shared" ca="1" si="2"/>
        <v>17</v>
      </c>
      <c r="D69" s="424">
        <f t="shared" ca="1" si="3"/>
        <v>42853</v>
      </c>
      <c r="E69" s="194"/>
      <c r="F69" s="194">
        <v>2</v>
      </c>
      <c r="G69" s="195">
        <v>3</v>
      </c>
      <c r="H69" s="194"/>
      <c r="I69" s="253">
        <f>IF(COUNTBLANK(E69:H69)=4,"",SUM(E69:G69)+IF(Setup!$I$15="No",0,H69))</f>
        <v>5</v>
      </c>
      <c r="J69" s="194"/>
      <c r="K69" s="194">
        <v>1</v>
      </c>
      <c r="L69" s="194">
        <v>6</v>
      </c>
      <c r="M69" s="194"/>
      <c r="N69" s="257">
        <f>IF(COUNTBLANK(J69:M69)=4,"",SUM(J69:L69)+IF(Setup!$I$15="No",0,M69))</f>
        <v>7</v>
      </c>
      <c r="O69" s="194"/>
      <c r="P69" s="194"/>
      <c r="Q69" s="194"/>
      <c r="R69" s="194"/>
      <c r="S69" s="257" t="str">
        <f>IF(COUNTBLANK(O69:R69)=4,"",SUM(O69:Q69)+IF(Setup!$I$15="No",0,R69))</f>
        <v/>
      </c>
      <c r="T69" s="194"/>
      <c r="U69" s="194"/>
      <c r="V69" s="194"/>
      <c r="W69" s="194"/>
      <c r="X69" s="257" t="str">
        <f>IF(COUNTBLANK(T69:W69)=4,"",SUM(T69:V69)+IF(Setup!$I$15="No",0,W69))</f>
        <v/>
      </c>
      <c r="Y69" s="194"/>
      <c r="Z69" s="194"/>
      <c r="AA69" s="194"/>
      <c r="AB69" s="194"/>
      <c r="AC69" s="257" t="str">
        <f>IF(COUNTBLANK(Y69:AB69)=4,"",SUM(Y69:AA69)+IF(Setup!$I$15="No",0,AB69))</f>
        <v/>
      </c>
      <c r="AD69" s="194"/>
      <c r="AE69" s="194"/>
      <c r="AF69" s="194"/>
      <c r="AG69" s="194"/>
      <c r="AH69" s="257" t="str">
        <f>IF(COUNTBLANK(AD69:AG69)=4,"",SUM(AD69:AF69)+IF(Setup!$I$15="No",0,AG69))</f>
        <v/>
      </c>
      <c r="AI69" s="194"/>
      <c r="AJ69" s="194"/>
      <c r="AK69" s="194"/>
      <c r="AL69" s="194"/>
      <c r="AM69" s="257" t="str">
        <f>IF(COUNTBLANK(AI69:AL69)=4,"",SUM(AI69:AK69)+IF(Setup!$I$15="No",0,AL69))</f>
        <v/>
      </c>
      <c r="AN69" s="194"/>
      <c r="AO69" s="194"/>
      <c r="AP69" s="194"/>
      <c r="AQ69" s="194"/>
      <c r="AR69" s="257" t="str">
        <f>IF(COUNTBLANK(AN69:AQ69)=4,"",SUM(AN69:AP69)+IF(Setup!$I$15="No",0,AQ69))</f>
        <v/>
      </c>
      <c r="AS69" s="194"/>
      <c r="AT69" s="194"/>
      <c r="AU69" s="194"/>
      <c r="AV69" s="194"/>
      <c r="AW69" s="257" t="str">
        <f>IF(COUNTBLANK(AS69:AV69)=4,"",SUM(AS69:AU69)+IF(Setup!$I$15="No",0,AV69))</f>
        <v/>
      </c>
      <c r="AX69" s="194"/>
      <c r="AY69" s="194"/>
      <c r="AZ69" s="194"/>
      <c r="BA69" s="194"/>
      <c r="BB69" s="257" t="str">
        <f>IF(COUNTBLANK(AX69:BA69)=4,"",SUM(AX69:AZ69)+IF(Setup!$I$15="No",0,BA69))</f>
        <v/>
      </c>
      <c r="BC69" s="261">
        <f ca="1">IF('Demand background (hide)'!A60=Num_Modalities,"",SUM(Demand!I69, Demand!N69))</f>
        <v>12</v>
      </c>
      <c r="BD69" s="261">
        <f ca="1">IF(AND(A69&lt;=MaxRows,BE69&lt;&gt;"Yes"),'Demand background (hide)'!X60+IF(Setup!$I$15="Yes",'Demand background (hide)'!AJ60,0),"")</f>
        <v>430</v>
      </c>
      <c r="BE69" s="211"/>
    </row>
    <row r="70" spans="1:57" ht="15" x14ac:dyDescent="0.25">
      <c r="A70">
        <f t="shared" ca="1" si="0"/>
        <v>58</v>
      </c>
      <c r="B70" s="266" t="str">
        <f t="shared" ca="1" si="1"/>
        <v xml:space="preserve"> </v>
      </c>
      <c r="C70" s="267">
        <f t="shared" ca="1" si="2"/>
        <v>18</v>
      </c>
      <c r="D70" s="424">
        <f t="shared" ca="1" si="3"/>
        <v>42860</v>
      </c>
      <c r="E70" s="194"/>
      <c r="F70" s="194">
        <v>0</v>
      </c>
      <c r="G70" s="195">
        <v>6</v>
      </c>
      <c r="H70" s="194"/>
      <c r="I70" s="253">
        <f>IF(COUNTBLANK(E70:H70)=4,"",SUM(E70:G70)+IF(Setup!$I$15="No",0,H70))</f>
        <v>6</v>
      </c>
      <c r="J70" s="194"/>
      <c r="K70" s="194">
        <v>4</v>
      </c>
      <c r="L70" s="194">
        <v>7</v>
      </c>
      <c r="M70" s="194"/>
      <c r="N70" s="257">
        <f>IF(COUNTBLANK(J70:M70)=4,"",SUM(J70:L70)+IF(Setup!$I$15="No",0,M70))</f>
        <v>11</v>
      </c>
      <c r="O70" s="194"/>
      <c r="P70" s="194"/>
      <c r="Q70" s="194"/>
      <c r="R70" s="194"/>
      <c r="S70" s="257" t="str">
        <f>IF(COUNTBLANK(O70:R70)=4,"",SUM(O70:Q70)+IF(Setup!$I$15="No",0,R70))</f>
        <v/>
      </c>
      <c r="T70" s="194"/>
      <c r="U70" s="194"/>
      <c r="V70" s="194"/>
      <c r="W70" s="194"/>
      <c r="X70" s="257" t="str">
        <f>IF(COUNTBLANK(T70:W70)=4,"",SUM(T70:V70)+IF(Setup!$I$15="No",0,W70))</f>
        <v/>
      </c>
      <c r="Y70" s="194"/>
      <c r="Z70" s="194"/>
      <c r="AA70" s="194"/>
      <c r="AB70" s="194"/>
      <c r="AC70" s="257" t="str">
        <f>IF(COUNTBLANK(Y70:AB70)=4,"",SUM(Y70:AA70)+IF(Setup!$I$15="No",0,AB70))</f>
        <v/>
      </c>
      <c r="AD70" s="194"/>
      <c r="AE70" s="194"/>
      <c r="AF70" s="194"/>
      <c r="AG70" s="194"/>
      <c r="AH70" s="257" t="str">
        <f>IF(COUNTBLANK(AD70:AG70)=4,"",SUM(AD70:AF70)+IF(Setup!$I$15="No",0,AG70))</f>
        <v/>
      </c>
      <c r="AI70" s="194"/>
      <c r="AJ70" s="194"/>
      <c r="AK70" s="194"/>
      <c r="AL70" s="194"/>
      <c r="AM70" s="257" t="str">
        <f>IF(COUNTBLANK(AI70:AL70)=4,"",SUM(AI70:AK70)+IF(Setup!$I$15="No",0,AL70))</f>
        <v/>
      </c>
      <c r="AN70" s="194"/>
      <c r="AO70" s="194"/>
      <c r="AP70" s="194"/>
      <c r="AQ70" s="194"/>
      <c r="AR70" s="257" t="str">
        <f>IF(COUNTBLANK(AN70:AQ70)=4,"",SUM(AN70:AP70)+IF(Setup!$I$15="No",0,AQ70))</f>
        <v/>
      </c>
      <c r="AS70" s="194"/>
      <c r="AT70" s="194"/>
      <c r="AU70" s="194"/>
      <c r="AV70" s="194"/>
      <c r="AW70" s="257" t="str">
        <f>IF(COUNTBLANK(AS70:AV70)=4,"",SUM(AS70:AU70)+IF(Setup!$I$15="No",0,AV70))</f>
        <v/>
      </c>
      <c r="AX70" s="194"/>
      <c r="AY70" s="194"/>
      <c r="AZ70" s="194"/>
      <c r="BA70" s="194"/>
      <c r="BB70" s="257" t="str">
        <f>IF(COUNTBLANK(AX70:BA70)=4,"",SUM(AX70:AZ70)+IF(Setup!$I$15="No",0,BA70))</f>
        <v/>
      </c>
      <c r="BC70" s="261">
        <f ca="1">IF('Demand background (hide)'!A61=Num_Modalities,"",SUM(Demand!I70, Demand!N70))</f>
        <v>17</v>
      </c>
      <c r="BD70" s="261">
        <f ca="1">IF(AND(A70&lt;=MaxRows,BE70&lt;&gt;"Yes"),'Demand background (hide)'!X61+IF(Setup!$I$15="Yes",'Demand background (hide)'!AJ61,0),"")</f>
        <v>620</v>
      </c>
      <c r="BE70" s="211"/>
    </row>
    <row r="71" spans="1:57" ht="15" x14ac:dyDescent="0.25">
      <c r="A71">
        <f t="shared" ca="1" si="0"/>
        <v>59</v>
      </c>
      <c r="B71" s="266" t="str">
        <f t="shared" ca="1" si="1"/>
        <v xml:space="preserve"> </v>
      </c>
      <c r="C71" s="267">
        <f t="shared" ca="1" si="2"/>
        <v>19</v>
      </c>
      <c r="D71" s="424">
        <f t="shared" ca="1" si="3"/>
        <v>42867</v>
      </c>
      <c r="E71" s="194"/>
      <c r="F71" s="194">
        <v>0</v>
      </c>
      <c r="G71" s="195">
        <v>5</v>
      </c>
      <c r="H71" s="194"/>
      <c r="I71" s="253">
        <f>IF(COUNTBLANK(E71:H71)=4,"",SUM(E71:G71)+IF(Setup!$I$15="No",0,H71))</f>
        <v>5</v>
      </c>
      <c r="J71" s="194"/>
      <c r="K71" s="194">
        <v>1</v>
      </c>
      <c r="L71" s="194">
        <v>2</v>
      </c>
      <c r="M71" s="194"/>
      <c r="N71" s="257">
        <f>IF(COUNTBLANK(J71:M71)=4,"",SUM(J71:L71)+IF(Setup!$I$15="No",0,M71))</f>
        <v>3</v>
      </c>
      <c r="O71" s="194"/>
      <c r="P71" s="194"/>
      <c r="Q71" s="194"/>
      <c r="R71" s="194"/>
      <c r="S71" s="257" t="str">
        <f>IF(COUNTBLANK(O71:R71)=4,"",SUM(O71:Q71)+IF(Setup!$I$15="No",0,R71))</f>
        <v/>
      </c>
      <c r="T71" s="194"/>
      <c r="U71" s="194"/>
      <c r="V71" s="194"/>
      <c r="W71" s="194"/>
      <c r="X71" s="257" t="str">
        <f>IF(COUNTBLANK(T71:W71)=4,"",SUM(T71:V71)+IF(Setup!$I$15="No",0,W71))</f>
        <v/>
      </c>
      <c r="Y71" s="194"/>
      <c r="Z71" s="194"/>
      <c r="AA71" s="194"/>
      <c r="AB71" s="194"/>
      <c r="AC71" s="257" t="str">
        <f>IF(COUNTBLANK(Y71:AB71)=4,"",SUM(Y71:AA71)+IF(Setup!$I$15="No",0,AB71))</f>
        <v/>
      </c>
      <c r="AD71" s="194"/>
      <c r="AE71" s="194"/>
      <c r="AF71" s="194"/>
      <c r="AG71" s="194"/>
      <c r="AH71" s="257" t="str">
        <f>IF(COUNTBLANK(AD71:AG71)=4,"",SUM(AD71:AF71)+IF(Setup!$I$15="No",0,AG71))</f>
        <v/>
      </c>
      <c r="AI71" s="194"/>
      <c r="AJ71" s="194"/>
      <c r="AK71" s="194"/>
      <c r="AL71" s="194"/>
      <c r="AM71" s="257" t="str">
        <f>IF(COUNTBLANK(AI71:AL71)=4,"",SUM(AI71:AK71)+IF(Setup!$I$15="No",0,AL71))</f>
        <v/>
      </c>
      <c r="AN71" s="194"/>
      <c r="AO71" s="194"/>
      <c r="AP71" s="194"/>
      <c r="AQ71" s="194"/>
      <c r="AR71" s="257" t="str">
        <f>IF(COUNTBLANK(AN71:AQ71)=4,"",SUM(AN71:AP71)+IF(Setup!$I$15="No",0,AQ71))</f>
        <v/>
      </c>
      <c r="AS71" s="194"/>
      <c r="AT71" s="194"/>
      <c r="AU71" s="194"/>
      <c r="AV71" s="194"/>
      <c r="AW71" s="257" t="str">
        <f>IF(COUNTBLANK(AS71:AV71)=4,"",SUM(AS71:AU71)+IF(Setup!$I$15="No",0,AV71))</f>
        <v/>
      </c>
      <c r="AX71" s="194"/>
      <c r="AY71" s="194"/>
      <c r="AZ71" s="194"/>
      <c r="BA71" s="194"/>
      <c r="BB71" s="257" t="str">
        <f>IF(COUNTBLANK(AX71:BA71)=4,"",SUM(AX71:AZ71)+IF(Setup!$I$15="No",0,BA71))</f>
        <v/>
      </c>
      <c r="BC71" s="261">
        <f ca="1">IF('Demand background (hide)'!A62=Num_Modalities,"",SUM(Demand!I71, Demand!N71))</f>
        <v>8</v>
      </c>
      <c r="BD71" s="261">
        <f ca="1">IF(AND(A71&lt;=MaxRows,BE71&lt;&gt;"Yes"),'Demand background (hide)'!X62+IF(Setup!$I$15="Yes",'Demand background (hide)'!AJ62,0),"")</f>
        <v>270</v>
      </c>
      <c r="BE71" s="211"/>
    </row>
    <row r="72" spans="1:57" ht="15" x14ac:dyDescent="0.25">
      <c r="A72">
        <f t="shared" ca="1" si="0"/>
        <v>60</v>
      </c>
      <c r="B72" s="266" t="str">
        <f t="shared" ca="1" si="1"/>
        <v xml:space="preserve"> </v>
      </c>
      <c r="C72" s="267">
        <f t="shared" ca="1" si="2"/>
        <v>20</v>
      </c>
      <c r="D72" s="424">
        <f t="shared" ca="1" si="3"/>
        <v>42874</v>
      </c>
      <c r="E72" s="194"/>
      <c r="F72" s="194">
        <v>0</v>
      </c>
      <c r="G72" s="195">
        <v>1</v>
      </c>
      <c r="H72" s="194"/>
      <c r="I72" s="253">
        <f>IF(COUNTBLANK(E72:H72)=4,"",SUM(E72:G72)+IF(Setup!$I$15="No",0,H72))</f>
        <v>1</v>
      </c>
      <c r="J72" s="194"/>
      <c r="K72" s="194">
        <v>3</v>
      </c>
      <c r="L72" s="194">
        <v>9</v>
      </c>
      <c r="M72" s="194"/>
      <c r="N72" s="257">
        <f>IF(COUNTBLANK(J72:M72)=4,"",SUM(J72:L72)+IF(Setup!$I$15="No",0,M72))</f>
        <v>12</v>
      </c>
      <c r="O72" s="194"/>
      <c r="P72" s="194"/>
      <c r="Q72" s="194"/>
      <c r="R72" s="194"/>
      <c r="S72" s="257" t="str">
        <f>IF(COUNTBLANK(O72:R72)=4,"",SUM(O72:Q72)+IF(Setup!$I$15="No",0,R72))</f>
        <v/>
      </c>
      <c r="T72" s="194"/>
      <c r="U72" s="194"/>
      <c r="V72" s="194"/>
      <c r="W72" s="194"/>
      <c r="X72" s="257" t="str">
        <f>IF(COUNTBLANK(T72:W72)=4,"",SUM(T72:V72)+IF(Setup!$I$15="No",0,W72))</f>
        <v/>
      </c>
      <c r="Y72" s="194"/>
      <c r="Z72" s="194"/>
      <c r="AA72" s="194"/>
      <c r="AB72" s="194"/>
      <c r="AC72" s="257" t="str">
        <f>IF(COUNTBLANK(Y72:AB72)=4,"",SUM(Y72:AA72)+IF(Setup!$I$15="No",0,AB72))</f>
        <v/>
      </c>
      <c r="AD72" s="194"/>
      <c r="AE72" s="194"/>
      <c r="AF72" s="194"/>
      <c r="AG72" s="194"/>
      <c r="AH72" s="257" t="str">
        <f>IF(COUNTBLANK(AD72:AG72)=4,"",SUM(AD72:AF72)+IF(Setup!$I$15="No",0,AG72))</f>
        <v/>
      </c>
      <c r="AI72" s="194"/>
      <c r="AJ72" s="194"/>
      <c r="AK72" s="194"/>
      <c r="AL72" s="194"/>
      <c r="AM72" s="257" t="str">
        <f>IF(COUNTBLANK(AI72:AL72)=4,"",SUM(AI72:AK72)+IF(Setup!$I$15="No",0,AL72))</f>
        <v/>
      </c>
      <c r="AN72" s="194"/>
      <c r="AO72" s="194"/>
      <c r="AP72" s="194"/>
      <c r="AQ72" s="194"/>
      <c r="AR72" s="257" t="str">
        <f>IF(COUNTBLANK(AN72:AQ72)=4,"",SUM(AN72:AP72)+IF(Setup!$I$15="No",0,AQ72))</f>
        <v/>
      </c>
      <c r="AS72" s="194"/>
      <c r="AT72" s="194"/>
      <c r="AU72" s="194"/>
      <c r="AV72" s="194"/>
      <c r="AW72" s="257" t="str">
        <f>IF(COUNTBLANK(AS72:AV72)=4,"",SUM(AS72:AU72)+IF(Setup!$I$15="No",0,AV72))</f>
        <v/>
      </c>
      <c r="AX72" s="194"/>
      <c r="AY72" s="194"/>
      <c r="AZ72" s="194"/>
      <c r="BA72" s="194"/>
      <c r="BB72" s="257" t="str">
        <f>IF(COUNTBLANK(AX72:BA72)=4,"",SUM(AX72:AZ72)+IF(Setup!$I$15="No",0,BA72))</f>
        <v/>
      </c>
      <c r="BC72" s="261">
        <f ca="1">IF('Demand background (hide)'!A63=Num_Modalities,"",SUM(Demand!I72, Demand!N72))</f>
        <v>13</v>
      </c>
      <c r="BD72" s="261">
        <f ca="1">IF(AND(A72&lt;=MaxRows,BE72&lt;&gt;"Yes"),'Demand background (hide)'!X63+IF(Setup!$I$15="Yes",'Demand background (hide)'!AJ63,0),"")</f>
        <v>510</v>
      </c>
      <c r="BE72" s="211"/>
    </row>
    <row r="73" spans="1:57" ht="15" x14ac:dyDescent="0.25">
      <c r="A73">
        <f t="shared" ca="1" si="0"/>
        <v>61</v>
      </c>
      <c r="B73" s="266" t="str">
        <f t="shared" ca="1" si="1"/>
        <v xml:space="preserve"> </v>
      </c>
      <c r="C73" s="267">
        <f t="shared" ca="1" si="2"/>
        <v>21</v>
      </c>
      <c r="D73" s="424">
        <f t="shared" ca="1" si="3"/>
        <v>42881</v>
      </c>
      <c r="E73" s="194"/>
      <c r="F73" s="194">
        <v>0</v>
      </c>
      <c r="G73" s="195">
        <v>4</v>
      </c>
      <c r="H73" s="194"/>
      <c r="I73" s="253">
        <f>IF(COUNTBLANK(E73:H73)=4,"",SUM(E73:G73)+IF(Setup!$I$15="No",0,H73))</f>
        <v>4</v>
      </c>
      <c r="J73" s="194"/>
      <c r="K73" s="194">
        <v>2</v>
      </c>
      <c r="L73" s="194">
        <v>2</v>
      </c>
      <c r="M73" s="194"/>
      <c r="N73" s="257">
        <f>IF(COUNTBLANK(J73:M73)=4,"",SUM(J73:L73)+IF(Setup!$I$15="No",0,M73))</f>
        <v>4</v>
      </c>
      <c r="O73" s="194"/>
      <c r="P73" s="194"/>
      <c r="Q73" s="194"/>
      <c r="R73" s="194"/>
      <c r="S73" s="257" t="str">
        <f>IF(COUNTBLANK(O73:R73)=4,"",SUM(O73:Q73)+IF(Setup!$I$15="No",0,R73))</f>
        <v/>
      </c>
      <c r="T73" s="194"/>
      <c r="U73" s="194"/>
      <c r="V73" s="194"/>
      <c r="W73" s="194"/>
      <c r="X73" s="257" t="str">
        <f>IF(COUNTBLANK(T73:W73)=4,"",SUM(T73:V73)+IF(Setup!$I$15="No",0,W73))</f>
        <v/>
      </c>
      <c r="Y73" s="194"/>
      <c r="Z73" s="194"/>
      <c r="AA73" s="194"/>
      <c r="AB73" s="194"/>
      <c r="AC73" s="257" t="str">
        <f>IF(COUNTBLANK(Y73:AB73)=4,"",SUM(Y73:AA73)+IF(Setup!$I$15="No",0,AB73))</f>
        <v/>
      </c>
      <c r="AD73" s="194"/>
      <c r="AE73" s="194"/>
      <c r="AF73" s="194"/>
      <c r="AG73" s="194"/>
      <c r="AH73" s="257" t="str">
        <f>IF(COUNTBLANK(AD73:AG73)=4,"",SUM(AD73:AF73)+IF(Setup!$I$15="No",0,AG73))</f>
        <v/>
      </c>
      <c r="AI73" s="194"/>
      <c r="AJ73" s="194"/>
      <c r="AK73" s="194"/>
      <c r="AL73" s="194"/>
      <c r="AM73" s="257" t="str">
        <f>IF(COUNTBLANK(AI73:AL73)=4,"",SUM(AI73:AK73)+IF(Setup!$I$15="No",0,AL73))</f>
        <v/>
      </c>
      <c r="AN73" s="194"/>
      <c r="AO73" s="194"/>
      <c r="AP73" s="194"/>
      <c r="AQ73" s="194"/>
      <c r="AR73" s="257" t="str">
        <f>IF(COUNTBLANK(AN73:AQ73)=4,"",SUM(AN73:AP73)+IF(Setup!$I$15="No",0,AQ73))</f>
        <v/>
      </c>
      <c r="AS73" s="194"/>
      <c r="AT73" s="194"/>
      <c r="AU73" s="194"/>
      <c r="AV73" s="194"/>
      <c r="AW73" s="257" t="str">
        <f>IF(COUNTBLANK(AS73:AV73)=4,"",SUM(AS73:AU73)+IF(Setup!$I$15="No",0,AV73))</f>
        <v/>
      </c>
      <c r="AX73" s="194"/>
      <c r="AY73" s="194"/>
      <c r="AZ73" s="194"/>
      <c r="BA73" s="194"/>
      <c r="BB73" s="257" t="str">
        <f>IF(COUNTBLANK(AX73:BA73)=4,"",SUM(AX73:AZ73)+IF(Setup!$I$15="No",0,BA73))</f>
        <v/>
      </c>
      <c r="BC73" s="261">
        <f ca="1">IF('Demand background (hide)'!A64=Num_Modalities,"",SUM(Demand!I73, Demand!N73))</f>
        <v>8</v>
      </c>
      <c r="BD73" s="261">
        <f ca="1">IF(AND(A73&lt;=MaxRows,BE73&lt;&gt;"Yes"),'Demand background (hide)'!X64+IF(Setup!$I$15="Yes",'Demand background (hide)'!AJ64,0),"")</f>
        <v>280</v>
      </c>
      <c r="BE73" s="211"/>
    </row>
    <row r="74" spans="1:57" ht="15" x14ac:dyDescent="0.25">
      <c r="A74">
        <f t="shared" ca="1" si="0"/>
        <v>62</v>
      </c>
      <c r="B74" s="266" t="str">
        <f t="shared" ca="1" si="1"/>
        <v xml:space="preserve"> </v>
      </c>
      <c r="C74" s="267">
        <f t="shared" ca="1" si="2"/>
        <v>22</v>
      </c>
      <c r="D74" s="424">
        <f t="shared" ca="1" si="3"/>
        <v>42888</v>
      </c>
      <c r="E74" s="194"/>
      <c r="F74" s="194">
        <v>1</v>
      </c>
      <c r="G74" s="195">
        <v>3</v>
      </c>
      <c r="H74" s="194"/>
      <c r="I74" s="253">
        <f>IF(COUNTBLANK(E74:H74)=4,"",SUM(E74:G74)+IF(Setup!$I$15="No",0,H74))</f>
        <v>4</v>
      </c>
      <c r="J74" s="194"/>
      <c r="K74" s="194">
        <v>5</v>
      </c>
      <c r="L74" s="194">
        <v>10</v>
      </c>
      <c r="M74" s="194"/>
      <c r="N74" s="257">
        <f>IF(COUNTBLANK(J74:M74)=4,"",SUM(J74:L74)+IF(Setup!$I$15="No",0,M74))</f>
        <v>15</v>
      </c>
      <c r="O74" s="194"/>
      <c r="P74" s="194"/>
      <c r="Q74" s="194"/>
      <c r="R74" s="194"/>
      <c r="S74" s="257" t="str">
        <f>IF(COUNTBLANK(O74:R74)=4,"",SUM(O74:Q74)+IF(Setup!$I$15="No",0,R74))</f>
        <v/>
      </c>
      <c r="T74" s="194"/>
      <c r="U74" s="194"/>
      <c r="V74" s="194"/>
      <c r="W74" s="194"/>
      <c r="X74" s="257" t="str">
        <f>IF(COUNTBLANK(T74:W74)=4,"",SUM(T74:V74)+IF(Setup!$I$15="No",0,W74))</f>
        <v/>
      </c>
      <c r="Y74" s="194"/>
      <c r="Z74" s="194"/>
      <c r="AA74" s="194"/>
      <c r="AB74" s="194"/>
      <c r="AC74" s="257" t="str">
        <f>IF(COUNTBLANK(Y74:AB74)=4,"",SUM(Y74:AA74)+IF(Setup!$I$15="No",0,AB74))</f>
        <v/>
      </c>
      <c r="AD74" s="194"/>
      <c r="AE74" s="194"/>
      <c r="AF74" s="194"/>
      <c r="AG74" s="194"/>
      <c r="AH74" s="257" t="str">
        <f>IF(COUNTBLANK(AD74:AG74)=4,"",SUM(AD74:AF74)+IF(Setup!$I$15="No",0,AG74))</f>
        <v/>
      </c>
      <c r="AI74" s="194"/>
      <c r="AJ74" s="194"/>
      <c r="AK74" s="194"/>
      <c r="AL74" s="194"/>
      <c r="AM74" s="257" t="str">
        <f>IF(COUNTBLANK(AI74:AL74)=4,"",SUM(AI74:AK74)+IF(Setup!$I$15="No",0,AL74))</f>
        <v/>
      </c>
      <c r="AN74" s="194"/>
      <c r="AO74" s="194"/>
      <c r="AP74" s="194"/>
      <c r="AQ74" s="194"/>
      <c r="AR74" s="257" t="str">
        <f>IF(COUNTBLANK(AN74:AQ74)=4,"",SUM(AN74:AP74)+IF(Setup!$I$15="No",0,AQ74))</f>
        <v/>
      </c>
      <c r="AS74" s="194"/>
      <c r="AT74" s="194"/>
      <c r="AU74" s="194"/>
      <c r="AV74" s="194"/>
      <c r="AW74" s="257" t="str">
        <f>IF(COUNTBLANK(AS74:AV74)=4,"",SUM(AS74:AU74)+IF(Setup!$I$15="No",0,AV74))</f>
        <v/>
      </c>
      <c r="AX74" s="194"/>
      <c r="AY74" s="194"/>
      <c r="AZ74" s="194"/>
      <c r="BA74" s="194"/>
      <c r="BB74" s="257" t="str">
        <f>IF(COUNTBLANK(AX74:BA74)=4,"",SUM(AX74:AZ74)+IF(Setup!$I$15="No",0,BA74))</f>
        <v/>
      </c>
      <c r="BC74" s="261">
        <f ca="1">IF('Demand background (hide)'!A65=Num_Modalities,"",SUM(Demand!I74, Demand!N74))</f>
        <v>19</v>
      </c>
      <c r="BD74" s="261">
        <f ca="1">IF(AND(A74&lt;=MaxRows,BE74&lt;&gt;"Yes"),'Demand background (hide)'!X65+IF(Setup!$I$15="Yes",'Demand background (hide)'!AJ65,0),"")</f>
        <v>720</v>
      </c>
      <c r="BE74" s="211"/>
    </row>
    <row r="75" spans="1:57" ht="15" x14ac:dyDescent="0.25">
      <c r="A75">
        <f t="shared" ca="1" si="0"/>
        <v>63</v>
      </c>
      <c r="B75" s="266" t="str">
        <f t="shared" ca="1" si="1"/>
        <v xml:space="preserve"> </v>
      </c>
      <c r="C75" s="267">
        <f t="shared" ca="1" si="2"/>
        <v>23</v>
      </c>
      <c r="D75" s="424">
        <f t="shared" ca="1" si="3"/>
        <v>42895</v>
      </c>
      <c r="E75" s="194"/>
      <c r="F75" s="194">
        <v>0</v>
      </c>
      <c r="G75" s="195">
        <v>5</v>
      </c>
      <c r="H75" s="194"/>
      <c r="I75" s="253">
        <f>IF(COUNTBLANK(E75:H75)=4,"",SUM(E75:G75)+IF(Setup!$I$15="No",0,H75))</f>
        <v>5</v>
      </c>
      <c r="J75" s="194"/>
      <c r="K75" s="194">
        <v>1</v>
      </c>
      <c r="L75" s="194">
        <v>2</v>
      </c>
      <c r="M75" s="194"/>
      <c r="N75" s="257">
        <f>IF(COUNTBLANK(J75:M75)=4,"",SUM(J75:L75)+IF(Setup!$I$15="No",0,M75))</f>
        <v>3</v>
      </c>
      <c r="O75" s="194"/>
      <c r="P75" s="194"/>
      <c r="Q75" s="194"/>
      <c r="R75" s="194"/>
      <c r="S75" s="257" t="str">
        <f>IF(COUNTBLANK(O75:R75)=4,"",SUM(O75:Q75)+IF(Setup!$I$15="No",0,R75))</f>
        <v/>
      </c>
      <c r="T75" s="194"/>
      <c r="U75" s="194"/>
      <c r="V75" s="194"/>
      <c r="W75" s="194"/>
      <c r="X75" s="257" t="str">
        <f>IF(COUNTBLANK(T75:W75)=4,"",SUM(T75:V75)+IF(Setup!$I$15="No",0,W75))</f>
        <v/>
      </c>
      <c r="Y75" s="194"/>
      <c r="Z75" s="194"/>
      <c r="AA75" s="194"/>
      <c r="AB75" s="194"/>
      <c r="AC75" s="257" t="str">
        <f>IF(COUNTBLANK(Y75:AB75)=4,"",SUM(Y75:AA75)+IF(Setup!$I$15="No",0,AB75))</f>
        <v/>
      </c>
      <c r="AD75" s="194"/>
      <c r="AE75" s="194"/>
      <c r="AF75" s="194"/>
      <c r="AG75" s="194"/>
      <c r="AH75" s="257" t="str">
        <f>IF(COUNTBLANK(AD75:AG75)=4,"",SUM(AD75:AF75)+IF(Setup!$I$15="No",0,AG75))</f>
        <v/>
      </c>
      <c r="AI75" s="194"/>
      <c r="AJ75" s="194"/>
      <c r="AK75" s="194"/>
      <c r="AL75" s="194"/>
      <c r="AM75" s="257" t="str">
        <f>IF(COUNTBLANK(AI75:AL75)=4,"",SUM(AI75:AK75)+IF(Setup!$I$15="No",0,AL75))</f>
        <v/>
      </c>
      <c r="AN75" s="194"/>
      <c r="AO75" s="194"/>
      <c r="AP75" s="194"/>
      <c r="AQ75" s="194"/>
      <c r="AR75" s="257" t="str">
        <f>IF(COUNTBLANK(AN75:AQ75)=4,"",SUM(AN75:AP75)+IF(Setup!$I$15="No",0,AQ75))</f>
        <v/>
      </c>
      <c r="AS75" s="194"/>
      <c r="AT75" s="194"/>
      <c r="AU75" s="194"/>
      <c r="AV75" s="194"/>
      <c r="AW75" s="257" t="str">
        <f>IF(COUNTBLANK(AS75:AV75)=4,"",SUM(AS75:AU75)+IF(Setup!$I$15="No",0,AV75))</f>
        <v/>
      </c>
      <c r="AX75" s="194"/>
      <c r="AY75" s="194"/>
      <c r="AZ75" s="194"/>
      <c r="BA75" s="194"/>
      <c r="BB75" s="257" t="str">
        <f>IF(COUNTBLANK(AX75:BA75)=4,"",SUM(AX75:AZ75)+IF(Setup!$I$15="No",0,BA75))</f>
        <v/>
      </c>
      <c r="BC75" s="261">
        <f ca="1">IF('Demand background (hide)'!A66=Num_Modalities,"",SUM(Demand!I75, Demand!N75))</f>
        <v>8</v>
      </c>
      <c r="BD75" s="261">
        <f ca="1">IF(AND(A75&lt;=MaxRows,BE75&lt;&gt;"Yes"),'Demand background (hide)'!X66+IF(Setup!$I$15="Yes",'Demand background (hide)'!AJ66,0),"")</f>
        <v>270</v>
      </c>
      <c r="BE75" s="211"/>
    </row>
    <row r="76" spans="1:57" ht="15" x14ac:dyDescent="0.25">
      <c r="A76">
        <f t="shared" ca="1" si="0"/>
        <v>64</v>
      </c>
      <c r="B76" s="266" t="str">
        <f t="shared" ca="1" si="1"/>
        <v xml:space="preserve"> </v>
      </c>
      <c r="C76" s="267">
        <f t="shared" ca="1" si="2"/>
        <v>24</v>
      </c>
      <c r="D76" s="424">
        <f t="shared" ca="1" si="3"/>
        <v>42902</v>
      </c>
      <c r="E76" s="194"/>
      <c r="F76" s="194">
        <v>1</v>
      </c>
      <c r="G76" s="195">
        <v>4</v>
      </c>
      <c r="H76" s="194"/>
      <c r="I76" s="253">
        <f>IF(COUNTBLANK(E76:H76)=4,"",SUM(E76:G76)+IF(Setup!$I$15="No",0,H76))</f>
        <v>5</v>
      </c>
      <c r="J76" s="194"/>
      <c r="K76" s="194">
        <v>4</v>
      </c>
      <c r="L76" s="194">
        <v>2</v>
      </c>
      <c r="M76" s="194"/>
      <c r="N76" s="257">
        <f>IF(COUNTBLANK(J76:M76)=4,"",SUM(J76:L76)+IF(Setup!$I$15="No",0,M76))</f>
        <v>6</v>
      </c>
      <c r="O76" s="194"/>
      <c r="P76" s="194"/>
      <c r="Q76" s="194"/>
      <c r="R76" s="194"/>
      <c r="S76" s="257" t="str">
        <f>IF(COUNTBLANK(O76:R76)=4,"",SUM(O76:Q76)+IF(Setup!$I$15="No",0,R76))</f>
        <v/>
      </c>
      <c r="T76" s="194"/>
      <c r="U76" s="194"/>
      <c r="V76" s="194"/>
      <c r="W76" s="194"/>
      <c r="X76" s="257" t="str">
        <f>IF(COUNTBLANK(T76:W76)=4,"",SUM(T76:V76)+IF(Setup!$I$15="No",0,W76))</f>
        <v/>
      </c>
      <c r="Y76" s="194"/>
      <c r="Z76" s="194"/>
      <c r="AA76" s="194"/>
      <c r="AB76" s="194"/>
      <c r="AC76" s="257" t="str">
        <f>IF(COUNTBLANK(Y76:AB76)=4,"",SUM(Y76:AA76)+IF(Setup!$I$15="No",0,AB76))</f>
        <v/>
      </c>
      <c r="AD76" s="194"/>
      <c r="AE76" s="194"/>
      <c r="AF76" s="194"/>
      <c r="AG76" s="194"/>
      <c r="AH76" s="257" t="str">
        <f>IF(COUNTBLANK(AD76:AG76)=4,"",SUM(AD76:AF76)+IF(Setup!$I$15="No",0,AG76))</f>
        <v/>
      </c>
      <c r="AI76" s="194"/>
      <c r="AJ76" s="194"/>
      <c r="AK76" s="194"/>
      <c r="AL76" s="194"/>
      <c r="AM76" s="257" t="str">
        <f>IF(COUNTBLANK(AI76:AL76)=4,"",SUM(AI76:AK76)+IF(Setup!$I$15="No",0,AL76))</f>
        <v/>
      </c>
      <c r="AN76" s="194"/>
      <c r="AO76" s="194"/>
      <c r="AP76" s="194"/>
      <c r="AQ76" s="194"/>
      <c r="AR76" s="257" t="str">
        <f>IF(COUNTBLANK(AN76:AQ76)=4,"",SUM(AN76:AP76)+IF(Setup!$I$15="No",0,AQ76))</f>
        <v/>
      </c>
      <c r="AS76" s="194"/>
      <c r="AT76" s="194"/>
      <c r="AU76" s="194"/>
      <c r="AV76" s="194"/>
      <c r="AW76" s="257" t="str">
        <f>IF(COUNTBLANK(AS76:AV76)=4,"",SUM(AS76:AU76)+IF(Setup!$I$15="No",0,AV76))</f>
        <v/>
      </c>
      <c r="AX76" s="194"/>
      <c r="AY76" s="194"/>
      <c r="AZ76" s="194"/>
      <c r="BA76" s="194"/>
      <c r="BB76" s="257" t="str">
        <f>IF(COUNTBLANK(AX76:BA76)=4,"",SUM(AX76:AZ76)+IF(Setup!$I$15="No",0,BA76))</f>
        <v/>
      </c>
      <c r="BC76" s="261">
        <f ca="1">IF('Demand background (hide)'!A67=Num_Modalities,"",SUM(Demand!I76, Demand!N76))</f>
        <v>11</v>
      </c>
      <c r="BD76" s="261">
        <f ca="1">IF(AND(A76&lt;=MaxRows,BE76&lt;&gt;"Yes"),'Demand background (hide)'!X67+IF(Setup!$I$15="Yes",'Demand background (hide)'!AJ67,0),"")</f>
        <v>390</v>
      </c>
      <c r="BE76" s="211"/>
    </row>
    <row r="77" spans="1:57" ht="15" x14ac:dyDescent="0.25">
      <c r="A77">
        <f t="shared" ref="A77:A140" ca="1" si="4">IF(BC77&lt;&gt;"",ROW(A65),"")</f>
        <v>65</v>
      </c>
      <c r="B77" s="266" t="str">
        <f t="shared" ca="1" si="1"/>
        <v xml:space="preserve"> </v>
      </c>
      <c r="C77" s="267">
        <f t="shared" ca="1" si="2"/>
        <v>25</v>
      </c>
      <c r="D77" s="424">
        <f t="shared" ca="1" si="3"/>
        <v>42909</v>
      </c>
      <c r="E77" s="194"/>
      <c r="F77" s="194">
        <v>2</v>
      </c>
      <c r="G77" s="195">
        <v>4</v>
      </c>
      <c r="H77" s="194"/>
      <c r="I77" s="253">
        <f>IF(COUNTBLANK(E77:H77)=4,"",SUM(E77:G77)+IF(Setup!$I$15="No",0,H77))</f>
        <v>6</v>
      </c>
      <c r="J77" s="194"/>
      <c r="K77" s="194">
        <v>3</v>
      </c>
      <c r="L77" s="194">
        <v>5</v>
      </c>
      <c r="M77" s="194"/>
      <c r="N77" s="257">
        <f>IF(COUNTBLANK(J77:M77)=4,"",SUM(J77:L77)+IF(Setup!$I$15="No",0,M77))</f>
        <v>8</v>
      </c>
      <c r="O77" s="194"/>
      <c r="P77" s="194"/>
      <c r="Q77" s="194"/>
      <c r="R77" s="194"/>
      <c r="S77" s="257" t="str">
        <f>IF(COUNTBLANK(O77:R77)=4,"",SUM(O77:Q77)+IF(Setup!$I$15="No",0,R77))</f>
        <v/>
      </c>
      <c r="T77" s="194"/>
      <c r="U77" s="194"/>
      <c r="V77" s="194"/>
      <c r="W77" s="194"/>
      <c r="X77" s="257" t="str">
        <f>IF(COUNTBLANK(T77:W77)=4,"",SUM(T77:V77)+IF(Setup!$I$15="No",0,W77))</f>
        <v/>
      </c>
      <c r="Y77" s="194"/>
      <c r="Z77" s="194"/>
      <c r="AA77" s="194"/>
      <c r="AB77" s="194"/>
      <c r="AC77" s="257" t="str">
        <f>IF(COUNTBLANK(Y77:AB77)=4,"",SUM(Y77:AA77)+IF(Setup!$I$15="No",0,AB77))</f>
        <v/>
      </c>
      <c r="AD77" s="194"/>
      <c r="AE77" s="194"/>
      <c r="AF77" s="194"/>
      <c r="AG77" s="194"/>
      <c r="AH77" s="257" t="str">
        <f>IF(COUNTBLANK(AD77:AG77)=4,"",SUM(AD77:AF77)+IF(Setup!$I$15="No",0,AG77))</f>
        <v/>
      </c>
      <c r="AI77" s="194"/>
      <c r="AJ77" s="194"/>
      <c r="AK77" s="194"/>
      <c r="AL77" s="194"/>
      <c r="AM77" s="257" t="str">
        <f>IF(COUNTBLANK(AI77:AL77)=4,"",SUM(AI77:AK77)+IF(Setup!$I$15="No",0,AL77))</f>
        <v/>
      </c>
      <c r="AN77" s="194"/>
      <c r="AO77" s="194"/>
      <c r="AP77" s="194"/>
      <c r="AQ77" s="194"/>
      <c r="AR77" s="257" t="str">
        <f>IF(COUNTBLANK(AN77:AQ77)=4,"",SUM(AN77:AP77)+IF(Setup!$I$15="No",0,AQ77))</f>
        <v/>
      </c>
      <c r="AS77" s="194"/>
      <c r="AT77" s="194"/>
      <c r="AU77" s="194"/>
      <c r="AV77" s="194"/>
      <c r="AW77" s="257" t="str">
        <f>IF(COUNTBLANK(AS77:AV77)=4,"",SUM(AS77:AU77)+IF(Setup!$I$15="No",0,AV77))</f>
        <v/>
      </c>
      <c r="AX77" s="194"/>
      <c r="AY77" s="194"/>
      <c r="AZ77" s="194"/>
      <c r="BA77" s="194"/>
      <c r="BB77" s="257" t="str">
        <f>IF(COUNTBLANK(AX77:BA77)=4,"",SUM(AX77:AZ77)+IF(Setup!$I$15="No",0,BA77))</f>
        <v/>
      </c>
      <c r="BC77" s="261">
        <f ca="1">IF('Demand background (hide)'!A68=Num_Modalities,"",SUM(Demand!I77, Demand!N77))</f>
        <v>14</v>
      </c>
      <c r="BD77" s="261">
        <f ca="1">IF(AND(A77&lt;=MaxRows,BE77&lt;&gt;"Yes"),'Demand background (hide)'!X68+IF(Setup!$I$15="Yes",'Demand background (hide)'!AJ68,0),"")</f>
        <v>500</v>
      </c>
      <c r="BE77" s="211"/>
    </row>
    <row r="78" spans="1:57" ht="15" x14ac:dyDescent="0.25">
      <c r="A78">
        <f t="shared" ca="1" si="4"/>
        <v>66</v>
      </c>
      <c r="B78" s="266" t="str">
        <f t="shared" ref="B78:B141" ca="1" si="5">IF(A78&lt;=MaxRows,IF($C$6&lt;&gt;"",IF(YEAR(D78)&lt;&gt;YEAR(D77),YEAR(D78)," "),IF(C78&lt;&gt;1,"",OFFSET(B78,-C77,0,1,1)+1))," ")</f>
        <v xml:space="preserve"> </v>
      </c>
      <c r="C78" s="267">
        <f t="shared" ref="C78:C141" ca="1" si="6">IF(ROW(A66)&lt;=MaxRows,IF($C$6&lt;&gt;"",WEEKNUM(D78,21),IF(MOD((C77+1),52)&gt;0,MOD((C77+1),52),52)),"")</f>
        <v>26</v>
      </c>
      <c r="D78" s="424">
        <f t="shared" ref="D78:D141" ca="1" si="7">IF(ROW(A66)&lt;=MaxRows,IF($C$6&lt;&gt;"",D77+7,""),"")</f>
        <v>42916</v>
      </c>
      <c r="E78" s="194"/>
      <c r="F78" s="194">
        <v>1</v>
      </c>
      <c r="G78" s="195">
        <v>0</v>
      </c>
      <c r="H78" s="194"/>
      <c r="I78" s="253">
        <f>IF(COUNTBLANK(E78:H78)=4,"",SUM(E78:G78)+IF(Setup!$I$15="No",0,H78))</f>
        <v>1</v>
      </c>
      <c r="J78" s="194"/>
      <c r="K78" s="194">
        <v>1</v>
      </c>
      <c r="L78" s="194">
        <v>6</v>
      </c>
      <c r="M78" s="194"/>
      <c r="N78" s="257">
        <f>IF(COUNTBLANK(J78:M78)=4,"",SUM(J78:L78)+IF(Setup!$I$15="No",0,M78))</f>
        <v>7</v>
      </c>
      <c r="O78" s="194"/>
      <c r="P78" s="194"/>
      <c r="Q78" s="194"/>
      <c r="R78" s="194"/>
      <c r="S78" s="257" t="str">
        <f>IF(COUNTBLANK(O78:R78)=4,"",SUM(O78:Q78)+IF(Setup!$I$15="No",0,R78))</f>
        <v/>
      </c>
      <c r="T78" s="194"/>
      <c r="U78" s="194"/>
      <c r="V78" s="194"/>
      <c r="W78" s="194"/>
      <c r="X78" s="257" t="str">
        <f>IF(COUNTBLANK(T78:W78)=4,"",SUM(T78:V78)+IF(Setup!$I$15="No",0,W78))</f>
        <v/>
      </c>
      <c r="Y78" s="194"/>
      <c r="Z78" s="194"/>
      <c r="AA78" s="194"/>
      <c r="AB78" s="194"/>
      <c r="AC78" s="257" t="str">
        <f>IF(COUNTBLANK(Y78:AB78)=4,"",SUM(Y78:AA78)+IF(Setup!$I$15="No",0,AB78))</f>
        <v/>
      </c>
      <c r="AD78" s="194"/>
      <c r="AE78" s="194"/>
      <c r="AF78" s="194"/>
      <c r="AG78" s="194"/>
      <c r="AH78" s="257" t="str">
        <f>IF(COUNTBLANK(AD78:AG78)=4,"",SUM(AD78:AF78)+IF(Setup!$I$15="No",0,AG78))</f>
        <v/>
      </c>
      <c r="AI78" s="194"/>
      <c r="AJ78" s="194"/>
      <c r="AK78" s="194"/>
      <c r="AL78" s="194"/>
      <c r="AM78" s="257" t="str">
        <f>IF(COUNTBLANK(AI78:AL78)=4,"",SUM(AI78:AK78)+IF(Setup!$I$15="No",0,AL78))</f>
        <v/>
      </c>
      <c r="AN78" s="194"/>
      <c r="AO78" s="194"/>
      <c r="AP78" s="194"/>
      <c r="AQ78" s="194"/>
      <c r="AR78" s="257" t="str">
        <f>IF(COUNTBLANK(AN78:AQ78)=4,"",SUM(AN78:AP78)+IF(Setup!$I$15="No",0,AQ78))</f>
        <v/>
      </c>
      <c r="AS78" s="194"/>
      <c r="AT78" s="194"/>
      <c r="AU78" s="194"/>
      <c r="AV78" s="194"/>
      <c r="AW78" s="257" t="str">
        <f>IF(COUNTBLANK(AS78:AV78)=4,"",SUM(AS78:AU78)+IF(Setup!$I$15="No",0,AV78))</f>
        <v/>
      </c>
      <c r="AX78" s="194"/>
      <c r="AY78" s="194"/>
      <c r="AZ78" s="194"/>
      <c r="BA78" s="194"/>
      <c r="BB78" s="257" t="str">
        <f>IF(COUNTBLANK(AX78:BA78)=4,"",SUM(AX78:AZ78)+IF(Setup!$I$15="No",0,BA78))</f>
        <v/>
      </c>
      <c r="BC78" s="261">
        <f ca="1">IF('Demand background (hide)'!A69=Num_Modalities,"",SUM(Demand!I78, Demand!N78))</f>
        <v>8</v>
      </c>
      <c r="BD78" s="261">
        <f ca="1">IF(AND(A78&lt;=MaxRows,BE78&lt;&gt;"Yes"),'Demand background (hide)'!X69+IF(Setup!$I$15="Yes",'Demand background (hide)'!AJ69,0),"")</f>
        <v>310</v>
      </c>
      <c r="BE78" s="211"/>
    </row>
    <row r="79" spans="1:57" ht="15" x14ac:dyDescent="0.25">
      <c r="A79">
        <f t="shared" ca="1" si="4"/>
        <v>67</v>
      </c>
      <c r="B79" s="266" t="str">
        <f t="shared" ca="1" si="5"/>
        <v xml:space="preserve"> </v>
      </c>
      <c r="C79" s="267">
        <f t="shared" ca="1" si="6"/>
        <v>27</v>
      </c>
      <c r="D79" s="424">
        <f t="shared" ca="1" si="7"/>
        <v>42923</v>
      </c>
      <c r="E79" s="194"/>
      <c r="F79" s="194">
        <v>0</v>
      </c>
      <c r="G79" s="195">
        <v>2</v>
      </c>
      <c r="H79" s="194"/>
      <c r="I79" s="253">
        <f>IF(COUNTBLANK(E79:H79)=4,"",SUM(E79:G79)+IF(Setup!$I$15="No",0,H79))</f>
        <v>2</v>
      </c>
      <c r="J79" s="194"/>
      <c r="K79" s="194">
        <v>4</v>
      </c>
      <c r="L79" s="194">
        <v>15</v>
      </c>
      <c r="M79" s="194"/>
      <c r="N79" s="257">
        <f>IF(COUNTBLANK(J79:M79)=4,"",SUM(J79:L79)+IF(Setup!$I$15="No",0,M79))</f>
        <v>19</v>
      </c>
      <c r="O79" s="194"/>
      <c r="P79" s="194"/>
      <c r="Q79" s="194"/>
      <c r="R79" s="194"/>
      <c r="S79" s="257" t="str">
        <f>IF(COUNTBLANK(O79:R79)=4,"",SUM(O79:Q79)+IF(Setup!$I$15="No",0,R79))</f>
        <v/>
      </c>
      <c r="T79" s="194"/>
      <c r="U79" s="194"/>
      <c r="V79" s="194"/>
      <c r="W79" s="194"/>
      <c r="X79" s="257" t="str">
        <f>IF(COUNTBLANK(T79:W79)=4,"",SUM(T79:V79)+IF(Setup!$I$15="No",0,W79))</f>
        <v/>
      </c>
      <c r="Y79" s="194"/>
      <c r="Z79" s="194"/>
      <c r="AA79" s="194"/>
      <c r="AB79" s="194"/>
      <c r="AC79" s="257" t="str">
        <f>IF(COUNTBLANK(Y79:AB79)=4,"",SUM(Y79:AA79)+IF(Setup!$I$15="No",0,AB79))</f>
        <v/>
      </c>
      <c r="AD79" s="194"/>
      <c r="AE79" s="194"/>
      <c r="AF79" s="194"/>
      <c r="AG79" s="194"/>
      <c r="AH79" s="257" t="str">
        <f>IF(COUNTBLANK(AD79:AG79)=4,"",SUM(AD79:AF79)+IF(Setup!$I$15="No",0,AG79))</f>
        <v/>
      </c>
      <c r="AI79" s="194"/>
      <c r="AJ79" s="194"/>
      <c r="AK79" s="194"/>
      <c r="AL79" s="194"/>
      <c r="AM79" s="257" t="str">
        <f>IF(COUNTBLANK(AI79:AL79)=4,"",SUM(AI79:AK79)+IF(Setup!$I$15="No",0,AL79))</f>
        <v/>
      </c>
      <c r="AN79" s="194"/>
      <c r="AO79" s="194"/>
      <c r="AP79" s="194"/>
      <c r="AQ79" s="194"/>
      <c r="AR79" s="257" t="str">
        <f>IF(COUNTBLANK(AN79:AQ79)=4,"",SUM(AN79:AP79)+IF(Setup!$I$15="No",0,AQ79))</f>
        <v/>
      </c>
      <c r="AS79" s="194"/>
      <c r="AT79" s="194"/>
      <c r="AU79" s="194"/>
      <c r="AV79" s="194"/>
      <c r="AW79" s="257" t="str">
        <f>IF(COUNTBLANK(AS79:AV79)=4,"",SUM(AS79:AU79)+IF(Setup!$I$15="No",0,AV79))</f>
        <v/>
      </c>
      <c r="AX79" s="194"/>
      <c r="AY79" s="194"/>
      <c r="AZ79" s="194"/>
      <c r="BA79" s="194"/>
      <c r="BB79" s="257" t="str">
        <f>IF(COUNTBLANK(AX79:BA79)=4,"",SUM(AX79:AZ79)+IF(Setup!$I$15="No",0,BA79))</f>
        <v/>
      </c>
      <c r="BC79" s="261">
        <f ca="1">IF('Demand background (hide)'!A70=Num_Modalities,"",SUM(Demand!I79, Demand!N79))</f>
        <v>21</v>
      </c>
      <c r="BD79" s="261">
        <f ca="1">IF(AND(A79&lt;=MaxRows,BE79&lt;&gt;"Yes"),'Demand background (hide)'!X70+IF(Setup!$I$15="Yes",'Demand background (hide)'!AJ70,0),"")</f>
        <v>820</v>
      </c>
      <c r="BE79" s="211"/>
    </row>
    <row r="80" spans="1:57" ht="15" x14ac:dyDescent="0.25">
      <c r="A80">
        <f t="shared" ca="1" si="4"/>
        <v>68</v>
      </c>
      <c r="B80" s="266" t="str">
        <f t="shared" ca="1" si="5"/>
        <v xml:space="preserve"> </v>
      </c>
      <c r="C80" s="267">
        <f t="shared" ca="1" si="6"/>
        <v>28</v>
      </c>
      <c r="D80" s="424">
        <f t="shared" ca="1" si="7"/>
        <v>42930</v>
      </c>
      <c r="E80" s="194"/>
      <c r="F80" s="194">
        <v>0</v>
      </c>
      <c r="G80" s="195">
        <v>4</v>
      </c>
      <c r="H80" s="194"/>
      <c r="I80" s="253">
        <f>IF(COUNTBLANK(E80:H80)=4,"",SUM(E80:G80)+IF(Setup!$I$15="No",0,H80))</f>
        <v>4</v>
      </c>
      <c r="J80" s="194"/>
      <c r="K80" s="194">
        <v>4</v>
      </c>
      <c r="L80" s="194">
        <v>9</v>
      </c>
      <c r="M80" s="194"/>
      <c r="N80" s="257">
        <f>IF(COUNTBLANK(J80:M80)=4,"",SUM(J80:L80)+IF(Setup!$I$15="No",0,M80))</f>
        <v>13</v>
      </c>
      <c r="O80" s="194"/>
      <c r="P80" s="194"/>
      <c r="Q80" s="194"/>
      <c r="R80" s="194"/>
      <c r="S80" s="257" t="str">
        <f>IF(COUNTBLANK(O80:R80)=4,"",SUM(O80:Q80)+IF(Setup!$I$15="No",0,R80))</f>
        <v/>
      </c>
      <c r="T80" s="194"/>
      <c r="U80" s="194"/>
      <c r="V80" s="194"/>
      <c r="W80" s="194"/>
      <c r="X80" s="257" t="str">
        <f>IF(COUNTBLANK(T80:W80)=4,"",SUM(T80:V80)+IF(Setup!$I$15="No",0,W80))</f>
        <v/>
      </c>
      <c r="Y80" s="194"/>
      <c r="Z80" s="194"/>
      <c r="AA80" s="194"/>
      <c r="AB80" s="194"/>
      <c r="AC80" s="257" t="str">
        <f>IF(COUNTBLANK(Y80:AB80)=4,"",SUM(Y80:AA80)+IF(Setup!$I$15="No",0,AB80))</f>
        <v/>
      </c>
      <c r="AD80" s="194"/>
      <c r="AE80" s="194"/>
      <c r="AF80" s="194"/>
      <c r="AG80" s="194"/>
      <c r="AH80" s="257" t="str">
        <f>IF(COUNTBLANK(AD80:AG80)=4,"",SUM(AD80:AF80)+IF(Setup!$I$15="No",0,AG80))</f>
        <v/>
      </c>
      <c r="AI80" s="194"/>
      <c r="AJ80" s="194"/>
      <c r="AK80" s="194"/>
      <c r="AL80" s="194"/>
      <c r="AM80" s="257" t="str">
        <f>IF(COUNTBLANK(AI80:AL80)=4,"",SUM(AI80:AK80)+IF(Setup!$I$15="No",0,AL80))</f>
        <v/>
      </c>
      <c r="AN80" s="194"/>
      <c r="AO80" s="194"/>
      <c r="AP80" s="194"/>
      <c r="AQ80" s="194"/>
      <c r="AR80" s="257" t="str">
        <f>IF(COUNTBLANK(AN80:AQ80)=4,"",SUM(AN80:AP80)+IF(Setup!$I$15="No",0,AQ80))</f>
        <v/>
      </c>
      <c r="AS80" s="194"/>
      <c r="AT80" s="194"/>
      <c r="AU80" s="194"/>
      <c r="AV80" s="194"/>
      <c r="AW80" s="257" t="str">
        <f>IF(COUNTBLANK(AS80:AV80)=4,"",SUM(AS80:AU80)+IF(Setup!$I$15="No",0,AV80))</f>
        <v/>
      </c>
      <c r="AX80" s="194"/>
      <c r="AY80" s="194"/>
      <c r="AZ80" s="194"/>
      <c r="BA80" s="194"/>
      <c r="BB80" s="257" t="str">
        <f>IF(COUNTBLANK(AX80:BA80)=4,"",SUM(AX80:AZ80)+IF(Setup!$I$15="No",0,BA80))</f>
        <v/>
      </c>
      <c r="BC80" s="261">
        <f ca="1">IF('Demand background (hide)'!A71=Num_Modalities,"",SUM(Demand!I80, Demand!N80))</f>
        <v>17</v>
      </c>
      <c r="BD80" s="261">
        <f ca="1">IF(AND(A80&lt;=MaxRows,BE80&lt;&gt;"Yes"),'Demand background (hide)'!X71+IF(Setup!$I$15="Yes",'Demand background (hide)'!AJ71,0),"")</f>
        <v>640</v>
      </c>
      <c r="BE80" s="211"/>
    </row>
    <row r="81" spans="1:57" ht="15" x14ac:dyDescent="0.25">
      <c r="A81">
        <f t="shared" ca="1" si="4"/>
        <v>69</v>
      </c>
      <c r="B81" s="266" t="str">
        <f t="shared" ca="1" si="5"/>
        <v xml:space="preserve"> </v>
      </c>
      <c r="C81" s="267">
        <f t="shared" ca="1" si="6"/>
        <v>29</v>
      </c>
      <c r="D81" s="424">
        <f t="shared" ca="1" si="7"/>
        <v>42937</v>
      </c>
      <c r="E81" s="194"/>
      <c r="F81" s="194">
        <v>2</v>
      </c>
      <c r="G81" s="195">
        <v>4</v>
      </c>
      <c r="H81" s="194"/>
      <c r="I81" s="253">
        <f>IF(COUNTBLANK(E81:H81)=4,"",SUM(E81:G81)+IF(Setup!$I$15="No",0,H81))</f>
        <v>6</v>
      </c>
      <c r="J81" s="194"/>
      <c r="K81" s="194">
        <v>0</v>
      </c>
      <c r="L81" s="194">
        <v>7</v>
      </c>
      <c r="M81" s="194"/>
      <c r="N81" s="257">
        <f>IF(COUNTBLANK(J81:M81)=4,"",SUM(J81:L81)+IF(Setup!$I$15="No",0,M81))</f>
        <v>7</v>
      </c>
      <c r="O81" s="194"/>
      <c r="P81" s="194"/>
      <c r="Q81" s="194"/>
      <c r="R81" s="194"/>
      <c r="S81" s="257" t="str">
        <f>IF(COUNTBLANK(O81:R81)=4,"",SUM(O81:Q81)+IF(Setup!$I$15="No",0,R81))</f>
        <v/>
      </c>
      <c r="T81" s="194"/>
      <c r="U81" s="194"/>
      <c r="V81" s="194"/>
      <c r="W81" s="194"/>
      <c r="X81" s="257" t="str">
        <f>IF(COUNTBLANK(T81:W81)=4,"",SUM(T81:V81)+IF(Setup!$I$15="No",0,W81))</f>
        <v/>
      </c>
      <c r="Y81" s="194"/>
      <c r="Z81" s="194"/>
      <c r="AA81" s="194"/>
      <c r="AB81" s="194"/>
      <c r="AC81" s="257" t="str">
        <f>IF(COUNTBLANK(Y81:AB81)=4,"",SUM(Y81:AA81)+IF(Setup!$I$15="No",0,AB81))</f>
        <v/>
      </c>
      <c r="AD81" s="194"/>
      <c r="AE81" s="194"/>
      <c r="AF81" s="194"/>
      <c r="AG81" s="194"/>
      <c r="AH81" s="257" t="str">
        <f>IF(COUNTBLANK(AD81:AG81)=4,"",SUM(AD81:AF81)+IF(Setup!$I$15="No",0,AG81))</f>
        <v/>
      </c>
      <c r="AI81" s="194"/>
      <c r="AJ81" s="194"/>
      <c r="AK81" s="194"/>
      <c r="AL81" s="194"/>
      <c r="AM81" s="257" t="str">
        <f>IF(COUNTBLANK(AI81:AL81)=4,"",SUM(AI81:AK81)+IF(Setup!$I$15="No",0,AL81))</f>
        <v/>
      </c>
      <c r="AN81" s="194"/>
      <c r="AO81" s="194"/>
      <c r="AP81" s="194"/>
      <c r="AQ81" s="194"/>
      <c r="AR81" s="257" t="str">
        <f>IF(COUNTBLANK(AN81:AQ81)=4,"",SUM(AN81:AP81)+IF(Setup!$I$15="No",0,AQ81))</f>
        <v/>
      </c>
      <c r="AS81" s="194"/>
      <c r="AT81" s="194"/>
      <c r="AU81" s="194"/>
      <c r="AV81" s="194"/>
      <c r="AW81" s="257" t="str">
        <f>IF(COUNTBLANK(AS81:AV81)=4,"",SUM(AS81:AU81)+IF(Setup!$I$15="No",0,AV81))</f>
        <v/>
      </c>
      <c r="AX81" s="194"/>
      <c r="AY81" s="194"/>
      <c r="AZ81" s="194"/>
      <c r="BA81" s="194"/>
      <c r="BB81" s="257" t="str">
        <f>IF(COUNTBLANK(AX81:BA81)=4,"",SUM(AX81:AZ81)+IF(Setup!$I$15="No",0,BA81))</f>
        <v/>
      </c>
      <c r="BC81" s="261">
        <f ca="1">IF('Demand background (hide)'!A72=Num_Modalities,"",SUM(Demand!I81, Demand!N81))</f>
        <v>13</v>
      </c>
      <c r="BD81" s="261">
        <f ca="1">IF(AND(A81&lt;=MaxRows,BE81&lt;&gt;"Yes"),'Demand background (hide)'!X72+IF(Setup!$I$15="Yes",'Demand background (hide)'!AJ72,0),"")</f>
        <v>460</v>
      </c>
      <c r="BE81" s="211"/>
    </row>
    <row r="82" spans="1:57" ht="15" x14ac:dyDescent="0.25">
      <c r="A82">
        <f t="shared" ca="1" si="4"/>
        <v>70</v>
      </c>
      <c r="B82" s="266" t="str">
        <f t="shared" ca="1" si="5"/>
        <v xml:space="preserve"> </v>
      </c>
      <c r="C82" s="267">
        <f t="shared" ca="1" si="6"/>
        <v>30</v>
      </c>
      <c r="D82" s="424">
        <f t="shared" ca="1" si="7"/>
        <v>42944</v>
      </c>
      <c r="E82" s="194"/>
      <c r="F82" s="194">
        <v>3</v>
      </c>
      <c r="G82" s="195">
        <v>4</v>
      </c>
      <c r="H82" s="194"/>
      <c r="I82" s="253">
        <f>IF(COUNTBLANK(E82:H82)=4,"",SUM(E82:G82)+IF(Setup!$I$15="No",0,H82))</f>
        <v>7</v>
      </c>
      <c r="J82" s="194"/>
      <c r="K82" s="194">
        <v>3</v>
      </c>
      <c r="L82" s="194">
        <v>11</v>
      </c>
      <c r="M82" s="194"/>
      <c r="N82" s="257">
        <f>IF(COUNTBLANK(J82:M82)=4,"",SUM(J82:L82)+IF(Setup!$I$15="No",0,M82))</f>
        <v>14</v>
      </c>
      <c r="O82" s="194"/>
      <c r="P82" s="194"/>
      <c r="Q82" s="194"/>
      <c r="R82" s="194"/>
      <c r="S82" s="257" t="str">
        <f>IF(COUNTBLANK(O82:R82)=4,"",SUM(O82:Q82)+IF(Setup!$I$15="No",0,R82))</f>
        <v/>
      </c>
      <c r="T82" s="194"/>
      <c r="U82" s="194"/>
      <c r="V82" s="194"/>
      <c r="W82" s="194"/>
      <c r="X82" s="257" t="str">
        <f>IF(COUNTBLANK(T82:W82)=4,"",SUM(T82:V82)+IF(Setup!$I$15="No",0,W82))</f>
        <v/>
      </c>
      <c r="Y82" s="194"/>
      <c r="Z82" s="194"/>
      <c r="AA82" s="194"/>
      <c r="AB82" s="194"/>
      <c r="AC82" s="257" t="str">
        <f>IF(COUNTBLANK(Y82:AB82)=4,"",SUM(Y82:AA82)+IF(Setup!$I$15="No",0,AB82))</f>
        <v/>
      </c>
      <c r="AD82" s="194"/>
      <c r="AE82" s="194"/>
      <c r="AF82" s="194"/>
      <c r="AG82" s="194"/>
      <c r="AH82" s="257" t="str">
        <f>IF(COUNTBLANK(AD82:AG82)=4,"",SUM(AD82:AF82)+IF(Setup!$I$15="No",0,AG82))</f>
        <v/>
      </c>
      <c r="AI82" s="194"/>
      <c r="AJ82" s="194"/>
      <c r="AK82" s="194"/>
      <c r="AL82" s="194"/>
      <c r="AM82" s="257" t="str">
        <f>IF(COUNTBLANK(AI82:AL82)=4,"",SUM(AI82:AK82)+IF(Setup!$I$15="No",0,AL82))</f>
        <v/>
      </c>
      <c r="AN82" s="194"/>
      <c r="AO82" s="194"/>
      <c r="AP82" s="194"/>
      <c r="AQ82" s="194"/>
      <c r="AR82" s="257" t="str">
        <f>IF(COUNTBLANK(AN82:AQ82)=4,"",SUM(AN82:AP82)+IF(Setup!$I$15="No",0,AQ82))</f>
        <v/>
      </c>
      <c r="AS82" s="194"/>
      <c r="AT82" s="194"/>
      <c r="AU82" s="194"/>
      <c r="AV82" s="194"/>
      <c r="AW82" s="257" t="str">
        <f>IF(COUNTBLANK(AS82:AV82)=4,"",SUM(AS82:AU82)+IF(Setup!$I$15="No",0,AV82))</f>
        <v/>
      </c>
      <c r="AX82" s="194"/>
      <c r="AY82" s="194"/>
      <c r="AZ82" s="194"/>
      <c r="BA82" s="194"/>
      <c r="BB82" s="257" t="str">
        <f>IF(COUNTBLANK(AX82:BA82)=4,"",SUM(AX82:AZ82)+IF(Setup!$I$15="No",0,BA82))</f>
        <v/>
      </c>
      <c r="BC82" s="261">
        <f ca="1">IF('Demand background (hide)'!A73=Num_Modalities,"",SUM(Demand!I82, Demand!N82))</f>
        <v>21</v>
      </c>
      <c r="BD82" s="261">
        <f ca="1">IF(AND(A82&lt;=MaxRows,BE82&lt;&gt;"Yes"),'Demand background (hide)'!X73+IF(Setup!$I$15="Yes",'Demand background (hide)'!AJ73,0),"")</f>
        <v>770</v>
      </c>
      <c r="BE82" s="211"/>
    </row>
    <row r="83" spans="1:57" ht="15" x14ac:dyDescent="0.25">
      <c r="A83">
        <f t="shared" ca="1" si="4"/>
        <v>71</v>
      </c>
      <c r="B83" s="266" t="str">
        <f t="shared" ca="1" si="5"/>
        <v xml:space="preserve"> </v>
      </c>
      <c r="C83" s="267">
        <f t="shared" ca="1" si="6"/>
        <v>31</v>
      </c>
      <c r="D83" s="424">
        <f t="shared" ca="1" si="7"/>
        <v>42951</v>
      </c>
      <c r="E83" s="194"/>
      <c r="F83" s="194">
        <v>0</v>
      </c>
      <c r="G83" s="195">
        <v>1</v>
      </c>
      <c r="H83" s="194"/>
      <c r="I83" s="253">
        <f>IF(COUNTBLANK(E83:H83)=4,"",SUM(E83:G83)+IF(Setup!$I$15="No",0,H83))</f>
        <v>1</v>
      </c>
      <c r="J83" s="194"/>
      <c r="K83" s="194">
        <v>1</v>
      </c>
      <c r="L83" s="194">
        <v>9</v>
      </c>
      <c r="M83" s="194"/>
      <c r="N83" s="257">
        <f>IF(COUNTBLANK(J83:M83)=4,"",SUM(J83:L83)+IF(Setup!$I$15="No",0,M83))</f>
        <v>10</v>
      </c>
      <c r="O83" s="194"/>
      <c r="P83" s="194"/>
      <c r="Q83" s="194"/>
      <c r="R83" s="194"/>
      <c r="S83" s="257" t="str">
        <f>IF(COUNTBLANK(O83:R83)=4,"",SUM(O83:Q83)+IF(Setup!$I$15="No",0,R83))</f>
        <v/>
      </c>
      <c r="T83" s="194"/>
      <c r="U83" s="194"/>
      <c r="V83" s="194"/>
      <c r="W83" s="194"/>
      <c r="X83" s="257" t="str">
        <f>IF(COUNTBLANK(T83:W83)=4,"",SUM(T83:V83)+IF(Setup!$I$15="No",0,W83))</f>
        <v/>
      </c>
      <c r="Y83" s="194"/>
      <c r="Z83" s="194"/>
      <c r="AA83" s="194"/>
      <c r="AB83" s="194"/>
      <c r="AC83" s="257" t="str">
        <f>IF(COUNTBLANK(Y83:AB83)=4,"",SUM(Y83:AA83)+IF(Setup!$I$15="No",0,AB83))</f>
        <v/>
      </c>
      <c r="AD83" s="194"/>
      <c r="AE83" s="194"/>
      <c r="AF83" s="194"/>
      <c r="AG83" s="194"/>
      <c r="AH83" s="257" t="str">
        <f>IF(COUNTBLANK(AD83:AG83)=4,"",SUM(AD83:AF83)+IF(Setup!$I$15="No",0,AG83))</f>
        <v/>
      </c>
      <c r="AI83" s="194"/>
      <c r="AJ83" s="194"/>
      <c r="AK83" s="194"/>
      <c r="AL83" s="194"/>
      <c r="AM83" s="257" t="str">
        <f>IF(COUNTBLANK(AI83:AL83)=4,"",SUM(AI83:AK83)+IF(Setup!$I$15="No",0,AL83))</f>
        <v/>
      </c>
      <c r="AN83" s="194"/>
      <c r="AO83" s="194"/>
      <c r="AP83" s="194"/>
      <c r="AQ83" s="194"/>
      <c r="AR83" s="257" t="str">
        <f>IF(COUNTBLANK(AN83:AQ83)=4,"",SUM(AN83:AP83)+IF(Setup!$I$15="No",0,AQ83))</f>
        <v/>
      </c>
      <c r="AS83" s="194"/>
      <c r="AT83" s="194"/>
      <c r="AU83" s="194"/>
      <c r="AV83" s="194"/>
      <c r="AW83" s="257" t="str">
        <f>IF(COUNTBLANK(AS83:AV83)=4,"",SUM(AS83:AU83)+IF(Setup!$I$15="No",0,AV83))</f>
        <v/>
      </c>
      <c r="AX83" s="194"/>
      <c r="AY83" s="194"/>
      <c r="AZ83" s="194"/>
      <c r="BA83" s="194"/>
      <c r="BB83" s="257" t="str">
        <f>IF(COUNTBLANK(AX83:BA83)=4,"",SUM(AX83:AZ83)+IF(Setup!$I$15="No",0,BA83))</f>
        <v/>
      </c>
      <c r="BC83" s="261">
        <f ca="1">IF('Demand background (hide)'!A74=Num_Modalities,"",SUM(Demand!I83, Demand!N83))</f>
        <v>11</v>
      </c>
      <c r="BD83" s="261">
        <f ca="1">IF(AND(A83&lt;=MaxRows,BE83&lt;&gt;"Yes"),'Demand background (hide)'!X74+IF(Setup!$I$15="Yes",'Demand background (hide)'!AJ74,0),"")</f>
        <v>430</v>
      </c>
      <c r="BE83" s="211"/>
    </row>
    <row r="84" spans="1:57" ht="15" x14ac:dyDescent="0.25">
      <c r="A84">
        <f t="shared" ca="1" si="4"/>
        <v>72</v>
      </c>
      <c r="B84" s="266" t="str">
        <f t="shared" ca="1" si="5"/>
        <v xml:space="preserve"> </v>
      </c>
      <c r="C84" s="267">
        <f t="shared" ca="1" si="6"/>
        <v>32</v>
      </c>
      <c r="D84" s="424">
        <f t="shared" ca="1" si="7"/>
        <v>42958</v>
      </c>
      <c r="E84" s="194"/>
      <c r="F84" s="194">
        <v>0</v>
      </c>
      <c r="G84" s="195">
        <v>3</v>
      </c>
      <c r="H84" s="194"/>
      <c r="I84" s="253">
        <f>IF(COUNTBLANK(E84:H84)=4,"",SUM(E84:G84)+IF(Setup!$I$15="No",0,H84))</f>
        <v>3</v>
      </c>
      <c r="J84" s="194"/>
      <c r="K84" s="194">
        <v>1</v>
      </c>
      <c r="L84" s="194">
        <v>9</v>
      </c>
      <c r="M84" s="194"/>
      <c r="N84" s="257">
        <f>IF(COUNTBLANK(J84:M84)=4,"",SUM(J84:L84)+IF(Setup!$I$15="No",0,M84))</f>
        <v>10</v>
      </c>
      <c r="O84" s="194"/>
      <c r="P84" s="194"/>
      <c r="Q84" s="194"/>
      <c r="R84" s="194"/>
      <c r="S84" s="257" t="str">
        <f>IF(COUNTBLANK(O84:R84)=4,"",SUM(O84:Q84)+IF(Setup!$I$15="No",0,R84))</f>
        <v/>
      </c>
      <c r="T84" s="194"/>
      <c r="U84" s="194"/>
      <c r="V84" s="194"/>
      <c r="W84" s="194"/>
      <c r="X84" s="257" t="str">
        <f>IF(COUNTBLANK(T84:W84)=4,"",SUM(T84:V84)+IF(Setup!$I$15="No",0,W84))</f>
        <v/>
      </c>
      <c r="Y84" s="194"/>
      <c r="Z84" s="194"/>
      <c r="AA84" s="194"/>
      <c r="AB84" s="194"/>
      <c r="AC84" s="257" t="str">
        <f>IF(COUNTBLANK(Y84:AB84)=4,"",SUM(Y84:AA84)+IF(Setup!$I$15="No",0,AB84))</f>
        <v/>
      </c>
      <c r="AD84" s="194"/>
      <c r="AE84" s="194"/>
      <c r="AF84" s="194"/>
      <c r="AG84" s="194"/>
      <c r="AH84" s="257" t="str">
        <f>IF(COUNTBLANK(AD84:AG84)=4,"",SUM(AD84:AF84)+IF(Setup!$I$15="No",0,AG84))</f>
        <v/>
      </c>
      <c r="AI84" s="194"/>
      <c r="AJ84" s="194"/>
      <c r="AK84" s="194"/>
      <c r="AL84" s="194"/>
      <c r="AM84" s="257" t="str">
        <f>IF(COUNTBLANK(AI84:AL84)=4,"",SUM(AI84:AK84)+IF(Setup!$I$15="No",0,AL84))</f>
        <v/>
      </c>
      <c r="AN84" s="194"/>
      <c r="AO84" s="194"/>
      <c r="AP84" s="194"/>
      <c r="AQ84" s="194"/>
      <c r="AR84" s="257" t="str">
        <f>IF(COUNTBLANK(AN84:AQ84)=4,"",SUM(AN84:AP84)+IF(Setup!$I$15="No",0,AQ84))</f>
        <v/>
      </c>
      <c r="AS84" s="194"/>
      <c r="AT84" s="194"/>
      <c r="AU84" s="194"/>
      <c r="AV84" s="194"/>
      <c r="AW84" s="257" t="str">
        <f>IF(COUNTBLANK(AS84:AV84)=4,"",SUM(AS84:AU84)+IF(Setup!$I$15="No",0,AV84))</f>
        <v/>
      </c>
      <c r="AX84" s="194"/>
      <c r="AY84" s="194"/>
      <c r="AZ84" s="194"/>
      <c r="BA84" s="194"/>
      <c r="BB84" s="257" t="str">
        <f>IF(COUNTBLANK(AX84:BA84)=4,"",SUM(AX84:AZ84)+IF(Setup!$I$15="No",0,BA84))</f>
        <v/>
      </c>
      <c r="BC84" s="261">
        <f ca="1">IF('Demand background (hide)'!A75=Num_Modalities,"",SUM(Demand!I84, Demand!N84))</f>
        <v>13</v>
      </c>
      <c r="BD84" s="261">
        <f ca="1">IF(AND(A84&lt;=MaxRows,BE84&lt;&gt;"Yes"),'Demand background (hide)'!X75+IF(Setup!$I$15="Yes",'Demand background (hide)'!AJ75,0),"")</f>
        <v>490</v>
      </c>
      <c r="BE84" s="211"/>
    </row>
    <row r="85" spans="1:57" ht="15" x14ac:dyDescent="0.25">
      <c r="A85">
        <f t="shared" ca="1" si="4"/>
        <v>73</v>
      </c>
      <c r="B85" s="266" t="str">
        <f t="shared" ca="1" si="5"/>
        <v xml:space="preserve"> </v>
      </c>
      <c r="C85" s="267">
        <f t="shared" ca="1" si="6"/>
        <v>33</v>
      </c>
      <c r="D85" s="424">
        <f t="shared" ca="1" si="7"/>
        <v>42965</v>
      </c>
      <c r="E85" s="194"/>
      <c r="F85" s="194">
        <v>2</v>
      </c>
      <c r="G85" s="195">
        <v>2</v>
      </c>
      <c r="H85" s="194"/>
      <c r="I85" s="253">
        <f>IF(COUNTBLANK(E85:H85)=4,"",SUM(E85:G85)+IF(Setup!$I$15="No",0,H85))</f>
        <v>4</v>
      </c>
      <c r="J85" s="194"/>
      <c r="K85" s="194">
        <v>1</v>
      </c>
      <c r="L85" s="194">
        <v>11</v>
      </c>
      <c r="M85" s="194"/>
      <c r="N85" s="257">
        <f>IF(COUNTBLANK(J85:M85)=4,"",SUM(J85:L85)+IF(Setup!$I$15="No",0,M85))</f>
        <v>12</v>
      </c>
      <c r="O85" s="194"/>
      <c r="P85" s="194"/>
      <c r="Q85" s="194"/>
      <c r="R85" s="194"/>
      <c r="S85" s="257" t="str">
        <f>IF(COUNTBLANK(O85:R85)=4,"",SUM(O85:Q85)+IF(Setup!$I$15="No",0,R85))</f>
        <v/>
      </c>
      <c r="T85" s="194"/>
      <c r="U85" s="194"/>
      <c r="V85" s="194"/>
      <c r="W85" s="194"/>
      <c r="X85" s="257" t="str">
        <f>IF(COUNTBLANK(T85:W85)=4,"",SUM(T85:V85)+IF(Setup!$I$15="No",0,W85))</f>
        <v/>
      </c>
      <c r="Y85" s="194"/>
      <c r="Z85" s="194"/>
      <c r="AA85" s="194"/>
      <c r="AB85" s="194"/>
      <c r="AC85" s="257" t="str">
        <f>IF(COUNTBLANK(Y85:AB85)=4,"",SUM(Y85:AA85)+IF(Setup!$I$15="No",0,AB85))</f>
        <v/>
      </c>
      <c r="AD85" s="194"/>
      <c r="AE85" s="194"/>
      <c r="AF85" s="194"/>
      <c r="AG85" s="194"/>
      <c r="AH85" s="257" t="str">
        <f>IF(COUNTBLANK(AD85:AG85)=4,"",SUM(AD85:AF85)+IF(Setup!$I$15="No",0,AG85))</f>
        <v/>
      </c>
      <c r="AI85" s="194"/>
      <c r="AJ85" s="194"/>
      <c r="AK85" s="194"/>
      <c r="AL85" s="194"/>
      <c r="AM85" s="257" t="str">
        <f>IF(COUNTBLANK(AI85:AL85)=4,"",SUM(AI85:AK85)+IF(Setup!$I$15="No",0,AL85))</f>
        <v/>
      </c>
      <c r="AN85" s="194"/>
      <c r="AO85" s="194"/>
      <c r="AP85" s="194"/>
      <c r="AQ85" s="194"/>
      <c r="AR85" s="257" t="str">
        <f>IF(COUNTBLANK(AN85:AQ85)=4,"",SUM(AN85:AP85)+IF(Setup!$I$15="No",0,AQ85))</f>
        <v/>
      </c>
      <c r="AS85" s="194"/>
      <c r="AT85" s="194"/>
      <c r="AU85" s="194"/>
      <c r="AV85" s="194"/>
      <c r="AW85" s="257" t="str">
        <f>IF(COUNTBLANK(AS85:AV85)=4,"",SUM(AS85:AU85)+IF(Setup!$I$15="No",0,AV85))</f>
        <v/>
      </c>
      <c r="AX85" s="194"/>
      <c r="AY85" s="194"/>
      <c r="AZ85" s="194"/>
      <c r="BA85" s="194"/>
      <c r="BB85" s="257" t="str">
        <f>IF(COUNTBLANK(AX85:BA85)=4,"",SUM(AX85:AZ85)+IF(Setup!$I$15="No",0,BA85))</f>
        <v/>
      </c>
      <c r="BC85" s="261">
        <f ca="1">IF('Demand background (hide)'!A76=Num_Modalities,"",SUM(Demand!I85, Demand!N85))</f>
        <v>16</v>
      </c>
      <c r="BD85" s="261">
        <f ca="1">IF(AND(A85&lt;=MaxRows,BE85&lt;&gt;"Yes"),'Demand background (hide)'!X76+IF(Setup!$I$15="Yes",'Demand background (hide)'!AJ76,0),"")</f>
        <v>600</v>
      </c>
      <c r="BE85" s="211"/>
    </row>
    <row r="86" spans="1:57" ht="15" x14ac:dyDescent="0.25">
      <c r="A86">
        <f t="shared" ca="1" si="4"/>
        <v>74</v>
      </c>
      <c r="B86" s="266" t="str">
        <f t="shared" ca="1" si="5"/>
        <v xml:space="preserve"> </v>
      </c>
      <c r="C86" s="267">
        <f t="shared" ca="1" si="6"/>
        <v>34</v>
      </c>
      <c r="D86" s="424">
        <f t="shared" ca="1" si="7"/>
        <v>42972</v>
      </c>
      <c r="E86" s="194"/>
      <c r="F86" s="194">
        <v>1</v>
      </c>
      <c r="G86" s="195">
        <v>4</v>
      </c>
      <c r="H86" s="194"/>
      <c r="I86" s="253">
        <f>IF(COUNTBLANK(E86:H86)=4,"",SUM(E86:G86)+IF(Setup!$I$15="No",0,H86))</f>
        <v>5</v>
      </c>
      <c r="J86" s="194"/>
      <c r="K86" s="194">
        <v>3</v>
      </c>
      <c r="L86" s="194">
        <v>8</v>
      </c>
      <c r="M86" s="194"/>
      <c r="N86" s="257">
        <f>IF(COUNTBLANK(J86:M86)=4,"",SUM(J86:L86)+IF(Setup!$I$15="No",0,M86))</f>
        <v>11</v>
      </c>
      <c r="O86" s="194"/>
      <c r="P86" s="194"/>
      <c r="Q86" s="194"/>
      <c r="R86" s="194"/>
      <c r="S86" s="257" t="str">
        <f>IF(COUNTBLANK(O86:R86)=4,"",SUM(O86:Q86)+IF(Setup!$I$15="No",0,R86))</f>
        <v/>
      </c>
      <c r="T86" s="194"/>
      <c r="U86" s="194"/>
      <c r="V86" s="194"/>
      <c r="W86" s="194"/>
      <c r="X86" s="257" t="str">
        <f>IF(COUNTBLANK(T86:W86)=4,"",SUM(T86:V86)+IF(Setup!$I$15="No",0,W86))</f>
        <v/>
      </c>
      <c r="Y86" s="194"/>
      <c r="Z86" s="194"/>
      <c r="AA86" s="194"/>
      <c r="AB86" s="194"/>
      <c r="AC86" s="257" t="str">
        <f>IF(COUNTBLANK(Y86:AB86)=4,"",SUM(Y86:AA86)+IF(Setup!$I$15="No",0,AB86))</f>
        <v/>
      </c>
      <c r="AD86" s="194"/>
      <c r="AE86" s="194"/>
      <c r="AF86" s="194"/>
      <c r="AG86" s="194"/>
      <c r="AH86" s="257" t="str">
        <f>IF(COUNTBLANK(AD86:AG86)=4,"",SUM(AD86:AF86)+IF(Setup!$I$15="No",0,AG86))</f>
        <v/>
      </c>
      <c r="AI86" s="194"/>
      <c r="AJ86" s="194"/>
      <c r="AK86" s="194"/>
      <c r="AL86" s="194"/>
      <c r="AM86" s="257" t="str">
        <f>IF(COUNTBLANK(AI86:AL86)=4,"",SUM(AI86:AK86)+IF(Setup!$I$15="No",0,AL86))</f>
        <v/>
      </c>
      <c r="AN86" s="194"/>
      <c r="AO86" s="194"/>
      <c r="AP86" s="194"/>
      <c r="AQ86" s="194"/>
      <c r="AR86" s="257" t="str">
        <f>IF(COUNTBLANK(AN86:AQ86)=4,"",SUM(AN86:AP86)+IF(Setup!$I$15="No",0,AQ86))</f>
        <v/>
      </c>
      <c r="AS86" s="194"/>
      <c r="AT86" s="194"/>
      <c r="AU86" s="194"/>
      <c r="AV86" s="194"/>
      <c r="AW86" s="257" t="str">
        <f>IF(COUNTBLANK(AS86:AV86)=4,"",SUM(AS86:AU86)+IF(Setup!$I$15="No",0,AV86))</f>
        <v/>
      </c>
      <c r="AX86" s="194"/>
      <c r="AY86" s="194"/>
      <c r="AZ86" s="194"/>
      <c r="BA86" s="194"/>
      <c r="BB86" s="257" t="str">
        <f>IF(COUNTBLANK(AX86:BA86)=4,"",SUM(AX86:AZ86)+IF(Setup!$I$15="No",0,BA86))</f>
        <v/>
      </c>
      <c r="BC86" s="261">
        <f ca="1">IF('Demand background (hide)'!A77=Num_Modalities,"",SUM(Demand!I86, Demand!N86))</f>
        <v>16</v>
      </c>
      <c r="BD86" s="261">
        <f ca="1">IF(AND(A86&lt;=MaxRows,BE86&lt;&gt;"Yes"),'Demand background (hide)'!X77+IF(Setup!$I$15="Yes",'Demand background (hide)'!AJ77,0),"")</f>
        <v>590</v>
      </c>
      <c r="BE86" s="211"/>
    </row>
    <row r="87" spans="1:57" ht="15" x14ac:dyDescent="0.25">
      <c r="A87">
        <f t="shared" ca="1" si="4"/>
        <v>75</v>
      </c>
      <c r="B87" s="266" t="str">
        <f t="shared" ca="1" si="5"/>
        <v xml:space="preserve"> </v>
      </c>
      <c r="C87" s="267">
        <f t="shared" ca="1" si="6"/>
        <v>35</v>
      </c>
      <c r="D87" s="424">
        <f t="shared" ca="1" si="7"/>
        <v>42979</v>
      </c>
      <c r="E87" s="194"/>
      <c r="F87" s="194">
        <v>3</v>
      </c>
      <c r="G87" s="195">
        <v>4</v>
      </c>
      <c r="H87" s="194"/>
      <c r="I87" s="253">
        <f>IF(COUNTBLANK(E87:H87)=4,"",SUM(E87:G87)+IF(Setup!$I$15="No",0,H87))</f>
        <v>7</v>
      </c>
      <c r="J87" s="194"/>
      <c r="K87" s="194">
        <v>2</v>
      </c>
      <c r="L87" s="194">
        <v>11</v>
      </c>
      <c r="M87" s="194"/>
      <c r="N87" s="257">
        <f>IF(COUNTBLANK(J87:M87)=4,"",SUM(J87:L87)+IF(Setup!$I$15="No",0,M87))</f>
        <v>13</v>
      </c>
      <c r="O87" s="194"/>
      <c r="P87" s="194"/>
      <c r="Q87" s="194"/>
      <c r="R87" s="194"/>
      <c r="S87" s="257" t="str">
        <f>IF(COUNTBLANK(O87:R87)=4,"",SUM(O87:Q87)+IF(Setup!$I$15="No",0,R87))</f>
        <v/>
      </c>
      <c r="T87" s="194"/>
      <c r="U87" s="194"/>
      <c r="V87" s="194"/>
      <c r="W87" s="194"/>
      <c r="X87" s="257" t="str">
        <f>IF(COUNTBLANK(T87:W87)=4,"",SUM(T87:V87)+IF(Setup!$I$15="No",0,W87))</f>
        <v/>
      </c>
      <c r="Y87" s="194"/>
      <c r="Z87" s="194"/>
      <c r="AA87" s="194"/>
      <c r="AB87" s="194"/>
      <c r="AC87" s="257" t="str">
        <f>IF(COUNTBLANK(Y87:AB87)=4,"",SUM(Y87:AA87)+IF(Setup!$I$15="No",0,AB87))</f>
        <v/>
      </c>
      <c r="AD87" s="194"/>
      <c r="AE87" s="194"/>
      <c r="AF87" s="194"/>
      <c r="AG87" s="194"/>
      <c r="AH87" s="257" t="str">
        <f>IF(COUNTBLANK(AD87:AG87)=4,"",SUM(AD87:AF87)+IF(Setup!$I$15="No",0,AG87))</f>
        <v/>
      </c>
      <c r="AI87" s="194"/>
      <c r="AJ87" s="194"/>
      <c r="AK87" s="194"/>
      <c r="AL87" s="194"/>
      <c r="AM87" s="257" t="str">
        <f>IF(COUNTBLANK(AI87:AL87)=4,"",SUM(AI87:AK87)+IF(Setup!$I$15="No",0,AL87))</f>
        <v/>
      </c>
      <c r="AN87" s="194"/>
      <c r="AO87" s="194"/>
      <c r="AP87" s="194"/>
      <c r="AQ87" s="194"/>
      <c r="AR87" s="257" t="str">
        <f>IF(COUNTBLANK(AN87:AQ87)=4,"",SUM(AN87:AP87)+IF(Setup!$I$15="No",0,AQ87))</f>
        <v/>
      </c>
      <c r="AS87" s="194"/>
      <c r="AT87" s="194"/>
      <c r="AU87" s="194"/>
      <c r="AV87" s="194"/>
      <c r="AW87" s="257" t="str">
        <f>IF(COUNTBLANK(AS87:AV87)=4,"",SUM(AS87:AU87)+IF(Setup!$I$15="No",0,AV87))</f>
        <v/>
      </c>
      <c r="AX87" s="194"/>
      <c r="AY87" s="194"/>
      <c r="AZ87" s="194"/>
      <c r="BA87" s="194"/>
      <c r="BB87" s="257" t="str">
        <f>IF(COUNTBLANK(AX87:BA87)=4,"",SUM(AX87:AZ87)+IF(Setup!$I$15="No",0,BA87))</f>
        <v/>
      </c>
      <c r="BC87" s="261">
        <f ca="1">IF('Demand background (hide)'!A78=Num_Modalities,"",SUM(Demand!I87, Demand!N87))</f>
        <v>20</v>
      </c>
      <c r="BD87" s="261">
        <f ca="1">IF(AND(A87&lt;=MaxRows,BE87&lt;&gt;"Yes"),'Demand background (hide)'!X78+IF(Setup!$I$15="Yes",'Demand background (hide)'!AJ78,0),"")</f>
        <v>730</v>
      </c>
      <c r="BE87" s="211"/>
    </row>
    <row r="88" spans="1:57" ht="15" x14ac:dyDescent="0.25">
      <c r="A88">
        <f t="shared" ca="1" si="4"/>
        <v>76</v>
      </c>
      <c r="B88" s="266" t="str">
        <f t="shared" ca="1" si="5"/>
        <v xml:space="preserve"> </v>
      </c>
      <c r="C88" s="267">
        <f t="shared" ca="1" si="6"/>
        <v>36</v>
      </c>
      <c r="D88" s="424">
        <f t="shared" ca="1" si="7"/>
        <v>42986</v>
      </c>
      <c r="E88" s="194"/>
      <c r="F88" s="194">
        <v>2</v>
      </c>
      <c r="G88" s="195">
        <v>4</v>
      </c>
      <c r="H88" s="194"/>
      <c r="I88" s="253">
        <f>IF(COUNTBLANK(E88:H88)=4,"",SUM(E88:G88)+IF(Setup!$I$15="No",0,H88))</f>
        <v>6</v>
      </c>
      <c r="J88" s="194"/>
      <c r="K88" s="194">
        <v>2</v>
      </c>
      <c r="L88" s="194">
        <v>6</v>
      </c>
      <c r="M88" s="194"/>
      <c r="N88" s="257">
        <f>IF(COUNTBLANK(J88:M88)=4,"",SUM(J88:L88)+IF(Setup!$I$15="No",0,M88))</f>
        <v>8</v>
      </c>
      <c r="O88" s="194"/>
      <c r="P88" s="194"/>
      <c r="Q88" s="194"/>
      <c r="R88" s="194"/>
      <c r="S88" s="257" t="str">
        <f>IF(COUNTBLANK(O88:R88)=4,"",SUM(O88:Q88)+IF(Setup!$I$15="No",0,R88))</f>
        <v/>
      </c>
      <c r="T88" s="194"/>
      <c r="U88" s="194"/>
      <c r="V88" s="194"/>
      <c r="W88" s="194"/>
      <c r="X88" s="257" t="str">
        <f>IF(COUNTBLANK(T88:W88)=4,"",SUM(T88:V88)+IF(Setup!$I$15="No",0,W88))</f>
        <v/>
      </c>
      <c r="Y88" s="194"/>
      <c r="Z88" s="194"/>
      <c r="AA88" s="194"/>
      <c r="AB88" s="194"/>
      <c r="AC88" s="257" t="str">
        <f>IF(COUNTBLANK(Y88:AB88)=4,"",SUM(Y88:AA88)+IF(Setup!$I$15="No",0,AB88))</f>
        <v/>
      </c>
      <c r="AD88" s="194"/>
      <c r="AE88" s="194"/>
      <c r="AF88" s="194"/>
      <c r="AG88" s="194"/>
      <c r="AH88" s="257" t="str">
        <f>IF(COUNTBLANK(AD88:AG88)=4,"",SUM(AD88:AF88)+IF(Setup!$I$15="No",0,AG88))</f>
        <v/>
      </c>
      <c r="AI88" s="194"/>
      <c r="AJ88" s="194"/>
      <c r="AK88" s="194"/>
      <c r="AL88" s="194"/>
      <c r="AM88" s="257" t="str">
        <f>IF(COUNTBLANK(AI88:AL88)=4,"",SUM(AI88:AK88)+IF(Setup!$I$15="No",0,AL88))</f>
        <v/>
      </c>
      <c r="AN88" s="194"/>
      <c r="AO88" s="194"/>
      <c r="AP88" s="194"/>
      <c r="AQ88" s="194"/>
      <c r="AR88" s="257" t="str">
        <f>IF(COUNTBLANK(AN88:AQ88)=4,"",SUM(AN88:AP88)+IF(Setup!$I$15="No",0,AQ88))</f>
        <v/>
      </c>
      <c r="AS88" s="194"/>
      <c r="AT88" s="194"/>
      <c r="AU88" s="194"/>
      <c r="AV88" s="194"/>
      <c r="AW88" s="257" t="str">
        <f>IF(COUNTBLANK(AS88:AV88)=4,"",SUM(AS88:AU88)+IF(Setup!$I$15="No",0,AV88))</f>
        <v/>
      </c>
      <c r="AX88" s="194"/>
      <c r="AY88" s="194"/>
      <c r="AZ88" s="194"/>
      <c r="BA88" s="194"/>
      <c r="BB88" s="257" t="str">
        <f>IF(COUNTBLANK(AX88:BA88)=4,"",SUM(AX88:AZ88)+IF(Setup!$I$15="No",0,BA88))</f>
        <v/>
      </c>
      <c r="BC88" s="261">
        <f ca="1">IF('Demand background (hide)'!A79=Num_Modalities,"",SUM(Demand!I88, Demand!N88))</f>
        <v>14</v>
      </c>
      <c r="BD88" s="261">
        <f ca="1">IF(AND(A88&lt;=MaxRows,BE88&lt;&gt;"Yes"),'Demand background (hide)'!X79+IF(Setup!$I$15="Yes",'Demand background (hide)'!AJ79,0),"")</f>
        <v>500</v>
      </c>
      <c r="BE88" s="211"/>
    </row>
    <row r="89" spans="1:57" ht="15" x14ac:dyDescent="0.25">
      <c r="A89">
        <f t="shared" ca="1" si="4"/>
        <v>77</v>
      </c>
      <c r="B89" s="266" t="str">
        <f t="shared" ca="1" si="5"/>
        <v xml:space="preserve"> </v>
      </c>
      <c r="C89" s="267">
        <f t="shared" ca="1" si="6"/>
        <v>37</v>
      </c>
      <c r="D89" s="424">
        <f t="shared" ca="1" si="7"/>
        <v>42993</v>
      </c>
      <c r="E89" s="194"/>
      <c r="F89" s="194">
        <v>1</v>
      </c>
      <c r="G89" s="195">
        <v>9</v>
      </c>
      <c r="H89" s="194"/>
      <c r="I89" s="253">
        <f>IF(COUNTBLANK(E89:H89)=4,"",SUM(E89:G89)+IF(Setup!$I$15="No",0,H89))</f>
        <v>10</v>
      </c>
      <c r="J89" s="194"/>
      <c r="K89" s="194">
        <v>3</v>
      </c>
      <c r="L89" s="194">
        <v>7</v>
      </c>
      <c r="M89" s="194"/>
      <c r="N89" s="257">
        <f>IF(COUNTBLANK(J89:M89)=4,"",SUM(J89:L89)+IF(Setup!$I$15="No",0,M89))</f>
        <v>10</v>
      </c>
      <c r="O89" s="194"/>
      <c r="P89" s="194"/>
      <c r="Q89" s="194"/>
      <c r="R89" s="194"/>
      <c r="S89" s="257" t="str">
        <f>IF(COUNTBLANK(O89:R89)=4,"",SUM(O89:Q89)+IF(Setup!$I$15="No",0,R89))</f>
        <v/>
      </c>
      <c r="T89" s="194"/>
      <c r="U89" s="194"/>
      <c r="V89" s="194"/>
      <c r="W89" s="194"/>
      <c r="X89" s="257" t="str">
        <f>IF(COUNTBLANK(T89:W89)=4,"",SUM(T89:V89)+IF(Setup!$I$15="No",0,W89))</f>
        <v/>
      </c>
      <c r="Y89" s="194"/>
      <c r="Z89" s="194"/>
      <c r="AA89" s="194"/>
      <c r="AB89" s="194"/>
      <c r="AC89" s="257" t="str">
        <f>IF(COUNTBLANK(Y89:AB89)=4,"",SUM(Y89:AA89)+IF(Setup!$I$15="No",0,AB89))</f>
        <v/>
      </c>
      <c r="AD89" s="194"/>
      <c r="AE89" s="194"/>
      <c r="AF89" s="194"/>
      <c r="AG89" s="194"/>
      <c r="AH89" s="257" t="str">
        <f>IF(COUNTBLANK(AD89:AG89)=4,"",SUM(AD89:AF89)+IF(Setup!$I$15="No",0,AG89))</f>
        <v/>
      </c>
      <c r="AI89" s="194"/>
      <c r="AJ89" s="194"/>
      <c r="AK89" s="194"/>
      <c r="AL89" s="194"/>
      <c r="AM89" s="257" t="str">
        <f>IF(COUNTBLANK(AI89:AL89)=4,"",SUM(AI89:AK89)+IF(Setup!$I$15="No",0,AL89))</f>
        <v/>
      </c>
      <c r="AN89" s="194"/>
      <c r="AO89" s="194"/>
      <c r="AP89" s="194"/>
      <c r="AQ89" s="194"/>
      <c r="AR89" s="257" t="str">
        <f>IF(COUNTBLANK(AN89:AQ89)=4,"",SUM(AN89:AP89)+IF(Setup!$I$15="No",0,AQ89))</f>
        <v/>
      </c>
      <c r="AS89" s="194"/>
      <c r="AT89" s="194"/>
      <c r="AU89" s="194"/>
      <c r="AV89" s="194"/>
      <c r="AW89" s="257" t="str">
        <f>IF(COUNTBLANK(AS89:AV89)=4,"",SUM(AS89:AU89)+IF(Setup!$I$15="No",0,AV89))</f>
        <v/>
      </c>
      <c r="AX89" s="194"/>
      <c r="AY89" s="194"/>
      <c r="AZ89" s="194"/>
      <c r="BA89" s="194"/>
      <c r="BB89" s="257" t="str">
        <f>IF(COUNTBLANK(AX89:BA89)=4,"",SUM(AX89:AZ89)+IF(Setup!$I$15="No",0,BA89))</f>
        <v/>
      </c>
      <c r="BC89" s="261">
        <f ca="1">IF('Demand background (hide)'!A80=Num_Modalities,"",SUM(Demand!I89, Demand!N89))</f>
        <v>20</v>
      </c>
      <c r="BD89" s="261">
        <f ca="1">IF(AND(A89&lt;=MaxRows,BE89&lt;&gt;"Yes"),'Demand background (hide)'!X80+IF(Setup!$I$15="Yes",'Demand background (hide)'!AJ80,0),"")</f>
        <v>700</v>
      </c>
      <c r="BE89" s="211"/>
    </row>
    <row r="90" spans="1:57" ht="15" x14ac:dyDescent="0.25">
      <c r="A90">
        <f t="shared" ca="1" si="4"/>
        <v>78</v>
      </c>
      <c r="B90" s="266" t="str">
        <f t="shared" ca="1" si="5"/>
        <v xml:space="preserve"> </v>
      </c>
      <c r="C90" s="267">
        <f t="shared" ca="1" si="6"/>
        <v>38</v>
      </c>
      <c r="D90" s="424">
        <f t="shared" ca="1" si="7"/>
        <v>43000</v>
      </c>
      <c r="E90" s="194"/>
      <c r="F90" s="194">
        <v>1</v>
      </c>
      <c r="G90" s="195">
        <v>3</v>
      </c>
      <c r="H90" s="194"/>
      <c r="I90" s="253">
        <f>IF(COUNTBLANK(E90:H90)=4,"",SUM(E90:G90)+IF(Setup!$I$15="No",0,H90))</f>
        <v>4</v>
      </c>
      <c r="J90" s="194"/>
      <c r="K90" s="194">
        <v>2</v>
      </c>
      <c r="L90" s="194">
        <v>8</v>
      </c>
      <c r="M90" s="194"/>
      <c r="N90" s="257">
        <f>IF(COUNTBLANK(J90:M90)=4,"",SUM(J90:L90)+IF(Setup!$I$15="No",0,M90))</f>
        <v>10</v>
      </c>
      <c r="O90" s="194"/>
      <c r="P90" s="194"/>
      <c r="Q90" s="194"/>
      <c r="R90" s="194"/>
      <c r="S90" s="257" t="str">
        <f>IF(COUNTBLANK(O90:R90)=4,"",SUM(O90:Q90)+IF(Setup!$I$15="No",0,R90))</f>
        <v/>
      </c>
      <c r="T90" s="194"/>
      <c r="U90" s="194"/>
      <c r="V90" s="194"/>
      <c r="W90" s="194"/>
      <c r="X90" s="257" t="str">
        <f>IF(COUNTBLANK(T90:W90)=4,"",SUM(T90:V90)+IF(Setup!$I$15="No",0,W90))</f>
        <v/>
      </c>
      <c r="Y90" s="194"/>
      <c r="Z90" s="194"/>
      <c r="AA90" s="194"/>
      <c r="AB90" s="194"/>
      <c r="AC90" s="257" t="str">
        <f>IF(COUNTBLANK(Y90:AB90)=4,"",SUM(Y90:AA90)+IF(Setup!$I$15="No",0,AB90))</f>
        <v/>
      </c>
      <c r="AD90" s="194"/>
      <c r="AE90" s="194"/>
      <c r="AF90" s="194"/>
      <c r="AG90" s="194"/>
      <c r="AH90" s="257" t="str">
        <f>IF(COUNTBLANK(AD90:AG90)=4,"",SUM(AD90:AF90)+IF(Setup!$I$15="No",0,AG90))</f>
        <v/>
      </c>
      <c r="AI90" s="194"/>
      <c r="AJ90" s="194"/>
      <c r="AK90" s="194"/>
      <c r="AL90" s="194"/>
      <c r="AM90" s="257" t="str">
        <f>IF(COUNTBLANK(AI90:AL90)=4,"",SUM(AI90:AK90)+IF(Setup!$I$15="No",0,AL90))</f>
        <v/>
      </c>
      <c r="AN90" s="194"/>
      <c r="AO90" s="194"/>
      <c r="AP90" s="194"/>
      <c r="AQ90" s="194"/>
      <c r="AR90" s="257" t="str">
        <f>IF(COUNTBLANK(AN90:AQ90)=4,"",SUM(AN90:AP90)+IF(Setup!$I$15="No",0,AQ90))</f>
        <v/>
      </c>
      <c r="AS90" s="194"/>
      <c r="AT90" s="194"/>
      <c r="AU90" s="194"/>
      <c r="AV90" s="194"/>
      <c r="AW90" s="257" t="str">
        <f>IF(COUNTBLANK(AS90:AV90)=4,"",SUM(AS90:AU90)+IF(Setup!$I$15="No",0,AV90))</f>
        <v/>
      </c>
      <c r="AX90" s="194"/>
      <c r="AY90" s="194"/>
      <c r="AZ90" s="194"/>
      <c r="BA90" s="194"/>
      <c r="BB90" s="257" t="str">
        <f>IF(COUNTBLANK(AX90:BA90)=4,"",SUM(AX90:AZ90)+IF(Setup!$I$15="No",0,BA90))</f>
        <v/>
      </c>
      <c r="BC90" s="261">
        <f ca="1">IF('Demand background (hide)'!A81=Num_Modalities,"",SUM(Demand!I90, Demand!N90))</f>
        <v>14</v>
      </c>
      <c r="BD90" s="261">
        <f ca="1">IF(AND(A90&lt;=MaxRows,BE90&lt;&gt;"Yes"),'Demand background (hide)'!X81+IF(Setup!$I$15="Yes",'Demand background (hide)'!AJ81,0),"")</f>
        <v>520</v>
      </c>
      <c r="BE90" s="211"/>
    </row>
    <row r="91" spans="1:57" ht="15" x14ac:dyDescent="0.25">
      <c r="A91">
        <f t="shared" ca="1" si="4"/>
        <v>79</v>
      </c>
      <c r="B91" s="266" t="str">
        <f t="shared" ca="1" si="5"/>
        <v xml:space="preserve"> </v>
      </c>
      <c r="C91" s="267">
        <f t="shared" ca="1" si="6"/>
        <v>39</v>
      </c>
      <c r="D91" s="424">
        <f t="shared" ca="1" si="7"/>
        <v>43007</v>
      </c>
      <c r="E91" s="194"/>
      <c r="F91" s="194">
        <v>2</v>
      </c>
      <c r="G91" s="195">
        <v>6</v>
      </c>
      <c r="H91" s="194"/>
      <c r="I91" s="253">
        <f>IF(COUNTBLANK(E91:H91)=4,"",SUM(E91:G91)+IF(Setup!$I$15="No",0,H91))</f>
        <v>8</v>
      </c>
      <c r="J91" s="194"/>
      <c r="K91" s="194">
        <v>1</v>
      </c>
      <c r="L91" s="194">
        <v>7</v>
      </c>
      <c r="M91" s="194"/>
      <c r="N91" s="257">
        <f>IF(COUNTBLANK(J91:M91)=4,"",SUM(J91:L91)+IF(Setup!$I$15="No",0,M91))</f>
        <v>8</v>
      </c>
      <c r="O91" s="194"/>
      <c r="P91" s="194"/>
      <c r="Q91" s="194"/>
      <c r="R91" s="194"/>
      <c r="S91" s="257" t="str">
        <f>IF(COUNTBLANK(O91:R91)=4,"",SUM(O91:Q91)+IF(Setup!$I$15="No",0,R91))</f>
        <v/>
      </c>
      <c r="T91" s="194"/>
      <c r="U91" s="194"/>
      <c r="V91" s="194"/>
      <c r="W91" s="194"/>
      <c r="X91" s="257" t="str">
        <f>IF(COUNTBLANK(T91:W91)=4,"",SUM(T91:V91)+IF(Setup!$I$15="No",0,W91))</f>
        <v/>
      </c>
      <c r="Y91" s="194"/>
      <c r="Z91" s="194"/>
      <c r="AA91" s="194"/>
      <c r="AB91" s="194"/>
      <c r="AC91" s="257" t="str">
        <f>IF(COUNTBLANK(Y91:AB91)=4,"",SUM(Y91:AA91)+IF(Setup!$I$15="No",0,AB91))</f>
        <v/>
      </c>
      <c r="AD91" s="194"/>
      <c r="AE91" s="194"/>
      <c r="AF91" s="194"/>
      <c r="AG91" s="194"/>
      <c r="AH91" s="257" t="str">
        <f>IF(COUNTBLANK(AD91:AG91)=4,"",SUM(AD91:AF91)+IF(Setup!$I$15="No",0,AG91))</f>
        <v/>
      </c>
      <c r="AI91" s="194"/>
      <c r="AJ91" s="194"/>
      <c r="AK91" s="194"/>
      <c r="AL91" s="194"/>
      <c r="AM91" s="257" t="str">
        <f>IF(COUNTBLANK(AI91:AL91)=4,"",SUM(AI91:AK91)+IF(Setup!$I$15="No",0,AL91))</f>
        <v/>
      </c>
      <c r="AN91" s="194"/>
      <c r="AO91" s="194"/>
      <c r="AP91" s="194"/>
      <c r="AQ91" s="194"/>
      <c r="AR91" s="257" t="str">
        <f>IF(COUNTBLANK(AN91:AQ91)=4,"",SUM(AN91:AP91)+IF(Setup!$I$15="No",0,AQ91))</f>
        <v/>
      </c>
      <c r="AS91" s="194"/>
      <c r="AT91" s="194"/>
      <c r="AU91" s="194"/>
      <c r="AV91" s="194"/>
      <c r="AW91" s="257" t="str">
        <f>IF(COUNTBLANK(AS91:AV91)=4,"",SUM(AS91:AU91)+IF(Setup!$I$15="No",0,AV91))</f>
        <v/>
      </c>
      <c r="AX91" s="194"/>
      <c r="AY91" s="194"/>
      <c r="AZ91" s="194"/>
      <c r="BA91" s="194"/>
      <c r="BB91" s="257" t="str">
        <f>IF(COUNTBLANK(AX91:BA91)=4,"",SUM(AX91:AZ91)+IF(Setup!$I$15="No",0,BA91))</f>
        <v/>
      </c>
      <c r="BC91" s="261">
        <f ca="1">IF('Demand background (hide)'!A82=Num_Modalities,"",SUM(Demand!I91, Demand!N91))</f>
        <v>16</v>
      </c>
      <c r="BD91" s="261">
        <f ca="1">IF(AND(A91&lt;=MaxRows,BE91&lt;&gt;"Yes"),'Demand background (hide)'!X82+IF(Setup!$I$15="Yes",'Demand background (hide)'!AJ82,0),"")</f>
        <v>560</v>
      </c>
      <c r="BE91" s="211"/>
    </row>
    <row r="92" spans="1:57" ht="15" x14ac:dyDescent="0.25">
      <c r="A92">
        <f t="shared" ca="1" si="4"/>
        <v>80</v>
      </c>
      <c r="B92" s="266" t="str">
        <f t="shared" ca="1" si="5"/>
        <v xml:space="preserve"> </v>
      </c>
      <c r="C92" s="267">
        <f t="shared" ca="1" si="6"/>
        <v>40</v>
      </c>
      <c r="D92" s="424">
        <f t="shared" ca="1" si="7"/>
        <v>43014</v>
      </c>
      <c r="E92" s="194"/>
      <c r="F92" s="194">
        <v>0</v>
      </c>
      <c r="G92" s="195">
        <v>3</v>
      </c>
      <c r="H92" s="194"/>
      <c r="I92" s="253">
        <f>IF(COUNTBLANK(E92:H92)=4,"",SUM(E92:G92)+IF(Setup!$I$15="No",0,H92))</f>
        <v>3</v>
      </c>
      <c r="J92" s="194"/>
      <c r="K92" s="194">
        <v>2</v>
      </c>
      <c r="L92" s="194">
        <v>8</v>
      </c>
      <c r="M92" s="194"/>
      <c r="N92" s="257">
        <f>IF(COUNTBLANK(J92:M92)=4,"",SUM(J92:L92)+IF(Setup!$I$15="No",0,M92))</f>
        <v>10</v>
      </c>
      <c r="O92" s="194"/>
      <c r="P92" s="194"/>
      <c r="Q92" s="194"/>
      <c r="R92" s="194"/>
      <c r="S92" s="257" t="str">
        <f>IF(COUNTBLANK(O92:R92)=4,"",SUM(O92:Q92)+IF(Setup!$I$15="No",0,R92))</f>
        <v/>
      </c>
      <c r="T92" s="194"/>
      <c r="U92" s="194"/>
      <c r="V92" s="194"/>
      <c r="W92" s="194"/>
      <c r="X92" s="257" t="str">
        <f>IF(COUNTBLANK(T92:W92)=4,"",SUM(T92:V92)+IF(Setup!$I$15="No",0,W92))</f>
        <v/>
      </c>
      <c r="Y92" s="194"/>
      <c r="Z92" s="194"/>
      <c r="AA92" s="194"/>
      <c r="AB92" s="194"/>
      <c r="AC92" s="257" t="str">
        <f>IF(COUNTBLANK(Y92:AB92)=4,"",SUM(Y92:AA92)+IF(Setup!$I$15="No",0,AB92))</f>
        <v/>
      </c>
      <c r="AD92" s="194"/>
      <c r="AE92" s="194"/>
      <c r="AF92" s="194"/>
      <c r="AG92" s="194"/>
      <c r="AH92" s="257" t="str">
        <f>IF(COUNTBLANK(AD92:AG92)=4,"",SUM(AD92:AF92)+IF(Setup!$I$15="No",0,AG92))</f>
        <v/>
      </c>
      <c r="AI92" s="194"/>
      <c r="AJ92" s="194"/>
      <c r="AK92" s="194"/>
      <c r="AL92" s="194"/>
      <c r="AM92" s="257" t="str">
        <f>IF(COUNTBLANK(AI92:AL92)=4,"",SUM(AI92:AK92)+IF(Setup!$I$15="No",0,AL92))</f>
        <v/>
      </c>
      <c r="AN92" s="194"/>
      <c r="AO92" s="194"/>
      <c r="AP92" s="194"/>
      <c r="AQ92" s="194"/>
      <c r="AR92" s="257" t="str">
        <f>IF(COUNTBLANK(AN92:AQ92)=4,"",SUM(AN92:AP92)+IF(Setup!$I$15="No",0,AQ92))</f>
        <v/>
      </c>
      <c r="AS92" s="194"/>
      <c r="AT92" s="194"/>
      <c r="AU92" s="194"/>
      <c r="AV92" s="194"/>
      <c r="AW92" s="257" t="str">
        <f>IF(COUNTBLANK(AS92:AV92)=4,"",SUM(AS92:AU92)+IF(Setup!$I$15="No",0,AV92))</f>
        <v/>
      </c>
      <c r="AX92" s="194"/>
      <c r="AY92" s="194"/>
      <c r="AZ92" s="194"/>
      <c r="BA92" s="194"/>
      <c r="BB92" s="257" t="str">
        <f>IF(COUNTBLANK(AX92:BA92)=4,"",SUM(AX92:AZ92)+IF(Setup!$I$15="No",0,BA92))</f>
        <v/>
      </c>
      <c r="BC92" s="261">
        <f ca="1">IF('Demand background (hide)'!A83=Num_Modalities,"",SUM(Demand!I92, Demand!N92))</f>
        <v>13</v>
      </c>
      <c r="BD92" s="261">
        <f ca="1">IF(AND(A92&lt;=MaxRows,BE92&lt;&gt;"Yes"),'Demand background (hide)'!X83+IF(Setup!$I$15="Yes",'Demand background (hide)'!AJ83,0),"")</f>
        <v>490</v>
      </c>
      <c r="BE92" s="211"/>
    </row>
    <row r="93" spans="1:57" ht="15" x14ac:dyDescent="0.25">
      <c r="A93">
        <f t="shared" ca="1" si="4"/>
        <v>81</v>
      </c>
      <c r="B93" s="266" t="str">
        <f t="shared" ca="1" si="5"/>
        <v xml:space="preserve"> </v>
      </c>
      <c r="C93" s="267">
        <f t="shared" ca="1" si="6"/>
        <v>41</v>
      </c>
      <c r="D93" s="424">
        <f t="shared" ca="1" si="7"/>
        <v>43021</v>
      </c>
      <c r="E93" s="194"/>
      <c r="F93" s="194">
        <v>0</v>
      </c>
      <c r="G93" s="195">
        <v>4</v>
      </c>
      <c r="H93" s="194"/>
      <c r="I93" s="253">
        <f>IF(COUNTBLANK(E93:H93)=4,"",SUM(E93:G93)+IF(Setup!$I$15="No",0,H93))</f>
        <v>4</v>
      </c>
      <c r="J93" s="194"/>
      <c r="K93" s="194">
        <v>2</v>
      </c>
      <c r="L93" s="194">
        <v>3</v>
      </c>
      <c r="M93" s="194"/>
      <c r="N93" s="257">
        <f>IF(COUNTBLANK(J93:M93)=4,"",SUM(J93:L93)+IF(Setup!$I$15="No",0,M93))</f>
        <v>5</v>
      </c>
      <c r="O93" s="194"/>
      <c r="P93" s="194"/>
      <c r="Q93" s="194"/>
      <c r="R93" s="194"/>
      <c r="S93" s="257" t="str">
        <f>IF(COUNTBLANK(O93:R93)=4,"",SUM(O93:Q93)+IF(Setup!$I$15="No",0,R93))</f>
        <v/>
      </c>
      <c r="T93" s="194"/>
      <c r="U93" s="194"/>
      <c r="V93" s="194"/>
      <c r="W93" s="194"/>
      <c r="X93" s="257" t="str">
        <f>IF(COUNTBLANK(T93:W93)=4,"",SUM(T93:V93)+IF(Setup!$I$15="No",0,W93))</f>
        <v/>
      </c>
      <c r="Y93" s="194"/>
      <c r="Z93" s="194"/>
      <c r="AA93" s="194"/>
      <c r="AB93" s="194"/>
      <c r="AC93" s="257" t="str">
        <f>IF(COUNTBLANK(Y93:AB93)=4,"",SUM(Y93:AA93)+IF(Setup!$I$15="No",0,AB93))</f>
        <v/>
      </c>
      <c r="AD93" s="194"/>
      <c r="AE93" s="194"/>
      <c r="AF93" s="194"/>
      <c r="AG93" s="194"/>
      <c r="AH93" s="257" t="str">
        <f>IF(COUNTBLANK(AD93:AG93)=4,"",SUM(AD93:AF93)+IF(Setup!$I$15="No",0,AG93))</f>
        <v/>
      </c>
      <c r="AI93" s="194"/>
      <c r="AJ93" s="194"/>
      <c r="AK93" s="194"/>
      <c r="AL93" s="194"/>
      <c r="AM93" s="257" t="str">
        <f>IF(COUNTBLANK(AI93:AL93)=4,"",SUM(AI93:AK93)+IF(Setup!$I$15="No",0,AL93))</f>
        <v/>
      </c>
      <c r="AN93" s="194"/>
      <c r="AO93" s="194"/>
      <c r="AP93" s="194"/>
      <c r="AQ93" s="194"/>
      <c r="AR93" s="257" t="str">
        <f>IF(COUNTBLANK(AN93:AQ93)=4,"",SUM(AN93:AP93)+IF(Setup!$I$15="No",0,AQ93))</f>
        <v/>
      </c>
      <c r="AS93" s="194"/>
      <c r="AT93" s="194"/>
      <c r="AU93" s="194"/>
      <c r="AV93" s="194"/>
      <c r="AW93" s="257" t="str">
        <f>IF(COUNTBLANK(AS93:AV93)=4,"",SUM(AS93:AU93)+IF(Setup!$I$15="No",0,AV93))</f>
        <v/>
      </c>
      <c r="AX93" s="194"/>
      <c r="AY93" s="194"/>
      <c r="AZ93" s="194"/>
      <c r="BA93" s="194"/>
      <c r="BB93" s="257" t="str">
        <f>IF(COUNTBLANK(AX93:BA93)=4,"",SUM(AX93:AZ93)+IF(Setup!$I$15="No",0,BA93))</f>
        <v/>
      </c>
      <c r="BC93" s="261">
        <f ca="1">IF('Demand background (hide)'!A84=Num_Modalities,"",SUM(Demand!I93, Demand!N93))</f>
        <v>9</v>
      </c>
      <c r="BD93" s="261">
        <f ca="1">IF(AND(A93&lt;=MaxRows,BE93&lt;&gt;"Yes"),'Demand background (hide)'!X84+IF(Setup!$I$15="Yes",'Demand background (hide)'!AJ84,0),"")</f>
        <v>320</v>
      </c>
      <c r="BE93" s="211"/>
    </row>
    <row r="94" spans="1:57" ht="15" x14ac:dyDescent="0.25">
      <c r="A94">
        <f t="shared" ca="1" si="4"/>
        <v>82</v>
      </c>
      <c r="B94" s="266" t="str">
        <f t="shared" ca="1" si="5"/>
        <v xml:space="preserve"> </v>
      </c>
      <c r="C94" s="267">
        <f t="shared" ca="1" si="6"/>
        <v>42</v>
      </c>
      <c r="D94" s="424">
        <f t="shared" ca="1" si="7"/>
        <v>43028</v>
      </c>
      <c r="E94" s="194"/>
      <c r="F94" s="194">
        <v>2</v>
      </c>
      <c r="G94" s="195">
        <v>3</v>
      </c>
      <c r="H94" s="194"/>
      <c r="I94" s="253">
        <f>IF(COUNTBLANK(E94:H94)=4,"",SUM(E94:G94)+IF(Setup!$I$15="No",0,H94))</f>
        <v>5</v>
      </c>
      <c r="J94" s="194"/>
      <c r="K94" s="194">
        <v>1</v>
      </c>
      <c r="L94" s="194">
        <v>7</v>
      </c>
      <c r="M94" s="194"/>
      <c r="N94" s="257">
        <f>IF(COUNTBLANK(J94:M94)=4,"",SUM(J94:L94)+IF(Setup!$I$15="No",0,M94))</f>
        <v>8</v>
      </c>
      <c r="O94" s="194"/>
      <c r="P94" s="194"/>
      <c r="Q94" s="194"/>
      <c r="R94" s="194"/>
      <c r="S94" s="257" t="str">
        <f>IF(COUNTBLANK(O94:R94)=4,"",SUM(O94:Q94)+IF(Setup!$I$15="No",0,R94))</f>
        <v/>
      </c>
      <c r="T94" s="194"/>
      <c r="U94" s="194"/>
      <c r="V94" s="194"/>
      <c r="W94" s="194"/>
      <c r="X94" s="257" t="str">
        <f>IF(COUNTBLANK(T94:W94)=4,"",SUM(T94:V94)+IF(Setup!$I$15="No",0,W94))</f>
        <v/>
      </c>
      <c r="Y94" s="194"/>
      <c r="Z94" s="194"/>
      <c r="AA94" s="194"/>
      <c r="AB94" s="194"/>
      <c r="AC94" s="257" t="str">
        <f>IF(COUNTBLANK(Y94:AB94)=4,"",SUM(Y94:AA94)+IF(Setup!$I$15="No",0,AB94))</f>
        <v/>
      </c>
      <c r="AD94" s="194"/>
      <c r="AE94" s="194"/>
      <c r="AF94" s="194"/>
      <c r="AG94" s="194"/>
      <c r="AH94" s="257" t="str">
        <f>IF(COUNTBLANK(AD94:AG94)=4,"",SUM(AD94:AF94)+IF(Setup!$I$15="No",0,AG94))</f>
        <v/>
      </c>
      <c r="AI94" s="194"/>
      <c r="AJ94" s="194"/>
      <c r="AK94" s="194"/>
      <c r="AL94" s="194"/>
      <c r="AM94" s="257" t="str">
        <f>IF(COUNTBLANK(AI94:AL94)=4,"",SUM(AI94:AK94)+IF(Setup!$I$15="No",0,AL94))</f>
        <v/>
      </c>
      <c r="AN94" s="194"/>
      <c r="AO94" s="194"/>
      <c r="AP94" s="194"/>
      <c r="AQ94" s="194"/>
      <c r="AR94" s="257" t="str">
        <f>IF(COUNTBLANK(AN94:AQ94)=4,"",SUM(AN94:AP94)+IF(Setup!$I$15="No",0,AQ94))</f>
        <v/>
      </c>
      <c r="AS94" s="194"/>
      <c r="AT94" s="194"/>
      <c r="AU94" s="194"/>
      <c r="AV94" s="194"/>
      <c r="AW94" s="257" t="str">
        <f>IF(COUNTBLANK(AS94:AV94)=4,"",SUM(AS94:AU94)+IF(Setup!$I$15="No",0,AV94))</f>
        <v/>
      </c>
      <c r="AX94" s="194"/>
      <c r="AY94" s="194"/>
      <c r="AZ94" s="194"/>
      <c r="BA94" s="194"/>
      <c r="BB94" s="257" t="str">
        <f>IF(COUNTBLANK(AX94:BA94)=4,"",SUM(AX94:AZ94)+IF(Setup!$I$15="No",0,BA94))</f>
        <v/>
      </c>
      <c r="BC94" s="261">
        <f ca="1">IF('Demand background (hide)'!A85=Num_Modalities,"",SUM(Demand!I94, Demand!N94))</f>
        <v>13</v>
      </c>
      <c r="BD94" s="261">
        <f ca="1">IF(AND(A94&lt;=MaxRows,BE94&lt;&gt;"Yes"),'Demand background (hide)'!X85+IF(Setup!$I$15="Yes",'Demand background (hide)'!AJ85,0),"")</f>
        <v>470</v>
      </c>
      <c r="BE94" s="211"/>
    </row>
    <row r="95" spans="1:57" ht="15" x14ac:dyDescent="0.25">
      <c r="A95">
        <f t="shared" ca="1" si="4"/>
        <v>83</v>
      </c>
      <c r="B95" s="266" t="str">
        <f t="shared" ca="1" si="5"/>
        <v xml:space="preserve"> </v>
      </c>
      <c r="C95" s="267">
        <f t="shared" ca="1" si="6"/>
        <v>43</v>
      </c>
      <c r="D95" s="424">
        <f t="shared" ca="1" si="7"/>
        <v>43035</v>
      </c>
      <c r="E95" s="194"/>
      <c r="F95" s="194">
        <v>1</v>
      </c>
      <c r="G95" s="195">
        <v>5</v>
      </c>
      <c r="H95" s="194"/>
      <c r="I95" s="253">
        <f>IF(COUNTBLANK(E95:H95)=4,"",SUM(E95:G95)+IF(Setup!$I$15="No",0,H95))</f>
        <v>6</v>
      </c>
      <c r="J95" s="194"/>
      <c r="K95" s="194">
        <v>2</v>
      </c>
      <c r="L95" s="194">
        <v>7</v>
      </c>
      <c r="M95" s="194"/>
      <c r="N95" s="257">
        <f>IF(COUNTBLANK(J95:M95)=4,"",SUM(J95:L95)+IF(Setup!$I$15="No",0,M95))</f>
        <v>9</v>
      </c>
      <c r="O95" s="194"/>
      <c r="P95" s="194"/>
      <c r="Q95" s="194"/>
      <c r="R95" s="194"/>
      <c r="S95" s="257" t="str">
        <f>IF(COUNTBLANK(O95:R95)=4,"",SUM(O95:Q95)+IF(Setup!$I$15="No",0,R95))</f>
        <v/>
      </c>
      <c r="T95" s="194"/>
      <c r="U95" s="194"/>
      <c r="V95" s="194"/>
      <c r="W95" s="194"/>
      <c r="X95" s="257" t="str">
        <f>IF(COUNTBLANK(T95:W95)=4,"",SUM(T95:V95)+IF(Setup!$I$15="No",0,W95))</f>
        <v/>
      </c>
      <c r="Y95" s="194"/>
      <c r="Z95" s="194"/>
      <c r="AA95" s="194"/>
      <c r="AB95" s="194"/>
      <c r="AC95" s="257" t="str">
        <f>IF(COUNTBLANK(Y95:AB95)=4,"",SUM(Y95:AA95)+IF(Setup!$I$15="No",0,AB95))</f>
        <v/>
      </c>
      <c r="AD95" s="194"/>
      <c r="AE95" s="194"/>
      <c r="AF95" s="194"/>
      <c r="AG95" s="194"/>
      <c r="AH95" s="257" t="str">
        <f>IF(COUNTBLANK(AD95:AG95)=4,"",SUM(AD95:AF95)+IF(Setup!$I$15="No",0,AG95))</f>
        <v/>
      </c>
      <c r="AI95" s="194"/>
      <c r="AJ95" s="194"/>
      <c r="AK95" s="194"/>
      <c r="AL95" s="194"/>
      <c r="AM95" s="257" t="str">
        <f>IF(COUNTBLANK(AI95:AL95)=4,"",SUM(AI95:AK95)+IF(Setup!$I$15="No",0,AL95))</f>
        <v/>
      </c>
      <c r="AN95" s="194"/>
      <c r="AO95" s="194"/>
      <c r="AP95" s="194"/>
      <c r="AQ95" s="194"/>
      <c r="AR95" s="257" t="str">
        <f>IF(COUNTBLANK(AN95:AQ95)=4,"",SUM(AN95:AP95)+IF(Setup!$I$15="No",0,AQ95))</f>
        <v/>
      </c>
      <c r="AS95" s="194"/>
      <c r="AT95" s="194"/>
      <c r="AU95" s="194"/>
      <c r="AV95" s="194"/>
      <c r="AW95" s="257" t="str">
        <f>IF(COUNTBLANK(AS95:AV95)=4,"",SUM(AS95:AU95)+IF(Setup!$I$15="No",0,AV95))</f>
        <v/>
      </c>
      <c r="AX95" s="194"/>
      <c r="AY95" s="194"/>
      <c r="AZ95" s="194"/>
      <c r="BA95" s="194"/>
      <c r="BB95" s="257" t="str">
        <f>IF(COUNTBLANK(AX95:BA95)=4,"",SUM(AX95:AZ95)+IF(Setup!$I$15="No",0,BA95))</f>
        <v/>
      </c>
      <c r="BC95" s="261">
        <f ca="1">IF('Demand background (hide)'!A86=Num_Modalities,"",SUM(Demand!I95, Demand!N95))</f>
        <v>15</v>
      </c>
      <c r="BD95" s="261">
        <f ca="1">IF(AND(A95&lt;=MaxRows,BE95&lt;&gt;"Yes"),'Demand background (hide)'!X86+IF(Setup!$I$15="Yes",'Demand background (hide)'!AJ86,0),"")</f>
        <v>540</v>
      </c>
      <c r="BE95" s="211"/>
    </row>
    <row r="96" spans="1:57" ht="15" x14ac:dyDescent="0.25">
      <c r="A96">
        <f t="shared" ca="1" si="4"/>
        <v>84</v>
      </c>
      <c r="B96" s="266" t="str">
        <f t="shared" ca="1" si="5"/>
        <v xml:space="preserve"> </v>
      </c>
      <c r="C96" s="267">
        <f t="shared" ca="1" si="6"/>
        <v>44</v>
      </c>
      <c r="D96" s="424">
        <f t="shared" ca="1" si="7"/>
        <v>43042</v>
      </c>
      <c r="E96" s="194"/>
      <c r="F96" s="194">
        <v>1</v>
      </c>
      <c r="G96" s="195">
        <v>1</v>
      </c>
      <c r="H96" s="194"/>
      <c r="I96" s="253">
        <f>IF(COUNTBLANK(E96:H96)=4,"",SUM(E96:G96)+IF(Setup!$I$15="No",0,H96))</f>
        <v>2</v>
      </c>
      <c r="J96" s="194"/>
      <c r="K96" s="194">
        <v>1</v>
      </c>
      <c r="L96" s="194">
        <v>6</v>
      </c>
      <c r="M96" s="194"/>
      <c r="N96" s="257">
        <f>IF(COUNTBLANK(J96:M96)=4,"",SUM(J96:L96)+IF(Setup!$I$15="No",0,M96))</f>
        <v>7</v>
      </c>
      <c r="O96" s="194"/>
      <c r="P96" s="194"/>
      <c r="Q96" s="194"/>
      <c r="R96" s="194"/>
      <c r="S96" s="257" t="str">
        <f>IF(COUNTBLANK(O96:R96)=4,"",SUM(O96:Q96)+IF(Setup!$I$15="No",0,R96))</f>
        <v/>
      </c>
      <c r="T96" s="194"/>
      <c r="U96" s="194"/>
      <c r="V96" s="194"/>
      <c r="W96" s="194"/>
      <c r="X96" s="257" t="str">
        <f>IF(COUNTBLANK(T96:W96)=4,"",SUM(T96:V96)+IF(Setup!$I$15="No",0,W96))</f>
        <v/>
      </c>
      <c r="Y96" s="194"/>
      <c r="Z96" s="194"/>
      <c r="AA96" s="194"/>
      <c r="AB96" s="194"/>
      <c r="AC96" s="257" t="str">
        <f>IF(COUNTBLANK(Y96:AB96)=4,"",SUM(Y96:AA96)+IF(Setup!$I$15="No",0,AB96))</f>
        <v/>
      </c>
      <c r="AD96" s="194"/>
      <c r="AE96" s="194"/>
      <c r="AF96" s="194"/>
      <c r="AG96" s="194"/>
      <c r="AH96" s="257" t="str">
        <f>IF(COUNTBLANK(AD96:AG96)=4,"",SUM(AD96:AF96)+IF(Setup!$I$15="No",0,AG96))</f>
        <v/>
      </c>
      <c r="AI96" s="194"/>
      <c r="AJ96" s="194"/>
      <c r="AK96" s="194"/>
      <c r="AL96" s="194"/>
      <c r="AM96" s="257" t="str">
        <f>IF(COUNTBLANK(AI96:AL96)=4,"",SUM(AI96:AK96)+IF(Setup!$I$15="No",0,AL96))</f>
        <v/>
      </c>
      <c r="AN96" s="194"/>
      <c r="AO96" s="194"/>
      <c r="AP96" s="194"/>
      <c r="AQ96" s="194"/>
      <c r="AR96" s="257" t="str">
        <f>IF(COUNTBLANK(AN96:AQ96)=4,"",SUM(AN96:AP96)+IF(Setup!$I$15="No",0,AQ96))</f>
        <v/>
      </c>
      <c r="AS96" s="194"/>
      <c r="AT96" s="194"/>
      <c r="AU96" s="194"/>
      <c r="AV96" s="194"/>
      <c r="AW96" s="257" t="str">
        <f>IF(COUNTBLANK(AS96:AV96)=4,"",SUM(AS96:AU96)+IF(Setup!$I$15="No",0,AV96))</f>
        <v/>
      </c>
      <c r="AX96" s="194"/>
      <c r="AY96" s="194"/>
      <c r="AZ96" s="194"/>
      <c r="BA96" s="194"/>
      <c r="BB96" s="257" t="str">
        <f>IF(COUNTBLANK(AX96:BA96)=4,"",SUM(AX96:AZ96)+IF(Setup!$I$15="No",0,BA96))</f>
        <v/>
      </c>
      <c r="BC96" s="261">
        <f ca="1">IF('Demand background (hide)'!A87=Num_Modalities,"",SUM(Demand!I96, Demand!N96))</f>
        <v>9</v>
      </c>
      <c r="BD96" s="261">
        <f ca="1">IF(AND(A96&lt;=MaxRows,BE96&lt;&gt;"Yes"),'Demand background (hide)'!X87+IF(Setup!$I$15="Yes",'Demand background (hide)'!AJ87,0),"")</f>
        <v>340</v>
      </c>
      <c r="BE96" s="211"/>
    </row>
    <row r="97" spans="1:57" ht="15" x14ac:dyDescent="0.25">
      <c r="A97">
        <f t="shared" ca="1" si="4"/>
        <v>85</v>
      </c>
      <c r="B97" s="266" t="str">
        <f t="shared" ca="1" si="5"/>
        <v xml:space="preserve"> </v>
      </c>
      <c r="C97" s="267">
        <f t="shared" ca="1" si="6"/>
        <v>45</v>
      </c>
      <c r="D97" s="424">
        <f t="shared" ca="1" si="7"/>
        <v>43049</v>
      </c>
      <c r="E97" s="194"/>
      <c r="F97" s="194">
        <v>0</v>
      </c>
      <c r="G97" s="195">
        <v>3</v>
      </c>
      <c r="H97" s="194"/>
      <c r="I97" s="253">
        <f>IF(COUNTBLANK(E97:H97)=4,"",SUM(E97:G97)+IF(Setup!$I$15="No",0,H97))</f>
        <v>3</v>
      </c>
      <c r="J97" s="194"/>
      <c r="K97" s="194">
        <v>2</v>
      </c>
      <c r="L97" s="194">
        <v>9</v>
      </c>
      <c r="M97" s="194"/>
      <c r="N97" s="257">
        <f>IF(COUNTBLANK(J97:M97)=4,"",SUM(J97:L97)+IF(Setup!$I$15="No",0,M97))</f>
        <v>11</v>
      </c>
      <c r="O97" s="194"/>
      <c r="P97" s="194"/>
      <c r="Q97" s="194"/>
      <c r="R97" s="194"/>
      <c r="S97" s="257" t="str">
        <f>IF(COUNTBLANK(O97:R97)=4,"",SUM(O97:Q97)+IF(Setup!$I$15="No",0,R97))</f>
        <v/>
      </c>
      <c r="T97" s="194"/>
      <c r="U97" s="194"/>
      <c r="V97" s="194"/>
      <c r="W97" s="194"/>
      <c r="X97" s="257" t="str">
        <f>IF(COUNTBLANK(T97:W97)=4,"",SUM(T97:V97)+IF(Setup!$I$15="No",0,W97))</f>
        <v/>
      </c>
      <c r="Y97" s="194"/>
      <c r="Z97" s="194"/>
      <c r="AA97" s="194"/>
      <c r="AB97" s="194"/>
      <c r="AC97" s="257" t="str">
        <f>IF(COUNTBLANK(Y97:AB97)=4,"",SUM(Y97:AA97)+IF(Setup!$I$15="No",0,AB97))</f>
        <v/>
      </c>
      <c r="AD97" s="194"/>
      <c r="AE97" s="194"/>
      <c r="AF97" s="194"/>
      <c r="AG97" s="194"/>
      <c r="AH97" s="257" t="str">
        <f>IF(COUNTBLANK(AD97:AG97)=4,"",SUM(AD97:AF97)+IF(Setup!$I$15="No",0,AG97))</f>
        <v/>
      </c>
      <c r="AI97" s="194"/>
      <c r="AJ97" s="194"/>
      <c r="AK97" s="194"/>
      <c r="AL97" s="194"/>
      <c r="AM97" s="257" t="str">
        <f>IF(COUNTBLANK(AI97:AL97)=4,"",SUM(AI97:AK97)+IF(Setup!$I$15="No",0,AL97))</f>
        <v/>
      </c>
      <c r="AN97" s="194"/>
      <c r="AO97" s="194"/>
      <c r="AP97" s="194"/>
      <c r="AQ97" s="194"/>
      <c r="AR97" s="257" t="str">
        <f>IF(COUNTBLANK(AN97:AQ97)=4,"",SUM(AN97:AP97)+IF(Setup!$I$15="No",0,AQ97))</f>
        <v/>
      </c>
      <c r="AS97" s="194"/>
      <c r="AT97" s="194"/>
      <c r="AU97" s="194"/>
      <c r="AV97" s="194"/>
      <c r="AW97" s="257" t="str">
        <f>IF(COUNTBLANK(AS97:AV97)=4,"",SUM(AS97:AU97)+IF(Setup!$I$15="No",0,AV97))</f>
        <v/>
      </c>
      <c r="AX97" s="194"/>
      <c r="AY97" s="194"/>
      <c r="AZ97" s="194"/>
      <c r="BA97" s="194"/>
      <c r="BB97" s="257" t="str">
        <f>IF(COUNTBLANK(AX97:BA97)=4,"",SUM(AX97:AZ97)+IF(Setup!$I$15="No",0,BA97))</f>
        <v/>
      </c>
      <c r="BC97" s="261">
        <f ca="1">IF('Demand background (hide)'!A88=Num_Modalities,"",SUM(Demand!I97, Demand!N97))</f>
        <v>14</v>
      </c>
      <c r="BD97" s="261">
        <f ca="1">IF(AND(A97&lt;=MaxRows,BE97&lt;&gt;"Yes"),'Demand background (hide)'!X88+IF(Setup!$I$15="Yes",'Demand background (hide)'!AJ88,0),"")</f>
        <v>530</v>
      </c>
      <c r="BE97" s="211"/>
    </row>
    <row r="98" spans="1:57" ht="15" x14ac:dyDescent="0.25">
      <c r="A98">
        <f t="shared" ca="1" si="4"/>
        <v>86</v>
      </c>
      <c r="B98" s="266" t="str">
        <f t="shared" ca="1" si="5"/>
        <v xml:space="preserve"> </v>
      </c>
      <c r="C98" s="267">
        <f t="shared" ca="1" si="6"/>
        <v>46</v>
      </c>
      <c r="D98" s="424">
        <f t="shared" ca="1" si="7"/>
        <v>43056</v>
      </c>
      <c r="E98" s="194"/>
      <c r="F98" s="194">
        <v>0</v>
      </c>
      <c r="G98" s="195">
        <v>6</v>
      </c>
      <c r="H98" s="194"/>
      <c r="I98" s="253">
        <f>IF(COUNTBLANK(E98:H98)=4,"",SUM(E98:G98)+IF(Setup!$I$15="No",0,H98))</f>
        <v>6</v>
      </c>
      <c r="J98" s="194"/>
      <c r="K98" s="194">
        <v>3</v>
      </c>
      <c r="L98" s="194">
        <v>7</v>
      </c>
      <c r="M98" s="194"/>
      <c r="N98" s="257">
        <f>IF(COUNTBLANK(J98:M98)=4,"",SUM(J98:L98)+IF(Setup!$I$15="No",0,M98))</f>
        <v>10</v>
      </c>
      <c r="O98" s="194"/>
      <c r="P98" s="194"/>
      <c r="Q98" s="194"/>
      <c r="R98" s="194"/>
      <c r="S98" s="257" t="str">
        <f>IF(COUNTBLANK(O98:R98)=4,"",SUM(O98:Q98)+IF(Setup!$I$15="No",0,R98))</f>
        <v/>
      </c>
      <c r="T98" s="194"/>
      <c r="U98" s="194"/>
      <c r="V98" s="194"/>
      <c r="W98" s="194"/>
      <c r="X98" s="257" t="str">
        <f>IF(COUNTBLANK(T98:W98)=4,"",SUM(T98:V98)+IF(Setup!$I$15="No",0,W98))</f>
        <v/>
      </c>
      <c r="Y98" s="194"/>
      <c r="Z98" s="194"/>
      <c r="AA98" s="194"/>
      <c r="AB98" s="194"/>
      <c r="AC98" s="257" t="str">
        <f>IF(COUNTBLANK(Y98:AB98)=4,"",SUM(Y98:AA98)+IF(Setup!$I$15="No",0,AB98))</f>
        <v/>
      </c>
      <c r="AD98" s="194"/>
      <c r="AE98" s="194"/>
      <c r="AF98" s="194"/>
      <c r="AG98" s="194"/>
      <c r="AH98" s="257" t="str">
        <f>IF(COUNTBLANK(AD98:AG98)=4,"",SUM(AD98:AF98)+IF(Setup!$I$15="No",0,AG98))</f>
        <v/>
      </c>
      <c r="AI98" s="194"/>
      <c r="AJ98" s="194"/>
      <c r="AK98" s="194"/>
      <c r="AL98" s="194"/>
      <c r="AM98" s="257" t="str">
        <f>IF(COUNTBLANK(AI98:AL98)=4,"",SUM(AI98:AK98)+IF(Setup!$I$15="No",0,AL98))</f>
        <v/>
      </c>
      <c r="AN98" s="194"/>
      <c r="AO98" s="194"/>
      <c r="AP98" s="194"/>
      <c r="AQ98" s="194"/>
      <c r="AR98" s="257" t="str">
        <f>IF(COUNTBLANK(AN98:AQ98)=4,"",SUM(AN98:AP98)+IF(Setup!$I$15="No",0,AQ98))</f>
        <v/>
      </c>
      <c r="AS98" s="194"/>
      <c r="AT98" s="194"/>
      <c r="AU98" s="194"/>
      <c r="AV98" s="194"/>
      <c r="AW98" s="257" t="str">
        <f>IF(COUNTBLANK(AS98:AV98)=4,"",SUM(AS98:AU98)+IF(Setup!$I$15="No",0,AV98))</f>
        <v/>
      </c>
      <c r="AX98" s="194"/>
      <c r="AY98" s="194"/>
      <c r="AZ98" s="194"/>
      <c r="BA98" s="194"/>
      <c r="BB98" s="257" t="str">
        <f>IF(COUNTBLANK(AX98:BA98)=4,"",SUM(AX98:AZ98)+IF(Setup!$I$15="No",0,BA98))</f>
        <v/>
      </c>
      <c r="BC98" s="261">
        <f ca="1">IF('Demand background (hide)'!A89=Num_Modalities,"",SUM(Demand!I98, Demand!N98))</f>
        <v>16</v>
      </c>
      <c r="BD98" s="261">
        <f ca="1">IF(AND(A98&lt;=MaxRows,BE98&lt;&gt;"Yes"),'Demand background (hide)'!X89+IF(Setup!$I$15="Yes",'Demand background (hide)'!AJ89,0),"")</f>
        <v>580</v>
      </c>
      <c r="BE98" s="211"/>
    </row>
    <row r="99" spans="1:57" ht="15" x14ac:dyDescent="0.25">
      <c r="A99">
        <f t="shared" ca="1" si="4"/>
        <v>87</v>
      </c>
      <c r="B99" s="266" t="str">
        <f t="shared" ca="1" si="5"/>
        <v xml:space="preserve"> </v>
      </c>
      <c r="C99" s="267">
        <f t="shared" ca="1" si="6"/>
        <v>47</v>
      </c>
      <c r="D99" s="424">
        <f t="shared" ca="1" si="7"/>
        <v>43063</v>
      </c>
      <c r="E99" s="194"/>
      <c r="F99" s="194">
        <v>0</v>
      </c>
      <c r="G99" s="195">
        <v>2</v>
      </c>
      <c r="H99" s="194"/>
      <c r="I99" s="253">
        <f>IF(COUNTBLANK(E99:H99)=4,"",SUM(E99:G99)+IF(Setup!$I$15="No",0,H99))</f>
        <v>2</v>
      </c>
      <c r="J99" s="194"/>
      <c r="K99" s="194">
        <v>2</v>
      </c>
      <c r="L99" s="194">
        <v>8</v>
      </c>
      <c r="M99" s="194"/>
      <c r="N99" s="257">
        <f>IF(COUNTBLANK(J99:M99)=4,"",SUM(J99:L99)+IF(Setup!$I$15="No",0,M99))</f>
        <v>10</v>
      </c>
      <c r="O99" s="194"/>
      <c r="P99" s="194"/>
      <c r="Q99" s="194"/>
      <c r="R99" s="194"/>
      <c r="S99" s="257" t="str">
        <f>IF(COUNTBLANK(O99:R99)=4,"",SUM(O99:Q99)+IF(Setup!$I$15="No",0,R99))</f>
        <v/>
      </c>
      <c r="T99" s="194"/>
      <c r="U99" s="194"/>
      <c r="V99" s="194"/>
      <c r="W99" s="194"/>
      <c r="X99" s="257" t="str">
        <f>IF(COUNTBLANK(T99:W99)=4,"",SUM(T99:V99)+IF(Setup!$I$15="No",0,W99))</f>
        <v/>
      </c>
      <c r="Y99" s="194"/>
      <c r="Z99" s="194"/>
      <c r="AA99" s="194"/>
      <c r="AB99" s="194"/>
      <c r="AC99" s="257" t="str">
        <f>IF(COUNTBLANK(Y99:AB99)=4,"",SUM(Y99:AA99)+IF(Setup!$I$15="No",0,AB99))</f>
        <v/>
      </c>
      <c r="AD99" s="194"/>
      <c r="AE99" s="194"/>
      <c r="AF99" s="194"/>
      <c r="AG99" s="194"/>
      <c r="AH99" s="257" t="str">
        <f>IF(COUNTBLANK(AD99:AG99)=4,"",SUM(AD99:AF99)+IF(Setup!$I$15="No",0,AG99))</f>
        <v/>
      </c>
      <c r="AI99" s="194"/>
      <c r="AJ99" s="194"/>
      <c r="AK99" s="194"/>
      <c r="AL99" s="194"/>
      <c r="AM99" s="257" t="str">
        <f>IF(COUNTBLANK(AI99:AL99)=4,"",SUM(AI99:AK99)+IF(Setup!$I$15="No",0,AL99))</f>
        <v/>
      </c>
      <c r="AN99" s="194"/>
      <c r="AO99" s="194"/>
      <c r="AP99" s="194"/>
      <c r="AQ99" s="194"/>
      <c r="AR99" s="257" t="str">
        <f>IF(COUNTBLANK(AN99:AQ99)=4,"",SUM(AN99:AP99)+IF(Setup!$I$15="No",0,AQ99))</f>
        <v/>
      </c>
      <c r="AS99" s="194"/>
      <c r="AT99" s="194"/>
      <c r="AU99" s="194"/>
      <c r="AV99" s="194"/>
      <c r="AW99" s="257" t="str">
        <f>IF(COUNTBLANK(AS99:AV99)=4,"",SUM(AS99:AU99)+IF(Setup!$I$15="No",0,AV99))</f>
        <v/>
      </c>
      <c r="AX99" s="194"/>
      <c r="AY99" s="194"/>
      <c r="AZ99" s="194"/>
      <c r="BA99" s="194"/>
      <c r="BB99" s="257" t="str">
        <f>IF(COUNTBLANK(AX99:BA99)=4,"",SUM(AX99:AZ99)+IF(Setup!$I$15="No",0,BA99))</f>
        <v/>
      </c>
      <c r="BC99" s="261">
        <f ca="1">IF('Demand background (hide)'!A90=Num_Modalities,"",SUM(Demand!I99, Demand!N99))</f>
        <v>12</v>
      </c>
      <c r="BD99" s="261">
        <f ca="1">IF(AND(A99&lt;=MaxRows,BE99&lt;&gt;"Yes"),'Demand background (hide)'!X90+IF(Setup!$I$15="Yes",'Demand background (hide)'!AJ90,0),"")</f>
        <v>460</v>
      </c>
      <c r="BE99" s="211"/>
    </row>
    <row r="100" spans="1:57" ht="15" x14ac:dyDescent="0.25">
      <c r="A100">
        <f t="shared" ca="1" si="4"/>
        <v>88</v>
      </c>
      <c r="B100" s="266" t="str">
        <f t="shared" ca="1" si="5"/>
        <v xml:space="preserve"> </v>
      </c>
      <c r="C100" s="267">
        <f t="shared" ca="1" si="6"/>
        <v>48</v>
      </c>
      <c r="D100" s="424">
        <f t="shared" ca="1" si="7"/>
        <v>43070</v>
      </c>
      <c r="E100" s="194"/>
      <c r="F100" s="194">
        <v>3</v>
      </c>
      <c r="G100" s="195">
        <v>3</v>
      </c>
      <c r="H100" s="194"/>
      <c r="I100" s="253">
        <f>IF(COUNTBLANK(E100:H100)=4,"",SUM(E100:G100)+IF(Setup!$I$15="No",0,H100))</f>
        <v>6</v>
      </c>
      <c r="J100" s="194"/>
      <c r="K100" s="194">
        <v>2</v>
      </c>
      <c r="L100" s="194">
        <v>6</v>
      </c>
      <c r="M100" s="194"/>
      <c r="N100" s="257">
        <f>IF(COUNTBLANK(J100:M100)=4,"",SUM(J100:L100)+IF(Setup!$I$15="No",0,M100))</f>
        <v>8</v>
      </c>
      <c r="O100" s="194"/>
      <c r="P100" s="194"/>
      <c r="Q100" s="194"/>
      <c r="R100" s="194"/>
      <c r="S100" s="257" t="str">
        <f>IF(COUNTBLANK(O100:R100)=4,"",SUM(O100:Q100)+IF(Setup!$I$15="No",0,R100))</f>
        <v/>
      </c>
      <c r="T100" s="194"/>
      <c r="U100" s="194"/>
      <c r="V100" s="194"/>
      <c r="W100" s="194"/>
      <c r="X100" s="257" t="str">
        <f>IF(COUNTBLANK(T100:W100)=4,"",SUM(T100:V100)+IF(Setup!$I$15="No",0,W100))</f>
        <v/>
      </c>
      <c r="Y100" s="194"/>
      <c r="Z100" s="194"/>
      <c r="AA100" s="194"/>
      <c r="AB100" s="194"/>
      <c r="AC100" s="257" t="str">
        <f>IF(COUNTBLANK(Y100:AB100)=4,"",SUM(Y100:AA100)+IF(Setup!$I$15="No",0,AB100))</f>
        <v/>
      </c>
      <c r="AD100" s="194"/>
      <c r="AE100" s="194"/>
      <c r="AF100" s="194"/>
      <c r="AG100" s="194"/>
      <c r="AH100" s="257" t="str">
        <f>IF(COUNTBLANK(AD100:AG100)=4,"",SUM(AD100:AF100)+IF(Setup!$I$15="No",0,AG100))</f>
        <v/>
      </c>
      <c r="AI100" s="194"/>
      <c r="AJ100" s="194"/>
      <c r="AK100" s="194"/>
      <c r="AL100" s="194"/>
      <c r="AM100" s="257" t="str">
        <f>IF(COUNTBLANK(AI100:AL100)=4,"",SUM(AI100:AK100)+IF(Setup!$I$15="No",0,AL100))</f>
        <v/>
      </c>
      <c r="AN100" s="194"/>
      <c r="AO100" s="194"/>
      <c r="AP100" s="194"/>
      <c r="AQ100" s="194"/>
      <c r="AR100" s="257" t="str">
        <f>IF(COUNTBLANK(AN100:AQ100)=4,"",SUM(AN100:AP100)+IF(Setup!$I$15="No",0,AQ100))</f>
        <v/>
      </c>
      <c r="AS100" s="194"/>
      <c r="AT100" s="194"/>
      <c r="AU100" s="194"/>
      <c r="AV100" s="194"/>
      <c r="AW100" s="257" t="str">
        <f>IF(COUNTBLANK(AS100:AV100)=4,"",SUM(AS100:AU100)+IF(Setup!$I$15="No",0,AV100))</f>
        <v/>
      </c>
      <c r="AX100" s="194"/>
      <c r="AY100" s="194"/>
      <c r="AZ100" s="194"/>
      <c r="BA100" s="194"/>
      <c r="BB100" s="257" t="str">
        <f>IF(COUNTBLANK(AX100:BA100)=4,"",SUM(AX100:AZ100)+IF(Setup!$I$15="No",0,BA100))</f>
        <v/>
      </c>
      <c r="BC100" s="261">
        <f ca="1">IF('Demand background (hide)'!A91=Num_Modalities,"",SUM(Demand!I100, Demand!N100))</f>
        <v>14</v>
      </c>
      <c r="BD100" s="261">
        <f ca="1">IF(AND(A100&lt;=MaxRows,BE100&lt;&gt;"Yes"),'Demand background (hide)'!X91+IF(Setup!$I$15="Yes",'Demand background (hide)'!AJ91,0),"")</f>
        <v>500</v>
      </c>
      <c r="BE100" s="211"/>
    </row>
    <row r="101" spans="1:57" ht="15" x14ac:dyDescent="0.25">
      <c r="A101">
        <f t="shared" ca="1" si="4"/>
        <v>89</v>
      </c>
      <c r="B101" s="266" t="str">
        <f t="shared" ca="1" si="5"/>
        <v xml:space="preserve"> </v>
      </c>
      <c r="C101" s="267">
        <f t="shared" ca="1" si="6"/>
        <v>49</v>
      </c>
      <c r="D101" s="424">
        <f t="shared" ca="1" si="7"/>
        <v>43077</v>
      </c>
      <c r="E101" s="194"/>
      <c r="F101" s="194">
        <v>1</v>
      </c>
      <c r="G101" s="195">
        <v>8</v>
      </c>
      <c r="H101" s="194"/>
      <c r="I101" s="253">
        <f>IF(COUNTBLANK(E101:H101)=4,"",SUM(E101:G101)+IF(Setup!$I$15="No",0,H101))</f>
        <v>9</v>
      </c>
      <c r="J101" s="194"/>
      <c r="K101" s="194">
        <v>3</v>
      </c>
      <c r="L101" s="194">
        <v>3</v>
      </c>
      <c r="M101" s="194"/>
      <c r="N101" s="257">
        <f>IF(COUNTBLANK(J101:M101)=4,"",SUM(J101:L101)+IF(Setup!$I$15="No",0,M101))</f>
        <v>6</v>
      </c>
      <c r="O101" s="194"/>
      <c r="P101" s="194"/>
      <c r="Q101" s="194"/>
      <c r="R101" s="194"/>
      <c r="S101" s="257" t="str">
        <f>IF(COUNTBLANK(O101:R101)=4,"",SUM(O101:Q101)+IF(Setup!$I$15="No",0,R101))</f>
        <v/>
      </c>
      <c r="T101" s="194"/>
      <c r="U101" s="194"/>
      <c r="V101" s="194"/>
      <c r="W101" s="194"/>
      <c r="X101" s="257" t="str">
        <f>IF(COUNTBLANK(T101:W101)=4,"",SUM(T101:V101)+IF(Setup!$I$15="No",0,W101))</f>
        <v/>
      </c>
      <c r="Y101" s="194"/>
      <c r="Z101" s="194"/>
      <c r="AA101" s="194"/>
      <c r="AB101" s="194"/>
      <c r="AC101" s="257" t="str">
        <f>IF(COUNTBLANK(Y101:AB101)=4,"",SUM(Y101:AA101)+IF(Setup!$I$15="No",0,AB101))</f>
        <v/>
      </c>
      <c r="AD101" s="194"/>
      <c r="AE101" s="194"/>
      <c r="AF101" s="194"/>
      <c r="AG101" s="194"/>
      <c r="AH101" s="257" t="str">
        <f>IF(COUNTBLANK(AD101:AG101)=4,"",SUM(AD101:AF101)+IF(Setup!$I$15="No",0,AG101))</f>
        <v/>
      </c>
      <c r="AI101" s="194"/>
      <c r="AJ101" s="194"/>
      <c r="AK101" s="194"/>
      <c r="AL101" s="194"/>
      <c r="AM101" s="257" t="str">
        <f>IF(COUNTBLANK(AI101:AL101)=4,"",SUM(AI101:AK101)+IF(Setup!$I$15="No",0,AL101))</f>
        <v/>
      </c>
      <c r="AN101" s="194"/>
      <c r="AO101" s="194"/>
      <c r="AP101" s="194"/>
      <c r="AQ101" s="194"/>
      <c r="AR101" s="257" t="str">
        <f>IF(COUNTBLANK(AN101:AQ101)=4,"",SUM(AN101:AP101)+IF(Setup!$I$15="No",0,AQ101))</f>
        <v/>
      </c>
      <c r="AS101" s="194"/>
      <c r="AT101" s="194"/>
      <c r="AU101" s="194"/>
      <c r="AV101" s="194"/>
      <c r="AW101" s="257" t="str">
        <f>IF(COUNTBLANK(AS101:AV101)=4,"",SUM(AS101:AU101)+IF(Setup!$I$15="No",0,AV101))</f>
        <v/>
      </c>
      <c r="AX101" s="194"/>
      <c r="AY101" s="194"/>
      <c r="AZ101" s="194"/>
      <c r="BA101" s="194"/>
      <c r="BB101" s="257" t="str">
        <f>IF(COUNTBLANK(AX101:BA101)=4,"",SUM(AX101:AZ101)+IF(Setup!$I$15="No",0,BA101))</f>
        <v/>
      </c>
      <c r="BC101" s="261">
        <f ca="1">IF('Demand background (hide)'!A92=Num_Modalities,"",SUM(Demand!I101, Demand!N101))</f>
        <v>15</v>
      </c>
      <c r="BD101" s="261">
        <f ca="1">IF(AND(A101&lt;=MaxRows,BE101&lt;&gt;"Yes"),'Demand background (hide)'!X92+IF(Setup!$I$15="Yes",'Demand background (hide)'!AJ92,0),"")</f>
        <v>510</v>
      </c>
      <c r="BE101" s="211"/>
    </row>
    <row r="102" spans="1:57" ht="15" x14ac:dyDescent="0.25">
      <c r="A102">
        <f t="shared" ca="1" si="4"/>
        <v>90</v>
      </c>
      <c r="B102" s="266" t="str">
        <f t="shared" ca="1" si="5"/>
        <v xml:space="preserve"> </v>
      </c>
      <c r="C102" s="267">
        <f t="shared" ca="1" si="6"/>
        <v>50</v>
      </c>
      <c r="D102" s="424">
        <f t="shared" ca="1" si="7"/>
        <v>43084</v>
      </c>
      <c r="E102" s="194"/>
      <c r="F102" s="194">
        <v>0</v>
      </c>
      <c r="G102" s="195">
        <v>5</v>
      </c>
      <c r="H102" s="194"/>
      <c r="I102" s="253">
        <f>IF(COUNTBLANK(E102:H102)=4,"",SUM(E102:G102)+IF(Setup!$I$15="No",0,H102))</f>
        <v>5</v>
      </c>
      <c r="J102" s="194"/>
      <c r="K102" s="194">
        <v>2</v>
      </c>
      <c r="L102" s="194">
        <v>7</v>
      </c>
      <c r="M102" s="194"/>
      <c r="N102" s="257">
        <f>IF(COUNTBLANK(J102:M102)=4,"",SUM(J102:L102)+IF(Setup!$I$15="No",0,M102))</f>
        <v>9</v>
      </c>
      <c r="O102" s="194"/>
      <c r="P102" s="194"/>
      <c r="Q102" s="194"/>
      <c r="R102" s="194"/>
      <c r="S102" s="257" t="str">
        <f>IF(COUNTBLANK(O102:R102)=4,"",SUM(O102:Q102)+IF(Setup!$I$15="No",0,R102))</f>
        <v/>
      </c>
      <c r="T102" s="194"/>
      <c r="U102" s="194"/>
      <c r="V102" s="194"/>
      <c r="W102" s="194"/>
      <c r="X102" s="257" t="str">
        <f>IF(COUNTBLANK(T102:W102)=4,"",SUM(T102:V102)+IF(Setup!$I$15="No",0,W102))</f>
        <v/>
      </c>
      <c r="Y102" s="194"/>
      <c r="Z102" s="194"/>
      <c r="AA102" s="194"/>
      <c r="AB102" s="194"/>
      <c r="AC102" s="257" t="str">
        <f>IF(COUNTBLANK(Y102:AB102)=4,"",SUM(Y102:AA102)+IF(Setup!$I$15="No",0,AB102))</f>
        <v/>
      </c>
      <c r="AD102" s="194"/>
      <c r="AE102" s="194"/>
      <c r="AF102" s="194"/>
      <c r="AG102" s="194"/>
      <c r="AH102" s="257" t="str">
        <f>IF(COUNTBLANK(AD102:AG102)=4,"",SUM(AD102:AF102)+IF(Setup!$I$15="No",0,AG102))</f>
        <v/>
      </c>
      <c r="AI102" s="194"/>
      <c r="AJ102" s="194"/>
      <c r="AK102" s="194"/>
      <c r="AL102" s="194"/>
      <c r="AM102" s="257" t="str">
        <f>IF(COUNTBLANK(AI102:AL102)=4,"",SUM(AI102:AK102)+IF(Setup!$I$15="No",0,AL102))</f>
        <v/>
      </c>
      <c r="AN102" s="194"/>
      <c r="AO102" s="194"/>
      <c r="AP102" s="194"/>
      <c r="AQ102" s="194"/>
      <c r="AR102" s="257" t="str">
        <f>IF(COUNTBLANK(AN102:AQ102)=4,"",SUM(AN102:AP102)+IF(Setup!$I$15="No",0,AQ102))</f>
        <v/>
      </c>
      <c r="AS102" s="194"/>
      <c r="AT102" s="194"/>
      <c r="AU102" s="194"/>
      <c r="AV102" s="194"/>
      <c r="AW102" s="257" t="str">
        <f>IF(COUNTBLANK(AS102:AV102)=4,"",SUM(AS102:AU102)+IF(Setup!$I$15="No",0,AV102))</f>
        <v/>
      </c>
      <c r="AX102" s="194"/>
      <c r="AY102" s="194"/>
      <c r="AZ102" s="194"/>
      <c r="BA102" s="194"/>
      <c r="BB102" s="257" t="str">
        <f>IF(COUNTBLANK(AX102:BA102)=4,"",SUM(AX102:AZ102)+IF(Setup!$I$15="No",0,BA102))</f>
        <v/>
      </c>
      <c r="BC102" s="261">
        <f ca="1">IF('Demand background (hide)'!A93=Num_Modalities,"",SUM(Demand!I102, Demand!N102))</f>
        <v>14</v>
      </c>
      <c r="BD102" s="261">
        <f ca="1">IF(AND(A102&lt;=MaxRows,BE102&lt;&gt;"Yes"),'Demand background (hide)'!X93+IF(Setup!$I$15="Yes",'Demand background (hide)'!AJ93,0),"")</f>
        <v>510</v>
      </c>
      <c r="BE102" s="211"/>
    </row>
    <row r="103" spans="1:57" ht="15" x14ac:dyDescent="0.25">
      <c r="A103">
        <f t="shared" ca="1" si="4"/>
        <v>91</v>
      </c>
      <c r="B103" s="266" t="str">
        <f t="shared" ca="1" si="5"/>
        <v xml:space="preserve"> </v>
      </c>
      <c r="C103" s="267">
        <f t="shared" ca="1" si="6"/>
        <v>51</v>
      </c>
      <c r="D103" s="424">
        <f t="shared" ca="1" si="7"/>
        <v>43091</v>
      </c>
      <c r="E103" s="194"/>
      <c r="F103" s="194">
        <v>1</v>
      </c>
      <c r="G103" s="195">
        <v>0</v>
      </c>
      <c r="H103" s="194"/>
      <c r="I103" s="253">
        <f>IF(COUNTBLANK(E103:H103)=4,"",SUM(E103:G103)+IF(Setup!$I$15="No",0,H103))</f>
        <v>1</v>
      </c>
      <c r="J103" s="194"/>
      <c r="K103" s="194">
        <v>1</v>
      </c>
      <c r="L103" s="194">
        <v>8</v>
      </c>
      <c r="M103" s="194"/>
      <c r="N103" s="257">
        <f>IF(COUNTBLANK(J103:M103)=4,"",SUM(J103:L103)+IF(Setup!$I$15="No",0,M103))</f>
        <v>9</v>
      </c>
      <c r="O103" s="194"/>
      <c r="P103" s="194"/>
      <c r="Q103" s="194"/>
      <c r="R103" s="194"/>
      <c r="S103" s="257" t="str">
        <f>IF(COUNTBLANK(O103:R103)=4,"",SUM(O103:Q103)+IF(Setup!$I$15="No",0,R103))</f>
        <v/>
      </c>
      <c r="T103" s="194"/>
      <c r="U103" s="194"/>
      <c r="V103" s="194"/>
      <c r="W103" s="194"/>
      <c r="X103" s="257" t="str">
        <f>IF(COUNTBLANK(T103:W103)=4,"",SUM(T103:V103)+IF(Setup!$I$15="No",0,W103))</f>
        <v/>
      </c>
      <c r="Y103" s="194"/>
      <c r="Z103" s="194"/>
      <c r="AA103" s="194"/>
      <c r="AB103" s="194"/>
      <c r="AC103" s="257" t="str">
        <f>IF(COUNTBLANK(Y103:AB103)=4,"",SUM(Y103:AA103)+IF(Setup!$I$15="No",0,AB103))</f>
        <v/>
      </c>
      <c r="AD103" s="194"/>
      <c r="AE103" s="194"/>
      <c r="AF103" s="194"/>
      <c r="AG103" s="194"/>
      <c r="AH103" s="257" t="str">
        <f>IF(COUNTBLANK(AD103:AG103)=4,"",SUM(AD103:AF103)+IF(Setup!$I$15="No",0,AG103))</f>
        <v/>
      </c>
      <c r="AI103" s="194"/>
      <c r="AJ103" s="194"/>
      <c r="AK103" s="194"/>
      <c r="AL103" s="194"/>
      <c r="AM103" s="257" t="str">
        <f>IF(COUNTBLANK(AI103:AL103)=4,"",SUM(AI103:AK103)+IF(Setup!$I$15="No",0,AL103))</f>
        <v/>
      </c>
      <c r="AN103" s="194"/>
      <c r="AO103" s="194"/>
      <c r="AP103" s="194"/>
      <c r="AQ103" s="194"/>
      <c r="AR103" s="257" t="str">
        <f>IF(COUNTBLANK(AN103:AQ103)=4,"",SUM(AN103:AP103)+IF(Setup!$I$15="No",0,AQ103))</f>
        <v/>
      </c>
      <c r="AS103" s="194"/>
      <c r="AT103" s="194"/>
      <c r="AU103" s="194"/>
      <c r="AV103" s="194"/>
      <c r="AW103" s="257" t="str">
        <f>IF(COUNTBLANK(AS103:AV103)=4,"",SUM(AS103:AU103)+IF(Setup!$I$15="No",0,AV103))</f>
        <v/>
      </c>
      <c r="AX103" s="194"/>
      <c r="AY103" s="194"/>
      <c r="AZ103" s="194"/>
      <c r="BA103" s="194"/>
      <c r="BB103" s="257" t="str">
        <f>IF(COUNTBLANK(AX103:BA103)=4,"",SUM(AX103:AZ103)+IF(Setup!$I$15="No",0,BA103))</f>
        <v/>
      </c>
      <c r="BC103" s="261">
        <f ca="1">IF('Demand background (hide)'!A94=Num_Modalities,"",SUM(Demand!I103, Demand!N103))</f>
        <v>10</v>
      </c>
      <c r="BD103" s="261">
        <f ca="1">IF(AND(A103&lt;=MaxRows,BE103&lt;&gt;"Yes"),'Demand background (hide)'!X94+IF(Setup!$I$15="Yes",'Demand background (hide)'!AJ94,0),"")</f>
        <v>390</v>
      </c>
      <c r="BE103" s="211"/>
    </row>
    <row r="104" spans="1:57" ht="15" x14ac:dyDescent="0.25">
      <c r="A104">
        <f t="shared" ca="1" si="4"/>
        <v>92</v>
      </c>
      <c r="B104" s="266" t="str">
        <f t="shared" ca="1" si="5"/>
        <v xml:space="preserve"> </v>
      </c>
      <c r="C104" s="267">
        <f t="shared" ca="1" si="6"/>
        <v>52</v>
      </c>
      <c r="D104" s="424">
        <f t="shared" ca="1" si="7"/>
        <v>43098</v>
      </c>
      <c r="E104" s="194"/>
      <c r="F104" s="194">
        <v>1</v>
      </c>
      <c r="G104" s="195">
        <v>3</v>
      </c>
      <c r="H104" s="194"/>
      <c r="I104" s="253">
        <f>IF(COUNTBLANK(E104:H104)=4,"",SUM(E104:G104)+IF(Setup!$I$15="No",0,H104))</f>
        <v>4</v>
      </c>
      <c r="J104" s="194"/>
      <c r="K104" s="194">
        <v>1</v>
      </c>
      <c r="L104" s="194">
        <v>7</v>
      </c>
      <c r="M104" s="194"/>
      <c r="N104" s="257">
        <f>IF(COUNTBLANK(J104:M104)=4,"",SUM(J104:L104)+IF(Setup!$I$15="No",0,M104))</f>
        <v>8</v>
      </c>
      <c r="O104" s="194"/>
      <c r="P104" s="194"/>
      <c r="Q104" s="194"/>
      <c r="R104" s="194"/>
      <c r="S104" s="257" t="str">
        <f>IF(COUNTBLANK(O104:R104)=4,"",SUM(O104:Q104)+IF(Setup!$I$15="No",0,R104))</f>
        <v/>
      </c>
      <c r="T104" s="194"/>
      <c r="U104" s="194"/>
      <c r="V104" s="194"/>
      <c r="W104" s="194"/>
      <c r="X104" s="257" t="str">
        <f>IF(COUNTBLANK(T104:W104)=4,"",SUM(T104:V104)+IF(Setup!$I$15="No",0,W104))</f>
        <v/>
      </c>
      <c r="Y104" s="194"/>
      <c r="Z104" s="194"/>
      <c r="AA104" s="194"/>
      <c r="AB104" s="194"/>
      <c r="AC104" s="257" t="str">
        <f>IF(COUNTBLANK(Y104:AB104)=4,"",SUM(Y104:AA104)+IF(Setup!$I$15="No",0,AB104))</f>
        <v/>
      </c>
      <c r="AD104" s="194"/>
      <c r="AE104" s="194"/>
      <c r="AF104" s="194"/>
      <c r="AG104" s="194"/>
      <c r="AH104" s="257" t="str">
        <f>IF(COUNTBLANK(AD104:AG104)=4,"",SUM(AD104:AF104)+IF(Setup!$I$15="No",0,AG104))</f>
        <v/>
      </c>
      <c r="AI104" s="194"/>
      <c r="AJ104" s="194"/>
      <c r="AK104" s="194"/>
      <c r="AL104" s="194"/>
      <c r="AM104" s="257" t="str">
        <f>IF(COUNTBLANK(AI104:AL104)=4,"",SUM(AI104:AK104)+IF(Setup!$I$15="No",0,AL104))</f>
        <v/>
      </c>
      <c r="AN104" s="194"/>
      <c r="AO104" s="194"/>
      <c r="AP104" s="194"/>
      <c r="AQ104" s="194"/>
      <c r="AR104" s="257" t="str">
        <f>IF(COUNTBLANK(AN104:AQ104)=4,"",SUM(AN104:AP104)+IF(Setup!$I$15="No",0,AQ104))</f>
        <v/>
      </c>
      <c r="AS104" s="194"/>
      <c r="AT104" s="194"/>
      <c r="AU104" s="194"/>
      <c r="AV104" s="194"/>
      <c r="AW104" s="257" t="str">
        <f>IF(COUNTBLANK(AS104:AV104)=4,"",SUM(AS104:AU104)+IF(Setup!$I$15="No",0,AV104))</f>
        <v/>
      </c>
      <c r="AX104" s="194"/>
      <c r="AY104" s="194"/>
      <c r="AZ104" s="194"/>
      <c r="BA104" s="194"/>
      <c r="BB104" s="257" t="str">
        <f>IF(COUNTBLANK(AX104:BA104)=4,"",SUM(AX104:AZ104)+IF(Setup!$I$15="No",0,BA104))</f>
        <v/>
      </c>
      <c r="BC104" s="261">
        <f ca="1">IF('Demand background (hide)'!A95=Num_Modalities,"",SUM(Demand!I104, Demand!N104))</f>
        <v>12</v>
      </c>
      <c r="BD104" s="261">
        <f ca="1">IF(AND(A104&lt;=MaxRows,BE104&lt;&gt;"Yes"),'Demand background (hide)'!X95+IF(Setup!$I$15="Yes",'Demand background (hide)'!AJ95,0),"")</f>
        <v>440</v>
      </c>
      <c r="BE104" s="211"/>
    </row>
    <row r="105" spans="1:57" ht="15" x14ac:dyDescent="0.25">
      <c r="A105">
        <f t="shared" ca="1" si="4"/>
        <v>93</v>
      </c>
      <c r="B105" s="266">
        <f t="shared" ca="1" si="5"/>
        <v>2018</v>
      </c>
      <c r="C105" s="267">
        <f t="shared" ca="1" si="6"/>
        <v>1</v>
      </c>
      <c r="D105" s="424">
        <f t="shared" ca="1" si="7"/>
        <v>43105</v>
      </c>
      <c r="E105" s="194"/>
      <c r="F105" s="194">
        <v>0</v>
      </c>
      <c r="G105" s="195">
        <v>6</v>
      </c>
      <c r="H105" s="194"/>
      <c r="I105" s="253">
        <f>IF(COUNTBLANK(E105:H105)=4,"",SUM(E105:G105)+IF(Setup!$I$15="No",0,H105))</f>
        <v>6</v>
      </c>
      <c r="J105" s="194"/>
      <c r="K105" s="194">
        <v>1</v>
      </c>
      <c r="L105" s="194">
        <v>12</v>
      </c>
      <c r="M105" s="194"/>
      <c r="N105" s="257">
        <f>IF(COUNTBLANK(J105:M105)=4,"",SUM(J105:L105)+IF(Setup!$I$15="No",0,M105))</f>
        <v>13</v>
      </c>
      <c r="O105" s="194"/>
      <c r="P105" s="194"/>
      <c r="Q105" s="194"/>
      <c r="R105" s="194"/>
      <c r="S105" s="257" t="str">
        <f>IF(COUNTBLANK(O105:R105)=4,"",SUM(O105:Q105)+IF(Setup!$I$15="No",0,R105))</f>
        <v/>
      </c>
      <c r="T105" s="194"/>
      <c r="U105" s="194"/>
      <c r="V105" s="194"/>
      <c r="W105" s="194"/>
      <c r="X105" s="257" t="str">
        <f>IF(COUNTBLANK(T105:W105)=4,"",SUM(T105:V105)+IF(Setup!$I$15="No",0,W105))</f>
        <v/>
      </c>
      <c r="Y105" s="194"/>
      <c r="Z105" s="194"/>
      <c r="AA105" s="194"/>
      <c r="AB105" s="194"/>
      <c r="AC105" s="257" t="str">
        <f>IF(COUNTBLANK(Y105:AB105)=4,"",SUM(Y105:AA105)+IF(Setup!$I$15="No",0,AB105))</f>
        <v/>
      </c>
      <c r="AD105" s="194"/>
      <c r="AE105" s="194"/>
      <c r="AF105" s="194"/>
      <c r="AG105" s="194"/>
      <c r="AH105" s="257" t="str">
        <f>IF(COUNTBLANK(AD105:AG105)=4,"",SUM(AD105:AF105)+IF(Setup!$I$15="No",0,AG105))</f>
        <v/>
      </c>
      <c r="AI105" s="194"/>
      <c r="AJ105" s="194"/>
      <c r="AK105" s="194"/>
      <c r="AL105" s="194"/>
      <c r="AM105" s="257" t="str">
        <f>IF(COUNTBLANK(AI105:AL105)=4,"",SUM(AI105:AK105)+IF(Setup!$I$15="No",0,AL105))</f>
        <v/>
      </c>
      <c r="AN105" s="194"/>
      <c r="AO105" s="194"/>
      <c r="AP105" s="194"/>
      <c r="AQ105" s="194"/>
      <c r="AR105" s="257" t="str">
        <f>IF(COUNTBLANK(AN105:AQ105)=4,"",SUM(AN105:AP105)+IF(Setup!$I$15="No",0,AQ105))</f>
        <v/>
      </c>
      <c r="AS105" s="194"/>
      <c r="AT105" s="194"/>
      <c r="AU105" s="194"/>
      <c r="AV105" s="194"/>
      <c r="AW105" s="257" t="str">
        <f>IF(COUNTBLANK(AS105:AV105)=4,"",SUM(AS105:AU105)+IF(Setup!$I$15="No",0,AV105))</f>
        <v/>
      </c>
      <c r="AX105" s="194"/>
      <c r="AY105" s="194"/>
      <c r="AZ105" s="194"/>
      <c r="BA105" s="194"/>
      <c r="BB105" s="257" t="str">
        <f>IF(COUNTBLANK(AX105:BA105)=4,"",SUM(AX105:AZ105)+IF(Setup!$I$15="No",0,BA105))</f>
        <v/>
      </c>
      <c r="BC105" s="261">
        <f ca="1">IF('Demand background (hide)'!A96=Num_Modalities,"",SUM(Demand!I105, Demand!N105))</f>
        <v>19</v>
      </c>
      <c r="BD105" s="261">
        <f ca="1">IF(AND(A105&lt;=MaxRows,BE105&lt;&gt;"Yes"),'Demand background (hide)'!X96+IF(Setup!$I$15="Yes",'Demand background (hide)'!AJ96,0),"")</f>
        <v>700</v>
      </c>
      <c r="BE105" s="211"/>
    </row>
    <row r="106" spans="1:57" ht="15" x14ac:dyDescent="0.25">
      <c r="A106">
        <f t="shared" ca="1" si="4"/>
        <v>94</v>
      </c>
      <c r="B106" s="266" t="str">
        <f t="shared" ca="1" si="5"/>
        <v xml:space="preserve"> </v>
      </c>
      <c r="C106" s="267">
        <f t="shared" ca="1" si="6"/>
        <v>2</v>
      </c>
      <c r="D106" s="424">
        <f t="shared" ca="1" si="7"/>
        <v>43112</v>
      </c>
      <c r="E106" s="194"/>
      <c r="F106" s="194">
        <v>0</v>
      </c>
      <c r="G106" s="195">
        <v>3</v>
      </c>
      <c r="H106" s="194"/>
      <c r="I106" s="253">
        <f>IF(COUNTBLANK(E106:H106)=4,"",SUM(E106:G106)+IF(Setup!$I$15="No",0,H106))</f>
        <v>3</v>
      </c>
      <c r="J106" s="194"/>
      <c r="K106" s="194">
        <v>2</v>
      </c>
      <c r="L106" s="194">
        <v>10</v>
      </c>
      <c r="M106" s="194"/>
      <c r="N106" s="257">
        <f>IF(COUNTBLANK(J106:M106)=4,"",SUM(J106:L106)+IF(Setup!$I$15="No",0,M106))</f>
        <v>12</v>
      </c>
      <c r="O106" s="194"/>
      <c r="P106" s="194"/>
      <c r="Q106" s="194"/>
      <c r="R106" s="194"/>
      <c r="S106" s="257" t="str">
        <f>IF(COUNTBLANK(O106:R106)=4,"",SUM(O106:Q106)+IF(Setup!$I$15="No",0,R106))</f>
        <v/>
      </c>
      <c r="T106" s="194"/>
      <c r="U106" s="194"/>
      <c r="V106" s="194"/>
      <c r="W106" s="194"/>
      <c r="X106" s="257" t="str">
        <f>IF(COUNTBLANK(T106:W106)=4,"",SUM(T106:V106)+IF(Setup!$I$15="No",0,W106))</f>
        <v/>
      </c>
      <c r="Y106" s="194"/>
      <c r="Z106" s="194"/>
      <c r="AA106" s="194"/>
      <c r="AB106" s="194"/>
      <c r="AC106" s="257" t="str">
        <f>IF(COUNTBLANK(Y106:AB106)=4,"",SUM(Y106:AA106)+IF(Setup!$I$15="No",0,AB106))</f>
        <v/>
      </c>
      <c r="AD106" s="194"/>
      <c r="AE106" s="194"/>
      <c r="AF106" s="194"/>
      <c r="AG106" s="194"/>
      <c r="AH106" s="257" t="str">
        <f>IF(COUNTBLANK(AD106:AG106)=4,"",SUM(AD106:AF106)+IF(Setup!$I$15="No",0,AG106))</f>
        <v/>
      </c>
      <c r="AI106" s="194"/>
      <c r="AJ106" s="194"/>
      <c r="AK106" s="194"/>
      <c r="AL106" s="194"/>
      <c r="AM106" s="257" t="str">
        <f>IF(COUNTBLANK(AI106:AL106)=4,"",SUM(AI106:AK106)+IF(Setup!$I$15="No",0,AL106))</f>
        <v/>
      </c>
      <c r="AN106" s="194"/>
      <c r="AO106" s="194"/>
      <c r="AP106" s="194"/>
      <c r="AQ106" s="194"/>
      <c r="AR106" s="257" t="str">
        <f>IF(COUNTBLANK(AN106:AQ106)=4,"",SUM(AN106:AP106)+IF(Setup!$I$15="No",0,AQ106))</f>
        <v/>
      </c>
      <c r="AS106" s="194"/>
      <c r="AT106" s="194"/>
      <c r="AU106" s="194"/>
      <c r="AV106" s="194"/>
      <c r="AW106" s="257" t="str">
        <f>IF(COUNTBLANK(AS106:AV106)=4,"",SUM(AS106:AU106)+IF(Setup!$I$15="No",0,AV106))</f>
        <v/>
      </c>
      <c r="AX106" s="194"/>
      <c r="AY106" s="194"/>
      <c r="AZ106" s="194"/>
      <c r="BA106" s="194"/>
      <c r="BB106" s="257" t="str">
        <f>IF(COUNTBLANK(AX106:BA106)=4,"",SUM(AX106:AZ106)+IF(Setup!$I$15="No",0,BA106))</f>
        <v/>
      </c>
      <c r="BC106" s="261">
        <f ca="1">IF('Demand background (hide)'!A97=Num_Modalities,"",SUM(Demand!I106, Demand!N106))</f>
        <v>15</v>
      </c>
      <c r="BD106" s="261">
        <f ca="1">IF(AND(A106&lt;=MaxRows,BE106&lt;&gt;"Yes"),'Demand background (hide)'!X97+IF(Setup!$I$15="Yes",'Demand background (hide)'!AJ97,0),"")</f>
        <v>570</v>
      </c>
      <c r="BE106" s="211"/>
    </row>
    <row r="107" spans="1:57" ht="15" x14ac:dyDescent="0.25">
      <c r="A107">
        <f t="shared" ca="1" si="4"/>
        <v>95</v>
      </c>
      <c r="B107" s="266" t="str">
        <f t="shared" ca="1" si="5"/>
        <v xml:space="preserve"> </v>
      </c>
      <c r="C107" s="267">
        <f t="shared" ca="1" si="6"/>
        <v>3</v>
      </c>
      <c r="D107" s="424">
        <f t="shared" ca="1" si="7"/>
        <v>43119</v>
      </c>
      <c r="E107" s="194"/>
      <c r="F107" s="194">
        <v>1</v>
      </c>
      <c r="G107" s="195">
        <v>7</v>
      </c>
      <c r="H107" s="194"/>
      <c r="I107" s="253">
        <f>IF(COUNTBLANK(E107:H107)=4,"",SUM(E107:G107)+IF(Setup!$I$15="No",0,H107))</f>
        <v>8</v>
      </c>
      <c r="J107" s="194"/>
      <c r="K107" s="194">
        <v>1</v>
      </c>
      <c r="L107" s="194">
        <v>6</v>
      </c>
      <c r="M107" s="194"/>
      <c r="N107" s="257">
        <f>IF(COUNTBLANK(J107:M107)=4,"",SUM(J107:L107)+IF(Setup!$I$15="No",0,M107))</f>
        <v>7</v>
      </c>
      <c r="O107" s="194"/>
      <c r="P107" s="194"/>
      <c r="Q107" s="194"/>
      <c r="R107" s="194"/>
      <c r="S107" s="257" t="str">
        <f>IF(COUNTBLANK(O107:R107)=4,"",SUM(O107:Q107)+IF(Setup!$I$15="No",0,R107))</f>
        <v/>
      </c>
      <c r="T107" s="194"/>
      <c r="U107" s="194"/>
      <c r="V107" s="194"/>
      <c r="W107" s="194"/>
      <c r="X107" s="257" t="str">
        <f>IF(COUNTBLANK(T107:W107)=4,"",SUM(T107:V107)+IF(Setup!$I$15="No",0,W107))</f>
        <v/>
      </c>
      <c r="Y107" s="194"/>
      <c r="Z107" s="194"/>
      <c r="AA107" s="194"/>
      <c r="AB107" s="194"/>
      <c r="AC107" s="257" t="str">
        <f>IF(COUNTBLANK(Y107:AB107)=4,"",SUM(Y107:AA107)+IF(Setup!$I$15="No",0,AB107))</f>
        <v/>
      </c>
      <c r="AD107" s="194"/>
      <c r="AE107" s="194"/>
      <c r="AF107" s="194"/>
      <c r="AG107" s="194"/>
      <c r="AH107" s="257" t="str">
        <f>IF(COUNTBLANK(AD107:AG107)=4,"",SUM(AD107:AF107)+IF(Setup!$I$15="No",0,AG107))</f>
        <v/>
      </c>
      <c r="AI107" s="194"/>
      <c r="AJ107" s="194"/>
      <c r="AK107" s="194"/>
      <c r="AL107" s="194"/>
      <c r="AM107" s="257" t="str">
        <f>IF(COUNTBLANK(AI107:AL107)=4,"",SUM(AI107:AK107)+IF(Setup!$I$15="No",0,AL107))</f>
        <v/>
      </c>
      <c r="AN107" s="194"/>
      <c r="AO107" s="194"/>
      <c r="AP107" s="194"/>
      <c r="AQ107" s="194"/>
      <c r="AR107" s="257" t="str">
        <f>IF(COUNTBLANK(AN107:AQ107)=4,"",SUM(AN107:AP107)+IF(Setup!$I$15="No",0,AQ107))</f>
        <v/>
      </c>
      <c r="AS107" s="194"/>
      <c r="AT107" s="194"/>
      <c r="AU107" s="194"/>
      <c r="AV107" s="194"/>
      <c r="AW107" s="257" t="str">
        <f>IF(COUNTBLANK(AS107:AV107)=4,"",SUM(AS107:AU107)+IF(Setup!$I$15="No",0,AV107))</f>
        <v/>
      </c>
      <c r="AX107" s="194"/>
      <c r="AY107" s="194"/>
      <c r="AZ107" s="194"/>
      <c r="BA107" s="194"/>
      <c r="BB107" s="257" t="str">
        <f>IF(COUNTBLANK(AX107:BA107)=4,"",SUM(AX107:AZ107)+IF(Setup!$I$15="No",0,BA107))</f>
        <v/>
      </c>
      <c r="BC107" s="261">
        <f ca="1">IF('Demand background (hide)'!A98=Num_Modalities,"",SUM(Demand!I107, Demand!N107))</f>
        <v>15</v>
      </c>
      <c r="BD107" s="261">
        <f ca="1">IF(AND(A107&lt;=MaxRows,BE107&lt;&gt;"Yes"),'Demand background (hide)'!X98+IF(Setup!$I$15="Yes",'Demand background (hide)'!AJ98,0),"")</f>
        <v>520</v>
      </c>
      <c r="BE107" s="211"/>
    </row>
    <row r="108" spans="1:57" ht="15" x14ac:dyDescent="0.25">
      <c r="A108">
        <f t="shared" ca="1" si="4"/>
        <v>96</v>
      </c>
      <c r="B108" s="266" t="str">
        <f t="shared" ca="1" si="5"/>
        <v xml:space="preserve"> </v>
      </c>
      <c r="C108" s="267">
        <f t="shared" ca="1" si="6"/>
        <v>4</v>
      </c>
      <c r="D108" s="424">
        <f t="shared" ca="1" si="7"/>
        <v>43126</v>
      </c>
      <c r="E108" s="194"/>
      <c r="F108" s="194">
        <v>0</v>
      </c>
      <c r="G108" s="195">
        <v>5</v>
      </c>
      <c r="H108" s="194"/>
      <c r="I108" s="253">
        <f>IF(COUNTBLANK(E108:H108)=4,"",SUM(E108:G108)+IF(Setup!$I$15="No",0,H108))</f>
        <v>5</v>
      </c>
      <c r="J108" s="194"/>
      <c r="K108" s="194">
        <v>1</v>
      </c>
      <c r="L108" s="194">
        <v>11</v>
      </c>
      <c r="M108" s="194"/>
      <c r="N108" s="257">
        <f>IF(COUNTBLANK(J108:M108)=4,"",SUM(J108:L108)+IF(Setup!$I$15="No",0,M108))</f>
        <v>12</v>
      </c>
      <c r="O108" s="194"/>
      <c r="P108" s="194"/>
      <c r="Q108" s="194"/>
      <c r="R108" s="194"/>
      <c r="S108" s="257" t="str">
        <f>IF(COUNTBLANK(O108:R108)=4,"",SUM(O108:Q108)+IF(Setup!$I$15="No",0,R108))</f>
        <v/>
      </c>
      <c r="T108" s="194"/>
      <c r="U108" s="194"/>
      <c r="V108" s="194"/>
      <c r="W108" s="194"/>
      <c r="X108" s="257" t="str">
        <f>IF(COUNTBLANK(T108:W108)=4,"",SUM(T108:V108)+IF(Setup!$I$15="No",0,W108))</f>
        <v/>
      </c>
      <c r="Y108" s="194"/>
      <c r="Z108" s="194"/>
      <c r="AA108" s="194"/>
      <c r="AB108" s="194"/>
      <c r="AC108" s="257" t="str">
        <f>IF(COUNTBLANK(Y108:AB108)=4,"",SUM(Y108:AA108)+IF(Setup!$I$15="No",0,AB108))</f>
        <v/>
      </c>
      <c r="AD108" s="194"/>
      <c r="AE108" s="194"/>
      <c r="AF108" s="194"/>
      <c r="AG108" s="194"/>
      <c r="AH108" s="257" t="str">
        <f>IF(COUNTBLANK(AD108:AG108)=4,"",SUM(AD108:AF108)+IF(Setup!$I$15="No",0,AG108))</f>
        <v/>
      </c>
      <c r="AI108" s="194"/>
      <c r="AJ108" s="194"/>
      <c r="AK108" s="194"/>
      <c r="AL108" s="194"/>
      <c r="AM108" s="257" t="str">
        <f>IF(COUNTBLANK(AI108:AL108)=4,"",SUM(AI108:AK108)+IF(Setup!$I$15="No",0,AL108))</f>
        <v/>
      </c>
      <c r="AN108" s="194"/>
      <c r="AO108" s="194"/>
      <c r="AP108" s="194"/>
      <c r="AQ108" s="194"/>
      <c r="AR108" s="257" t="str">
        <f>IF(COUNTBLANK(AN108:AQ108)=4,"",SUM(AN108:AP108)+IF(Setup!$I$15="No",0,AQ108))</f>
        <v/>
      </c>
      <c r="AS108" s="194"/>
      <c r="AT108" s="194"/>
      <c r="AU108" s="194"/>
      <c r="AV108" s="194"/>
      <c r="AW108" s="257" t="str">
        <f>IF(COUNTBLANK(AS108:AV108)=4,"",SUM(AS108:AU108)+IF(Setup!$I$15="No",0,AV108))</f>
        <v/>
      </c>
      <c r="AX108" s="194"/>
      <c r="AY108" s="194"/>
      <c r="AZ108" s="194"/>
      <c r="BA108" s="194"/>
      <c r="BB108" s="257" t="str">
        <f>IF(COUNTBLANK(AX108:BA108)=4,"",SUM(AX108:AZ108)+IF(Setup!$I$15="No",0,BA108))</f>
        <v/>
      </c>
      <c r="BC108" s="261">
        <f ca="1">IF('Demand background (hide)'!A99=Num_Modalities,"",SUM(Demand!I108, Demand!N108))</f>
        <v>17</v>
      </c>
      <c r="BD108" s="261">
        <f ca="1">IF(AND(A108&lt;=MaxRows,BE108&lt;&gt;"Yes"),'Demand background (hide)'!X99+IF(Setup!$I$15="Yes",'Demand background (hide)'!AJ99,0),"")</f>
        <v>630</v>
      </c>
      <c r="BE108" s="211"/>
    </row>
    <row r="109" spans="1:57" ht="15" x14ac:dyDescent="0.25">
      <c r="A109">
        <f t="shared" ca="1" si="4"/>
        <v>97</v>
      </c>
      <c r="B109" s="266" t="str">
        <f t="shared" ca="1" si="5"/>
        <v xml:space="preserve"> </v>
      </c>
      <c r="C109" s="267">
        <f t="shared" ca="1" si="6"/>
        <v>5</v>
      </c>
      <c r="D109" s="424">
        <f t="shared" ca="1" si="7"/>
        <v>43133</v>
      </c>
      <c r="E109" s="194"/>
      <c r="F109" s="194">
        <v>2</v>
      </c>
      <c r="G109" s="195">
        <v>3</v>
      </c>
      <c r="H109" s="194"/>
      <c r="I109" s="253">
        <f>IF(COUNTBLANK(E109:H109)=4,"",SUM(E109:G109)+IF(Setup!$I$15="No",0,H109))</f>
        <v>5</v>
      </c>
      <c r="J109" s="194"/>
      <c r="K109" s="194">
        <v>1</v>
      </c>
      <c r="L109" s="194">
        <v>9</v>
      </c>
      <c r="M109" s="194"/>
      <c r="N109" s="257">
        <f>IF(COUNTBLANK(J109:M109)=4,"",SUM(J109:L109)+IF(Setup!$I$15="No",0,M109))</f>
        <v>10</v>
      </c>
      <c r="O109" s="194"/>
      <c r="P109" s="194"/>
      <c r="Q109" s="194"/>
      <c r="R109" s="194"/>
      <c r="S109" s="257" t="str">
        <f>IF(COUNTBLANK(O109:R109)=4,"",SUM(O109:Q109)+IF(Setup!$I$15="No",0,R109))</f>
        <v/>
      </c>
      <c r="T109" s="194"/>
      <c r="U109" s="194"/>
      <c r="V109" s="194"/>
      <c r="W109" s="194"/>
      <c r="X109" s="257" t="str">
        <f>IF(COUNTBLANK(T109:W109)=4,"",SUM(T109:V109)+IF(Setup!$I$15="No",0,W109))</f>
        <v/>
      </c>
      <c r="Y109" s="194"/>
      <c r="Z109" s="194"/>
      <c r="AA109" s="194"/>
      <c r="AB109" s="194"/>
      <c r="AC109" s="257" t="str">
        <f>IF(COUNTBLANK(Y109:AB109)=4,"",SUM(Y109:AA109)+IF(Setup!$I$15="No",0,AB109))</f>
        <v/>
      </c>
      <c r="AD109" s="194"/>
      <c r="AE109" s="194"/>
      <c r="AF109" s="194"/>
      <c r="AG109" s="194"/>
      <c r="AH109" s="257" t="str">
        <f>IF(COUNTBLANK(AD109:AG109)=4,"",SUM(AD109:AF109)+IF(Setup!$I$15="No",0,AG109))</f>
        <v/>
      </c>
      <c r="AI109" s="194"/>
      <c r="AJ109" s="194"/>
      <c r="AK109" s="194"/>
      <c r="AL109" s="194"/>
      <c r="AM109" s="257" t="str">
        <f>IF(COUNTBLANK(AI109:AL109)=4,"",SUM(AI109:AK109)+IF(Setup!$I$15="No",0,AL109))</f>
        <v/>
      </c>
      <c r="AN109" s="194"/>
      <c r="AO109" s="194"/>
      <c r="AP109" s="194"/>
      <c r="AQ109" s="194"/>
      <c r="AR109" s="257" t="str">
        <f>IF(COUNTBLANK(AN109:AQ109)=4,"",SUM(AN109:AP109)+IF(Setup!$I$15="No",0,AQ109))</f>
        <v/>
      </c>
      <c r="AS109" s="194"/>
      <c r="AT109" s="194"/>
      <c r="AU109" s="194"/>
      <c r="AV109" s="194"/>
      <c r="AW109" s="257" t="str">
        <f>IF(COUNTBLANK(AS109:AV109)=4,"",SUM(AS109:AU109)+IF(Setup!$I$15="No",0,AV109))</f>
        <v/>
      </c>
      <c r="AX109" s="194"/>
      <c r="AY109" s="194"/>
      <c r="AZ109" s="194"/>
      <c r="BA109" s="194"/>
      <c r="BB109" s="257" t="str">
        <f>IF(COUNTBLANK(AX109:BA109)=4,"",SUM(AX109:AZ109)+IF(Setup!$I$15="No",0,BA109))</f>
        <v/>
      </c>
      <c r="BC109" s="261">
        <f ca="1">IF('Demand background (hide)'!A100=Num_Modalities,"",SUM(Demand!I109, Demand!N109))</f>
        <v>15</v>
      </c>
      <c r="BD109" s="261">
        <f ca="1">IF(AND(A109&lt;=MaxRows,BE109&lt;&gt;"Yes"),'Demand background (hide)'!X100+IF(Setup!$I$15="Yes",'Demand background (hide)'!AJ100,0),"")</f>
        <v>550</v>
      </c>
      <c r="BE109" s="211"/>
    </row>
    <row r="110" spans="1:57" ht="15" x14ac:dyDescent="0.25">
      <c r="A110">
        <f t="shared" ca="1" si="4"/>
        <v>98</v>
      </c>
      <c r="B110" s="266" t="str">
        <f t="shared" ca="1" si="5"/>
        <v xml:space="preserve"> </v>
      </c>
      <c r="C110" s="267">
        <f t="shared" ca="1" si="6"/>
        <v>6</v>
      </c>
      <c r="D110" s="424">
        <f t="shared" ca="1" si="7"/>
        <v>43140</v>
      </c>
      <c r="E110" s="194"/>
      <c r="F110" s="194">
        <v>1</v>
      </c>
      <c r="G110" s="195">
        <v>4</v>
      </c>
      <c r="H110" s="194"/>
      <c r="I110" s="253">
        <f>IF(COUNTBLANK(E110:H110)=4,"",SUM(E110:G110)+IF(Setup!$I$15="No",0,H110))</f>
        <v>5</v>
      </c>
      <c r="J110" s="194"/>
      <c r="K110" s="194">
        <v>1</v>
      </c>
      <c r="L110" s="194">
        <v>4</v>
      </c>
      <c r="M110" s="194"/>
      <c r="N110" s="257">
        <f>IF(COUNTBLANK(J110:M110)=4,"",SUM(J110:L110)+IF(Setup!$I$15="No",0,M110))</f>
        <v>5</v>
      </c>
      <c r="O110" s="194"/>
      <c r="P110" s="194"/>
      <c r="Q110" s="194"/>
      <c r="R110" s="194"/>
      <c r="S110" s="257" t="str">
        <f>IF(COUNTBLANK(O110:R110)=4,"",SUM(O110:Q110)+IF(Setup!$I$15="No",0,R110))</f>
        <v/>
      </c>
      <c r="T110" s="194"/>
      <c r="U110" s="194"/>
      <c r="V110" s="194"/>
      <c r="W110" s="194"/>
      <c r="X110" s="257" t="str">
        <f>IF(COUNTBLANK(T110:W110)=4,"",SUM(T110:V110)+IF(Setup!$I$15="No",0,W110))</f>
        <v/>
      </c>
      <c r="Y110" s="194"/>
      <c r="Z110" s="194"/>
      <c r="AA110" s="194"/>
      <c r="AB110" s="194"/>
      <c r="AC110" s="257" t="str">
        <f>IF(COUNTBLANK(Y110:AB110)=4,"",SUM(Y110:AA110)+IF(Setup!$I$15="No",0,AB110))</f>
        <v/>
      </c>
      <c r="AD110" s="194"/>
      <c r="AE110" s="194"/>
      <c r="AF110" s="194"/>
      <c r="AG110" s="194"/>
      <c r="AH110" s="257" t="str">
        <f>IF(COUNTBLANK(AD110:AG110)=4,"",SUM(AD110:AF110)+IF(Setup!$I$15="No",0,AG110))</f>
        <v/>
      </c>
      <c r="AI110" s="194"/>
      <c r="AJ110" s="194"/>
      <c r="AK110" s="194"/>
      <c r="AL110" s="194"/>
      <c r="AM110" s="257" t="str">
        <f>IF(COUNTBLANK(AI110:AL110)=4,"",SUM(AI110:AK110)+IF(Setup!$I$15="No",0,AL110))</f>
        <v/>
      </c>
      <c r="AN110" s="194"/>
      <c r="AO110" s="194"/>
      <c r="AP110" s="194"/>
      <c r="AQ110" s="194"/>
      <c r="AR110" s="257" t="str">
        <f>IF(COUNTBLANK(AN110:AQ110)=4,"",SUM(AN110:AP110)+IF(Setup!$I$15="No",0,AQ110))</f>
        <v/>
      </c>
      <c r="AS110" s="194"/>
      <c r="AT110" s="194"/>
      <c r="AU110" s="194"/>
      <c r="AV110" s="194"/>
      <c r="AW110" s="257" t="str">
        <f>IF(COUNTBLANK(AS110:AV110)=4,"",SUM(AS110:AU110)+IF(Setup!$I$15="No",0,AV110))</f>
        <v/>
      </c>
      <c r="AX110" s="194"/>
      <c r="AY110" s="194"/>
      <c r="AZ110" s="194"/>
      <c r="BA110" s="194"/>
      <c r="BB110" s="257" t="str">
        <f>IF(COUNTBLANK(AX110:BA110)=4,"",SUM(AX110:AZ110)+IF(Setup!$I$15="No",0,BA110))</f>
        <v/>
      </c>
      <c r="BC110" s="261">
        <f ca="1">IF('Demand background (hide)'!A101=Num_Modalities,"",SUM(Demand!I110, Demand!N110))</f>
        <v>10</v>
      </c>
      <c r="BD110" s="261">
        <f ca="1">IF(AND(A110&lt;=MaxRows,BE110&lt;&gt;"Yes"),'Demand background (hide)'!X101+IF(Setup!$I$15="Yes",'Demand background (hide)'!AJ101,0),"")</f>
        <v>350</v>
      </c>
      <c r="BE110" s="211"/>
    </row>
    <row r="111" spans="1:57" ht="15" x14ac:dyDescent="0.25">
      <c r="A111">
        <f t="shared" ca="1" si="4"/>
        <v>99</v>
      </c>
      <c r="B111" s="266" t="str">
        <f t="shared" ca="1" si="5"/>
        <v xml:space="preserve"> </v>
      </c>
      <c r="C111" s="267">
        <f t="shared" ca="1" si="6"/>
        <v>7</v>
      </c>
      <c r="D111" s="424">
        <f t="shared" ca="1" si="7"/>
        <v>43147</v>
      </c>
      <c r="E111" s="194"/>
      <c r="F111" s="194">
        <v>0</v>
      </c>
      <c r="G111" s="195">
        <v>3</v>
      </c>
      <c r="H111" s="194"/>
      <c r="I111" s="253">
        <f>IF(COUNTBLANK(E111:H111)=4,"",SUM(E111:G111)+IF(Setup!$I$15="No",0,H111))</f>
        <v>3</v>
      </c>
      <c r="J111" s="194"/>
      <c r="K111" s="194">
        <v>4</v>
      </c>
      <c r="L111" s="194">
        <v>4</v>
      </c>
      <c r="M111" s="194"/>
      <c r="N111" s="257">
        <f>IF(COUNTBLANK(J111:M111)=4,"",SUM(J111:L111)+IF(Setup!$I$15="No",0,M111))</f>
        <v>8</v>
      </c>
      <c r="O111" s="194"/>
      <c r="P111" s="194"/>
      <c r="Q111" s="194"/>
      <c r="R111" s="194"/>
      <c r="S111" s="257" t="str">
        <f>IF(COUNTBLANK(O111:R111)=4,"",SUM(O111:Q111)+IF(Setup!$I$15="No",0,R111))</f>
        <v/>
      </c>
      <c r="T111" s="194"/>
      <c r="U111" s="194"/>
      <c r="V111" s="194"/>
      <c r="W111" s="194"/>
      <c r="X111" s="257" t="str">
        <f>IF(COUNTBLANK(T111:W111)=4,"",SUM(T111:V111)+IF(Setup!$I$15="No",0,W111))</f>
        <v/>
      </c>
      <c r="Y111" s="194"/>
      <c r="Z111" s="194"/>
      <c r="AA111" s="194"/>
      <c r="AB111" s="194"/>
      <c r="AC111" s="257" t="str">
        <f>IF(COUNTBLANK(Y111:AB111)=4,"",SUM(Y111:AA111)+IF(Setup!$I$15="No",0,AB111))</f>
        <v/>
      </c>
      <c r="AD111" s="194"/>
      <c r="AE111" s="194"/>
      <c r="AF111" s="194"/>
      <c r="AG111" s="194"/>
      <c r="AH111" s="257" t="str">
        <f>IF(COUNTBLANK(AD111:AG111)=4,"",SUM(AD111:AF111)+IF(Setup!$I$15="No",0,AG111))</f>
        <v/>
      </c>
      <c r="AI111" s="194"/>
      <c r="AJ111" s="194"/>
      <c r="AK111" s="194"/>
      <c r="AL111" s="194"/>
      <c r="AM111" s="257" t="str">
        <f>IF(COUNTBLANK(AI111:AL111)=4,"",SUM(AI111:AK111)+IF(Setup!$I$15="No",0,AL111))</f>
        <v/>
      </c>
      <c r="AN111" s="194"/>
      <c r="AO111" s="194"/>
      <c r="AP111" s="194"/>
      <c r="AQ111" s="194"/>
      <c r="AR111" s="257" t="str">
        <f>IF(COUNTBLANK(AN111:AQ111)=4,"",SUM(AN111:AP111)+IF(Setup!$I$15="No",0,AQ111))</f>
        <v/>
      </c>
      <c r="AS111" s="194"/>
      <c r="AT111" s="194"/>
      <c r="AU111" s="194"/>
      <c r="AV111" s="194"/>
      <c r="AW111" s="257" t="str">
        <f>IF(COUNTBLANK(AS111:AV111)=4,"",SUM(AS111:AU111)+IF(Setup!$I$15="No",0,AV111))</f>
        <v/>
      </c>
      <c r="AX111" s="194"/>
      <c r="AY111" s="194"/>
      <c r="AZ111" s="194"/>
      <c r="BA111" s="194"/>
      <c r="BB111" s="257" t="str">
        <f>IF(COUNTBLANK(AX111:BA111)=4,"",SUM(AX111:AZ111)+IF(Setup!$I$15="No",0,BA111))</f>
        <v/>
      </c>
      <c r="BC111" s="261">
        <f ca="1">IF('Demand background (hide)'!A102=Num_Modalities,"",SUM(Demand!I111, Demand!N111))</f>
        <v>11</v>
      </c>
      <c r="BD111" s="261">
        <f ca="1">IF(AND(A111&lt;=MaxRows,BE111&lt;&gt;"Yes"),'Demand background (hide)'!X102+IF(Setup!$I$15="Yes",'Demand background (hide)'!AJ102,0),"")</f>
        <v>410</v>
      </c>
      <c r="BE111" s="211"/>
    </row>
    <row r="112" spans="1:57" ht="15" x14ac:dyDescent="0.25">
      <c r="A112">
        <f t="shared" ca="1" si="4"/>
        <v>100</v>
      </c>
      <c r="B112" s="266" t="str">
        <f t="shared" ca="1" si="5"/>
        <v xml:space="preserve"> </v>
      </c>
      <c r="C112" s="267">
        <f t="shared" ca="1" si="6"/>
        <v>8</v>
      </c>
      <c r="D112" s="424">
        <f t="shared" ca="1" si="7"/>
        <v>43154</v>
      </c>
      <c r="E112" s="194"/>
      <c r="F112" s="194">
        <v>0</v>
      </c>
      <c r="G112" s="195">
        <v>3</v>
      </c>
      <c r="H112" s="194"/>
      <c r="I112" s="253">
        <f>IF(COUNTBLANK(E112:H112)=4,"",SUM(E112:G112)+IF(Setup!$I$15="No",0,H112))</f>
        <v>3</v>
      </c>
      <c r="J112" s="194"/>
      <c r="K112" s="194">
        <v>2</v>
      </c>
      <c r="L112" s="194">
        <v>7</v>
      </c>
      <c r="M112" s="194"/>
      <c r="N112" s="257">
        <f>IF(COUNTBLANK(J112:M112)=4,"",SUM(J112:L112)+IF(Setup!$I$15="No",0,M112))</f>
        <v>9</v>
      </c>
      <c r="O112" s="194"/>
      <c r="P112" s="194"/>
      <c r="Q112" s="194"/>
      <c r="R112" s="194"/>
      <c r="S112" s="257" t="str">
        <f>IF(COUNTBLANK(O112:R112)=4,"",SUM(O112:Q112)+IF(Setup!$I$15="No",0,R112))</f>
        <v/>
      </c>
      <c r="T112" s="194"/>
      <c r="U112" s="194"/>
      <c r="V112" s="194"/>
      <c r="W112" s="194"/>
      <c r="X112" s="257" t="str">
        <f>IF(COUNTBLANK(T112:W112)=4,"",SUM(T112:V112)+IF(Setup!$I$15="No",0,W112))</f>
        <v/>
      </c>
      <c r="Y112" s="194"/>
      <c r="Z112" s="194"/>
      <c r="AA112" s="194"/>
      <c r="AB112" s="194"/>
      <c r="AC112" s="257" t="str">
        <f>IF(COUNTBLANK(Y112:AB112)=4,"",SUM(Y112:AA112)+IF(Setup!$I$15="No",0,AB112))</f>
        <v/>
      </c>
      <c r="AD112" s="194"/>
      <c r="AE112" s="194"/>
      <c r="AF112" s="194"/>
      <c r="AG112" s="194"/>
      <c r="AH112" s="257" t="str">
        <f>IF(COUNTBLANK(AD112:AG112)=4,"",SUM(AD112:AF112)+IF(Setup!$I$15="No",0,AG112))</f>
        <v/>
      </c>
      <c r="AI112" s="194"/>
      <c r="AJ112" s="194"/>
      <c r="AK112" s="194"/>
      <c r="AL112" s="194"/>
      <c r="AM112" s="257" t="str">
        <f>IF(COUNTBLANK(AI112:AL112)=4,"",SUM(AI112:AK112)+IF(Setup!$I$15="No",0,AL112))</f>
        <v/>
      </c>
      <c r="AN112" s="194"/>
      <c r="AO112" s="194"/>
      <c r="AP112" s="194"/>
      <c r="AQ112" s="194"/>
      <c r="AR112" s="257" t="str">
        <f>IF(COUNTBLANK(AN112:AQ112)=4,"",SUM(AN112:AP112)+IF(Setup!$I$15="No",0,AQ112))</f>
        <v/>
      </c>
      <c r="AS112" s="194"/>
      <c r="AT112" s="194"/>
      <c r="AU112" s="194"/>
      <c r="AV112" s="194"/>
      <c r="AW112" s="257" t="str">
        <f>IF(COUNTBLANK(AS112:AV112)=4,"",SUM(AS112:AU112)+IF(Setup!$I$15="No",0,AV112))</f>
        <v/>
      </c>
      <c r="AX112" s="194"/>
      <c r="AY112" s="194"/>
      <c r="AZ112" s="194"/>
      <c r="BA112" s="194"/>
      <c r="BB112" s="257" t="str">
        <f>IF(COUNTBLANK(AX112:BA112)=4,"",SUM(AX112:AZ112)+IF(Setup!$I$15="No",0,BA112))</f>
        <v/>
      </c>
      <c r="BC112" s="261">
        <f ca="1">IF('Demand background (hide)'!A103=Num_Modalities,"",SUM(Demand!I112, Demand!N112))</f>
        <v>12</v>
      </c>
      <c r="BD112" s="261">
        <f ca="1">IF(AND(A112&lt;=MaxRows,BE112&lt;&gt;"Yes"),'Demand background (hide)'!X103+IF(Setup!$I$15="Yes",'Demand background (hide)'!AJ103,0),"")</f>
        <v>450</v>
      </c>
      <c r="BE112" s="211"/>
    </row>
    <row r="113" spans="1:59" ht="15" x14ac:dyDescent="0.25">
      <c r="A113">
        <f t="shared" ca="1" si="4"/>
        <v>101</v>
      </c>
      <c r="B113" s="266" t="str">
        <f t="shared" ca="1" si="5"/>
        <v xml:space="preserve"> </v>
      </c>
      <c r="C113" s="267">
        <f t="shared" ca="1" si="6"/>
        <v>9</v>
      </c>
      <c r="D113" s="424">
        <f t="shared" ca="1" si="7"/>
        <v>43161</v>
      </c>
      <c r="E113" s="194"/>
      <c r="F113" s="194">
        <v>1</v>
      </c>
      <c r="G113" s="195">
        <v>0</v>
      </c>
      <c r="H113" s="194"/>
      <c r="I113" s="253">
        <f>IF(COUNTBLANK(E113:H113)=4,"",SUM(E113:G113)+IF(Setup!$I$15="No",0,H113))</f>
        <v>1</v>
      </c>
      <c r="J113" s="194"/>
      <c r="K113" s="194">
        <v>1</v>
      </c>
      <c r="L113" s="194">
        <v>5</v>
      </c>
      <c r="M113" s="194"/>
      <c r="N113" s="257">
        <f>IF(COUNTBLANK(J113:M113)=4,"",SUM(J113:L113)+IF(Setup!$I$15="No",0,M113))</f>
        <v>6</v>
      </c>
      <c r="O113" s="194"/>
      <c r="P113" s="194"/>
      <c r="Q113" s="194"/>
      <c r="R113" s="194"/>
      <c r="S113" s="257" t="str">
        <f>IF(COUNTBLANK(O113:R113)=4,"",SUM(O113:Q113)+IF(Setup!$I$15="No",0,R113))</f>
        <v/>
      </c>
      <c r="T113" s="194"/>
      <c r="U113" s="194"/>
      <c r="V113" s="194"/>
      <c r="W113" s="194"/>
      <c r="X113" s="257" t="str">
        <f>IF(COUNTBLANK(T113:W113)=4,"",SUM(T113:V113)+IF(Setup!$I$15="No",0,W113))</f>
        <v/>
      </c>
      <c r="Y113" s="194"/>
      <c r="Z113" s="194"/>
      <c r="AA113" s="194"/>
      <c r="AB113" s="194"/>
      <c r="AC113" s="257" t="str">
        <f>IF(COUNTBLANK(Y113:AB113)=4,"",SUM(Y113:AA113)+IF(Setup!$I$15="No",0,AB113))</f>
        <v/>
      </c>
      <c r="AD113" s="194"/>
      <c r="AE113" s="194"/>
      <c r="AF113" s="194"/>
      <c r="AG113" s="194"/>
      <c r="AH113" s="257" t="str">
        <f>IF(COUNTBLANK(AD113:AG113)=4,"",SUM(AD113:AF113)+IF(Setup!$I$15="No",0,AG113))</f>
        <v/>
      </c>
      <c r="AI113" s="194"/>
      <c r="AJ113" s="194"/>
      <c r="AK113" s="194"/>
      <c r="AL113" s="194"/>
      <c r="AM113" s="257" t="str">
        <f>IF(COUNTBLANK(AI113:AL113)=4,"",SUM(AI113:AK113)+IF(Setup!$I$15="No",0,AL113))</f>
        <v/>
      </c>
      <c r="AN113" s="194"/>
      <c r="AO113" s="194"/>
      <c r="AP113" s="194"/>
      <c r="AQ113" s="194"/>
      <c r="AR113" s="257" t="str">
        <f>IF(COUNTBLANK(AN113:AQ113)=4,"",SUM(AN113:AP113)+IF(Setup!$I$15="No",0,AQ113))</f>
        <v/>
      </c>
      <c r="AS113" s="194"/>
      <c r="AT113" s="194"/>
      <c r="AU113" s="194"/>
      <c r="AV113" s="194"/>
      <c r="AW113" s="257" t="str">
        <f>IF(COUNTBLANK(AS113:AV113)=4,"",SUM(AS113:AU113)+IF(Setup!$I$15="No",0,AV113))</f>
        <v/>
      </c>
      <c r="AX113" s="194"/>
      <c r="AY113" s="194"/>
      <c r="AZ113" s="194"/>
      <c r="BA113" s="194"/>
      <c r="BB113" s="257" t="str">
        <f>IF(COUNTBLANK(AX113:BA113)=4,"",SUM(AX113:AZ113)+IF(Setup!$I$15="No",0,BA113))</f>
        <v/>
      </c>
      <c r="BC113" s="261">
        <f ca="1">IF('Demand background (hide)'!A104=Num_Modalities,"",SUM(Demand!I113, Demand!N113))</f>
        <v>7</v>
      </c>
      <c r="BD113" s="261">
        <f ca="1">IF(AND(A113&lt;=MaxRows,BE113&lt;&gt;"Yes"),'Demand background (hide)'!X104+IF(Setup!$I$15="Yes",'Demand background (hide)'!AJ104,0),"")</f>
        <v>270</v>
      </c>
      <c r="BE113" s="211"/>
    </row>
    <row r="114" spans="1:59" ht="15" x14ac:dyDescent="0.25">
      <c r="A114">
        <f t="shared" ca="1" si="4"/>
        <v>102</v>
      </c>
      <c r="B114" s="266" t="str">
        <f t="shared" ca="1" si="5"/>
        <v xml:space="preserve"> </v>
      </c>
      <c r="C114" s="267">
        <f t="shared" ca="1" si="6"/>
        <v>10</v>
      </c>
      <c r="D114" s="424">
        <f t="shared" ca="1" si="7"/>
        <v>43168</v>
      </c>
      <c r="E114" s="194"/>
      <c r="F114" s="194">
        <v>1</v>
      </c>
      <c r="G114" s="195">
        <v>1</v>
      </c>
      <c r="H114" s="194"/>
      <c r="I114" s="253">
        <f>IF(COUNTBLANK(E114:H114)=4,"",SUM(E114:G114)+IF(Setup!$I$15="No",0,H114))</f>
        <v>2</v>
      </c>
      <c r="J114" s="194"/>
      <c r="K114" s="194">
        <v>2</v>
      </c>
      <c r="L114" s="194">
        <v>16</v>
      </c>
      <c r="M114" s="194"/>
      <c r="N114" s="257">
        <f>IF(COUNTBLANK(J114:M114)=4,"",SUM(J114:L114)+IF(Setup!$I$15="No",0,M114))</f>
        <v>18</v>
      </c>
      <c r="O114" s="194"/>
      <c r="P114" s="194"/>
      <c r="Q114" s="194"/>
      <c r="R114" s="194"/>
      <c r="S114" s="257" t="str">
        <f>IF(COUNTBLANK(O114:R114)=4,"",SUM(O114:Q114)+IF(Setup!$I$15="No",0,R114))</f>
        <v/>
      </c>
      <c r="T114" s="194"/>
      <c r="U114" s="194"/>
      <c r="V114" s="194"/>
      <c r="W114" s="194"/>
      <c r="X114" s="257" t="str">
        <f>IF(COUNTBLANK(T114:W114)=4,"",SUM(T114:V114)+IF(Setup!$I$15="No",0,W114))</f>
        <v/>
      </c>
      <c r="Y114" s="194"/>
      <c r="Z114" s="194"/>
      <c r="AA114" s="194"/>
      <c r="AB114" s="194"/>
      <c r="AC114" s="257" t="str">
        <f>IF(COUNTBLANK(Y114:AB114)=4,"",SUM(Y114:AA114)+IF(Setup!$I$15="No",0,AB114))</f>
        <v/>
      </c>
      <c r="AD114" s="194"/>
      <c r="AE114" s="194"/>
      <c r="AF114" s="194"/>
      <c r="AG114" s="194"/>
      <c r="AH114" s="257" t="str">
        <f>IF(COUNTBLANK(AD114:AG114)=4,"",SUM(AD114:AF114)+IF(Setup!$I$15="No",0,AG114))</f>
        <v/>
      </c>
      <c r="AI114" s="194"/>
      <c r="AJ114" s="194"/>
      <c r="AK114" s="194"/>
      <c r="AL114" s="194"/>
      <c r="AM114" s="257" t="str">
        <f>IF(COUNTBLANK(AI114:AL114)=4,"",SUM(AI114:AK114)+IF(Setup!$I$15="No",0,AL114))</f>
        <v/>
      </c>
      <c r="AN114" s="194"/>
      <c r="AO114" s="194"/>
      <c r="AP114" s="194"/>
      <c r="AQ114" s="194"/>
      <c r="AR114" s="257" t="str">
        <f>IF(COUNTBLANK(AN114:AQ114)=4,"",SUM(AN114:AP114)+IF(Setup!$I$15="No",0,AQ114))</f>
        <v/>
      </c>
      <c r="AS114" s="194"/>
      <c r="AT114" s="194"/>
      <c r="AU114" s="194"/>
      <c r="AV114" s="194"/>
      <c r="AW114" s="257" t="str">
        <f>IF(COUNTBLANK(AS114:AV114)=4,"",SUM(AS114:AU114)+IF(Setup!$I$15="No",0,AV114))</f>
        <v/>
      </c>
      <c r="AX114" s="194"/>
      <c r="AY114" s="194"/>
      <c r="AZ114" s="194"/>
      <c r="BA114" s="194"/>
      <c r="BB114" s="257" t="str">
        <f>IF(COUNTBLANK(AX114:BA114)=4,"",SUM(AX114:AZ114)+IF(Setup!$I$15="No",0,BA114))</f>
        <v/>
      </c>
      <c r="BC114" s="261">
        <f ca="1">IF('Demand background (hide)'!A105=Num_Modalities,"",SUM(Demand!I114, Demand!N114))</f>
        <v>20</v>
      </c>
      <c r="BD114" s="261">
        <f ca="1">IF(AND(A114&lt;=MaxRows,BE114&lt;&gt;"Yes"),'Demand background (hide)'!X105+IF(Setup!$I$15="Yes",'Demand background (hide)'!AJ105,0),"")</f>
        <v>780</v>
      </c>
      <c r="BE114" s="211"/>
    </row>
    <row r="115" spans="1:59" ht="15" x14ac:dyDescent="0.25">
      <c r="A115">
        <f t="shared" ca="1" si="4"/>
        <v>103</v>
      </c>
      <c r="B115" s="266" t="str">
        <f t="shared" ca="1" si="5"/>
        <v xml:space="preserve"> </v>
      </c>
      <c r="C115" s="267">
        <f t="shared" ca="1" si="6"/>
        <v>11</v>
      </c>
      <c r="D115" s="424">
        <f t="shared" ca="1" si="7"/>
        <v>43175</v>
      </c>
      <c r="E115" s="194"/>
      <c r="F115" s="194">
        <v>0</v>
      </c>
      <c r="G115" s="195">
        <v>10</v>
      </c>
      <c r="H115" s="194"/>
      <c r="I115" s="253">
        <f>IF(COUNTBLANK(E115:H115)=4,"",SUM(E115:G115)+IF(Setup!$I$15="No",0,H115))</f>
        <v>10</v>
      </c>
      <c r="J115" s="194"/>
      <c r="K115" s="194">
        <v>5</v>
      </c>
      <c r="L115" s="194">
        <v>6</v>
      </c>
      <c r="M115" s="194"/>
      <c r="N115" s="257">
        <f>IF(COUNTBLANK(J115:M115)=4,"",SUM(J115:L115)+IF(Setup!$I$15="No",0,M115))</f>
        <v>11</v>
      </c>
      <c r="O115" s="194"/>
      <c r="P115" s="194"/>
      <c r="Q115" s="194"/>
      <c r="R115" s="194"/>
      <c r="S115" s="257" t="str">
        <f>IF(COUNTBLANK(O115:R115)=4,"",SUM(O115:Q115)+IF(Setup!$I$15="No",0,R115))</f>
        <v/>
      </c>
      <c r="T115" s="194"/>
      <c r="U115" s="194"/>
      <c r="V115" s="194"/>
      <c r="W115" s="194"/>
      <c r="X115" s="257" t="str">
        <f>IF(COUNTBLANK(T115:W115)=4,"",SUM(T115:V115)+IF(Setup!$I$15="No",0,W115))</f>
        <v/>
      </c>
      <c r="Y115" s="194"/>
      <c r="Z115" s="194"/>
      <c r="AA115" s="194"/>
      <c r="AB115" s="194"/>
      <c r="AC115" s="257" t="str">
        <f>IF(COUNTBLANK(Y115:AB115)=4,"",SUM(Y115:AA115)+IF(Setup!$I$15="No",0,AB115))</f>
        <v/>
      </c>
      <c r="AD115" s="194"/>
      <c r="AE115" s="194"/>
      <c r="AF115" s="194"/>
      <c r="AG115" s="194"/>
      <c r="AH115" s="257" t="str">
        <f>IF(COUNTBLANK(AD115:AG115)=4,"",SUM(AD115:AF115)+IF(Setup!$I$15="No",0,AG115))</f>
        <v/>
      </c>
      <c r="AI115" s="194"/>
      <c r="AJ115" s="194"/>
      <c r="AK115" s="194"/>
      <c r="AL115" s="194"/>
      <c r="AM115" s="257" t="str">
        <f>IF(COUNTBLANK(AI115:AL115)=4,"",SUM(AI115:AK115)+IF(Setup!$I$15="No",0,AL115))</f>
        <v/>
      </c>
      <c r="AN115" s="194"/>
      <c r="AO115" s="194"/>
      <c r="AP115" s="194"/>
      <c r="AQ115" s="194"/>
      <c r="AR115" s="257" t="str">
        <f>IF(COUNTBLANK(AN115:AQ115)=4,"",SUM(AN115:AP115)+IF(Setup!$I$15="No",0,AQ115))</f>
        <v/>
      </c>
      <c r="AS115" s="194"/>
      <c r="AT115" s="194"/>
      <c r="AU115" s="194"/>
      <c r="AV115" s="194"/>
      <c r="AW115" s="257" t="str">
        <f>IF(COUNTBLANK(AS115:AV115)=4,"",SUM(AS115:AU115)+IF(Setup!$I$15="No",0,AV115))</f>
        <v/>
      </c>
      <c r="AX115" s="194"/>
      <c r="AY115" s="194"/>
      <c r="AZ115" s="194"/>
      <c r="BA115" s="194"/>
      <c r="BB115" s="257" t="str">
        <f>IF(COUNTBLANK(AX115:BA115)=4,"",SUM(AX115:AZ115)+IF(Setup!$I$15="No",0,BA115))</f>
        <v/>
      </c>
      <c r="BC115" s="261">
        <f ca="1">IF('Demand background (hide)'!A106=Num_Modalities,"",SUM(Demand!I115, Demand!N115))</f>
        <v>21</v>
      </c>
      <c r="BD115" s="261">
        <f ca="1">IF(AND(A115&lt;=MaxRows,BE115&lt;&gt;"Yes"),'Demand background (hide)'!X106+IF(Setup!$I$15="Yes",'Demand background (hide)'!AJ106,0),"")</f>
        <v>740</v>
      </c>
      <c r="BE115" s="211"/>
    </row>
    <row r="116" spans="1:59" ht="15" x14ac:dyDescent="0.25">
      <c r="A116">
        <f t="shared" ca="1" si="4"/>
        <v>104</v>
      </c>
      <c r="B116" s="266" t="str">
        <f t="shared" ca="1" si="5"/>
        <v xml:space="preserve"> </v>
      </c>
      <c r="C116" s="267">
        <f t="shared" ca="1" si="6"/>
        <v>12</v>
      </c>
      <c r="D116" s="424">
        <f t="shared" ca="1" si="7"/>
        <v>43182</v>
      </c>
      <c r="E116" s="194"/>
      <c r="F116" s="194">
        <v>1</v>
      </c>
      <c r="G116" s="195">
        <v>4</v>
      </c>
      <c r="H116" s="194"/>
      <c r="I116" s="253">
        <f>IF(COUNTBLANK(E116:H116)=4,"",SUM(E116:G116)+IF(Setup!$I$15="No",0,H116))</f>
        <v>5</v>
      </c>
      <c r="J116" s="194"/>
      <c r="K116" s="194">
        <v>3</v>
      </c>
      <c r="L116" s="194">
        <v>6</v>
      </c>
      <c r="M116" s="194"/>
      <c r="N116" s="257">
        <f>IF(COUNTBLANK(J116:M116)=4,"",SUM(J116:L116)+IF(Setup!$I$15="No",0,M116))</f>
        <v>9</v>
      </c>
      <c r="O116" s="194"/>
      <c r="P116" s="194"/>
      <c r="Q116" s="194"/>
      <c r="R116" s="194"/>
      <c r="S116" s="257" t="str">
        <f>IF(COUNTBLANK(O116:R116)=4,"",SUM(O116:Q116)+IF(Setup!$I$15="No",0,R116))</f>
        <v/>
      </c>
      <c r="T116" s="194"/>
      <c r="U116" s="194"/>
      <c r="V116" s="194"/>
      <c r="W116" s="194"/>
      <c r="X116" s="257" t="str">
        <f>IF(COUNTBLANK(T116:W116)=4,"",SUM(T116:V116)+IF(Setup!$I$15="No",0,W116))</f>
        <v/>
      </c>
      <c r="Y116" s="194"/>
      <c r="Z116" s="194"/>
      <c r="AA116" s="194"/>
      <c r="AB116" s="194"/>
      <c r="AC116" s="257" t="str">
        <f>IF(COUNTBLANK(Y116:AB116)=4,"",SUM(Y116:AA116)+IF(Setup!$I$15="No",0,AB116))</f>
        <v/>
      </c>
      <c r="AD116" s="194"/>
      <c r="AE116" s="194"/>
      <c r="AF116" s="194"/>
      <c r="AG116" s="194"/>
      <c r="AH116" s="257" t="str">
        <f>IF(COUNTBLANK(AD116:AG116)=4,"",SUM(AD116:AF116)+IF(Setup!$I$15="No",0,AG116))</f>
        <v/>
      </c>
      <c r="AI116" s="194"/>
      <c r="AJ116" s="194"/>
      <c r="AK116" s="194"/>
      <c r="AL116" s="194"/>
      <c r="AM116" s="257" t="str">
        <f>IF(COUNTBLANK(AI116:AL116)=4,"",SUM(AI116:AK116)+IF(Setup!$I$15="No",0,AL116))</f>
        <v/>
      </c>
      <c r="AN116" s="194"/>
      <c r="AO116" s="194"/>
      <c r="AP116" s="194"/>
      <c r="AQ116" s="194"/>
      <c r="AR116" s="257" t="str">
        <f>IF(COUNTBLANK(AN116:AQ116)=4,"",SUM(AN116:AP116)+IF(Setup!$I$15="No",0,AQ116))</f>
        <v/>
      </c>
      <c r="AS116" s="194"/>
      <c r="AT116" s="194"/>
      <c r="AU116" s="194"/>
      <c r="AV116" s="194"/>
      <c r="AW116" s="257" t="str">
        <f>IF(COUNTBLANK(AS116:AV116)=4,"",SUM(AS116:AU116)+IF(Setup!$I$15="No",0,AV116))</f>
        <v/>
      </c>
      <c r="AX116" s="194"/>
      <c r="AY116" s="194"/>
      <c r="AZ116" s="194"/>
      <c r="BA116" s="194"/>
      <c r="BB116" s="257" t="str">
        <f>IF(COUNTBLANK(AX116:BA116)=4,"",SUM(AX116:AZ116)+IF(Setup!$I$15="No",0,BA116))</f>
        <v/>
      </c>
      <c r="BC116" s="261">
        <f ca="1">IF('Demand background (hide)'!A107=Num_Modalities,"",SUM(Demand!I116, Demand!N116))</f>
        <v>14</v>
      </c>
      <c r="BD116" s="261">
        <f ca="1">IF(AND(A116&lt;=MaxRows,BE116&lt;&gt;"Yes"),'Demand background (hide)'!X107+IF(Setup!$I$15="Yes",'Demand background (hide)'!AJ107,0),"")</f>
        <v>510</v>
      </c>
      <c r="BE116" s="211"/>
    </row>
    <row r="117" spans="1:59" ht="15" x14ac:dyDescent="0.25">
      <c r="A117">
        <f t="shared" ca="1" si="4"/>
        <v>105</v>
      </c>
      <c r="B117" s="266" t="str">
        <f t="shared" ca="1" si="5"/>
        <v xml:space="preserve"> </v>
      </c>
      <c r="C117" s="267">
        <f t="shared" ca="1" si="6"/>
        <v>13</v>
      </c>
      <c r="D117" s="424">
        <f t="shared" ca="1" si="7"/>
        <v>43189</v>
      </c>
      <c r="E117" s="194"/>
      <c r="F117" s="194">
        <v>1</v>
      </c>
      <c r="G117" s="194">
        <v>4</v>
      </c>
      <c r="H117" s="194"/>
      <c r="I117" s="253">
        <f>IF(COUNTBLANK(E117:H117)=4,"",SUM(E117:G117)+IF(Setup!$I$15="No",0,H117))</f>
        <v>5</v>
      </c>
      <c r="J117" s="194"/>
      <c r="K117" s="194">
        <v>1</v>
      </c>
      <c r="L117" s="194">
        <v>5</v>
      </c>
      <c r="M117" s="194"/>
      <c r="N117" s="257">
        <f>IF(COUNTBLANK(J117:M117)=4,"",SUM(J117:L117)+IF(Setup!$I$15="No",0,M117))</f>
        <v>6</v>
      </c>
      <c r="O117" s="194"/>
      <c r="P117" s="194"/>
      <c r="Q117" s="194"/>
      <c r="R117" s="194"/>
      <c r="S117" s="257" t="str">
        <f>IF(COUNTBLANK(O117:R117)=4,"",SUM(O117:Q117)+IF(Setup!$I$15="No",0,R117))</f>
        <v/>
      </c>
      <c r="T117" s="194"/>
      <c r="U117" s="194"/>
      <c r="V117" s="194"/>
      <c r="W117" s="194"/>
      <c r="X117" s="257" t="str">
        <f>IF(COUNTBLANK(T117:W117)=4,"",SUM(T117:V117)+IF(Setup!$I$15="No",0,W117))</f>
        <v/>
      </c>
      <c r="Y117" s="194"/>
      <c r="Z117" s="194"/>
      <c r="AA117" s="194"/>
      <c r="AB117" s="194"/>
      <c r="AC117" s="257" t="str">
        <f>IF(COUNTBLANK(Y117:AB117)=4,"",SUM(Y117:AA117)+IF(Setup!$I$15="No",0,AB117))</f>
        <v/>
      </c>
      <c r="AD117" s="194"/>
      <c r="AE117" s="194"/>
      <c r="AF117" s="194"/>
      <c r="AG117" s="194"/>
      <c r="AH117" s="257" t="str">
        <f>IF(COUNTBLANK(AD117:AG117)=4,"",SUM(AD117:AF117)+IF(Setup!$I$15="No",0,AG117))</f>
        <v/>
      </c>
      <c r="AI117" s="194"/>
      <c r="AJ117" s="194"/>
      <c r="AK117" s="194"/>
      <c r="AL117" s="194"/>
      <c r="AM117" s="257" t="str">
        <f>IF(COUNTBLANK(AI117:AL117)=4,"",SUM(AI117:AK117)+IF(Setup!$I$15="No",0,AL117))</f>
        <v/>
      </c>
      <c r="AN117" s="194"/>
      <c r="AO117" s="194"/>
      <c r="AP117" s="194"/>
      <c r="AQ117" s="194"/>
      <c r="AR117" s="257" t="str">
        <f>IF(COUNTBLANK(AN117:AQ117)=4,"",SUM(AN117:AP117)+IF(Setup!$I$15="No",0,AQ117))</f>
        <v/>
      </c>
      <c r="AS117" s="194"/>
      <c r="AT117" s="194"/>
      <c r="AU117" s="194"/>
      <c r="AV117" s="194"/>
      <c r="AW117" s="257" t="str">
        <f>IF(COUNTBLANK(AS117:AV117)=4,"",SUM(AS117:AU117)+IF(Setup!$I$15="No",0,AV117))</f>
        <v/>
      </c>
      <c r="AX117" s="194"/>
      <c r="AY117" s="194"/>
      <c r="AZ117" s="194"/>
      <c r="BA117" s="194"/>
      <c r="BB117" s="257" t="str">
        <f>IF(COUNTBLANK(AX117:BA117)=4,"",SUM(AX117:AZ117)+IF(Setup!$I$15="No",0,BA117))</f>
        <v/>
      </c>
      <c r="BC117" s="261">
        <f ca="1">IF('Demand background (hide)'!A108=Num_Modalities,"",SUM(Demand!I117, Demand!N117))</f>
        <v>11</v>
      </c>
      <c r="BD117" s="261">
        <f ca="1">IF(AND(A117&lt;=MaxRows,BE117&lt;&gt;"Yes"),'Demand background (hide)'!X108+IF(Setup!$I$15="Yes",'Demand background (hide)'!AJ108,0),"")</f>
        <v>390</v>
      </c>
      <c r="BE117" s="211"/>
      <c r="BG117" s="51"/>
    </row>
    <row r="118" spans="1:59" ht="15" x14ac:dyDescent="0.25">
      <c r="A118">
        <f t="shared" ca="1" si="4"/>
        <v>106</v>
      </c>
      <c r="B118" s="266" t="str">
        <f t="shared" ca="1" si="5"/>
        <v xml:space="preserve"> </v>
      </c>
      <c r="C118" s="267">
        <f t="shared" ca="1" si="6"/>
        <v>14</v>
      </c>
      <c r="D118" s="424">
        <f t="shared" ca="1" si="7"/>
        <v>43196</v>
      </c>
      <c r="E118" s="194"/>
      <c r="F118" s="194">
        <v>0</v>
      </c>
      <c r="G118" s="194">
        <v>1</v>
      </c>
      <c r="H118" s="194"/>
      <c r="I118" s="253">
        <f>IF(COUNTBLANK(E118:H118)=4,"",SUM(E118:G118)+IF(Setup!$I$15="No",0,H118))</f>
        <v>1</v>
      </c>
      <c r="J118" s="194"/>
      <c r="K118" s="194">
        <v>2</v>
      </c>
      <c r="L118" s="194">
        <v>4</v>
      </c>
      <c r="M118" s="194"/>
      <c r="N118" s="257">
        <f>IF(COUNTBLANK(J118:M118)=4,"",SUM(J118:L118)+IF(Setup!$I$15="No",0,M118))</f>
        <v>6</v>
      </c>
      <c r="O118" s="194"/>
      <c r="P118" s="194"/>
      <c r="Q118" s="194"/>
      <c r="R118" s="194"/>
      <c r="S118" s="257" t="str">
        <f>IF(COUNTBLANK(O118:R118)=4,"",SUM(O118:Q118)+IF(Setup!$I$15="No",0,R118))</f>
        <v/>
      </c>
      <c r="T118" s="194"/>
      <c r="U118" s="194"/>
      <c r="V118" s="194"/>
      <c r="W118" s="194"/>
      <c r="X118" s="257" t="str">
        <f>IF(COUNTBLANK(T118:W118)=4,"",SUM(T118:V118)+IF(Setup!$I$15="No",0,W118))</f>
        <v/>
      </c>
      <c r="Y118" s="194"/>
      <c r="Z118" s="194"/>
      <c r="AA118" s="194"/>
      <c r="AB118" s="194"/>
      <c r="AC118" s="257" t="str">
        <f>IF(COUNTBLANK(Y118:AB118)=4,"",SUM(Y118:AA118)+IF(Setup!$I$15="No",0,AB118))</f>
        <v/>
      </c>
      <c r="AD118" s="194"/>
      <c r="AE118" s="194"/>
      <c r="AF118" s="194"/>
      <c r="AG118" s="194"/>
      <c r="AH118" s="257" t="str">
        <f>IF(COUNTBLANK(AD118:AG118)=4,"",SUM(AD118:AF118)+IF(Setup!$I$15="No",0,AG118))</f>
        <v/>
      </c>
      <c r="AI118" s="194"/>
      <c r="AJ118" s="194"/>
      <c r="AK118" s="194"/>
      <c r="AL118" s="194"/>
      <c r="AM118" s="257" t="str">
        <f>IF(COUNTBLANK(AI118:AL118)=4,"",SUM(AI118:AK118)+IF(Setup!$I$15="No",0,AL118))</f>
        <v/>
      </c>
      <c r="AN118" s="194"/>
      <c r="AO118" s="194"/>
      <c r="AP118" s="194"/>
      <c r="AQ118" s="194"/>
      <c r="AR118" s="257" t="str">
        <f>IF(COUNTBLANK(AN118:AQ118)=4,"",SUM(AN118:AP118)+IF(Setup!$I$15="No",0,AQ118))</f>
        <v/>
      </c>
      <c r="AS118" s="194"/>
      <c r="AT118" s="194"/>
      <c r="AU118" s="194"/>
      <c r="AV118" s="194"/>
      <c r="AW118" s="257" t="str">
        <f>IF(COUNTBLANK(AS118:AV118)=4,"",SUM(AS118:AU118)+IF(Setup!$I$15="No",0,AV118))</f>
        <v/>
      </c>
      <c r="AX118" s="194"/>
      <c r="AY118" s="194"/>
      <c r="AZ118" s="194"/>
      <c r="BA118" s="194"/>
      <c r="BB118" s="257" t="str">
        <f>IF(COUNTBLANK(AX118:BA118)=4,"",SUM(AX118:AZ118)+IF(Setup!$I$15="No",0,BA118))</f>
        <v/>
      </c>
      <c r="BC118" s="261">
        <f ca="1">IF('Demand background (hide)'!A109=Num_Modalities,"",SUM(Demand!I118, Demand!N118))</f>
        <v>7</v>
      </c>
      <c r="BD118" s="261">
        <f ca="1">IF(AND(A118&lt;=MaxRows,BE118&lt;&gt;"Yes"),'Demand background (hide)'!X109+IF(Setup!$I$15="Yes",'Demand background (hide)'!AJ109,0),"")</f>
        <v>270</v>
      </c>
      <c r="BE118" s="211"/>
    </row>
    <row r="119" spans="1:59" ht="15" x14ac:dyDescent="0.25">
      <c r="A119">
        <f t="shared" ca="1" si="4"/>
        <v>107</v>
      </c>
      <c r="B119" s="266" t="str">
        <f t="shared" ca="1" si="5"/>
        <v xml:space="preserve"> </v>
      </c>
      <c r="C119" s="267">
        <f t="shared" ca="1" si="6"/>
        <v>15</v>
      </c>
      <c r="D119" s="424">
        <f t="shared" ca="1" si="7"/>
        <v>43203</v>
      </c>
      <c r="E119" s="194"/>
      <c r="F119" s="194">
        <v>3</v>
      </c>
      <c r="G119" s="194">
        <v>4</v>
      </c>
      <c r="H119" s="194"/>
      <c r="I119" s="253">
        <f>IF(COUNTBLANK(E119:H119)=4,"",SUM(E119:G119)+IF(Setup!$I$15="No",0,H119))</f>
        <v>7</v>
      </c>
      <c r="J119" s="194"/>
      <c r="K119" s="194">
        <v>2</v>
      </c>
      <c r="L119" s="194">
        <v>7</v>
      </c>
      <c r="M119" s="194"/>
      <c r="N119" s="257">
        <f>IF(COUNTBLANK(J119:M119)=4,"",SUM(J119:L119)+IF(Setup!$I$15="No",0,M119))</f>
        <v>9</v>
      </c>
      <c r="O119" s="194"/>
      <c r="P119" s="194"/>
      <c r="Q119" s="194"/>
      <c r="R119" s="194"/>
      <c r="S119" s="257" t="str">
        <f>IF(COUNTBLANK(O119:R119)=4,"",SUM(O119:Q119)+IF(Setup!$I$15="No",0,R119))</f>
        <v/>
      </c>
      <c r="T119" s="194"/>
      <c r="U119" s="194"/>
      <c r="V119" s="194"/>
      <c r="W119" s="194"/>
      <c r="X119" s="257" t="str">
        <f>IF(COUNTBLANK(T119:W119)=4,"",SUM(T119:V119)+IF(Setup!$I$15="No",0,W119))</f>
        <v/>
      </c>
      <c r="Y119" s="194"/>
      <c r="Z119" s="194"/>
      <c r="AA119" s="194"/>
      <c r="AB119" s="194"/>
      <c r="AC119" s="257" t="str">
        <f>IF(COUNTBLANK(Y119:AB119)=4,"",SUM(Y119:AA119)+IF(Setup!$I$15="No",0,AB119))</f>
        <v/>
      </c>
      <c r="AD119" s="194"/>
      <c r="AE119" s="194"/>
      <c r="AF119" s="194"/>
      <c r="AG119" s="194"/>
      <c r="AH119" s="257" t="str">
        <f>IF(COUNTBLANK(AD119:AG119)=4,"",SUM(AD119:AF119)+IF(Setup!$I$15="No",0,AG119))</f>
        <v/>
      </c>
      <c r="AI119" s="194"/>
      <c r="AJ119" s="194"/>
      <c r="AK119" s="194"/>
      <c r="AL119" s="194"/>
      <c r="AM119" s="257" t="str">
        <f>IF(COUNTBLANK(AI119:AL119)=4,"",SUM(AI119:AK119)+IF(Setup!$I$15="No",0,AL119))</f>
        <v/>
      </c>
      <c r="AN119" s="194"/>
      <c r="AO119" s="194"/>
      <c r="AP119" s="194"/>
      <c r="AQ119" s="194"/>
      <c r="AR119" s="257" t="str">
        <f>IF(COUNTBLANK(AN119:AQ119)=4,"",SUM(AN119:AP119)+IF(Setup!$I$15="No",0,AQ119))</f>
        <v/>
      </c>
      <c r="AS119" s="194"/>
      <c r="AT119" s="194"/>
      <c r="AU119" s="194"/>
      <c r="AV119" s="194"/>
      <c r="AW119" s="257" t="str">
        <f>IF(COUNTBLANK(AS119:AV119)=4,"",SUM(AS119:AU119)+IF(Setup!$I$15="No",0,AV119))</f>
        <v/>
      </c>
      <c r="AX119" s="194"/>
      <c r="AY119" s="194"/>
      <c r="AZ119" s="194"/>
      <c r="BA119" s="194"/>
      <c r="BB119" s="257" t="str">
        <f>IF(COUNTBLANK(AX119:BA119)=4,"",SUM(AX119:AZ119)+IF(Setup!$I$15="No",0,BA119))</f>
        <v/>
      </c>
      <c r="BC119" s="261">
        <f ca="1">IF('Demand background (hide)'!A110=Num_Modalities,"",SUM(Demand!I119, Demand!N119))</f>
        <v>16</v>
      </c>
      <c r="BD119" s="261">
        <f ca="1">IF(AND(A119&lt;=MaxRows,BE119&lt;&gt;"Yes"),'Demand background (hide)'!X110+IF(Setup!$I$15="Yes",'Demand background (hide)'!AJ110,0),"")</f>
        <v>570</v>
      </c>
      <c r="BE119" s="211"/>
    </row>
    <row r="120" spans="1:59" ht="15" x14ac:dyDescent="0.25">
      <c r="A120">
        <f t="shared" ca="1" si="4"/>
        <v>108</v>
      </c>
      <c r="B120" s="266" t="str">
        <f t="shared" ca="1" si="5"/>
        <v xml:space="preserve"> </v>
      </c>
      <c r="C120" s="267">
        <f t="shared" ca="1" si="6"/>
        <v>16</v>
      </c>
      <c r="D120" s="424">
        <f t="shared" ca="1" si="7"/>
        <v>43210</v>
      </c>
      <c r="E120" s="194"/>
      <c r="F120" s="194">
        <v>0</v>
      </c>
      <c r="G120" s="194">
        <v>3</v>
      </c>
      <c r="H120" s="194"/>
      <c r="I120" s="253">
        <f>IF(COUNTBLANK(E120:H120)=4,"",SUM(E120:G120)+IF(Setup!$I$15="No",0,H120))</f>
        <v>3</v>
      </c>
      <c r="J120" s="194"/>
      <c r="K120" s="194">
        <v>4</v>
      </c>
      <c r="L120" s="194">
        <v>11</v>
      </c>
      <c r="M120" s="194"/>
      <c r="N120" s="257">
        <f>IF(COUNTBLANK(J120:M120)=4,"",SUM(J120:L120)+IF(Setup!$I$15="No",0,M120))</f>
        <v>15</v>
      </c>
      <c r="O120" s="194"/>
      <c r="P120" s="194"/>
      <c r="Q120" s="194"/>
      <c r="R120" s="194"/>
      <c r="S120" s="257" t="str">
        <f>IF(COUNTBLANK(O120:R120)=4,"",SUM(O120:Q120)+IF(Setup!$I$15="No",0,R120))</f>
        <v/>
      </c>
      <c r="T120" s="194"/>
      <c r="U120" s="194"/>
      <c r="V120" s="194"/>
      <c r="W120" s="194"/>
      <c r="X120" s="257" t="str">
        <f>IF(COUNTBLANK(T120:W120)=4,"",SUM(T120:V120)+IF(Setup!$I$15="No",0,W120))</f>
        <v/>
      </c>
      <c r="Y120" s="194"/>
      <c r="Z120" s="194"/>
      <c r="AA120" s="194"/>
      <c r="AB120" s="194"/>
      <c r="AC120" s="257" t="str">
        <f>IF(COUNTBLANK(Y120:AB120)=4,"",SUM(Y120:AA120)+IF(Setup!$I$15="No",0,AB120))</f>
        <v/>
      </c>
      <c r="AD120" s="194"/>
      <c r="AE120" s="194"/>
      <c r="AF120" s="194"/>
      <c r="AG120" s="194"/>
      <c r="AH120" s="257" t="str">
        <f>IF(COUNTBLANK(AD120:AG120)=4,"",SUM(AD120:AF120)+IF(Setup!$I$15="No",0,AG120))</f>
        <v/>
      </c>
      <c r="AI120" s="194"/>
      <c r="AJ120" s="194"/>
      <c r="AK120" s="194"/>
      <c r="AL120" s="194"/>
      <c r="AM120" s="257" t="str">
        <f>IF(COUNTBLANK(AI120:AL120)=4,"",SUM(AI120:AK120)+IF(Setup!$I$15="No",0,AL120))</f>
        <v/>
      </c>
      <c r="AN120" s="194"/>
      <c r="AO120" s="194"/>
      <c r="AP120" s="194"/>
      <c r="AQ120" s="194"/>
      <c r="AR120" s="257" t="str">
        <f>IF(COUNTBLANK(AN120:AQ120)=4,"",SUM(AN120:AP120)+IF(Setup!$I$15="No",0,AQ120))</f>
        <v/>
      </c>
      <c r="AS120" s="194"/>
      <c r="AT120" s="194"/>
      <c r="AU120" s="194"/>
      <c r="AV120" s="194"/>
      <c r="AW120" s="257" t="str">
        <f>IF(COUNTBLANK(AS120:AV120)=4,"",SUM(AS120:AU120)+IF(Setup!$I$15="No",0,AV120))</f>
        <v/>
      </c>
      <c r="AX120" s="194"/>
      <c r="AY120" s="194"/>
      <c r="AZ120" s="194"/>
      <c r="BA120" s="194"/>
      <c r="BB120" s="257" t="str">
        <f>IF(COUNTBLANK(AX120:BA120)=4,"",SUM(AX120:AZ120)+IF(Setup!$I$15="No",0,BA120))</f>
        <v/>
      </c>
      <c r="BC120" s="261">
        <f ca="1">IF('Demand background (hide)'!A111=Num_Modalities,"",SUM(Demand!I120, Demand!N120))</f>
        <v>18</v>
      </c>
      <c r="BD120" s="261">
        <f ca="1">IF(AND(A120&lt;=MaxRows,BE120&lt;&gt;"Yes"),'Demand background (hide)'!X111+IF(Setup!$I$15="Yes",'Demand background (hide)'!AJ111,0),"")</f>
        <v>690</v>
      </c>
      <c r="BE120" s="211"/>
    </row>
    <row r="121" spans="1:59" ht="15" x14ac:dyDescent="0.25">
      <c r="A121">
        <f t="shared" ca="1" si="4"/>
        <v>109</v>
      </c>
      <c r="B121" s="266" t="str">
        <f t="shared" ca="1" si="5"/>
        <v xml:space="preserve"> </v>
      </c>
      <c r="C121" s="267">
        <f t="shared" ca="1" si="6"/>
        <v>17</v>
      </c>
      <c r="D121" s="424">
        <f t="shared" ca="1" si="7"/>
        <v>43217</v>
      </c>
      <c r="E121" s="194"/>
      <c r="F121" s="194">
        <v>3</v>
      </c>
      <c r="G121" s="194">
        <v>4</v>
      </c>
      <c r="H121" s="194"/>
      <c r="I121" s="253">
        <f>IF(COUNTBLANK(E121:H121)=4,"",SUM(E121:G121)+IF(Setup!$I$15="No",0,H121))</f>
        <v>7</v>
      </c>
      <c r="J121" s="194"/>
      <c r="K121" s="194">
        <v>0</v>
      </c>
      <c r="L121" s="194">
        <v>5</v>
      </c>
      <c r="M121" s="194"/>
      <c r="N121" s="257">
        <f>IF(COUNTBLANK(J121:M121)=4,"",SUM(J121:L121)+IF(Setup!$I$15="No",0,M121))</f>
        <v>5</v>
      </c>
      <c r="O121" s="194"/>
      <c r="P121" s="194"/>
      <c r="Q121" s="194"/>
      <c r="R121" s="194"/>
      <c r="S121" s="257" t="str">
        <f>IF(COUNTBLANK(O121:R121)=4,"",SUM(O121:Q121)+IF(Setup!$I$15="No",0,R121))</f>
        <v/>
      </c>
      <c r="T121" s="194"/>
      <c r="U121" s="194"/>
      <c r="V121" s="194"/>
      <c r="W121" s="194"/>
      <c r="X121" s="257" t="str">
        <f>IF(COUNTBLANK(T121:W121)=4,"",SUM(T121:V121)+IF(Setup!$I$15="No",0,W121))</f>
        <v/>
      </c>
      <c r="Y121" s="194"/>
      <c r="Z121" s="194"/>
      <c r="AA121" s="194"/>
      <c r="AB121" s="194"/>
      <c r="AC121" s="257" t="str">
        <f>IF(COUNTBLANK(Y121:AB121)=4,"",SUM(Y121:AA121)+IF(Setup!$I$15="No",0,AB121))</f>
        <v/>
      </c>
      <c r="AD121" s="194"/>
      <c r="AE121" s="194"/>
      <c r="AF121" s="194"/>
      <c r="AG121" s="194"/>
      <c r="AH121" s="257" t="str">
        <f>IF(COUNTBLANK(AD121:AG121)=4,"",SUM(AD121:AF121)+IF(Setup!$I$15="No",0,AG121))</f>
        <v/>
      </c>
      <c r="AI121" s="194"/>
      <c r="AJ121" s="194"/>
      <c r="AK121" s="194"/>
      <c r="AL121" s="194"/>
      <c r="AM121" s="257" t="str">
        <f>IF(COUNTBLANK(AI121:AL121)=4,"",SUM(AI121:AK121)+IF(Setup!$I$15="No",0,AL121))</f>
        <v/>
      </c>
      <c r="AN121" s="194"/>
      <c r="AO121" s="194"/>
      <c r="AP121" s="194"/>
      <c r="AQ121" s="194"/>
      <c r="AR121" s="257" t="str">
        <f>IF(COUNTBLANK(AN121:AQ121)=4,"",SUM(AN121:AP121)+IF(Setup!$I$15="No",0,AQ121))</f>
        <v/>
      </c>
      <c r="AS121" s="194"/>
      <c r="AT121" s="194"/>
      <c r="AU121" s="194"/>
      <c r="AV121" s="194"/>
      <c r="AW121" s="257" t="str">
        <f>IF(COUNTBLANK(AS121:AV121)=4,"",SUM(AS121:AU121)+IF(Setup!$I$15="No",0,AV121))</f>
        <v/>
      </c>
      <c r="AX121" s="194"/>
      <c r="AY121" s="194"/>
      <c r="AZ121" s="194"/>
      <c r="BA121" s="194"/>
      <c r="BB121" s="257" t="str">
        <f>IF(COUNTBLANK(AX121:BA121)=4,"",SUM(AX121:AZ121)+IF(Setup!$I$15="No",0,BA121))</f>
        <v/>
      </c>
      <c r="BC121" s="261">
        <f ca="1">IF('Demand background (hide)'!A112=Num_Modalities,"",SUM(Demand!I121, Demand!N121))</f>
        <v>12</v>
      </c>
      <c r="BD121" s="261">
        <f ca="1">IF(AND(A121&lt;=MaxRows,BE121&lt;&gt;"Yes"),'Demand background (hide)'!X112+IF(Setup!$I$15="Yes",'Demand background (hide)'!AJ112,0),"")</f>
        <v>410</v>
      </c>
      <c r="BE121" s="211"/>
    </row>
    <row r="122" spans="1:59" ht="15" x14ac:dyDescent="0.25">
      <c r="A122">
        <f t="shared" ca="1" si="4"/>
        <v>110</v>
      </c>
      <c r="B122" s="266" t="str">
        <f t="shared" ca="1" si="5"/>
        <v xml:space="preserve"> </v>
      </c>
      <c r="C122" s="267">
        <f t="shared" ca="1" si="6"/>
        <v>18</v>
      </c>
      <c r="D122" s="424">
        <f t="shared" ca="1" si="7"/>
        <v>43224</v>
      </c>
      <c r="E122" s="194"/>
      <c r="F122" s="194">
        <v>2</v>
      </c>
      <c r="G122" s="194">
        <v>2</v>
      </c>
      <c r="H122" s="194"/>
      <c r="I122" s="253">
        <f>IF(COUNTBLANK(E122:H122)=4,"",SUM(E122:G122)+IF(Setup!$I$15="No",0,H122))</f>
        <v>4</v>
      </c>
      <c r="J122" s="194"/>
      <c r="K122" s="194">
        <v>1</v>
      </c>
      <c r="L122" s="194">
        <v>6</v>
      </c>
      <c r="M122" s="194"/>
      <c r="N122" s="257">
        <f>IF(COUNTBLANK(J122:M122)=4,"",SUM(J122:L122)+IF(Setup!$I$15="No",0,M122))</f>
        <v>7</v>
      </c>
      <c r="O122" s="194"/>
      <c r="P122" s="194"/>
      <c r="Q122" s="194"/>
      <c r="R122" s="194"/>
      <c r="S122" s="257" t="str">
        <f>IF(COUNTBLANK(O122:R122)=4,"",SUM(O122:Q122)+IF(Setup!$I$15="No",0,R122))</f>
        <v/>
      </c>
      <c r="T122" s="194"/>
      <c r="U122" s="194"/>
      <c r="V122" s="194"/>
      <c r="W122" s="194"/>
      <c r="X122" s="257" t="str">
        <f>IF(COUNTBLANK(T122:W122)=4,"",SUM(T122:V122)+IF(Setup!$I$15="No",0,W122))</f>
        <v/>
      </c>
      <c r="Y122" s="194"/>
      <c r="Z122" s="194"/>
      <c r="AA122" s="194"/>
      <c r="AB122" s="194"/>
      <c r="AC122" s="257" t="str">
        <f>IF(COUNTBLANK(Y122:AB122)=4,"",SUM(Y122:AA122)+IF(Setup!$I$15="No",0,AB122))</f>
        <v/>
      </c>
      <c r="AD122" s="194"/>
      <c r="AE122" s="194"/>
      <c r="AF122" s="194"/>
      <c r="AG122" s="194"/>
      <c r="AH122" s="257" t="str">
        <f>IF(COUNTBLANK(AD122:AG122)=4,"",SUM(AD122:AF122)+IF(Setup!$I$15="No",0,AG122))</f>
        <v/>
      </c>
      <c r="AI122" s="194"/>
      <c r="AJ122" s="194"/>
      <c r="AK122" s="194"/>
      <c r="AL122" s="194"/>
      <c r="AM122" s="257" t="str">
        <f>IF(COUNTBLANK(AI122:AL122)=4,"",SUM(AI122:AK122)+IF(Setup!$I$15="No",0,AL122))</f>
        <v/>
      </c>
      <c r="AN122" s="194"/>
      <c r="AO122" s="194"/>
      <c r="AP122" s="194"/>
      <c r="AQ122" s="194"/>
      <c r="AR122" s="257" t="str">
        <f>IF(COUNTBLANK(AN122:AQ122)=4,"",SUM(AN122:AP122)+IF(Setup!$I$15="No",0,AQ122))</f>
        <v/>
      </c>
      <c r="AS122" s="194"/>
      <c r="AT122" s="194"/>
      <c r="AU122" s="194"/>
      <c r="AV122" s="194"/>
      <c r="AW122" s="257" t="str">
        <f>IF(COUNTBLANK(AS122:AV122)=4,"",SUM(AS122:AU122)+IF(Setup!$I$15="No",0,AV122))</f>
        <v/>
      </c>
      <c r="AX122" s="194"/>
      <c r="AY122" s="194"/>
      <c r="AZ122" s="194"/>
      <c r="BA122" s="194"/>
      <c r="BB122" s="257" t="str">
        <f>IF(COUNTBLANK(AX122:BA122)=4,"",SUM(AX122:AZ122)+IF(Setup!$I$15="No",0,BA122))</f>
        <v/>
      </c>
      <c r="BC122" s="261">
        <f ca="1">IF('Demand background (hide)'!A113=Num_Modalities,"",SUM(Demand!I122, Demand!N122))</f>
        <v>11</v>
      </c>
      <c r="BD122" s="261">
        <f ca="1">IF(AND(A122&lt;=MaxRows,BE122&lt;&gt;"Yes"),'Demand background (hide)'!X113+IF(Setup!$I$15="Yes",'Demand background (hide)'!AJ113,0),"")</f>
        <v>400</v>
      </c>
      <c r="BE122" s="211"/>
    </row>
    <row r="123" spans="1:59" ht="15" x14ac:dyDescent="0.25">
      <c r="A123">
        <f t="shared" ca="1" si="4"/>
        <v>111</v>
      </c>
      <c r="B123" s="266" t="str">
        <f t="shared" ca="1" si="5"/>
        <v xml:space="preserve"> </v>
      </c>
      <c r="C123" s="267">
        <f t="shared" ca="1" si="6"/>
        <v>19</v>
      </c>
      <c r="D123" s="424">
        <f t="shared" ca="1" si="7"/>
        <v>43231</v>
      </c>
      <c r="E123" s="194"/>
      <c r="F123" s="194">
        <v>0</v>
      </c>
      <c r="G123" s="194">
        <v>3</v>
      </c>
      <c r="H123" s="194"/>
      <c r="I123" s="253">
        <f>IF(COUNTBLANK(E123:H123)=4,"",SUM(E123:G123)+IF(Setup!$I$15="No",0,H123))</f>
        <v>3</v>
      </c>
      <c r="J123" s="194"/>
      <c r="K123" s="194">
        <v>7</v>
      </c>
      <c r="L123" s="194">
        <v>7</v>
      </c>
      <c r="M123" s="194"/>
      <c r="N123" s="257">
        <f>IF(COUNTBLANK(J123:M123)=4,"",SUM(J123:L123)+IF(Setup!$I$15="No",0,M123))</f>
        <v>14</v>
      </c>
      <c r="O123" s="194"/>
      <c r="P123" s="194"/>
      <c r="Q123" s="194"/>
      <c r="R123" s="194"/>
      <c r="S123" s="257" t="str">
        <f>IF(COUNTBLANK(O123:R123)=4,"",SUM(O123:Q123)+IF(Setup!$I$15="No",0,R123))</f>
        <v/>
      </c>
      <c r="T123" s="194"/>
      <c r="U123" s="194"/>
      <c r="V123" s="194"/>
      <c r="W123" s="194"/>
      <c r="X123" s="257" t="str">
        <f>IF(COUNTBLANK(T123:W123)=4,"",SUM(T123:V123)+IF(Setup!$I$15="No",0,W123))</f>
        <v/>
      </c>
      <c r="Y123" s="194"/>
      <c r="Z123" s="194"/>
      <c r="AA123" s="194"/>
      <c r="AB123" s="194"/>
      <c r="AC123" s="257" t="str">
        <f>IF(COUNTBLANK(Y123:AB123)=4,"",SUM(Y123:AA123)+IF(Setup!$I$15="No",0,AB123))</f>
        <v/>
      </c>
      <c r="AD123" s="194"/>
      <c r="AE123" s="194"/>
      <c r="AF123" s="194"/>
      <c r="AG123" s="194"/>
      <c r="AH123" s="257" t="str">
        <f>IF(COUNTBLANK(AD123:AG123)=4,"",SUM(AD123:AF123)+IF(Setup!$I$15="No",0,AG123))</f>
        <v/>
      </c>
      <c r="AI123" s="194"/>
      <c r="AJ123" s="194"/>
      <c r="AK123" s="194"/>
      <c r="AL123" s="194"/>
      <c r="AM123" s="257" t="str">
        <f>IF(COUNTBLANK(AI123:AL123)=4,"",SUM(AI123:AK123)+IF(Setup!$I$15="No",0,AL123))</f>
        <v/>
      </c>
      <c r="AN123" s="194"/>
      <c r="AO123" s="194"/>
      <c r="AP123" s="194"/>
      <c r="AQ123" s="194"/>
      <c r="AR123" s="257" t="str">
        <f>IF(COUNTBLANK(AN123:AQ123)=4,"",SUM(AN123:AP123)+IF(Setup!$I$15="No",0,AQ123))</f>
        <v/>
      </c>
      <c r="AS123" s="194"/>
      <c r="AT123" s="194"/>
      <c r="AU123" s="194"/>
      <c r="AV123" s="194"/>
      <c r="AW123" s="257" t="str">
        <f>IF(COUNTBLANK(AS123:AV123)=4,"",SUM(AS123:AU123)+IF(Setup!$I$15="No",0,AV123))</f>
        <v/>
      </c>
      <c r="AX123" s="194"/>
      <c r="AY123" s="194"/>
      <c r="AZ123" s="194"/>
      <c r="BA123" s="194"/>
      <c r="BB123" s="257" t="str">
        <f>IF(COUNTBLANK(AX123:BA123)=4,"",SUM(AX123:AZ123)+IF(Setup!$I$15="No",0,BA123))</f>
        <v/>
      </c>
      <c r="BC123" s="261">
        <f ca="1">IF('Demand background (hide)'!A114=Num_Modalities,"",SUM(Demand!I123, Demand!N123))</f>
        <v>17</v>
      </c>
      <c r="BD123" s="261">
        <f ca="1">IF(AND(A123&lt;=MaxRows,BE123&lt;&gt;"Yes"),'Demand background (hide)'!X114+IF(Setup!$I$15="Yes",'Demand background (hide)'!AJ114,0),"")</f>
        <v>650</v>
      </c>
      <c r="BE123" s="211"/>
    </row>
    <row r="124" spans="1:59" ht="15" x14ac:dyDescent="0.25">
      <c r="A124">
        <f t="shared" ca="1" si="4"/>
        <v>112</v>
      </c>
      <c r="B124" s="266" t="str">
        <f t="shared" ca="1" si="5"/>
        <v xml:space="preserve"> </v>
      </c>
      <c r="C124" s="267">
        <f t="shared" ca="1" si="6"/>
        <v>20</v>
      </c>
      <c r="D124" s="424">
        <f t="shared" ca="1" si="7"/>
        <v>43238</v>
      </c>
      <c r="E124" s="194"/>
      <c r="F124" s="194">
        <v>1</v>
      </c>
      <c r="G124" s="194">
        <v>4</v>
      </c>
      <c r="H124" s="194"/>
      <c r="I124" s="253">
        <f>IF(COUNTBLANK(E124:H124)=4,"",SUM(E124:G124)+IF(Setup!$I$15="No",0,H124))</f>
        <v>5</v>
      </c>
      <c r="J124" s="194"/>
      <c r="K124" s="194">
        <v>1</v>
      </c>
      <c r="L124" s="194">
        <v>7</v>
      </c>
      <c r="M124" s="194"/>
      <c r="N124" s="257">
        <f>IF(COUNTBLANK(J124:M124)=4,"",SUM(J124:L124)+IF(Setup!$I$15="No",0,M124))</f>
        <v>8</v>
      </c>
      <c r="O124" s="194"/>
      <c r="P124" s="194"/>
      <c r="Q124" s="194"/>
      <c r="R124" s="194"/>
      <c r="S124" s="257" t="str">
        <f>IF(COUNTBLANK(O124:R124)=4,"",SUM(O124:Q124)+IF(Setup!$I$15="No",0,R124))</f>
        <v/>
      </c>
      <c r="T124" s="194"/>
      <c r="U124" s="194"/>
      <c r="V124" s="194"/>
      <c r="W124" s="194"/>
      <c r="X124" s="257" t="str">
        <f>IF(COUNTBLANK(T124:W124)=4,"",SUM(T124:V124)+IF(Setup!$I$15="No",0,W124))</f>
        <v/>
      </c>
      <c r="Y124" s="194"/>
      <c r="Z124" s="194"/>
      <c r="AA124" s="194"/>
      <c r="AB124" s="194"/>
      <c r="AC124" s="257" t="str">
        <f>IF(COUNTBLANK(Y124:AB124)=4,"",SUM(Y124:AA124)+IF(Setup!$I$15="No",0,AB124))</f>
        <v/>
      </c>
      <c r="AD124" s="194"/>
      <c r="AE124" s="194"/>
      <c r="AF124" s="194"/>
      <c r="AG124" s="194"/>
      <c r="AH124" s="257" t="str">
        <f>IF(COUNTBLANK(AD124:AG124)=4,"",SUM(AD124:AF124)+IF(Setup!$I$15="No",0,AG124))</f>
        <v/>
      </c>
      <c r="AI124" s="194"/>
      <c r="AJ124" s="194"/>
      <c r="AK124" s="194"/>
      <c r="AL124" s="194"/>
      <c r="AM124" s="257" t="str">
        <f>IF(COUNTBLANK(AI124:AL124)=4,"",SUM(AI124:AK124)+IF(Setup!$I$15="No",0,AL124))</f>
        <v/>
      </c>
      <c r="AN124" s="194"/>
      <c r="AO124" s="194"/>
      <c r="AP124" s="194"/>
      <c r="AQ124" s="194"/>
      <c r="AR124" s="257" t="str">
        <f>IF(COUNTBLANK(AN124:AQ124)=4,"",SUM(AN124:AP124)+IF(Setup!$I$15="No",0,AQ124))</f>
        <v/>
      </c>
      <c r="AS124" s="194"/>
      <c r="AT124" s="194"/>
      <c r="AU124" s="194"/>
      <c r="AV124" s="194"/>
      <c r="AW124" s="257" t="str">
        <f>IF(COUNTBLANK(AS124:AV124)=4,"",SUM(AS124:AU124)+IF(Setup!$I$15="No",0,AV124))</f>
        <v/>
      </c>
      <c r="AX124" s="194"/>
      <c r="AY124" s="194"/>
      <c r="AZ124" s="194"/>
      <c r="BA124" s="194"/>
      <c r="BB124" s="257" t="str">
        <f>IF(COUNTBLANK(AX124:BA124)=4,"",SUM(AX124:AZ124)+IF(Setup!$I$15="No",0,BA124))</f>
        <v/>
      </c>
      <c r="BC124" s="261">
        <f ca="1">IF('Demand background (hide)'!A115=Num_Modalities,"",SUM(Demand!I124, Demand!N124))</f>
        <v>13</v>
      </c>
      <c r="BD124" s="261">
        <f ca="1">IF(AND(A124&lt;=MaxRows,BE124&lt;&gt;"Yes"),'Demand background (hide)'!X115+IF(Setup!$I$15="Yes",'Demand background (hide)'!AJ115,0),"")</f>
        <v>470</v>
      </c>
      <c r="BE124" s="211"/>
    </row>
    <row r="125" spans="1:59" ht="15" x14ac:dyDescent="0.25">
      <c r="A125">
        <f t="shared" ca="1" si="4"/>
        <v>113</v>
      </c>
      <c r="B125" s="266" t="str">
        <f t="shared" ca="1" si="5"/>
        <v xml:space="preserve"> </v>
      </c>
      <c r="C125" s="267">
        <f t="shared" ca="1" si="6"/>
        <v>21</v>
      </c>
      <c r="D125" s="424">
        <f t="shared" ca="1" si="7"/>
        <v>43245</v>
      </c>
      <c r="E125" s="194"/>
      <c r="F125" s="194">
        <v>0</v>
      </c>
      <c r="G125" s="194">
        <v>3</v>
      </c>
      <c r="H125" s="194"/>
      <c r="I125" s="253">
        <f>IF(COUNTBLANK(E125:H125)=4,"",SUM(E125:G125)+IF(Setup!$I$15="No",0,H125))</f>
        <v>3</v>
      </c>
      <c r="J125" s="194"/>
      <c r="K125" s="194">
        <v>2</v>
      </c>
      <c r="L125" s="194">
        <v>6</v>
      </c>
      <c r="M125" s="194"/>
      <c r="N125" s="257">
        <f>IF(COUNTBLANK(J125:M125)=4,"",SUM(J125:L125)+IF(Setup!$I$15="No",0,M125))</f>
        <v>8</v>
      </c>
      <c r="O125" s="194"/>
      <c r="P125" s="194"/>
      <c r="Q125" s="194"/>
      <c r="R125" s="194"/>
      <c r="S125" s="257" t="str">
        <f>IF(COUNTBLANK(O125:R125)=4,"",SUM(O125:Q125)+IF(Setup!$I$15="No",0,R125))</f>
        <v/>
      </c>
      <c r="T125" s="194"/>
      <c r="U125" s="194"/>
      <c r="V125" s="194"/>
      <c r="W125" s="194"/>
      <c r="X125" s="257" t="str">
        <f>IF(COUNTBLANK(T125:W125)=4,"",SUM(T125:V125)+IF(Setup!$I$15="No",0,W125))</f>
        <v/>
      </c>
      <c r="Y125" s="194"/>
      <c r="Z125" s="194"/>
      <c r="AA125" s="194"/>
      <c r="AB125" s="194"/>
      <c r="AC125" s="257" t="str">
        <f>IF(COUNTBLANK(Y125:AB125)=4,"",SUM(Y125:AA125)+IF(Setup!$I$15="No",0,AB125))</f>
        <v/>
      </c>
      <c r="AD125" s="194"/>
      <c r="AE125" s="194"/>
      <c r="AF125" s="194"/>
      <c r="AG125" s="194"/>
      <c r="AH125" s="257" t="str">
        <f>IF(COUNTBLANK(AD125:AG125)=4,"",SUM(AD125:AF125)+IF(Setup!$I$15="No",0,AG125))</f>
        <v/>
      </c>
      <c r="AI125" s="194"/>
      <c r="AJ125" s="194"/>
      <c r="AK125" s="194"/>
      <c r="AL125" s="194"/>
      <c r="AM125" s="257" t="str">
        <f>IF(COUNTBLANK(AI125:AL125)=4,"",SUM(AI125:AK125)+IF(Setup!$I$15="No",0,AL125))</f>
        <v/>
      </c>
      <c r="AN125" s="194"/>
      <c r="AO125" s="194"/>
      <c r="AP125" s="194"/>
      <c r="AQ125" s="194"/>
      <c r="AR125" s="257" t="str">
        <f>IF(COUNTBLANK(AN125:AQ125)=4,"",SUM(AN125:AP125)+IF(Setup!$I$15="No",0,AQ125))</f>
        <v/>
      </c>
      <c r="AS125" s="194"/>
      <c r="AT125" s="194"/>
      <c r="AU125" s="194"/>
      <c r="AV125" s="194"/>
      <c r="AW125" s="257" t="str">
        <f>IF(COUNTBLANK(AS125:AV125)=4,"",SUM(AS125:AU125)+IF(Setup!$I$15="No",0,AV125))</f>
        <v/>
      </c>
      <c r="AX125" s="194"/>
      <c r="AY125" s="194"/>
      <c r="AZ125" s="194"/>
      <c r="BA125" s="194"/>
      <c r="BB125" s="257" t="str">
        <f>IF(COUNTBLANK(AX125:BA125)=4,"",SUM(AX125:AZ125)+IF(Setup!$I$15="No",0,BA125))</f>
        <v/>
      </c>
      <c r="BC125" s="261">
        <f ca="1">IF('Demand background (hide)'!A116=Num_Modalities,"",SUM(Demand!I125, Demand!N125))</f>
        <v>11</v>
      </c>
      <c r="BD125" s="261">
        <f ca="1">IF(AND(A125&lt;=MaxRows,BE125&lt;&gt;"Yes"),'Demand background (hide)'!X116+IF(Setup!$I$15="Yes",'Demand background (hide)'!AJ116,0),"")</f>
        <v>410</v>
      </c>
      <c r="BE125" s="211"/>
    </row>
    <row r="126" spans="1:59" ht="15" x14ac:dyDescent="0.25">
      <c r="A126">
        <f t="shared" ca="1" si="4"/>
        <v>114</v>
      </c>
      <c r="B126" s="266" t="str">
        <f t="shared" ca="1" si="5"/>
        <v xml:space="preserve"> </v>
      </c>
      <c r="C126" s="267">
        <f t="shared" ca="1" si="6"/>
        <v>22</v>
      </c>
      <c r="D126" s="424">
        <f t="shared" ca="1" si="7"/>
        <v>43252</v>
      </c>
      <c r="E126" s="194"/>
      <c r="F126" s="194">
        <v>0</v>
      </c>
      <c r="G126" s="194">
        <v>3</v>
      </c>
      <c r="H126" s="194"/>
      <c r="I126" s="253">
        <f>IF(COUNTBLANK(E126:H126)=4,"",SUM(E126:G126)+IF(Setup!$I$15="No",0,H126))</f>
        <v>3</v>
      </c>
      <c r="J126" s="194"/>
      <c r="K126" s="194">
        <v>1</v>
      </c>
      <c r="L126" s="194">
        <v>6</v>
      </c>
      <c r="M126" s="194"/>
      <c r="N126" s="257">
        <f>IF(COUNTBLANK(J126:M126)=4,"",SUM(J126:L126)+IF(Setup!$I$15="No",0,M126))</f>
        <v>7</v>
      </c>
      <c r="O126" s="194"/>
      <c r="P126" s="194"/>
      <c r="Q126" s="194"/>
      <c r="R126" s="194"/>
      <c r="S126" s="257" t="str">
        <f>IF(COUNTBLANK(O126:R126)=4,"",SUM(O126:Q126)+IF(Setup!$I$15="No",0,R126))</f>
        <v/>
      </c>
      <c r="T126" s="194"/>
      <c r="U126" s="194"/>
      <c r="V126" s="194"/>
      <c r="W126" s="194"/>
      <c r="X126" s="257" t="str">
        <f>IF(COUNTBLANK(T126:W126)=4,"",SUM(T126:V126)+IF(Setup!$I$15="No",0,W126))</f>
        <v/>
      </c>
      <c r="Y126" s="194"/>
      <c r="Z126" s="194"/>
      <c r="AA126" s="194"/>
      <c r="AB126" s="194"/>
      <c r="AC126" s="257" t="str">
        <f>IF(COUNTBLANK(Y126:AB126)=4,"",SUM(Y126:AA126)+IF(Setup!$I$15="No",0,AB126))</f>
        <v/>
      </c>
      <c r="AD126" s="194"/>
      <c r="AE126" s="194"/>
      <c r="AF126" s="194"/>
      <c r="AG126" s="194"/>
      <c r="AH126" s="257" t="str">
        <f>IF(COUNTBLANK(AD126:AG126)=4,"",SUM(AD126:AF126)+IF(Setup!$I$15="No",0,AG126))</f>
        <v/>
      </c>
      <c r="AI126" s="194"/>
      <c r="AJ126" s="194"/>
      <c r="AK126" s="194"/>
      <c r="AL126" s="194"/>
      <c r="AM126" s="257" t="str">
        <f>IF(COUNTBLANK(AI126:AL126)=4,"",SUM(AI126:AK126)+IF(Setup!$I$15="No",0,AL126))</f>
        <v/>
      </c>
      <c r="AN126" s="194"/>
      <c r="AO126" s="194"/>
      <c r="AP126" s="194"/>
      <c r="AQ126" s="194"/>
      <c r="AR126" s="257" t="str">
        <f>IF(COUNTBLANK(AN126:AQ126)=4,"",SUM(AN126:AP126)+IF(Setup!$I$15="No",0,AQ126))</f>
        <v/>
      </c>
      <c r="AS126" s="194"/>
      <c r="AT126" s="194"/>
      <c r="AU126" s="194"/>
      <c r="AV126" s="194"/>
      <c r="AW126" s="257" t="str">
        <f>IF(COUNTBLANK(AS126:AV126)=4,"",SUM(AS126:AU126)+IF(Setup!$I$15="No",0,AV126))</f>
        <v/>
      </c>
      <c r="AX126" s="194"/>
      <c r="AY126" s="194"/>
      <c r="AZ126" s="194"/>
      <c r="BA126" s="194"/>
      <c r="BB126" s="257" t="str">
        <f>IF(COUNTBLANK(AX126:BA126)=4,"",SUM(AX126:AZ126)+IF(Setup!$I$15="No",0,BA126))</f>
        <v/>
      </c>
      <c r="BC126" s="261">
        <f ca="1">IF('Demand background (hide)'!A117=Num_Modalities,"",SUM(Demand!I126, Demand!N126))</f>
        <v>10</v>
      </c>
      <c r="BD126" s="261">
        <f ca="1">IF(AND(A126&lt;=MaxRows,BE126&lt;&gt;"Yes"),'Demand background (hide)'!X117+IF(Setup!$I$15="Yes",'Demand background (hide)'!AJ117,0),"")</f>
        <v>370</v>
      </c>
      <c r="BE126" s="211"/>
    </row>
    <row r="127" spans="1:59" ht="15" x14ac:dyDescent="0.25">
      <c r="A127">
        <f t="shared" ca="1" si="4"/>
        <v>115</v>
      </c>
      <c r="B127" s="266" t="str">
        <f t="shared" ca="1" si="5"/>
        <v xml:space="preserve"> </v>
      </c>
      <c r="C127" s="267">
        <f t="shared" ca="1" si="6"/>
        <v>23</v>
      </c>
      <c r="D127" s="424">
        <f t="shared" ca="1" si="7"/>
        <v>43259</v>
      </c>
      <c r="E127" s="194"/>
      <c r="F127" s="194">
        <v>1</v>
      </c>
      <c r="G127" s="194">
        <v>4</v>
      </c>
      <c r="H127" s="194"/>
      <c r="I127" s="253">
        <f>IF(COUNTBLANK(E127:H127)=4,"",SUM(E127:G127)+IF(Setup!$I$15="No",0,H127))</f>
        <v>5</v>
      </c>
      <c r="J127" s="194"/>
      <c r="K127" s="194">
        <v>2</v>
      </c>
      <c r="L127" s="194">
        <v>5</v>
      </c>
      <c r="M127" s="194"/>
      <c r="N127" s="257">
        <f>IF(COUNTBLANK(J127:M127)=4,"",SUM(J127:L127)+IF(Setup!$I$15="No",0,M127))</f>
        <v>7</v>
      </c>
      <c r="O127" s="194"/>
      <c r="P127" s="194"/>
      <c r="Q127" s="194"/>
      <c r="R127" s="194"/>
      <c r="S127" s="257" t="str">
        <f>IF(COUNTBLANK(O127:R127)=4,"",SUM(O127:Q127)+IF(Setup!$I$15="No",0,R127))</f>
        <v/>
      </c>
      <c r="T127" s="194"/>
      <c r="U127" s="194"/>
      <c r="V127" s="194"/>
      <c r="W127" s="194"/>
      <c r="X127" s="257" t="str">
        <f>IF(COUNTBLANK(T127:W127)=4,"",SUM(T127:V127)+IF(Setup!$I$15="No",0,W127))</f>
        <v/>
      </c>
      <c r="Y127" s="194"/>
      <c r="Z127" s="194"/>
      <c r="AA127" s="194"/>
      <c r="AB127" s="194"/>
      <c r="AC127" s="257" t="str">
        <f>IF(COUNTBLANK(Y127:AB127)=4,"",SUM(Y127:AA127)+IF(Setup!$I$15="No",0,AB127))</f>
        <v/>
      </c>
      <c r="AD127" s="194"/>
      <c r="AE127" s="194"/>
      <c r="AF127" s="194"/>
      <c r="AG127" s="194"/>
      <c r="AH127" s="257" t="str">
        <f>IF(COUNTBLANK(AD127:AG127)=4,"",SUM(AD127:AF127)+IF(Setup!$I$15="No",0,AG127))</f>
        <v/>
      </c>
      <c r="AI127" s="194"/>
      <c r="AJ127" s="194"/>
      <c r="AK127" s="194"/>
      <c r="AL127" s="194"/>
      <c r="AM127" s="257" t="str">
        <f>IF(COUNTBLANK(AI127:AL127)=4,"",SUM(AI127:AK127)+IF(Setup!$I$15="No",0,AL127))</f>
        <v/>
      </c>
      <c r="AN127" s="194"/>
      <c r="AO127" s="194"/>
      <c r="AP127" s="194"/>
      <c r="AQ127" s="194"/>
      <c r="AR127" s="257" t="str">
        <f>IF(COUNTBLANK(AN127:AQ127)=4,"",SUM(AN127:AP127)+IF(Setup!$I$15="No",0,AQ127))</f>
        <v/>
      </c>
      <c r="AS127" s="194"/>
      <c r="AT127" s="194"/>
      <c r="AU127" s="194"/>
      <c r="AV127" s="194"/>
      <c r="AW127" s="257" t="str">
        <f>IF(COUNTBLANK(AS127:AV127)=4,"",SUM(AS127:AU127)+IF(Setup!$I$15="No",0,AV127))</f>
        <v/>
      </c>
      <c r="AX127" s="194"/>
      <c r="AY127" s="194"/>
      <c r="AZ127" s="194"/>
      <c r="BA127" s="194"/>
      <c r="BB127" s="257" t="str">
        <f>IF(COUNTBLANK(AX127:BA127)=4,"",SUM(AX127:AZ127)+IF(Setup!$I$15="No",0,BA127))</f>
        <v/>
      </c>
      <c r="BC127" s="261">
        <f ca="1">IF('Demand background (hide)'!A118=Num_Modalities,"",SUM(Demand!I127, Demand!N127))</f>
        <v>12</v>
      </c>
      <c r="BD127" s="261">
        <f ca="1">IF(AND(A127&lt;=MaxRows,BE127&lt;&gt;"Yes"),'Demand background (hide)'!X118+IF(Setup!$I$15="Yes",'Demand background (hide)'!AJ118,0),"")</f>
        <v>430</v>
      </c>
      <c r="BE127" s="211"/>
    </row>
    <row r="128" spans="1:59" ht="15" x14ac:dyDescent="0.25">
      <c r="A128">
        <f t="shared" ca="1" si="4"/>
        <v>116</v>
      </c>
      <c r="B128" s="266" t="str">
        <f t="shared" ca="1" si="5"/>
        <v xml:space="preserve"> </v>
      </c>
      <c r="C128" s="267">
        <f t="shared" ca="1" si="6"/>
        <v>24</v>
      </c>
      <c r="D128" s="424">
        <f t="shared" ca="1" si="7"/>
        <v>43266</v>
      </c>
      <c r="E128" s="194"/>
      <c r="F128" s="194">
        <v>0</v>
      </c>
      <c r="G128" s="194">
        <v>5</v>
      </c>
      <c r="H128" s="194"/>
      <c r="I128" s="253">
        <f>IF(COUNTBLANK(E128:H128)=4,"",SUM(E128:G128)+IF(Setup!$I$15="No",0,H128))</f>
        <v>5</v>
      </c>
      <c r="J128" s="194"/>
      <c r="K128" s="194">
        <v>1</v>
      </c>
      <c r="L128" s="194">
        <v>11</v>
      </c>
      <c r="M128" s="194"/>
      <c r="N128" s="257">
        <f>IF(COUNTBLANK(J128:M128)=4,"",SUM(J128:L128)+IF(Setup!$I$15="No",0,M128))</f>
        <v>12</v>
      </c>
      <c r="O128" s="194"/>
      <c r="P128" s="194"/>
      <c r="Q128" s="194"/>
      <c r="R128" s="194"/>
      <c r="S128" s="257" t="str">
        <f>IF(COUNTBLANK(O128:R128)=4,"",SUM(O128:Q128)+IF(Setup!$I$15="No",0,R128))</f>
        <v/>
      </c>
      <c r="T128" s="194"/>
      <c r="U128" s="194"/>
      <c r="V128" s="194"/>
      <c r="W128" s="194"/>
      <c r="X128" s="257" t="str">
        <f>IF(COUNTBLANK(T128:W128)=4,"",SUM(T128:V128)+IF(Setup!$I$15="No",0,W128))</f>
        <v/>
      </c>
      <c r="Y128" s="194"/>
      <c r="Z128" s="194"/>
      <c r="AA128" s="194"/>
      <c r="AB128" s="194"/>
      <c r="AC128" s="257" t="str">
        <f>IF(COUNTBLANK(Y128:AB128)=4,"",SUM(Y128:AA128)+IF(Setup!$I$15="No",0,AB128))</f>
        <v/>
      </c>
      <c r="AD128" s="194"/>
      <c r="AE128" s="194"/>
      <c r="AF128" s="194"/>
      <c r="AG128" s="194"/>
      <c r="AH128" s="257" t="str">
        <f>IF(COUNTBLANK(AD128:AG128)=4,"",SUM(AD128:AF128)+IF(Setup!$I$15="No",0,AG128))</f>
        <v/>
      </c>
      <c r="AI128" s="194"/>
      <c r="AJ128" s="194"/>
      <c r="AK128" s="194"/>
      <c r="AL128" s="194"/>
      <c r="AM128" s="257" t="str">
        <f>IF(COUNTBLANK(AI128:AL128)=4,"",SUM(AI128:AK128)+IF(Setup!$I$15="No",0,AL128))</f>
        <v/>
      </c>
      <c r="AN128" s="194"/>
      <c r="AO128" s="194"/>
      <c r="AP128" s="194"/>
      <c r="AQ128" s="194"/>
      <c r="AR128" s="257" t="str">
        <f>IF(COUNTBLANK(AN128:AQ128)=4,"",SUM(AN128:AP128)+IF(Setup!$I$15="No",0,AQ128))</f>
        <v/>
      </c>
      <c r="AS128" s="194"/>
      <c r="AT128" s="194"/>
      <c r="AU128" s="194"/>
      <c r="AV128" s="194"/>
      <c r="AW128" s="257" t="str">
        <f>IF(COUNTBLANK(AS128:AV128)=4,"",SUM(AS128:AU128)+IF(Setup!$I$15="No",0,AV128))</f>
        <v/>
      </c>
      <c r="AX128" s="194"/>
      <c r="AY128" s="194"/>
      <c r="AZ128" s="194"/>
      <c r="BA128" s="194"/>
      <c r="BB128" s="257" t="str">
        <f>IF(COUNTBLANK(AX128:BA128)=4,"",SUM(AX128:AZ128)+IF(Setup!$I$15="No",0,BA128))</f>
        <v/>
      </c>
      <c r="BC128" s="261">
        <f ca="1">IF('Demand background (hide)'!A119=Num_Modalities,"",SUM(Demand!I128, Demand!N128))</f>
        <v>17</v>
      </c>
      <c r="BD128" s="261">
        <f ca="1">IF(AND(A128&lt;=MaxRows,BE128&lt;&gt;"Yes"),'Demand background (hide)'!X119+IF(Setup!$I$15="Yes",'Demand background (hide)'!AJ119,0),"")</f>
        <v>630</v>
      </c>
      <c r="BE128" s="211"/>
    </row>
    <row r="129" spans="1:57" ht="15" x14ac:dyDescent="0.25">
      <c r="A129">
        <f t="shared" ca="1" si="4"/>
        <v>117</v>
      </c>
      <c r="B129" s="266" t="str">
        <f t="shared" ca="1" si="5"/>
        <v xml:space="preserve"> </v>
      </c>
      <c r="C129" s="267">
        <f t="shared" ca="1" si="6"/>
        <v>25</v>
      </c>
      <c r="D129" s="424">
        <f t="shared" ca="1" si="7"/>
        <v>43273</v>
      </c>
      <c r="E129" s="194"/>
      <c r="F129" s="194">
        <v>3</v>
      </c>
      <c r="G129" s="194">
        <v>3</v>
      </c>
      <c r="H129" s="194"/>
      <c r="I129" s="253">
        <f>IF(COUNTBLANK(E129:H129)=4,"",SUM(E129:G129)+IF(Setup!$I$15="No",0,H129))</f>
        <v>6</v>
      </c>
      <c r="J129" s="194"/>
      <c r="K129" s="194">
        <v>0</v>
      </c>
      <c r="L129" s="194">
        <v>9</v>
      </c>
      <c r="M129" s="194"/>
      <c r="N129" s="257">
        <f>IF(COUNTBLANK(J129:M129)=4,"",SUM(J129:L129)+IF(Setup!$I$15="No",0,M129))</f>
        <v>9</v>
      </c>
      <c r="O129" s="194"/>
      <c r="P129" s="194"/>
      <c r="Q129" s="194"/>
      <c r="R129" s="194"/>
      <c r="S129" s="257" t="str">
        <f>IF(COUNTBLANK(O129:R129)=4,"",SUM(O129:Q129)+IF(Setup!$I$15="No",0,R129))</f>
        <v/>
      </c>
      <c r="T129" s="194"/>
      <c r="U129" s="194"/>
      <c r="V129" s="194"/>
      <c r="W129" s="194"/>
      <c r="X129" s="257" t="str">
        <f>IF(COUNTBLANK(T129:W129)=4,"",SUM(T129:V129)+IF(Setup!$I$15="No",0,W129))</f>
        <v/>
      </c>
      <c r="Y129" s="194"/>
      <c r="Z129" s="194"/>
      <c r="AA129" s="194"/>
      <c r="AB129" s="194"/>
      <c r="AC129" s="257" t="str">
        <f>IF(COUNTBLANK(Y129:AB129)=4,"",SUM(Y129:AA129)+IF(Setup!$I$15="No",0,AB129))</f>
        <v/>
      </c>
      <c r="AD129" s="194"/>
      <c r="AE129" s="194"/>
      <c r="AF129" s="194"/>
      <c r="AG129" s="194"/>
      <c r="AH129" s="257" t="str">
        <f>IF(COUNTBLANK(AD129:AG129)=4,"",SUM(AD129:AF129)+IF(Setup!$I$15="No",0,AG129))</f>
        <v/>
      </c>
      <c r="AI129" s="194"/>
      <c r="AJ129" s="194"/>
      <c r="AK129" s="194"/>
      <c r="AL129" s="194"/>
      <c r="AM129" s="257" t="str">
        <f>IF(COUNTBLANK(AI129:AL129)=4,"",SUM(AI129:AK129)+IF(Setup!$I$15="No",0,AL129))</f>
        <v/>
      </c>
      <c r="AN129" s="194"/>
      <c r="AO129" s="194"/>
      <c r="AP129" s="194"/>
      <c r="AQ129" s="194"/>
      <c r="AR129" s="257" t="str">
        <f>IF(COUNTBLANK(AN129:AQ129)=4,"",SUM(AN129:AP129)+IF(Setup!$I$15="No",0,AQ129))</f>
        <v/>
      </c>
      <c r="AS129" s="194"/>
      <c r="AT129" s="194"/>
      <c r="AU129" s="194"/>
      <c r="AV129" s="194"/>
      <c r="AW129" s="257" t="str">
        <f>IF(COUNTBLANK(AS129:AV129)=4,"",SUM(AS129:AU129)+IF(Setup!$I$15="No",0,AV129))</f>
        <v/>
      </c>
      <c r="AX129" s="194"/>
      <c r="AY129" s="194"/>
      <c r="AZ129" s="194"/>
      <c r="BA129" s="194"/>
      <c r="BB129" s="257" t="str">
        <f>IF(COUNTBLANK(AX129:BA129)=4,"",SUM(AX129:AZ129)+IF(Setup!$I$15="No",0,BA129))</f>
        <v/>
      </c>
      <c r="BC129" s="261">
        <f ca="1">IF('Demand background (hide)'!A120=Num_Modalities,"",SUM(Demand!I129, Demand!N129))</f>
        <v>15</v>
      </c>
      <c r="BD129" s="261">
        <f ca="1">IF(AND(A129&lt;=MaxRows,BE129&lt;&gt;"Yes"),'Demand background (hide)'!X120+IF(Setup!$I$15="Yes",'Demand background (hide)'!AJ120,0),"")</f>
        <v>540</v>
      </c>
      <c r="BE129" s="211"/>
    </row>
    <row r="130" spans="1:57" ht="15" x14ac:dyDescent="0.25">
      <c r="A130">
        <f t="shared" ca="1" si="4"/>
        <v>118</v>
      </c>
      <c r="B130" s="266" t="str">
        <f t="shared" ca="1" si="5"/>
        <v xml:space="preserve"> </v>
      </c>
      <c r="C130" s="267">
        <f t="shared" ca="1" si="6"/>
        <v>26</v>
      </c>
      <c r="D130" s="424">
        <f t="shared" ca="1" si="7"/>
        <v>43280</v>
      </c>
      <c r="E130" s="194"/>
      <c r="F130" s="194">
        <v>0</v>
      </c>
      <c r="G130" s="194">
        <v>3</v>
      </c>
      <c r="H130" s="194"/>
      <c r="I130" s="253">
        <f>IF(COUNTBLANK(E130:H130)=4,"",SUM(E130:G130)+IF(Setup!$I$15="No",0,H130))</f>
        <v>3</v>
      </c>
      <c r="J130" s="194"/>
      <c r="K130" s="194">
        <v>2</v>
      </c>
      <c r="L130" s="194">
        <v>6</v>
      </c>
      <c r="M130" s="194"/>
      <c r="N130" s="257">
        <f>IF(COUNTBLANK(J130:M130)=4,"",SUM(J130:L130)+IF(Setup!$I$15="No",0,M130))</f>
        <v>8</v>
      </c>
      <c r="O130" s="194"/>
      <c r="P130" s="194"/>
      <c r="Q130" s="194"/>
      <c r="R130" s="194"/>
      <c r="S130" s="257" t="str">
        <f>IF(COUNTBLANK(O130:R130)=4,"",SUM(O130:Q130)+IF(Setup!$I$15="No",0,R130))</f>
        <v/>
      </c>
      <c r="T130" s="194"/>
      <c r="U130" s="194"/>
      <c r="V130" s="194"/>
      <c r="W130" s="194"/>
      <c r="X130" s="257" t="str">
        <f>IF(COUNTBLANK(T130:W130)=4,"",SUM(T130:V130)+IF(Setup!$I$15="No",0,W130))</f>
        <v/>
      </c>
      <c r="Y130" s="194"/>
      <c r="Z130" s="194"/>
      <c r="AA130" s="194"/>
      <c r="AB130" s="194"/>
      <c r="AC130" s="257" t="str">
        <f>IF(COUNTBLANK(Y130:AB130)=4,"",SUM(Y130:AA130)+IF(Setup!$I$15="No",0,AB130))</f>
        <v/>
      </c>
      <c r="AD130" s="194"/>
      <c r="AE130" s="194"/>
      <c r="AF130" s="194"/>
      <c r="AG130" s="194"/>
      <c r="AH130" s="257" t="str">
        <f>IF(COUNTBLANK(AD130:AG130)=4,"",SUM(AD130:AF130)+IF(Setup!$I$15="No",0,AG130))</f>
        <v/>
      </c>
      <c r="AI130" s="194"/>
      <c r="AJ130" s="194"/>
      <c r="AK130" s="194"/>
      <c r="AL130" s="194"/>
      <c r="AM130" s="257" t="str">
        <f>IF(COUNTBLANK(AI130:AL130)=4,"",SUM(AI130:AK130)+IF(Setup!$I$15="No",0,AL130))</f>
        <v/>
      </c>
      <c r="AN130" s="194"/>
      <c r="AO130" s="194"/>
      <c r="AP130" s="194"/>
      <c r="AQ130" s="194"/>
      <c r="AR130" s="257" t="str">
        <f>IF(COUNTBLANK(AN130:AQ130)=4,"",SUM(AN130:AP130)+IF(Setup!$I$15="No",0,AQ130))</f>
        <v/>
      </c>
      <c r="AS130" s="194"/>
      <c r="AT130" s="194"/>
      <c r="AU130" s="194"/>
      <c r="AV130" s="194"/>
      <c r="AW130" s="257" t="str">
        <f>IF(COUNTBLANK(AS130:AV130)=4,"",SUM(AS130:AU130)+IF(Setup!$I$15="No",0,AV130))</f>
        <v/>
      </c>
      <c r="AX130" s="194"/>
      <c r="AY130" s="194"/>
      <c r="AZ130" s="194"/>
      <c r="BA130" s="194"/>
      <c r="BB130" s="257" t="str">
        <f>IF(COUNTBLANK(AX130:BA130)=4,"",SUM(AX130:AZ130)+IF(Setup!$I$15="No",0,BA130))</f>
        <v/>
      </c>
      <c r="BC130" s="261">
        <f ca="1">IF('Demand background (hide)'!A121=Num_Modalities,"",SUM(Demand!I130, Demand!N130))</f>
        <v>11</v>
      </c>
      <c r="BD130" s="261">
        <f ca="1">IF(AND(A130&lt;=MaxRows,BE130&lt;&gt;"Yes"),'Demand background (hide)'!X121+IF(Setup!$I$15="Yes",'Demand background (hide)'!AJ121,0),"")</f>
        <v>410</v>
      </c>
      <c r="BE130" s="211"/>
    </row>
    <row r="131" spans="1:57" ht="15" x14ac:dyDescent="0.25">
      <c r="A131">
        <f t="shared" ca="1" si="4"/>
        <v>119</v>
      </c>
      <c r="B131" s="266" t="str">
        <f t="shared" ca="1" si="5"/>
        <v xml:space="preserve"> </v>
      </c>
      <c r="C131" s="267">
        <f t="shared" ca="1" si="6"/>
        <v>27</v>
      </c>
      <c r="D131" s="424">
        <f t="shared" ca="1" si="7"/>
        <v>43287</v>
      </c>
      <c r="E131" s="194"/>
      <c r="F131" s="194">
        <v>3</v>
      </c>
      <c r="G131" s="194">
        <v>3</v>
      </c>
      <c r="H131" s="194"/>
      <c r="I131" s="253">
        <f>IF(COUNTBLANK(E131:H131)=4,"",SUM(E131:G131)+IF(Setup!$I$15="No",0,H131))</f>
        <v>6</v>
      </c>
      <c r="J131" s="194"/>
      <c r="K131" s="194">
        <v>1</v>
      </c>
      <c r="L131" s="194">
        <v>6</v>
      </c>
      <c r="M131" s="194"/>
      <c r="N131" s="257">
        <f>IF(COUNTBLANK(J131:M131)=4,"",SUM(J131:L131)+IF(Setup!$I$15="No",0,M131))</f>
        <v>7</v>
      </c>
      <c r="O131" s="194"/>
      <c r="P131" s="194"/>
      <c r="Q131" s="194"/>
      <c r="R131" s="194"/>
      <c r="S131" s="257" t="str">
        <f>IF(COUNTBLANK(O131:R131)=4,"",SUM(O131:Q131)+IF(Setup!$I$15="No",0,R131))</f>
        <v/>
      </c>
      <c r="T131" s="194"/>
      <c r="U131" s="194"/>
      <c r="V131" s="194"/>
      <c r="W131" s="194"/>
      <c r="X131" s="257" t="str">
        <f>IF(COUNTBLANK(T131:W131)=4,"",SUM(T131:V131)+IF(Setup!$I$15="No",0,W131))</f>
        <v/>
      </c>
      <c r="Y131" s="194"/>
      <c r="Z131" s="194"/>
      <c r="AA131" s="194"/>
      <c r="AB131" s="194"/>
      <c r="AC131" s="257" t="str">
        <f>IF(COUNTBLANK(Y131:AB131)=4,"",SUM(Y131:AA131)+IF(Setup!$I$15="No",0,AB131))</f>
        <v/>
      </c>
      <c r="AD131" s="194"/>
      <c r="AE131" s="194"/>
      <c r="AF131" s="194"/>
      <c r="AG131" s="194"/>
      <c r="AH131" s="257" t="str">
        <f>IF(COUNTBLANK(AD131:AG131)=4,"",SUM(AD131:AF131)+IF(Setup!$I$15="No",0,AG131))</f>
        <v/>
      </c>
      <c r="AI131" s="194"/>
      <c r="AJ131" s="194"/>
      <c r="AK131" s="194"/>
      <c r="AL131" s="194"/>
      <c r="AM131" s="257" t="str">
        <f>IF(COUNTBLANK(AI131:AL131)=4,"",SUM(AI131:AK131)+IF(Setup!$I$15="No",0,AL131))</f>
        <v/>
      </c>
      <c r="AN131" s="194"/>
      <c r="AO131" s="194"/>
      <c r="AP131" s="194"/>
      <c r="AQ131" s="194"/>
      <c r="AR131" s="257" t="str">
        <f>IF(COUNTBLANK(AN131:AQ131)=4,"",SUM(AN131:AP131)+IF(Setup!$I$15="No",0,AQ131))</f>
        <v/>
      </c>
      <c r="AS131" s="194"/>
      <c r="AT131" s="194"/>
      <c r="AU131" s="194"/>
      <c r="AV131" s="194"/>
      <c r="AW131" s="257" t="str">
        <f>IF(COUNTBLANK(AS131:AV131)=4,"",SUM(AS131:AU131)+IF(Setup!$I$15="No",0,AV131))</f>
        <v/>
      </c>
      <c r="AX131" s="194"/>
      <c r="AY131" s="194"/>
      <c r="AZ131" s="194"/>
      <c r="BA131" s="194"/>
      <c r="BB131" s="257" t="str">
        <f>IF(COUNTBLANK(AX131:BA131)=4,"",SUM(AX131:AZ131)+IF(Setup!$I$15="No",0,BA131))</f>
        <v/>
      </c>
      <c r="BC131" s="261">
        <f ca="1">IF('Demand background (hide)'!A122=Num_Modalities,"",SUM(Demand!I131, Demand!N131))</f>
        <v>13</v>
      </c>
      <c r="BD131" s="261">
        <f ca="1">IF(AND(A131&lt;=MaxRows,BE131&lt;&gt;"Yes"),'Demand background (hide)'!X122+IF(Setup!$I$15="Yes",'Demand background (hide)'!AJ122,0),"")</f>
        <v>460</v>
      </c>
      <c r="BE131" s="211"/>
    </row>
    <row r="132" spans="1:57" ht="15" x14ac:dyDescent="0.25">
      <c r="A132">
        <f t="shared" ca="1" si="4"/>
        <v>120</v>
      </c>
      <c r="B132" s="266" t="str">
        <f t="shared" ca="1" si="5"/>
        <v xml:space="preserve"> </v>
      </c>
      <c r="C132" s="267">
        <f t="shared" ca="1" si="6"/>
        <v>28</v>
      </c>
      <c r="D132" s="424">
        <f t="shared" ca="1" si="7"/>
        <v>43294</v>
      </c>
      <c r="E132" s="194"/>
      <c r="F132" s="194">
        <v>1</v>
      </c>
      <c r="G132" s="194">
        <v>5</v>
      </c>
      <c r="H132" s="194"/>
      <c r="I132" s="253">
        <f>IF(COUNTBLANK(E132:H132)=4,"",SUM(E132:G132)+IF(Setup!$I$15="No",0,H132))</f>
        <v>6</v>
      </c>
      <c r="J132" s="194"/>
      <c r="K132" s="194">
        <v>4</v>
      </c>
      <c r="L132" s="194">
        <v>7</v>
      </c>
      <c r="M132" s="194"/>
      <c r="N132" s="257">
        <f>IF(COUNTBLANK(J132:M132)=4,"",SUM(J132:L132)+IF(Setup!$I$15="No",0,M132))</f>
        <v>11</v>
      </c>
      <c r="O132" s="194"/>
      <c r="P132" s="194"/>
      <c r="Q132" s="194"/>
      <c r="R132" s="194"/>
      <c r="S132" s="257" t="str">
        <f>IF(COUNTBLANK(O132:R132)=4,"",SUM(O132:Q132)+IF(Setup!$I$15="No",0,R132))</f>
        <v/>
      </c>
      <c r="T132" s="194"/>
      <c r="U132" s="194"/>
      <c r="V132" s="194"/>
      <c r="W132" s="194"/>
      <c r="X132" s="257" t="str">
        <f>IF(COUNTBLANK(T132:W132)=4,"",SUM(T132:V132)+IF(Setup!$I$15="No",0,W132))</f>
        <v/>
      </c>
      <c r="Y132" s="194"/>
      <c r="Z132" s="194"/>
      <c r="AA132" s="194"/>
      <c r="AB132" s="194"/>
      <c r="AC132" s="257" t="str">
        <f>IF(COUNTBLANK(Y132:AB132)=4,"",SUM(Y132:AA132)+IF(Setup!$I$15="No",0,AB132))</f>
        <v/>
      </c>
      <c r="AD132" s="194"/>
      <c r="AE132" s="194"/>
      <c r="AF132" s="194"/>
      <c r="AG132" s="194"/>
      <c r="AH132" s="257" t="str">
        <f>IF(COUNTBLANK(AD132:AG132)=4,"",SUM(AD132:AF132)+IF(Setup!$I$15="No",0,AG132))</f>
        <v/>
      </c>
      <c r="AI132" s="194"/>
      <c r="AJ132" s="194"/>
      <c r="AK132" s="194"/>
      <c r="AL132" s="194"/>
      <c r="AM132" s="257" t="str">
        <f>IF(COUNTBLANK(AI132:AL132)=4,"",SUM(AI132:AK132)+IF(Setup!$I$15="No",0,AL132))</f>
        <v/>
      </c>
      <c r="AN132" s="194"/>
      <c r="AO132" s="194"/>
      <c r="AP132" s="194"/>
      <c r="AQ132" s="194"/>
      <c r="AR132" s="257" t="str">
        <f>IF(COUNTBLANK(AN132:AQ132)=4,"",SUM(AN132:AP132)+IF(Setup!$I$15="No",0,AQ132))</f>
        <v/>
      </c>
      <c r="AS132" s="194"/>
      <c r="AT132" s="194"/>
      <c r="AU132" s="194"/>
      <c r="AV132" s="194"/>
      <c r="AW132" s="257" t="str">
        <f>IF(COUNTBLANK(AS132:AV132)=4,"",SUM(AS132:AU132)+IF(Setup!$I$15="No",0,AV132))</f>
        <v/>
      </c>
      <c r="AX132" s="194"/>
      <c r="AY132" s="194"/>
      <c r="AZ132" s="194"/>
      <c r="BA132" s="194"/>
      <c r="BB132" s="257" t="str">
        <f>IF(COUNTBLANK(AX132:BA132)=4,"",SUM(AX132:AZ132)+IF(Setup!$I$15="No",0,BA132))</f>
        <v/>
      </c>
      <c r="BC132" s="261">
        <f ca="1">IF('Demand background (hide)'!A123=Num_Modalities,"",SUM(Demand!I132, Demand!N132))</f>
        <v>17</v>
      </c>
      <c r="BD132" s="261">
        <f ca="1">IF(AND(A132&lt;=MaxRows,BE132&lt;&gt;"Yes"),'Demand background (hide)'!X123+IF(Setup!$I$15="Yes",'Demand background (hide)'!AJ123,0),"")</f>
        <v>620</v>
      </c>
      <c r="BE132" s="211"/>
    </row>
    <row r="133" spans="1:57" ht="15" x14ac:dyDescent="0.25">
      <c r="A133">
        <f t="shared" ca="1" si="4"/>
        <v>121</v>
      </c>
      <c r="B133" s="266" t="str">
        <f t="shared" ca="1" si="5"/>
        <v xml:space="preserve"> </v>
      </c>
      <c r="C133" s="267">
        <f t="shared" ca="1" si="6"/>
        <v>29</v>
      </c>
      <c r="D133" s="424">
        <f t="shared" ca="1" si="7"/>
        <v>43301</v>
      </c>
      <c r="E133" s="194"/>
      <c r="F133" s="194">
        <v>0</v>
      </c>
      <c r="G133" s="194">
        <v>3</v>
      </c>
      <c r="H133" s="194"/>
      <c r="I133" s="253">
        <f>IF(COUNTBLANK(E133:H133)=4,"",SUM(E133:G133)+IF(Setup!$I$15="No",0,H133))</f>
        <v>3</v>
      </c>
      <c r="J133" s="194"/>
      <c r="K133" s="194">
        <v>2</v>
      </c>
      <c r="L133" s="194">
        <v>6</v>
      </c>
      <c r="M133" s="194"/>
      <c r="N133" s="257">
        <f>IF(COUNTBLANK(J133:M133)=4,"",SUM(J133:L133)+IF(Setup!$I$15="No",0,M133))</f>
        <v>8</v>
      </c>
      <c r="O133" s="194"/>
      <c r="P133" s="194"/>
      <c r="Q133" s="194"/>
      <c r="R133" s="194"/>
      <c r="S133" s="257" t="str">
        <f>IF(COUNTBLANK(O133:R133)=4,"",SUM(O133:Q133)+IF(Setup!$I$15="No",0,R133))</f>
        <v/>
      </c>
      <c r="T133" s="194"/>
      <c r="U133" s="194"/>
      <c r="V133" s="194"/>
      <c r="W133" s="194"/>
      <c r="X133" s="257" t="str">
        <f>IF(COUNTBLANK(T133:W133)=4,"",SUM(T133:V133)+IF(Setup!$I$15="No",0,W133))</f>
        <v/>
      </c>
      <c r="Y133" s="194"/>
      <c r="Z133" s="194"/>
      <c r="AA133" s="194"/>
      <c r="AB133" s="194"/>
      <c r="AC133" s="257" t="str">
        <f>IF(COUNTBLANK(Y133:AB133)=4,"",SUM(Y133:AA133)+IF(Setup!$I$15="No",0,AB133))</f>
        <v/>
      </c>
      <c r="AD133" s="194"/>
      <c r="AE133" s="194"/>
      <c r="AF133" s="194"/>
      <c r="AG133" s="194"/>
      <c r="AH133" s="257" t="str">
        <f>IF(COUNTBLANK(AD133:AG133)=4,"",SUM(AD133:AF133)+IF(Setup!$I$15="No",0,AG133))</f>
        <v/>
      </c>
      <c r="AI133" s="194"/>
      <c r="AJ133" s="194"/>
      <c r="AK133" s="194"/>
      <c r="AL133" s="194"/>
      <c r="AM133" s="257" t="str">
        <f>IF(COUNTBLANK(AI133:AL133)=4,"",SUM(AI133:AK133)+IF(Setup!$I$15="No",0,AL133))</f>
        <v/>
      </c>
      <c r="AN133" s="194"/>
      <c r="AO133" s="194"/>
      <c r="AP133" s="194"/>
      <c r="AQ133" s="194"/>
      <c r="AR133" s="257" t="str">
        <f>IF(COUNTBLANK(AN133:AQ133)=4,"",SUM(AN133:AP133)+IF(Setup!$I$15="No",0,AQ133))</f>
        <v/>
      </c>
      <c r="AS133" s="194"/>
      <c r="AT133" s="194"/>
      <c r="AU133" s="194"/>
      <c r="AV133" s="194"/>
      <c r="AW133" s="257" t="str">
        <f>IF(COUNTBLANK(AS133:AV133)=4,"",SUM(AS133:AU133)+IF(Setup!$I$15="No",0,AV133))</f>
        <v/>
      </c>
      <c r="AX133" s="194"/>
      <c r="AY133" s="194"/>
      <c r="AZ133" s="194"/>
      <c r="BA133" s="194"/>
      <c r="BB133" s="257" t="str">
        <f>IF(COUNTBLANK(AX133:BA133)=4,"",SUM(AX133:AZ133)+IF(Setup!$I$15="No",0,BA133))</f>
        <v/>
      </c>
      <c r="BC133" s="261">
        <f ca="1">IF('Demand background (hide)'!A124=Num_Modalities,"",SUM(Demand!I133, Demand!N133))</f>
        <v>11</v>
      </c>
      <c r="BD133" s="261">
        <f ca="1">IF(AND(A133&lt;=MaxRows,BE133&lt;&gt;"Yes"),'Demand background (hide)'!X124+IF(Setup!$I$15="Yes",'Demand background (hide)'!AJ124,0),"")</f>
        <v>410</v>
      </c>
      <c r="BE133" s="211"/>
    </row>
    <row r="134" spans="1:57" ht="15" x14ac:dyDescent="0.25">
      <c r="A134">
        <f t="shared" ca="1" si="4"/>
        <v>122</v>
      </c>
      <c r="B134" s="266" t="str">
        <f t="shared" ca="1" si="5"/>
        <v xml:space="preserve"> </v>
      </c>
      <c r="C134" s="267">
        <f t="shared" ca="1" si="6"/>
        <v>30</v>
      </c>
      <c r="D134" s="424">
        <f t="shared" ca="1" si="7"/>
        <v>43308</v>
      </c>
      <c r="E134" s="194"/>
      <c r="F134" s="194">
        <v>0</v>
      </c>
      <c r="G134" s="194">
        <v>2</v>
      </c>
      <c r="H134" s="194"/>
      <c r="I134" s="253">
        <f>IF(COUNTBLANK(E134:H134)=4,"",SUM(E134:G134)+IF(Setup!$I$15="No",0,H134))</f>
        <v>2</v>
      </c>
      <c r="J134" s="194"/>
      <c r="K134" s="194">
        <v>1</v>
      </c>
      <c r="L134" s="194">
        <v>8</v>
      </c>
      <c r="M134" s="194"/>
      <c r="N134" s="257">
        <f>IF(COUNTBLANK(J134:M134)=4,"",SUM(J134:L134)+IF(Setup!$I$15="No",0,M134))</f>
        <v>9</v>
      </c>
      <c r="O134" s="194"/>
      <c r="P134" s="194"/>
      <c r="Q134" s="194"/>
      <c r="R134" s="194"/>
      <c r="S134" s="257" t="str">
        <f>IF(COUNTBLANK(O134:R134)=4,"",SUM(O134:Q134)+IF(Setup!$I$15="No",0,R134))</f>
        <v/>
      </c>
      <c r="T134" s="194"/>
      <c r="U134" s="194"/>
      <c r="V134" s="194"/>
      <c r="W134" s="194"/>
      <c r="X134" s="257" t="str">
        <f>IF(COUNTBLANK(T134:W134)=4,"",SUM(T134:V134)+IF(Setup!$I$15="No",0,W134))</f>
        <v/>
      </c>
      <c r="Y134" s="194"/>
      <c r="Z134" s="194"/>
      <c r="AA134" s="194"/>
      <c r="AB134" s="194"/>
      <c r="AC134" s="257" t="str">
        <f>IF(COUNTBLANK(Y134:AB134)=4,"",SUM(Y134:AA134)+IF(Setup!$I$15="No",0,AB134))</f>
        <v/>
      </c>
      <c r="AD134" s="194"/>
      <c r="AE134" s="194"/>
      <c r="AF134" s="194"/>
      <c r="AG134" s="194"/>
      <c r="AH134" s="257" t="str">
        <f>IF(COUNTBLANK(AD134:AG134)=4,"",SUM(AD134:AF134)+IF(Setup!$I$15="No",0,AG134))</f>
        <v/>
      </c>
      <c r="AI134" s="194"/>
      <c r="AJ134" s="194"/>
      <c r="AK134" s="194"/>
      <c r="AL134" s="194"/>
      <c r="AM134" s="257" t="str">
        <f>IF(COUNTBLANK(AI134:AL134)=4,"",SUM(AI134:AK134)+IF(Setup!$I$15="No",0,AL134))</f>
        <v/>
      </c>
      <c r="AN134" s="194"/>
      <c r="AO134" s="194"/>
      <c r="AP134" s="194"/>
      <c r="AQ134" s="194"/>
      <c r="AR134" s="257" t="str">
        <f>IF(COUNTBLANK(AN134:AQ134)=4,"",SUM(AN134:AP134)+IF(Setup!$I$15="No",0,AQ134))</f>
        <v/>
      </c>
      <c r="AS134" s="194"/>
      <c r="AT134" s="194"/>
      <c r="AU134" s="194"/>
      <c r="AV134" s="194"/>
      <c r="AW134" s="257" t="str">
        <f>IF(COUNTBLANK(AS134:AV134)=4,"",SUM(AS134:AU134)+IF(Setup!$I$15="No",0,AV134))</f>
        <v/>
      </c>
      <c r="AX134" s="194"/>
      <c r="AY134" s="194"/>
      <c r="AZ134" s="194"/>
      <c r="BA134" s="194"/>
      <c r="BB134" s="257" t="str">
        <f>IF(COUNTBLANK(AX134:BA134)=4,"",SUM(AX134:AZ134)+IF(Setup!$I$15="No",0,BA134))</f>
        <v/>
      </c>
      <c r="BC134" s="261">
        <f ca="1">IF('Demand background (hide)'!A125=Num_Modalities,"",SUM(Demand!I134, Demand!N134))</f>
        <v>11</v>
      </c>
      <c r="BD134" s="261">
        <f ca="1">IF(AND(A134&lt;=MaxRows,BE134&lt;&gt;"Yes"),'Demand background (hide)'!X125+IF(Setup!$I$15="Yes",'Demand background (hide)'!AJ125,0),"")</f>
        <v>420</v>
      </c>
      <c r="BE134" s="211"/>
    </row>
    <row r="135" spans="1:57" ht="15" x14ac:dyDescent="0.25">
      <c r="A135">
        <f t="shared" ca="1" si="4"/>
        <v>123</v>
      </c>
      <c r="B135" s="266" t="str">
        <f t="shared" ca="1" si="5"/>
        <v xml:space="preserve"> </v>
      </c>
      <c r="C135" s="267">
        <f t="shared" ca="1" si="6"/>
        <v>31</v>
      </c>
      <c r="D135" s="424">
        <f t="shared" ca="1" si="7"/>
        <v>43315</v>
      </c>
      <c r="E135" s="194"/>
      <c r="F135" s="194">
        <v>0</v>
      </c>
      <c r="G135" s="194">
        <v>1</v>
      </c>
      <c r="H135" s="194"/>
      <c r="I135" s="253">
        <f>IF(COUNTBLANK(E135:H135)=4,"",SUM(E135:G135)+IF(Setup!$I$15="No",0,H135))</f>
        <v>1</v>
      </c>
      <c r="J135" s="194"/>
      <c r="K135" s="194">
        <v>1</v>
      </c>
      <c r="L135" s="194">
        <v>5</v>
      </c>
      <c r="M135" s="194"/>
      <c r="N135" s="257">
        <f>IF(COUNTBLANK(J135:M135)=4,"",SUM(J135:L135)+IF(Setup!$I$15="No",0,M135))</f>
        <v>6</v>
      </c>
      <c r="O135" s="194"/>
      <c r="P135" s="194"/>
      <c r="Q135" s="194"/>
      <c r="R135" s="194"/>
      <c r="S135" s="257" t="str">
        <f>IF(COUNTBLANK(O135:R135)=4,"",SUM(O135:Q135)+IF(Setup!$I$15="No",0,R135))</f>
        <v/>
      </c>
      <c r="T135" s="194"/>
      <c r="U135" s="194"/>
      <c r="V135" s="194"/>
      <c r="W135" s="194"/>
      <c r="X135" s="257" t="str">
        <f>IF(COUNTBLANK(T135:W135)=4,"",SUM(T135:V135)+IF(Setup!$I$15="No",0,W135))</f>
        <v/>
      </c>
      <c r="Y135" s="194"/>
      <c r="Z135" s="194"/>
      <c r="AA135" s="194"/>
      <c r="AB135" s="194"/>
      <c r="AC135" s="257" t="str">
        <f>IF(COUNTBLANK(Y135:AB135)=4,"",SUM(Y135:AA135)+IF(Setup!$I$15="No",0,AB135))</f>
        <v/>
      </c>
      <c r="AD135" s="194"/>
      <c r="AE135" s="194"/>
      <c r="AF135" s="194"/>
      <c r="AG135" s="194"/>
      <c r="AH135" s="257" t="str">
        <f>IF(COUNTBLANK(AD135:AG135)=4,"",SUM(AD135:AF135)+IF(Setup!$I$15="No",0,AG135))</f>
        <v/>
      </c>
      <c r="AI135" s="194"/>
      <c r="AJ135" s="194"/>
      <c r="AK135" s="194"/>
      <c r="AL135" s="194"/>
      <c r="AM135" s="257" t="str">
        <f>IF(COUNTBLANK(AI135:AL135)=4,"",SUM(AI135:AK135)+IF(Setup!$I$15="No",0,AL135))</f>
        <v/>
      </c>
      <c r="AN135" s="194"/>
      <c r="AO135" s="194"/>
      <c r="AP135" s="194"/>
      <c r="AQ135" s="194"/>
      <c r="AR135" s="257" t="str">
        <f>IF(COUNTBLANK(AN135:AQ135)=4,"",SUM(AN135:AP135)+IF(Setup!$I$15="No",0,AQ135))</f>
        <v/>
      </c>
      <c r="AS135" s="194"/>
      <c r="AT135" s="194"/>
      <c r="AU135" s="194"/>
      <c r="AV135" s="194"/>
      <c r="AW135" s="257" t="str">
        <f>IF(COUNTBLANK(AS135:AV135)=4,"",SUM(AS135:AU135)+IF(Setup!$I$15="No",0,AV135))</f>
        <v/>
      </c>
      <c r="AX135" s="194"/>
      <c r="AY135" s="194"/>
      <c r="AZ135" s="194"/>
      <c r="BA135" s="194"/>
      <c r="BB135" s="257" t="str">
        <f>IF(COUNTBLANK(AX135:BA135)=4,"",SUM(AX135:AZ135)+IF(Setup!$I$15="No",0,BA135))</f>
        <v/>
      </c>
      <c r="BC135" s="261">
        <f ca="1">IF('Demand background (hide)'!A126=Num_Modalities,"",SUM(Demand!I135, Demand!N135))</f>
        <v>7</v>
      </c>
      <c r="BD135" s="261">
        <f ca="1">IF(AND(A135&lt;=MaxRows,BE135&lt;&gt;"Yes"),'Demand background (hide)'!X126+IF(Setup!$I$15="Yes",'Demand background (hide)'!AJ126,0),"")</f>
        <v>270</v>
      </c>
      <c r="BE135" s="211"/>
    </row>
    <row r="136" spans="1:57" ht="15" x14ac:dyDescent="0.25">
      <c r="A136">
        <f t="shared" ca="1" si="4"/>
        <v>124</v>
      </c>
      <c r="B136" s="266" t="str">
        <f t="shared" ca="1" si="5"/>
        <v xml:space="preserve"> </v>
      </c>
      <c r="C136" s="267">
        <f t="shared" ca="1" si="6"/>
        <v>32</v>
      </c>
      <c r="D136" s="424">
        <f t="shared" ca="1" si="7"/>
        <v>43322</v>
      </c>
      <c r="E136" s="194"/>
      <c r="F136" s="194">
        <v>1</v>
      </c>
      <c r="G136" s="194">
        <v>4</v>
      </c>
      <c r="H136" s="194"/>
      <c r="I136" s="253">
        <f>IF(COUNTBLANK(E136:H136)=4,"",SUM(E136:G136)+IF(Setup!$I$15="No",0,H136))</f>
        <v>5</v>
      </c>
      <c r="J136" s="194"/>
      <c r="K136" s="194">
        <v>1</v>
      </c>
      <c r="L136" s="194">
        <v>8</v>
      </c>
      <c r="M136" s="194"/>
      <c r="N136" s="257">
        <f>IF(COUNTBLANK(J136:M136)=4,"",SUM(J136:L136)+IF(Setup!$I$15="No",0,M136))</f>
        <v>9</v>
      </c>
      <c r="O136" s="194"/>
      <c r="P136" s="194"/>
      <c r="Q136" s="194"/>
      <c r="R136" s="194"/>
      <c r="S136" s="257" t="str">
        <f>IF(COUNTBLANK(O136:R136)=4,"",SUM(O136:Q136)+IF(Setup!$I$15="No",0,R136))</f>
        <v/>
      </c>
      <c r="T136" s="194"/>
      <c r="U136" s="194"/>
      <c r="V136" s="194"/>
      <c r="W136" s="194"/>
      <c r="X136" s="257" t="str">
        <f>IF(COUNTBLANK(T136:W136)=4,"",SUM(T136:V136)+IF(Setup!$I$15="No",0,W136))</f>
        <v/>
      </c>
      <c r="Y136" s="194"/>
      <c r="Z136" s="194"/>
      <c r="AA136" s="194"/>
      <c r="AB136" s="194"/>
      <c r="AC136" s="257" t="str">
        <f>IF(COUNTBLANK(Y136:AB136)=4,"",SUM(Y136:AA136)+IF(Setup!$I$15="No",0,AB136))</f>
        <v/>
      </c>
      <c r="AD136" s="194"/>
      <c r="AE136" s="194"/>
      <c r="AF136" s="194"/>
      <c r="AG136" s="194"/>
      <c r="AH136" s="257" t="str">
        <f>IF(COUNTBLANK(AD136:AG136)=4,"",SUM(AD136:AF136)+IF(Setup!$I$15="No",0,AG136))</f>
        <v/>
      </c>
      <c r="AI136" s="194"/>
      <c r="AJ136" s="194"/>
      <c r="AK136" s="194"/>
      <c r="AL136" s="194"/>
      <c r="AM136" s="257" t="str">
        <f>IF(COUNTBLANK(AI136:AL136)=4,"",SUM(AI136:AK136)+IF(Setup!$I$15="No",0,AL136))</f>
        <v/>
      </c>
      <c r="AN136" s="194"/>
      <c r="AO136" s="194"/>
      <c r="AP136" s="194"/>
      <c r="AQ136" s="194"/>
      <c r="AR136" s="257" t="str">
        <f>IF(COUNTBLANK(AN136:AQ136)=4,"",SUM(AN136:AP136)+IF(Setup!$I$15="No",0,AQ136))</f>
        <v/>
      </c>
      <c r="AS136" s="194"/>
      <c r="AT136" s="194"/>
      <c r="AU136" s="194"/>
      <c r="AV136" s="194"/>
      <c r="AW136" s="257" t="str">
        <f>IF(COUNTBLANK(AS136:AV136)=4,"",SUM(AS136:AU136)+IF(Setup!$I$15="No",0,AV136))</f>
        <v/>
      </c>
      <c r="AX136" s="194"/>
      <c r="AY136" s="194"/>
      <c r="AZ136" s="194"/>
      <c r="BA136" s="194"/>
      <c r="BB136" s="257" t="str">
        <f>IF(COUNTBLANK(AX136:BA136)=4,"",SUM(AX136:AZ136)+IF(Setup!$I$15="No",0,BA136))</f>
        <v/>
      </c>
      <c r="BC136" s="261">
        <f ca="1">IF('Demand background (hide)'!A127=Num_Modalities,"",SUM(Demand!I136, Demand!N136))</f>
        <v>14</v>
      </c>
      <c r="BD136" s="261">
        <f ca="1">IF(AND(A136&lt;=MaxRows,BE136&lt;&gt;"Yes"),'Demand background (hide)'!X127+IF(Setup!$I$15="Yes",'Demand background (hide)'!AJ127,0),"")</f>
        <v>510</v>
      </c>
      <c r="BE136" s="211"/>
    </row>
    <row r="137" spans="1:57" ht="15" x14ac:dyDescent="0.25">
      <c r="A137">
        <f t="shared" ca="1" si="4"/>
        <v>125</v>
      </c>
      <c r="B137" s="266" t="str">
        <f t="shared" ca="1" si="5"/>
        <v xml:space="preserve"> </v>
      </c>
      <c r="C137" s="267">
        <f t="shared" ca="1" si="6"/>
        <v>33</v>
      </c>
      <c r="D137" s="424">
        <f t="shared" ca="1" si="7"/>
        <v>43329</v>
      </c>
      <c r="E137" s="194"/>
      <c r="F137" s="194">
        <v>1</v>
      </c>
      <c r="G137" s="194">
        <v>4</v>
      </c>
      <c r="H137" s="194"/>
      <c r="I137" s="253">
        <f>IF(COUNTBLANK(E137:H137)=4,"",SUM(E137:G137)+IF(Setup!$I$15="No",0,H137))</f>
        <v>5</v>
      </c>
      <c r="J137" s="194"/>
      <c r="K137" s="194">
        <v>3</v>
      </c>
      <c r="L137" s="194">
        <v>11</v>
      </c>
      <c r="M137" s="194"/>
      <c r="N137" s="257">
        <f>IF(COUNTBLANK(J137:M137)=4,"",SUM(J137:L137)+IF(Setup!$I$15="No",0,M137))</f>
        <v>14</v>
      </c>
      <c r="O137" s="194"/>
      <c r="P137" s="194"/>
      <c r="Q137" s="194"/>
      <c r="R137" s="194"/>
      <c r="S137" s="257" t="str">
        <f>IF(COUNTBLANK(O137:R137)=4,"",SUM(O137:Q137)+IF(Setup!$I$15="No",0,R137))</f>
        <v/>
      </c>
      <c r="T137" s="194"/>
      <c r="U137" s="194"/>
      <c r="V137" s="194"/>
      <c r="W137" s="194"/>
      <c r="X137" s="257" t="str">
        <f>IF(COUNTBLANK(T137:W137)=4,"",SUM(T137:V137)+IF(Setup!$I$15="No",0,W137))</f>
        <v/>
      </c>
      <c r="Y137" s="194"/>
      <c r="Z137" s="194"/>
      <c r="AA137" s="194"/>
      <c r="AB137" s="194"/>
      <c r="AC137" s="257" t="str">
        <f>IF(COUNTBLANK(Y137:AB137)=4,"",SUM(Y137:AA137)+IF(Setup!$I$15="No",0,AB137))</f>
        <v/>
      </c>
      <c r="AD137" s="194"/>
      <c r="AE137" s="194"/>
      <c r="AF137" s="194"/>
      <c r="AG137" s="194"/>
      <c r="AH137" s="257" t="str">
        <f>IF(COUNTBLANK(AD137:AG137)=4,"",SUM(AD137:AF137)+IF(Setup!$I$15="No",0,AG137))</f>
        <v/>
      </c>
      <c r="AI137" s="194"/>
      <c r="AJ137" s="194"/>
      <c r="AK137" s="194"/>
      <c r="AL137" s="194"/>
      <c r="AM137" s="257" t="str">
        <f>IF(COUNTBLANK(AI137:AL137)=4,"",SUM(AI137:AK137)+IF(Setup!$I$15="No",0,AL137))</f>
        <v/>
      </c>
      <c r="AN137" s="194"/>
      <c r="AO137" s="194"/>
      <c r="AP137" s="194"/>
      <c r="AQ137" s="194"/>
      <c r="AR137" s="257" t="str">
        <f>IF(COUNTBLANK(AN137:AQ137)=4,"",SUM(AN137:AP137)+IF(Setup!$I$15="No",0,AQ137))</f>
        <v/>
      </c>
      <c r="AS137" s="194"/>
      <c r="AT137" s="194"/>
      <c r="AU137" s="194"/>
      <c r="AV137" s="194"/>
      <c r="AW137" s="257" t="str">
        <f>IF(COUNTBLANK(AS137:AV137)=4,"",SUM(AS137:AU137)+IF(Setup!$I$15="No",0,AV137))</f>
        <v/>
      </c>
      <c r="AX137" s="194"/>
      <c r="AY137" s="194"/>
      <c r="AZ137" s="194"/>
      <c r="BA137" s="194"/>
      <c r="BB137" s="257" t="str">
        <f>IF(COUNTBLANK(AX137:BA137)=4,"",SUM(AX137:AZ137)+IF(Setup!$I$15="No",0,BA137))</f>
        <v/>
      </c>
      <c r="BC137" s="261">
        <f ca="1">IF('Demand background (hide)'!A128=Num_Modalities,"",SUM(Demand!I137, Demand!N137))</f>
        <v>19</v>
      </c>
      <c r="BD137" s="261">
        <f ca="1">IF(AND(A137&lt;=MaxRows,BE137&lt;&gt;"Yes"),'Demand background (hide)'!X128+IF(Setup!$I$15="Yes",'Demand background (hide)'!AJ128,0),"")</f>
        <v>710</v>
      </c>
      <c r="BE137" s="211"/>
    </row>
    <row r="138" spans="1:57" ht="15" x14ac:dyDescent="0.25">
      <c r="A138">
        <f t="shared" ca="1" si="4"/>
        <v>126</v>
      </c>
      <c r="B138" s="266" t="str">
        <f t="shared" ca="1" si="5"/>
        <v xml:space="preserve"> </v>
      </c>
      <c r="C138" s="267">
        <f t="shared" ca="1" si="6"/>
        <v>34</v>
      </c>
      <c r="D138" s="424">
        <f t="shared" ca="1" si="7"/>
        <v>43336</v>
      </c>
      <c r="E138" s="194"/>
      <c r="F138" s="194">
        <v>1</v>
      </c>
      <c r="G138" s="194">
        <v>2</v>
      </c>
      <c r="H138" s="194"/>
      <c r="I138" s="253">
        <f>IF(COUNTBLANK(E138:H138)=4,"",SUM(E138:G138)+IF(Setup!$I$15="No",0,H138))</f>
        <v>3</v>
      </c>
      <c r="J138" s="194"/>
      <c r="K138" s="194">
        <v>6</v>
      </c>
      <c r="L138" s="194">
        <v>9</v>
      </c>
      <c r="M138" s="194"/>
      <c r="N138" s="257">
        <f>IF(COUNTBLANK(J138:M138)=4,"",SUM(J138:L138)+IF(Setup!$I$15="No",0,M138))</f>
        <v>15</v>
      </c>
      <c r="O138" s="194"/>
      <c r="P138" s="194"/>
      <c r="Q138" s="194"/>
      <c r="R138" s="194"/>
      <c r="S138" s="257" t="str">
        <f>IF(COUNTBLANK(O138:R138)=4,"",SUM(O138:Q138)+IF(Setup!$I$15="No",0,R138))</f>
        <v/>
      </c>
      <c r="T138" s="194"/>
      <c r="U138" s="194"/>
      <c r="V138" s="194"/>
      <c r="W138" s="194"/>
      <c r="X138" s="257" t="str">
        <f>IF(COUNTBLANK(T138:W138)=4,"",SUM(T138:V138)+IF(Setup!$I$15="No",0,W138))</f>
        <v/>
      </c>
      <c r="Y138" s="194"/>
      <c r="Z138" s="194"/>
      <c r="AA138" s="194"/>
      <c r="AB138" s="194"/>
      <c r="AC138" s="257" t="str">
        <f>IF(COUNTBLANK(Y138:AB138)=4,"",SUM(Y138:AA138)+IF(Setup!$I$15="No",0,AB138))</f>
        <v/>
      </c>
      <c r="AD138" s="194"/>
      <c r="AE138" s="194"/>
      <c r="AF138" s="194"/>
      <c r="AG138" s="194"/>
      <c r="AH138" s="257" t="str">
        <f>IF(COUNTBLANK(AD138:AG138)=4,"",SUM(AD138:AF138)+IF(Setup!$I$15="No",0,AG138))</f>
        <v/>
      </c>
      <c r="AI138" s="194"/>
      <c r="AJ138" s="194"/>
      <c r="AK138" s="194"/>
      <c r="AL138" s="194"/>
      <c r="AM138" s="257" t="str">
        <f>IF(COUNTBLANK(AI138:AL138)=4,"",SUM(AI138:AK138)+IF(Setup!$I$15="No",0,AL138))</f>
        <v/>
      </c>
      <c r="AN138" s="194"/>
      <c r="AO138" s="194"/>
      <c r="AP138" s="194"/>
      <c r="AQ138" s="194"/>
      <c r="AR138" s="257" t="str">
        <f>IF(COUNTBLANK(AN138:AQ138)=4,"",SUM(AN138:AP138)+IF(Setup!$I$15="No",0,AQ138))</f>
        <v/>
      </c>
      <c r="AS138" s="194"/>
      <c r="AT138" s="194"/>
      <c r="AU138" s="194"/>
      <c r="AV138" s="194"/>
      <c r="AW138" s="257" t="str">
        <f>IF(COUNTBLANK(AS138:AV138)=4,"",SUM(AS138:AU138)+IF(Setup!$I$15="No",0,AV138))</f>
        <v/>
      </c>
      <c r="AX138" s="194"/>
      <c r="AY138" s="194"/>
      <c r="AZ138" s="194"/>
      <c r="BA138" s="194"/>
      <c r="BB138" s="257" t="str">
        <f>IF(COUNTBLANK(AX138:BA138)=4,"",SUM(AX138:AZ138)+IF(Setup!$I$15="No",0,BA138))</f>
        <v/>
      </c>
      <c r="BC138" s="261">
        <f ca="1">IF('Demand background (hide)'!A129=Num_Modalities,"",SUM(Demand!I138, Demand!N138))</f>
        <v>18</v>
      </c>
      <c r="BD138" s="261">
        <f ca="1">IF(AND(A138&lt;=MaxRows,BE138&lt;&gt;"Yes"),'Demand background (hide)'!X129+IF(Setup!$I$15="Yes",'Demand background (hide)'!AJ129,0),"")</f>
        <v>690</v>
      </c>
      <c r="BE138" s="211"/>
    </row>
    <row r="139" spans="1:57" ht="15" x14ac:dyDescent="0.25">
      <c r="A139">
        <f t="shared" ca="1" si="4"/>
        <v>127</v>
      </c>
      <c r="B139" s="266" t="str">
        <f t="shared" ca="1" si="5"/>
        <v xml:space="preserve"> </v>
      </c>
      <c r="C139" s="267">
        <f t="shared" ca="1" si="6"/>
        <v>35</v>
      </c>
      <c r="D139" s="424">
        <f t="shared" ca="1" si="7"/>
        <v>43343</v>
      </c>
      <c r="E139" s="194"/>
      <c r="F139" s="194">
        <v>2</v>
      </c>
      <c r="G139" s="194">
        <v>4</v>
      </c>
      <c r="H139" s="194"/>
      <c r="I139" s="253">
        <f>IF(COUNTBLANK(E139:H139)=4,"",SUM(E139:G139)+IF(Setup!$I$15="No",0,H139))</f>
        <v>6</v>
      </c>
      <c r="J139" s="194"/>
      <c r="K139" s="194">
        <v>3</v>
      </c>
      <c r="L139" s="194">
        <v>7</v>
      </c>
      <c r="M139" s="194"/>
      <c r="N139" s="257">
        <f>IF(COUNTBLANK(J139:M139)=4,"",SUM(J139:L139)+IF(Setup!$I$15="No",0,M139))</f>
        <v>10</v>
      </c>
      <c r="O139" s="194"/>
      <c r="P139" s="194"/>
      <c r="Q139" s="194"/>
      <c r="R139" s="194"/>
      <c r="S139" s="257" t="str">
        <f>IF(COUNTBLANK(O139:R139)=4,"",SUM(O139:Q139)+IF(Setup!$I$15="No",0,R139))</f>
        <v/>
      </c>
      <c r="T139" s="194"/>
      <c r="U139" s="194"/>
      <c r="V139" s="194"/>
      <c r="W139" s="194"/>
      <c r="X139" s="257" t="str">
        <f>IF(COUNTBLANK(T139:W139)=4,"",SUM(T139:V139)+IF(Setup!$I$15="No",0,W139))</f>
        <v/>
      </c>
      <c r="Y139" s="194"/>
      <c r="Z139" s="194"/>
      <c r="AA139" s="194"/>
      <c r="AB139" s="194"/>
      <c r="AC139" s="257" t="str">
        <f>IF(COUNTBLANK(Y139:AB139)=4,"",SUM(Y139:AA139)+IF(Setup!$I$15="No",0,AB139))</f>
        <v/>
      </c>
      <c r="AD139" s="194"/>
      <c r="AE139" s="194"/>
      <c r="AF139" s="194"/>
      <c r="AG139" s="194"/>
      <c r="AH139" s="257" t="str">
        <f>IF(COUNTBLANK(AD139:AG139)=4,"",SUM(AD139:AF139)+IF(Setup!$I$15="No",0,AG139))</f>
        <v/>
      </c>
      <c r="AI139" s="194"/>
      <c r="AJ139" s="194"/>
      <c r="AK139" s="194"/>
      <c r="AL139" s="194"/>
      <c r="AM139" s="257" t="str">
        <f>IF(COUNTBLANK(AI139:AL139)=4,"",SUM(AI139:AK139)+IF(Setup!$I$15="No",0,AL139))</f>
        <v/>
      </c>
      <c r="AN139" s="194"/>
      <c r="AO139" s="194"/>
      <c r="AP139" s="194"/>
      <c r="AQ139" s="194"/>
      <c r="AR139" s="257" t="str">
        <f>IF(COUNTBLANK(AN139:AQ139)=4,"",SUM(AN139:AP139)+IF(Setup!$I$15="No",0,AQ139))</f>
        <v/>
      </c>
      <c r="AS139" s="194"/>
      <c r="AT139" s="194"/>
      <c r="AU139" s="194"/>
      <c r="AV139" s="194"/>
      <c r="AW139" s="257" t="str">
        <f>IF(COUNTBLANK(AS139:AV139)=4,"",SUM(AS139:AU139)+IF(Setup!$I$15="No",0,AV139))</f>
        <v/>
      </c>
      <c r="AX139" s="194"/>
      <c r="AY139" s="194"/>
      <c r="AZ139" s="194"/>
      <c r="BA139" s="194"/>
      <c r="BB139" s="257" t="str">
        <f>IF(COUNTBLANK(AX139:BA139)=4,"",SUM(AX139:AZ139)+IF(Setup!$I$15="No",0,BA139))</f>
        <v/>
      </c>
      <c r="BC139" s="261">
        <f ca="1">IF('Demand background (hide)'!A130=Num_Modalities,"",SUM(Demand!I139, Demand!N139))</f>
        <v>16</v>
      </c>
      <c r="BD139" s="261">
        <f ca="1">IF(AND(A139&lt;=MaxRows,BE139&lt;&gt;"Yes"),'Demand background (hide)'!X130+IF(Setup!$I$15="Yes",'Demand background (hide)'!AJ130,0),"")</f>
        <v>580</v>
      </c>
      <c r="BE139" s="211"/>
    </row>
    <row r="140" spans="1:57" ht="15" x14ac:dyDescent="0.25">
      <c r="A140">
        <f t="shared" ca="1" si="4"/>
        <v>128</v>
      </c>
      <c r="B140" s="266" t="str">
        <f t="shared" ca="1" si="5"/>
        <v xml:space="preserve"> </v>
      </c>
      <c r="C140" s="267">
        <f t="shared" ca="1" si="6"/>
        <v>36</v>
      </c>
      <c r="D140" s="424">
        <f t="shared" ca="1" si="7"/>
        <v>43350</v>
      </c>
      <c r="E140" s="194"/>
      <c r="F140" s="194">
        <v>0</v>
      </c>
      <c r="G140" s="194">
        <v>3</v>
      </c>
      <c r="H140" s="194"/>
      <c r="I140" s="253">
        <f>IF(COUNTBLANK(E140:H140)=4,"",SUM(E140:G140)+IF(Setup!$I$15="No",0,H140))</f>
        <v>3</v>
      </c>
      <c r="J140" s="194"/>
      <c r="K140" s="194">
        <v>3</v>
      </c>
      <c r="L140" s="194">
        <v>5</v>
      </c>
      <c r="M140" s="194"/>
      <c r="N140" s="257">
        <f>IF(COUNTBLANK(J140:M140)=4,"",SUM(J140:L140)+IF(Setup!$I$15="No",0,M140))</f>
        <v>8</v>
      </c>
      <c r="O140" s="194"/>
      <c r="P140" s="194"/>
      <c r="Q140" s="194"/>
      <c r="R140" s="194"/>
      <c r="S140" s="257" t="str">
        <f>IF(COUNTBLANK(O140:R140)=4,"",SUM(O140:Q140)+IF(Setup!$I$15="No",0,R140))</f>
        <v/>
      </c>
      <c r="T140" s="194"/>
      <c r="U140" s="194"/>
      <c r="V140" s="194"/>
      <c r="W140" s="194"/>
      <c r="X140" s="257" t="str">
        <f>IF(COUNTBLANK(T140:W140)=4,"",SUM(T140:V140)+IF(Setup!$I$15="No",0,W140))</f>
        <v/>
      </c>
      <c r="Y140" s="194"/>
      <c r="Z140" s="194"/>
      <c r="AA140" s="194"/>
      <c r="AB140" s="194"/>
      <c r="AC140" s="257" t="str">
        <f>IF(COUNTBLANK(Y140:AB140)=4,"",SUM(Y140:AA140)+IF(Setup!$I$15="No",0,AB140))</f>
        <v/>
      </c>
      <c r="AD140" s="194"/>
      <c r="AE140" s="194"/>
      <c r="AF140" s="194"/>
      <c r="AG140" s="194"/>
      <c r="AH140" s="257" t="str">
        <f>IF(COUNTBLANK(AD140:AG140)=4,"",SUM(AD140:AF140)+IF(Setup!$I$15="No",0,AG140))</f>
        <v/>
      </c>
      <c r="AI140" s="194"/>
      <c r="AJ140" s="194"/>
      <c r="AK140" s="194"/>
      <c r="AL140" s="194"/>
      <c r="AM140" s="257" t="str">
        <f>IF(COUNTBLANK(AI140:AL140)=4,"",SUM(AI140:AK140)+IF(Setup!$I$15="No",0,AL140))</f>
        <v/>
      </c>
      <c r="AN140" s="194"/>
      <c r="AO140" s="194"/>
      <c r="AP140" s="194"/>
      <c r="AQ140" s="194"/>
      <c r="AR140" s="257" t="str">
        <f>IF(COUNTBLANK(AN140:AQ140)=4,"",SUM(AN140:AP140)+IF(Setup!$I$15="No",0,AQ140))</f>
        <v/>
      </c>
      <c r="AS140" s="194"/>
      <c r="AT140" s="194"/>
      <c r="AU140" s="194"/>
      <c r="AV140" s="194"/>
      <c r="AW140" s="257" t="str">
        <f>IF(COUNTBLANK(AS140:AV140)=4,"",SUM(AS140:AU140)+IF(Setup!$I$15="No",0,AV140))</f>
        <v/>
      </c>
      <c r="AX140" s="194"/>
      <c r="AY140" s="194"/>
      <c r="AZ140" s="194"/>
      <c r="BA140" s="194"/>
      <c r="BB140" s="257" t="str">
        <f>IF(COUNTBLANK(AX140:BA140)=4,"",SUM(AX140:AZ140)+IF(Setup!$I$15="No",0,BA140))</f>
        <v/>
      </c>
      <c r="BC140" s="261">
        <f ca="1">IF('Demand background (hide)'!A131=Num_Modalities,"",SUM(Demand!I140, Demand!N140))</f>
        <v>11</v>
      </c>
      <c r="BD140" s="261">
        <f ca="1">IF(AND(A140&lt;=MaxRows,BE140&lt;&gt;"Yes"),'Demand background (hide)'!X131+IF(Setup!$I$15="Yes",'Demand background (hide)'!AJ131,0),"")</f>
        <v>410</v>
      </c>
      <c r="BE140" s="211"/>
    </row>
    <row r="141" spans="1:57" ht="15" x14ac:dyDescent="0.25">
      <c r="A141">
        <f t="shared" ref="A141:A204" ca="1" si="8">IF(BC141&lt;&gt;"",ROW(A129),"")</f>
        <v>129</v>
      </c>
      <c r="B141" s="266" t="str">
        <f t="shared" ca="1" si="5"/>
        <v xml:space="preserve"> </v>
      </c>
      <c r="C141" s="267">
        <f t="shared" ca="1" si="6"/>
        <v>37</v>
      </c>
      <c r="D141" s="424">
        <f t="shared" ca="1" si="7"/>
        <v>43357</v>
      </c>
      <c r="E141" s="194"/>
      <c r="F141" s="194">
        <v>0</v>
      </c>
      <c r="G141" s="194">
        <v>3</v>
      </c>
      <c r="H141" s="194"/>
      <c r="I141" s="253">
        <f>IF(COUNTBLANK(E141:H141)=4,"",SUM(E141:G141)+IF(Setup!$I$15="No",0,H141))</f>
        <v>3</v>
      </c>
      <c r="J141" s="194"/>
      <c r="K141" s="194">
        <v>1</v>
      </c>
      <c r="L141" s="194">
        <v>6</v>
      </c>
      <c r="M141" s="194"/>
      <c r="N141" s="257">
        <f>IF(COUNTBLANK(J141:M141)=4,"",SUM(J141:L141)+IF(Setup!$I$15="No",0,M141))</f>
        <v>7</v>
      </c>
      <c r="O141" s="194"/>
      <c r="P141" s="194"/>
      <c r="Q141" s="194"/>
      <c r="R141" s="194"/>
      <c r="S141" s="257" t="str">
        <f>IF(COUNTBLANK(O141:R141)=4,"",SUM(O141:Q141)+IF(Setup!$I$15="No",0,R141))</f>
        <v/>
      </c>
      <c r="T141" s="194"/>
      <c r="U141" s="194"/>
      <c r="V141" s="194"/>
      <c r="W141" s="194"/>
      <c r="X141" s="257" t="str">
        <f>IF(COUNTBLANK(T141:W141)=4,"",SUM(T141:V141)+IF(Setup!$I$15="No",0,W141))</f>
        <v/>
      </c>
      <c r="Y141" s="194"/>
      <c r="Z141" s="194"/>
      <c r="AA141" s="194"/>
      <c r="AB141" s="194"/>
      <c r="AC141" s="257" t="str">
        <f>IF(COUNTBLANK(Y141:AB141)=4,"",SUM(Y141:AA141)+IF(Setup!$I$15="No",0,AB141))</f>
        <v/>
      </c>
      <c r="AD141" s="194"/>
      <c r="AE141" s="194"/>
      <c r="AF141" s="194"/>
      <c r="AG141" s="194"/>
      <c r="AH141" s="257" t="str">
        <f>IF(COUNTBLANK(AD141:AG141)=4,"",SUM(AD141:AF141)+IF(Setup!$I$15="No",0,AG141))</f>
        <v/>
      </c>
      <c r="AI141" s="194"/>
      <c r="AJ141" s="194"/>
      <c r="AK141" s="194"/>
      <c r="AL141" s="194"/>
      <c r="AM141" s="257" t="str">
        <f>IF(COUNTBLANK(AI141:AL141)=4,"",SUM(AI141:AK141)+IF(Setup!$I$15="No",0,AL141))</f>
        <v/>
      </c>
      <c r="AN141" s="194"/>
      <c r="AO141" s="194"/>
      <c r="AP141" s="194"/>
      <c r="AQ141" s="194"/>
      <c r="AR141" s="257" t="str">
        <f>IF(COUNTBLANK(AN141:AQ141)=4,"",SUM(AN141:AP141)+IF(Setup!$I$15="No",0,AQ141))</f>
        <v/>
      </c>
      <c r="AS141" s="194"/>
      <c r="AT141" s="194"/>
      <c r="AU141" s="194"/>
      <c r="AV141" s="194"/>
      <c r="AW141" s="257" t="str">
        <f>IF(COUNTBLANK(AS141:AV141)=4,"",SUM(AS141:AU141)+IF(Setup!$I$15="No",0,AV141))</f>
        <v/>
      </c>
      <c r="AX141" s="194"/>
      <c r="AY141" s="194"/>
      <c r="AZ141" s="194"/>
      <c r="BA141" s="194"/>
      <c r="BB141" s="257" t="str">
        <f>IF(COUNTBLANK(AX141:BA141)=4,"",SUM(AX141:AZ141)+IF(Setup!$I$15="No",0,BA141))</f>
        <v/>
      </c>
      <c r="BC141" s="261">
        <f ca="1">IF('Demand background (hide)'!A132=Num_Modalities,"",SUM(Demand!I141, Demand!N141))</f>
        <v>10</v>
      </c>
      <c r="BD141" s="261">
        <f ca="1">IF(AND(A141&lt;=MaxRows,BE141&lt;&gt;"Yes"),'Demand background (hide)'!X132+IF(Setup!$I$15="Yes",'Demand background (hide)'!AJ132,0),"")</f>
        <v>370</v>
      </c>
      <c r="BE141" s="211"/>
    </row>
    <row r="142" spans="1:57" ht="15" x14ac:dyDescent="0.25">
      <c r="A142">
        <f t="shared" ca="1" si="8"/>
        <v>130</v>
      </c>
      <c r="B142" s="266" t="str">
        <f t="shared" ref="B142:B205" ca="1" si="9">IF(A142&lt;=MaxRows,IF($C$6&lt;&gt;"",IF(YEAR(D142)&lt;&gt;YEAR(D141),YEAR(D142)," "),IF(C142&lt;&gt;1,"",OFFSET(B142,-C141,0,1,1)+1))," ")</f>
        <v xml:space="preserve"> </v>
      </c>
      <c r="C142" s="267">
        <f t="shared" ref="C142:C205" ca="1" si="10">IF(ROW(A130)&lt;=MaxRows,IF($C$6&lt;&gt;"",WEEKNUM(D142,21),IF(MOD((C141+1),52)&gt;0,MOD((C141+1),52),52)),"")</f>
        <v>38</v>
      </c>
      <c r="D142" s="424">
        <f t="shared" ref="D142:D205" ca="1" si="11">IF(ROW(A130)&lt;=MaxRows,IF($C$6&lt;&gt;"",D141+7,""),"")</f>
        <v>43364</v>
      </c>
      <c r="E142" s="194"/>
      <c r="F142" s="194">
        <v>2</v>
      </c>
      <c r="G142" s="194">
        <v>3</v>
      </c>
      <c r="H142" s="194"/>
      <c r="I142" s="253">
        <f>IF(COUNTBLANK(E142:H142)=4,"",SUM(E142:G142)+IF(Setup!$I$15="No",0,H142))</f>
        <v>5</v>
      </c>
      <c r="J142" s="194"/>
      <c r="K142" s="194">
        <v>1</v>
      </c>
      <c r="L142" s="194">
        <v>10</v>
      </c>
      <c r="M142" s="194"/>
      <c r="N142" s="257">
        <f>IF(COUNTBLANK(J142:M142)=4,"",SUM(J142:L142)+IF(Setup!$I$15="No",0,M142))</f>
        <v>11</v>
      </c>
      <c r="O142" s="194"/>
      <c r="P142" s="194"/>
      <c r="Q142" s="194"/>
      <c r="R142" s="194"/>
      <c r="S142" s="257" t="str">
        <f>IF(COUNTBLANK(O142:R142)=4,"",SUM(O142:Q142)+IF(Setup!$I$15="No",0,R142))</f>
        <v/>
      </c>
      <c r="T142" s="194"/>
      <c r="U142" s="194"/>
      <c r="V142" s="194"/>
      <c r="W142" s="194"/>
      <c r="X142" s="257" t="str">
        <f>IF(COUNTBLANK(T142:W142)=4,"",SUM(T142:V142)+IF(Setup!$I$15="No",0,W142))</f>
        <v/>
      </c>
      <c r="Y142" s="194"/>
      <c r="Z142" s="194"/>
      <c r="AA142" s="194"/>
      <c r="AB142" s="194"/>
      <c r="AC142" s="257" t="str">
        <f>IF(COUNTBLANK(Y142:AB142)=4,"",SUM(Y142:AA142)+IF(Setup!$I$15="No",0,AB142))</f>
        <v/>
      </c>
      <c r="AD142" s="194"/>
      <c r="AE142" s="194"/>
      <c r="AF142" s="194"/>
      <c r="AG142" s="194"/>
      <c r="AH142" s="257" t="str">
        <f>IF(COUNTBLANK(AD142:AG142)=4,"",SUM(AD142:AF142)+IF(Setup!$I$15="No",0,AG142))</f>
        <v/>
      </c>
      <c r="AI142" s="194"/>
      <c r="AJ142" s="194"/>
      <c r="AK142" s="194"/>
      <c r="AL142" s="194"/>
      <c r="AM142" s="257" t="str">
        <f>IF(COUNTBLANK(AI142:AL142)=4,"",SUM(AI142:AK142)+IF(Setup!$I$15="No",0,AL142))</f>
        <v/>
      </c>
      <c r="AN142" s="194"/>
      <c r="AO142" s="194"/>
      <c r="AP142" s="194"/>
      <c r="AQ142" s="194"/>
      <c r="AR142" s="257" t="str">
        <f>IF(COUNTBLANK(AN142:AQ142)=4,"",SUM(AN142:AP142)+IF(Setup!$I$15="No",0,AQ142))</f>
        <v/>
      </c>
      <c r="AS142" s="194"/>
      <c r="AT142" s="194"/>
      <c r="AU142" s="194"/>
      <c r="AV142" s="194"/>
      <c r="AW142" s="257" t="str">
        <f>IF(COUNTBLANK(AS142:AV142)=4,"",SUM(AS142:AU142)+IF(Setup!$I$15="No",0,AV142))</f>
        <v/>
      </c>
      <c r="AX142" s="194"/>
      <c r="AY142" s="194"/>
      <c r="AZ142" s="194"/>
      <c r="BA142" s="194"/>
      <c r="BB142" s="257" t="str">
        <f>IF(COUNTBLANK(AX142:BA142)=4,"",SUM(AX142:AZ142)+IF(Setup!$I$15="No",0,BA142))</f>
        <v/>
      </c>
      <c r="BC142" s="261">
        <f ca="1">IF('Demand background (hide)'!A133=Num_Modalities,"",SUM(Demand!I142, Demand!N142))</f>
        <v>16</v>
      </c>
      <c r="BD142" s="261">
        <f ca="1">IF(AND(A142&lt;=MaxRows,BE142&lt;&gt;"Yes"),'Demand background (hide)'!X133+IF(Setup!$I$15="Yes",'Demand background (hide)'!AJ133,0),"")</f>
        <v>590</v>
      </c>
      <c r="BE142" s="211"/>
    </row>
    <row r="143" spans="1:57" ht="15" x14ac:dyDescent="0.25">
      <c r="A143">
        <f t="shared" ca="1" si="8"/>
        <v>131</v>
      </c>
      <c r="B143" s="266" t="str">
        <f t="shared" ca="1" si="9"/>
        <v xml:space="preserve"> </v>
      </c>
      <c r="C143" s="267">
        <f t="shared" ca="1" si="10"/>
        <v>39</v>
      </c>
      <c r="D143" s="424">
        <f t="shared" ca="1" si="11"/>
        <v>43371</v>
      </c>
      <c r="E143" s="194"/>
      <c r="F143" s="194">
        <v>0</v>
      </c>
      <c r="G143" s="194">
        <v>3</v>
      </c>
      <c r="H143" s="194"/>
      <c r="I143" s="253">
        <f>IF(COUNTBLANK(E143:H143)=4,"",SUM(E143:G143)+IF(Setup!$I$15="No",0,H143))</f>
        <v>3</v>
      </c>
      <c r="J143" s="194"/>
      <c r="K143" s="194">
        <v>3</v>
      </c>
      <c r="L143" s="194">
        <v>9</v>
      </c>
      <c r="M143" s="194"/>
      <c r="N143" s="257">
        <f>IF(COUNTBLANK(J143:M143)=4,"",SUM(J143:L143)+IF(Setup!$I$15="No",0,M143))</f>
        <v>12</v>
      </c>
      <c r="O143" s="194"/>
      <c r="P143" s="194"/>
      <c r="Q143" s="194"/>
      <c r="R143" s="194"/>
      <c r="S143" s="257" t="str">
        <f>IF(COUNTBLANK(O143:R143)=4,"",SUM(O143:Q143)+IF(Setup!$I$15="No",0,R143))</f>
        <v/>
      </c>
      <c r="T143" s="194"/>
      <c r="U143" s="194"/>
      <c r="V143" s="194"/>
      <c r="W143" s="194"/>
      <c r="X143" s="257" t="str">
        <f>IF(COUNTBLANK(T143:W143)=4,"",SUM(T143:V143)+IF(Setup!$I$15="No",0,W143))</f>
        <v/>
      </c>
      <c r="Y143" s="194"/>
      <c r="Z143" s="194"/>
      <c r="AA143" s="194"/>
      <c r="AB143" s="194"/>
      <c r="AC143" s="257" t="str">
        <f>IF(COUNTBLANK(Y143:AB143)=4,"",SUM(Y143:AA143)+IF(Setup!$I$15="No",0,AB143))</f>
        <v/>
      </c>
      <c r="AD143" s="194"/>
      <c r="AE143" s="194"/>
      <c r="AF143" s="194"/>
      <c r="AG143" s="194"/>
      <c r="AH143" s="257" t="str">
        <f>IF(COUNTBLANK(AD143:AG143)=4,"",SUM(AD143:AF143)+IF(Setup!$I$15="No",0,AG143))</f>
        <v/>
      </c>
      <c r="AI143" s="194"/>
      <c r="AJ143" s="194"/>
      <c r="AK143" s="194"/>
      <c r="AL143" s="194"/>
      <c r="AM143" s="257" t="str">
        <f>IF(COUNTBLANK(AI143:AL143)=4,"",SUM(AI143:AK143)+IF(Setup!$I$15="No",0,AL143))</f>
        <v/>
      </c>
      <c r="AN143" s="194"/>
      <c r="AO143" s="194"/>
      <c r="AP143" s="194"/>
      <c r="AQ143" s="194"/>
      <c r="AR143" s="257" t="str">
        <f>IF(COUNTBLANK(AN143:AQ143)=4,"",SUM(AN143:AP143)+IF(Setup!$I$15="No",0,AQ143))</f>
        <v/>
      </c>
      <c r="AS143" s="194"/>
      <c r="AT143" s="194"/>
      <c r="AU143" s="194"/>
      <c r="AV143" s="194"/>
      <c r="AW143" s="257" t="str">
        <f>IF(COUNTBLANK(AS143:AV143)=4,"",SUM(AS143:AU143)+IF(Setup!$I$15="No",0,AV143))</f>
        <v/>
      </c>
      <c r="AX143" s="194"/>
      <c r="AY143" s="194"/>
      <c r="AZ143" s="194"/>
      <c r="BA143" s="194"/>
      <c r="BB143" s="257" t="str">
        <f>IF(COUNTBLANK(AX143:BA143)=4,"",SUM(AX143:AZ143)+IF(Setup!$I$15="No",0,BA143))</f>
        <v/>
      </c>
      <c r="BC143" s="261">
        <f ca="1">IF('Demand background (hide)'!A134=Num_Modalities,"",SUM(Demand!I143, Demand!N143))</f>
        <v>15</v>
      </c>
      <c r="BD143" s="261">
        <f ca="1">IF(AND(A143&lt;=MaxRows,BE143&lt;&gt;"Yes"),'Demand background (hide)'!X134+IF(Setup!$I$15="Yes",'Demand background (hide)'!AJ134,0),"")</f>
        <v>570</v>
      </c>
      <c r="BE143" s="211"/>
    </row>
    <row r="144" spans="1:57" ht="15" x14ac:dyDescent="0.25">
      <c r="A144">
        <f t="shared" ca="1" si="8"/>
        <v>132</v>
      </c>
      <c r="B144" s="266" t="str">
        <f t="shared" ca="1" si="9"/>
        <v xml:space="preserve"> </v>
      </c>
      <c r="C144" s="267">
        <f t="shared" ca="1" si="10"/>
        <v>40</v>
      </c>
      <c r="D144" s="424">
        <f t="shared" ca="1" si="11"/>
        <v>43378</v>
      </c>
      <c r="E144" s="194"/>
      <c r="F144" s="194">
        <v>0</v>
      </c>
      <c r="G144" s="194">
        <v>3</v>
      </c>
      <c r="H144" s="194"/>
      <c r="I144" s="253">
        <f>IF(COUNTBLANK(E144:H144)=4,"",SUM(E144:G144)+IF(Setup!$I$15="No",0,H144))</f>
        <v>3</v>
      </c>
      <c r="J144" s="194"/>
      <c r="K144" s="194">
        <v>3</v>
      </c>
      <c r="L144" s="194">
        <v>7</v>
      </c>
      <c r="M144" s="194"/>
      <c r="N144" s="257">
        <f>IF(COUNTBLANK(J144:M144)=4,"",SUM(J144:L144)+IF(Setup!$I$15="No",0,M144))</f>
        <v>10</v>
      </c>
      <c r="O144" s="194"/>
      <c r="P144" s="194"/>
      <c r="Q144" s="194"/>
      <c r="R144" s="194"/>
      <c r="S144" s="257" t="str">
        <f>IF(COUNTBLANK(O144:R144)=4,"",SUM(O144:Q144)+IF(Setup!$I$15="No",0,R144))</f>
        <v/>
      </c>
      <c r="T144" s="194"/>
      <c r="U144" s="194"/>
      <c r="V144" s="194"/>
      <c r="W144" s="194"/>
      <c r="X144" s="257" t="str">
        <f>IF(COUNTBLANK(T144:W144)=4,"",SUM(T144:V144)+IF(Setup!$I$15="No",0,W144))</f>
        <v/>
      </c>
      <c r="Y144" s="194"/>
      <c r="Z144" s="194"/>
      <c r="AA144" s="194"/>
      <c r="AB144" s="194"/>
      <c r="AC144" s="257" t="str">
        <f>IF(COUNTBLANK(Y144:AB144)=4,"",SUM(Y144:AA144)+IF(Setup!$I$15="No",0,AB144))</f>
        <v/>
      </c>
      <c r="AD144" s="194"/>
      <c r="AE144" s="194"/>
      <c r="AF144" s="194"/>
      <c r="AG144" s="194"/>
      <c r="AH144" s="257" t="str">
        <f>IF(COUNTBLANK(AD144:AG144)=4,"",SUM(AD144:AF144)+IF(Setup!$I$15="No",0,AG144))</f>
        <v/>
      </c>
      <c r="AI144" s="194"/>
      <c r="AJ144" s="194"/>
      <c r="AK144" s="194"/>
      <c r="AL144" s="194"/>
      <c r="AM144" s="257" t="str">
        <f>IF(COUNTBLANK(AI144:AL144)=4,"",SUM(AI144:AK144)+IF(Setup!$I$15="No",0,AL144))</f>
        <v/>
      </c>
      <c r="AN144" s="194"/>
      <c r="AO144" s="194"/>
      <c r="AP144" s="194"/>
      <c r="AQ144" s="194"/>
      <c r="AR144" s="257" t="str">
        <f>IF(COUNTBLANK(AN144:AQ144)=4,"",SUM(AN144:AP144)+IF(Setup!$I$15="No",0,AQ144))</f>
        <v/>
      </c>
      <c r="AS144" s="194"/>
      <c r="AT144" s="194"/>
      <c r="AU144" s="194"/>
      <c r="AV144" s="194"/>
      <c r="AW144" s="257" t="str">
        <f>IF(COUNTBLANK(AS144:AV144)=4,"",SUM(AS144:AU144)+IF(Setup!$I$15="No",0,AV144))</f>
        <v/>
      </c>
      <c r="AX144" s="194"/>
      <c r="AY144" s="194"/>
      <c r="AZ144" s="194"/>
      <c r="BA144" s="194"/>
      <c r="BB144" s="257" t="str">
        <f>IF(COUNTBLANK(AX144:BA144)=4,"",SUM(AX144:AZ144)+IF(Setup!$I$15="No",0,BA144))</f>
        <v/>
      </c>
      <c r="BC144" s="261">
        <f ca="1">IF('Demand background (hide)'!A135=Num_Modalities,"",SUM(Demand!I144, Demand!N144))</f>
        <v>13</v>
      </c>
      <c r="BD144" s="261">
        <f ca="1">IF(AND(A144&lt;=MaxRows,BE144&lt;&gt;"Yes"),'Demand background (hide)'!X135+IF(Setup!$I$15="Yes",'Demand background (hide)'!AJ135,0),"")</f>
        <v>490</v>
      </c>
      <c r="BE144" s="211"/>
    </row>
    <row r="145" spans="1:57" ht="15" x14ac:dyDescent="0.25">
      <c r="A145">
        <f t="shared" ca="1" si="8"/>
        <v>133</v>
      </c>
      <c r="B145" s="266" t="str">
        <f t="shared" ca="1" si="9"/>
        <v xml:space="preserve"> </v>
      </c>
      <c r="C145" s="267">
        <f t="shared" ca="1" si="10"/>
        <v>41</v>
      </c>
      <c r="D145" s="424">
        <f t="shared" ca="1" si="11"/>
        <v>43385</v>
      </c>
      <c r="E145" s="194"/>
      <c r="F145" s="194">
        <v>1</v>
      </c>
      <c r="G145" s="194">
        <v>6</v>
      </c>
      <c r="H145" s="194"/>
      <c r="I145" s="253">
        <f>IF(COUNTBLANK(E145:H145)=4,"",SUM(E145:G145)+IF(Setup!$I$15="No",0,H145))</f>
        <v>7</v>
      </c>
      <c r="J145" s="194"/>
      <c r="K145" s="194">
        <v>2</v>
      </c>
      <c r="L145" s="194">
        <v>7</v>
      </c>
      <c r="M145" s="194"/>
      <c r="N145" s="257">
        <f>IF(COUNTBLANK(J145:M145)=4,"",SUM(J145:L145)+IF(Setup!$I$15="No",0,M145))</f>
        <v>9</v>
      </c>
      <c r="O145" s="194"/>
      <c r="P145" s="194"/>
      <c r="Q145" s="194"/>
      <c r="R145" s="194"/>
      <c r="S145" s="257" t="str">
        <f>IF(COUNTBLANK(O145:R145)=4,"",SUM(O145:Q145)+IF(Setup!$I$15="No",0,R145))</f>
        <v/>
      </c>
      <c r="T145" s="194"/>
      <c r="U145" s="194"/>
      <c r="V145" s="194"/>
      <c r="W145" s="194"/>
      <c r="X145" s="257" t="str">
        <f>IF(COUNTBLANK(T145:W145)=4,"",SUM(T145:V145)+IF(Setup!$I$15="No",0,W145))</f>
        <v/>
      </c>
      <c r="Y145" s="194"/>
      <c r="Z145" s="194"/>
      <c r="AA145" s="194"/>
      <c r="AB145" s="194"/>
      <c r="AC145" s="257" t="str">
        <f>IF(COUNTBLANK(Y145:AB145)=4,"",SUM(Y145:AA145)+IF(Setup!$I$15="No",0,AB145))</f>
        <v/>
      </c>
      <c r="AD145" s="194"/>
      <c r="AE145" s="194"/>
      <c r="AF145" s="194"/>
      <c r="AG145" s="194"/>
      <c r="AH145" s="257" t="str">
        <f>IF(COUNTBLANK(AD145:AG145)=4,"",SUM(AD145:AF145)+IF(Setup!$I$15="No",0,AG145))</f>
        <v/>
      </c>
      <c r="AI145" s="194"/>
      <c r="AJ145" s="194"/>
      <c r="AK145" s="194"/>
      <c r="AL145" s="194"/>
      <c r="AM145" s="257" t="str">
        <f>IF(COUNTBLANK(AI145:AL145)=4,"",SUM(AI145:AK145)+IF(Setup!$I$15="No",0,AL145))</f>
        <v/>
      </c>
      <c r="AN145" s="194"/>
      <c r="AO145" s="194"/>
      <c r="AP145" s="194"/>
      <c r="AQ145" s="194"/>
      <c r="AR145" s="257" t="str">
        <f>IF(COUNTBLANK(AN145:AQ145)=4,"",SUM(AN145:AP145)+IF(Setup!$I$15="No",0,AQ145))</f>
        <v/>
      </c>
      <c r="AS145" s="194"/>
      <c r="AT145" s="194"/>
      <c r="AU145" s="194"/>
      <c r="AV145" s="194"/>
      <c r="AW145" s="257" t="str">
        <f>IF(COUNTBLANK(AS145:AV145)=4,"",SUM(AS145:AU145)+IF(Setup!$I$15="No",0,AV145))</f>
        <v/>
      </c>
      <c r="AX145" s="194"/>
      <c r="AY145" s="194"/>
      <c r="AZ145" s="194"/>
      <c r="BA145" s="194"/>
      <c r="BB145" s="257" t="str">
        <f>IF(COUNTBLANK(AX145:BA145)=4,"",SUM(AX145:AZ145)+IF(Setup!$I$15="No",0,BA145))</f>
        <v/>
      </c>
      <c r="BC145" s="261">
        <f ca="1">IF('Demand background (hide)'!A136=Num_Modalities,"",SUM(Demand!I145, Demand!N145))</f>
        <v>16</v>
      </c>
      <c r="BD145" s="261">
        <f ca="1">IF(AND(A145&lt;=MaxRows,BE145&lt;&gt;"Yes"),'Demand background (hide)'!X136+IF(Setup!$I$15="Yes",'Demand background (hide)'!AJ136,0),"")</f>
        <v>570</v>
      </c>
      <c r="BE145" s="211"/>
    </row>
    <row r="146" spans="1:57" ht="15" x14ac:dyDescent="0.25">
      <c r="A146">
        <f t="shared" ca="1" si="8"/>
        <v>134</v>
      </c>
      <c r="B146" s="266" t="str">
        <f t="shared" ca="1" si="9"/>
        <v xml:space="preserve"> </v>
      </c>
      <c r="C146" s="267">
        <f t="shared" ca="1" si="10"/>
        <v>42</v>
      </c>
      <c r="D146" s="424">
        <f t="shared" ca="1" si="11"/>
        <v>43392</v>
      </c>
      <c r="E146" s="194"/>
      <c r="F146" s="194">
        <v>0</v>
      </c>
      <c r="G146" s="194">
        <v>3</v>
      </c>
      <c r="H146" s="194"/>
      <c r="I146" s="253">
        <f>IF(COUNTBLANK(E146:H146)=4,"",SUM(E146:G146)+IF(Setup!$I$15="No",0,H146))</f>
        <v>3</v>
      </c>
      <c r="J146" s="194"/>
      <c r="K146" s="194">
        <v>1</v>
      </c>
      <c r="L146" s="194">
        <v>5</v>
      </c>
      <c r="M146" s="194"/>
      <c r="N146" s="257">
        <f>IF(COUNTBLANK(J146:M146)=4,"",SUM(J146:L146)+IF(Setup!$I$15="No",0,M146))</f>
        <v>6</v>
      </c>
      <c r="O146" s="194"/>
      <c r="P146" s="194"/>
      <c r="Q146" s="194"/>
      <c r="R146" s="194"/>
      <c r="S146" s="257" t="str">
        <f>IF(COUNTBLANK(O146:R146)=4,"",SUM(O146:Q146)+IF(Setup!$I$15="No",0,R146))</f>
        <v/>
      </c>
      <c r="T146" s="194"/>
      <c r="U146" s="194"/>
      <c r="V146" s="194"/>
      <c r="W146" s="194"/>
      <c r="X146" s="257" t="str">
        <f>IF(COUNTBLANK(T146:W146)=4,"",SUM(T146:V146)+IF(Setup!$I$15="No",0,W146))</f>
        <v/>
      </c>
      <c r="Y146" s="194"/>
      <c r="Z146" s="194"/>
      <c r="AA146" s="194"/>
      <c r="AB146" s="194"/>
      <c r="AC146" s="257" t="str">
        <f>IF(COUNTBLANK(Y146:AB146)=4,"",SUM(Y146:AA146)+IF(Setup!$I$15="No",0,AB146))</f>
        <v/>
      </c>
      <c r="AD146" s="194"/>
      <c r="AE146" s="194"/>
      <c r="AF146" s="194"/>
      <c r="AG146" s="194"/>
      <c r="AH146" s="257" t="str">
        <f>IF(COUNTBLANK(AD146:AG146)=4,"",SUM(AD146:AF146)+IF(Setup!$I$15="No",0,AG146))</f>
        <v/>
      </c>
      <c r="AI146" s="194"/>
      <c r="AJ146" s="194"/>
      <c r="AK146" s="194"/>
      <c r="AL146" s="194"/>
      <c r="AM146" s="257" t="str">
        <f>IF(COUNTBLANK(AI146:AL146)=4,"",SUM(AI146:AK146)+IF(Setup!$I$15="No",0,AL146))</f>
        <v/>
      </c>
      <c r="AN146" s="194"/>
      <c r="AO146" s="194"/>
      <c r="AP146" s="194"/>
      <c r="AQ146" s="194"/>
      <c r="AR146" s="257" t="str">
        <f>IF(COUNTBLANK(AN146:AQ146)=4,"",SUM(AN146:AP146)+IF(Setup!$I$15="No",0,AQ146))</f>
        <v/>
      </c>
      <c r="AS146" s="194"/>
      <c r="AT146" s="194"/>
      <c r="AU146" s="194"/>
      <c r="AV146" s="194"/>
      <c r="AW146" s="257" t="str">
        <f>IF(COUNTBLANK(AS146:AV146)=4,"",SUM(AS146:AU146)+IF(Setup!$I$15="No",0,AV146))</f>
        <v/>
      </c>
      <c r="AX146" s="194"/>
      <c r="AY146" s="194"/>
      <c r="AZ146" s="194"/>
      <c r="BA146" s="194"/>
      <c r="BB146" s="257" t="str">
        <f>IF(COUNTBLANK(AX146:BA146)=4,"",SUM(AX146:AZ146)+IF(Setup!$I$15="No",0,BA146))</f>
        <v/>
      </c>
      <c r="BC146" s="261">
        <f ca="1">IF('Demand background (hide)'!A137=Num_Modalities,"",SUM(Demand!I146, Demand!N146))</f>
        <v>9</v>
      </c>
      <c r="BD146" s="261">
        <f ca="1">IF(AND(A146&lt;=MaxRows,BE146&lt;&gt;"Yes"),'Demand background (hide)'!X137+IF(Setup!$I$15="Yes",'Demand background (hide)'!AJ137,0),"")</f>
        <v>330</v>
      </c>
      <c r="BE146" s="211"/>
    </row>
    <row r="147" spans="1:57" ht="15" x14ac:dyDescent="0.25">
      <c r="A147">
        <f t="shared" ca="1" si="8"/>
        <v>135</v>
      </c>
      <c r="B147" s="266" t="str">
        <f t="shared" ca="1" si="9"/>
        <v xml:space="preserve"> </v>
      </c>
      <c r="C147" s="267">
        <f t="shared" ca="1" si="10"/>
        <v>43</v>
      </c>
      <c r="D147" s="424">
        <f t="shared" ca="1" si="11"/>
        <v>43399</v>
      </c>
      <c r="E147" s="194"/>
      <c r="F147" s="194">
        <v>0</v>
      </c>
      <c r="G147" s="194">
        <v>2</v>
      </c>
      <c r="H147" s="194"/>
      <c r="I147" s="253">
        <f>IF(COUNTBLANK(E147:H147)=4,"",SUM(E147:G147)+IF(Setup!$I$15="No",0,H147))</f>
        <v>2</v>
      </c>
      <c r="J147" s="194"/>
      <c r="K147" s="194">
        <v>1</v>
      </c>
      <c r="L147" s="194">
        <v>9</v>
      </c>
      <c r="M147" s="194"/>
      <c r="N147" s="257">
        <f>IF(COUNTBLANK(J147:M147)=4,"",SUM(J147:L147)+IF(Setup!$I$15="No",0,M147))</f>
        <v>10</v>
      </c>
      <c r="O147" s="194"/>
      <c r="P147" s="194"/>
      <c r="Q147" s="194"/>
      <c r="R147" s="194"/>
      <c r="S147" s="257" t="str">
        <f>IF(COUNTBLANK(O147:R147)=4,"",SUM(O147:Q147)+IF(Setup!$I$15="No",0,R147))</f>
        <v/>
      </c>
      <c r="T147" s="194"/>
      <c r="U147" s="194"/>
      <c r="V147" s="194"/>
      <c r="W147" s="194"/>
      <c r="X147" s="257" t="str">
        <f>IF(COUNTBLANK(T147:W147)=4,"",SUM(T147:V147)+IF(Setup!$I$15="No",0,W147))</f>
        <v/>
      </c>
      <c r="Y147" s="194"/>
      <c r="Z147" s="194"/>
      <c r="AA147" s="194"/>
      <c r="AB147" s="194"/>
      <c r="AC147" s="257" t="str">
        <f>IF(COUNTBLANK(Y147:AB147)=4,"",SUM(Y147:AA147)+IF(Setup!$I$15="No",0,AB147))</f>
        <v/>
      </c>
      <c r="AD147" s="194"/>
      <c r="AE147" s="194"/>
      <c r="AF147" s="194"/>
      <c r="AG147" s="194"/>
      <c r="AH147" s="257" t="str">
        <f>IF(COUNTBLANK(AD147:AG147)=4,"",SUM(AD147:AF147)+IF(Setup!$I$15="No",0,AG147))</f>
        <v/>
      </c>
      <c r="AI147" s="194"/>
      <c r="AJ147" s="194"/>
      <c r="AK147" s="194"/>
      <c r="AL147" s="194"/>
      <c r="AM147" s="257" t="str">
        <f>IF(COUNTBLANK(AI147:AL147)=4,"",SUM(AI147:AK147)+IF(Setup!$I$15="No",0,AL147))</f>
        <v/>
      </c>
      <c r="AN147" s="194"/>
      <c r="AO147" s="194"/>
      <c r="AP147" s="194"/>
      <c r="AQ147" s="194"/>
      <c r="AR147" s="257" t="str">
        <f>IF(COUNTBLANK(AN147:AQ147)=4,"",SUM(AN147:AP147)+IF(Setup!$I$15="No",0,AQ147))</f>
        <v/>
      </c>
      <c r="AS147" s="194"/>
      <c r="AT147" s="194"/>
      <c r="AU147" s="194"/>
      <c r="AV147" s="194"/>
      <c r="AW147" s="257" t="str">
        <f>IF(COUNTBLANK(AS147:AV147)=4,"",SUM(AS147:AU147)+IF(Setup!$I$15="No",0,AV147))</f>
        <v/>
      </c>
      <c r="AX147" s="194"/>
      <c r="AY147" s="194"/>
      <c r="AZ147" s="194"/>
      <c r="BA147" s="194"/>
      <c r="BB147" s="257" t="str">
        <f>IF(COUNTBLANK(AX147:BA147)=4,"",SUM(AX147:AZ147)+IF(Setup!$I$15="No",0,BA147))</f>
        <v/>
      </c>
      <c r="BC147" s="261">
        <f ca="1">IF('Demand background (hide)'!A138=Num_Modalities,"",SUM(Demand!I147, Demand!N147))</f>
        <v>12</v>
      </c>
      <c r="BD147" s="261">
        <f ca="1">IF(AND(A147&lt;=MaxRows,BE147&lt;&gt;"Yes"),'Demand background (hide)'!X138+IF(Setup!$I$15="Yes",'Demand background (hide)'!AJ138,0),"")</f>
        <v>460</v>
      </c>
      <c r="BE147" s="211"/>
    </row>
    <row r="148" spans="1:57" ht="15" x14ac:dyDescent="0.25">
      <c r="A148">
        <f t="shared" ca="1" si="8"/>
        <v>136</v>
      </c>
      <c r="B148" s="266" t="str">
        <f t="shared" ca="1" si="9"/>
        <v xml:space="preserve"> </v>
      </c>
      <c r="C148" s="267">
        <f t="shared" ca="1" si="10"/>
        <v>44</v>
      </c>
      <c r="D148" s="424">
        <f t="shared" ca="1" si="11"/>
        <v>43406</v>
      </c>
      <c r="E148" s="194"/>
      <c r="F148" s="194">
        <v>1</v>
      </c>
      <c r="G148" s="194">
        <v>4</v>
      </c>
      <c r="H148" s="194"/>
      <c r="I148" s="253">
        <f>IF(COUNTBLANK(E148:H148)=4,"",SUM(E148:G148)+IF(Setup!$I$15="No",0,H148))</f>
        <v>5</v>
      </c>
      <c r="J148" s="194"/>
      <c r="K148" s="194">
        <v>3</v>
      </c>
      <c r="L148" s="194">
        <v>5</v>
      </c>
      <c r="M148" s="194"/>
      <c r="N148" s="257">
        <f>IF(COUNTBLANK(J148:M148)=4,"",SUM(J148:L148)+IF(Setup!$I$15="No",0,M148))</f>
        <v>8</v>
      </c>
      <c r="O148" s="194"/>
      <c r="P148" s="194"/>
      <c r="Q148" s="194"/>
      <c r="R148" s="194"/>
      <c r="S148" s="257" t="str">
        <f>IF(COUNTBLANK(O148:R148)=4,"",SUM(O148:Q148)+IF(Setup!$I$15="No",0,R148))</f>
        <v/>
      </c>
      <c r="T148" s="194"/>
      <c r="U148" s="194"/>
      <c r="V148" s="194"/>
      <c r="W148" s="194"/>
      <c r="X148" s="257" t="str">
        <f>IF(COUNTBLANK(T148:W148)=4,"",SUM(T148:V148)+IF(Setup!$I$15="No",0,W148))</f>
        <v/>
      </c>
      <c r="Y148" s="194"/>
      <c r="Z148" s="194"/>
      <c r="AA148" s="194"/>
      <c r="AB148" s="194"/>
      <c r="AC148" s="257" t="str">
        <f>IF(COUNTBLANK(Y148:AB148)=4,"",SUM(Y148:AA148)+IF(Setup!$I$15="No",0,AB148))</f>
        <v/>
      </c>
      <c r="AD148" s="194"/>
      <c r="AE148" s="194"/>
      <c r="AF148" s="194"/>
      <c r="AG148" s="194"/>
      <c r="AH148" s="257" t="str">
        <f>IF(COUNTBLANK(AD148:AG148)=4,"",SUM(AD148:AF148)+IF(Setup!$I$15="No",0,AG148))</f>
        <v/>
      </c>
      <c r="AI148" s="194"/>
      <c r="AJ148" s="194"/>
      <c r="AK148" s="194"/>
      <c r="AL148" s="194"/>
      <c r="AM148" s="257" t="str">
        <f>IF(COUNTBLANK(AI148:AL148)=4,"",SUM(AI148:AK148)+IF(Setup!$I$15="No",0,AL148))</f>
        <v/>
      </c>
      <c r="AN148" s="194"/>
      <c r="AO148" s="194"/>
      <c r="AP148" s="194"/>
      <c r="AQ148" s="194"/>
      <c r="AR148" s="257" t="str">
        <f>IF(COUNTBLANK(AN148:AQ148)=4,"",SUM(AN148:AP148)+IF(Setup!$I$15="No",0,AQ148))</f>
        <v/>
      </c>
      <c r="AS148" s="194"/>
      <c r="AT148" s="194"/>
      <c r="AU148" s="194"/>
      <c r="AV148" s="194"/>
      <c r="AW148" s="257" t="str">
        <f>IF(COUNTBLANK(AS148:AV148)=4,"",SUM(AS148:AU148)+IF(Setup!$I$15="No",0,AV148))</f>
        <v/>
      </c>
      <c r="AX148" s="194"/>
      <c r="AY148" s="194"/>
      <c r="AZ148" s="194"/>
      <c r="BA148" s="194"/>
      <c r="BB148" s="257" t="str">
        <f>IF(COUNTBLANK(AX148:BA148)=4,"",SUM(AX148:AZ148)+IF(Setup!$I$15="No",0,BA148))</f>
        <v/>
      </c>
      <c r="BC148" s="261">
        <f ca="1">IF('Demand background (hide)'!A139=Num_Modalities,"",SUM(Demand!I148, Demand!N148))</f>
        <v>13</v>
      </c>
      <c r="BD148" s="261">
        <f ca="1">IF(AND(A148&lt;=MaxRows,BE148&lt;&gt;"Yes"),'Demand background (hide)'!X139+IF(Setup!$I$15="Yes",'Demand background (hide)'!AJ139,0),"")</f>
        <v>470</v>
      </c>
      <c r="BE148" s="211"/>
    </row>
    <row r="149" spans="1:57" ht="15" x14ac:dyDescent="0.25">
      <c r="A149">
        <f t="shared" ca="1" si="8"/>
        <v>137</v>
      </c>
      <c r="B149" s="266" t="str">
        <f t="shared" ca="1" si="9"/>
        <v xml:space="preserve"> </v>
      </c>
      <c r="C149" s="267">
        <f t="shared" ca="1" si="10"/>
        <v>45</v>
      </c>
      <c r="D149" s="424">
        <f t="shared" ca="1" si="11"/>
        <v>43413</v>
      </c>
      <c r="E149" s="194"/>
      <c r="F149" s="194">
        <v>3</v>
      </c>
      <c r="G149" s="194">
        <v>4</v>
      </c>
      <c r="H149" s="194"/>
      <c r="I149" s="253">
        <f>IF(COUNTBLANK(E149:H149)=4,"",SUM(E149:G149)+IF(Setup!$I$15="No",0,H149))</f>
        <v>7</v>
      </c>
      <c r="J149" s="194"/>
      <c r="K149" s="194">
        <v>0</v>
      </c>
      <c r="L149" s="194">
        <v>7</v>
      </c>
      <c r="M149" s="194"/>
      <c r="N149" s="257">
        <f>IF(COUNTBLANK(J149:M149)=4,"",SUM(J149:L149)+IF(Setup!$I$15="No",0,M149))</f>
        <v>7</v>
      </c>
      <c r="O149" s="194"/>
      <c r="P149" s="194"/>
      <c r="Q149" s="194"/>
      <c r="R149" s="194"/>
      <c r="S149" s="257" t="str">
        <f>IF(COUNTBLANK(O149:R149)=4,"",SUM(O149:Q149)+IF(Setup!$I$15="No",0,R149))</f>
        <v/>
      </c>
      <c r="T149" s="194"/>
      <c r="U149" s="194"/>
      <c r="V149" s="194"/>
      <c r="W149" s="194"/>
      <c r="X149" s="257" t="str">
        <f>IF(COUNTBLANK(T149:W149)=4,"",SUM(T149:V149)+IF(Setup!$I$15="No",0,W149))</f>
        <v/>
      </c>
      <c r="Y149" s="194"/>
      <c r="Z149" s="194"/>
      <c r="AA149" s="194"/>
      <c r="AB149" s="194"/>
      <c r="AC149" s="257" t="str">
        <f>IF(COUNTBLANK(Y149:AB149)=4,"",SUM(Y149:AA149)+IF(Setup!$I$15="No",0,AB149))</f>
        <v/>
      </c>
      <c r="AD149" s="194"/>
      <c r="AE149" s="194"/>
      <c r="AF149" s="194"/>
      <c r="AG149" s="194"/>
      <c r="AH149" s="257" t="str">
        <f>IF(COUNTBLANK(AD149:AG149)=4,"",SUM(AD149:AF149)+IF(Setup!$I$15="No",0,AG149))</f>
        <v/>
      </c>
      <c r="AI149" s="194"/>
      <c r="AJ149" s="194"/>
      <c r="AK149" s="194"/>
      <c r="AL149" s="194"/>
      <c r="AM149" s="257" t="str">
        <f>IF(COUNTBLANK(AI149:AL149)=4,"",SUM(AI149:AK149)+IF(Setup!$I$15="No",0,AL149))</f>
        <v/>
      </c>
      <c r="AN149" s="194"/>
      <c r="AO149" s="194"/>
      <c r="AP149" s="194"/>
      <c r="AQ149" s="194"/>
      <c r="AR149" s="257" t="str">
        <f>IF(COUNTBLANK(AN149:AQ149)=4,"",SUM(AN149:AP149)+IF(Setup!$I$15="No",0,AQ149))</f>
        <v/>
      </c>
      <c r="AS149" s="194"/>
      <c r="AT149" s="194"/>
      <c r="AU149" s="194"/>
      <c r="AV149" s="194"/>
      <c r="AW149" s="257" t="str">
        <f>IF(COUNTBLANK(AS149:AV149)=4,"",SUM(AS149:AU149)+IF(Setup!$I$15="No",0,AV149))</f>
        <v/>
      </c>
      <c r="AX149" s="194"/>
      <c r="AY149" s="194"/>
      <c r="AZ149" s="194"/>
      <c r="BA149" s="194"/>
      <c r="BB149" s="257" t="str">
        <f>IF(COUNTBLANK(AX149:BA149)=4,"",SUM(AX149:AZ149)+IF(Setup!$I$15="No",0,BA149))</f>
        <v/>
      </c>
      <c r="BC149" s="261">
        <f ca="1">IF('Demand background (hide)'!A140=Num_Modalities,"",SUM(Demand!I149, Demand!N149))</f>
        <v>14</v>
      </c>
      <c r="BD149" s="261">
        <f ca="1">IF(AND(A149&lt;=MaxRows,BE149&lt;&gt;"Yes"),'Demand background (hide)'!X140+IF(Setup!$I$15="Yes",'Demand background (hide)'!AJ140,0),"")</f>
        <v>490</v>
      </c>
      <c r="BE149" s="211"/>
    </row>
    <row r="150" spans="1:57" ht="15" x14ac:dyDescent="0.25">
      <c r="A150">
        <f t="shared" ca="1" si="8"/>
        <v>138</v>
      </c>
      <c r="B150" s="266" t="str">
        <f t="shared" ca="1" si="9"/>
        <v xml:space="preserve"> </v>
      </c>
      <c r="C150" s="267">
        <f t="shared" ca="1" si="10"/>
        <v>46</v>
      </c>
      <c r="D150" s="424">
        <f t="shared" ca="1" si="11"/>
        <v>43420</v>
      </c>
      <c r="E150" s="194"/>
      <c r="F150" s="194">
        <v>0</v>
      </c>
      <c r="G150" s="194">
        <v>5</v>
      </c>
      <c r="H150" s="194"/>
      <c r="I150" s="253">
        <f>IF(COUNTBLANK(E150:H150)=4,"",SUM(E150:G150)+IF(Setup!$I$15="No",0,H150))</f>
        <v>5</v>
      </c>
      <c r="J150" s="194"/>
      <c r="K150" s="194">
        <v>1</v>
      </c>
      <c r="L150" s="194">
        <v>6</v>
      </c>
      <c r="M150" s="194"/>
      <c r="N150" s="257">
        <f>IF(COUNTBLANK(J150:M150)=4,"",SUM(J150:L150)+IF(Setup!$I$15="No",0,M150))</f>
        <v>7</v>
      </c>
      <c r="O150" s="194"/>
      <c r="P150" s="194"/>
      <c r="Q150" s="194"/>
      <c r="R150" s="194"/>
      <c r="S150" s="257" t="str">
        <f>IF(COUNTBLANK(O150:R150)=4,"",SUM(O150:Q150)+IF(Setup!$I$15="No",0,R150))</f>
        <v/>
      </c>
      <c r="T150" s="194"/>
      <c r="U150" s="194"/>
      <c r="V150" s="194"/>
      <c r="W150" s="194"/>
      <c r="X150" s="257" t="str">
        <f>IF(COUNTBLANK(T150:W150)=4,"",SUM(T150:V150)+IF(Setup!$I$15="No",0,W150))</f>
        <v/>
      </c>
      <c r="Y150" s="194"/>
      <c r="Z150" s="194"/>
      <c r="AA150" s="194"/>
      <c r="AB150" s="194"/>
      <c r="AC150" s="257" t="str">
        <f>IF(COUNTBLANK(Y150:AB150)=4,"",SUM(Y150:AA150)+IF(Setup!$I$15="No",0,AB150))</f>
        <v/>
      </c>
      <c r="AD150" s="194"/>
      <c r="AE150" s="194"/>
      <c r="AF150" s="194"/>
      <c r="AG150" s="194"/>
      <c r="AH150" s="257" t="str">
        <f>IF(COUNTBLANK(AD150:AG150)=4,"",SUM(AD150:AF150)+IF(Setup!$I$15="No",0,AG150))</f>
        <v/>
      </c>
      <c r="AI150" s="194"/>
      <c r="AJ150" s="194"/>
      <c r="AK150" s="194"/>
      <c r="AL150" s="194"/>
      <c r="AM150" s="257" t="str">
        <f>IF(COUNTBLANK(AI150:AL150)=4,"",SUM(AI150:AK150)+IF(Setup!$I$15="No",0,AL150))</f>
        <v/>
      </c>
      <c r="AN150" s="194"/>
      <c r="AO150" s="194"/>
      <c r="AP150" s="194"/>
      <c r="AQ150" s="194"/>
      <c r="AR150" s="257" t="str">
        <f>IF(COUNTBLANK(AN150:AQ150)=4,"",SUM(AN150:AP150)+IF(Setup!$I$15="No",0,AQ150))</f>
        <v/>
      </c>
      <c r="AS150" s="194"/>
      <c r="AT150" s="194"/>
      <c r="AU150" s="194"/>
      <c r="AV150" s="194"/>
      <c r="AW150" s="257" t="str">
        <f>IF(COUNTBLANK(AS150:AV150)=4,"",SUM(AS150:AU150)+IF(Setup!$I$15="No",0,AV150))</f>
        <v/>
      </c>
      <c r="AX150" s="194"/>
      <c r="AY150" s="194"/>
      <c r="AZ150" s="194"/>
      <c r="BA150" s="194"/>
      <c r="BB150" s="257" t="str">
        <f>IF(COUNTBLANK(AX150:BA150)=4,"",SUM(AX150:AZ150)+IF(Setup!$I$15="No",0,BA150))</f>
        <v/>
      </c>
      <c r="BC150" s="261">
        <f ca="1">IF('Demand background (hide)'!A141=Num_Modalities,"",SUM(Demand!I150, Demand!N150))</f>
        <v>12</v>
      </c>
      <c r="BD150" s="261">
        <f ca="1">IF(AND(A150&lt;=MaxRows,BE150&lt;&gt;"Yes"),'Demand background (hide)'!X141+IF(Setup!$I$15="Yes",'Demand background (hide)'!AJ141,0),"")</f>
        <v>430</v>
      </c>
      <c r="BE150" s="211"/>
    </row>
    <row r="151" spans="1:57" ht="15" x14ac:dyDescent="0.25">
      <c r="A151">
        <f t="shared" ca="1" si="8"/>
        <v>139</v>
      </c>
      <c r="B151" s="266" t="str">
        <f t="shared" ca="1" si="9"/>
        <v xml:space="preserve"> </v>
      </c>
      <c r="C151" s="267">
        <f t="shared" ca="1" si="10"/>
        <v>47</v>
      </c>
      <c r="D151" s="424">
        <f t="shared" ca="1" si="11"/>
        <v>43427</v>
      </c>
      <c r="E151" s="194"/>
      <c r="F151" s="194">
        <v>2</v>
      </c>
      <c r="G151" s="194">
        <v>3</v>
      </c>
      <c r="H151" s="194"/>
      <c r="I151" s="253">
        <f>IF(COUNTBLANK(E151:H151)=4,"",SUM(E151:G151)+IF(Setup!$I$15="No",0,H151))</f>
        <v>5</v>
      </c>
      <c r="J151" s="194"/>
      <c r="K151" s="194">
        <v>0</v>
      </c>
      <c r="L151" s="194">
        <v>8</v>
      </c>
      <c r="M151" s="194"/>
      <c r="N151" s="257">
        <f>IF(COUNTBLANK(J151:M151)=4,"",SUM(J151:L151)+IF(Setup!$I$15="No",0,M151))</f>
        <v>8</v>
      </c>
      <c r="O151" s="194"/>
      <c r="P151" s="194"/>
      <c r="Q151" s="194"/>
      <c r="R151" s="194"/>
      <c r="S151" s="257" t="str">
        <f>IF(COUNTBLANK(O151:R151)=4,"",SUM(O151:Q151)+IF(Setup!$I$15="No",0,R151))</f>
        <v/>
      </c>
      <c r="T151" s="194"/>
      <c r="U151" s="194"/>
      <c r="V151" s="194"/>
      <c r="W151" s="194"/>
      <c r="X151" s="257" t="str">
        <f>IF(COUNTBLANK(T151:W151)=4,"",SUM(T151:V151)+IF(Setup!$I$15="No",0,W151))</f>
        <v/>
      </c>
      <c r="Y151" s="194"/>
      <c r="Z151" s="194"/>
      <c r="AA151" s="194"/>
      <c r="AB151" s="194"/>
      <c r="AC151" s="257" t="str">
        <f>IF(COUNTBLANK(Y151:AB151)=4,"",SUM(Y151:AA151)+IF(Setup!$I$15="No",0,AB151))</f>
        <v/>
      </c>
      <c r="AD151" s="194"/>
      <c r="AE151" s="194"/>
      <c r="AF151" s="194"/>
      <c r="AG151" s="194"/>
      <c r="AH151" s="257" t="str">
        <f>IF(COUNTBLANK(AD151:AG151)=4,"",SUM(AD151:AF151)+IF(Setup!$I$15="No",0,AG151))</f>
        <v/>
      </c>
      <c r="AI151" s="194"/>
      <c r="AJ151" s="194"/>
      <c r="AK151" s="194"/>
      <c r="AL151" s="194"/>
      <c r="AM151" s="257" t="str">
        <f>IF(COUNTBLANK(AI151:AL151)=4,"",SUM(AI151:AK151)+IF(Setup!$I$15="No",0,AL151))</f>
        <v/>
      </c>
      <c r="AN151" s="194"/>
      <c r="AO151" s="194"/>
      <c r="AP151" s="194"/>
      <c r="AQ151" s="194"/>
      <c r="AR151" s="257" t="str">
        <f>IF(COUNTBLANK(AN151:AQ151)=4,"",SUM(AN151:AP151)+IF(Setup!$I$15="No",0,AQ151))</f>
        <v/>
      </c>
      <c r="AS151" s="194"/>
      <c r="AT151" s="194"/>
      <c r="AU151" s="194"/>
      <c r="AV151" s="194"/>
      <c r="AW151" s="257" t="str">
        <f>IF(COUNTBLANK(AS151:AV151)=4,"",SUM(AS151:AU151)+IF(Setup!$I$15="No",0,AV151))</f>
        <v/>
      </c>
      <c r="AX151" s="194"/>
      <c r="AY151" s="194"/>
      <c r="AZ151" s="194"/>
      <c r="BA151" s="194"/>
      <c r="BB151" s="257" t="str">
        <f>IF(COUNTBLANK(AX151:BA151)=4,"",SUM(AX151:AZ151)+IF(Setup!$I$15="No",0,BA151))</f>
        <v/>
      </c>
      <c r="BC151" s="261">
        <f ca="1">IF('Demand background (hide)'!A142=Num_Modalities,"",SUM(Demand!I151, Demand!N151))</f>
        <v>13</v>
      </c>
      <c r="BD151" s="261">
        <f ca="1">IF(AND(A151&lt;=MaxRows,BE151&lt;&gt;"Yes"),'Demand background (hide)'!X142+IF(Setup!$I$15="Yes",'Demand background (hide)'!AJ142,0),"")</f>
        <v>470</v>
      </c>
      <c r="BE151" s="211"/>
    </row>
    <row r="152" spans="1:57" ht="15" x14ac:dyDescent="0.25">
      <c r="A152">
        <f t="shared" ca="1" si="8"/>
        <v>140</v>
      </c>
      <c r="B152" s="266" t="str">
        <f t="shared" ca="1" si="9"/>
        <v xml:space="preserve"> </v>
      </c>
      <c r="C152" s="267">
        <f t="shared" ca="1" si="10"/>
        <v>48</v>
      </c>
      <c r="D152" s="424">
        <f t="shared" ca="1" si="11"/>
        <v>43434</v>
      </c>
      <c r="E152" s="194"/>
      <c r="F152" s="194">
        <v>1</v>
      </c>
      <c r="G152" s="194">
        <v>3</v>
      </c>
      <c r="H152" s="194"/>
      <c r="I152" s="253">
        <f>IF(COUNTBLANK(E152:H152)=4,"",SUM(E152:G152)+IF(Setup!$I$15="No",0,H152))</f>
        <v>4</v>
      </c>
      <c r="J152" s="194"/>
      <c r="K152" s="194">
        <v>1</v>
      </c>
      <c r="L152" s="194">
        <v>14</v>
      </c>
      <c r="M152" s="194"/>
      <c r="N152" s="257">
        <f>IF(COUNTBLANK(J152:M152)=4,"",SUM(J152:L152)+IF(Setup!$I$15="No",0,M152))</f>
        <v>15</v>
      </c>
      <c r="O152" s="194"/>
      <c r="P152" s="194"/>
      <c r="Q152" s="194"/>
      <c r="R152" s="194"/>
      <c r="S152" s="257" t="str">
        <f>IF(COUNTBLANK(O152:R152)=4,"",SUM(O152:Q152)+IF(Setup!$I$15="No",0,R152))</f>
        <v/>
      </c>
      <c r="T152" s="194"/>
      <c r="U152" s="194"/>
      <c r="V152" s="194"/>
      <c r="W152" s="194"/>
      <c r="X152" s="257" t="str">
        <f>IF(COUNTBLANK(T152:W152)=4,"",SUM(T152:V152)+IF(Setup!$I$15="No",0,W152))</f>
        <v/>
      </c>
      <c r="Y152" s="194"/>
      <c r="Z152" s="194"/>
      <c r="AA152" s="194"/>
      <c r="AB152" s="194"/>
      <c r="AC152" s="257" t="str">
        <f>IF(COUNTBLANK(Y152:AB152)=4,"",SUM(Y152:AA152)+IF(Setup!$I$15="No",0,AB152))</f>
        <v/>
      </c>
      <c r="AD152" s="194"/>
      <c r="AE152" s="194"/>
      <c r="AF152" s="194"/>
      <c r="AG152" s="194"/>
      <c r="AH152" s="257" t="str">
        <f>IF(COUNTBLANK(AD152:AG152)=4,"",SUM(AD152:AF152)+IF(Setup!$I$15="No",0,AG152))</f>
        <v/>
      </c>
      <c r="AI152" s="194"/>
      <c r="AJ152" s="194"/>
      <c r="AK152" s="194"/>
      <c r="AL152" s="194"/>
      <c r="AM152" s="257" t="str">
        <f>IF(COUNTBLANK(AI152:AL152)=4,"",SUM(AI152:AK152)+IF(Setup!$I$15="No",0,AL152))</f>
        <v/>
      </c>
      <c r="AN152" s="194"/>
      <c r="AO152" s="194"/>
      <c r="AP152" s="194"/>
      <c r="AQ152" s="194"/>
      <c r="AR152" s="257" t="str">
        <f>IF(COUNTBLANK(AN152:AQ152)=4,"",SUM(AN152:AP152)+IF(Setup!$I$15="No",0,AQ152))</f>
        <v/>
      </c>
      <c r="AS152" s="194"/>
      <c r="AT152" s="194"/>
      <c r="AU152" s="194"/>
      <c r="AV152" s="194"/>
      <c r="AW152" s="257" t="str">
        <f>IF(COUNTBLANK(AS152:AV152)=4,"",SUM(AS152:AU152)+IF(Setup!$I$15="No",0,AV152))</f>
        <v/>
      </c>
      <c r="AX152" s="194"/>
      <c r="AY152" s="194"/>
      <c r="AZ152" s="194"/>
      <c r="BA152" s="194"/>
      <c r="BB152" s="257" t="str">
        <f>IF(COUNTBLANK(AX152:BA152)=4,"",SUM(AX152:AZ152)+IF(Setup!$I$15="No",0,BA152))</f>
        <v/>
      </c>
      <c r="BC152" s="261">
        <f ca="1">IF('Demand background (hide)'!A143=Num_Modalities,"",SUM(Demand!I152, Demand!N152))</f>
        <v>19</v>
      </c>
      <c r="BD152" s="261">
        <f ca="1">IF(AND(A152&lt;=MaxRows,BE152&lt;&gt;"Yes"),'Demand background (hide)'!X143+IF(Setup!$I$15="Yes",'Demand background (hide)'!AJ143,0),"")</f>
        <v>720</v>
      </c>
      <c r="BE152" s="211"/>
    </row>
    <row r="153" spans="1:57" ht="15" x14ac:dyDescent="0.25">
      <c r="A153">
        <f t="shared" ca="1" si="8"/>
        <v>141</v>
      </c>
      <c r="B153" s="266" t="str">
        <f t="shared" ca="1" si="9"/>
        <v xml:space="preserve"> </v>
      </c>
      <c r="C153" s="267">
        <f t="shared" ca="1" si="10"/>
        <v>49</v>
      </c>
      <c r="D153" s="424">
        <f t="shared" ca="1" si="11"/>
        <v>43441</v>
      </c>
      <c r="E153" s="194"/>
      <c r="F153" s="194">
        <v>0</v>
      </c>
      <c r="G153" s="194">
        <v>3</v>
      </c>
      <c r="H153" s="194"/>
      <c r="I153" s="253">
        <f>IF(COUNTBLANK(E153:H153)=4,"",SUM(E153:G153)+IF(Setup!$I$15="No",0,H153))</f>
        <v>3</v>
      </c>
      <c r="J153" s="194"/>
      <c r="K153" s="194">
        <v>2</v>
      </c>
      <c r="L153" s="194">
        <v>2</v>
      </c>
      <c r="M153" s="194"/>
      <c r="N153" s="257">
        <f>IF(COUNTBLANK(J153:M153)=4,"",SUM(J153:L153)+IF(Setup!$I$15="No",0,M153))</f>
        <v>4</v>
      </c>
      <c r="O153" s="194"/>
      <c r="P153" s="194"/>
      <c r="Q153" s="194"/>
      <c r="R153" s="194"/>
      <c r="S153" s="257" t="str">
        <f>IF(COUNTBLANK(O153:R153)=4,"",SUM(O153:Q153)+IF(Setup!$I$15="No",0,R153))</f>
        <v/>
      </c>
      <c r="T153" s="194"/>
      <c r="U153" s="194"/>
      <c r="V153" s="194"/>
      <c r="W153" s="194"/>
      <c r="X153" s="257" t="str">
        <f>IF(COUNTBLANK(T153:W153)=4,"",SUM(T153:V153)+IF(Setup!$I$15="No",0,W153))</f>
        <v/>
      </c>
      <c r="Y153" s="194"/>
      <c r="Z153" s="194"/>
      <c r="AA153" s="194"/>
      <c r="AB153" s="194"/>
      <c r="AC153" s="257" t="str">
        <f>IF(COUNTBLANK(Y153:AB153)=4,"",SUM(Y153:AA153)+IF(Setup!$I$15="No",0,AB153))</f>
        <v/>
      </c>
      <c r="AD153" s="194"/>
      <c r="AE153" s="194"/>
      <c r="AF153" s="194"/>
      <c r="AG153" s="194"/>
      <c r="AH153" s="257" t="str">
        <f>IF(COUNTBLANK(AD153:AG153)=4,"",SUM(AD153:AF153)+IF(Setup!$I$15="No",0,AG153))</f>
        <v/>
      </c>
      <c r="AI153" s="194"/>
      <c r="AJ153" s="194"/>
      <c r="AK153" s="194"/>
      <c r="AL153" s="194"/>
      <c r="AM153" s="257" t="str">
        <f>IF(COUNTBLANK(AI153:AL153)=4,"",SUM(AI153:AK153)+IF(Setup!$I$15="No",0,AL153))</f>
        <v/>
      </c>
      <c r="AN153" s="194"/>
      <c r="AO153" s="194"/>
      <c r="AP153" s="194"/>
      <c r="AQ153" s="194"/>
      <c r="AR153" s="257" t="str">
        <f>IF(COUNTBLANK(AN153:AQ153)=4,"",SUM(AN153:AP153)+IF(Setup!$I$15="No",0,AQ153))</f>
        <v/>
      </c>
      <c r="AS153" s="194"/>
      <c r="AT153" s="194"/>
      <c r="AU153" s="194"/>
      <c r="AV153" s="194"/>
      <c r="AW153" s="257" t="str">
        <f>IF(COUNTBLANK(AS153:AV153)=4,"",SUM(AS153:AU153)+IF(Setup!$I$15="No",0,AV153))</f>
        <v/>
      </c>
      <c r="AX153" s="194"/>
      <c r="AY153" s="194"/>
      <c r="AZ153" s="194"/>
      <c r="BA153" s="194"/>
      <c r="BB153" s="257" t="str">
        <f>IF(COUNTBLANK(AX153:BA153)=4,"",SUM(AX153:AZ153)+IF(Setup!$I$15="No",0,BA153))</f>
        <v/>
      </c>
      <c r="BC153" s="261">
        <f ca="1">IF('Demand background (hide)'!A144=Num_Modalities,"",SUM(Demand!I153, Demand!N153))</f>
        <v>7</v>
      </c>
      <c r="BD153" s="261">
        <f ca="1">IF(AND(A153&lt;=MaxRows,BE153&lt;&gt;"Yes"),'Demand background (hide)'!X144+IF(Setup!$I$15="Yes",'Demand background (hide)'!AJ144,0),"")</f>
        <v>250</v>
      </c>
      <c r="BE153" s="211"/>
    </row>
    <row r="154" spans="1:57" ht="15" x14ac:dyDescent="0.25">
      <c r="A154">
        <f t="shared" ca="1" si="8"/>
        <v>142</v>
      </c>
      <c r="B154" s="266" t="str">
        <f t="shared" ca="1" si="9"/>
        <v xml:space="preserve"> </v>
      </c>
      <c r="C154" s="267">
        <f t="shared" ca="1" si="10"/>
        <v>50</v>
      </c>
      <c r="D154" s="424">
        <f t="shared" ca="1" si="11"/>
        <v>43448</v>
      </c>
      <c r="E154" s="194"/>
      <c r="F154" s="194">
        <v>0</v>
      </c>
      <c r="G154" s="194">
        <v>5</v>
      </c>
      <c r="H154" s="194"/>
      <c r="I154" s="253">
        <f>IF(COUNTBLANK(E154:H154)=4,"",SUM(E154:G154)+IF(Setup!$I$15="No",0,H154))</f>
        <v>5</v>
      </c>
      <c r="J154" s="194"/>
      <c r="K154" s="194">
        <v>3</v>
      </c>
      <c r="L154" s="194">
        <v>7</v>
      </c>
      <c r="M154" s="194"/>
      <c r="N154" s="257">
        <f>IF(COUNTBLANK(J154:M154)=4,"",SUM(J154:L154)+IF(Setup!$I$15="No",0,M154))</f>
        <v>10</v>
      </c>
      <c r="O154" s="194"/>
      <c r="P154" s="194"/>
      <c r="Q154" s="194"/>
      <c r="R154" s="194"/>
      <c r="S154" s="257" t="str">
        <f>IF(COUNTBLANK(O154:R154)=4,"",SUM(O154:Q154)+IF(Setup!$I$15="No",0,R154))</f>
        <v/>
      </c>
      <c r="T154" s="194"/>
      <c r="U154" s="194"/>
      <c r="V154" s="194"/>
      <c r="W154" s="194"/>
      <c r="X154" s="257" t="str">
        <f>IF(COUNTBLANK(T154:W154)=4,"",SUM(T154:V154)+IF(Setup!$I$15="No",0,W154))</f>
        <v/>
      </c>
      <c r="Y154" s="194"/>
      <c r="Z154" s="194"/>
      <c r="AA154" s="194"/>
      <c r="AB154" s="194"/>
      <c r="AC154" s="257" t="str">
        <f>IF(COUNTBLANK(Y154:AB154)=4,"",SUM(Y154:AA154)+IF(Setup!$I$15="No",0,AB154))</f>
        <v/>
      </c>
      <c r="AD154" s="194"/>
      <c r="AE154" s="194"/>
      <c r="AF154" s="194"/>
      <c r="AG154" s="194"/>
      <c r="AH154" s="257" t="str">
        <f>IF(COUNTBLANK(AD154:AG154)=4,"",SUM(AD154:AF154)+IF(Setup!$I$15="No",0,AG154))</f>
        <v/>
      </c>
      <c r="AI154" s="194"/>
      <c r="AJ154" s="194"/>
      <c r="AK154" s="194"/>
      <c r="AL154" s="194"/>
      <c r="AM154" s="257" t="str">
        <f>IF(COUNTBLANK(AI154:AL154)=4,"",SUM(AI154:AK154)+IF(Setup!$I$15="No",0,AL154))</f>
        <v/>
      </c>
      <c r="AN154" s="194"/>
      <c r="AO154" s="194"/>
      <c r="AP154" s="194"/>
      <c r="AQ154" s="194"/>
      <c r="AR154" s="257" t="str">
        <f>IF(COUNTBLANK(AN154:AQ154)=4,"",SUM(AN154:AP154)+IF(Setup!$I$15="No",0,AQ154))</f>
        <v/>
      </c>
      <c r="AS154" s="194"/>
      <c r="AT154" s="194"/>
      <c r="AU154" s="194"/>
      <c r="AV154" s="194"/>
      <c r="AW154" s="257" t="str">
        <f>IF(COUNTBLANK(AS154:AV154)=4,"",SUM(AS154:AU154)+IF(Setup!$I$15="No",0,AV154))</f>
        <v/>
      </c>
      <c r="AX154" s="194"/>
      <c r="AY154" s="194"/>
      <c r="AZ154" s="194"/>
      <c r="BA154" s="194"/>
      <c r="BB154" s="257" t="str">
        <f>IF(COUNTBLANK(AX154:BA154)=4,"",SUM(AX154:AZ154)+IF(Setup!$I$15="No",0,BA154))</f>
        <v/>
      </c>
      <c r="BC154" s="261">
        <f ca="1">IF('Demand background (hide)'!A145=Num_Modalities,"",SUM(Demand!I154, Demand!N154))</f>
        <v>15</v>
      </c>
      <c r="BD154" s="261">
        <f ca="1">IF(AND(A154&lt;=MaxRows,BE154&lt;&gt;"Yes"),'Demand background (hide)'!X145+IF(Setup!$I$15="Yes",'Demand background (hide)'!AJ145,0),"")</f>
        <v>550</v>
      </c>
      <c r="BE154" s="211"/>
    </row>
    <row r="155" spans="1:57" ht="15" x14ac:dyDescent="0.25">
      <c r="A155">
        <f t="shared" ca="1" si="8"/>
        <v>143</v>
      </c>
      <c r="B155" s="266" t="str">
        <f t="shared" ca="1" si="9"/>
        <v xml:space="preserve"> </v>
      </c>
      <c r="C155" s="267">
        <f t="shared" ca="1" si="10"/>
        <v>51</v>
      </c>
      <c r="D155" s="424">
        <f t="shared" ca="1" si="11"/>
        <v>43455</v>
      </c>
      <c r="E155" s="194"/>
      <c r="F155" s="194">
        <v>1</v>
      </c>
      <c r="G155" s="194">
        <v>2</v>
      </c>
      <c r="H155" s="194"/>
      <c r="I155" s="253">
        <f>IF(COUNTBLANK(E155:H155)=4,"",SUM(E155:G155)+IF(Setup!$I$15="No",0,H155))</f>
        <v>3</v>
      </c>
      <c r="J155" s="194"/>
      <c r="K155" s="194">
        <v>2</v>
      </c>
      <c r="L155" s="194">
        <v>13</v>
      </c>
      <c r="M155" s="194"/>
      <c r="N155" s="257">
        <f>IF(COUNTBLANK(J155:M155)=4,"",SUM(J155:L155)+IF(Setup!$I$15="No",0,M155))</f>
        <v>15</v>
      </c>
      <c r="O155" s="194"/>
      <c r="P155" s="194"/>
      <c r="Q155" s="194"/>
      <c r="R155" s="194"/>
      <c r="S155" s="257" t="str">
        <f>IF(COUNTBLANK(O155:R155)=4,"",SUM(O155:Q155)+IF(Setup!$I$15="No",0,R155))</f>
        <v/>
      </c>
      <c r="T155" s="194"/>
      <c r="U155" s="194"/>
      <c r="V155" s="194"/>
      <c r="W155" s="194"/>
      <c r="X155" s="257" t="str">
        <f>IF(COUNTBLANK(T155:W155)=4,"",SUM(T155:V155)+IF(Setup!$I$15="No",0,W155))</f>
        <v/>
      </c>
      <c r="Y155" s="194"/>
      <c r="Z155" s="194"/>
      <c r="AA155" s="194"/>
      <c r="AB155" s="194"/>
      <c r="AC155" s="257" t="str">
        <f>IF(COUNTBLANK(Y155:AB155)=4,"",SUM(Y155:AA155)+IF(Setup!$I$15="No",0,AB155))</f>
        <v/>
      </c>
      <c r="AD155" s="194"/>
      <c r="AE155" s="194"/>
      <c r="AF155" s="194"/>
      <c r="AG155" s="194"/>
      <c r="AH155" s="257" t="str">
        <f>IF(COUNTBLANK(AD155:AG155)=4,"",SUM(AD155:AF155)+IF(Setup!$I$15="No",0,AG155))</f>
        <v/>
      </c>
      <c r="AI155" s="194"/>
      <c r="AJ155" s="194"/>
      <c r="AK155" s="194"/>
      <c r="AL155" s="194"/>
      <c r="AM155" s="257" t="str">
        <f>IF(COUNTBLANK(AI155:AL155)=4,"",SUM(AI155:AK155)+IF(Setup!$I$15="No",0,AL155))</f>
        <v/>
      </c>
      <c r="AN155" s="194"/>
      <c r="AO155" s="194"/>
      <c r="AP155" s="194"/>
      <c r="AQ155" s="194"/>
      <c r="AR155" s="257" t="str">
        <f>IF(COUNTBLANK(AN155:AQ155)=4,"",SUM(AN155:AP155)+IF(Setup!$I$15="No",0,AQ155))</f>
        <v/>
      </c>
      <c r="AS155" s="194"/>
      <c r="AT155" s="194"/>
      <c r="AU155" s="194"/>
      <c r="AV155" s="194"/>
      <c r="AW155" s="257" t="str">
        <f>IF(COUNTBLANK(AS155:AV155)=4,"",SUM(AS155:AU155)+IF(Setup!$I$15="No",0,AV155))</f>
        <v/>
      </c>
      <c r="AX155" s="194"/>
      <c r="AY155" s="194"/>
      <c r="AZ155" s="194"/>
      <c r="BA155" s="194"/>
      <c r="BB155" s="257" t="str">
        <f>IF(COUNTBLANK(AX155:BA155)=4,"",SUM(AX155:AZ155)+IF(Setup!$I$15="No",0,BA155))</f>
        <v/>
      </c>
      <c r="BC155" s="261">
        <f ca="1">IF('Demand background (hide)'!A146=Num_Modalities,"",SUM(Demand!I155, Demand!N155))</f>
        <v>18</v>
      </c>
      <c r="BD155" s="261">
        <f ca="1">IF(AND(A155&lt;=MaxRows,BE155&lt;&gt;"Yes"),'Demand background (hide)'!X146+IF(Setup!$I$15="Yes",'Demand background (hide)'!AJ146,0),"")</f>
        <v>690</v>
      </c>
      <c r="BE155" s="211"/>
    </row>
    <row r="156" spans="1:57" ht="15" x14ac:dyDescent="0.25">
      <c r="A156">
        <f t="shared" ca="1" si="8"/>
        <v>144</v>
      </c>
      <c r="B156" s="266" t="str">
        <f t="shared" ca="1" si="9"/>
        <v xml:space="preserve"> </v>
      </c>
      <c r="C156" s="267">
        <f t="shared" ca="1" si="10"/>
        <v>52</v>
      </c>
      <c r="D156" s="424">
        <f t="shared" ca="1" si="11"/>
        <v>43462</v>
      </c>
      <c r="E156" s="194"/>
      <c r="F156" s="194">
        <v>1</v>
      </c>
      <c r="G156" s="194">
        <v>2</v>
      </c>
      <c r="H156" s="194"/>
      <c r="I156" s="253">
        <f>IF(COUNTBLANK(E156:H156)=4,"",SUM(E156:G156)+IF(Setup!$I$15="No",0,H156))</f>
        <v>3</v>
      </c>
      <c r="J156" s="194"/>
      <c r="K156" s="194">
        <v>1</v>
      </c>
      <c r="L156" s="194">
        <v>6</v>
      </c>
      <c r="M156" s="194"/>
      <c r="N156" s="257">
        <f>IF(COUNTBLANK(J156:M156)=4,"",SUM(J156:L156)+IF(Setup!$I$15="No",0,M156))</f>
        <v>7</v>
      </c>
      <c r="O156" s="194"/>
      <c r="P156" s="194"/>
      <c r="Q156" s="194"/>
      <c r="R156" s="194"/>
      <c r="S156" s="257" t="str">
        <f>IF(COUNTBLANK(O156:R156)=4,"",SUM(O156:Q156)+IF(Setup!$I$15="No",0,R156))</f>
        <v/>
      </c>
      <c r="T156" s="194"/>
      <c r="U156" s="194"/>
      <c r="V156" s="194"/>
      <c r="W156" s="194"/>
      <c r="X156" s="257" t="str">
        <f>IF(COUNTBLANK(T156:W156)=4,"",SUM(T156:V156)+IF(Setup!$I$15="No",0,W156))</f>
        <v/>
      </c>
      <c r="Y156" s="194"/>
      <c r="Z156" s="194"/>
      <c r="AA156" s="194"/>
      <c r="AB156" s="194"/>
      <c r="AC156" s="257" t="str">
        <f>IF(COUNTBLANK(Y156:AB156)=4,"",SUM(Y156:AA156)+IF(Setup!$I$15="No",0,AB156))</f>
        <v/>
      </c>
      <c r="AD156" s="194"/>
      <c r="AE156" s="194"/>
      <c r="AF156" s="194"/>
      <c r="AG156" s="194"/>
      <c r="AH156" s="257" t="str">
        <f>IF(COUNTBLANK(AD156:AG156)=4,"",SUM(AD156:AF156)+IF(Setup!$I$15="No",0,AG156))</f>
        <v/>
      </c>
      <c r="AI156" s="194"/>
      <c r="AJ156" s="194"/>
      <c r="AK156" s="194"/>
      <c r="AL156" s="194"/>
      <c r="AM156" s="257" t="str">
        <f>IF(COUNTBLANK(AI156:AL156)=4,"",SUM(AI156:AK156)+IF(Setup!$I$15="No",0,AL156))</f>
        <v/>
      </c>
      <c r="AN156" s="194"/>
      <c r="AO156" s="194"/>
      <c r="AP156" s="194"/>
      <c r="AQ156" s="194"/>
      <c r="AR156" s="257" t="str">
        <f>IF(COUNTBLANK(AN156:AQ156)=4,"",SUM(AN156:AP156)+IF(Setup!$I$15="No",0,AQ156))</f>
        <v/>
      </c>
      <c r="AS156" s="194"/>
      <c r="AT156" s="194"/>
      <c r="AU156" s="194"/>
      <c r="AV156" s="194"/>
      <c r="AW156" s="257" t="str">
        <f>IF(COUNTBLANK(AS156:AV156)=4,"",SUM(AS156:AU156)+IF(Setup!$I$15="No",0,AV156))</f>
        <v/>
      </c>
      <c r="AX156" s="194"/>
      <c r="AY156" s="194"/>
      <c r="AZ156" s="194"/>
      <c r="BA156" s="194"/>
      <c r="BB156" s="257" t="str">
        <f>IF(COUNTBLANK(AX156:BA156)=4,"",SUM(AX156:AZ156)+IF(Setup!$I$15="No",0,BA156))</f>
        <v/>
      </c>
      <c r="BC156" s="261">
        <f ca="1">IF('Demand background (hide)'!A147=Num_Modalities,"",SUM(Demand!I156, Demand!N156))</f>
        <v>10</v>
      </c>
      <c r="BD156" s="261">
        <f ca="1">IF(AND(A156&lt;=MaxRows,BE156&lt;&gt;"Yes"),'Demand background (hide)'!X147+IF(Setup!$I$15="Yes",'Demand background (hide)'!AJ147,0),"")</f>
        <v>370</v>
      </c>
      <c r="BE156" s="211"/>
    </row>
    <row r="157" spans="1:57" ht="15" x14ac:dyDescent="0.25">
      <c r="A157">
        <f t="shared" ca="1" si="8"/>
        <v>145</v>
      </c>
      <c r="B157" s="266">
        <f t="shared" ca="1" si="9"/>
        <v>2019</v>
      </c>
      <c r="C157" s="267">
        <f t="shared" ca="1" si="10"/>
        <v>1</v>
      </c>
      <c r="D157" s="424">
        <f t="shared" ca="1" si="11"/>
        <v>43469</v>
      </c>
      <c r="E157" s="194"/>
      <c r="F157" s="194">
        <v>1</v>
      </c>
      <c r="G157" s="194">
        <v>3</v>
      </c>
      <c r="H157" s="194"/>
      <c r="I157" s="253">
        <f>IF(COUNTBLANK(E157:H157)=4,"",SUM(E157:G157)+IF(Setup!$I$15="No",0,H157))</f>
        <v>4</v>
      </c>
      <c r="J157" s="194"/>
      <c r="K157" s="194">
        <v>2</v>
      </c>
      <c r="L157" s="194">
        <v>9</v>
      </c>
      <c r="M157" s="194"/>
      <c r="N157" s="257">
        <f>IF(COUNTBLANK(J157:M157)=4,"",SUM(J157:L157)+IF(Setup!$I$15="No",0,M157))</f>
        <v>11</v>
      </c>
      <c r="O157" s="194"/>
      <c r="P157" s="194"/>
      <c r="Q157" s="194"/>
      <c r="R157" s="194"/>
      <c r="S157" s="257" t="str">
        <f>IF(COUNTBLANK(O157:R157)=4,"",SUM(O157:Q157)+IF(Setup!$I$15="No",0,R157))</f>
        <v/>
      </c>
      <c r="T157" s="194"/>
      <c r="U157" s="194"/>
      <c r="V157" s="194"/>
      <c r="W157" s="194"/>
      <c r="X157" s="257" t="str">
        <f>IF(COUNTBLANK(T157:W157)=4,"",SUM(T157:V157)+IF(Setup!$I$15="No",0,W157))</f>
        <v/>
      </c>
      <c r="Y157" s="194"/>
      <c r="Z157" s="194"/>
      <c r="AA157" s="194"/>
      <c r="AB157" s="194"/>
      <c r="AC157" s="257" t="str">
        <f>IF(COUNTBLANK(Y157:AB157)=4,"",SUM(Y157:AA157)+IF(Setup!$I$15="No",0,AB157))</f>
        <v/>
      </c>
      <c r="AD157" s="194"/>
      <c r="AE157" s="194"/>
      <c r="AF157" s="194"/>
      <c r="AG157" s="194"/>
      <c r="AH157" s="257" t="str">
        <f>IF(COUNTBLANK(AD157:AG157)=4,"",SUM(AD157:AF157)+IF(Setup!$I$15="No",0,AG157))</f>
        <v/>
      </c>
      <c r="AI157" s="194"/>
      <c r="AJ157" s="194"/>
      <c r="AK157" s="194"/>
      <c r="AL157" s="194"/>
      <c r="AM157" s="257" t="str">
        <f>IF(COUNTBLANK(AI157:AL157)=4,"",SUM(AI157:AK157)+IF(Setup!$I$15="No",0,AL157))</f>
        <v/>
      </c>
      <c r="AN157" s="194"/>
      <c r="AO157" s="194"/>
      <c r="AP157" s="194"/>
      <c r="AQ157" s="194"/>
      <c r="AR157" s="257" t="str">
        <f>IF(COUNTBLANK(AN157:AQ157)=4,"",SUM(AN157:AP157)+IF(Setup!$I$15="No",0,AQ157))</f>
        <v/>
      </c>
      <c r="AS157" s="194"/>
      <c r="AT157" s="194"/>
      <c r="AU157" s="194"/>
      <c r="AV157" s="194"/>
      <c r="AW157" s="257" t="str">
        <f>IF(COUNTBLANK(AS157:AV157)=4,"",SUM(AS157:AU157)+IF(Setup!$I$15="No",0,AV157))</f>
        <v/>
      </c>
      <c r="AX157" s="194"/>
      <c r="AY157" s="194"/>
      <c r="AZ157" s="194"/>
      <c r="BA157" s="194"/>
      <c r="BB157" s="257" t="str">
        <f>IF(COUNTBLANK(AX157:BA157)=4,"",SUM(AX157:AZ157)+IF(Setup!$I$15="No",0,BA157))</f>
        <v/>
      </c>
      <c r="BC157" s="261">
        <f ca="1">IF('Demand background (hide)'!A148=Num_Modalities,"",SUM(Demand!I157, Demand!N157))</f>
        <v>15</v>
      </c>
      <c r="BD157" s="261">
        <f ca="1">IF(AND(A157&lt;=MaxRows,BE157&lt;&gt;"Yes"),'Demand background (hide)'!X148+IF(Setup!$I$15="Yes",'Demand background (hide)'!AJ148,0),"")</f>
        <v>560</v>
      </c>
      <c r="BE157" s="211"/>
    </row>
    <row r="158" spans="1:57" ht="15" x14ac:dyDescent="0.25">
      <c r="A158">
        <f t="shared" ca="1" si="8"/>
        <v>146</v>
      </c>
      <c r="B158" s="266" t="str">
        <f t="shared" ca="1" si="9"/>
        <v xml:space="preserve"> </v>
      </c>
      <c r="C158" s="267">
        <f t="shared" ca="1" si="10"/>
        <v>2</v>
      </c>
      <c r="D158" s="424">
        <f t="shared" ca="1" si="11"/>
        <v>43476</v>
      </c>
      <c r="E158" s="194"/>
      <c r="F158" s="194">
        <v>0</v>
      </c>
      <c r="G158" s="194">
        <v>1</v>
      </c>
      <c r="H158" s="194"/>
      <c r="I158" s="253">
        <f>IF(COUNTBLANK(E158:H158)=4,"",SUM(E158:G158)+IF(Setup!$I$15="No",0,H158))</f>
        <v>1</v>
      </c>
      <c r="J158" s="194"/>
      <c r="K158" s="194">
        <v>2</v>
      </c>
      <c r="L158" s="194">
        <v>4</v>
      </c>
      <c r="M158" s="194"/>
      <c r="N158" s="257">
        <f>IF(COUNTBLANK(J158:M158)=4,"",SUM(J158:L158)+IF(Setup!$I$15="No",0,M158))</f>
        <v>6</v>
      </c>
      <c r="O158" s="194"/>
      <c r="P158" s="194"/>
      <c r="Q158" s="194"/>
      <c r="R158" s="194"/>
      <c r="S158" s="257" t="str">
        <f>IF(COUNTBLANK(O158:R158)=4,"",SUM(O158:Q158)+IF(Setup!$I$15="No",0,R158))</f>
        <v/>
      </c>
      <c r="T158" s="194"/>
      <c r="U158" s="194"/>
      <c r="V158" s="194"/>
      <c r="W158" s="194"/>
      <c r="X158" s="257" t="str">
        <f>IF(COUNTBLANK(T158:W158)=4,"",SUM(T158:V158)+IF(Setup!$I$15="No",0,W158))</f>
        <v/>
      </c>
      <c r="Y158" s="194"/>
      <c r="Z158" s="194"/>
      <c r="AA158" s="194"/>
      <c r="AB158" s="194"/>
      <c r="AC158" s="257" t="str">
        <f>IF(COUNTBLANK(Y158:AB158)=4,"",SUM(Y158:AA158)+IF(Setup!$I$15="No",0,AB158))</f>
        <v/>
      </c>
      <c r="AD158" s="194"/>
      <c r="AE158" s="194"/>
      <c r="AF158" s="194"/>
      <c r="AG158" s="194"/>
      <c r="AH158" s="257" t="str">
        <f>IF(COUNTBLANK(AD158:AG158)=4,"",SUM(AD158:AF158)+IF(Setup!$I$15="No",0,AG158))</f>
        <v/>
      </c>
      <c r="AI158" s="194"/>
      <c r="AJ158" s="194"/>
      <c r="AK158" s="194"/>
      <c r="AL158" s="194"/>
      <c r="AM158" s="257" t="str">
        <f>IF(COUNTBLANK(AI158:AL158)=4,"",SUM(AI158:AK158)+IF(Setup!$I$15="No",0,AL158))</f>
        <v/>
      </c>
      <c r="AN158" s="194"/>
      <c r="AO158" s="194"/>
      <c r="AP158" s="194"/>
      <c r="AQ158" s="194"/>
      <c r="AR158" s="257" t="str">
        <f>IF(COUNTBLANK(AN158:AQ158)=4,"",SUM(AN158:AP158)+IF(Setup!$I$15="No",0,AQ158))</f>
        <v/>
      </c>
      <c r="AS158" s="194"/>
      <c r="AT158" s="194"/>
      <c r="AU158" s="194"/>
      <c r="AV158" s="194"/>
      <c r="AW158" s="257" t="str">
        <f>IF(COUNTBLANK(AS158:AV158)=4,"",SUM(AS158:AU158)+IF(Setup!$I$15="No",0,AV158))</f>
        <v/>
      </c>
      <c r="AX158" s="194"/>
      <c r="AY158" s="194"/>
      <c r="AZ158" s="194"/>
      <c r="BA158" s="194"/>
      <c r="BB158" s="257" t="str">
        <f>IF(COUNTBLANK(AX158:BA158)=4,"",SUM(AX158:AZ158)+IF(Setup!$I$15="No",0,BA158))</f>
        <v/>
      </c>
      <c r="BC158" s="261">
        <f ca="1">IF('Demand background (hide)'!A149=Num_Modalities,"",SUM(Demand!I158, Demand!N158))</f>
        <v>7</v>
      </c>
      <c r="BD158" s="261">
        <f ca="1">IF(AND(A158&lt;=MaxRows,BE158&lt;&gt;"Yes"),'Demand background (hide)'!X149+IF(Setup!$I$15="Yes",'Demand background (hide)'!AJ149,0),"")</f>
        <v>270</v>
      </c>
      <c r="BE158" s="211"/>
    </row>
    <row r="159" spans="1:57" ht="15" x14ac:dyDescent="0.25">
      <c r="A159">
        <f t="shared" ca="1" si="8"/>
        <v>147</v>
      </c>
      <c r="B159" s="266" t="str">
        <f t="shared" ca="1" si="9"/>
        <v xml:space="preserve"> </v>
      </c>
      <c r="C159" s="267">
        <f t="shared" ca="1" si="10"/>
        <v>3</v>
      </c>
      <c r="D159" s="424">
        <f t="shared" ca="1" si="11"/>
        <v>43483</v>
      </c>
      <c r="E159" s="194"/>
      <c r="F159" s="194">
        <v>1</v>
      </c>
      <c r="G159" s="194">
        <v>2</v>
      </c>
      <c r="H159" s="194"/>
      <c r="I159" s="253">
        <f>IF(COUNTBLANK(E159:H159)=4,"",SUM(E159:G159)+IF(Setup!$I$15="No",0,H159))</f>
        <v>3</v>
      </c>
      <c r="J159" s="194"/>
      <c r="K159" s="194">
        <v>3</v>
      </c>
      <c r="L159" s="194">
        <v>6</v>
      </c>
      <c r="M159" s="194"/>
      <c r="N159" s="257">
        <f>IF(COUNTBLANK(J159:M159)=4,"",SUM(J159:L159)+IF(Setup!$I$15="No",0,M159))</f>
        <v>9</v>
      </c>
      <c r="O159" s="194"/>
      <c r="P159" s="194"/>
      <c r="Q159" s="194"/>
      <c r="R159" s="194"/>
      <c r="S159" s="257" t="str">
        <f>IF(COUNTBLANK(O159:R159)=4,"",SUM(O159:Q159)+IF(Setup!$I$15="No",0,R159))</f>
        <v/>
      </c>
      <c r="T159" s="194"/>
      <c r="U159" s="194"/>
      <c r="V159" s="194"/>
      <c r="W159" s="194"/>
      <c r="X159" s="257" t="str">
        <f>IF(COUNTBLANK(T159:W159)=4,"",SUM(T159:V159)+IF(Setup!$I$15="No",0,W159))</f>
        <v/>
      </c>
      <c r="Y159" s="194"/>
      <c r="Z159" s="194"/>
      <c r="AA159" s="194"/>
      <c r="AB159" s="194"/>
      <c r="AC159" s="257" t="str">
        <f>IF(COUNTBLANK(Y159:AB159)=4,"",SUM(Y159:AA159)+IF(Setup!$I$15="No",0,AB159))</f>
        <v/>
      </c>
      <c r="AD159" s="194"/>
      <c r="AE159" s="194"/>
      <c r="AF159" s="194"/>
      <c r="AG159" s="194"/>
      <c r="AH159" s="257" t="str">
        <f>IF(COUNTBLANK(AD159:AG159)=4,"",SUM(AD159:AF159)+IF(Setup!$I$15="No",0,AG159))</f>
        <v/>
      </c>
      <c r="AI159" s="194"/>
      <c r="AJ159" s="194"/>
      <c r="AK159" s="194"/>
      <c r="AL159" s="194"/>
      <c r="AM159" s="257" t="str">
        <f>IF(COUNTBLANK(AI159:AL159)=4,"",SUM(AI159:AK159)+IF(Setup!$I$15="No",0,AL159))</f>
        <v/>
      </c>
      <c r="AN159" s="194"/>
      <c r="AO159" s="194"/>
      <c r="AP159" s="194"/>
      <c r="AQ159" s="194"/>
      <c r="AR159" s="257" t="str">
        <f>IF(COUNTBLANK(AN159:AQ159)=4,"",SUM(AN159:AP159)+IF(Setup!$I$15="No",0,AQ159))</f>
        <v/>
      </c>
      <c r="AS159" s="194"/>
      <c r="AT159" s="194"/>
      <c r="AU159" s="194"/>
      <c r="AV159" s="194"/>
      <c r="AW159" s="257" t="str">
        <f>IF(COUNTBLANK(AS159:AV159)=4,"",SUM(AS159:AU159)+IF(Setup!$I$15="No",0,AV159))</f>
        <v/>
      </c>
      <c r="AX159" s="194"/>
      <c r="AY159" s="194"/>
      <c r="AZ159" s="194"/>
      <c r="BA159" s="194"/>
      <c r="BB159" s="257" t="str">
        <f>IF(COUNTBLANK(AX159:BA159)=4,"",SUM(AX159:AZ159)+IF(Setup!$I$15="No",0,BA159))</f>
        <v/>
      </c>
      <c r="BC159" s="261">
        <f ca="1">IF('Demand background (hide)'!A150=Num_Modalities,"",SUM(Demand!I159, Demand!N159))</f>
        <v>12</v>
      </c>
      <c r="BD159" s="261">
        <f ca="1">IF(AND(A159&lt;=MaxRows,BE159&lt;&gt;"Yes"),'Demand background (hide)'!X150+IF(Setup!$I$15="Yes",'Demand background (hide)'!AJ150,0),"")</f>
        <v>450</v>
      </c>
      <c r="BE159" s="211"/>
    </row>
    <row r="160" spans="1:57" ht="15" x14ac:dyDescent="0.25">
      <c r="A160">
        <f t="shared" ca="1" si="8"/>
        <v>148</v>
      </c>
      <c r="B160" s="266" t="str">
        <f t="shared" ca="1" si="9"/>
        <v xml:space="preserve"> </v>
      </c>
      <c r="C160" s="267">
        <f t="shared" ca="1" si="10"/>
        <v>4</v>
      </c>
      <c r="D160" s="424">
        <f t="shared" ca="1" si="11"/>
        <v>43490</v>
      </c>
      <c r="E160" s="194"/>
      <c r="F160" s="194">
        <v>0</v>
      </c>
      <c r="G160" s="194">
        <v>5</v>
      </c>
      <c r="H160" s="194"/>
      <c r="I160" s="253">
        <f>IF(COUNTBLANK(E160:H160)=4,"",SUM(E160:G160)+IF(Setup!$I$15="No",0,H160))</f>
        <v>5</v>
      </c>
      <c r="J160" s="194"/>
      <c r="K160" s="194">
        <v>3</v>
      </c>
      <c r="L160" s="194">
        <v>12</v>
      </c>
      <c r="M160" s="194"/>
      <c r="N160" s="257">
        <f>IF(COUNTBLANK(J160:M160)=4,"",SUM(J160:L160)+IF(Setup!$I$15="No",0,M160))</f>
        <v>15</v>
      </c>
      <c r="O160" s="194"/>
      <c r="P160" s="194"/>
      <c r="Q160" s="194"/>
      <c r="R160" s="194"/>
      <c r="S160" s="257" t="str">
        <f>IF(COUNTBLANK(O160:R160)=4,"",SUM(O160:Q160)+IF(Setup!$I$15="No",0,R160))</f>
        <v/>
      </c>
      <c r="T160" s="194"/>
      <c r="U160" s="194"/>
      <c r="V160" s="194"/>
      <c r="W160" s="194"/>
      <c r="X160" s="257" t="str">
        <f>IF(COUNTBLANK(T160:W160)=4,"",SUM(T160:V160)+IF(Setup!$I$15="No",0,W160))</f>
        <v/>
      </c>
      <c r="Y160" s="194"/>
      <c r="Z160" s="194"/>
      <c r="AA160" s="194"/>
      <c r="AB160" s="194"/>
      <c r="AC160" s="257" t="str">
        <f>IF(COUNTBLANK(Y160:AB160)=4,"",SUM(Y160:AA160)+IF(Setup!$I$15="No",0,AB160))</f>
        <v/>
      </c>
      <c r="AD160" s="194"/>
      <c r="AE160" s="194"/>
      <c r="AF160" s="194"/>
      <c r="AG160" s="194"/>
      <c r="AH160" s="257" t="str">
        <f>IF(COUNTBLANK(AD160:AG160)=4,"",SUM(AD160:AF160)+IF(Setup!$I$15="No",0,AG160))</f>
        <v/>
      </c>
      <c r="AI160" s="194"/>
      <c r="AJ160" s="194"/>
      <c r="AK160" s="194"/>
      <c r="AL160" s="194"/>
      <c r="AM160" s="257" t="str">
        <f>IF(COUNTBLANK(AI160:AL160)=4,"",SUM(AI160:AK160)+IF(Setup!$I$15="No",0,AL160))</f>
        <v/>
      </c>
      <c r="AN160" s="194"/>
      <c r="AO160" s="194"/>
      <c r="AP160" s="194"/>
      <c r="AQ160" s="194"/>
      <c r="AR160" s="257" t="str">
        <f>IF(COUNTBLANK(AN160:AQ160)=4,"",SUM(AN160:AP160)+IF(Setup!$I$15="No",0,AQ160))</f>
        <v/>
      </c>
      <c r="AS160" s="194"/>
      <c r="AT160" s="194"/>
      <c r="AU160" s="194"/>
      <c r="AV160" s="194"/>
      <c r="AW160" s="257" t="str">
        <f>IF(COUNTBLANK(AS160:AV160)=4,"",SUM(AS160:AU160)+IF(Setup!$I$15="No",0,AV160))</f>
        <v/>
      </c>
      <c r="AX160" s="194"/>
      <c r="AY160" s="194"/>
      <c r="AZ160" s="194"/>
      <c r="BA160" s="194"/>
      <c r="BB160" s="257" t="str">
        <f>IF(COUNTBLANK(AX160:BA160)=4,"",SUM(AX160:AZ160)+IF(Setup!$I$15="No",0,BA160))</f>
        <v/>
      </c>
      <c r="BC160" s="261">
        <f ca="1">IF('Demand background (hide)'!A151=Num_Modalities,"",SUM(Demand!I160, Demand!N160))</f>
        <v>20</v>
      </c>
      <c r="BD160" s="261">
        <f ca="1">IF(AND(A160&lt;=MaxRows,BE160&lt;&gt;"Yes"),'Demand background (hide)'!X151+IF(Setup!$I$15="Yes",'Demand background (hide)'!AJ151,0),"")</f>
        <v>750</v>
      </c>
      <c r="BE160" s="211"/>
    </row>
    <row r="161" spans="1:57" ht="15" x14ac:dyDescent="0.25">
      <c r="A161">
        <f t="shared" ca="1" si="8"/>
        <v>149</v>
      </c>
      <c r="B161" s="266" t="str">
        <f t="shared" ca="1" si="9"/>
        <v xml:space="preserve"> </v>
      </c>
      <c r="C161" s="267">
        <f t="shared" ca="1" si="10"/>
        <v>5</v>
      </c>
      <c r="D161" s="424">
        <f t="shared" ca="1" si="11"/>
        <v>43497</v>
      </c>
      <c r="E161" s="194"/>
      <c r="F161" s="194">
        <v>0</v>
      </c>
      <c r="G161" s="194">
        <v>5</v>
      </c>
      <c r="H161" s="194"/>
      <c r="I161" s="253">
        <f>IF(COUNTBLANK(E161:H161)=4,"",SUM(E161:G161)+IF(Setup!$I$15="No",0,H161))</f>
        <v>5</v>
      </c>
      <c r="J161" s="194"/>
      <c r="K161" s="194">
        <v>2</v>
      </c>
      <c r="L161" s="194">
        <v>4</v>
      </c>
      <c r="M161" s="194"/>
      <c r="N161" s="257">
        <f>IF(COUNTBLANK(J161:M161)=4,"",SUM(J161:L161)+IF(Setup!$I$15="No",0,M161))</f>
        <v>6</v>
      </c>
      <c r="O161" s="194"/>
      <c r="P161" s="194"/>
      <c r="Q161" s="194"/>
      <c r="R161" s="194"/>
      <c r="S161" s="257" t="str">
        <f>IF(COUNTBLANK(O161:R161)=4,"",SUM(O161:Q161)+IF(Setup!$I$15="No",0,R161))</f>
        <v/>
      </c>
      <c r="T161" s="194"/>
      <c r="U161" s="194"/>
      <c r="V161" s="194"/>
      <c r="W161" s="194"/>
      <c r="X161" s="257" t="str">
        <f>IF(COUNTBLANK(T161:W161)=4,"",SUM(T161:V161)+IF(Setup!$I$15="No",0,W161))</f>
        <v/>
      </c>
      <c r="Y161" s="194"/>
      <c r="Z161" s="194"/>
      <c r="AA161" s="194"/>
      <c r="AB161" s="194"/>
      <c r="AC161" s="257" t="str">
        <f>IF(COUNTBLANK(Y161:AB161)=4,"",SUM(Y161:AA161)+IF(Setup!$I$15="No",0,AB161))</f>
        <v/>
      </c>
      <c r="AD161" s="194"/>
      <c r="AE161" s="194"/>
      <c r="AF161" s="194"/>
      <c r="AG161" s="194"/>
      <c r="AH161" s="257" t="str">
        <f>IF(COUNTBLANK(AD161:AG161)=4,"",SUM(AD161:AF161)+IF(Setup!$I$15="No",0,AG161))</f>
        <v/>
      </c>
      <c r="AI161" s="194"/>
      <c r="AJ161" s="194"/>
      <c r="AK161" s="194"/>
      <c r="AL161" s="194"/>
      <c r="AM161" s="257" t="str">
        <f>IF(COUNTBLANK(AI161:AL161)=4,"",SUM(AI161:AK161)+IF(Setup!$I$15="No",0,AL161))</f>
        <v/>
      </c>
      <c r="AN161" s="194"/>
      <c r="AO161" s="194"/>
      <c r="AP161" s="194"/>
      <c r="AQ161" s="194"/>
      <c r="AR161" s="257" t="str">
        <f>IF(COUNTBLANK(AN161:AQ161)=4,"",SUM(AN161:AP161)+IF(Setup!$I$15="No",0,AQ161))</f>
        <v/>
      </c>
      <c r="AS161" s="194"/>
      <c r="AT161" s="194"/>
      <c r="AU161" s="194"/>
      <c r="AV161" s="194"/>
      <c r="AW161" s="257" t="str">
        <f>IF(COUNTBLANK(AS161:AV161)=4,"",SUM(AS161:AU161)+IF(Setup!$I$15="No",0,AV161))</f>
        <v/>
      </c>
      <c r="AX161" s="194"/>
      <c r="AY161" s="194"/>
      <c r="AZ161" s="194"/>
      <c r="BA161" s="194"/>
      <c r="BB161" s="257" t="str">
        <f>IF(COUNTBLANK(AX161:BA161)=4,"",SUM(AX161:AZ161)+IF(Setup!$I$15="No",0,BA161))</f>
        <v/>
      </c>
      <c r="BC161" s="261">
        <f ca="1">IF('Demand background (hide)'!A152=Num_Modalities,"",SUM(Demand!I161, Demand!N161))</f>
        <v>11</v>
      </c>
      <c r="BD161" s="261">
        <f ca="1">IF(AND(A161&lt;=MaxRows,BE161&lt;&gt;"Yes"),'Demand background (hide)'!X152+IF(Setup!$I$15="Yes",'Demand background (hide)'!AJ152,0),"")</f>
        <v>390</v>
      </c>
      <c r="BE161" s="211"/>
    </row>
    <row r="162" spans="1:57" ht="15" x14ac:dyDescent="0.25">
      <c r="A162">
        <f t="shared" ca="1" si="8"/>
        <v>150</v>
      </c>
      <c r="B162" s="266" t="str">
        <f t="shared" ca="1" si="9"/>
        <v xml:space="preserve"> </v>
      </c>
      <c r="C162" s="267">
        <f t="shared" ca="1" si="10"/>
        <v>6</v>
      </c>
      <c r="D162" s="424">
        <f t="shared" ca="1" si="11"/>
        <v>43504</v>
      </c>
      <c r="E162" s="194"/>
      <c r="F162" s="194">
        <v>0</v>
      </c>
      <c r="G162" s="194">
        <v>2</v>
      </c>
      <c r="H162" s="194"/>
      <c r="I162" s="253">
        <f>IF(COUNTBLANK(E162:H162)=4,"",SUM(E162:G162)+IF(Setup!$I$15="No",0,H162))</f>
        <v>2</v>
      </c>
      <c r="J162" s="194"/>
      <c r="K162" s="194">
        <v>5</v>
      </c>
      <c r="L162" s="194">
        <v>9</v>
      </c>
      <c r="M162" s="194"/>
      <c r="N162" s="257">
        <f>IF(COUNTBLANK(J162:M162)=4,"",SUM(J162:L162)+IF(Setup!$I$15="No",0,M162))</f>
        <v>14</v>
      </c>
      <c r="O162" s="194"/>
      <c r="P162" s="194"/>
      <c r="Q162" s="194"/>
      <c r="R162" s="194"/>
      <c r="S162" s="257" t="str">
        <f>IF(COUNTBLANK(O162:R162)=4,"",SUM(O162:Q162)+IF(Setup!$I$15="No",0,R162))</f>
        <v/>
      </c>
      <c r="T162" s="194"/>
      <c r="U162" s="194"/>
      <c r="V162" s="194"/>
      <c r="W162" s="194"/>
      <c r="X162" s="257" t="str">
        <f>IF(COUNTBLANK(T162:W162)=4,"",SUM(T162:V162)+IF(Setup!$I$15="No",0,W162))</f>
        <v/>
      </c>
      <c r="Y162" s="194"/>
      <c r="Z162" s="194"/>
      <c r="AA162" s="194"/>
      <c r="AB162" s="194"/>
      <c r="AC162" s="257" t="str">
        <f>IF(COUNTBLANK(Y162:AB162)=4,"",SUM(Y162:AA162)+IF(Setup!$I$15="No",0,AB162))</f>
        <v/>
      </c>
      <c r="AD162" s="194"/>
      <c r="AE162" s="194"/>
      <c r="AF162" s="194"/>
      <c r="AG162" s="194"/>
      <c r="AH162" s="257" t="str">
        <f>IF(COUNTBLANK(AD162:AG162)=4,"",SUM(AD162:AF162)+IF(Setup!$I$15="No",0,AG162))</f>
        <v/>
      </c>
      <c r="AI162" s="194"/>
      <c r="AJ162" s="194"/>
      <c r="AK162" s="194"/>
      <c r="AL162" s="194"/>
      <c r="AM162" s="257" t="str">
        <f>IF(COUNTBLANK(AI162:AL162)=4,"",SUM(AI162:AK162)+IF(Setup!$I$15="No",0,AL162))</f>
        <v/>
      </c>
      <c r="AN162" s="194"/>
      <c r="AO162" s="194"/>
      <c r="AP162" s="194"/>
      <c r="AQ162" s="194"/>
      <c r="AR162" s="257" t="str">
        <f>IF(COUNTBLANK(AN162:AQ162)=4,"",SUM(AN162:AP162)+IF(Setup!$I$15="No",0,AQ162))</f>
        <v/>
      </c>
      <c r="AS162" s="194"/>
      <c r="AT162" s="194"/>
      <c r="AU162" s="194"/>
      <c r="AV162" s="194"/>
      <c r="AW162" s="257" t="str">
        <f>IF(COUNTBLANK(AS162:AV162)=4,"",SUM(AS162:AU162)+IF(Setup!$I$15="No",0,AV162))</f>
        <v/>
      </c>
      <c r="AX162" s="194"/>
      <c r="AY162" s="194"/>
      <c r="AZ162" s="194"/>
      <c r="BA162" s="194"/>
      <c r="BB162" s="257" t="str">
        <f>IF(COUNTBLANK(AX162:BA162)=4,"",SUM(AX162:AZ162)+IF(Setup!$I$15="No",0,BA162))</f>
        <v/>
      </c>
      <c r="BC162" s="261">
        <f ca="1">IF('Demand background (hide)'!A153=Num_Modalities,"",SUM(Demand!I162, Demand!N162))</f>
        <v>16</v>
      </c>
      <c r="BD162" s="261">
        <f ca="1">IF(AND(A162&lt;=MaxRows,BE162&lt;&gt;"Yes"),'Demand background (hide)'!X153+IF(Setup!$I$15="Yes",'Demand background (hide)'!AJ153,0),"")</f>
        <v>620</v>
      </c>
      <c r="BE162" s="211"/>
    </row>
    <row r="163" spans="1:57" ht="15" x14ac:dyDescent="0.25">
      <c r="A163">
        <f t="shared" ca="1" si="8"/>
        <v>151</v>
      </c>
      <c r="B163" s="266" t="str">
        <f t="shared" ca="1" si="9"/>
        <v xml:space="preserve"> </v>
      </c>
      <c r="C163" s="267">
        <f t="shared" ca="1" si="10"/>
        <v>7</v>
      </c>
      <c r="D163" s="424">
        <f t="shared" ca="1" si="11"/>
        <v>43511</v>
      </c>
      <c r="E163" s="194"/>
      <c r="F163" s="194">
        <v>1</v>
      </c>
      <c r="G163" s="194">
        <v>1</v>
      </c>
      <c r="H163" s="194"/>
      <c r="I163" s="253">
        <f>IF(COUNTBLANK(E163:H163)=4,"",SUM(E163:G163)+IF(Setup!$I$15="No",0,H163))</f>
        <v>2</v>
      </c>
      <c r="J163" s="194"/>
      <c r="K163" s="194">
        <v>3</v>
      </c>
      <c r="L163" s="194">
        <v>4</v>
      </c>
      <c r="M163" s="194"/>
      <c r="N163" s="257">
        <f>IF(COUNTBLANK(J163:M163)=4,"",SUM(J163:L163)+IF(Setup!$I$15="No",0,M163))</f>
        <v>7</v>
      </c>
      <c r="O163" s="194"/>
      <c r="P163" s="194"/>
      <c r="Q163" s="194"/>
      <c r="R163" s="194"/>
      <c r="S163" s="257" t="str">
        <f>IF(COUNTBLANK(O163:R163)=4,"",SUM(O163:Q163)+IF(Setup!$I$15="No",0,R163))</f>
        <v/>
      </c>
      <c r="T163" s="194"/>
      <c r="U163" s="194"/>
      <c r="V163" s="194"/>
      <c r="W163" s="194"/>
      <c r="X163" s="257" t="str">
        <f>IF(COUNTBLANK(T163:W163)=4,"",SUM(T163:V163)+IF(Setup!$I$15="No",0,W163))</f>
        <v/>
      </c>
      <c r="Y163" s="194"/>
      <c r="Z163" s="194"/>
      <c r="AA163" s="194"/>
      <c r="AB163" s="194"/>
      <c r="AC163" s="257" t="str">
        <f>IF(COUNTBLANK(Y163:AB163)=4,"",SUM(Y163:AA163)+IF(Setup!$I$15="No",0,AB163))</f>
        <v/>
      </c>
      <c r="AD163" s="194"/>
      <c r="AE163" s="194"/>
      <c r="AF163" s="194"/>
      <c r="AG163" s="194"/>
      <c r="AH163" s="257" t="str">
        <f>IF(COUNTBLANK(AD163:AG163)=4,"",SUM(AD163:AF163)+IF(Setup!$I$15="No",0,AG163))</f>
        <v/>
      </c>
      <c r="AI163" s="194"/>
      <c r="AJ163" s="194"/>
      <c r="AK163" s="194"/>
      <c r="AL163" s="194"/>
      <c r="AM163" s="257" t="str">
        <f>IF(COUNTBLANK(AI163:AL163)=4,"",SUM(AI163:AK163)+IF(Setup!$I$15="No",0,AL163))</f>
        <v/>
      </c>
      <c r="AN163" s="194"/>
      <c r="AO163" s="194"/>
      <c r="AP163" s="194"/>
      <c r="AQ163" s="194"/>
      <c r="AR163" s="257" t="str">
        <f>IF(COUNTBLANK(AN163:AQ163)=4,"",SUM(AN163:AP163)+IF(Setup!$I$15="No",0,AQ163))</f>
        <v/>
      </c>
      <c r="AS163" s="194"/>
      <c r="AT163" s="194"/>
      <c r="AU163" s="194"/>
      <c r="AV163" s="194"/>
      <c r="AW163" s="257" t="str">
        <f>IF(COUNTBLANK(AS163:AV163)=4,"",SUM(AS163:AU163)+IF(Setup!$I$15="No",0,AV163))</f>
        <v/>
      </c>
      <c r="AX163" s="194"/>
      <c r="AY163" s="194"/>
      <c r="AZ163" s="194"/>
      <c r="BA163" s="194"/>
      <c r="BB163" s="257" t="str">
        <f>IF(COUNTBLANK(AX163:BA163)=4,"",SUM(AX163:AZ163)+IF(Setup!$I$15="No",0,BA163))</f>
        <v/>
      </c>
      <c r="BC163" s="261">
        <f ca="1">IF('Demand background (hide)'!A154=Num_Modalities,"",SUM(Demand!I163, Demand!N163))</f>
        <v>9</v>
      </c>
      <c r="BD163" s="261">
        <f ca="1">IF(AND(A163&lt;=MaxRows,BE163&lt;&gt;"Yes"),'Demand background (hide)'!X154+IF(Setup!$I$15="Yes",'Demand background (hide)'!AJ154,0),"")</f>
        <v>340</v>
      </c>
      <c r="BE163" s="211"/>
    </row>
    <row r="164" spans="1:57" ht="15" x14ac:dyDescent="0.25">
      <c r="A164" t="str">
        <f t="shared" ca="1" si="8"/>
        <v/>
      </c>
      <c r="B164" s="266" t="str">
        <f t="shared" ca="1" si="9"/>
        <v xml:space="preserve"> </v>
      </c>
      <c r="C164" s="267" t="str">
        <f t="shared" ca="1" si="10"/>
        <v/>
      </c>
      <c r="D164" s="424" t="str">
        <f t="shared" ca="1" si="11"/>
        <v/>
      </c>
      <c r="E164" s="194"/>
      <c r="F164" s="194"/>
      <c r="G164" s="194"/>
      <c r="H164" s="194"/>
      <c r="I164" s="253" t="str">
        <f>IF(COUNTBLANK(E164:H164)=4,"",SUM(E164:G164)+IF(Setup!$I$15="No",0,H164))</f>
        <v/>
      </c>
      <c r="J164" s="194"/>
      <c r="K164" s="194"/>
      <c r="L164" s="194"/>
      <c r="M164" s="194"/>
      <c r="N164" s="257" t="str">
        <f>IF(COUNTBLANK(J164:M164)=4,"",SUM(J164:L164)+IF(Setup!$I$15="No",0,M164))</f>
        <v/>
      </c>
      <c r="O164" s="194"/>
      <c r="P164" s="194"/>
      <c r="Q164" s="194"/>
      <c r="R164" s="194"/>
      <c r="S164" s="257" t="str">
        <f>IF(COUNTBLANK(O164:R164)=4,"",SUM(O164:Q164)+IF(Setup!$I$15="No",0,R164))</f>
        <v/>
      </c>
      <c r="T164" s="194"/>
      <c r="U164" s="194"/>
      <c r="V164" s="194"/>
      <c r="W164" s="194"/>
      <c r="X164" s="257" t="str">
        <f>IF(COUNTBLANK(T164:W164)=4,"",SUM(T164:V164)+IF(Setup!$I$15="No",0,W164))</f>
        <v/>
      </c>
      <c r="Y164" s="194"/>
      <c r="Z164" s="194"/>
      <c r="AA164" s="194"/>
      <c r="AB164" s="194"/>
      <c r="AC164" s="257" t="str">
        <f>IF(COUNTBLANK(Y164:AB164)=4,"",SUM(Y164:AA164)+IF(Setup!$I$15="No",0,AB164))</f>
        <v/>
      </c>
      <c r="AD164" s="194"/>
      <c r="AE164" s="194"/>
      <c r="AF164" s="194"/>
      <c r="AG164" s="194"/>
      <c r="AH164" s="257" t="str">
        <f>IF(COUNTBLANK(AD164:AG164)=4,"",SUM(AD164:AF164)+IF(Setup!$I$15="No",0,AG164))</f>
        <v/>
      </c>
      <c r="AI164" s="194"/>
      <c r="AJ164" s="194"/>
      <c r="AK164" s="194"/>
      <c r="AL164" s="194"/>
      <c r="AM164" s="257" t="str">
        <f>IF(COUNTBLANK(AI164:AL164)=4,"",SUM(AI164:AK164)+IF(Setup!$I$15="No",0,AL164))</f>
        <v/>
      </c>
      <c r="AN164" s="194"/>
      <c r="AO164" s="194"/>
      <c r="AP164" s="194"/>
      <c r="AQ164" s="194"/>
      <c r="AR164" s="257" t="str">
        <f>IF(COUNTBLANK(AN164:AQ164)=4,"",SUM(AN164:AP164)+IF(Setup!$I$15="No",0,AQ164))</f>
        <v/>
      </c>
      <c r="AS164" s="194"/>
      <c r="AT164" s="194"/>
      <c r="AU164" s="194"/>
      <c r="AV164" s="194"/>
      <c r="AW164" s="257" t="str">
        <f>IF(COUNTBLANK(AS164:AV164)=4,"",SUM(AS164:AU164)+IF(Setup!$I$15="No",0,AV164))</f>
        <v/>
      </c>
      <c r="AX164" s="194"/>
      <c r="AY164" s="194"/>
      <c r="AZ164" s="194"/>
      <c r="BA164" s="194"/>
      <c r="BB164" s="257" t="str">
        <f>IF(COUNTBLANK(AX164:BA164)=4,"",SUM(AX164:AZ164)+IF(Setup!$I$15="No",0,BA164))</f>
        <v/>
      </c>
      <c r="BC164" s="261" t="str">
        <f ca="1">IF('Demand background (hide)'!A155=Num_Modalities,"",SUM(Demand!I164, Demand!N164))</f>
        <v/>
      </c>
      <c r="BD164" s="261" t="str">
        <f ca="1">IF(AND(A164&lt;=MaxRows,BE164&lt;&gt;"Yes"),'Demand background (hide)'!X155+IF(Setup!$I$15="Yes",'Demand background (hide)'!AJ155,0),"")</f>
        <v/>
      </c>
      <c r="BE164" s="211"/>
    </row>
    <row r="165" spans="1:57" ht="15" x14ac:dyDescent="0.25">
      <c r="A165" t="str">
        <f t="shared" ca="1" si="8"/>
        <v/>
      </c>
      <c r="B165" s="266" t="str">
        <f t="shared" ca="1" si="9"/>
        <v xml:space="preserve"> </v>
      </c>
      <c r="C165" s="267" t="str">
        <f t="shared" ca="1" si="10"/>
        <v/>
      </c>
      <c r="D165" s="424" t="str">
        <f t="shared" ca="1" si="11"/>
        <v/>
      </c>
      <c r="E165" s="194"/>
      <c r="F165" s="194"/>
      <c r="G165" s="194"/>
      <c r="H165" s="194"/>
      <c r="I165" s="253" t="str">
        <f>IF(COUNTBLANK(E165:H165)=4,"",SUM(E165:G165)+IF(Setup!$I$15="No",0,H165))</f>
        <v/>
      </c>
      <c r="J165" s="194"/>
      <c r="K165" s="194"/>
      <c r="L165" s="194"/>
      <c r="M165" s="194"/>
      <c r="N165" s="257" t="str">
        <f>IF(COUNTBLANK(J165:M165)=4,"",SUM(J165:L165)+IF(Setup!$I$15="No",0,M165))</f>
        <v/>
      </c>
      <c r="O165" s="194"/>
      <c r="P165" s="194"/>
      <c r="Q165" s="194"/>
      <c r="R165" s="194"/>
      <c r="S165" s="257" t="str">
        <f>IF(COUNTBLANK(O165:R165)=4,"",SUM(O165:Q165)+IF(Setup!$I$15="No",0,R165))</f>
        <v/>
      </c>
      <c r="T165" s="194"/>
      <c r="U165" s="194"/>
      <c r="V165" s="194"/>
      <c r="W165" s="194"/>
      <c r="X165" s="257" t="str">
        <f>IF(COUNTBLANK(T165:W165)=4,"",SUM(T165:V165)+IF(Setup!$I$15="No",0,W165))</f>
        <v/>
      </c>
      <c r="Y165" s="194"/>
      <c r="Z165" s="194"/>
      <c r="AA165" s="194"/>
      <c r="AB165" s="194"/>
      <c r="AC165" s="257" t="str">
        <f>IF(COUNTBLANK(Y165:AB165)=4,"",SUM(Y165:AA165)+IF(Setup!$I$15="No",0,AB165))</f>
        <v/>
      </c>
      <c r="AD165" s="194"/>
      <c r="AE165" s="194"/>
      <c r="AF165" s="194"/>
      <c r="AG165" s="194"/>
      <c r="AH165" s="257" t="str">
        <f>IF(COUNTBLANK(AD165:AG165)=4,"",SUM(AD165:AF165)+IF(Setup!$I$15="No",0,AG165))</f>
        <v/>
      </c>
      <c r="AI165" s="194"/>
      <c r="AJ165" s="194"/>
      <c r="AK165" s="194"/>
      <c r="AL165" s="194"/>
      <c r="AM165" s="257" t="str">
        <f>IF(COUNTBLANK(AI165:AL165)=4,"",SUM(AI165:AK165)+IF(Setup!$I$15="No",0,AL165))</f>
        <v/>
      </c>
      <c r="AN165" s="194"/>
      <c r="AO165" s="194"/>
      <c r="AP165" s="194"/>
      <c r="AQ165" s="194"/>
      <c r="AR165" s="257" t="str">
        <f>IF(COUNTBLANK(AN165:AQ165)=4,"",SUM(AN165:AP165)+IF(Setup!$I$15="No",0,AQ165))</f>
        <v/>
      </c>
      <c r="AS165" s="194"/>
      <c r="AT165" s="194"/>
      <c r="AU165" s="194"/>
      <c r="AV165" s="194"/>
      <c r="AW165" s="257" t="str">
        <f>IF(COUNTBLANK(AS165:AV165)=4,"",SUM(AS165:AU165)+IF(Setup!$I$15="No",0,AV165))</f>
        <v/>
      </c>
      <c r="AX165" s="194"/>
      <c r="AY165" s="194"/>
      <c r="AZ165" s="194"/>
      <c r="BA165" s="194"/>
      <c r="BB165" s="257" t="str">
        <f>IF(COUNTBLANK(AX165:BA165)=4,"",SUM(AX165:AZ165)+IF(Setup!$I$15="No",0,BA165))</f>
        <v/>
      </c>
      <c r="BC165" s="261" t="str">
        <f ca="1">IF('Demand background (hide)'!A156=Num_Modalities,"",SUM(Demand!I165, Demand!N165))</f>
        <v/>
      </c>
      <c r="BD165" s="261" t="str">
        <f ca="1">IF(AND(A165&lt;=MaxRows,BE165&lt;&gt;"Yes"),'Demand background (hide)'!X156+IF(Setup!$I$15="Yes",'Demand background (hide)'!AJ156,0),"")</f>
        <v/>
      </c>
      <c r="BE165" s="211"/>
    </row>
    <row r="166" spans="1:57" ht="15" x14ac:dyDescent="0.25">
      <c r="A166" t="str">
        <f t="shared" ca="1" si="8"/>
        <v/>
      </c>
      <c r="B166" s="266" t="str">
        <f t="shared" ca="1" si="9"/>
        <v xml:space="preserve"> </v>
      </c>
      <c r="C166" s="267" t="str">
        <f t="shared" ca="1" si="10"/>
        <v/>
      </c>
      <c r="D166" s="424" t="str">
        <f t="shared" ca="1" si="11"/>
        <v/>
      </c>
      <c r="E166" s="194"/>
      <c r="F166" s="194"/>
      <c r="G166" s="194"/>
      <c r="H166" s="194"/>
      <c r="I166" s="253" t="str">
        <f>IF(COUNTBLANK(E166:H166)=4,"",SUM(E166:G166)+IF(Setup!$I$15="No",0,H166))</f>
        <v/>
      </c>
      <c r="J166" s="194"/>
      <c r="K166" s="194"/>
      <c r="L166" s="194"/>
      <c r="M166" s="194"/>
      <c r="N166" s="257" t="str">
        <f>IF(COUNTBLANK(J166:M166)=4,"",SUM(J166:L166)+IF(Setup!$I$15="No",0,M166))</f>
        <v/>
      </c>
      <c r="O166" s="194"/>
      <c r="P166" s="194"/>
      <c r="Q166" s="194"/>
      <c r="R166" s="194"/>
      <c r="S166" s="257" t="str">
        <f>IF(COUNTBLANK(O166:R166)=4,"",SUM(O166:Q166)+IF(Setup!$I$15="No",0,R166))</f>
        <v/>
      </c>
      <c r="T166" s="194"/>
      <c r="U166" s="194"/>
      <c r="V166" s="194"/>
      <c r="W166" s="194"/>
      <c r="X166" s="257" t="str">
        <f>IF(COUNTBLANK(T166:W166)=4,"",SUM(T166:V166)+IF(Setup!$I$15="No",0,W166))</f>
        <v/>
      </c>
      <c r="Y166" s="194"/>
      <c r="Z166" s="194"/>
      <c r="AA166" s="194"/>
      <c r="AB166" s="194"/>
      <c r="AC166" s="257" t="str">
        <f>IF(COUNTBLANK(Y166:AB166)=4,"",SUM(Y166:AA166)+IF(Setup!$I$15="No",0,AB166))</f>
        <v/>
      </c>
      <c r="AD166" s="194"/>
      <c r="AE166" s="194"/>
      <c r="AF166" s="194"/>
      <c r="AG166" s="194"/>
      <c r="AH166" s="257" t="str">
        <f>IF(COUNTBLANK(AD166:AG166)=4,"",SUM(AD166:AF166)+IF(Setup!$I$15="No",0,AG166))</f>
        <v/>
      </c>
      <c r="AI166" s="194"/>
      <c r="AJ166" s="194"/>
      <c r="AK166" s="194"/>
      <c r="AL166" s="194"/>
      <c r="AM166" s="257" t="str">
        <f>IF(COUNTBLANK(AI166:AL166)=4,"",SUM(AI166:AK166)+IF(Setup!$I$15="No",0,AL166))</f>
        <v/>
      </c>
      <c r="AN166" s="194"/>
      <c r="AO166" s="194"/>
      <c r="AP166" s="194"/>
      <c r="AQ166" s="194"/>
      <c r="AR166" s="257" t="str">
        <f>IF(COUNTBLANK(AN166:AQ166)=4,"",SUM(AN166:AP166)+IF(Setup!$I$15="No",0,AQ166))</f>
        <v/>
      </c>
      <c r="AS166" s="194"/>
      <c r="AT166" s="194"/>
      <c r="AU166" s="194"/>
      <c r="AV166" s="194"/>
      <c r="AW166" s="257" t="str">
        <f>IF(COUNTBLANK(AS166:AV166)=4,"",SUM(AS166:AU166)+IF(Setup!$I$15="No",0,AV166))</f>
        <v/>
      </c>
      <c r="AX166" s="194"/>
      <c r="AY166" s="194"/>
      <c r="AZ166" s="194"/>
      <c r="BA166" s="194"/>
      <c r="BB166" s="257" t="str">
        <f>IF(COUNTBLANK(AX166:BA166)=4,"",SUM(AX166:AZ166)+IF(Setup!$I$15="No",0,BA166))</f>
        <v/>
      </c>
      <c r="BC166" s="261" t="str">
        <f ca="1">IF('Demand background (hide)'!A157=Num_Modalities,"",SUM(Demand!I166, Demand!N166))</f>
        <v/>
      </c>
      <c r="BD166" s="261" t="str">
        <f ca="1">IF(AND(A166&lt;=MaxRows,BE166&lt;&gt;"Yes"),'Demand background (hide)'!X157+IF(Setup!$I$15="Yes",'Demand background (hide)'!AJ157,0),"")</f>
        <v/>
      </c>
      <c r="BE166" s="211"/>
    </row>
    <row r="167" spans="1:57" ht="15" x14ac:dyDescent="0.25">
      <c r="A167" t="str">
        <f t="shared" ca="1" si="8"/>
        <v/>
      </c>
      <c r="B167" s="266" t="str">
        <f t="shared" ca="1" si="9"/>
        <v xml:space="preserve"> </v>
      </c>
      <c r="C167" s="267" t="str">
        <f t="shared" ca="1" si="10"/>
        <v/>
      </c>
      <c r="D167" s="424" t="str">
        <f t="shared" ca="1" si="11"/>
        <v/>
      </c>
      <c r="E167" s="194"/>
      <c r="F167" s="194"/>
      <c r="G167" s="194"/>
      <c r="H167" s="194"/>
      <c r="I167" s="253" t="str">
        <f>IF(COUNTBLANK(E167:H167)=4,"",SUM(E167:G167)+IF(Setup!$I$15="No",0,H167))</f>
        <v/>
      </c>
      <c r="J167" s="194"/>
      <c r="K167" s="194"/>
      <c r="L167" s="194"/>
      <c r="M167" s="194"/>
      <c r="N167" s="257" t="str">
        <f>IF(COUNTBLANK(J167:M167)=4,"",SUM(J167:L167)+IF(Setup!$I$15="No",0,M167))</f>
        <v/>
      </c>
      <c r="O167" s="194"/>
      <c r="P167" s="194"/>
      <c r="Q167" s="194"/>
      <c r="R167" s="194"/>
      <c r="S167" s="257" t="str">
        <f>IF(COUNTBLANK(O167:R167)=4,"",SUM(O167:Q167)+IF(Setup!$I$15="No",0,R167))</f>
        <v/>
      </c>
      <c r="T167" s="194"/>
      <c r="U167" s="194"/>
      <c r="V167" s="194"/>
      <c r="W167" s="194"/>
      <c r="X167" s="257" t="str">
        <f>IF(COUNTBLANK(T167:W167)=4,"",SUM(T167:V167)+IF(Setup!$I$15="No",0,W167))</f>
        <v/>
      </c>
      <c r="Y167" s="194"/>
      <c r="Z167" s="194"/>
      <c r="AA167" s="194"/>
      <c r="AB167" s="194"/>
      <c r="AC167" s="257" t="str">
        <f>IF(COUNTBLANK(Y167:AB167)=4,"",SUM(Y167:AA167)+IF(Setup!$I$15="No",0,AB167))</f>
        <v/>
      </c>
      <c r="AD167" s="194"/>
      <c r="AE167" s="194"/>
      <c r="AF167" s="194"/>
      <c r="AG167" s="194"/>
      <c r="AH167" s="257" t="str">
        <f>IF(COUNTBLANK(AD167:AG167)=4,"",SUM(AD167:AF167)+IF(Setup!$I$15="No",0,AG167))</f>
        <v/>
      </c>
      <c r="AI167" s="194"/>
      <c r="AJ167" s="194"/>
      <c r="AK167" s="194"/>
      <c r="AL167" s="194"/>
      <c r="AM167" s="257" t="str">
        <f>IF(COUNTBLANK(AI167:AL167)=4,"",SUM(AI167:AK167)+IF(Setup!$I$15="No",0,AL167))</f>
        <v/>
      </c>
      <c r="AN167" s="194"/>
      <c r="AO167" s="194"/>
      <c r="AP167" s="194"/>
      <c r="AQ167" s="194"/>
      <c r="AR167" s="257" t="str">
        <f>IF(COUNTBLANK(AN167:AQ167)=4,"",SUM(AN167:AP167)+IF(Setup!$I$15="No",0,AQ167))</f>
        <v/>
      </c>
      <c r="AS167" s="194"/>
      <c r="AT167" s="194"/>
      <c r="AU167" s="194"/>
      <c r="AV167" s="194"/>
      <c r="AW167" s="257" t="str">
        <f>IF(COUNTBLANK(AS167:AV167)=4,"",SUM(AS167:AU167)+IF(Setup!$I$15="No",0,AV167))</f>
        <v/>
      </c>
      <c r="AX167" s="194"/>
      <c r="AY167" s="194"/>
      <c r="AZ167" s="194"/>
      <c r="BA167" s="194"/>
      <c r="BB167" s="257" t="str">
        <f>IF(COUNTBLANK(AX167:BA167)=4,"",SUM(AX167:AZ167)+IF(Setup!$I$15="No",0,BA167))</f>
        <v/>
      </c>
      <c r="BC167" s="261" t="str">
        <f ca="1">IF('Demand background (hide)'!A158=Num_Modalities,"",SUM(Demand!I167, Demand!N167))</f>
        <v/>
      </c>
      <c r="BD167" s="261" t="str">
        <f ca="1">IF(AND(A167&lt;=MaxRows,BE167&lt;&gt;"Yes"),'Demand background (hide)'!X158+IF(Setup!$I$15="Yes",'Demand background (hide)'!AJ158,0),"")</f>
        <v/>
      </c>
      <c r="BE167" s="211"/>
    </row>
    <row r="168" spans="1:57" ht="15" x14ac:dyDescent="0.25">
      <c r="A168" t="str">
        <f t="shared" ca="1" si="8"/>
        <v/>
      </c>
      <c r="B168" s="266" t="str">
        <f t="shared" ca="1" si="9"/>
        <v xml:space="preserve"> </v>
      </c>
      <c r="C168" s="267" t="str">
        <f t="shared" ca="1" si="10"/>
        <v/>
      </c>
      <c r="D168" s="424" t="str">
        <f t="shared" ca="1" si="11"/>
        <v/>
      </c>
      <c r="E168" s="194"/>
      <c r="F168" s="194"/>
      <c r="G168" s="194"/>
      <c r="H168" s="194"/>
      <c r="I168" s="253" t="str">
        <f>IF(COUNTBLANK(E168:H168)=4,"",SUM(E168:G168)+IF(Setup!$I$15="No",0,H168))</f>
        <v/>
      </c>
      <c r="J168" s="194"/>
      <c r="K168" s="194"/>
      <c r="L168" s="194"/>
      <c r="M168" s="194"/>
      <c r="N168" s="257" t="str">
        <f>IF(COUNTBLANK(J168:M168)=4,"",SUM(J168:L168)+IF(Setup!$I$15="No",0,M168))</f>
        <v/>
      </c>
      <c r="O168" s="194"/>
      <c r="P168" s="194"/>
      <c r="Q168" s="194"/>
      <c r="R168" s="194"/>
      <c r="S168" s="257" t="str">
        <f>IF(COUNTBLANK(O168:R168)=4,"",SUM(O168:Q168)+IF(Setup!$I$15="No",0,R168))</f>
        <v/>
      </c>
      <c r="T168" s="194"/>
      <c r="U168" s="194"/>
      <c r="V168" s="194"/>
      <c r="W168" s="194"/>
      <c r="X168" s="257" t="str">
        <f>IF(COUNTBLANK(T168:W168)=4,"",SUM(T168:V168)+IF(Setup!$I$15="No",0,W168))</f>
        <v/>
      </c>
      <c r="Y168" s="194"/>
      <c r="Z168" s="194"/>
      <c r="AA168" s="194"/>
      <c r="AB168" s="194"/>
      <c r="AC168" s="257" t="str">
        <f>IF(COUNTBLANK(Y168:AB168)=4,"",SUM(Y168:AA168)+IF(Setup!$I$15="No",0,AB168))</f>
        <v/>
      </c>
      <c r="AD168" s="194"/>
      <c r="AE168" s="194"/>
      <c r="AF168" s="194"/>
      <c r="AG168" s="194"/>
      <c r="AH168" s="257" t="str">
        <f>IF(COUNTBLANK(AD168:AG168)=4,"",SUM(AD168:AF168)+IF(Setup!$I$15="No",0,AG168))</f>
        <v/>
      </c>
      <c r="AI168" s="194"/>
      <c r="AJ168" s="194"/>
      <c r="AK168" s="194"/>
      <c r="AL168" s="194"/>
      <c r="AM168" s="257" t="str">
        <f>IF(COUNTBLANK(AI168:AL168)=4,"",SUM(AI168:AK168)+IF(Setup!$I$15="No",0,AL168))</f>
        <v/>
      </c>
      <c r="AN168" s="194"/>
      <c r="AO168" s="194"/>
      <c r="AP168" s="194"/>
      <c r="AQ168" s="194"/>
      <c r="AR168" s="257" t="str">
        <f>IF(COUNTBLANK(AN168:AQ168)=4,"",SUM(AN168:AP168)+IF(Setup!$I$15="No",0,AQ168))</f>
        <v/>
      </c>
      <c r="AS168" s="194"/>
      <c r="AT168" s="194"/>
      <c r="AU168" s="194"/>
      <c r="AV168" s="194"/>
      <c r="AW168" s="257" t="str">
        <f>IF(COUNTBLANK(AS168:AV168)=4,"",SUM(AS168:AU168)+IF(Setup!$I$15="No",0,AV168))</f>
        <v/>
      </c>
      <c r="AX168" s="194"/>
      <c r="AY168" s="194"/>
      <c r="AZ168" s="194"/>
      <c r="BA168" s="194"/>
      <c r="BB168" s="257" t="str">
        <f>IF(COUNTBLANK(AX168:BA168)=4,"",SUM(AX168:AZ168)+IF(Setup!$I$15="No",0,BA168))</f>
        <v/>
      </c>
      <c r="BC168" s="261" t="str">
        <f ca="1">IF('Demand background (hide)'!A159=Num_Modalities,"",SUM(Demand!I168, Demand!N168))</f>
        <v/>
      </c>
      <c r="BD168" s="261" t="str">
        <f ca="1">IF(AND(A168&lt;=MaxRows,BE168&lt;&gt;"Yes"),'Demand background (hide)'!X159+IF(Setup!$I$15="Yes",'Demand background (hide)'!AJ159,0),"")</f>
        <v/>
      </c>
      <c r="BE168" s="211"/>
    </row>
    <row r="169" spans="1:57" ht="15" x14ac:dyDescent="0.25">
      <c r="A169" t="str">
        <f t="shared" ca="1" si="8"/>
        <v/>
      </c>
      <c r="B169" s="266" t="str">
        <f t="shared" ca="1" si="9"/>
        <v xml:space="preserve"> </v>
      </c>
      <c r="C169" s="267" t="str">
        <f t="shared" ca="1" si="10"/>
        <v/>
      </c>
      <c r="D169" s="424" t="str">
        <f t="shared" ca="1" si="11"/>
        <v/>
      </c>
      <c r="E169" s="194"/>
      <c r="F169" s="194"/>
      <c r="G169" s="194"/>
      <c r="H169" s="194"/>
      <c r="I169" s="253" t="str">
        <f>IF(COUNTBLANK(E169:H169)=4,"",SUM(E169:G169)+IF(Setup!$I$15="No",0,H169))</f>
        <v/>
      </c>
      <c r="J169" s="194"/>
      <c r="K169" s="194"/>
      <c r="L169" s="194"/>
      <c r="M169" s="194"/>
      <c r="N169" s="257" t="str">
        <f>IF(COUNTBLANK(J169:M169)=4,"",SUM(J169:L169)+IF(Setup!$I$15="No",0,M169))</f>
        <v/>
      </c>
      <c r="O169" s="194"/>
      <c r="P169" s="194"/>
      <c r="Q169" s="194"/>
      <c r="R169" s="194"/>
      <c r="S169" s="257" t="str">
        <f>IF(COUNTBLANK(O169:R169)=4,"",SUM(O169:Q169)+IF(Setup!$I$15="No",0,R169))</f>
        <v/>
      </c>
      <c r="T169" s="194"/>
      <c r="U169" s="194"/>
      <c r="V169" s="194"/>
      <c r="W169" s="194"/>
      <c r="X169" s="257" t="str">
        <f>IF(COUNTBLANK(T169:W169)=4,"",SUM(T169:V169)+IF(Setup!$I$15="No",0,W169))</f>
        <v/>
      </c>
      <c r="Y169" s="194"/>
      <c r="Z169" s="194"/>
      <c r="AA169" s="194"/>
      <c r="AB169" s="194"/>
      <c r="AC169" s="257" t="str">
        <f>IF(COUNTBLANK(Y169:AB169)=4,"",SUM(Y169:AA169)+IF(Setup!$I$15="No",0,AB169))</f>
        <v/>
      </c>
      <c r="AD169" s="194"/>
      <c r="AE169" s="194"/>
      <c r="AF169" s="194"/>
      <c r="AG169" s="194"/>
      <c r="AH169" s="257" t="str">
        <f>IF(COUNTBLANK(AD169:AG169)=4,"",SUM(AD169:AF169)+IF(Setup!$I$15="No",0,AG169))</f>
        <v/>
      </c>
      <c r="AI169" s="194"/>
      <c r="AJ169" s="194"/>
      <c r="AK169" s="194"/>
      <c r="AL169" s="194"/>
      <c r="AM169" s="257" t="str">
        <f>IF(COUNTBLANK(AI169:AL169)=4,"",SUM(AI169:AK169)+IF(Setup!$I$15="No",0,AL169))</f>
        <v/>
      </c>
      <c r="AN169" s="194"/>
      <c r="AO169" s="194"/>
      <c r="AP169" s="194"/>
      <c r="AQ169" s="194"/>
      <c r="AR169" s="257" t="str">
        <f>IF(COUNTBLANK(AN169:AQ169)=4,"",SUM(AN169:AP169)+IF(Setup!$I$15="No",0,AQ169))</f>
        <v/>
      </c>
      <c r="AS169" s="194"/>
      <c r="AT169" s="194"/>
      <c r="AU169" s="194"/>
      <c r="AV169" s="194"/>
      <c r="AW169" s="257" t="str">
        <f>IF(COUNTBLANK(AS169:AV169)=4,"",SUM(AS169:AU169)+IF(Setup!$I$15="No",0,AV169))</f>
        <v/>
      </c>
      <c r="AX169" s="194"/>
      <c r="AY169" s="194"/>
      <c r="AZ169" s="194"/>
      <c r="BA169" s="194"/>
      <c r="BB169" s="257" t="str">
        <f>IF(COUNTBLANK(AX169:BA169)=4,"",SUM(AX169:AZ169)+IF(Setup!$I$15="No",0,BA169))</f>
        <v/>
      </c>
      <c r="BC169" s="261" t="str">
        <f ca="1">IF('Demand background (hide)'!A160=Num_Modalities,"",SUM(Demand!I169, Demand!N169))</f>
        <v/>
      </c>
      <c r="BD169" s="261" t="str">
        <f ca="1">IF(AND(A169&lt;=MaxRows,BE169&lt;&gt;"Yes"),'Demand background (hide)'!X160+IF(Setup!$I$15="Yes",'Demand background (hide)'!AJ160,0),"")</f>
        <v/>
      </c>
      <c r="BE169" s="211"/>
    </row>
    <row r="170" spans="1:57" ht="15" x14ac:dyDescent="0.25">
      <c r="A170" t="str">
        <f t="shared" ca="1" si="8"/>
        <v/>
      </c>
      <c r="B170" s="266" t="str">
        <f t="shared" ca="1" si="9"/>
        <v xml:space="preserve"> </v>
      </c>
      <c r="C170" s="267" t="str">
        <f t="shared" ca="1" si="10"/>
        <v/>
      </c>
      <c r="D170" s="424" t="str">
        <f t="shared" ca="1" si="11"/>
        <v/>
      </c>
      <c r="E170" s="194"/>
      <c r="F170" s="194"/>
      <c r="G170" s="194"/>
      <c r="H170" s="194"/>
      <c r="I170" s="253" t="str">
        <f>IF(COUNTBLANK(E170:H170)=4,"",SUM(E170:G170)+IF(Setup!$I$15="No",0,H170))</f>
        <v/>
      </c>
      <c r="J170" s="194"/>
      <c r="K170" s="194"/>
      <c r="L170" s="194"/>
      <c r="M170" s="194"/>
      <c r="N170" s="257" t="str">
        <f>IF(COUNTBLANK(J170:M170)=4,"",SUM(J170:L170)+IF(Setup!$I$15="No",0,M170))</f>
        <v/>
      </c>
      <c r="O170" s="194"/>
      <c r="P170" s="194"/>
      <c r="Q170" s="194"/>
      <c r="R170" s="194"/>
      <c r="S170" s="257" t="str">
        <f>IF(COUNTBLANK(O170:R170)=4,"",SUM(O170:Q170)+IF(Setup!$I$15="No",0,R170))</f>
        <v/>
      </c>
      <c r="T170" s="194"/>
      <c r="U170" s="194"/>
      <c r="V170" s="194"/>
      <c r="W170" s="194"/>
      <c r="X170" s="257" t="str">
        <f>IF(COUNTBLANK(T170:W170)=4,"",SUM(T170:V170)+IF(Setup!$I$15="No",0,W170))</f>
        <v/>
      </c>
      <c r="Y170" s="194"/>
      <c r="Z170" s="194"/>
      <c r="AA170" s="194"/>
      <c r="AB170" s="194"/>
      <c r="AC170" s="257" t="str">
        <f>IF(COUNTBLANK(Y170:AB170)=4,"",SUM(Y170:AA170)+IF(Setup!$I$15="No",0,AB170))</f>
        <v/>
      </c>
      <c r="AD170" s="194"/>
      <c r="AE170" s="194"/>
      <c r="AF170" s="194"/>
      <c r="AG170" s="194"/>
      <c r="AH170" s="257" t="str">
        <f>IF(COUNTBLANK(AD170:AG170)=4,"",SUM(AD170:AF170)+IF(Setup!$I$15="No",0,AG170))</f>
        <v/>
      </c>
      <c r="AI170" s="194"/>
      <c r="AJ170" s="194"/>
      <c r="AK170" s="194"/>
      <c r="AL170" s="194"/>
      <c r="AM170" s="257" t="str">
        <f>IF(COUNTBLANK(AI170:AL170)=4,"",SUM(AI170:AK170)+IF(Setup!$I$15="No",0,AL170))</f>
        <v/>
      </c>
      <c r="AN170" s="194"/>
      <c r="AO170" s="194"/>
      <c r="AP170" s="194"/>
      <c r="AQ170" s="194"/>
      <c r="AR170" s="257" t="str">
        <f>IF(COUNTBLANK(AN170:AQ170)=4,"",SUM(AN170:AP170)+IF(Setup!$I$15="No",0,AQ170))</f>
        <v/>
      </c>
      <c r="AS170" s="194"/>
      <c r="AT170" s="194"/>
      <c r="AU170" s="194"/>
      <c r="AV170" s="194"/>
      <c r="AW170" s="257" t="str">
        <f>IF(COUNTBLANK(AS170:AV170)=4,"",SUM(AS170:AU170)+IF(Setup!$I$15="No",0,AV170))</f>
        <v/>
      </c>
      <c r="AX170" s="194"/>
      <c r="AY170" s="194"/>
      <c r="AZ170" s="194"/>
      <c r="BA170" s="194"/>
      <c r="BB170" s="257" t="str">
        <f>IF(COUNTBLANK(AX170:BA170)=4,"",SUM(AX170:AZ170)+IF(Setup!$I$15="No",0,BA170))</f>
        <v/>
      </c>
      <c r="BC170" s="261" t="str">
        <f ca="1">IF('Demand background (hide)'!A161=Num_Modalities,"",SUM(Demand!I170, Demand!N170))</f>
        <v/>
      </c>
      <c r="BD170" s="261" t="str">
        <f ca="1">IF(AND(A170&lt;=MaxRows,BE170&lt;&gt;"Yes"),'Demand background (hide)'!X161+IF(Setup!$I$15="Yes",'Demand background (hide)'!AJ161,0),"")</f>
        <v/>
      </c>
      <c r="BE170" s="211"/>
    </row>
    <row r="171" spans="1:57" ht="15" x14ac:dyDescent="0.25">
      <c r="A171" t="str">
        <f t="shared" ca="1" si="8"/>
        <v/>
      </c>
      <c r="B171" s="266" t="str">
        <f t="shared" ca="1" si="9"/>
        <v xml:space="preserve"> </v>
      </c>
      <c r="C171" s="267" t="str">
        <f t="shared" ca="1" si="10"/>
        <v/>
      </c>
      <c r="D171" s="424" t="str">
        <f t="shared" ca="1" si="11"/>
        <v/>
      </c>
      <c r="E171" s="194"/>
      <c r="F171" s="194"/>
      <c r="G171" s="194"/>
      <c r="H171" s="194"/>
      <c r="I171" s="253" t="str">
        <f>IF(COUNTBLANK(E171:H171)=4,"",SUM(E171:G171)+IF(Setup!$I$15="No",0,H171))</f>
        <v/>
      </c>
      <c r="J171" s="194"/>
      <c r="K171" s="194"/>
      <c r="L171" s="194"/>
      <c r="M171" s="194"/>
      <c r="N171" s="257" t="str">
        <f>IF(COUNTBLANK(J171:M171)=4,"",SUM(J171:L171)+IF(Setup!$I$15="No",0,M171))</f>
        <v/>
      </c>
      <c r="O171" s="194"/>
      <c r="P171" s="194"/>
      <c r="Q171" s="194"/>
      <c r="R171" s="194"/>
      <c r="S171" s="257" t="str">
        <f>IF(COUNTBLANK(O171:R171)=4,"",SUM(O171:Q171)+IF(Setup!$I$15="No",0,R171))</f>
        <v/>
      </c>
      <c r="T171" s="194"/>
      <c r="U171" s="194"/>
      <c r="V171" s="194"/>
      <c r="W171" s="194"/>
      <c r="X171" s="257" t="str">
        <f>IF(COUNTBLANK(T171:W171)=4,"",SUM(T171:V171)+IF(Setup!$I$15="No",0,W171))</f>
        <v/>
      </c>
      <c r="Y171" s="194"/>
      <c r="Z171" s="194"/>
      <c r="AA171" s="194"/>
      <c r="AB171" s="194"/>
      <c r="AC171" s="257" t="str">
        <f>IF(COUNTBLANK(Y171:AB171)=4,"",SUM(Y171:AA171)+IF(Setup!$I$15="No",0,AB171))</f>
        <v/>
      </c>
      <c r="AD171" s="194"/>
      <c r="AE171" s="194"/>
      <c r="AF171" s="194"/>
      <c r="AG171" s="194"/>
      <c r="AH171" s="257" t="str">
        <f>IF(COUNTBLANK(AD171:AG171)=4,"",SUM(AD171:AF171)+IF(Setup!$I$15="No",0,AG171))</f>
        <v/>
      </c>
      <c r="AI171" s="194"/>
      <c r="AJ171" s="194"/>
      <c r="AK171" s="194"/>
      <c r="AL171" s="194"/>
      <c r="AM171" s="257" t="str">
        <f>IF(COUNTBLANK(AI171:AL171)=4,"",SUM(AI171:AK171)+IF(Setup!$I$15="No",0,AL171))</f>
        <v/>
      </c>
      <c r="AN171" s="194"/>
      <c r="AO171" s="194"/>
      <c r="AP171" s="194"/>
      <c r="AQ171" s="194"/>
      <c r="AR171" s="257" t="str">
        <f>IF(COUNTBLANK(AN171:AQ171)=4,"",SUM(AN171:AP171)+IF(Setup!$I$15="No",0,AQ171))</f>
        <v/>
      </c>
      <c r="AS171" s="194"/>
      <c r="AT171" s="194"/>
      <c r="AU171" s="194"/>
      <c r="AV171" s="194"/>
      <c r="AW171" s="257" t="str">
        <f>IF(COUNTBLANK(AS171:AV171)=4,"",SUM(AS171:AU171)+IF(Setup!$I$15="No",0,AV171))</f>
        <v/>
      </c>
      <c r="AX171" s="194"/>
      <c r="AY171" s="194"/>
      <c r="AZ171" s="194"/>
      <c r="BA171" s="194"/>
      <c r="BB171" s="257" t="str">
        <f>IF(COUNTBLANK(AX171:BA171)=4,"",SUM(AX171:AZ171)+IF(Setup!$I$15="No",0,BA171))</f>
        <v/>
      </c>
      <c r="BC171" s="261" t="str">
        <f ca="1">IF('Demand background (hide)'!A162=Num_Modalities,"",SUM(Demand!I171, Demand!N171))</f>
        <v/>
      </c>
      <c r="BD171" s="261" t="str">
        <f ca="1">IF(AND(A171&lt;=MaxRows,BE171&lt;&gt;"Yes"),'Demand background (hide)'!X162+IF(Setup!$I$15="Yes",'Demand background (hide)'!AJ162,0),"")</f>
        <v/>
      </c>
      <c r="BE171" s="211"/>
    </row>
    <row r="172" spans="1:57" ht="15" x14ac:dyDescent="0.25">
      <c r="A172" t="str">
        <f t="shared" ca="1" si="8"/>
        <v/>
      </c>
      <c r="B172" s="266" t="str">
        <f t="shared" ca="1" si="9"/>
        <v xml:space="preserve"> </v>
      </c>
      <c r="C172" s="267" t="str">
        <f t="shared" ca="1" si="10"/>
        <v/>
      </c>
      <c r="D172" s="424" t="str">
        <f t="shared" ca="1" si="11"/>
        <v/>
      </c>
      <c r="E172" s="194"/>
      <c r="F172" s="194"/>
      <c r="G172" s="194"/>
      <c r="H172" s="194"/>
      <c r="I172" s="253" t="str">
        <f>IF(COUNTBLANK(E172:H172)=4,"",SUM(E172:G172)+IF(Setup!$I$15="No",0,H172))</f>
        <v/>
      </c>
      <c r="J172" s="194"/>
      <c r="K172" s="194"/>
      <c r="L172" s="194"/>
      <c r="M172" s="194"/>
      <c r="N172" s="257" t="str">
        <f>IF(COUNTBLANK(J172:M172)=4,"",SUM(J172:L172)+IF(Setup!$I$15="No",0,M172))</f>
        <v/>
      </c>
      <c r="O172" s="194"/>
      <c r="P172" s="194"/>
      <c r="Q172" s="194"/>
      <c r="R172" s="194"/>
      <c r="S172" s="257" t="str">
        <f>IF(COUNTBLANK(O172:R172)=4,"",SUM(O172:Q172)+IF(Setup!$I$15="No",0,R172))</f>
        <v/>
      </c>
      <c r="T172" s="194"/>
      <c r="U172" s="194"/>
      <c r="V172" s="194"/>
      <c r="W172" s="194"/>
      <c r="X172" s="257" t="str">
        <f>IF(COUNTBLANK(T172:W172)=4,"",SUM(T172:V172)+IF(Setup!$I$15="No",0,W172))</f>
        <v/>
      </c>
      <c r="Y172" s="194"/>
      <c r="Z172" s="194"/>
      <c r="AA172" s="194"/>
      <c r="AB172" s="194"/>
      <c r="AC172" s="257" t="str">
        <f>IF(COUNTBLANK(Y172:AB172)=4,"",SUM(Y172:AA172)+IF(Setup!$I$15="No",0,AB172))</f>
        <v/>
      </c>
      <c r="AD172" s="194"/>
      <c r="AE172" s="194"/>
      <c r="AF172" s="194"/>
      <c r="AG172" s="194"/>
      <c r="AH172" s="257" t="str">
        <f>IF(COUNTBLANK(AD172:AG172)=4,"",SUM(AD172:AF172)+IF(Setup!$I$15="No",0,AG172))</f>
        <v/>
      </c>
      <c r="AI172" s="194"/>
      <c r="AJ172" s="194"/>
      <c r="AK172" s="194"/>
      <c r="AL172" s="194"/>
      <c r="AM172" s="257" t="str">
        <f>IF(COUNTBLANK(AI172:AL172)=4,"",SUM(AI172:AK172)+IF(Setup!$I$15="No",0,AL172))</f>
        <v/>
      </c>
      <c r="AN172" s="194"/>
      <c r="AO172" s="194"/>
      <c r="AP172" s="194"/>
      <c r="AQ172" s="194"/>
      <c r="AR172" s="257" t="str">
        <f>IF(COUNTBLANK(AN172:AQ172)=4,"",SUM(AN172:AP172)+IF(Setup!$I$15="No",0,AQ172))</f>
        <v/>
      </c>
      <c r="AS172" s="194"/>
      <c r="AT172" s="194"/>
      <c r="AU172" s="194"/>
      <c r="AV172" s="194"/>
      <c r="AW172" s="257" t="str">
        <f>IF(COUNTBLANK(AS172:AV172)=4,"",SUM(AS172:AU172)+IF(Setup!$I$15="No",0,AV172))</f>
        <v/>
      </c>
      <c r="AX172" s="194"/>
      <c r="AY172" s="194"/>
      <c r="AZ172" s="194"/>
      <c r="BA172" s="194"/>
      <c r="BB172" s="257" t="str">
        <f>IF(COUNTBLANK(AX172:BA172)=4,"",SUM(AX172:AZ172)+IF(Setup!$I$15="No",0,BA172))</f>
        <v/>
      </c>
      <c r="BC172" s="261" t="str">
        <f ca="1">IF('Demand background (hide)'!A163=Num_Modalities,"",SUM(Demand!I172, Demand!N172))</f>
        <v/>
      </c>
      <c r="BD172" s="261" t="str">
        <f ca="1">IF(AND(A172&lt;=MaxRows,BE172&lt;&gt;"Yes"),'Demand background (hide)'!X163+IF(Setup!$I$15="Yes",'Demand background (hide)'!AJ163,0),"")</f>
        <v/>
      </c>
      <c r="BE172" s="211"/>
    </row>
    <row r="173" spans="1:57" ht="15" x14ac:dyDescent="0.25">
      <c r="A173" t="str">
        <f t="shared" ca="1" si="8"/>
        <v/>
      </c>
      <c r="B173" s="266" t="str">
        <f t="shared" ca="1" si="9"/>
        <v xml:space="preserve"> </v>
      </c>
      <c r="C173" s="267" t="str">
        <f t="shared" ca="1" si="10"/>
        <v/>
      </c>
      <c r="D173" s="424" t="str">
        <f t="shared" ca="1" si="11"/>
        <v/>
      </c>
      <c r="E173" s="194"/>
      <c r="F173" s="194"/>
      <c r="G173" s="194"/>
      <c r="H173" s="194"/>
      <c r="I173" s="253" t="str">
        <f>IF(COUNTBLANK(E173:H173)=4,"",SUM(E173:G173)+IF(Setup!$I$15="No",0,H173))</f>
        <v/>
      </c>
      <c r="J173" s="194"/>
      <c r="K173" s="194"/>
      <c r="L173" s="194"/>
      <c r="M173" s="194"/>
      <c r="N173" s="257" t="str">
        <f>IF(COUNTBLANK(J173:M173)=4,"",SUM(J173:L173)+IF(Setup!$I$15="No",0,M173))</f>
        <v/>
      </c>
      <c r="O173" s="194"/>
      <c r="P173" s="194"/>
      <c r="Q173" s="194"/>
      <c r="R173" s="194"/>
      <c r="S173" s="257" t="str">
        <f>IF(COUNTBLANK(O173:R173)=4,"",SUM(O173:Q173)+IF(Setup!$I$15="No",0,R173))</f>
        <v/>
      </c>
      <c r="T173" s="194"/>
      <c r="U173" s="194"/>
      <c r="V173" s="194"/>
      <c r="W173" s="194"/>
      <c r="X173" s="257" t="str">
        <f>IF(COUNTBLANK(T173:W173)=4,"",SUM(T173:V173)+IF(Setup!$I$15="No",0,W173))</f>
        <v/>
      </c>
      <c r="Y173" s="194"/>
      <c r="Z173" s="194"/>
      <c r="AA173" s="194"/>
      <c r="AB173" s="194"/>
      <c r="AC173" s="257" t="str">
        <f>IF(COUNTBLANK(Y173:AB173)=4,"",SUM(Y173:AA173)+IF(Setup!$I$15="No",0,AB173))</f>
        <v/>
      </c>
      <c r="AD173" s="194"/>
      <c r="AE173" s="194"/>
      <c r="AF173" s="194"/>
      <c r="AG173" s="194"/>
      <c r="AH173" s="257" t="str">
        <f>IF(COUNTBLANK(AD173:AG173)=4,"",SUM(AD173:AF173)+IF(Setup!$I$15="No",0,AG173))</f>
        <v/>
      </c>
      <c r="AI173" s="194"/>
      <c r="AJ173" s="194"/>
      <c r="AK173" s="194"/>
      <c r="AL173" s="194"/>
      <c r="AM173" s="257" t="str">
        <f>IF(COUNTBLANK(AI173:AL173)=4,"",SUM(AI173:AK173)+IF(Setup!$I$15="No",0,AL173))</f>
        <v/>
      </c>
      <c r="AN173" s="194"/>
      <c r="AO173" s="194"/>
      <c r="AP173" s="194"/>
      <c r="AQ173" s="194"/>
      <c r="AR173" s="257" t="str">
        <f>IF(COUNTBLANK(AN173:AQ173)=4,"",SUM(AN173:AP173)+IF(Setup!$I$15="No",0,AQ173))</f>
        <v/>
      </c>
      <c r="AS173" s="194"/>
      <c r="AT173" s="194"/>
      <c r="AU173" s="194"/>
      <c r="AV173" s="194"/>
      <c r="AW173" s="257" t="str">
        <f>IF(COUNTBLANK(AS173:AV173)=4,"",SUM(AS173:AU173)+IF(Setup!$I$15="No",0,AV173))</f>
        <v/>
      </c>
      <c r="AX173" s="194"/>
      <c r="AY173" s="194"/>
      <c r="AZ173" s="194"/>
      <c r="BA173" s="194"/>
      <c r="BB173" s="257" t="str">
        <f>IF(COUNTBLANK(AX173:BA173)=4,"",SUM(AX173:AZ173)+IF(Setup!$I$15="No",0,BA173))</f>
        <v/>
      </c>
      <c r="BC173" s="261" t="str">
        <f ca="1">IF('Demand background (hide)'!A164=Num_Modalities,"",SUM(Demand!I173, Demand!N173))</f>
        <v/>
      </c>
      <c r="BD173" s="261" t="str">
        <f ca="1">IF(AND(A173&lt;=MaxRows,BE173&lt;&gt;"Yes"),'Demand background (hide)'!X164+IF(Setup!$I$15="Yes",'Demand background (hide)'!AJ164,0),"")</f>
        <v/>
      </c>
      <c r="BE173" s="211"/>
    </row>
    <row r="174" spans="1:57" ht="15" x14ac:dyDescent="0.25">
      <c r="A174" t="str">
        <f t="shared" ca="1" si="8"/>
        <v/>
      </c>
      <c r="B174" s="266" t="str">
        <f t="shared" ca="1" si="9"/>
        <v xml:space="preserve"> </v>
      </c>
      <c r="C174" s="267" t="str">
        <f t="shared" ca="1" si="10"/>
        <v/>
      </c>
      <c r="D174" s="424" t="str">
        <f t="shared" ca="1" si="11"/>
        <v/>
      </c>
      <c r="E174" s="194"/>
      <c r="F174" s="194"/>
      <c r="G174" s="194"/>
      <c r="H174" s="194"/>
      <c r="I174" s="253" t="str">
        <f>IF(COUNTBLANK(E174:H174)=4,"",SUM(E174:G174)+IF(Setup!$I$15="No",0,H174))</f>
        <v/>
      </c>
      <c r="J174" s="194"/>
      <c r="K174" s="194"/>
      <c r="L174" s="194"/>
      <c r="M174" s="194"/>
      <c r="N174" s="257" t="str">
        <f>IF(COUNTBLANK(J174:M174)=4,"",SUM(J174:L174)+IF(Setup!$I$15="No",0,M174))</f>
        <v/>
      </c>
      <c r="O174" s="194"/>
      <c r="P174" s="194"/>
      <c r="Q174" s="194"/>
      <c r="R174" s="194"/>
      <c r="S174" s="257" t="str">
        <f>IF(COUNTBLANK(O174:R174)=4,"",SUM(O174:Q174)+IF(Setup!$I$15="No",0,R174))</f>
        <v/>
      </c>
      <c r="T174" s="194"/>
      <c r="U174" s="194"/>
      <c r="V174" s="194"/>
      <c r="W174" s="194"/>
      <c r="X174" s="257" t="str">
        <f>IF(COUNTBLANK(T174:W174)=4,"",SUM(T174:V174)+IF(Setup!$I$15="No",0,W174))</f>
        <v/>
      </c>
      <c r="Y174" s="194"/>
      <c r="Z174" s="194"/>
      <c r="AA174" s="194"/>
      <c r="AB174" s="194"/>
      <c r="AC174" s="257" t="str">
        <f>IF(COUNTBLANK(Y174:AB174)=4,"",SUM(Y174:AA174)+IF(Setup!$I$15="No",0,AB174))</f>
        <v/>
      </c>
      <c r="AD174" s="194"/>
      <c r="AE174" s="194"/>
      <c r="AF174" s="194"/>
      <c r="AG174" s="194"/>
      <c r="AH174" s="257" t="str">
        <f>IF(COUNTBLANK(AD174:AG174)=4,"",SUM(AD174:AF174)+IF(Setup!$I$15="No",0,AG174))</f>
        <v/>
      </c>
      <c r="AI174" s="194"/>
      <c r="AJ174" s="194"/>
      <c r="AK174" s="194"/>
      <c r="AL174" s="194"/>
      <c r="AM174" s="257" t="str">
        <f>IF(COUNTBLANK(AI174:AL174)=4,"",SUM(AI174:AK174)+IF(Setup!$I$15="No",0,AL174))</f>
        <v/>
      </c>
      <c r="AN174" s="194"/>
      <c r="AO174" s="194"/>
      <c r="AP174" s="194"/>
      <c r="AQ174" s="194"/>
      <c r="AR174" s="257" t="str">
        <f>IF(COUNTBLANK(AN174:AQ174)=4,"",SUM(AN174:AP174)+IF(Setup!$I$15="No",0,AQ174))</f>
        <v/>
      </c>
      <c r="AS174" s="194"/>
      <c r="AT174" s="194"/>
      <c r="AU174" s="194"/>
      <c r="AV174" s="194"/>
      <c r="AW174" s="257" t="str">
        <f>IF(COUNTBLANK(AS174:AV174)=4,"",SUM(AS174:AU174)+IF(Setup!$I$15="No",0,AV174))</f>
        <v/>
      </c>
      <c r="AX174" s="194"/>
      <c r="AY174" s="194"/>
      <c r="AZ174" s="194"/>
      <c r="BA174" s="194"/>
      <c r="BB174" s="257" t="str">
        <f>IF(COUNTBLANK(AX174:BA174)=4,"",SUM(AX174:AZ174)+IF(Setup!$I$15="No",0,BA174))</f>
        <v/>
      </c>
      <c r="BC174" s="261" t="str">
        <f ca="1">IF('Demand background (hide)'!A165=Num_Modalities,"",SUM(Demand!I174, Demand!N174))</f>
        <v/>
      </c>
      <c r="BD174" s="261" t="str">
        <f ca="1">IF(AND(A174&lt;=MaxRows,BE174&lt;&gt;"Yes"),'Demand background (hide)'!X165+IF(Setup!$I$15="Yes",'Demand background (hide)'!AJ165,0),"")</f>
        <v/>
      </c>
      <c r="BE174" s="211"/>
    </row>
    <row r="175" spans="1:57" ht="15" x14ac:dyDescent="0.25">
      <c r="A175" t="str">
        <f t="shared" ca="1" si="8"/>
        <v/>
      </c>
      <c r="B175" s="266" t="str">
        <f t="shared" ca="1" si="9"/>
        <v xml:space="preserve"> </v>
      </c>
      <c r="C175" s="267" t="str">
        <f t="shared" ca="1" si="10"/>
        <v/>
      </c>
      <c r="D175" s="424" t="str">
        <f t="shared" ca="1" si="11"/>
        <v/>
      </c>
      <c r="E175" s="194"/>
      <c r="F175" s="194"/>
      <c r="G175" s="194"/>
      <c r="H175" s="194"/>
      <c r="I175" s="253" t="str">
        <f>IF(COUNTBLANK(E175:H175)=4,"",SUM(E175:G175)+IF(Setup!$I$15="No",0,H175))</f>
        <v/>
      </c>
      <c r="J175" s="194"/>
      <c r="K175" s="194"/>
      <c r="L175" s="194"/>
      <c r="M175" s="194"/>
      <c r="N175" s="257" t="str">
        <f>IF(COUNTBLANK(J175:M175)=4,"",SUM(J175:L175)+IF(Setup!$I$15="No",0,M175))</f>
        <v/>
      </c>
      <c r="O175" s="194"/>
      <c r="P175" s="194"/>
      <c r="Q175" s="194"/>
      <c r="R175" s="194"/>
      <c r="S175" s="257" t="str">
        <f>IF(COUNTBLANK(O175:R175)=4,"",SUM(O175:Q175)+IF(Setup!$I$15="No",0,R175))</f>
        <v/>
      </c>
      <c r="T175" s="194"/>
      <c r="U175" s="194"/>
      <c r="V175" s="194"/>
      <c r="W175" s="194"/>
      <c r="X175" s="257" t="str">
        <f>IF(COUNTBLANK(T175:W175)=4,"",SUM(T175:V175)+IF(Setup!$I$15="No",0,W175))</f>
        <v/>
      </c>
      <c r="Y175" s="194"/>
      <c r="Z175" s="194"/>
      <c r="AA175" s="194"/>
      <c r="AB175" s="194"/>
      <c r="AC175" s="257" t="str">
        <f>IF(COUNTBLANK(Y175:AB175)=4,"",SUM(Y175:AA175)+IF(Setup!$I$15="No",0,AB175))</f>
        <v/>
      </c>
      <c r="AD175" s="194"/>
      <c r="AE175" s="194"/>
      <c r="AF175" s="194"/>
      <c r="AG175" s="194"/>
      <c r="AH175" s="257" t="str">
        <f>IF(COUNTBLANK(AD175:AG175)=4,"",SUM(AD175:AF175)+IF(Setup!$I$15="No",0,AG175))</f>
        <v/>
      </c>
      <c r="AI175" s="194"/>
      <c r="AJ175" s="194"/>
      <c r="AK175" s="194"/>
      <c r="AL175" s="194"/>
      <c r="AM175" s="257" t="str">
        <f>IF(COUNTBLANK(AI175:AL175)=4,"",SUM(AI175:AK175)+IF(Setup!$I$15="No",0,AL175))</f>
        <v/>
      </c>
      <c r="AN175" s="194"/>
      <c r="AO175" s="194"/>
      <c r="AP175" s="194"/>
      <c r="AQ175" s="194"/>
      <c r="AR175" s="257" t="str">
        <f>IF(COUNTBLANK(AN175:AQ175)=4,"",SUM(AN175:AP175)+IF(Setup!$I$15="No",0,AQ175))</f>
        <v/>
      </c>
      <c r="AS175" s="194"/>
      <c r="AT175" s="194"/>
      <c r="AU175" s="194"/>
      <c r="AV175" s="194"/>
      <c r="AW175" s="257" t="str">
        <f>IF(COUNTBLANK(AS175:AV175)=4,"",SUM(AS175:AU175)+IF(Setup!$I$15="No",0,AV175))</f>
        <v/>
      </c>
      <c r="AX175" s="194"/>
      <c r="AY175" s="194"/>
      <c r="AZ175" s="194"/>
      <c r="BA175" s="194"/>
      <c r="BB175" s="257" t="str">
        <f>IF(COUNTBLANK(AX175:BA175)=4,"",SUM(AX175:AZ175)+IF(Setup!$I$15="No",0,BA175))</f>
        <v/>
      </c>
      <c r="BC175" s="261" t="str">
        <f ca="1">IF('Demand background (hide)'!A166=Num_Modalities,"",SUM(Demand!I175, Demand!N175))</f>
        <v/>
      </c>
      <c r="BD175" s="261" t="str">
        <f ca="1">IF(AND(A175&lt;=MaxRows,BE175&lt;&gt;"Yes"),'Demand background (hide)'!X166+IF(Setup!$I$15="Yes",'Demand background (hide)'!AJ166,0),"")</f>
        <v/>
      </c>
      <c r="BE175" s="211"/>
    </row>
    <row r="176" spans="1:57" ht="15" x14ac:dyDescent="0.25">
      <c r="A176" t="str">
        <f t="shared" ca="1" si="8"/>
        <v/>
      </c>
      <c r="B176" s="266" t="str">
        <f t="shared" ca="1" si="9"/>
        <v xml:space="preserve"> </v>
      </c>
      <c r="C176" s="267" t="str">
        <f t="shared" ca="1" si="10"/>
        <v/>
      </c>
      <c r="D176" s="424" t="str">
        <f t="shared" ca="1" si="11"/>
        <v/>
      </c>
      <c r="E176" s="194"/>
      <c r="F176" s="194"/>
      <c r="G176" s="194"/>
      <c r="H176" s="194"/>
      <c r="I176" s="253" t="str">
        <f>IF(COUNTBLANK(E176:H176)=4,"",SUM(E176:G176)+IF(Setup!$I$15="No",0,H176))</f>
        <v/>
      </c>
      <c r="J176" s="194"/>
      <c r="K176" s="194"/>
      <c r="L176" s="194"/>
      <c r="M176" s="194"/>
      <c r="N176" s="257" t="str">
        <f>IF(COUNTBLANK(J176:M176)=4,"",SUM(J176:L176)+IF(Setup!$I$15="No",0,M176))</f>
        <v/>
      </c>
      <c r="O176" s="194"/>
      <c r="P176" s="194"/>
      <c r="Q176" s="194"/>
      <c r="R176" s="194"/>
      <c r="S176" s="257" t="str">
        <f>IF(COUNTBLANK(O176:R176)=4,"",SUM(O176:Q176)+IF(Setup!$I$15="No",0,R176))</f>
        <v/>
      </c>
      <c r="T176" s="194"/>
      <c r="U176" s="194"/>
      <c r="V176" s="194"/>
      <c r="W176" s="194"/>
      <c r="X176" s="257" t="str">
        <f>IF(COUNTBLANK(T176:W176)=4,"",SUM(T176:V176)+IF(Setup!$I$15="No",0,W176))</f>
        <v/>
      </c>
      <c r="Y176" s="194"/>
      <c r="Z176" s="194"/>
      <c r="AA176" s="194"/>
      <c r="AB176" s="194"/>
      <c r="AC176" s="257" t="str">
        <f>IF(COUNTBLANK(Y176:AB176)=4,"",SUM(Y176:AA176)+IF(Setup!$I$15="No",0,AB176))</f>
        <v/>
      </c>
      <c r="AD176" s="194"/>
      <c r="AE176" s="194"/>
      <c r="AF176" s="194"/>
      <c r="AG176" s="194"/>
      <c r="AH176" s="257" t="str">
        <f>IF(COUNTBLANK(AD176:AG176)=4,"",SUM(AD176:AF176)+IF(Setup!$I$15="No",0,AG176))</f>
        <v/>
      </c>
      <c r="AI176" s="194"/>
      <c r="AJ176" s="194"/>
      <c r="AK176" s="194"/>
      <c r="AL176" s="194"/>
      <c r="AM176" s="257" t="str">
        <f>IF(COUNTBLANK(AI176:AL176)=4,"",SUM(AI176:AK176)+IF(Setup!$I$15="No",0,AL176))</f>
        <v/>
      </c>
      <c r="AN176" s="194"/>
      <c r="AO176" s="194"/>
      <c r="AP176" s="194"/>
      <c r="AQ176" s="194"/>
      <c r="AR176" s="257" t="str">
        <f>IF(COUNTBLANK(AN176:AQ176)=4,"",SUM(AN176:AP176)+IF(Setup!$I$15="No",0,AQ176))</f>
        <v/>
      </c>
      <c r="AS176" s="194"/>
      <c r="AT176" s="194"/>
      <c r="AU176" s="194"/>
      <c r="AV176" s="194"/>
      <c r="AW176" s="257" t="str">
        <f>IF(COUNTBLANK(AS176:AV176)=4,"",SUM(AS176:AU176)+IF(Setup!$I$15="No",0,AV176))</f>
        <v/>
      </c>
      <c r="AX176" s="194"/>
      <c r="AY176" s="194"/>
      <c r="AZ176" s="194"/>
      <c r="BA176" s="194"/>
      <c r="BB176" s="257" t="str">
        <f>IF(COUNTBLANK(AX176:BA176)=4,"",SUM(AX176:AZ176)+IF(Setup!$I$15="No",0,BA176))</f>
        <v/>
      </c>
      <c r="BC176" s="261" t="str">
        <f ca="1">IF('Demand background (hide)'!A167=Num_Modalities,"",SUM(Demand!I176, Demand!N176))</f>
        <v/>
      </c>
      <c r="BD176" s="261" t="str">
        <f ca="1">IF(AND(A176&lt;=MaxRows,BE176&lt;&gt;"Yes"),'Demand background (hide)'!X167+IF(Setup!$I$15="Yes",'Demand background (hide)'!AJ167,0),"")</f>
        <v/>
      </c>
      <c r="BE176" s="211"/>
    </row>
    <row r="177" spans="1:57" ht="15" x14ac:dyDescent="0.25">
      <c r="A177" t="str">
        <f t="shared" ca="1" si="8"/>
        <v/>
      </c>
      <c r="B177" s="266" t="str">
        <f t="shared" ca="1" si="9"/>
        <v xml:space="preserve"> </v>
      </c>
      <c r="C177" s="267" t="str">
        <f t="shared" ca="1" si="10"/>
        <v/>
      </c>
      <c r="D177" s="424" t="str">
        <f t="shared" ca="1" si="11"/>
        <v/>
      </c>
      <c r="E177" s="194"/>
      <c r="F177" s="194"/>
      <c r="G177" s="194"/>
      <c r="H177" s="194"/>
      <c r="I177" s="253" t="str">
        <f>IF(COUNTBLANK(E177:H177)=4,"",SUM(E177:G177)+IF(Setup!$I$15="No",0,H177))</f>
        <v/>
      </c>
      <c r="J177" s="194"/>
      <c r="K177" s="194"/>
      <c r="L177" s="194"/>
      <c r="M177" s="194"/>
      <c r="N177" s="257" t="str">
        <f>IF(COUNTBLANK(J177:M177)=4,"",SUM(J177:L177)+IF(Setup!$I$15="No",0,M177))</f>
        <v/>
      </c>
      <c r="O177" s="194"/>
      <c r="P177" s="194"/>
      <c r="Q177" s="194"/>
      <c r="R177" s="194"/>
      <c r="S177" s="257" t="str">
        <f>IF(COUNTBLANK(O177:R177)=4,"",SUM(O177:Q177)+IF(Setup!$I$15="No",0,R177))</f>
        <v/>
      </c>
      <c r="T177" s="194"/>
      <c r="U177" s="194"/>
      <c r="V177" s="194"/>
      <c r="W177" s="194"/>
      <c r="X177" s="257" t="str">
        <f>IF(COUNTBLANK(T177:W177)=4,"",SUM(T177:V177)+IF(Setup!$I$15="No",0,W177))</f>
        <v/>
      </c>
      <c r="Y177" s="194"/>
      <c r="Z177" s="194"/>
      <c r="AA177" s="194"/>
      <c r="AB177" s="194"/>
      <c r="AC177" s="257" t="str">
        <f>IF(COUNTBLANK(Y177:AB177)=4,"",SUM(Y177:AA177)+IF(Setup!$I$15="No",0,AB177))</f>
        <v/>
      </c>
      <c r="AD177" s="194"/>
      <c r="AE177" s="194"/>
      <c r="AF177" s="194"/>
      <c r="AG177" s="194"/>
      <c r="AH177" s="257" t="str">
        <f>IF(COUNTBLANK(AD177:AG177)=4,"",SUM(AD177:AF177)+IF(Setup!$I$15="No",0,AG177))</f>
        <v/>
      </c>
      <c r="AI177" s="194"/>
      <c r="AJ177" s="194"/>
      <c r="AK177" s="194"/>
      <c r="AL177" s="194"/>
      <c r="AM177" s="257" t="str">
        <f>IF(COUNTBLANK(AI177:AL177)=4,"",SUM(AI177:AK177)+IF(Setup!$I$15="No",0,AL177))</f>
        <v/>
      </c>
      <c r="AN177" s="194"/>
      <c r="AO177" s="194"/>
      <c r="AP177" s="194"/>
      <c r="AQ177" s="194"/>
      <c r="AR177" s="257" t="str">
        <f>IF(COUNTBLANK(AN177:AQ177)=4,"",SUM(AN177:AP177)+IF(Setup!$I$15="No",0,AQ177))</f>
        <v/>
      </c>
      <c r="AS177" s="194"/>
      <c r="AT177" s="194"/>
      <c r="AU177" s="194"/>
      <c r="AV177" s="194"/>
      <c r="AW177" s="257" t="str">
        <f>IF(COUNTBLANK(AS177:AV177)=4,"",SUM(AS177:AU177)+IF(Setup!$I$15="No",0,AV177))</f>
        <v/>
      </c>
      <c r="AX177" s="194"/>
      <c r="AY177" s="194"/>
      <c r="AZ177" s="194"/>
      <c r="BA177" s="194"/>
      <c r="BB177" s="257" t="str">
        <f>IF(COUNTBLANK(AX177:BA177)=4,"",SUM(AX177:AZ177)+IF(Setup!$I$15="No",0,BA177))</f>
        <v/>
      </c>
      <c r="BC177" s="261" t="str">
        <f ca="1">IF('Demand background (hide)'!A168=Num_Modalities,"",SUM(Demand!I177, Demand!N177))</f>
        <v/>
      </c>
      <c r="BD177" s="261" t="str">
        <f ca="1">IF(AND(A177&lt;=MaxRows,BE177&lt;&gt;"Yes"),'Demand background (hide)'!X168+IF(Setup!$I$15="Yes",'Demand background (hide)'!AJ168,0),"")</f>
        <v/>
      </c>
      <c r="BE177" s="211"/>
    </row>
    <row r="178" spans="1:57" ht="15" x14ac:dyDescent="0.25">
      <c r="A178" t="str">
        <f t="shared" ca="1" si="8"/>
        <v/>
      </c>
      <c r="B178" s="266" t="str">
        <f t="shared" ca="1" si="9"/>
        <v xml:space="preserve"> </v>
      </c>
      <c r="C178" s="267" t="str">
        <f t="shared" ca="1" si="10"/>
        <v/>
      </c>
      <c r="D178" s="424" t="str">
        <f t="shared" ca="1" si="11"/>
        <v/>
      </c>
      <c r="E178" s="194"/>
      <c r="F178" s="194"/>
      <c r="G178" s="194"/>
      <c r="H178" s="194"/>
      <c r="I178" s="253" t="str">
        <f>IF(COUNTBLANK(E178:H178)=4,"",SUM(E178:G178)+IF(Setup!$I$15="No",0,H178))</f>
        <v/>
      </c>
      <c r="J178" s="194"/>
      <c r="K178" s="194"/>
      <c r="L178" s="194"/>
      <c r="M178" s="194"/>
      <c r="N178" s="257" t="str">
        <f>IF(COUNTBLANK(J178:M178)=4,"",SUM(J178:L178)+IF(Setup!$I$15="No",0,M178))</f>
        <v/>
      </c>
      <c r="O178" s="194"/>
      <c r="P178" s="194"/>
      <c r="Q178" s="194"/>
      <c r="R178" s="194"/>
      <c r="S178" s="257" t="str">
        <f>IF(COUNTBLANK(O178:R178)=4,"",SUM(O178:Q178)+IF(Setup!$I$15="No",0,R178))</f>
        <v/>
      </c>
      <c r="T178" s="194"/>
      <c r="U178" s="194"/>
      <c r="V178" s="194"/>
      <c r="W178" s="194"/>
      <c r="X178" s="257" t="str">
        <f>IF(COUNTBLANK(T178:W178)=4,"",SUM(T178:V178)+IF(Setup!$I$15="No",0,W178))</f>
        <v/>
      </c>
      <c r="Y178" s="194"/>
      <c r="Z178" s="194"/>
      <c r="AA178" s="194"/>
      <c r="AB178" s="194"/>
      <c r="AC178" s="257" t="str">
        <f>IF(COUNTBLANK(Y178:AB178)=4,"",SUM(Y178:AA178)+IF(Setup!$I$15="No",0,AB178))</f>
        <v/>
      </c>
      <c r="AD178" s="194"/>
      <c r="AE178" s="194"/>
      <c r="AF178" s="194"/>
      <c r="AG178" s="194"/>
      <c r="AH178" s="257" t="str">
        <f>IF(COUNTBLANK(AD178:AG178)=4,"",SUM(AD178:AF178)+IF(Setup!$I$15="No",0,AG178))</f>
        <v/>
      </c>
      <c r="AI178" s="194"/>
      <c r="AJ178" s="194"/>
      <c r="AK178" s="194"/>
      <c r="AL178" s="194"/>
      <c r="AM178" s="257" t="str">
        <f>IF(COUNTBLANK(AI178:AL178)=4,"",SUM(AI178:AK178)+IF(Setup!$I$15="No",0,AL178))</f>
        <v/>
      </c>
      <c r="AN178" s="194"/>
      <c r="AO178" s="194"/>
      <c r="AP178" s="194"/>
      <c r="AQ178" s="194"/>
      <c r="AR178" s="257" t="str">
        <f>IF(COUNTBLANK(AN178:AQ178)=4,"",SUM(AN178:AP178)+IF(Setup!$I$15="No",0,AQ178))</f>
        <v/>
      </c>
      <c r="AS178" s="194"/>
      <c r="AT178" s="194"/>
      <c r="AU178" s="194"/>
      <c r="AV178" s="194"/>
      <c r="AW178" s="257" t="str">
        <f>IF(COUNTBLANK(AS178:AV178)=4,"",SUM(AS178:AU178)+IF(Setup!$I$15="No",0,AV178))</f>
        <v/>
      </c>
      <c r="AX178" s="194"/>
      <c r="AY178" s="194"/>
      <c r="AZ178" s="194"/>
      <c r="BA178" s="194"/>
      <c r="BB178" s="257" t="str">
        <f>IF(COUNTBLANK(AX178:BA178)=4,"",SUM(AX178:AZ178)+IF(Setup!$I$15="No",0,BA178))</f>
        <v/>
      </c>
      <c r="BC178" s="261" t="str">
        <f ca="1">IF('Demand background (hide)'!A169=Num_Modalities,"",SUM(Demand!I178, Demand!N178))</f>
        <v/>
      </c>
      <c r="BD178" s="261" t="str">
        <f ca="1">IF(AND(A178&lt;=MaxRows,BE178&lt;&gt;"Yes"),'Demand background (hide)'!X169+IF(Setup!$I$15="Yes",'Demand background (hide)'!AJ169,0),"")</f>
        <v/>
      </c>
      <c r="BE178" s="211"/>
    </row>
    <row r="179" spans="1:57" ht="15" x14ac:dyDescent="0.25">
      <c r="A179" t="str">
        <f t="shared" ca="1" si="8"/>
        <v/>
      </c>
      <c r="B179" s="266" t="str">
        <f t="shared" ca="1" si="9"/>
        <v xml:space="preserve"> </v>
      </c>
      <c r="C179" s="267" t="str">
        <f t="shared" ca="1" si="10"/>
        <v/>
      </c>
      <c r="D179" s="424" t="str">
        <f t="shared" ca="1" si="11"/>
        <v/>
      </c>
      <c r="E179" s="194"/>
      <c r="F179" s="194"/>
      <c r="G179" s="194"/>
      <c r="H179" s="194"/>
      <c r="I179" s="253" t="str">
        <f>IF(COUNTBLANK(E179:H179)=4,"",SUM(E179:G179)+IF(Setup!$I$15="No",0,H179))</f>
        <v/>
      </c>
      <c r="J179" s="194"/>
      <c r="K179" s="194"/>
      <c r="L179" s="194"/>
      <c r="M179" s="194"/>
      <c r="N179" s="257" t="str">
        <f>IF(COUNTBLANK(J179:M179)=4,"",SUM(J179:L179)+IF(Setup!$I$15="No",0,M179))</f>
        <v/>
      </c>
      <c r="O179" s="194"/>
      <c r="P179" s="194"/>
      <c r="Q179" s="194"/>
      <c r="R179" s="194"/>
      <c r="S179" s="257" t="str">
        <f>IF(COUNTBLANK(O179:R179)=4,"",SUM(O179:Q179)+IF(Setup!$I$15="No",0,R179))</f>
        <v/>
      </c>
      <c r="T179" s="194"/>
      <c r="U179" s="194"/>
      <c r="V179" s="194"/>
      <c r="W179" s="194"/>
      <c r="X179" s="257" t="str">
        <f>IF(COUNTBLANK(T179:W179)=4,"",SUM(T179:V179)+IF(Setup!$I$15="No",0,W179))</f>
        <v/>
      </c>
      <c r="Y179" s="194"/>
      <c r="Z179" s="194"/>
      <c r="AA179" s="194"/>
      <c r="AB179" s="194"/>
      <c r="AC179" s="257" t="str">
        <f>IF(COUNTBLANK(Y179:AB179)=4,"",SUM(Y179:AA179)+IF(Setup!$I$15="No",0,AB179))</f>
        <v/>
      </c>
      <c r="AD179" s="194"/>
      <c r="AE179" s="194"/>
      <c r="AF179" s="194"/>
      <c r="AG179" s="194"/>
      <c r="AH179" s="257" t="str">
        <f>IF(COUNTBLANK(AD179:AG179)=4,"",SUM(AD179:AF179)+IF(Setup!$I$15="No",0,AG179))</f>
        <v/>
      </c>
      <c r="AI179" s="194"/>
      <c r="AJ179" s="194"/>
      <c r="AK179" s="194"/>
      <c r="AL179" s="194"/>
      <c r="AM179" s="257" t="str">
        <f>IF(COUNTBLANK(AI179:AL179)=4,"",SUM(AI179:AK179)+IF(Setup!$I$15="No",0,AL179))</f>
        <v/>
      </c>
      <c r="AN179" s="194"/>
      <c r="AO179" s="194"/>
      <c r="AP179" s="194"/>
      <c r="AQ179" s="194"/>
      <c r="AR179" s="257" t="str">
        <f>IF(COUNTBLANK(AN179:AQ179)=4,"",SUM(AN179:AP179)+IF(Setup!$I$15="No",0,AQ179))</f>
        <v/>
      </c>
      <c r="AS179" s="194"/>
      <c r="AT179" s="194"/>
      <c r="AU179" s="194"/>
      <c r="AV179" s="194"/>
      <c r="AW179" s="257" t="str">
        <f>IF(COUNTBLANK(AS179:AV179)=4,"",SUM(AS179:AU179)+IF(Setup!$I$15="No",0,AV179))</f>
        <v/>
      </c>
      <c r="AX179" s="194"/>
      <c r="AY179" s="194"/>
      <c r="AZ179" s="194"/>
      <c r="BA179" s="194"/>
      <c r="BB179" s="257" t="str">
        <f>IF(COUNTBLANK(AX179:BA179)=4,"",SUM(AX179:AZ179)+IF(Setup!$I$15="No",0,BA179))</f>
        <v/>
      </c>
      <c r="BC179" s="261" t="str">
        <f ca="1">IF('Demand background (hide)'!A170=Num_Modalities,"",SUM(Demand!I179, Demand!N179))</f>
        <v/>
      </c>
      <c r="BD179" s="261" t="str">
        <f ca="1">IF(AND(A179&lt;=MaxRows,BE179&lt;&gt;"Yes"),'Demand background (hide)'!X170+IF(Setup!$I$15="Yes",'Demand background (hide)'!AJ170,0),"")</f>
        <v/>
      </c>
      <c r="BE179" s="211"/>
    </row>
    <row r="180" spans="1:57" ht="15" x14ac:dyDescent="0.25">
      <c r="A180" t="str">
        <f t="shared" ca="1" si="8"/>
        <v/>
      </c>
      <c r="B180" s="266" t="str">
        <f t="shared" ca="1" si="9"/>
        <v xml:space="preserve"> </v>
      </c>
      <c r="C180" s="267" t="str">
        <f t="shared" ca="1" si="10"/>
        <v/>
      </c>
      <c r="D180" s="424" t="str">
        <f t="shared" ca="1" si="11"/>
        <v/>
      </c>
      <c r="E180" s="194"/>
      <c r="F180" s="194"/>
      <c r="G180" s="194"/>
      <c r="H180" s="194"/>
      <c r="I180" s="253" t="str">
        <f>IF(COUNTBLANK(E180:H180)=4,"",SUM(E180:G180)+IF(Setup!$I$15="No",0,H180))</f>
        <v/>
      </c>
      <c r="J180" s="194"/>
      <c r="K180" s="194"/>
      <c r="L180" s="194"/>
      <c r="M180" s="194"/>
      <c r="N180" s="257" t="str">
        <f>IF(COUNTBLANK(J180:M180)=4,"",SUM(J180:L180)+IF(Setup!$I$15="No",0,M180))</f>
        <v/>
      </c>
      <c r="O180" s="194"/>
      <c r="P180" s="194"/>
      <c r="Q180" s="194"/>
      <c r="R180" s="194"/>
      <c r="S180" s="257" t="str">
        <f>IF(COUNTBLANK(O180:R180)=4,"",SUM(O180:Q180)+IF(Setup!$I$15="No",0,R180))</f>
        <v/>
      </c>
      <c r="T180" s="194"/>
      <c r="U180" s="194"/>
      <c r="V180" s="194"/>
      <c r="W180" s="194"/>
      <c r="X180" s="257" t="str">
        <f>IF(COUNTBLANK(T180:W180)=4,"",SUM(T180:V180)+IF(Setup!$I$15="No",0,W180))</f>
        <v/>
      </c>
      <c r="Y180" s="194"/>
      <c r="Z180" s="194"/>
      <c r="AA180" s="194"/>
      <c r="AB180" s="194"/>
      <c r="AC180" s="257" t="str">
        <f>IF(COUNTBLANK(Y180:AB180)=4,"",SUM(Y180:AA180)+IF(Setup!$I$15="No",0,AB180))</f>
        <v/>
      </c>
      <c r="AD180" s="194"/>
      <c r="AE180" s="194"/>
      <c r="AF180" s="194"/>
      <c r="AG180" s="194"/>
      <c r="AH180" s="257" t="str">
        <f>IF(COUNTBLANK(AD180:AG180)=4,"",SUM(AD180:AF180)+IF(Setup!$I$15="No",0,AG180))</f>
        <v/>
      </c>
      <c r="AI180" s="194"/>
      <c r="AJ180" s="194"/>
      <c r="AK180" s="194"/>
      <c r="AL180" s="194"/>
      <c r="AM180" s="257" t="str">
        <f>IF(COUNTBLANK(AI180:AL180)=4,"",SUM(AI180:AK180)+IF(Setup!$I$15="No",0,AL180))</f>
        <v/>
      </c>
      <c r="AN180" s="194"/>
      <c r="AO180" s="194"/>
      <c r="AP180" s="194"/>
      <c r="AQ180" s="194"/>
      <c r="AR180" s="257" t="str">
        <f>IF(COUNTBLANK(AN180:AQ180)=4,"",SUM(AN180:AP180)+IF(Setup!$I$15="No",0,AQ180))</f>
        <v/>
      </c>
      <c r="AS180" s="194"/>
      <c r="AT180" s="194"/>
      <c r="AU180" s="194"/>
      <c r="AV180" s="194"/>
      <c r="AW180" s="257" t="str">
        <f>IF(COUNTBLANK(AS180:AV180)=4,"",SUM(AS180:AU180)+IF(Setup!$I$15="No",0,AV180))</f>
        <v/>
      </c>
      <c r="AX180" s="194"/>
      <c r="AY180" s="194"/>
      <c r="AZ180" s="194"/>
      <c r="BA180" s="194"/>
      <c r="BB180" s="257" t="str">
        <f>IF(COUNTBLANK(AX180:BA180)=4,"",SUM(AX180:AZ180)+IF(Setup!$I$15="No",0,BA180))</f>
        <v/>
      </c>
      <c r="BC180" s="261" t="str">
        <f ca="1">IF('Demand background (hide)'!A171=Num_Modalities,"",SUM(Demand!I180, Demand!N180))</f>
        <v/>
      </c>
      <c r="BD180" s="261" t="str">
        <f ca="1">IF(AND(A180&lt;=MaxRows,BE180&lt;&gt;"Yes"),'Demand background (hide)'!X171+IF(Setup!$I$15="Yes",'Demand background (hide)'!AJ171,0),"")</f>
        <v/>
      </c>
      <c r="BE180" s="211"/>
    </row>
    <row r="181" spans="1:57" ht="15" x14ac:dyDescent="0.25">
      <c r="A181" t="str">
        <f t="shared" ca="1" si="8"/>
        <v/>
      </c>
      <c r="B181" s="266" t="str">
        <f t="shared" ca="1" si="9"/>
        <v xml:space="preserve"> </v>
      </c>
      <c r="C181" s="267" t="str">
        <f t="shared" ca="1" si="10"/>
        <v/>
      </c>
      <c r="D181" s="424" t="str">
        <f t="shared" ca="1" si="11"/>
        <v/>
      </c>
      <c r="E181" s="194"/>
      <c r="F181" s="194"/>
      <c r="G181" s="194"/>
      <c r="H181" s="194"/>
      <c r="I181" s="253" t="str">
        <f>IF(COUNTBLANK(E181:H181)=4,"",SUM(E181:G181)+IF(Setup!$I$15="No",0,H181))</f>
        <v/>
      </c>
      <c r="J181" s="194"/>
      <c r="K181" s="194"/>
      <c r="L181" s="194"/>
      <c r="M181" s="194"/>
      <c r="N181" s="257" t="str">
        <f>IF(COUNTBLANK(J181:M181)=4,"",SUM(J181:L181)+IF(Setup!$I$15="No",0,M181))</f>
        <v/>
      </c>
      <c r="O181" s="194"/>
      <c r="P181" s="194"/>
      <c r="Q181" s="194"/>
      <c r="R181" s="194"/>
      <c r="S181" s="257" t="str">
        <f>IF(COUNTBLANK(O181:R181)=4,"",SUM(O181:Q181)+IF(Setup!$I$15="No",0,R181))</f>
        <v/>
      </c>
      <c r="T181" s="194"/>
      <c r="U181" s="194"/>
      <c r="V181" s="194"/>
      <c r="W181" s="194"/>
      <c r="X181" s="257" t="str">
        <f>IF(COUNTBLANK(T181:W181)=4,"",SUM(T181:V181)+IF(Setup!$I$15="No",0,W181))</f>
        <v/>
      </c>
      <c r="Y181" s="194"/>
      <c r="Z181" s="194"/>
      <c r="AA181" s="194"/>
      <c r="AB181" s="194"/>
      <c r="AC181" s="257" t="str">
        <f>IF(COUNTBLANK(Y181:AB181)=4,"",SUM(Y181:AA181)+IF(Setup!$I$15="No",0,AB181))</f>
        <v/>
      </c>
      <c r="AD181" s="194"/>
      <c r="AE181" s="194"/>
      <c r="AF181" s="194"/>
      <c r="AG181" s="194"/>
      <c r="AH181" s="257" t="str">
        <f>IF(COUNTBLANK(AD181:AG181)=4,"",SUM(AD181:AF181)+IF(Setup!$I$15="No",0,AG181))</f>
        <v/>
      </c>
      <c r="AI181" s="194"/>
      <c r="AJ181" s="194"/>
      <c r="AK181" s="194"/>
      <c r="AL181" s="194"/>
      <c r="AM181" s="257" t="str">
        <f>IF(COUNTBLANK(AI181:AL181)=4,"",SUM(AI181:AK181)+IF(Setup!$I$15="No",0,AL181))</f>
        <v/>
      </c>
      <c r="AN181" s="194"/>
      <c r="AO181" s="194"/>
      <c r="AP181" s="194"/>
      <c r="AQ181" s="194"/>
      <c r="AR181" s="257" t="str">
        <f>IF(COUNTBLANK(AN181:AQ181)=4,"",SUM(AN181:AP181)+IF(Setup!$I$15="No",0,AQ181))</f>
        <v/>
      </c>
      <c r="AS181" s="194"/>
      <c r="AT181" s="194"/>
      <c r="AU181" s="194"/>
      <c r="AV181" s="194"/>
      <c r="AW181" s="257" t="str">
        <f>IF(COUNTBLANK(AS181:AV181)=4,"",SUM(AS181:AU181)+IF(Setup!$I$15="No",0,AV181))</f>
        <v/>
      </c>
      <c r="AX181" s="194"/>
      <c r="AY181" s="194"/>
      <c r="AZ181" s="194"/>
      <c r="BA181" s="194"/>
      <c r="BB181" s="257" t="str">
        <f>IF(COUNTBLANK(AX181:BA181)=4,"",SUM(AX181:AZ181)+IF(Setup!$I$15="No",0,BA181))</f>
        <v/>
      </c>
      <c r="BC181" s="261" t="str">
        <f ca="1">IF('Demand background (hide)'!A172=Num_Modalities,"",SUM(Demand!I181, Demand!N181))</f>
        <v/>
      </c>
      <c r="BD181" s="261" t="str">
        <f ca="1">IF(AND(A181&lt;=MaxRows,BE181&lt;&gt;"Yes"),'Demand background (hide)'!X172+IF(Setup!$I$15="Yes",'Demand background (hide)'!AJ172,0),"")</f>
        <v/>
      </c>
      <c r="BE181" s="211"/>
    </row>
    <row r="182" spans="1:57" ht="15" x14ac:dyDescent="0.25">
      <c r="A182" t="str">
        <f t="shared" ca="1" si="8"/>
        <v/>
      </c>
      <c r="B182" s="266" t="str">
        <f t="shared" ca="1" si="9"/>
        <v xml:space="preserve"> </v>
      </c>
      <c r="C182" s="267" t="str">
        <f t="shared" ca="1" si="10"/>
        <v/>
      </c>
      <c r="D182" s="424" t="str">
        <f t="shared" ca="1" si="11"/>
        <v/>
      </c>
      <c r="E182" s="194"/>
      <c r="F182" s="194"/>
      <c r="G182" s="194"/>
      <c r="H182" s="194"/>
      <c r="I182" s="253" t="str">
        <f>IF(COUNTBLANK(E182:H182)=4,"",SUM(E182:G182)+IF(Setup!$I$15="No",0,H182))</f>
        <v/>
      </c>
      <c r="J182" s="194"/>
      <c r="K182" s="194"/>
      <c r="L182" s="194"/>
      <c r="M182" s="194"/>
      <c r="N182" s="257" t="str">
        <f>IF(COUNTBLANK(J182:M182)=4,"",SUM(J182:L182)+IF(Setup!$I$15="No",0,M182))</f>
        <v/>
      </c>
      <c r="O182" s="194"/>
      <c r="P182" s="194"/>
      <c r="Q182" s="194"/>
      <c r="R182" s="194"/>
      <c r="S182" s="257" t="str">
        <f>IF(COUNTBLANK(O182:R182)=4,"",SUM(O182:Q182)+IF(Setup!$I$15="No",0,R182))</f>
        <v/>
      </c>
      <c r="T182" s="194"/>
      <c r="U182" s="194"/>
      <c r="V182" s="194"/>
      <c r="W182" s="194"/>
      <c r="X182" s="257" t="str">
        <f>IF(COUNTBLANK(T182:W182)=4,"",SUM(T182:V182)+IF(Setup!$I$15="No",0,W182))</f>
        <v/>
      </c>
      <c r="Y182" s="194"/>
      <c r="Z182" s="194"/>
      <c r="AA182" s="194"/>
      <c r="AB182" s="194"/>
      <c r="AC182" s="257" t="str">
        <f>IF(COUNTBLANK(Y182:AB182)=4,"",SUM(Y182:AA182)+IF(Setup!$I$15="No",0,AB182))</f>
        <v/>
      </c>
      <c r="AD182" s="194"/>
      <c r="AE182" s="194"/>
      <c r="AF182" s="194"/>
      <c r="AG182" s="194"/>
      <c r="AH182" s="257" t="str">
        <f>IF(COUNTBLANK(AD182:AG182)=4,"",SUM(AD182:AF182)+IF(Setup!$I$15="No",0,AG182))</f>
        <v/>
      </c>
      <c r="AI182" s="194"/>
      <c r="AJ182" s="194"/>
      <c r="AK182" s="194"/>
      <c r="AL182" s="194"/>
      <c r="AM182" s="257" t="str">
        <f>IF(COUNTBLANK(AI182:AL182)=4,"",SUM(AI182:AK182)+IF(Setup!$I$15="No",0,AL182))</f>
        <v/>
      </c>
      <c r="AN182" s="194"/>
      <c r="AO182" s="194"/>
      <c r="AP182" s="194"/>
      <c r="AQ182" s="194"/>
      <c r="AR182" s="257" t="str">
        <f>IF(COUNTBLANK(AN182:AQ182)=4,"",SUM(AN182:AP182)+IF(Setup!$I$15="No",0,AQ182))</f>
        <v/>
      </c>
      <c r="AS182" s="194"/>
      <c r="AT182" s="194"/>
      <c r="AU182" s="194"/>
      <c r="AV182" s="194"/>
      <c r="AW182" s="257" t="str">
        <f>IF(COUNTBLANK(AS182:AV182)=4,"",SUM(AS182:AU182)+IF(Setup!$I$15="No",0,AV182))</f>
        <v/>
      </c>
      <c r="AX182" s="194"/>
      <c r="AY182" s="194"/>
      <c r="AZ182" s="194"/>
      <c r="BA182" s="194"/>
      <c r="BB182" s="257" t="str">
        <f>IF(COUNTBLANK(AX182:BA182)=4,"",SUM(AX182:AZ182)+IF(Setup!$I$15="No",0,BA182))</f>
        <v/>
      </c>
      <c r="BC182" s="261" t="str">
        <f ca="1">IF('Demand background (hide)'!A173=Num_Modalities,"",SUM(Demand!I182, Demand!N182))</f>
        <v/>
      </c>
      <c r="BD182" s="261" t="str">
        <f ca="1">IF(AND(A182&lt;=MaxRows,BE182&lt;&gt;"Yes"),'Demand background (hide)'!X173+IF(Setup!$I$15="Yes",'Demand background (hide)'!AJ173,0),"")</f>
        <v/>
      </c>
      <c r="BE182" s="211"/>
    </row>
    <row r="183" spans="1:57" ht="15" x14ac:dyDescent="0.25">
      <c r="A183" t="str">
        <f t="shared" ca="1" si="8"/>
        <v/>
      </c>
      <c r="B183" s="266" t="str">
        <f t="shared" ca="1" si="9"/>
        <v xml:space="preserve"> </v>
      </c>
      <c r="C183" s="267" t="str">
        <f t="shared" ca="1" si="10"/>
        <v/>
      </c>
      <c r="D183" s="424" t="str">
        <f t="shared" ca="1" si="11"/>
        <v/>
      </c>
      <c r="E183" s="194"/>
      <c r="F183" s="194"/>
      <c r="G183" s="194"/>
      <c r="H183" s="194"/>
      <c r="I183" s="253" t="str">
        <f>IF(COUNTBLANK(E183:H183)=4,"",SUM(E183:G183)+IF(Setup!$I$15="No",0,H183))</f>
        <v/>
      </c>
      <c r="J183" s="194"/>
      <c r="K183" s="194"/>
      <c r="L183" s="194"/>
      <c r="M183" s="194"/>
      <c r="N183" s="257" t="str">
        <f>IF(COUNTBLANK(J183:M183)=4,"",SUM(J183:L183)+IF(Setup!$I$15="No",0,M183))</f>
        <v/>
      </c>
      <c r="O183" s="194"/>
      <c r="P183" s="194"/>
      <c r="Q183" s="194"/>
      <c r="R183" s="194"/>
      <c r="S183" s="257" t="str">
        <f>IF(COUNTBLANK(O183:R183)=4,"",SUM(O183:Q183)+IF(Setup!$I$15="No",0,R183))</f>
        <v/>
      </c>
      <c r="T183" s="194"/>
      <c r="U183" s="194"/>
      <c r="V183" s="194"/>
      <c r="W183" s="194"/>
      <c r="X183" s="257" t="str">
        <f>IF(COUNTBLANK(T183:W183)=4,"",SUM(T183:V183)+IF(Setup!$I$15="No",0,W183))</f>
        <v/>
      </c>
      <c r="Y183" s="194"/>
      <c r="Z183" s="194"/>
      <c r="AA183" s="194"/>
      <c r="AB183" s="194"/>
      <c r="AC183" s="257" t="str">
        <f>IF(COUNTBLANK(Y183:AB183)=4,"",SUM(Y183:AA183)+IF(Setup!$I$15="No",0,AB183))</f>
        <v/>
      </c>
      <c r="AD183" s="194"/>
      <c r="AE183" s="194"/>
      <c r="AF183" s="194"/>
      <c r="AG183" s="194"/>
      <c r="AH183" s="257" t="str">
        <f>IF(COUNTBLANK(AD183:AG183)=4,"",SUM(AD183:AF183)+IF(Setup!$I$15="No",0,AG183))</f>
        <v/>
      </c>
      <c r="AI183" s="194"/>
      <c r="AJ183" s="194"/>
      <c r="AK183" s="194"/>
      <c r="AL183" s="194"/>
      <c r="AM183" s="257" t="str">
        <f>IF(COUNTBLANK(AI183:AL183)=4,"",SUM(AI183:AK183)+IF(Setup!$I$15="No",0,AL183))</f>
        <v/>
      </c>
      <c r="AN183" s="194"/>
      <c r="AO183" s="194"/>
      <c r="AP183" s="194"/>
      <c r="AQ183" s="194"/>
      <c r="AR183" s="257" t="str">
        <f>IF(COUNTBLANK(AN183:AQ183)=4,"",SUM(AN183:AP183)+IF(Setup!$I$15="No",0,AQ183))</f>
        <v/>
      </c>
      <c r="AS183" s="194"/>
      <c r="AT183" s="194"/>
      <c r="AU183" s="194"/>
      <c r="AV183" s="194"/>
      <c r="AW183" s="257" t="str">
        <f>IF(COUNTBLANK(AS183:AV183)=4,"",SUM(AS183:AU183)+IF(Setup!$I$15="No",0,AV183))</f>
        <v/>
      </c>
      <c r="AX183" s="194"/>
      <c r="AY183" s="194"/>
      <c r="AZ183" s="194"/>
      <c r="BA183" s="194"/>
      <c r="BB183" s="257" t="str">
        <f>IF(COUNTBLANK(AX183:BA183)=4,"",SUM(AX183:AZ183)+IF(Setup!$I$15="No",0,BA183))</f>
        <v/>
      </c>
      <c r="BC183" s="261" t="str">
        <f ca="1">IF('Demand background (hide)'!A174=Num_Modalities,"",SUM(Demand!I183, Demand!N183))</f>
        <v/>
      </c>
      <c r="BD183" s="261" t="str">
        <f ca="1">IF(AND(A183&lt;=MaxRows,BE183&lt;&gt;"Yes"),'Demand background (hide)'!X174+IF(Setup!$I$15="Yes",'Demand background (hide)'!AJ174,0),"")</f>
        <v/>
      </c>
      <c r="BE183" s="211"/>
    </row>
    <row r="184" spans="1:57" ht="15" x14ac:dyDescent="0.25">
      <c r="A184" t="str">
        <f t="shared" ca="1" si="8"/>
        <v/>
      </c>
      <c r="B184" s="266" t="str">
        <f t="shared" ca="1" si="9"/>
        <v xml:space="preserve"> </v>
      </c>
      <c r="C184" s="267" t="str">
        <f t="shared" ca="1" si="10"/>
        <v/>
      </c>
      <c r="D184" s="424" t="str">
        <f t="shared" ca="1" si="11"/>
        <v/>
      </c>
      <c r="E184" s="194"/>
      <c r="F184" s="194"/>
      <c r="G184" s="194"/>
      <c r="H184" s="194"/>
      <c r="I184" s="253" t="str">
        <f>IF(COUNTBLANK(E184:H184)=4,"",SUM(E184:G184)+IF(Setup!$I$15="No",0,H184))</f>
        <v/>
      </c>
      <c r="J184" s="194"/>
      <c r="K184" s="194"/>
      <c r="L184" s="194"/>
      <c r="M184" s="194"/>
      <c r="N184" s="257" t="str">
        <f>IF(COUNTBLANK(J184:M184)=4,"",SUM(J184:L184)+IF(Setup!$I$15="No",0,M184))</f>
        <v/>
      </c>
      <c r="O184" s="194"/>
      <c r="P184" s="194"/>
      <c r="Q184" s="194"/>
      <c r="R184" s="194"/>
      <c r="S184" s="257" t="str">
        <f>IF(COUNTBLANK(O184:R184)=4,"",SUM(O184:Q184)+IF(Setup!$I$15="No",0,R184))</f>
        <v/>
      </c>
      <c r="T184" s="194"/>
      <c r="U184" s="194"/>
      <c r="V184" s="194"/>
      <c r="W184" s="194"/>
      <c r="X184" s="257" t="str">
        <f>IF(COUNTBLANK(T184:W184)=4,"",SUM(T184:V184)+IF(Setup!$I$15="No",0,W184))</f>
        <v/>
      </c>
      <c r="Y184" s="194"/>
      <c r="Z184" s="194"/>
      <c r="AA184" s="194"/>
      <c r="AB184" s="194"/>
      <c r="AC184" s="257" t="str">
        <f>IF(COUNTBLANK(Y184:AB184)=4,"",SUM(Y184:AA184)+IF(Setup!$I$15="No",0,AB184))</f>
        <v/>
      </c>
      <c r="AD184" s="194"/>
      <c r="AE184" s="194"/>
      <c r="AF184" s="194"/>
      <c r="AG184" s="194"/>
      <c r="AH184" s="257" t="str">
        <f>IF(COUNTBLANK(AD184:AG184)=4,"",SUM(AD184:AF184)+IF(Setup!$I$15="No",0,AG184))</f>
        <v/>
      </c>
      <c r="AI184" s="194"/>
      <c r="AJ184" s="194"/>
      <c r="AK184" s="194"/>
      <c r="AL184" s="194"/>
      <c r="AM184" s="257" t="str">
        <f>IF(COUNTBLANK(AI184:AL184)=4,"",SUM(AI184:AK184)+IF(Setup!$I$15="No",0,AL184))</f>
        <v/>
      </c>
      <c r="AN184" s="194"/>
      <c r="AO184" s="194"/>
      <c r="AP184" s="194"/>
      <c r="AQ184" s="194"/>
      <c r="AR184" s="257" t="str">
        <f>IF(COUNTBLANK(AN184:AQ184)=4,"",SUM(AN184:AP184)+IF(Setup!$I$15="No",0,AQ184))</f>
        <v/>
      </c>
      <c r="AS184" s="194"/>
      <c r="AT184" s="194"/>
      <c r="AU184" s="194"/>
      <c r="AV184" s="194"/>
      <c r="AW184" s="257" t="str">
        <f>IF(COUNTBLANK(AS184:AV184)=4,"",SUM(AS184:AU184)+IF(Setup!$I$15="No",0,AV184))</f>
        <v/>
      </c>
      <c r="AX184" s="194"/>
      <c r="AY184" s="194"/>
      <c r="AZ184" s="194"/>
      <c r="BA184" s="194"/>
      <c r="BB184" s="257" t="str">
        <f>IF(COUNTBLANK(AX184:BA184)=4,"",SUM(AX184:AZ184)+IF(Setup!$I$15="No",0,BA184))</f>
        <v/>
      </c>
      <c r="BC184" s="261" t="str">
        <f ca="1">IF('Demand background (hide)'!A175=Num_Modalities,"",SUM(Demand!I184, Demand!N184))</f>
        <v/>
      </c>
      <c r="BD184" s="261" t="str">
        <f ca="1">IF(AND(A184&lt;=MaxRows,BE184&lt;&gt;"Yes"),'Demand background (hide)'!X175+IF(Setup!$I$15="Yes",'Demand background (hide)'!AJ175,0),"")</f>
        <v/>
      </c>
      <c r="BE184" s="211"/>
    </row>
    <row r="185" spans="1:57" ht="15" x14ac:dyDescent="0.25">
      <c r="A185" t="str">
        <f t="shared" ca="1" si="8"/>
        <v/>
      </c>
      <c r="B185" s="266" t="str">
        <f t="shared" ca="1" si="9"/>
        <v xml:space="preserve"> </v>
      </c>
      <c r="C185" s="267" t="str">
        <f t="shared" ca="1" si="10"/>
        <v/>
      </c>
      <c r="D185" s="424" t="str">
        <f t="shared" ca="1" si="11"/>
        <v/>
      </c>
      <c r="E185" s="194"/>
      <c r="F185" s="194"/>
      <c r="G185" s="194"/>
      <c r="H185" s="194"/>
      <c r="I185" s="253" t="str">
        <f>IF(COUNTBLANK(E185:H185)=4,"",SUM(E185:G185)+IF(Setup!$I$15="No",0,H185))</f>
        <v/>
      </c>
      <c r="J185" s="194"/>
      <c r="K185" s="194"/>
      <c r="L185" s="194"/>
      <c r="M185" s="194"/>
      <c r="N185" s="257" t="str">
        <f>IF(COUNTBLANK(J185:M185)=4,"",SUM(J185:L185)+IF(Setup!$I$15="No",0,M185))</f>
        <v/>
      </c>
      <c r="O185" s="194"/>
      <c r="P185" s="194"/>
      <c r="Q185" s="194"/>
      <c r="R185" s="194"/>
      <c r="S185" s="257" t="str">
        <f>IF(COUNTBLANK(O185:R185)=4,"",SUM(O185:Q185)+IF(Setup!$I$15="No",0,R185))</f>
        <v/>
      </c>
      <c r="T185" s="194"/>
      <c r="U185" s="194"/>
      <c r="V185" s="194"/>
      <c r="W185" s="194"/>
      <c r="X185" s="257" t="str">
        <f>IF(COUNTBLANK(T185:W185)=4,"",SUM(T185:V185)+IF(Setup!$I$15="No",0,W185))</f>
        <v/>
      </c>
      <c r="Y185" s="194"/>
      <c r="Z185" s="194"/>
      <c r="AA185" s="194"/>
      <c r="AB185" s="194"/>
      <c r="AC185" s="257" t="str">
        <f>IF(COUNTBLANK(Y185:AB185)=4,"",SUM(Y185:AA185)+IF(Setup!$I$15="No",0,AB185))</f>
        <v/>
      </c>
      <c r="AD185" s="194"/>
      <c r="AE185" s="194"/>
      <c r="AF185" s="194"/>
      <c r="AG185" s="194"/>
      <c r="AH185" s="257" t="str">
        <f>IF(COUNTBLANK(AD185:AG185)=4,"",SUM(AD185:AF185)+IF(Setup!$I$15="No",0,AG185))</f>
        <v/>
      </c>
      <c r="AI185" s="194"/>
      <c r="AJ185" s="194"/>
      <c r="AK185" s="194"/>
      <c r="AL185" s="194"/>
      <c r="AM185" s="257" t="str">
        <f>IF(COUNTBLANK(AI185:AL185)=4,"",SUM(AI185:AK185)+IF(Setup!$I$15="No",0,AL185))</f>
        <v/>
      </c>
      <c r="AN185" s="194"/>
      <c r="AO185" s="194"/>
      <c r="AP185" s="194"/>
      <c r="AQ185" s="194"/>
      <c r="AR185" s="257" t="str">
        <f>IF(COUNTBLANK(AN185:AQ185)=4,"",SUM(AN185:AP185)+IF(Setup!$I$15="No",0,AQ185))</f>
        <v/>
      </c>
      <c r="AS185" s="194"/>
      <c r="AT185" s="194"/>
      <c r="AU185" s="194"/>
      <c r="AV185" s="194"/>
      <c r="AW185" s="257" t="str">
        <f>IF(COUNTBLANK(AS185:AV185)=4,"",SUM(AS185:AU185)+IF(Setup!$I$15="No",0,AV185))</f>
        <v/>
      </c>
      <c r="AX185" s="194"/>
      <c r="AY185" s="194"/>
      <c r="AZ185" s="194"/>
      <c r="BA185" s="194"/>
      <c r="BB185" s="257" t="str">
        <f>IF(COUNTBLANK(AX185:BA185)=4,"",SUM(AX185:AZ185)+IF(Setup!$I$15="No",0,BA185))</f>
        <v/>
      </c>
      <c r="BC185" s="261" t="str">
        <f ca="1">IF('Demand background (hide)'!A176=Num_Modalities,"",SUM(Demand!I185, Demand!N185))</f>
        <v/>
      </c>
      <c r="BD185" s="261" t="str">
        <f ca="1">IF(AND(A185&lt;=MaxRows,BE185&lt;&gt;"Yes"),'Demand background (hide)'!X176+IF(Setup!$I$15="Yes",'Demand background (hide)'!AJ176,0),"")</f>
        <v/>
      </c>
      <c r="BE185" s="211"/>
    </row>
    <row r="186" spans="1:57" ht="15" x14ac:dyDescent="0.25">
      <c r="A186" t="str">
        <f t="shared" ca="1" si="8"/>
        <v/>
      </c>
      <c r="B186" s="266" t="str">
        <f t="shared" ca="1" si="9"/>
        <v xml:space="preserve"> </v>
      </c>
      <c r="C186" s="267" t="str">
        <f t="shared" ca="1" si="10"/>
        <v/>
      </c>
      <c r="D186" s="424" t="str">
        <f t="shared" ca="1" si="11"/>
        <v/>
      </c>
      <c r="E186" s="194"/>
      <c r="F186" s="194"/>
      <c r="G186" s="194"/>
      <c r="H186" s="194"/>
      <c r="I186" s="253" t="str">
        <f>IF(COUNTBLANK(E186:H186)=4,"",SUM(E186:G186)+IF(Setup!$I$15="No",0,H186))</f>
        <v/>
      </c>
      <c r="J186" s="194"/>
      <c r="K186" s="194"/>
      <c r="L186" s="194"/>
      <c r="M186" s="194"/>
      <c r="N186" s="257" t="str">
        <f>IF(COUNTBLANK(J186:M186)=4,"",SUM(J186:L186)+IF(Setup!$I$15="No",0,M186))</f>
        <v/>
      </c>
      <c r="O186" s="194"/>
      <c r="P186" s="194"/>
      <c r="Q186" s="194"/>
      <c r="R186" s="194"/>
      <c r="S186" s="257" t="str">
        <f>IF(COUNTBLANK(O186:R186)=4,"",SUM(O186:Q186)+IF(Setup!$I$15="No",0,R186))</f>
        <v/>
      </c>
      <c r="T186" s="194"/>
      <c r="U186" s="194"/>
      <c r="V186" s="194"/>
      <c r="W186" s="194"/>
      <c r="X186" s="257" t="str">
        <f>IF(COUNTBLANK(T186:W186)=4,"",SUM(T186:V186)+IF(Setup!$I$15="No",0,W186))</f>
        <v/>
      </c>
      <c r="Y186" s="194"/>
      <c r="Z186" s="194"/>
      <c r="AA186" s="194"/>
      <c r="AB186" s="194"/>
      <c r="AC186" s="257" t="str">
        <f>IF(COUNTBLANK(Y186:AB186)=4,"",SUM(Y186:AA186)+IF(Setup!$I$15="No",0,AB186))</f>
        <v/>
      </c>
      <c r="AD186" s="194"/>
      <c r="AE186" s="194"/>
      <c r="AF186" s="194"/>
      <c r="AG186" s="194"/>
      <c r="AH186" s="257" t="str">
        <f>IF(COUNTBLANK(AD186:AG186)=4,"",SUM(AD186:AF186)+IF(Setup!$I$15="No",0,AG186))</f>
        <v/>
      </c>
      <c r="AI186" s="194"/>
      <c r="AJ186" s="194"/>
      <c r="AK186" s="194"/>
      <c r="AL186" s="194"/>
      <c r="AM186" s="257" t="str">
        <f>IF(COUNTBLANK(AI186:AL186)=4,"",SUM(AI186:AK186)+IF(Setup!$I$15="No",0,AL186))</f>
        <v/>
      </c>
      <c r="AN186" s="194"/>
      <c r="AO186" s="194"/>
      <c r="AP186" s="194"/>
      <c r="AQ186" s="194"/>
      <c r="AR186" s="257" t="str">
        <f>IF(COUNTBLANK(AN186:AQ186)=4,"",SUM(AN186:AP186)+IF(Setup!$I$15="No",0,AQ186))</f>
        <v/>
      </c>
      <c r="AS186" s="194"/>
      <c r="AT186" s="194"/>
      <c r="AU186" s="194"/>
      <c r="AV186" s="194"/>
      <c r="AW186" s="257" t="str">
        <f>IF(COUNTBLANK(AS186:AV186)=4,"",SUM(AS186:AU186)+IF(Setup!$I$15="No",0,AV186))</f>
        <v/>
      </c>
      <c r="AX186" s="194"/>
      <c r="AY186" s="194"/>
      <c r="AZ186" s="194"/>
      <c r="BA186" s="194"/>
      <c r="BB186" s="257" t="str">
        <f>IF(COUNTBLANK(AX186:BA186)=4,"",SUM(AX186:AZ186)+IF(Setup!$I$15="No",0,BA186))</f>
        <v/>
      </c>
      <c r="BC186" s="261" t="str">
        <f ca="1">IF('Demand background (hide)'!A177=Num_Modalities,"",SUM(Demand!I186, Demand!N186))</f>
        <v/>
      </c>
      <c r="BD186" s="261" t="str">
        <f ca="1">IF(AND(A186&lt;=MaxRows,BE186&lt;&gt;"Yes"),'Demand background (hide)'!X177+IF(Setup!$I$15="Yes",'Demand background (hide)'!AJ177,0),"")</f>
        <v/>
      </c>
      <c r="BE186" s="211"/>
    </row>
    <row r="187" spans="1:57" ht="15" x14ac:dyDescent="0.25">
      <c r="A187" t="str">
        <f t="shared" ca="1" si="8"/>
        <v/>
      </c>
      <c r="B187" s="266" t="str">
        <f t="shared" ca="1" si="9"/>
        <v xml:space="preserve"> </v>
      </c>
      <c r="C187" s="267" t="str">
        <f t="shared" ca="1" si="10"/>
        <v/>
      </c>
      <c r="D187" s="424" t="str">
        <f t="shared" ca="1" si="11"/>
        <v/>
      </c>
      <c r="E187" s="194"/>
      <c r="F187" s="194"/>
      <c r="G187" s="194"/>
      <c r="H187" s="194"/>
      <c r="I187" s="253" t="str">
        <f>IF(COUNTBLANK(E187:H187)=4,"",SUM(E187:G187)+IF(Setup!$I$15="No",0,H187))</f>
        <v/>
      </c>
      <c r="J187" s="194"/>
      <c r="K187" s="194"/>
      <c r="L187" s="194"/>
      <c r="M187" s="194"/>
      <c r="N187" s="257" t="str">
        <f>IF(COUNTBLANK(J187:M187)=4,"",SUM(J187:L187)+IF(Setup!$I$15="No",0,M187))</f>
        <v/>
      </c>
      <c r="O187" s="194"/>
      <c r="P187" s="194"/>
      <c r="Q187" s="194"/>
      <c r="R187" s="194"/>
      <c r="S187" s="257" t="str">
        <f>IF(COUNTBLANK(O187:R187)=4,"",SUM(O187:Q187)+IF(Setup!$I$15="No",0,R187))</f>
        <v/>
      </c>
      <c r="T187" s="194"/>
      <c r="U187" s="194"/>
      <c r="V187" s="194"/>
      <c r="W187" s="194"/>
      <c r="X187" s="257" t="str">
        <f>IF(COUNTBLANK(T187:W187)=4,"",SUM(T187:V187)+IF(Setup!$I$15="No",0,W187))</f>
        <v/>
      </c>
      <c r="Y187" s="194"/>
      <c r="Z187" s="194"/>
      <c r="AA187" s="194"/>
      <c r="AB187" s="194"/>
      <c r="AC187" s="257" t="str">
        <f>IF(COUNTBLANK(Y187:AB187)=4,"",SUM(Y187:AA187)+IF(Setup!$I$15="No",0,AB187))</f>
        <v/>
      </c>
      <c r="AD187" s="194"/>
      <c r="AE187" s="194"/>
      <c r="AF187" s="194"/>
      <c r="AG187" s="194"/>
      <c r="AH187" s="257" t="str">
        <f>IF(COUNTBLANK(AD187:AG187)=4,"",SUM(AD187:AF187)+IF(Setup!$I$15="No",0,AG187))</f>
        <v/>
      </c>
      <c r="AI187" s="194"/>
      <c r="AJ187" s="194"/>
      <c r="AK187" s="194"/>
      <c r="AL187" s="194"/>
      <c r="AM187" s="257" t="str">
        <f>IF(COUNTBLANK(AI187:AL187)=4,"",SUM(AI187:AK187)+IF(Setup!$I$15="No",0,AL187))</f>
        <v/>
      </c>
      <c r="AN187" s="194"/>
      <c r="AO187" s="194"/>
      <c r="AP187" s="194"/>
      <c r="AQ187" s="194"/>
      <c r="AR187" s="257" t="str">
        <f>IF(COUNTBLANK(AN187:AQ187)=4,"",SUM(AN187:AP187)+IF(Setup!$I$15="No",0,AQ187))</f>
        <v/>
      </c>
      <c r="AS187" s="194"/>
      <c r="AT187" s="194"/>
      <c r="AU187" s="194"/>
      <c r="AV187" s="194"/>
      <c r="AW187" s="257" t="str">
        <f>IF(COUNTBLANK(AS187:AV187)=4,"",SUM(AS187:AU187)+IF(Setup!$I$15="No",0,AV187))</f>
        <v/>
      </c>
      <c r="AX187" s="194"/>
      <c r="AY187" s="194"/>
      <c r="AZ187" s="194"/>
      <c r="BA187" s="194"/>
      <c r="BB187" s="257" t="str">
        <f>IF(COUNTBLANK(AX187:BA187)=4,"",SUM(AX187:AZ187)+IF(Setup!$I$15="No",0,BA187))</f>
        <v/>
      </c>
      <c r="BC187" s="261" t="str">
        <f ca="1">IF('Demand background (hide)'!A178=Num_Modalities,"",SUM(Demand!I187, Demand!N187))</f>
        <v/>
      </c>
      <c r="BD187" s="261" t="str">
        <f ca="1">IF(AND(A187&lt;=MaxRows,BE187&lt;&gt;"Yes"),'Demand background (hide)'!X178+IF(Setup!$I$15="Yes",'Demand background (hide)'!AJ178,0),"")</f>
        <v/>
      </c>
      <c r="BE187" s="211"/>
    </row>
    <row r="188" spans="1:57" ht="15" x14ac:dyDescent="0.25">
      <c r="A188" t="str">
        <f t="shared" ca="1" si="8"/>
        <v/>
      </c>
      <c r="B188" s="266" t="str">
        <f t="shared" ca="1" si="9"/>
        <v xml:space="preserve"> </v>
      </c>
      <c r="C188" s="267" t="str">
        <f t="shared" ca="1" si="10"/>
        <v/>
      </c>
      <c r="D188" s="424" t="str">
        <f t="shared" ca="1" si="11"/>
        <v/>
      </c>
      <c r="E188" s="194"/>
      <c r="F188" s="194"/>
      <c r="G188" s="194"/>
      <c r="H188" s="194"/>
      <c r="I188" s="253" t="str">
        <f>IF(COUNTBLANK(E188:H188)=4,"",SUM(E188:G188)+IF(Setup!$I$15="No",0,H188))</f>
        <v/>
      </c>
      <c r="J188" s="194"/>
      <c r="K188" s="194"/>
      <c r="L188" s="194"/>
      <c r="M188" s="194"/>
      <c r="N188" s="257" t="str">
        <f>IF(COUNTBLANK(J188:M188)=4,"",SUM(J188:L188)+IF(Setup!$I$15="No",0,M188))</f>
        <v/>
      </c>
      <c r="O188" s="194"/>
      <c r="P188" s="194"/>
      <c r="Q188" s="194"/>
      <c r="R188" s="194"/>
      <c r="S188" s="257" t="str">
        <f>IF(COUNTBLANK(O188:R188)=4,"",SUM(O188:Q188)+IF(Setup!$I$15="No",0,R188))</f>
        <v/>
      </c>
      <c r="T188" s="194"/>
      <c r="U188" s="194"/>
      <c r="V188" s="194"/>
      <c r="W188" s="194"/>
      <c r="X188" s="257" t="str">
        <f>IF(COUNTBLANK(T188:W188)=4,"",SUM(T188:V188)+IF(Setup!$I$15="No",0,W188))</f>
        <v/>
      </c>
      <c r="Y188" s="194"/>
      <c r="Z188" s="194"/>
      <c r="AA188" s="194"/>
      <c r="AB188" s="194"/>
      <c r="AC188" s="257" t="str">
        <f>IF(COUNTBLANK(Y188:AB188)=4,"",SUM(Y188:AA188)+IF(Setup!$I$15="No",0,AB188))</f>
        <v/>
      </c>
      <c r="AD188" s="194"/>
      <c r="AE188" s="194"/>
      <c r="AF188" s="194"/>
      <c r="AG188" s="194"/>
      <c r="AH188" s="257" t="str">
        <f>IF(COUNTBLANK(AD188:AG188)=4,"",SUM(AD188:AF188)+IF(Setup!$I$15="No",0,AG188))</f>
        <v/>
      </c>
      <c r="AI188" s="194"/>
      <c r="AJ188" s="194"/>
      <c r="AK188" s="194"/>
      <c r="AL188" s="194"/>
      <c r="AM188" s="257" t="str">
        <f>IF(COUNTBLANK(AI188:AL188)=4,"",SUM(AI188:AK188)+IF(Setup!$I$15="No",0,AL188))</f>
        <v/>
      </c>
      <c r="AN188" s="194"/>
      <c r="AO188" s="194"/>
      <c r="AP188" s="194"/>
      <c r="AQ188" s="194"/>
      <c r="AR188" s="257" t="str">
        <f>IF(COUNTBLANK(AN188:AQ188)=4,"",SUM(AN188:AP188)+IF(Setup!$I$15="No",0,AQ188))</f>
        <v/>
      </c>
      <c r="AS188" s="194"/>
      <c r="AT188" s="194"/>
      <c r="AU188" s="194"/>
      <c r="AV188" s="194"/>
      <c r="AW188" s="257" t="str">
        <f>IF(COUNTBLANK(AS188:AV188)=4,"",SUM(AS188:AU188)+IF(Setup!$I$15="No",0,AV188))</f>
        <v/>
      </c>
      <c r="AX188" s="194"/>
      <c r="AY188" s="194"/>
      <c r="AZ188" s="194"/>
      <c r="BA188" s="194"/>
      <c r="BB188" s="257" t="str">
        <f>IF(COUNTBLANK(AX188:BA188)=4,"",SUM(AX188:AZ188)+IF(Setup!$I$15="No",0,BA188))</f>
        <v/>
      </c>
      <c r="BC188" s="261" t="str">
        <f ca="1">IF('Demand background (hide)'!A179=Num_Modalities,"",SUM(Demand!I188, Demand!N188))</f>
        <v/>
      </c>
      <c r="BD188" s="261" t="str">
        <f ca="1">IF(AND(A188&lt;=MaxRows,BE188&lt;&gt;"Yes"),'Demand background (hide)'!X179+IF(Setup!$I$15="Yes",'Demand background (hide)'!AJ179,0),"")</f>
        <v/>
      </c>
      <c r="BE188" s="211"/>
    </row>
    <row r="189" spans="1:57" ht="15" x14ac:dyDescent="0.25">
      <c r="A189" t="str">
        <f t="shared" ca="1" si="8"/>
        <v/>
      </c>
      <c r="B189" s="266" t="str">
        <f t="shared" ca="1" si="9"/>
        <v xml:space="preserve"> </v>
      </c>
      <c r="C189" s="267" t="str">
        <f t="shared" ca="1" si="10"/>
        <v/>
      </c>
      <c r="D189" s="424" t="str">
        <f t="shared" ca="1" si="11"/>
        <v/>
      </c>
      <c r="E189" s="194"/>
      <c r="F189" s="194"/>
      <c r="G189" s="194"/>
      <c r="H189" s="194"/>
      <c r="I189" s="253" t="str">
        <f>IF(COUNTBLANK(E189:H189)=4,"",SUM(E189:G189)+IF(Setup!$I$15="No",0,H189))</f>
        <v/>
      </c>
      <c r="J189" s="194"/>
      <c r="K189" s="194"/>
      <c r="L189" s="194"/>
      <c r="M189" s="194"/>
      <c r="N189" s="257" t="str">
        <f>IF(COUNTBLANK(J189:M189)=4,"",SUM(J189:L189)+IF(Setup!$I$15="No",0,M189))</f>
        <v/>
      </c>
      <c r="O189" s="194"/>
      <c r="P189" s="194"/>
      <c r="Q189" s="194"/>
      <c r="R189" s="194"/>
      <c r="S189" s="257" t="str">
        <f>IF(COUNTBLANK(O189:R189)=4,"",SUM(O189:Q189)+IF(Setup!$I$15="No",0,R189))</f>
        <v/>
      </c>
      <c r="T189" s="194"/>
      <c r="U189" s="194"/>
      <c r="V189" s="194"/>
      <c r="W189" s="194"/>
      <c r="X189" s="257" t="str">
        <f>IF(COUNTBLANK(T189:W189)=4,"",SUM(T189:V189)+IF(Setup!$I$15="No",0,W189))</f>
        <v/>
      </c>
      <c r="Y189" s="194"/>
      <c r="Z189" s="194"/>
      <c r="AA189" s="194"/>
      <c r="AB189" s="194"/>
      <c r="AC189" s="257" t="str">
        <f>IF(COUNTBLANK(Y189:AB189)=4,"",SUM(Y189:AA189)+IF(Setup!$I$15="No",0,AB189))</f>
        <v/>
      </c>
      <c r="AD189" s="194"/>
      <c r="AE189" s="194"/>
      <c r="AF189" s="194"/>
      <c r="AG189" s="194"/>
      <c r="AH189" s="257" t="str">
        <f>IF(COUNTBLANK(AD189:AG189)=4,"",SUM(AD189:AF189)+IF(Setup!$I$15="No",0,AG189))</f>
        <v/>
      </c>
      <c r="AI189" s="194"/>
      <c r="AJ189" s="194"/>
      <c r="AK189" s="194"/>
      <c r="AL189" s="194"/>
      <c r="AM189" s="257" t="str">
        <f>IF(COUNTBLANK(AI189:AL189)=4,"",SUM(AI189:AK189)+IF(Setup!$I$15="No",0,AL189))</f>
        <v/>
      </c>
      <c r="AN189" s="194"/>
      <c r="AO189" s="194"/>
      <c r="AP189" s="194"/>
      <c r="AQ189" s="194"/>
      <c r="AR189" s="257" t="str">
        <f>IF(COUNTBLANK(AN189:AQ189)=4,"",SUM(AN189:AP189)+IF(Setup!$I$15="No",0,AQ189))</f>
        <v/>
      </c>
      <c r="AS189" s="194"/>
      <c r="AT189" s="194"/>
      <c r="AU189" s="194"/>
      <c r="AV189" s="194"/>
      <c r="AW189" s="257" t="str">
        <f>IF(COUNTBLANK(AS189:AV189)=4,"",SUM(AS189:AU189)+IF(Setup!$I$15="No",0,AV189))</f>
        <v/>
      </c>
      <c r="AX189" s="194"/>
      <c r="AY189" s="194"/>
      <c r="AZ189" s="194"/>
      <c r="BA189" s="194"/>
      <c r="BB189" s="257" t="str">
        <f>IF(COUNTBLANK(AX189:BA189)=4,"",SUM(AX189:AZ189)+IF(Setup!$I$15="No",0,BA189))</f>
        <v/>
      </c>
      <c r="BC189" s="261" t="str">
        <f ca="1">IF('Demand background (hide)'!A180=Num_Modalities,"",SUM(Demand!I189, Demand!N189))</f>
        <v/>
      </c>
      <c r="BD189" s="261" t="str">
        <f ca="1">IF(AND(A189&lt;=MaxRows,BE189&lt;&gt;"Yes"),'Demand background (hide)'!X180+IF(Setup!$I$15="Yes",'Demand background (hide)'!AJ180,0),"")</f>
        <v/>
      </c>
      <c r="BE189" s="211"/>
    </row>
    <row r="190" spans="1:57" ht="15" x14ac:dyDescent="0.25">
      <c r="A190" t="str">
        <f t="shared" ca="1" si="8"/>
        <v/>
      </c>
      <c r="B190" s="266" t="str">
        <f t="shared" ca="1" si="9"/>
        <v xml:space="preserve"> </v>
      </c>
      <c r="C190" s="267" t="str">
        <f t="shared" ca="1" si="10"/>
        <v/>
      </c>
      <c r="D190" s="424" t="str">
        <f t="shared" ca="1" si="11"/>
        <v/>
      </c>
      <c r="E190" s="194"/>
      <c r="F190" s="194"/>
      <c r="G190" s="194"/>
      <c r="H190" s="194"/>
      <c r="I190" s="253" t="str">
        <f>IF(COUNTBLANK(E190:H190)=4,"",SUM(E190:G190)+IF(Setup!$I$15="No",0,H190))</f>
        <v/>
      </c>
      <c r="J190" s="194"/>
      <c r="K190" s="194"/>
      <c r="L190" s="194"/>
      <c r="M190" s="194"/>
      <c r="N190" s="257" t="str">
        <f>IF(COUNTBLANK(J190:M190)=4,"",SUM(J190:L190)+IF(Setup!$I$15="No",0,M190))</f>
        <v/>
      </c>
      <c r="O190" s="194"/>
      <c r="P190" s="194"/>
      <c r="Q190" s="194"/>
      <c r="R190" s="194"/>
      <c r="S190" s="257" t="str">
        <f>IF(COUNTBLANK(O190:R190)=4,"",SUM(O190:Q190)+IF(Setup!$I$15="No",0,R190))</f>
        <v/>
      </c>
      <c r="T190" s="194"/>
      <c r="U190" s="194"/>
      <c r="V190" s="194"/>
      <c r="W190" s="194"/>
      <c r="X190" s="257" t="str">
        <f>IF(COUNTBLANK(T190:W190)=4,"",SUM(T190:V190)+IF(Setup!$I$15="No",0,W190))</f>
        <v/>
      </c>
      <c r="Y190" s="194"/>
      <c r="Z190" s="194"/>
      <c r="AA190" s="194"/>
      <c r="AB190" s="194"/>
      <c r="AC190" s="257" t="str">
        <f>IF(COUNTBLANK(Y190:AB190)=4,"",SUM(Y190:AA190)+IF(Setup!$I$15="No",0,AB190))</f>
        <v/>
      </c>
      <c r="AD190" s="194"/>
      <c r="AE190" s="194"/>
      <c r="AF190" s="194"/>
      <c r="AG190" s="194"/>
      <c r="AH190" s="257" t="str">
        <f>IF(COUNTBLANK(AD190:AG190)=4,"",SUM(AD190:AF190)+IF(Setup!$I$15="No",0,AG190))</f>
        <v/>
      </c>
      <c r="AI190" s="194"/>
      <c r="AJ190" s="194"/>
      <c r="AK190" s="194"/>
      <c r="AL190" s="194"/>
      <c r="AM190" s="257" t="str">
        <f>IF(COUNTBLANK(AI190:AL190)=4,"",SUM(AI190:AK190)+IF(Setup!$I$15="No",0,AL190))</f>
        <v/>
      </c>
      <c r="AN190" s="194"/>
      <c r="AO190" s="194"/>
      <c r="AP190" s="194"/>
      <c r="AQ190" s="194"/>
      <c r="AR190" s="257" t="str">
        <f>IF(COUNTBLANK(AN190:AQ190)=4,"",SUM(AN190:AP190)+IF(Setup!$I$15="No",0,AQ190))</f>
        <v/>
      </c>
      <c r="AS190" s="194"/>
      <c r="AT190" s="194"/>
      <c r="AU190" s="194"/>
      <c r="AV190" s="194"/>
      <c r="AW190" s="257" t="str">
        <f>IF(COUNTBLANK(AS190:AV190)=4,"",SUM(AS190:AU190)+IF(Setup!$I$15="No",0,AV190))</f>
        <v/>
      </c>
      <c r="AX190" s="194"/>
      <c r="AY190" s="194"/>
      <c r="AZ190" s="194"/>
      <c r="BA190" s="194"/>
      <c r="BB190" s="257" t="str">
        <f>IF(COUNTBLANK(AX190:BA190)=4,"",SUM(AX190:AZ190)+IF(Setup!$I$15="No",0,BA190))</f>
        <v/>
      </c>
      <c r="BC190" s="261" t="str">
        <f ca="1">IF('Demand background (hide)'!A181=Num_Modalities,"",SUM(Demand!I190, Demand!N190))</f>
        <v/>
      </c>
      <c r="BD190" s="261" t="str">
        <f ca="1">IF(AND(A190&lt;=MaxRows,BE190&lt;&gt;"Yes"),'Demand background (hide)'!X181+IF(Setup!$I$15="Yes",'Demand background (hide)'!AJ181,0),"")</f>
        <v/>
      </c>
      <c r="BE190" s="211"/>
    </row>
    <row r="191" spans="1:57" ht="15" x14ac:dyDescent="0.25">
      <c r="A191" t="str">
        <f t="shared" ca="1" si="8"/>
        <v/>
      </c>
      <c r="B191" s="266" t="str">
        <f t="shared" ca="1" si="9"/>
        <v xml:space="preserve"> </v>
      </c>
      <c r="C191" s="267" t="str">
        <f t="shared" ca="1" si="10"/>
        <v/>
      </c>
      <c r="D191" s="424" t="str">
        <f t="shared" ca="1" si="11"/>
        <v/>
      </c>
      <c r="E191" s="194"/>
      <c r="F191" s="194"/>
      <c r="G191" s="194"/>
      <c r="H191" s="194"/>
      <c r="I191" s="253" t="str">
        <f>IF(COUNTBLANK(E191:H191)=4,"",SUM(E191:G191)+IF(Setup!$I$15="No",0,H191))</f>
        <v/>
      </c>
      <c r="J191" s="194"/>
      <c r="K191" s="194"/>
      <c r="L191" s="194"/>
      <c r="M191" s="194"/>
      <c r="N191" s="257" t="str">
        <f>IF(COUNTBLANK(J191:M191)=4,"",SUM(J191:L191)+IF(Setup!$I$15="No",0,M191))</f>
        <v/>
      </c>
      <c r="O191" s="194"/>
      <c r="P191" s="194"/>
      <c r="Q191" s="194"/>
      <c r="R191" s="194"/>
      <c r="S191" s="257" t="str">
        <f>IF(COUNTBLANK(O191:R191)=4,"",SUM(O191:Q191)+IF(Setup!$I$15="No",0,R191))</f>
        <v/>
      </c>
      <c r="T191" s="194"/>
      <c r="U191" s="194"/>
      <c r="V191" s="194"/>
      <c r="W191" s="194"/>
      <c r="X191" s="257" t="str">
        <f>IF(COUNTBLANK(T191:W191)=4,"",SUM(T191:V191)+IF(Setup!$I$15="No",0,W191))</f>
        <v/>
      </c>
      <c r="Y191" s="194"/>
      <c r="Z191" s="194"/>
      <c r="AA191" s="194"/>
      <c r="AB191" s="194"/>
      <c r="AC191" s="257" t="str">
        <f>IF(COUNTBLANK(Y191:AB191)=4,"",SUM(Y191:AA191)+IF(Setup!$I$15="No",0,AB191))</f>
        <v/>
      </c>
      <c r="AD191" s="194"/>
      <c r="AE191" s="194"/>
      <c r="AF191" s="194"/>
      <c r="AG191" s="194"/>
      <c r="AH191" s="257" t="str">
        <f>IF(COUNTBLANK(AD191:AG191)=4,"",SUM(AD191:AF191)+IF(Setup!$I$15="No",0,AG191))</f>
        <v/>
      </c>
      <c r="AI191" s="194"/>
      <c r="AJ191" s="194"/>
      <c r="AK191" s="194"/>
      <c r="AL191" s="194"/>
      <c r="AM191" s="257" t="str">
        <f>IF(COUNTBLANK(AI191:AL191)=4,"",SUM(AI191:AK191)+IF(Setup!$I$15="No",0,AL191))</f>
        <v/>
      </c>
      <c r="AN191" s="194"/>
      <c r="AO191" s="194"/>
      <c r="AP191" s="194"/>
      <c r="AQ191" s="194"/>
      <c r="AR191" s="257" t="str">
        <f>IF(COUNTBLANK(AN191:AQ191)=4,"",SUM(AN191:AP191)+IF(Setup!$I$15="No",0,AQ191))</f>
        <v/>
      </c>
      <c r="AS191" s="194"/>
      <c r="AT191" s="194"/>
      <c r="AU191" s="194"/>
      <c r="AV191" s="194"/>
      <c r="AW191" s="257" t="str">
        <f>IF(COUNTBLANK(AS191:AV191)=4,"",SUM(AS191:AU191)+IF(Setup!$I$15="No",0,AV191))</f>
        <v/>
      </c>
      <c r="AX191" s="194"/>
      <c r="AY191" s="194"/>
      <c r="AZ191" s="194"/>
      <c r="BA191" s="194"/>
      <c r="BB191" s="257" t="str">
        <f>IF(COUNTBLANK(AX191:BA191)=4,"",SUM(AX191:AZ191)+IF(Setup!$I$15="No",0,BA191))</f>
        <v/>
      </c>
      <c r="BC191" s="261" t="str">
        <f ca="1">IF('Demand background (hide)'!A182=Num_Modalities,"",SUM(Demand!I191, Demand!N191))</f>
        <v/>
      </c>
      <c r="BD191" s="261" t="str">
        <f ca="1">IF(AND(A191&lt;=MaxRows,BE191&lt;&gt;"Yes"),'Demand background (hide)'!X182+IF(Setup!$I$15="Yes",'Demand background (hide)'!AJ182,0),"")</f>
        <v/>
      </c>
      <c r="BE191" s="211"/>
    </row>
    <row r="192" spans="1:57" ht="15" x14ac:dyDescent="0.25">
      <c r="A192" t="str">
        <f t="shared" ca="1" si="8"/>
        <v/>
      </c>
      <c r="B192" s="266" t="str">
        <f t="shared" ca="1" si="9"/>
        <v xml:space="preserve"> </v>
      </c>
      <c r="C192" s="267" t="str">
        <f t="shared" ca="1" si="10"/>
        <v/>
      </c>
      <c r="D192" s="424" t="str">
        <f t="shared" ca="1" si="11"/>
        <v/>
      </c>
      <c r="E192" s="194"/>
      <c r="F192" s="194"/>
      <c r="G192" s="194"/>
      <c r="H192" s="194"/>
      <c r="I192" s="253" t="str">
        <f>IF(COUNTBLANK(E192:H192)=4,"",SUM(E192:G192)+IF(Setup!$I$15="No",0,H192))</f>
        <v/>
      </c>
      <c r="J192" s="194"/>
      <c r="K192" s="194"/>
      <c r="L192" s="194"/>
      <c r="M192" s="194"/>
      <c r="N192" s="257" t="str">
        <f>IF(COUNTBLANK(J192:M192)=4,"",SUM(J192:L192)+IF(Setup!$I$15="No",0,M192))</f>
        <v/>
      </c>
      <c r="O192" s="194"/>
      <c r="P192" s="194"/>
      <c r="Q192" s="194"/>
      <c r="R192" s="194"/>
      <c r="S192" s="257" t="str">
        <f>IF(COUNTBLANK(O192:R192)=4,"",SUM(O192:Q192)+IF(Setup!$I$15="No",0,R192))</f>
        <v/>
      </c>
      <c r="T192" s="194"/>
      <c r="U192" s="194"/>
      <c r="V192" s="194"/>
      <c r="W192" s="194"/>
      <c r="X192" s="257" t="str">
        <f>IF(COUNTBLANK(T192:W192)=4,"",SUM(T192:V192)+IF(Setup!$I$15="No",0,W192))</f>
        <v/>
      </c>
      <c r="Y192" s="194"/>
      <c r="Z192" s="194"/>
      <c r="AA192" s="194"/>
      <c r="AB192" s="194"/>
      <c r="AC192" s="257" t="str">
        <f>IF(COUNTBLANK(Y192:AB192)=4,"",SUM(Y192:AA192)+IF(Setup!$I$15="No",0,AB192))</f>
        <v/>
      </c>
      <c r="AD192" s="194"/>
      <c r="AE192" s="194"/>
      <c r="AF192" s="194"/>
      <c r="AG192" s="194"/>
      <c r="AH192" s="257" t="str">
        <f>IF(COUNTBLANK(AD192:AG192)=4,"",SUM(AD192:AF192)+IF(Setup!$I$15="No",0,AG192))</f>
        <v/>
      </c>
      <c r="AI192" s="194"/>
      <c r="AJ192" s="194"/>
      <c r="AK192" s="194"/>
      <c r="AL192" s="194"/>
      <c r="AM192" s="257" t="str">
        <f>IF(COUNTBLANK(AI192:AL192)=4,"",SUM(AI192:AK192)+IF(Setup!$I$15="No",0,AL192))</f>
        <v/>
      </c>
      <c r="AN192" s="194"/>
      <c r="AO192" s="194"/>
      <c r="AP192" s="194"/>
      <c r="AQ192" s="194"/>
      <c r="AR192" s="257" t="str">
        <f>IF(COUNTBLANK(AN192:AQ192)=4,"",SUM(AN192:AP192)+IF(Setup!$I$15="No",0,AQ192))</f>
        <v/>
      </c>
      <c r="AS192" s="194"/>
      <c r="AT192" s="194"/>
      <c r="AU192" s="194"/>
      <c r="AV192" s="194"/>
      <c r="AW192" s="257" t="str">
        <f>IF(COUNTBLANK(AS192:AV192)=4,"",SUM(AS192:AU192)+IF(Setup!$I$15="No",0,AV192))</f>
        <v/>
      </c>
      <c r="AX192" s="194"/>
      <c r="AY192" s="194"/>
      <c r="AZ192" s="194"/>
      <c r="BA192" s="194"/>
      <c r="BB192" s="257" t="str">
        <f>IF(COUNTBLANK(AX192:BA192)=4,"",SUM(AX192:AZ192)+IF(Setup!$I$15="No",0,BA192))</f>
        <v/>
      </c>
      <c r="BC192" s="261" t="str">
        <f ca="1">IF('Demand background (hide)'!A183=Num_Modalities,"",SUM(Demand!I192, Demand!N192))</f>
        <v/>
      </c>
      <c r="BD192" s="261" t="str">
        <f ca="1">IF(AND(A192&lt;=MaxRows,BE192&lt;&gt;"Yes"),'Demand background (hide)'!X183+IF(Setup!$I$15="Yes",'Demand background (hide)'!AJ183,0),"")</f>
        <v/>
      </c>
      <c r="BE192" s="211"/>
    </row>
    <row r="193" spans="1:57" ht="15" x14ac:dyDescent="0.25">
      <c r="A193" t="str">
        <f t="shared" ca="1" si="8"/>
        <v/>
      </c>
      <c r="B193" s="266" t="str">
        <f t="shared" ca="1" si="9"/>
        <v xml:space="preserve"> </v>
      </c>
      <c r="C193" s="267" t="str">
        <f t="shared" ca="1" si="10"/>
        <v/>
      </c>
      <c r="D193" s="424" t="str">
        <f t="shared" ca="1" si="11"/>
        <v/>
      </c>
      <c r="E193" s="194"/>
      <c r="F193" s="194"/>
      <c r="G193" s="194"/>
      <c r="H193" s="194"/>
      <c r="I193" s="253" t="str">
        <f>IF(COUNTBLANK(E193:H193)=4,"",SUM(E193:G193)+IF(Setup!$I$15="No",0,H193))</f>
        <v/>
      </c>
      <c r="J193" s="194"/>
      <c r="K193" s="194"/>
      <c r="L193" s="194"/>
      <c r="M193" s="194"/>
      <c r="N193" s="257" t="str">
        <f>IF(COUNTBLANK(J193:M193)=4,"",SUM(J193:L193)+IF(Setup!$I$15="No",0,M193))</f>
        <v/>
      </c>
      <c r="O193" s="194"/>
      <c r="P193" s="194"/>
      <c r="Q193" s="194"/>
      <c r="R193" s="194"/>
      <c r="S193" s="257" t="str">
        <f>IF(COUNTBLANK(O193:R193)=4,"",SUM(O193:Q193)+IF(Setup!$I$15="No",0,R193))</f>
        <v/>
      </c>
      <c r="T193" s="194"/>
      <c r="U193" s="194"/>
      <c r="V193" s="194"/>
      <c r="W193" s="194"/>
      <c r="X193" s="257" t="str">
        <f>IF(COUNTBLANK(T193:W193)=4,"",SUM(T193:V193)+IF(Setup!$I$15="No",0,W193))</f>
        <v/>
      </c>
      <c r="Y193" s="194"/>
      <c r="Z193" s="194"/>
      <c r="AA193" s="194"/>
      <c r="AB193" s="194"/>
      <c r="AC193" s="257" t="str">
        <f>IF(COUNTBLANK(Y193:AB193)=4,"",SUM(Y193:AA193)+IF(Setup!$I$15="No",0,AB193))</f>
        <v/>
      </c>
      <c r="AD193" s="194"/>
      <c r="AE193" s="194"/>
      <c r="AF193" s="194"/>
      <c r="AG193" s="194"/>
      <c r="AH193" s="257" t="str">
        <f>IF(COUNTBLANK(AD193:AG193)=4,"",SUM(AD193:AF193)+IF(Setup!$I$15="No",0,AG193))</f>
        <v/>
      </c>
      <c r="AI193" s="194"/>
      <c r="AJ193" s="194"/>
      <c r="AK193" s="194"/>
      <c r="AL193" s="194"/>
      <c r="AM193" s="257" t="str">
        <f>IF(COUNTBLANK(AI193:AL193)=4,"",SUM(AI193:AK193)+IF(Setup!$I$15="No",0,AL193))</f>
        <v/>
      </c>
      <c r="AN193" s="194"/>
      <c r="AO193" s="194"/>
      <c r="AP193" s="194"/>
      <c r="AQ193" s="194"/>
      <c r="AR193" s="257" t="str">
        <f>IF(COUNTBLANK(AN193:AQ193)=4,"",SUM(AN193:AP193)+IF(Setup!$I$15="No",0,AQ193))</f>
        <v/>
      </c>
      <c r="AS193" s="194"/>
      <c r="AT193" s="194"/>
      <c r="AU193" s="194"/>
      <c r="AV193" s="194"/>
      <c r="AW193" s="257" t="str">
        <f>IF(COUNTBLANK(AS193:AV193)=4,"",SUM(AS193:AU193)+IF(Setup!$I$15="No",0,AV193))</f>
        <v/>
      </c>
      <c r="AX193" s="194"/>
      <c r="AY193" s="194"/>
      <c r="AZ193" s="194"/>
      <c r="BA193" s="194"/>
      <c r="BB193" s="257" t="str">
        <f>IF(COUNTBLANK(AX193:BA193)=4,"",SUM(AX193:AZ193)+IF(Setup!$I$15="No",0,BA193))</f>
        <v/>
      </c>
      <c r="BC193" s="261" t="str">
        <f ca="1">IF('Demand background (hide)'!A184=Num_Modalities,"",SUM(Demand!I193, Demand!N193))</f>
        <v/>
      </c>
      <c r="BD193" s="261" t="str">
        <f ca="1">IF(AND(A193&lt;=MaxRows,BE193&lt;&gt;"Yes"),'Demand background (hide)'!X184+IF(Setup!$I$15="Yes",'Demand background (hide)'!AJ184,0),"")</f>
        <v/>
      </c>
      <c r="BE193" s="211"/>
    </row>
    <row r="194" spans="1:57" ht="15" x14ac:dyDescent="0.25">
      <c r="A194" t="str">
        <f t="shared" ca="1" si="8"/>
        <v/>
      </c>
      <c r="B194" s="266" t="str">
        <f t="shared" ca="1" si="9"/>
        <v xml:space="preserve"> </v>
      </c>
      <c r="C194" s="267" t="str">
        <f t="shared" ca="1" si="10"/>
        <v/>
      </c>
      <c r="D194" s="424" t="str">
        <f t="shared" ca="1" si="11"/>
        <v/>
      </c>
      <c r="E194" s="194"/>
      <c r="F194" s="194"/>
      <c r="G194" s="194"/>
      <c r="H194" s="194"/>
      <c r="I194" s="253" t="str">
        <f>IF(COUNTBLANK(E194:H194)=4,"",SUM(E194:G194)+IF(Setup!$I$15="No",0,H194))</f>
        <v/>
      </c>
      <c r="J194" s="194"/>
      <c r="K194" s="194"/>
      <c r="L194" s="194"/>
      <c r="M194" s="194"/>
      <c r="N194" s="257" t="str">
        <f>IF(COUNTBLANK(J194:M194)=4,"",SUM(J194:L194)+IF(Setup!$I$15="No",0,M194))</f>
        <v/>
      </c>
      <c r="O194" s="194"/>
      <c r="P194" s="194"/>
      <c r="Q194" s="194"/>
      <c r="R194" s="194"/>
      <c r="S194" s="257" t="str">
        <f>IF(COUNTBLANK(O194:R194)=4,"",SUM(O194:Q194)+IF(Setup!$I$15="No",0,R194))</f>
        <v/>
      </c>
      <c r="T194" s="194"/>
      <c r="U194" s="194"/>
      <c r="V194" s="194"/>
      <c r="W194" s="194"/>
      <c r="X194" s="257" t="str">
        <f>IF(COUNTBLANK(T194:W194)=4,"",SUM(T194:V194)+IF(Setup!$I$15="No",0,W194))</f>
        <v/>
      </c>
      <c r="Y194" s="194"/>
      <c r="Z194" s="194"/>
      <c r="AA194" s="194"/>
      <c r="AB194" s="194"/>
      <c r="AC194" s="257" t="str">
        <f>IF(COUNTBLANK(Y194:AB194)=4,"",SUM(Y194:AA194)+IF(Setup!$I$15="No",0,AB194))</f>
        <v/>
      </c>
      <c r="AD194" s="194"/>
      <c r="AE194" s="194"/>
      <c r="AF194" s="194"/>
      <c r="AG194" s="194"/>
      <c r="AH194" s="257" t="str">
        <f>IF(COUNTBLANK(AD194:AG194)=4,"",SUM(AD194:AF194)+IF(Setup!$I$15="No",0,AG194))</f>
        <v/>
      </c>
      <c r="AI194" s="194"/>
      <c r="AJ194" s="194"/>
      <c r="AK194" s="194"/>
      <c r="AL194" s="194"/>
      <c r="AM194" s="257" t="str">
        <f>IF(COUNTBLANK(AI194:AL194)=4,"",SUM(AI194:AK194)+IF(Setup!$I$15="No",0,AL194))</f>
        <v/>
      </c>
      <c r="AN194" s="194"/>
      <c r="AO194" s="194"/>
      <c r="AP194" s="194"/>
      <c r="AQ194" s="194"/>
      <c r="AR194" s="257" t="str">
        <f>IF(COUNTBLANK(AN194:AQ194)=4,"",SUM(AN194:AP194)+IF(Setup!$I$15="No",0,AQ194))</f>
        <v/>
      </c>
      <c r="AS194" s="194"/>
      <c r="AT194" s="194"/>
      <c r="AU194" s="194"/>
      <c r="AV194" s="194"/>
      <c r="AW194" s="257" t="str">
        <f>IF(COUNTBLANK(AS194:AV194)=4,"",SUM(AS194:AU194)+IF(Setup!$I$15="No",0,AV194))</f>
        <v/>
      </c>
      <c r="AX194" s="194"/>
      <c r="AY194" s="194"/>
      <c r="AZ194" s="194"/>
      <c r="BA194" s="194"/>
      <c r="BB194" s="257" t="str">
        <f>IF(COUNTBLANK(AX194:BA194)=4,"",SUM(AX194:AZ194)+IF(Setup!$I$15="No",0,BA194))</f>
        <v/>
      </c>
      <c r="BC194" s="261" t="str">
        <f ca="1">IF('Demand background (hide)'!A185=Num_Modalities,"",SUM(Demand!I194, Demand!N194))</f>
        <v/>
      </c>
      <c r="BD194" s="261" t="str">
        <f ca="1">IF(AND(A194&lt;=MaxRows,BE194&lt;&gt;"Yes"),'Demand background (hide)'!X185+IF(Setup!$I$15="Yes",'Demand background (hide)'!AJ185,0),"")</f>
        <v/>
      </c>
      <c r="BE194" s="211"/>
    </row>
    <row r="195" spans="1:57" ht="15" x14ac:dyDescent="0.25">
      <c r="A195" t="str">
        <f t="shared" ca="1" si="8"/>
        <v/>
      </c>
      <c r="B195" s="266" t="str">
        <f t="shared" ca="1" si="9"/>
        <v xml:space="preserve"> </v>
      </c>
      <c r="C195" s="267" t="str">
        <f t="shared" ca="1" si="10"/>
        <v/>
      </c>
      <c r="D195" s="424" t="str">
        <f t="shared" ca="1" si="11"/>
        <v/>
      </c>
      <c r="E195" s="194"/>
      <c r="F195" s="194"/>
      <c r="G195" s="194"/>
      <c r="H195" s="194"/>
      <c r="I195" s="253" t="str">
        <f>IF(COUNTBLANK(E195:H195)=4,"",SUM(E195:G195)+IF(Setup!$I$15="No",0,H195))</f>
        <v/>
      </c>
      <c r="J195" s="194"/>
      <c r="K195" s="194"/>
      <c r="L195" s="194"/>
      <c r="M195" s="194"/>
      <c r="N195" s="257" t="str">
        <f>IF(COUNTBLANK(J195:M195)=4,"",SUM(J195:L195)+IF(Setup!$I$15="No",0,M195))</f>
        <v/>
      </c>
      <c r="O195" s="194"/>
      <c r="P195" s="194"/>
      <c r="Q195" s="194"/>
      <c r="R195" s="194"/>
      <c r="S195" s="257" t="str">
        <f>IF(COUNTBLANK(O195:R195)=4,"",SUM(O195:Q195)+IF(Setup!$I$15="No",0,R195))</f>
        <v/>
      </c>
      <c r="T195" s="194"/>
      <c r="U195" s="194"/>
      <c r="V195" s="194"/>
      <c r="W195" s="194"/>
      <c r="X195" s="257" t="str">
        <f>IF(COUNTBLANK(T195:W195)=4,"",SUM(T195:V195)+IF(Setup!$I$15="No",0,W195))</f>
        <v/>
      </c>
      <c r="Y195" s="194"/>
      <c r="Z195" s="194"/>
      <c r="AA195" s="194"/>
      <c r="AB195" s="194"/>
      <c r="AC195" s="257" t="str">
        <f>IF(COUNTBLANK(Y195:AB195)=4,"",SUM(Y195:AA195)+IF(Setup!$I$15="No",0,AB195))</f>
        <v/>
      </c>
      <c r="AD195" s="194"/>
      <c r="AE195" s="194"/>
      <c r="AF195" s="194"/>
      <c r="AG195" s="194"/>
      <c r="AH195" s="257" t="str">
        <f>IF(COUNTBLANK(AD195:AG195)=4,"",SUM(AD195:AF195)+IF(Setup!$I$15="No",0,AG195))</f>
        <v/>
      </c>
      <c r="AI195" s="194"/>
      <c r="AJ195" s="194"/>
      <c r="AK195" s="194"/>
      <c r="AL195" s="194"/>
      <c r="AM195" s="257" t="str">
        <f>IF(COUNTBLANK(AI195:AL195)=4,"",SUM(AI195:AK195)+IF(Setup!$I$15="No",0,AL195))</f>
        <v/>
      </c>
      <c r="AN195" s="194"/>
      <c r="AO195" s="194"/>
      <c r="AP195" s="194"/>
      <c r="AQ195" s="194"/>
      <c r="AR195" s="257" t="str">
        <f>IF(COUNTBLANK(AN195:AQ195)=4,"",SUM(AN195:AP195)+IF(Setup!$I$15="No",0,AQ195))</f>
        <v/>
      </c>
      <c r="AS195" s="194"/>
      <c r="AT195" s="194"/>
      <c r="AU195" s="194"/>
      <c r="AV195" s="194"/>
      <c r="AW195" s="257" t="str">
        <f>IF(COUNTBLANK(AS195:AV195)=4,"",SUM(AS195:AU195)+IF(Setup!$I$15="No",0,AV195))</f>
        <v/>
      </c>
      <c r="AX195" s="194"/>
      <c r="AY195" s="194"/>
      <c r="AZ195" s="194"/>
      <c r="BA195" s="194"/>
      <c r="BB195" s="257" t="str">
        <f>IF(COUNTBLANK(AX195:BA195)=4,"",SUM(AX195:AZ195)+IF(Setup!$I$15="No",0,BA195))</f>
        <v/>
      </c>
      <c r="BC195" s="261" t="str">
        <f ca="1">IF('Demand background (hide)'!A186=Num_Modalities,"",SUM(Demand!I195, Demand!N195))</f>
        <v/>
      </c>
      <c r="BD195" s="261" t="str">
        <f ca="1">IF(AND(A195&lt;=MaxRows,BE195&lt;&gt;"Yes"),'Demand background (hide)'!X186+IF(Setup!$I$15="Yes",'Demand background (hide)'!AJ186,0),"")</f>
        <v/>
      </c>
      <c r="BE195" s="211"/>
    </row>
    <row r="196" spans="1:57" ht="15" x14ac:dyDescent="0.25">
      <c r="A196" t="str">
        <f t="shared" ca="1" si="8"/>
        <v/>
      </c>
      <c r="B196" s="266" t="str">
        <f t="shared" ca="1" si="9"/>
        <v xml:space="preserve"> </v>
      </c>
      <c r="C196" s="267" t="str">
        <f t="shared" ca="1" si="10"/>
        <v/>
      </c>
      <c r="D196" s="424" t="str">
        <f t="shared" ca="1" si="11"/>
        <v/>
      </c>
      <c r="E196" s="194"/>
      <c r="F196" s="194"/>
      <c r="G196" s="194"/>
      <c r="H196" s="194"/>
      <c r="I196" s="253" t="str">
        <f>IF(COUNTBLANK(E196:H196)=4,"",SUM(E196:G196)+IF(Setup!$I$15="No",0,H196))</f>
        <v/>
      </c>
      <c r="J196" s="194"/>
      <c r="K196" s="194"/>
      <c r="L196" s="194"/>
      <c r="M196" s="194"/>
      <c r="N196" s="257" t="str">
        <f>IF(COUNTBLANK(J196:M196)=4,"",SUM(J196:L196)+IF(Setup!$I$15="No",0,M196))</f>
        <v/>
      </c>
      <c r="O196" s="194"/>
      <c r="P196" s="194"/>
      <c r="Q196" s="194"/>
      <c r="R196" s="194"/>
      <c r="S196" s="257" t="str">
        <f>IF(COUNTBLANK(O196:R196)=4,"",SUM(O196:Q196)+IF(Setup!$I$15="No",0,R196))</f>
        <v/>
      </c>
      <c r="T196" s="194"/>
      <c r="U196" s="194"/>
      <c r="V196" s="194"/>
      <c r="W196" s="194"/>
      <c r="X196" s="257" t="str">
        <f>IF(COUNTBLANK(T196:W196)=4,"",SUM(T196:V196)+IF(Setup!$I$15="No",0,W196))</f>
        <v/>
      </c>
      <c r="Y196" s="194"/>
      <c r="Z196" s="194"/>
      <c r="AA196" s="194"/>
      <c r="AB196" s="194"/>
      <c r="AC196" s="257" t="str">
        <f>IF(COUNTBLANK(Y196:AB196)=4,"",SUM(Y196:AA196)+IF(Setup!$I$15="No",0,AB196))</f>
        <v/>
      </c>
      <c r="AD196" s="194"/>
      <c r="AE196" s="194"/>
      <c r="AF196" s="194"/>
      <c r="AG196" s="194"/>
      <c r="AH196" s="257" t="str">
        <f>IF(COUNTBLANK(AD196:AG196)=4,"",SUM(AD196:AF196)+IF(Setup!$I$15="No",0,AG196))</f>
        <v/>
      </c>
      <c r="AI196" s="194"/>
      <c r="AJ196" s="194"/>
      <c r="AK196" s="194"/>
      <c r="AL196" s="194"/>
      <c r="AM196" s="257" t="str">
        <f>IF(COUNTBLANK(AI196:AL196)=4,"",SUM(AI196:AK196)+IF(Setup!$I$15="No",0,AL196))</f>
        <v/>
      </c>
      <c r="AN196" s="194"/>
      <c r="AO196" s="194"/>
      <c r="AP196" s="194"/>
      <c r="AQ196" s="194"/>
      <c r="AR196" s="257" t="str">
        <f>IF(COUNTBLANK(AN196:AQ196)=4,"",SUM(AN196:AP196)+IF(Setup!$I$15="No",0,AQ196))</f>
        <v/>
      </c>
      <c r="AS196" s="194"/>
      <c r="AT196" s="194"/>
      <c r="AU196" s="194"/>
      <c r="AV196" s="194"/>
      <c r="AW196" s="257" t="str">
        <f>IF(COUNTBLANK(AS196:AV196)=4,"",SUM(AS196:AU196)+IF(Setup!$I$15="No",0,AV196))</f>
        <v/>
      </c>
      <c r="AX196" s="194"/>
      <c r="AY196" s="194"/>
      <c r="AZ196" s="194"/>
      <c r="BA196" s="194"/>
      <c r="BB196" s="257" t="str">
        <f>IF(COUNTBLANK(AX196:BA196)=4,"",SUM(AX196:AZ196)+IF(Setup!$I$15="No",0,BA196))</f>
        <v/>
      </c>
      <c r="BC196" s="261" t="str">
        <f ca="1">IF('Demand background (hide)'!A187=Num_Modalities,"",SUM(Demand!I196, Demand!N196))</f>
        <v/>
      </c>
      <c r="BD196" s="261" t="str">
        <f ca="1">IF(AND(A196&lt;=MaxRows,BE196&lt;&gt;"Yes"),'Demand background (hide)'!X187+IF(Setup!$I$15="Yes",'Demand background (hide)'!AJ187,0),"")</f>
        <v/>
      </c>
      <c r="BE196" s="211"/>
    </row>
    <row r="197" spans="1:57" ht="15" x14ac:dyDescent="0.25">
      <c r="A197" t="str">
        <f t="shared" ca="1" si="8"/>
        <v/>
      </c>
      <c r="B197" s="266" t="str">
        <f t="shared" ca="1" si="9"/>
        <v xml:space="preserve"> </v>
      </c>
      <c r="C197" s="267" t="str">
        <f t="shared" ca="1" si="10"/>
        <v/>
      </c>
      <c r="D197" s="424" t="str">
        <f t="shared" ca="1" si="11"/>
        <v/>
      </c>
      <c r="E197" s="194"/>
      <c r="F197" s="194"/>
      <c r="G197" s="194"/>
      <c r="H197" s="194"/>
      <c r="I197" s="253" t="str">
        <f>IF(COUNTBLANK(E197:H197)=4,"",SUM(E197:G197)+IF(Setup!$I$15="No",0,H197))</f>
        <v/>
      </c>
      <c r="J197" s="194"/>
      <c r="K197" s="194"/>
      <c r="L197" s="194"/>
      <c r="M197" s="194"/>
      <c r="N197" s="257" t="str">
        <f>IF(COUNTBLANK(J197:M197)=4,"",SUM(J197:L197)+IF(Setup!$I$15="No",0,M197))</f>
        <v/>
      </c>
      <c r="O197" s="194"/>
      <c r="P197" s="194"/>
      <c r="Q197" s="194"/>
      <c r="R197" s="194"/>
      <c r="S197" s="257" t="str">
        <f>IF(COUNTBLANK(O197:R197)=4,"",SUM(O197:Q197)+IF(Setup!$I$15="No",0,R197))</f>
        <v/>
      </c>
      <c r="T197" s="194"/>
      <c r="U197" s="194"/>
      <c r="V197" s="194"/>
      <c r="W197" s="194"/>
      <c r="X197" s="257" t="str">
        <f>IF(COUNTBLANK(T197:W197)=4,"",SUM(T197:V197)+IF(Setup!$I$15="No",0,W197))</f>
        <v/>
      </c>
      <c r="Y197" s="194"/>
      <c r="Z197" s="194"/>
      <c r="AA197" s="194"/>
      <c r="AB197" s="194"/>
      <c r="AC197" s="257" t="str">
        <f>IF(COUNTBLANK(Y197:AB197)=4,"",SUM(Y197:AA197)+IF(Setup!$I$15="No",0,AB197))</f>
        <v/>
      </c>
      <c r="AD197" s="194"/>
      <c r="AE197" s="194"/>
      <c r="AF197" s="194"/>
      <c r="AG197" s="194"/>
      <c r="AH197" s="257" t="str">
        <f>IF(COUNTBLANK(AD197:AG197)=4,"",SUM(AD197:AF197)+IF(Setup!$I$15="No",0,AG197))</f>
        <v/>
      </c>
      <c r="AI197" s="194"/>
      <c r="AJ197" s="194"/>
      <c r="AK197" s="194"/>
      <c r="AL197" s="194"/>
      <c r="AM197" s="257" t="str">
        <f>IF(COUNTBLANK(AI197:AL197)=4,"",SUM(AI197:AK197)+IF(Setup!$I$15="No",0,AL197))</f>
        <v/>
      </c>
      <c r="AN197" s="194"/>
      <c r="AO197" s="194"/>
      <c r="AP197" s="194"/>
      <c r="AQ197" s="194"/>
      <c r="AR197" s="257" t="str">
        <f>IF(COUNTBLANK(AN197:AQ197)=4,"",SUM(AN197:AP197)+IF(Setup!$I$15="No",0,AQ197))</f>
        <v/>
      </c>
      <c r="AS197" s="194"/>
      <c r="AT197" s="194"/>
      <c r="AU197" s="194"/>
      <c r="AV197" s="194"/>
      <c r="AW197" s="257" t="str">
        <f>IF(COUNTBLANK(AS197:AV197)=4,"",SUM(AS197:AU197)+IF(Setup!$I$15="No",0,AV197))</f>
        <v/>
      </c>
      <c r="AX197" s="194"/>
      <c r="AY197" s="194"/>
      <c r="AZ197" s="194"/>
      <c r="BA197" s="194"/>
      <c r="BB197" s="257" t="str">
        <f>IF(COUNTBLANK(AX197:BA197)=4,"",SUM(AX197:AZ197)+IF(Setup!$I$15="No",0,BA197))</f>
        <v/>
      </c>
      <c r="BC197" s="261" t="str">
        <f ca="1">IF('Demand background (hide)'!A188=Num_Modalities,"",SUM(Demand!I197, Demand!N197))</f>
        <v/>
      </c>
      <c r="BD197" s="261" t="str">
        <f ca="1">IF(AND(A197&lt;=MaxRows,BE197&lt;&gt;"Yes"),'Demand background (hide)'!X188+IF(Setup!$I$15="Yes",'Demand background (hide)'!AJ188,0),"")</f>
        <v/>
      </c>
      <c r="BE197" s="211"/>
    </row>
    <row r="198" spans="1:57" ht="15" x14ac:dyDescent="0.25">
      <c r="A198" t="str">
        <f t="shared" ca="1" si="8"/>
        <v/>
      </c>
      <c r="B198" s="266" t="str">
        <f t="shared" ca="1" si="9"/>
        <v xml:space="preserve"> </v>
      </c>
      <c r="C198" s="267" t="str">
        <f t="shared" ca="1" si="10"/>
        <v/>
      </c>
      <c r="D198" s="424" t="str">
        <f t="shared" ca="1" si="11"/>
        <v/>
      </c>
      <c r="E198" s="194"/>
      <c r="F198" s="194"/>
      <c r="G198" s="194"/>
      <c r="H198" s="194"/>
      <c r="I198" s="253" t="str">
        <f>IF(COUNTBLANK(E198:H198)=4,"",SUM(E198:G198)+IF(Setup!$I$15="No",0,H198))</f>
        <v/>
      </c>
      <c r="J198" s="194"/>
      <c r="K198" s="194"/>
      <c r="L198" s="194"/>
      <c r="M198" s="194"/>
      <c r="N198" s="257" t="str">
        <f>IF(COUNTBLANK(J198:M198)=4,"",SUM(J198:L198)+IF(Setup!$I$15="No",0,M198))</f>
        <v/>
      </c>
      <c r="O198" s="194"/>
      <c r="P198" s="194"/>
      <c r="Q198" s="194"/>
      <c r="R198" s="194"/>
      <c r="S198" s="257" t="str">
        <f>IF(COUNTBLANK(O198:R198)=4,"",SUM(O198:Q198)+IF(Setup!$I$15="No",0,R198))</f>
        <v/>
      </c>
      <c r="T198" s="194"/>
      <c r="U198" s="194"/>
      <c r="V198" s="194"/>
      <c r="W198" s="194"/>
      <c r="X198" s="257" t="str">
        <f>IF(COUNTBLANK(T198:W198)=4,"",SUM(T198:V198)+IF(Setup!$I$15="No",0,W198))</f>
        <v/>
      </c>
      <c r="Y198" s="194"/>
      <c r="Z198" s="194"/>
      <c r="AA198" s="194"/>
      <c r="AB198" s="194"/>
      <c r="AC198" s="257" t="str">
        <f>IF(COUNTBLANK(Y198:AB198)=4,"",SUM(Y198:AA198)+IF(Setup!$I$15="No",0,AB198))</f>
        <v/>
      </c>
      <c r="AD198" s="194"/>
      <c r="AE198" s="194"/>
      <c r="AF198" s="194"/>
      <c r="AG198" s="194"/>
      <c r="AH198" s="257" t="str">
        <f>IF(COUNTBLANK(AD198:AG198)=4,"",SUM(AD198:AF198)+IF(Setup!$I$15="No",0,AG198))</f>
        <v/>
      </c>
      <c r="AI198" s="194"/>
      <c r="AJ198" s="194"/>
      <c r="AK198" s="194"/>
      <c r="AL198" s="194"/>
      <c r="AM198" s="257" t="str">
        <f>IF(COUNTBLANK(AI198:AL198)=4,"",SUM(AI198:AK198)+IF(Setup!$I$15="No",0,AL198))</f>
        <v/>
      </c>
      <c r="AN198" s="194"/>
      <c r="AO198" s="194"/>
      <c r="AP198" s="194"/>
      <c r="AQ198" s="194"/>
      <c r="AR198" s="257" t="str">
        <f>IF(COUNTBLANK(AN198:AQ198)=4,"",SUM(AN198:AP198)+IF(Setup!$I$15="No",0,AQ198))</f>
        <v/>
      </c>
      <c r="AS198" s="194"/>
      <c r="AT198" s="194"/>
      <c r="AU198" s="194"/>
      <c r="AV198" s="194"/>
      <c r="AW198" s="257" t="str">
        <f>IF(COUNTBLANK(AS198:AV198)=4,"",SUM(AS198:AU198)+IF(Setup!$I$15="No",0,AV198))</f>
        <v/>
      </c>
      <c r="AX198" s="194"/>
      <c r="AY198" s="194"/>
      <c r="AZ198" s="194"/>
      <c r="BA198" s="194"/>
      <c r="BB198" s="257" t="str">
        <f>IF(COUNTBLANK(AX198:BA198)=4,"",SUM(AX198:AZ198)+IF(Setup!$I$15="No",0,BA198))</f>
        <v/>
      </c>
      <c r="BC198" s="261" t="str">
        <f ca="1">IF('Demand background (hide)'!A189=Num_Modalities,"",SUM(Demand!I198, Demand!N198))</f>
        <v/>
      </c>
      <c r="BD198" s="261" t="str">
        <f ca="1">IF(AND(A198&lt;=MaxRows,BE198&lt;&gt;"Yes"),'Demand background (hide)'!X189+IF(Setup!$I$15="Yes",'Demand background (hide)'!AJ189,0),"")</f>
        <v/>
      </c>
      <c r="BE198" s="211"/>
    </row>
    <row r="199" spans="1:57" ht="15" x14ac:dyDescent="0.25">
      <c r="A199" t="str">
        <f t="shared" ca="1" si="8"/>
        <v/>
      </c>
      <c r="B199" s="266" t="str">
        <f t="shared" ca="1" si="9"/>
        <v xml:space="preserve"> </v>
      </c>
      <c r="C199" s="267" t="str">
        <f t="shared" ca="1" si="10"/>
        <v/>
      </c>
      <c r="D199" s="424" t="str">
        <f t="shared" ca="1" si="11"/>
        <v/>
      </c>
      <c r="E199" s="194"/>
      <c r="F199" s="194"/>
      <c r="G199" s="194"/>
      <c r="H199" s="194"/>
      <c r="I199" s="253" t="str">
        <f>IF(COUNTBLANK(E199:H199)=4,"",SUM(E199:G199)+IF(Setup!$I$15="No",0,H199))</f>
        <v/>
      </c>
      <c r="J199" s="194"/>
      <c r="K199" s="194"/>
      <c r="L199" s="194"/>
      <c r="M199" s="194"/>
      <c r="N199" s="257" t="str">
        <f>IF(COUNTBLANK(J199:M199)=4,"",SUM(J199:L199)+IF(Setup!$I$15="No",0,M199))</f>
        <v/>
      </c>
      <c r="O199" s="194"/>
      <c r="P199" s="194"/>
      <c r="Q199" s="194"/>
      <c r="R199" s="194"/>
      <c r="S199" s="257" t="str">
        <f>IF(COUNTBLANK(O199:R199)=4,"",SUM(O199:Q199)+IF(Setup!$I$15="No",0,R199))</f>
        <v/>
      </c>
      <c r="T199" s="194"/>
      <c r="U199" s="194"/>
      <c r="V199" s="194"/>
      <c r="W199" s="194"/>
      <c r="X199" s="257" t="str">
        <f>IF(COUNTBLANK(T199:W199)=4,"",SUM(T199:V199)+IF(Setup!$I$15="No",0,W199))</f>
        <v/>
      </c>
      <c r="Y199" s="194"/>
      <c r="Z199" s="194"/>
      <c r="AA199" s="194"/>
      <c r="AB199" s="194"/>
      <c r="AC199" s="257" t="str">
        <f>IF(COUNTBLANK(Y199:AB199)=4,"",SUM(Y199:AA199)+IF(Setup!$I$15="No",0,AB199))</f>
        <v/>
      </c>
      <c r="AD199" s="194"/>
      <c r="AE199" s="194"/>
      <c r="AF199" s="194"/>
      <c r="AG199" s="194"/>
      <c r="AH199" s="257" t="str">
        <f>IF(COUNTBLANK(AD199:AG199)=4,"",SUM(AD199:AF199)+IF(Setup!$I$15="No",0,AG199))</f>
        <v/>
      </c>
      <c r="AI199" s="194"/>
      <c r="AJ199" s="194"/>
      <c r="AK199" s="194"/>
      <c r="AL199" s="194"/>
      <c r="AM199" s="257" t="str">
        <f>IF(COUNTBLANK(AI199:AL199)=4,"",SUM(AI199:AK199)+IF(Setup!$I$15="No",0,AL199))</f>
        <v/>
      </c>
      <c r="AN199" s="194"/>
      <c r="AO199" s="194"/>
      <c r="AP199" s="194"/>
      <c r="AQ199" s="194"/>
      <c r="AR199" s="257" t="str">
        <f>IF(COUNTBLANK(AN199:AQ199)=4,"",SUM(AN199:AP199)+IF(Setup!$I$15="No",0,AQ199))</f>
        <v/>
      </c>
      <c r="AS199" s="194"/>
      <c r="AT199" s="194"/>
      <c r="AU199" s="194"/>
      <c r="AV199" s="194"/>
      <c r="AW199" s="257" t="str">
        <f>IF(COUNTBLANK(AS199:AV199)=4,"",SUM(AS199:AU199)+IF(Setup!$I$15="No",0,AV199))</f>
        <v/>
      </c>
      <c r="AX199" s="194"/>
      <c r="AY199" s="194"/>
      <c r="AZ199" s="194"/>
      <c r="BA199" s="194"/>
      <c r="BB199" s="257" t="str">
        <f>IF(COUNTBLANK(AX199:BA199)=4,"",SUM(AX199:AZ199)+IF(Setup!$I$15="No",0,BA199))</f>
        <v/>
      </c>
      <c r="BC199" s="261" t="str">
        <f ca="1">IF('Demand background (hide)'!A190=Num_Modalities,"",SUM(Demand!I199, Demand!N199))</f>
        <v/>
      </c>
      <c r="BD199" s="261" t="str">
        <f ca="1">IF(AND(A199&lt;=MaxRows,BE199&lt;&gt;"Yes"),'Demand background (hide)'!X190+IF(Setup!$I$15="Yes",'Demand background (hide)'!AJ190,0),"")</f>
        <v/>
      </c>
      <c r="BE199" s="211"/>
    </row>
    <row r="200" spans="1:57" ht="15" x14ac:dyDescent="0.25">
      <c r="A200" t="str">
        <f t="shared" ca="1" si="8"/>
        <v/>
      </c>
      <c r="B200" s="266" t="str">
        <f t="shared" ca="1" si="9"/>
        <v xml:space="preserve"> </v>
      </c>
      <c r="C200" s="267" t="str">
        <f t="shared" ca="1" si="10"/>
        <v/>
      </c>
      <c r="D200" s="424" t="str">
        <f t="shared" ca="1" si="11"/>
        <v/>
      </c>
      <c r="E200" s="194"/>
      <c r="F200" s="194"/>
      <c r="G200" s="194"/>
      <c r="H200" s="194"/>
      <c r="I200" s="253" t="str">
        <f>IF(COUNTBLANK(E200:H200)=4,"",SUM(E200:G200)+IF(Setup!$I$15="No",0,H200))</f>
        <v/>
      </c>
      <c r="J200" s="194"/>
      <c r="K200" s="194"/>
      <c r="L200" s="194"/>
      <c r="M200" s="194"/>
      <c r="N200" s="257" t="str">
        <f>IF(COUNTBLANK(J200:M200)=4,"",SUM(J200:L200)+IF(Setup!$I$15="No",0,M200))</f>
        <v/>
      </c>
      <c r="O200" s="194"/>
      <c r="P200" s="194"/>
      <c r="Q200" s="194"/>
      <c r="R200" s="194"/>
      <c r="S200" s="257" t="str">
        <f>IF(COUNTBLANK(O200:R200)=4,"",SUM(O200:Q200)+IF(Setup!$I$15="No",0,R200))</f>
        <v/>
      </c>
      <c r="T200" s="194"/>
      <c r="U200" s="194"/>
      <c r="V200" s="194"/>
      <c r="W200" s="194"/>
      <c r="X200" s="257" t="str">
        <f>IF(COUNTBLANK(T200:W200)=4,"",SUM(T200:V200)+IF(Setup!$I$15="No",0,W200))</f>
        <v/>
      </c>
      <c r="Y200" s="194"/>
      <c r="Z200" s="194"/>
      <c r="AA200" s="194"/>
      <c r="AB200" s="194"/>
      <c r="AC200" s="257" t="str">
        <f>IF(COUNTBLANK(Y200:AB200)=4,"",SUM(Y200:AA200)+IF(Setup!$I$15="No",0,AB200))</f>
        <v/>
      </c>
      <c r="AD200" s="194"/>
      <c r="AE200" s="194"/>
      <c r="AF200" s="194"/>
      <c r="AG200" s="194"/>
      <c r="AH200" s="257" t="str">
        <f>IF(COUNTBLANK(AD200:AG200)=4,"",SUM(AD200:AF200)+IF(Setup!$I$15="No",0,AG200))</f>
        <v/>
      </c>
      <c r="AI200" s="194"/>
      <c r="AJ200" s="194"/>
      <c r="AK200" s="194"/>
      <c r="AL200" s="194"/>
      <c r="AM200" s="257" t="str">
        <f>IF(COUNTBLANK(AI200:AL200)=4,"",SUM(AI200:AK200)+IF(Setup!$I$15="No",0,AL200))</f>
        <v/>
      </c>
      <c r="AN200" s="194"/>
      <c r="AO200" s="194"/>
      <c r="AP200" s="194"/>
      <c r="AQ200" s="194"/>
      <c r="AR200" s="257" t="str">
        <f>IF(COUNTBLANK(AN200:AQ200)=4,"",SUM(AN200:AP200)+IF(Setup!$I$15="No",0,AQ200))</f>
        <v/>
      </c>
      <c r="AS200" s="194"/>
      <c r="AT200" s="194"/>
      <c r="AU200" s="194"/>
      <c r="AV200" s="194"/>
      <c r="AW200" s="257" t="str">
        <f>IF(COUNTBLANK(AS200:AV200)=4,"",SUM(AS200:AU200)+IF(Setup!$I$15="No",0,AV200))</f>
        <v/>
      </c>
      <c r="AX200" s="194"/>
      <c r="AY200" s="194"/>
      <c r="AZ200" s="194"/>
      <c r="BA200" s="194"/>
      <c r="BB200" s="257" t="str">
        <f>IF(COUNTBLANK(AX200:BA200)=4,"",SUM(AX200:AZ200)+IF(Setup!$I$15="No",0,BA200))</f>
        <v/>
      </c>
      <c r="BC200" s="261" t="str">
        <f ca="1">IF('Demand background (hide)'!A191=Num_Modalities,"",SUM(Demand!I200, Demand!N200))</f>
        <v/>
      </c>
      <c r="BD200" s="261" t="str">
        <f ca="1">IF(AND(A200&lt;=MaxRows,BE200&lt;&gt;"Yes"),'Demand background (hide)'!X191+IF(Setup!$I$15="Yes",'Demand background (hide)'!AJ191,0),"")</f>
        <v/>
      </c>
      <c r="BE200" s="211"/>
    </row>
    <row r="201" spans="1:57" ht="15" x14ac:dyDescent="0.25">
      <c r="A201" t="str">
        <f t="shared" ca="1" si="8"/>
        <v/>
      </c>
      <c r="B201" s="266" t="str">
        <f t="shared" ca="1" si="9"/>
        <v xml:space="preserve"> </v>
      </c>
      <c r="C201" s="267" t="str">
        <f t="shared" ca="1" si="10"/>
        <v/>
      </c>
      <c r="D201" s="424" t="str">
        <f t="shared" ca="1" si="11"/>
        <v/>
      </c>
      <c r="E201" s="194"/>
      <c r="F201" s="194"/>
      <c r="G201" s="194"/>
      <c r="H201" s="194"/>
      <c r="I201" s="253" t="str">
        <f>IF(COUNTBLANK(E201:H201)=4,"",SUM(E201:G201)+IF(Setup!$I$15="No",0,H201))</f>
        <v/>
      </c>
      <c r="J201" s="194"/>
      <c r="K201" s="194"/>
      <c r="L201" s="194"/>
      <c r="M201" s="194"/>
      <c r="N201" s="257" t="str">
        <f>IF(COUNTBLANK(J201:M201)=4,"",SUM(J201:L201)+IF(Setup!$I$15="No",0,M201))</f>
        <v/>
      </c>
      <c r="O201" s="194"/>
      <c r="P201" s="194"/>
      <c r="Q201" s="194"/>
      <c r="R201" s="194"/>
      <c r="S201" s="257" t="str">
        <f>IF(COUNTBLANK(O201:R201)=4,"",SUM(O201:Q201)+IF(Setup!$I$15="No",0,R201))</f>
        <v/>
      </c>
      <c r="T201" s="194"/>
      <c r="U201" s="194"/>
      <c r="V201" s="194"/>
      <c r="W201" s="194"/>
      <c r="X201" s="257" t="str">
        <f>IF(COUNTBLANK(T201:W201)=4,"",SUM(T201:V201)+IF(Setup!$I$15="No",0,W201))</f>
        <v/>
      </c>
      <c r="Y201" s="194"/>
      <c r="Z201" s="194"/>
      <c r="AA201" s="194"/>
      <c r="AB201" s="194"/>
      <c r="AC201" s="257" t="str">
        <f>IF(COUNTBLANK(Y201:AB201)=4,"",SUM(Y201:AA201)+IF(Setup!$I$15="No",0,AB201))</f>
        <v/>
      </c>
      <c r="AD201" s="194"/>
      <c r="AE201" s="194"/>
      <c r="AF201" s="194"/>
      <c r="AG201" s="194"/>
      <c r="AH201" s="257" t="str">
        <f>IF(COUNTBLANK(AD201:AG201)=4,"",SUM(AD201:AF201)+IF(Setup!$I$15="No",0,AG201))</f>
        <v/>
      </c>
      <c r="AI201" s="194"/>
      <c r="AJ201" s="194"/>
      <c r="AK201" s="194"/>
      <c r="AL201" s="194"/>
      <c r="AM201" s="257" t="str">
        <f>IF(COUNTBLANK(AI201:AL201)=4,"",SUM(AI201:AK201)+IF(Setup!$I$15="No",0,AL201))</f>
        <v/>
      </c>
      <c r="AN201" s="194"/>
      <c r="AO201" s="194"/>
      <c r="AP201" s="194"/>
      <c r="AQ201" s="194"/>
      <c r="AR201" s="257" t="str">
        <f>IF(COUNTBLANK(AN201:AQ201)=4,"",SUM(AN201:AP201)+IF(Setup!$I$15="No",0,AQ201))</f>
        <v/>
      </c>
      <c r="AS201" s="194"/>
      <c r="AT201" s="194"/>
      <c r="AU201" s="194"/>
      <c r="AV201" s="194"/>
      <c r="AW201" s="257" t="str">
        <f>IF(COUNTBLANK(AS201:AV201)=4,"",SUM(AS201:AU201)+IF(Setup!$I$15="No",0,AV201))</f>
        <v/>
      </c>
      <c r="AX201" s="194"/>
      <c r="AY201" s="194"/>
      <c r="AZ201" s="194"/>
      <c r="BA201" s="194"/>
      <c r="BB201" s="257" t="str">
        <f>IF(COUNTBLANK(AX201:BA201)=4,"",SUM(AX201:AZ201)+IF(Setup!$I$15="No",0,BA201))</f>
        <v/>
      </c>
      <c r="BC201" s="261" t="str">
        <f ca="1">IF('Demand background (hide)'!A192=Num_Modalities,"",SUM(Demand!I201, Demand!N201))</f>
        <v/>
      </c>
      <c r="BD201" s="261" t="str">
        <f ca="1">IF(AND(A201&lt;=MaxRows,BE201&lt;&gt;"Yes"),'Demand background (hide)'!X192+IF(Setup!$I$15="Yes",'Demand background (hide)'!AJ192,0),"")</f>
        <v/>
      </c>
      <c r="BE201" s="211"/>
    </row>
    <row r="202" spans="1:57" ht="15" x14ac:dyDescent="0.25">
      <c r="A202" t="str">
        <f t="shared" ca="1" si="8"/>
        <v/>
      </c>
      <c r="B202" s="266" t="str">
        <f t="shared" ca="1" si="9"/>
        <v xml:space="preserve"> </v>
      </c>
      <c r="C202" s="267" t="str">
        <f t="shared" ca="1" si="10"/>
        <v/>
      </c>
      <c r="D202" s="424" t="str">
        <f t="shared" ca="1" si="11"/>
        <v/>
      </c>
      <c r="E202" s="194"/>
      <c r="F202" s="194"/>
      <c r="G202" s="194"/>
      <c r="H202" s="194"/>
      <c r="I202" s="253" t="str">
        <f>IF(COUNTBLANK(E202:H202)=4,"",SUM(E202:G202)+IF(Setup!$I$15="No",0,H202))</f>
        <v/>
      </c>
      <c r="J202" s="194"/>
      <c r="K202" s="194"/>
      <c r="L202" s="194"/>
      <c r="M202" s="194"/>
      <c r="N202" s="257" t="str">
        <f>IF(COUNTBLANK(J202:M202)=4,"",SUM(J202:L202)+IF(Setup!$I$15="No",0,M202))</f>
        <v/>
      </c>
      <c r="O202" s="194"/>
      <c r="P202" s="194"/>
      <c r="Q202" s="194"/>
      <c r="R202" s="194"/>
      <c r="S202" s="257" t="str">
        <f>IF(COUNTBLANK(O202:R202)=4,"",SUM(O202:Q202)+IF(Setup!$I$15="No",0,R202))</f>
        <v/>
      </c>
      <c r="T202" s="194"/>
      <c r="U202" s="194"/>
      <c r="V202" s="194"/>
      <c r="W202" s="194"/>
      <c r="X202" s="257" t="str">
        <f>IF(COUNTBLANK(T202:W202)=4,"",SUM(T202:V202)+IF(Setup!$I$15="No",0,W202))</f>
        <v/>
      </c>
      <c r="Y202" s="194"/>
      <c r="Z202" s="194"/>
      <c r="AA202" s="194"/>
      <c r="AB202" s="194"/>
      <c r="AC202" s="257" t="str">
        <f>IF(COUNTBLANK(Y202:AB202)=4,"",SUM(Y202:AA202)+IF(Setup!$I$15="No",0,AB202))</f>
        <v/>
      </c>
      <c r="AD202" s="194"/>
      <c r="AE202" s="194"/>
      <c r="AF202" s="194"/>
      <c r="AG202" s="194"/>
      <c r="AH202" s="257" t="str">
        <f>IF(COUNTBLANK(AD202:AG202)=4,"",SUM(AD202:AF202)+IF(Setup!$I$15="No",0,AG202))</f>
        <v/>
      </c>
      <c r="AI202" s="194"/>
      <c r="AJ202" s="194"/>
      <c r="AK202" s="194"/>
      <c r="AL202" s="194"/>
      <c r="AM202" s="257" t="str">
        <f>IF(COUNTBLANK(AI202:AL202)=4,"",SUM(AI202:AK202)+IF(Setup!$I$15="No",0,AL202))</f>
        <v/>
      </c>
      <c r="AN202" s="194"/>
      <c r="AO202" s="194"/>
      <c r="AP202" s="194"/>
      <c r="AQ202" s="194"/>
      <c r="AR202" s="257" t="str">
        <f>IF(COUNTBLANK(AN202:AQ202)=4,"",SUM(AN202:AP202)+IF(Setup!$I$15="No",0,AQ202))</f>
        <v/>
      </c>
      <c r="AS202" s="194"/>
      <c r="AT202" s="194"/>
      <c r="AU202" s="194"/>
      <c r="AV202" s="194"/>
      <c r="AW202" s="257" t="str">
        <f>IF(COUNTBLANK(AS202:AV202)=4,"",SUM(AS202:AU202)+IF(Setup!$I$15="No",0,AV202))</f>
        <v/>
      </c>
      <c r="AX202" s="194"/>
      <c r="AY202" s="194"/>
      <c r="AZ202" s="194"/>
      <c r="BA202" s="194"/>
      <c r="BB202" s="257" t="str">
        <f>IF(COUNTBLANK(AX202:BA202)=4,"",SUM(AX202:AZ202)+IF(Setup!$I$15="No",0,BA202))</f>
        <v/>
      </c>
      <c r="BC202" s="261" t="str">
        <f ca="1">IF('Demand background (hide)'!A193=Num_Modalities,"",SUM(Demand!I202, Demand!N202))</f>
        <v/>
      </c>
      <c r="BD202" s="261" t="str">
        <f ca="1">IF(AND(A202&lt;=MaxRows,BE202&lt;&gt;"Yes"),'Demand background (hide)'!X193+IF(Setup!$I$15="Yes",'Demand background (hide)'!AJ193,0),"")</f>
        <v/>
      </c>
      <c r="BE202" s="211"/>
    </row>
    <row r="203" spans="1:57" ht="15" x14ac:dyDescent="0.25">
      <c r="A203" t="str">
        <f t="shared" ca="1" si="8"/>
        <v/>
      </c>
      <c r="B203" s="266" t="str">
        <f t="shared" ca="1" si="9"/>
        <v xml:space="preserve"> </v>
      </c>
      <c r="C203" s="267" t="str">
        <f t="shared" ca="1" si="10"/>
        <v/>
      </c>
      <c r="D203" s="424" t="str">
        <f t="shared" ca="1" si="11"/>
        <v/>
      </c>
      <c r="E203" s="194"/>
      <c r="F203" s="194"/>
      <c r="G203" s="194"/>
      <c r="H203" s="194"/>
      <c r="I203" s="253" t="str">
        <f>IF(COUNTBLANK(E203:H203)=4,"",SUM(E203:G203)+IF(Setup!$I$15="No",0,H203))</f>
        <v/>
      </c>
      <c r="J203" s="194"/>
      <c r="K203" s="194"/>
      <c r="L203" s="194"/>
      <c r="M203" s="194"/>
      <c r="N203" s="257" t="str">
        <f>IF(COUNTBLANK(J203:M203)=4,"",SUM(J203:L203)+IF(Setup!$I$15="No",0,M203))</f>
        <v/>
      </c>
      <c r="O203" s="194"/>
      <c r="P203" s="194"/>
      <c r="Q203" s="194"/>
      <c r="R203" s="194"/>
      <c r="S203" s="257" t="str">
        <f>IF(COUNTBLANK(O203:R203)=4,"",SUM(O203:Q203)+IF(Setup!$I$15="No",0,R203))</f>
        <v/>
      </c>
      <c r="T203" s="194"/>
      <c r="U203" s="194"/>
      <c r="V203" s="194"/>
      <c r="W203" s="194"/>
      <c r="X203" s="257" t="str">
        <f>IF(COUNTBLANK(T203:W203)=4,"",SUM(T203:V203)+IF(Setup!$I$15="No",0,W203))</f>
        <v/>
      </c>
      <c r="Y203" s="194"/>
      <c r="Z203" s="194"/>
      <c r="AA203" s="194"/>
      <c r="AB203" s="194"/>
      <c r="AC203" s="257" t="str">
        <f>IF(COUNTBLANK(Y203:AB203)=4,"",SUM(Y203:AA203)+IF(Setup!$I$15="No",0,AB203))</f>
        <v/>
      </c>
      <c r="AD203" s="194"/>
      <c r="AE203" s="194"/>
      <c r="AF203" s="194"/>
      <c r="AG203" s="194"/>
      <c r="AH203" s="257" t="str">
        <f>IF(COUNTBLANK(AD203:AG203)=4,"",SUM(AD203:AF203)+IF(Setup!$I$15="No",0,AG203))</f>
        <v/>
      </c>
      <c r="AI203" s="194"/>
      <c r="AJ203" s="194"/>
      <c r="AK203" s="194"/>
      <c r="AL203" s="194"/>
      <c r="AM203" s="257" t="str">
        <f>IF(COUNTBLANK(AI203:AL203)=4,"",SUM(AI203:AK203)+IF(Setup!$I$15="No",0,AL203))</f>
        <v/>
      </c>
      <c r="AN203" s="194"/>
      <c r="AO203" s="194"/>
      <c r="AP203" s="194"/>
      <c r="AQ203" s="194"/>
      <c r="AR203" s="257" t="str">
        <f>IF(COUNTBLANK(AN203:AQ203)=4,"",SUM(AN203:AP203)+IF(Setup!$I$15="No",0,AQ203))</f>
        <v/>
      </c>
      <c r="AS203" s="194"/>
      <c r="AT203" s="194"/>
      <c r="AU203" s="194"/>
      <c r="AV203" s="194"/>
      <c r="AW203" s="257" t="str">
        <f>IF(COUNTBLANK(AS203:AV203)=4,"",SUM(AS203:AU203)+IF(Setup!$I$15="No",0,AV203))</f>
        <v/>
      </c>
      <c r="AX203" s="194"/>
      <c r="AY203" s="194"/>
      <c r="AZ203" s="194"/>
      <c r="BA203" s="194"/>
      <c r="BB203" s="257" t="str">
        <f>IF(COUNTBLANK(AX203:BA203)=4,"",SUM(AX203:AZ203)+IF(Setup!$I$15="No",0,BA203))</f>
        <v/>
      </c>
      <c r="BC203" s="261" t="str">
        <f ca="1">IF('Demand background (hide)'!A194=Num_Modalities,"",SUM(Demand!I203, Demand!N203))</f>
        <v/>
      </c>
      <c r="BD203" s="261" t="str">
        <f ca="1">IF(AND(A203&lt;=MaxRows,BE203&lt;&gt;"Yes"),'Demand background (hide)'!X194+IF(Setup!$I$15="Yes",'Demand background (hide)'!AJ194,0),"")</f>
        <v/>
      </c>
      <c r="BE203" s="211"/>
    </row>
    <row r="204" spans="1:57" ht="15" x14ac:dyDescent="0.25">
      <c r="A204" t="str">
        <f t="shared" ca="1" si="8"/>
        <v/>
      </c>
      <c r="B204" s="266" t="str">
        <f t="shared" ca="1" si="9"/>
        <v xml:space="preserve"> </v>
      </c>
      <c r="C204" s="267" t="str">
        <f t="shared" ca="1" si="10"/>
        <v/>
      </c>
      <c r="D204" s="424" t="str">
        <f t="shared" ca="1" si="11"/>
        <v/>
      </c>
      <c r="E204" s="194"/>
      <c r="F204" s="194"/>
      <c r="G204" s="194"/>
      <c r="H204" s="194"/>
      <c r="I204" s="253" t="str">
        <f>IF(COUNTBLANK(E204:H204)=4,"",SUM(E204:G204)+IF(Setup!$I$15="No",0,H204))</f>
        <v/>
      </c>
      <c r="J204" s="194"/>
      <c r="K204" s="194"/>
      <c r="L204" s="194"/>
      <c r="M204" s="194"/>
      <c r="N204" s="257" t="str">
        <f>IF(COUNTBLANK(J204:M204)=4,"",SUM(J204:L204)+IF(Setup!$I$15="No",0,M204))</f>
        <v/>
      </c>
      <c r="O204" s="194"/>
      <c r="P204" s="194"/>
      <c r="Q204" s="194"/>
      <c r="R204" s="194"/>
      <c r="S204" s="257" t="str">
        <f>IF(COUNTBLANK(O204:R204)=4,"",SUM(O204:Q204)+IF(Setup!$I$15="No",0,R204))</f>
        <v/>
      </c>
      <c r="T204" s="194"/>
      <c r="U204" s="194"/>
      <c r="V204" s="194"/>
      <c r="W204" s="194"/>
      <c r="X204" s="257" t="str">
        <f>IF(COUNTBLANK(T204:W204)=4,"",SUM(T204:V204)+IF(Setup!$I$15="No",0,W204))</f>
        <v/>
      </c>
      <c r="Y204" s="194"/>
      <c r="Z204" s="194"/>
      <c r="AA204" s="194"/>
      <c r="AB204" s="194"/>
      <c r="AC204" s="257" t="str">
        <f>IF(COUNTBLANK(Y204:AB204)=4,"",SUM(Y204:AA204)+IF(Setup!$I$15="No",0,AB204))</f>
        <v/>
      </c>
      <c r="AD204" s="194"/>
      <c r="AE204" s="194"/>
      <c r="AF204" s="194"/>
      <c r="AG204" s="194"/>
      <c r="AH204" s="257" t="str">
        <f>IF(COUNTBLANK(AD204:AG204)=4,"",SUM(AD204:AF204)+IF(Setup!$I$15="No",0,AG204))</f>
        <v/>
      </c>
      <c r="AI204" s="194"/>
      <c r="AJ204" s="194"/>
      <c r="AK204" s="194"/>
      <c r="AL204" s="194"/>
      <c r="AM204" s="257" t="str">
        <f>IF(COUNTBLANK(AI204:AL204)=4,"",SUM(AI204:AK204)+IF(Setup!$I$15="No",0,AL204))</f>
        <v/>
      </c>
      <c r="AN204" s="194"/>
      <c r="AO204" s="194"/>
      <c r="AP204" s="194"/>
      <c r="AQ204" s="194"/>
      <c r="AR204" s="257" t="str">
        <f>IF(COUNTBLANK(AN204:AQ204)=4,"",SUM(AN204:AP204)+IF(Setup!$I$15="No",0,AQ204))</f>
        <v/>
      </c>
      <c r="AS204" s="194"/>
      <c r="AT204" s="194"/>
      <c r="AU204" s="194"/>
      <c r="AV204" s="194"/>
      <c r="AW204" s="257" t="str">
        <f>IF(COUNTBLANK(AS204:AV204)=4,"",SUM(AS204:AU204)+IF(Setup!$I$15="No",0,AV204))</f>
        <v/>
      </c>
      <c r="AX204" s="194"/>
      <c r="AY204" s="194"/>
      <c r="AZ204" s="194"/>
      <c r="BA204" s="194"/>
      <c r="BB204" s="257" t="str">
        <f>IF(COUNTBLANK(AX204:BA204)=4,"",SUM(AX204:AZ204)+IF(Setup!$I$15="No",0,BA204))</f>
        <v/>
      </c>
      <c r="BC204" s="261" t="str">
        <f ca="1">IF('Demand background (hide)'!A195=Num_Modalities,"",SUM(Demand!I204, Demand!N204))</f>
        <v/>
      </c>
      <c r="BD204" s="261" t="str">
        <f ca="1">IF(AND(A204&lt;=MaxRows,BE204&lt;&gt;"Yes"),'Demand background (hide)'!X195+IF(Setup!$I$15="Yes",'Demand background (hide)'!AJ195,0),"")</f>
        <v/>
      </c>
      <c r="BE204" s="211"/>
    </row>
    <row r="205" spans="1:57" ht="15" x14ac:dyDescent="0.25">
      <c r="A205" t="str">
        <f t="shared" ref="A205:A268" ca="1" si="12">IF(BC205&lt;&gt;"",ROW(A193),"")</f>
        <v/>
      </c>
      <c r="B205" s="266" t="str">
        <f t="shared" ca="1" si="9"/>
        <v xml:space="preserve"> </v>
      </c>
      <c r="C205" s="267" t="str">
        <f t="shared" ca="1" si="10"/>
        <v/>
      </c>
      <c r="D205" s="424" t="str">
        <f t="shared" ca="1" si="11"/>
        <v/>
      </c>
      <c r="E205" s="194"/>
      <c r="F205" s="194"/>
      <c r="G205" s="194"/>
      <c r="H205" s="194"/>
      <c r="I205" s="253" t="str">
        <f>IF(COUNTBLANK(E205:H205)=4,"",SUM(E205:G205)+IF(Setup!$I$15="No",0,H205))</f>
        <v/>
      </c>
      <c r="J205" s="194"/>
      <c r="K205" s="194"/>
      <c r="L205" s="194"/>
      <c r="M205" s="194"/>
      <c r="N205" s="257" t="str">
        <f>IF(COUNTBLANK(J205:M205)=4,"",SUM(J205:L205)+IF(Setup!$I$15="No",0,M205))</f>
        <v/>
      </c>
      <c r="O205" s="194"/>
      <c r="P205" s="194"/>
      <c r="Q205" s="194"/>
      <c r="R205" s="194"/>
      <c r="S205" s="257" t="str">
        <f>IF(COUNTBLANK(O205:R205)=4,"",SUM(O205:Q205)+IF(Setup!$I$15="No",0,R205))</f>
        <v/>
      </c>
      <c r="T205" s="194"/>
      <c r="U205" s="194"/>
      <c r="V205" s="194"/>
      <c r="W205" s="194"/>
      <c r="X205" s="257" t="str">
        <f>IF(COUNTBLANK(T205:W205)=4,"",SUM(T205:V205)+IF(Setup!$I$15="No",0,W205))</f>
        <v/>
      </c>
      <c r="Y205" s="194"/>
      <c r="Z205" s="194"/>
      <c r="AA205" s="194"/>
      <c r="AB205" s="194"/>
      <c r="AC205" s="257" t="str">
        <f>IF(COUNTBLANK(Y205:AB205)=4,"",SUM(Y205:AA205)+IF(Setup!$I$15="No",0,AB205))</f>
        <v/>
      </c>
      <c r="AD205" s="194"/>
      <c r="AE205" s="194"/>
      <c r="AF205" s="194"/>
      <c r="AG205" s="194"/>
      <c r="AH205" s="257" t="str">
        <f>IF(COUNTBLANK(AD205:AG205)=4,"",SUM(AD205:AF205)+IF(Setup!$I$15="No",0,AG205))</f>
        <v/>
      </c>
      <c r="AI205" s="194"/>
      <c r="AJ205" s="194"/>
      <c r="AK205" s="194"/>
      <c r="AL205" s="194"/>
      <c r="AM205" s="257" t="str">
        <f>IF(COUNTBLANK(AI205:AL205)=4,"",SUM(AI205:AK205)+IF(Setup!$I$15="No",0,AL205))</f>
        <v/>
      </c>
      <c r="AN205" s="194"/>
      <c r="AO205" s="194"/>
      <c r="AP205" s="194"/>
      <c r="AQ205" s="194"/>
      <c r="AR205" s="257" t="str">
        <f>IF(COUNTBLANK(AN205:AQ205)=4,"",SUM(AN205:AP205)+IF(Setup!$I$15="No",0,AQ205))</f>
        <v/>
      </c>
      <c r="AS205" s="194"/>
      <c r="AT205" s="194"/>
      <c r="AU205" s="194"/>
      <c r="AV205" s="194"/>
      <c r="AW205" s="257" t="str">
        <f>IF(COUNTBLANK(AS205:AV205)=4,"",SUM(AS205:AU205)+IF(Setup!$I$15="No",0,AV205))</f>
        <v/>
      </c>
      <c r="AX205" s="194"/>
      <c r="AY205" s="194"/>
      <c r="AZ205" s="194"/>
      <c r="BA205" s="194"/>
      <c r="BB205" s="257" t="str">
        <f>IF(COUNTBLANK(AX205:BA205)=4,"",SUM(AX205:AZ205)+IF(Setup!$I$15="No",0,BA205))</f>
        <v/>
      </c>
      <c r="BC205" s="261" t="str">
        <f ca="1">IF('Demand background (hide)'!A196=Num_Modalities,"",SUM(Demand!I205, Demand!N205))</f>
        <v/>
      </c>
      <c r="BD205" s="261" t="str">
        <f ca="1">IF(AND(A205&lt;=MaxRows,BE205&lt;&gt;"Yes"),'Demand background (hide)'!X196+IF(Setup!$I$15="Yes",'Demand background (hide)'!AJ196,0),"")</f>
        <v/>
      </c>
      <c r="BE205" s="211"/>
    </row>
    <row r="206" spans="1:57" ht="15" x14ac:dyDescent="0.25">
      <c r="A206" t="str">
        <f t="shared" ca="1" si="12"/>
        <v/>
      </c>
      <c r="B206" s="266" t="str">
        <f t="shared" ref="B206:B269" ca="1" si="13">IF(A206&lt;=MaxRows,IF($C$6&lt;&gt;"",IF(YEAR(D206)&lt;&gt;YEAR(D205),YEAR(D206)," "),IF(C206&lt;&gt;1,"",OFFSET(B206,-C205,0,1,1)+1))," ")</f>
        <v xml:space="preserve"> </v>
      </c>
      <c r="C206" s="267" t="str">
        <f t="shared" ref="C206:C269" ca="1" si="14">IF(ROW(A194)&lt;=MaxRows,IF($C$6&lt;&gt;"",WEEKNUM(D206,21),IF(MOD((C205+1),52)&gt;0,MOD((C205+1),52),52)),"")</f>
        <v/>
      </c>
      <c r="D206" s="424" t="str">
        <f t="shared" ref="D206:D269" ca="1" si="15">IF(ROW(A194)&lt;=MaxRows,IF($C$6&lt;&gt;"",D205+7,""),"")</f>
        <v/>
      </c>
      <c r="E206" s="194"/>
      <c r="F206" s="194"/>
      <c r="G206" s="194"/>
      <c r="H206" s="194"/>
      <c r="I206" s="253" t="str">
        <f>IF(COUNTBLANK(E206:H206)=4,"",SUM(E206:G206)+IF(Setup!$I$15="No",0,H206))</f>
        <v/>
      </c>
      <c r="J206" s="194"/>
      <c r="K206" s="194"/>
      <c r="L206" s="194"/>
      <c r="M206" s="194"/>
      <c r="N206" s="257" t="str">
        <f>IF(COUNTBLANK(J206:M206)=4,"",SUM(J206:L206)+IF(Setup!$I$15="No",0,M206))</f>
        <v/>
      </c>
      <c r="O206" s="194"/>
      <c r="P206" s="194"/>
      <c r="Q206" s="194"/>
      <c r="R206" s="194"/>
      <c r="S206" s="257" t="str">
        <f>IF(COUNTBLANK(O206:R206)=4,"",SUM(O206:Q206)+IF(Setup!$I$15="No",0,R206))</f>
        <v/>
      </c>
      <c r="T206" s="194"/>
      <c r="U206" s="194"/>
      <c r="V206" s="194"/>
      <c r="W206" s="194"/>
      <c r="X206" s="257" t="str">
        <f>IF(COUNTBLANK(T206:W206)=4,"",SUM(T206:V206)+IF(Setup!$I$15="No",0,W206))</f>
        <v/>
      </c>
      <c r="Y206" s="194"/>
      <c r="Z206" s="194"/>
      <c r="AA206" s="194"/>
      <c r="AB206" s="194"/>
      <c r="AC206" s="257" t="str">
        <f>IF(COUNTBLANK(Y206:AB206)=4,"",SUM(Y206:AA206)+IF(Setup!$I$15="No",0,AB206))</f>
        <v/>
      </c>
      <c r="AD206" s="194"/>
      <c r="AE206" s="194"/>
      <c r="AF206" s="194"/>
      <c r="AG206" s="194"/>
      <c r="AH206" s="257" t="str">
        <f>IF(COUNTBLANK(AD206:AG206)=4,"",SUM(AD206:AF206)+IF(Setup!$I$15="No",0,AG206))</f>
        <v/>
      </c>
      <c r="AI206" s="194"/>
      <c r="AJ206" s="194"/>
      <c r="AK206" s="194"/>
      <c r="AL206" s="194"/>
      <c r="AM206" s="257" t="str">
        <f>IF(COUNTBLANK(AI206:AL206)=4,"",SUM(AI206:AK206)+IF(Setup!$I$15="No",0,AL206))</f>
        <v/>
      </c>
      <c r="AN206" s="194"/>
      <c r="AO206" s="194"/>
      <c r="AP206" s="194"/>
      <c r="AQ206" s="194"/>
      <c r="AR206" s="257" t="str">
        <f>IF(COUNTBLANK(AN206:AQ206)=4,"",SUM(AN206:AP206)+IF(Setup!$I$15="No",0,AQ206))</f>
        <v/>
      </c>
      <c r="AS206" s="194"/>
      <c r="AT206" s="194"/>
      <c r="AU206" s="194"/>
      <c r="AV206" s="194"/>
      <c r="AW206" s="257" t="str">
        <f>IF(COUNTBLANK(AS206:AV206)=4,"",SUM(AS206:AU206)+IF(Setup!$I$15="No",0,AV206))</f>
        <v/>
      </c>
      <c r="AX206" s="194"/>
      <c r="AY206" s="194"/>
      <c r="AZ206" s="194"/>
      <c r="BA206" s="194"/>
      <c r="BB206" s="257" t="str">
        <f>IF(COUNTBLANK(AX206:BA206)=4,"",SUM(AX206:AZ206)+IF(Setup!$I$15="No",0,BA206))</f>
        <v/>
      </c>
      <c r="BC206" s="261" t="str">
        <f ca="1">IF('Demand background (hide)'!A197=Num_Modalities,"",SUM(Demand!I206, Demand!N206))</f>
        <v/>
      </c>
      <c r="BD206" s="261" t="str">
        <f ca="1">IF(AND(A206&lt;=MaxRows,BE206&lt;&gt;"Yes"),'Demand background (hide)'!X197+IF(Setup!$I$15="Yes",'Demand background (hide)'!AJ197,0),"")</f>
        <v/>
      </c>
      <c r="BE206" s="211"/>
    </row>
    <row r="207" spans="1:57" ht="15" x14ac:dyDescent="0.25">
      <c r="A207" t="str">
        <f t="shared" ca="1" si="12"/>
        <v/>
      </c>
      <c r="B207" s="266" t="str">
        <f t="shared" ca="1" si="13"/>
        <v xml:space="preserve"> </v>
      </c>
      <c r="C207" s="267" t="str">
        <f t="shared" ca="1" si="14"/>
        <v/>
      </c>
      <c r="D207" s="424" t="str">
        <f t="shared" ca="1" si="15"/>
        <v/>
      </c>
      <c r="E207" s="194"/>
      <c r="F207" s="194"/>
      <c r="G207" s="194"/>
      <c r="H207" s="194"/>
      <c r="I207" s="253" t="str">
        <f>IF(COUNTBLANK(E207:H207)=4,"",SUM(E207:G207)+IF(Setup!$I$15="No",0,H207))</f>
        <v/>
      </c>
      <c r="J207" s="194"/>
      <c r="K207" s="194"/>
      <c r="L207" s="194"/>
      <c r="M207" s="194"/>
      <c r="N207" s="257" t="str">
        <f>IF(COUNTBLANK(J207:M207)=4,"",SUM(J207:L207)+IF(Setup!$I$15="No",0,M207))</f>
        <v/>
      </c>
      <c r="O207" s="194"/>
      <c r="P207" s="194"/>
      <c r="Q207" s="194"/>
      <c r="R207" s="194"/>
      <c r="S207" s="257" t="str">
        <f>IF(COUNTBLANK(O207:R207)=4,"",SUM(O207:Q207)+IF(Setup!$I$15="No",0,R207))</f>
        <v/>
      </c>
      <c r="T207" s="194"/>
      <c r="U207" s="194"/>
      <c r="V207" s="194"/>
      <c r="W207" s="194"/>
      <c r="X207" s="257" t="str">
        <f>IF(COUNTBLANK(T207:W207)=4,"",SUM(T207:V207)+IF(Setup!$I$15="No",0,W207))</f>
        <v/>
      </c>
      <c r="Y207" s="194"/>
      <c r="Z207" s="194"/>
      <c r="AA207" s="194"/>
      <c r="AB207" s="194"/>
      <c r="AC207" s="257" t="str">
        <f>IF(COUNTBLANK(Y207:AB207)=4,"",SUM(Y207:AA207)+IF(Setup!$I$15="No",0,AB207))</f>
        <v/>
      </c>
      <c r="AD207" s="194"/>
      <c r="AE207" s="194"/>
      <c r="AF207" s="194"/>
      <c r="AG207" s="194"/>
      <c r="AH207" s="257" t="str">
        <f>IF(COUNTBLANK(AD207:AG207)=4,"",SUM(AD207:AF207)+IF(Setup!$I$15="No",0,AG207))</f>
        <v/>
      </c>
      <c r="AI207" s="194"/>
      <c r="AJ207" s="194"/>
      <c r="AK207" s="194"/>
      <c r="AL207" s="194"/>
      <c r="AM207" s="257" t="str">
        <f>IF(COUNTBLANK(AI207:AL207)=4,"",SUM(AI207:AK207)+IF(Setup!$I$15="No",0,AL207))</f>
        <v/>
      </c>
      <c r="AN207" s="194"/>
      <c r="AO207" s="194"/>
      <c r="AP207" s="194"/>
      <c r="AQ207" s="194"/>
      <c r="AR207" s="257" t="str">
        <f>IF(COUNTBLANK(AN207:AQ207)=4,"",SUM(AN207:AP207)+IF(Setup!$I$15="No",0,AQ207))</f>
        <v/>
      </c>
      <c r="AS207" s="194"/>
      <c r="AT207" s="194"/>
      <c r="AU207" s="194"/>
      <c r="AV207" s="194"/>
      <c r="AW207" s="257" t="str">
        <f>IF(COUNTBLANK(AS207:AV207)=4,"",SUM(AS207:AU207)+IF(Setup!$I$15="No",0,AV207))</f>
        <v/>
      </c>
      <c r="AX207" s="194"/>
      <c r="AY207" s="194"/>
      <c r="AZ207" s="194"/>
      <c r="BA207" s="194"/>
      <c r="BB207" s="257" t="str">
        <f>IF(COUNTBLANK(AX207:BA207)=4,"",SUM(AX207:AZ207)+IF(Setup!$I$15="No",0,BA207))</f>
        <v/>
      </c>
      <c r="BC207" s="261" t="str">
        <f ca="1">IF('Demand background (hide)'!A198=Num_Modalities,"",SUM(Demand!I207, Demand!N207))</f>
        <v/>
      </c>
      <c r="BD207" s="261" t="str">
        <f ca="1">IF(AND(A207&lt;=MaxRows,BE207&lt;&gt;"Yes"),'Demand background (hide)'!X198+IF(Setup!$I$15="Yes",'Demand background (hide)'!AJ198,0),"")</f>
        <v/>
      </c>
      <c r="BE207" s="211"/>
    </row>
    <row r="208" spans="1:57" ht="15" x14ac:dyDescent="0.25">
      <c r="A208" t="str">
        <f t="shared" ca="1" si="12"/>
        <v/>
      </c>
      <c r="B208" s="266" t="str">
        <f t="shared" ca="1" si="13"/>
        <v xml:space="preserve"> </v>
      </c>
      <c r="C208" s="267" t="str">
        <f t="shared" ca="1" si="14"/>
        <v/>
      </c>
      <c r="D208" s="424" t="str">
        <f t="shared" ca="1" si="15"/>
        <v/>
      </c>
      <c r="E208" s="194"/>
      <c r="F208" s="194"/>
      <c r="G208" s="194"/>
      <c r="H208" s="194"/>
      <c r="I208" s="253" t="str">
        <f>IF(COUNTBLANK(E208:H208)=4,"",SUM(E208:G208)+IF(Setup!$I$15="No",0,H208))</f>
        <v/>
      </c>
      <c r="J208" s="194"/>
      <c r="K208" s="194"/>
      <c r="L208" s="194"/>
      <c r="M208" s="194"/>
      <c r="N208" s="257" t="str">
        <f>IF(COUNTBLANK(J208:M208)=4,"",SUM(J208:L208)+IF(Setup!$I$15="No",0,M208))</f>
        <v/>
      </c>
      <c r="O208" s="194"/>
      <c r="P208" s="194"/>
      <c r="Q208" s="194"/>
      <c r="R208" s="194"/>
      <c r="S208" s="257" t="str">
        <f>IF(COUNTBLANK(O208:R208)=4,"",SUM(O208:Q208)+IF(Setup!$I$15="No",0,R208))</f>
        <v/>
      </c>
      <c r="T208" s="194"/>
      <c r="U208" s="194"/>
      <c r="V208" s="194"/>
      <c r="W208" s="194"/>
      <c r="X208" s="257" t="str">
        <f>IF(COUNTBLANK(T208:W208)=4,"",SUM(T208:V208)+IF(Setup!$I$15="No",0,W208))</f>
        <v/>
      </c>
      <c r="Y208" s="194"/>
      <c r="Z208" s="194"/>
      <c r="AA208" s="194"/>
      <c r="AB208" s="194"/>
      <c r="AC208" s="257" t="str">
        <f>IF(COUNTBLANK(Y208:AB208)=4,"",SUM(Y208:AA208)+IF(Setup!$I$15="No",0,AB208))</f>
        <v/>
      </c>
      <c r="AD208" s="194"/>
      <c r="AE208" s="194"/>
      <c r="AF208" s="194"/>
      <c r="AG208" s="194"/>
      <c r="AH208" s="257" t="str">
        <f>IF(COUNTBLANK(AD208:AG208)=4,"",SUM(AD208:AF208)+IF(Setup!$I$15="No",0,AG208))</f>
        <v/>
      </c>
      <c r="AI208" s="194"/>
      <c r="AJ208" s="194"/>
      <c r="AK208" s="194"/>
      <c r="AL208" s="194"/>
      <c r="AM208" s="257" t="str">
        <f>IF(COUNTBLANK(AI208:AL208)=4,"",SUM(AI208:AK208)+IF(Setup!$I$15="No",0,AL208))</f>
        <v/>
      </c>
      <c r="AN208" s="194"/>
      <c r="AO208" s="194"/>
      <c r="AP208" s="194"/>
      <c r="AQ208" s="194"/>
      <c r="AR208" s="257" t="str">
        <f>IF(COUNTBLANK(AN208:AQ208)=4,"",SUM(AN208:AP208)+IF(Setup!$I$15="No",0,AQ208))</f>
        <v/>
      </c>
      <c r="AS208" s="194"/>
      <c r="AT208" s="194"/>
      <c r="AU208" s="194"/>
      <c r="AV208" s="194"/>
      <c r="AW208" s="257" t="str">
        <f>IF(COUNTBLANK(AS208:AV208)=4,"",SUM(AS208:AU208)+IF(Setup!$I$15="No",0,AV208))</f>
        <v/>
      </c>
      <c r="AX208" s="194"/>
      <c r="AY208" s="194"/>
      <c r="AZ208" s="194"/>
      <c r="BA208" s="194"/>
      <c r="BB208" s="257" t="str">
        <f>IF(COUNTBLANK(AX208:BA208)=4,"",SUM(AX208:AZ208)+IF(Setup!$I$15="No",0,BA208))</f>
        <v/>
      </c>
      <c r="BC208" s="261" t="str">
        <f ca="1">IF('Demand background (hide)'!A199=Num_Modalities,"",SUM(Demand!I208, Demand!N208))</f>
        <v/>
      </c>
      <c r="BD208" s="261" t="str">
        <f ca="1">IF(AND(A208&lt;=MaxRows,BE208&lt;&gt;"Yes"),'Demand background (hide)'!X199+IF(Setup!$I$15="Yes",'Demand background (hide)'!AJ199,0),"")</f>
        <v/>
      </c>
      <c r="BE208" s="211"/>
    </row>
    <row r="209" spans="1:57" ht="15" x14ac:dyDescent="0.25">
      <c r="A209" t="str">
        <f t="shared" ca="1" si="12"/>
        <v/>
      </c>
      <c r="B209" s="266" t="str">
        <f t="shared" ca="1" si="13"/>
        <v xml:space="preserve"> </v>
      </c>
      <c r="C209" s="267" t="str">
        <f t="shared" ca="1" si="14"/>
        <v/>
      </c>
      <c r="D209" s="424" t="str">
        <f t="shared" ca="1" si="15"/>
        <v/>
      </c>
      <c r="E209" s="194"/>
      <c r="F209" s="194"/>
      <c r="G209" s="194"/>
      <c r="H209" s="194"/>
      <c r="I209" s="253" t="str">
        <f>IF(COUNTBLANK(E209:H209)=4,"",SUM(E209:G209)+IF(Setup!$I$15="No",0,H209))</f>
        <v/>
      </c>
      <c r="J209" s="194"/>
      <c r="K209" s="194"/>
      <c r="L209" s="194"/>
      <c r="M209" s="194"/>
      <c r="N209" s="257" t="str">
        <f>IF(COUNTBLANK(J209:M209)=4,"",SUM(J209:L209)+IF(Setup!$I$15="No",0,M209))</f>
        <v/>
      </c>
      <c r="O209" s="194"/>
      <c r="P209" s="194"/>
      <c r="Q209" s="194"/>
      <c r="R209" s="194"/>
      <c r="S209" s="257" t="str">
        <f>IF(COUNTBLANK(O209:R209)=4,"",SUM(O209:Q209)+IF(Setup!$I$15="No",0,R209))</f>
        <v/>
      </c>
      <c r="T209" s="194"/>
      <c r="U209" s="194"/>
      <c r="V209" s="194"/>
      <c r="W209" s="194"/>
      <c r="X209" s="257" t="str">
        <f>IF(COUNTBLANK(T209:W209)=4,"",SUM(T209:V209)+IF(Setup!$I$15="No",0,W209))</f>
        <v/>
      </c>
      <c r="Y209" s="194"/>
      <c r="Z209" s="194"/>
      <c r="AA209" s="194"/>
      <c r="AB209" s="194"/>
      <c r="AC209" s="257" t="str">
        <f>IF(COUNTBLANK(Y209:AB209)=4,"",SUM(Y209:AA209)+IF(Setup!$I$15="No",0,AB209))</f>
        <v/>
      </c>
      <c r="AD209" s="194"/>
      <c r="AE209" s="194"/>
      <c r="AF209" s="194"/>
      <c r="AG209" s="194"/>
      <c r="AH209" s="257" t="str">
        <f>IF(COUNTBLANK(AD209:AG209)=4,"",SUM(AD209:AF209)+IF(Setup!$I$15="No",0,AG209))</f>
        <v/>
      </c>
      <c r="AI209" s="194"/>
      <c r="AJ209" s="194"/>
      <c r="AK209" s="194"/>
      <c r="AL209" s="194"/>
      <c r="AM209" s="257" t="str">
        <f>IF(COUNTBLANK(AI209:AL209)=4,"",SUM(AI209:AK209)+IF(Setup!$I$15="No",0,AL209))</f>
        <v/>
      </c>
      <c r="AN209" s="194"/>
      <c r="AO209" s="194"/>
      <c r="AP209" s="194"/>
      <c r="AQ209" s="194"/>
      <c r="AR209" s="257" t="str">
        <f>IF(COUNTBLANK(AN209:AQ209)=4,"",SUM(AN209:AP209)+IF(Setup!$I$15="No",0,AQ209))</f>
        <v/>
      </c>
      <c r="AS209" s="194"/>
      <c r="AT209" s="194"/>
      <c r="AU209" s="194"/>
      <c r="AV209" s="194"/>
      <c r="AW209" s="257" t="str">
        <f>IF(COUNTBLANK(AS209:AV209)=4,"",SUM(AS209:AU209)+IF(Setup!$I$15="No",0,AV209))</f>
        <v/>
      </c>
      <c r="AX209" s="194"/>
      <c r="AY209" s="194"/>
      <c r="AZ209" s="194"/>
      <c r="BA209" s="194"/>
      <c r="BB209" s="257" t="str">
        <f>IF(COUNTBLANK(AX209:BA209)=4,"",SUM(AX209:AZ209)+IF(Setup!$I$15="No",0,BA209))</f>
        <v/>
      </c>
      <c r="BC209" s="261" t="str">
        <f ca="1">IF('Demand background (hide)'!A200=Num_Modalities,"",SUM(Demand!I209, Demand!N209))</f>
        <v/>
      </c>
      <c r="BD209" s="261" t="str">
        <f ca="1">IF(AND(A209&lt;=MaxRows,BE209&lt;&gt;"Yes"),'Demand background (hide)'!X200+IF(Setup!$I$15="Yes",'Demand background (hide)'!AJ200,0),"")</f>
        <v/>
      </c>
      <c r="BE209" s="211"/>
    </row>
    <row r="210" spans="1:57" ht="15" x14ac:dyDescent="0.25">
      <c r="A210" t="str">
        <f t="shared" ca="1" si="12"/>
        <v/>
      </c>
      <c r="B210" s="266" t="str">
        <f t="shared" ca="1" si="13"/>
        <v xml:space="preserve"> </v>
      </c>
      <c r="C210" s="267" t="str">
        <f t="shared" ca="1" si="14"/>
        <v/>
      </c>
      <c r="D210" s="424" t="str">
        <f t="shared" ca="1" si="15"/>
        <v/>
      </c>
      <c r="E210" s="194"/>
      <c r="F210" s="194"/>
      <c r="G210" s="194"/>
      <c r="H210" s="194"/>
      <c r="I210" s="253" t="str">
        <f>IF(COUNTBLANK(E210:H210)=4,"",SUM(E210:G210)+IF(Setup!$I$15="No",0,H210))</f>
        <v/>
      </c>
      <c r="J210" s="194"/>
      <c r="K210" s="194"/>
      <c r="L210" s="194"/>
      <c r="M210" s="194"/>
      <c r="N210" s="257" t="str">
        <f>IF(COUNTBLANK(J210:M210)=4,"",SUM(J210:L210)+IF(Setup!$I$15="No",0,M210))</f>
        <v/>
      </c>
      <c r="O210" s="194"/>
      <c r="P210" s="194"/>
      <c r="Q210" s="194"/>
      <c r="R210" s="194"/>
      <c r="S210" s="257" t="str">
        <f>IF(COUNTBLANK(O210:R210)=4,"",SUM(O210:Q210)+IF(Setup!$I$15="No",0,R210))</f>
        <v/>
      </c>
      <c r="T210" s="194"/>
      <c r="U210" s="194"/>
      <c r="V210" s="194"/>
      <c r="W210" s="194"/>
      <c r="X210" s="257" t="str">
        <f>IF(COUNTBLANK(T210:W210)=4,"",SUM(T210:V210)+IF(Setup!$I$15="No",0,W210))</f>
        <v/>
      </c>
      <c r="Y210" s="194"/>
      <c r="Z210" s="194"/>
      <c r="AA210" s="194"/>
      <c r="AB210" s="194"/>
      <c r="AC210" s="257" t="str">
        <f>IF(COUNTBLANK(Y210:AB210)=4,"",SUM(Y210:AA210)+IF(Setup!$I$15="No",0,AB210))</f>
        <v/>
      </c>
      <c r="AD210" s="194"/>
      <c r="AE210" s="194"/>
      <c r="AF210" s="194"/>
      <c r="AG210" s="194"/>
      <c r="AH210" s="257" t="str">
        <f>IF(COUNTBLANK(AD210:AG210)=4,"",SUM(AD210:AF210)+IF(Setup!$I$15="No",0,AG210))</f>
        <v/>
      </c>
      <c r="AI210" s="194"/>
      <c r="AJ210" s="194"/>
      <c r="AK210" s="194"/>
      <c r="AL210" s="194"/>
      <c r="AM210" s="257" t="str">
        <f>IF(COUNTBLANK(AI210:AL210)=4,"",SUM(AI210:AK210)+IF(Setup!$I$15="No",0,AL210))</f>
        <v/>
      </c>
      <c r="AN210" s="194"/>
      <c r="AO210" s="194"/>
      <c r="AP210" s="194"/>
      <c r="AQ210" s="194"/>
      <c r="AR210" s="257" t="str">
        <f>IF(COUNTBLANK(AN210:AQ210)=4,"",SUM(AN210:AP210)+IF(Setup!$I$15="No",0,AQ210))</f>
        <v/>
      </c>
      <c r="AS210" s="194"/>
      <c r="AT210" s="194"/>
      <c r="AU210" s="194"/>
      <c r="AV210" s="194"/>
      <c r="AW210" s="257" t="str">
        <f>IF(COUNTBLANK(AS210:AV210)=4,"",SUM(AS210:AU210)+IF(Setup!$I$15="No",0,AV210))</f>
        <v/>
      </c>
      <c r="AX210" s="194"/>
      <c r="AY210" s="194"/>
      <c r="AZ210" s="194"/>
      <c r="BA210" s="194"/>
      <c r="BB210" s="257" t="str">
        <f>IF(COUNTBLANK(AX210:BA210)=4,"",SUM(AX210:AZ210)+IF(Setup!$I$15="No",0,BA210))</f>
        <v/>
      </c>
      <c r="BC210" s="261" t="str">
        <f ca="1">IF('Demand background (hide)'!A201=Num_Modalities,"",SUM(Demand!I210, Demand!N210))</f>
        <v/>
      </c>
      <c r="BD210" s="261" t="str">
        <f ca="1">IF(AND(A210&lt;=MaxRows,BE210&lt;&gt;"Yes"),'Demand background (hide)'!X201+IF(Setup!$I$15="Yes",'Demand background (hide)'!AJ201,0),"")</f>
        <v/>
      </c>
      <c r="BE210" s="211"/>
    </row>
    <row r="211" spans="1:57" ht="15" x14ac:dyDescent="0.25">
      <c r="A211" t="str">
        <f t="shared" ca="1" si="12"/>
        <v/>
      </c>
      <c r="B211" s="266" t="str">
        <f t="shared" ca="1" si="13"/>
        <v xml:space="preserve"> </v>
      </c>
      <c r="C211" s="267" t="str">
        <f t="shared" ca="1" si="14"/>
        <v/>
      </c>
      <c r="D211" s="424" t="str">
        <f t="shared" ca="1" si="15"/>
        <v/>
      </c>
      <c r="E211" s="194"/>
      <c r="F211" s="194"/>
      <c r="G211" s="194"/>
      <c r="H211" s="194"/>
      <c r="I211" s="253" t="str">
        <f>IF(COUNTBLANK(E211:H211)=4,"",SUM(E211:G211)+IF(Setup!$I$15="No",0,H211))</f>
        <v/>
      </c>
      <c r="J211" s="194"/>
      <c r="K211" s="194"/>
      <c r="L211" s="194"/>
      <c r="M211" s="194"/>
      <c r="N211" s="257" t="str">
        <f>IF(COUNTBLANK(J211:M211)=4,"",SUM(J211:L211)+IF(Setup!$I$15="No",0,M211))</f>
        <v/>
      </c>
      <c r="O211" s="194"/>
      <c r="P211" s="194"/>
      <c r="Q211" s="194"/>
      <c r="R211" s="194"/>
      <c r="S211" s="257" t="str">
        <f>IF(COUNTBLANK(O211:R211)=4,"",SUM(O211:Q211)+IF(Setup!$I$15="No",0,R211))</f>
        <v/>
      </c>
      <c r="T211" s="194"/>
      <c r="U211" s="194"/>
      <c r="V211" s="194"/>
      <c r="W211" s="194"/>
      <c r="X211" s="257" t="str">
        <f>IF(COUNTBLANK(T211:W211)=4,"",SUM(T211:V211)+IF(Setup!$I$15="No",0,W211))</f>
        <v/>
      </c>
      <c r="Y211" s="194"/>
      <c r="Z211" s="194"/>
      <c r="AA211" s="194"/>
      <c r="AB211" s="194"/>
      <c r="AC211" s="257" t="str">
        <f>IF(COUNTBLANK(Y211:AB211)=4,"",SUM(Y211:AA211)+IF(Setup!$I$15="No",0,AB211))</f>
        <v/>
      </c>
      <c r="AD211" s="194"/>
      <c r="AE211" s="194"/>
      <c r="AF211" s="194"/>
      <c r="AG211" s="194"/>
      <c r="AH211" s="257" t="str">
        <f>IF(COUNTBLANK(AD211:AG211)=4,"",SUM(AD211:AF211)+IF(Setup!$I$15="No",0,AG211))</f>
        <v/>
      </c>
      <c r="AI211" s="194"/>
      <c r="AJ211" s="194"/>
      <c r="AK211" s="194"/>
      <c r="AL211" s="194"/>
      <c r="AM211" s="257" t="str">
        <f>IF(COUNTBLANK(AI211:AL211)=4,"",SUM(AI211:AK211)+IF(Setup!$I$15="No",0,AL211))</f>
        <v/>
      </c>
      <c r="AN211" s="194"/>
      <c r="AO211" s="194"/>
      <c r="AP211" s="194"/>
      <c r="AQ211" s="194"/>
      <c r="AR211" s="257" t="str">
        <f>IF(COUNTBLANK(AN211:AQ211)=4,"",SUM(AN211:AP211)+IF(Setup!$I$15="No",0,AQ211))</f>
        <v/>
      </c>
      <c r="AS211" s="194"/>
      <c r="AT211" s="194"/>
      <c r="AU211" s="194"/>
      <c r="AV211" s="194"/>
      <c r="AW211" s="257" t="str">
        <f>IF(COUNTBLANK(AS211:AV211)=4,"",SUM(AS211:AU211)+IF(Setup!$I$15="No",0,AV211))</f>
        <v/>
      </c>
      <c r="AX211" s="194"/>
      <c r="AY211" s="194"/>
      <c r="AZ211" s="194"/>
      <c r="BA211" s="194"/>
      <c r="BB211" s="257" t="str">
        <f>IF(COUNTBLANK(AX211:BA211)=4,"",SUM(AX211:AZ211)+IF(Setup!$I$15="No",0,BA211))</f>
        <v/>
      </c>
      <c r="BC211" s="261" t="str">
        <f ca="1">IF('Demand background (hide)'!A202=Num_Modalities,"",SUM(Demand!I211, Demand!N211))</f>
        <v/>
      </c>
      <c r="BD211" s="261" t="str">
        <f ca="1">IF(AND(A211&lt;=MaxRows,BE211&lt;&gt;"Yes"),'Demand background (hide)'!X202+IF(Setup!$I$15="Yes",'Demand background (hide)'!AJ202,0),"")</f>
        <v/>
      </c>
      <c r="BE211" s="211"/>
    </row>
    <row r="212" spans="1:57" ht="15" x14ac:dyDescent="0.25">
      <c r="A212" t="str">
        <f t="shared" ca="1" si="12"/>
        <v/>
      </c>
      <c r="B212" s="266" t="str">
        <f t="shared" ca="1" si="13"/>
        <v xml:space="preserve"> </v>
      </c>
      <c r="C212" s="267" t="str">
        <f t="shared" ca="1" si="14"/>
        <v/>
      </c>
      <c r="D212" s="424" t="str">
        <f t="shared" ca="1" si="15"/>
        <v/>
      </c>
      <c r="E212" s="194"/>
      <c r="F212" s="194"/>
      <c r="G212" s="194"/>
      <c r="H212" s="194"/>
      <c r="I212" s="253" t="str">
        <f>IF(COUNTBLANK(E212:H212)=4,"",SUM(E212:G212)+IF(Setup!$I$15="No",0,H212))</f>
        <v/>
      </c>
      <c r="J212" s="194"/>
      <c r="K212" s="194"/>
      <c r="L212" s="194"/>
      <c r="M212" s="194"/>
      <c r="N212" s="257" t="str">
        <f>IF(COUNTBLANK(J212:M212)=4,"",SUM(J212:L212)+IF(Setup!$I$15="No",0,M212))</f>
        <v/>
      </c>
      <c r="O212" s="194"/>
      <c r="P212" s="194"/>
      <c r="Q212" s="194"/>
      <c r="R212" s="194"/>
      <c r="S212" s="257" t="str">
        <f>IF(COUNTBLANK(O212:R212)=4,"",SUM(O212:Q212)+IF(Setup!$I$15="No",0,R212))</f>
        <v/>
      </c>
      <c r="T212" s="194"/>
      <c r="U212" s="194"/>
      <c r="V212" s="194"/>
      <c r="W212" s="194"/>
      <c r="X212" s="257" t="str">
        <f>IF(COUNTBLANK(T212:W212)=4,"",SUM(T212:V212)+IF(Setup!$I$15="No",0,W212))</f>
        <v/>
      </c>
      <c r="Y212" s="194"/>
      <c r="Z212" s="194"/>
      <c r="AA212" s="194"/>
      <c r="AB212" s="194"/>
      <c r="AC212" s="257" t="str">
        <f>IF(COUNTBLANK(Y212:AB212)=4,"",SUM(Y212:AA212)+IF(Setup!$I$15="No",0,AB212))</f>
        <v/>
      </c>
      <c r="AD212" s="194"/>
      <c r="AE212" s="194"/>
      <c r="AF212" s="194"/>
      <c r="AG212" s="194"/>
      <c r="AH212" s="257" t="str">
        <f>IF(COUNTBLANK(AD212:AG212)=4,"",SUM(AD212:AF212)+IF(Setup!$I$15="No",0,AG212))</f>
        <v/>
      </c>
      <c r="AI212" s="194"/>
      <c r="AJ212" s="194"/>
      <c r="AK212" s="194"/>
      <c r="AL212" s="194"/>
      <c r="AM212" s="257" t="str">
        <f>IF(COUNTBLANK(AI212:AL212)=4,"",SUM(AI212:AK212)+IF(Setup!$I$15="No",0,AL212))</f>
        <v/>
      </c>
      <c r="AN212" s="194"/>
      <c r="AO212" s="194"/>
      <c r="AP212" s="194"/>
      <c r="AQ212" s="194"/>
      <c r="AR212" s="257" t="str">
        <f>IF(COUNTBLANK(AN212:AQ212)=4,"",SUM(AN212:AP212)+IF(Setup!$I$15="No",0,AQ212))</f>
        <v/>
      </c>
      <c r="AS212" s="194"/>
      <c r="AT212" s="194"/>
      <c r="AU212" s="194"/>
      <c r="AV212" s="194"/>
      <c r="AW212" s="257" t="str">
        <f>IF(COUNTBLANK(AS212:AV212)=4,"",SUM(AS212:AU212)+IF(Setup!$I$15="No",0,AV212))</f>
        <v/>
      </c>
      <c r="AX212" s="194"/>
      <c r="AY212" s="194"/>
      <c r="AZ212" s="194"/>
      <c r="BA212" s="194"/>
      <c r="BB212" s="257" t="str">
        <f>IF(COUNTBLANK(AX212:BA212)=4,"",SUM(AX212:AZ212)+IF(Setup!$I$15="No",0,BA212))</f>
        <v/>
      </c>
      <c r="BC212" s="261" t="str">
        <f ca="1">IF('Demand background (hide)'!A203=Num_Modalities,"",SUM(Demand!I212, Demand!N212))</f>
        <v/>
      </c>
      <c r="BD212" s="261" t="str">
        <f ca="1">IF(AND(A212&lt;=MaxRows,BE212&lt;&gt;"Yes"),'Demand background (hide)'!X203+IF(Setup!$I$15="Yes",'Demand background (hide)'!AJ203,0),"")</f>
        <v/>
      </c>
      <c r="BE212" s="211"/>
    </row>
    <row r="213" spans="1:57" ht="15" x14ac:dyDescent="0.25">
      <c r="A213" t="str">
        <f t="shared" ca="1" si="12"/>
        <v/>
      </c>
      <c r="B213" s="266" t="str">
        <f t="shared" ca="1" si="13"/>
        <v xml:space="preserve"> </v>
      </c>
      <c r="C213" s="267" t="str">
        <f t="shared" ca="1" si="14"/>
        <v/>
      </c>
      <c r="D213" s="424" t="str">
        <f t="shared" ca="1" si="15"/>
        <v/>
      </c>
      <c r="E213" s="194"/>
      <c r="F213" s="194"/>
      <c r="G213" s="194"/>
      <c r="H213" s="194"/>
      <c r="I213" s="253" t="str">
        <f>IF(COUNTBLANK(E213:H213)=4,"",SUM(E213:G213)+IF(Setup!$I$15="No",0,H213))</f>
        <v/>
      </c>
      <c r="J213" s="194"/>
      <c r="K213" s="194"/>
      <c r="L213" s="194"/>
      <c r="M213" s="194"/>
      <c r="N213" s="257" t="str">
        <f>IF(COUNTBLANK(J213:M213)=4,"",SUM(J213:L213)+IF(Setup!$I$15="No",0,M213))</f>
        <v/>
      </c>
      <c r="O213" s="194"/>
      <c r="P213" s="194"/>
      <c r="Q213" s="194"/>
      <c r="R213" s="194"/>
      <c r="S213" s="257" t="str">
        <f>IF(COUNTBLANK(O213:R213)=4,"",SUM(O213:Q213)+IF(Setup!$I$15="No",0,R213))</f>
        <v/>
      </c>
      <c r="T213" s="194"/>
      <c r="U213" s="194"/>
      <c r="V213" s="194"/>
      <c r="W213" s="194"/>
      <c r="X213" s="257" t="str">
        <f>IF(COUNTBLANK(T213:W213)=4,"",SUM(T213:V213)+IF(Setup!$I$15="No",0,W213))</f>
        <v/>
      </c>
      <c r="Y213" s="194"/>
      <c r="Z213" s="194"/>
      <c r="AA213" s="194"/>
      <c r="AB213" s="194"/>
      <c r="AC213" s="257" t="str">
        <f>IF(COUNTBLANK(Y213:AB213)=4,"",SUM(Y213:AA213)+IF(Setup!$I$15="No",0,AB213))</f>
        <v/>
      </c>
      <c r="AD213" s="194"/>
      <c r="AE213" s="194"/>
      <c r="AF213" s="194"/>
      <c r="AG213" s="194"/>
      <c r="AH213" s="257" t="str">
        <f>IF(COUNTBLANK(AD213:AG213)=4,"",SUM(AD213:AF213)+IF(Setup!$I$15="No",0,AG213))</f>
        <v/>
      </c>
      <c r="AI213" s="194"/>
      <c r="AJ213" s="194"/>
      <c r="AK213" s="194"/>
      <c r="AL213" s="194"/>
      <c r="AM213" s="257" t="str">
        <f>IF(COUNTBLANK(AI213:AL213)=4,"",SUM(AI213:AK213)+IF(Setup!$I$15="No",0,AL213))</f>
        <v/>
      </c>
      <c r="AN213" s="194"/>
      <c r="AO213" s="194"/>
      <c r="AP213" s="194"/>
      <c r="AQ213" s="194"/>
      <c r="AR213" s="257" t="str">
        <f>IF(COUNTBLANK(AN213:AQ213)=4,"",SUM(AN213:AP213)+IF(Setup!$I$15="No",0,AQ213))</f>
        <v/>
      </c>
      <c r="AS213" s="194"/>
      <c r="AT213" s="194"/>
      <c r="AU213" s="194"/>
      <c r="AV213" s="194"/>
      <c r="AW213" s="257" t="str">
        <f>IF(COUNTBLANK(AS213:AV213)=4,"",SUM(AS213:AU213)+IF(Setup!$I$15="No",0,AV213))</f>
        <v/>
      </c>
      <c r="AX213" s="194"/>
      <c r="AY213" s="194"/>
      <c r="AZ213" s="194"/>
      <c r="BA213" s="194"/>
      <c r="BB213" s="257" t="str">
        <f>IF(COUNTBLANK(AX213:BA213)=4,"",SUM(AX213:AZ213)+IF(Setup!$I$15="No",0,BA213))</f>
        <v/>
      </c>
      <c r="BC213" s="261" t="str">
        <f ca="1">IF('Demand background (hide)'!A204=Num_Modalities,"",SUM(Demand!I213, Demand!N213))</f>
        <v/>
      </c>
      <c r="BD213" s="261" t="str">
        <f ca="1">IF(AND(A213&lt;=MaxRows,BE213&lt;&gt;"Yes"),'Demand background (hide)'!X204+IF(Setup!$I$15="Yes",'Demand background (hide)'!AJ204,0),"")</f>
        <v/>
      </c>
      <c r="BE213" s="211"/>
    </row>
    <row r="214" spans="1:57" ht="15" x14ac:dyDescent="0.25">
      <c r="A214" t="str">
        <f t="shared" ca="1" si="12"/>
        <v/>
      </c>
      <c r="B214" s="266" t="str">
        <f t="shared" ca="1" si="13"/>
        <v xml:space="preserve"> </v>
      </c>
      <c r="C214" s="267" t="str">
        <f t="shared" ca="1" si="14"/>
        <v/>
      </c>
      <c r="D214" s="424" t="str">
        <f t="shared" ca="1" si="15"/>
        <v/>
      </c>
      <c r="E214" s="194"/>
      <c r="F214" s="194"/>
      <c r="G214" s="194"/>
      <c r="H214" s="194"/>
      <c r="I214" s="253" t="str">
        <f>IF(COUNTBLANK(E214:H214)=4,"",SUM(E214:G214)+IF(Setup!$I$15="No",0,H214))</f>
        <v/>
      </c>
      <c r="J214" s="194"/>
      <c r="K214" s="194"/>
      <c r="L214" s="194"/>
      <c r="M214" s="194"/>
      <c r="N214" s="257" t="str">
        <f>IF(COUNTBLANK(J214:M214)=4,"",SUM(J214:L214)+IF(Setup!$I$15="No",0,M214))</f>
        <v/>
      </c>
      <c r="O214" s="194"/>
      <c r="P214" s="194"/>
      <c r="Q214" s="194"/>
      <c r="R214" s="194"/>
      <c r="S214" s="257" t="str">
        <f>IF(COUNTBLANK(O214:R214)=4,"",SUM(O214:Q214)+IF(Setup!$I$15="No",0,R214))</f>
        <v/>
      </c>
      <c r="T214" s="194"/>
      <c r="U214" s="194"/>
      <c r="V214" s="194"/>
      <c r="W214" s="194"/>
      <c r="X214" s="257" t="str">
        <f>IF(COUNTBLANK(T214:W214)=4,"",SUM(T214:V214)+IF(Setup!$I$15="No",0,W214))</f>
        <v/>
      </c>
      <c r="Y214" s="194"/>
      <c r="Z214" s="194"/>
      <c r="AA214" s="194"/>
      <c r="AB214" s="194"/>
      <c r="AC214" s="257" t="str">
        <f>IF(COUNTBLANK(Y214:AB214)=4,"",SUM(Y214:AA214)+IF(Setup!$I$15="No",0,AB214))</f>
        <v/>
      </c>
      <c r="AD214" s="194"/>
      <c r="AE214" s="194"/>
      <c r="AF214" s="194"/>
      <c r="AG214" s="194"/>
      <c r="AH214" s="257" t="str">
        <f>IF(COUNTBLANK(AD214:AG214)=4,"",SUM(AD214:AF214)+IF(Setup!$I$15="No",0,AG214))</f>
        <v/>
      </c>
      <c r="AI214" s="194"/>
      <c r="AJ214" s="194"/>
      <c r="AK214" s="194"/>
      <c r="AL214" s="194"/>
      <c r="AM214" s="257" t="str">
        <f>IF(COUNTBLANK(AI214:AL214)=4,"",SUM(AI214:AK214)+IF(Setup!$I$15="No",0,AL214))</f>
        <v/>
      </c>
      <c r="AN214" s="194"/>
      <c r="AO214" s="194"/>
      <c r="AP214" s="194"/>
      <c r="AQ214" s="194"/>
      <c r="AR214" s="257" t="str">
        <f>IF(COUNTBLANK(AN214:AQ214)=4,"",SUM(AN214:AP214)+IF(Setup!$I$15="No",0,AQ214))</f>
        <v/>
      </c>
      <c r="AS214" s="194"/>
      <c r="AT214" s="194"/>
      <c r="AU214" s="194"/>
      <c r="AV214" s="194"/>
      <c r="AW214" s="257" t="str">
        <f>IF(COUNTBLANK(AS214:AV214)=4,"",SUM(AS214:AU214)+IF(Setup!$I$15="No",0,AV214))</f>
        <v/>
      </c>
      <c r="AX214" s="194"/>
      <c r="AY214" s="194"/>
      <c r="AZ214" s="194"/>
      <c r="BA214" s="194"/>
      <c r="BB214" s="257" t="str">
        <f>IF(COUNTBLANK(AX214:BA214)=4,"",SUM(AX214:AZ214)+IF(Setup!$I$15="No",0,BA214))</f>
        <v/>
      </c>
      <c r="BC214" s="261" t="str">
        <f ca="1">IF('Demand background (hide)'!A205=Num_Modalities,"",SUM(Demand!I214, Demand!N214))</f>
        <v/>
      </c>
      <c r="BD214" s="261" t="str">
        <f ca="1">IF(AND(A214&lt;=MaxRows,BE214&lt;&gt;"Yes"),'Demand background (hide)'!X205+IF(Setup!$I$15="Yes",'Demand background (hide)'!AJ205,0),"")</f>
        <v/>
      </c>
      <c r="BE214" s="211"/>
    </row>
    <row r="215" spans="1:57" ht="15" x14ac:dyDescent="0.25">
      <c r="A215" t="str">
        <f t="shared" ca="1" si="12"/>
        <v/>
      </c>
      <c r="B215" s="266" t="str">
        <f t="shared" ca="1" si="13"/>
        <v xml:space="preserve"> </v>
      </c>
      <c r="C215" s="267" t="str">
        <f t="shared" ca="1" si="14"/>
        <v/>
      </c>
      <c r="D215" s="424" t="str">
        <f t="shared" ca="1" si="15"/>
        <v/>
      </c>
      <c r="E215" s="194"/>
      <c r="F215" s="194"/>
      <c r="G215" s="194"/>
      <c r="H215" s="194"/>
      <c r="I215" s="253" t="str">
        <f>IF(COUNTBLANK(E215:H215)=4,"",SUM(E215:G215)+IF(Setup!$I$15="No",0,H215))</f>
        <v/>
      </c>
      <c r="J215" s="194"/>
      <c r="K215" s="194"/>
      <c r="L215" s="194"/>
      <c r="M215" s="194"/>
      <c r="N215" s="257" t="str">
        <f>IF(COUNTBLANK(J215:M215)=4,"",SUM(J215:L215)+IF(Setup!$I$15="No",0,M215))</f>
        <v/>
      </c>
      <c r="O215" s="194"/>
      <c r="P215" s="194"/>
      <c r="Q215" s="194"/>
      <c r="R215" s="194"/>
      <c r="S215" s="257" t="str">
        <f>IF(COUNTBLANK(O215:R215)=4,"",SUM(O215:Q215)+IF(Setup!$I$15="No",0,R215))</f>
        <v/>
      </c>
      <c r="T215" s="194"/>
      <c r="U215" s="194"/>
      <c r="V215" s="194"/>
      <c r="W215" s="194"/>
      <c r="X215" s="257" t="str">
        <f>IF(COUNTBLANK(T215:W215)=4,"",SUM(T215:V215)+IF(Setup!$I$15="No",0,W215))</f>
        <v/>
      </c>
      <c r="Y215" s="194"/>
      <c r="Z215" s="194"/>
      <c r="AA215" s="194"/>
      <c r="AB215" s="194"/>
      <c r="AC215" s="257" t="str">
        <f>IF(COUNTBLANK(Y215:AB215)=4,"",SUM(Y215:AA215)+IF(Setup!$I$15="No",0,AB215))</f>
        <v/>
      </c>
      <c r="AD215" s="194"/>
      <c r="AE215" s="194"/>
      <c r="AF215" s="194"/>
      <c r="AG215" s="194"/>
      <c r="AH215" s="257" t="str">
        <f>IF(COUNTBLANK(AD215:AG215)=4,"",SUM(AD215:AF215)+IF(Setup!$I$15="No",0,AG215))</f>
        <v/>
      </c>
      <c r="AI215" s="194"/>
      <c r="AJ215" s="194"/>
      <c r="AK215" s="194"/>
      <c r="AL215" s="194"/>
      <c r="AM215" s="257" t="str">
        <f>IF(COUNTBLANK(AI215:AL215)=4,"",SUM(AI215:AK215)+IF(Setup!$I$15="No",0,AL215))</f>
        <v/>
      </c>
      <c r="AN215" s="194"/>
      <c r="AO215" s="194"/>
      <c r="AP215" s="194"/>
      <c r="AQ215" s="194"/>
      <c r="AR215" s="257" t="str">
        <f>IF(COUNTBLANK(AN215:AQ215)=4,"",SUM(AN215:AP215)+IF(Setup!$I$15="No",0,AQ215))</f>
        <v/>
      </c>
      <c r="AS215" s="194"/>
      <c r="AT215" s="194"/>
      <c r="AU215" s="194"/>
      <c r="AV215" s="194"/>
      <c r="AW215" s="257" t="str">
        <f>IF(COUNTBLANK(AS215:AV215)=4,"",SUM(AS215:AU215)+IF(Setup!$I$15="No",0,AV215))</f>
        <v/>
      </c>
      <c r="AX215" s="194"/>
      <c r="AY215" s="194"/>
      <c r="AZ215" s="194"/>
      <c r="BA215" s="194"/>
      <c r="BB215" s="257" t="str">
        <f>IF(COUNTBLANK(AX215:BA215)=4,"",SUM(AX215:AZ215)+IF(Setup!$I$15="No",0,BA215))</f>
        <v/>
      </c>
      <c r="BC215" s="261" t="str">
        <f ca="1">IF('Demand background (hide)'!A206=Num_Modalities,"",SUM(Demand!I215, Demand!N215))</f>
        <v/>
      </c>
      <c r="BD215" s="261" t="str">
        <f ca="1">IF(AND(A215&lt;=MaxRows,BE215&lt;&gt;"Yes"),'Demand background (hide)'!X206+IF(Setup!$I$15="Yes",'Demand background (hide)'!AJ206,0),"")</f>
        <v/>
      </c>
      <c r="BE215" s="211"/>
    </row>
    <row r="216" spans="1:57" ht="15" x14ac:dyDescent="0.25">
      <c r="A216" t="str">
        <f t="shared" ca="1" si="12"/>
        <v/>
      </c>
      <c r="B216" s="266" t="str">
        <f t="shared" ca="1" si="13"/>
        <v xml:space="preserve"> </v>
      </c>
      <c r="C216" s="267" t="str">
        <f t="shared" ca="1" si="14"/>
        <v/>
      </c>
      <c r="D216" s="424" t="str">
        <f t="shared" ca="1" si="15"/>
        <v/>
      </c>
      <c r="E216" s="194"/>
      <c r="F216" s="194"/>
      <c r="G216" s="194"/>
      <c r="H216" s="194"/>
      <c r="I216" s="253" t="str">
        <f>IF(COUNTBLANK(E216:H216)=4,"",SUM(E216:G216)+IF(Setup!$I$15="No",0,H216))</f>
        <v/>
      </c>
      <c r="J216" s="194"/>
      <c r="K216" s="194"/>
      <c r="L216" s="194"/>
      <c r="M216" s="194"/>
      <c r="N216" s="257" t="str">
        <f>IF(COUNTBLANK(J216:M216)=4,"",SUM(J216:L216)+IF(Setup!$I$15="No",0,M216))</f>
        <v/>
      </c>
      <c r="O216" s="194"/>
      <c r="P216" s="194"/>
      <c r="Q216" s="194"/>
      <c r="R216" s="194"/>
      <c r="S216" s="257" t="str">
        <f>IF(COUNTBLANK(O216:R216)=4,"",SUM(O216:Q216)+IF(Setup!$I$15="No",0,R216))</f>
        <v/>
      </c>
      <c r="T216" s="194"/>
      <c r="U216" s="194"/>
      <c r="V216" s="194"/>
      <c r="W216" s="194"/>
      <c r="X216" s="257" t="str">
        <f>IF(COUNTBLANK(T216:W216)=4,"",SUM(T216:V216)+IF(Setup!$I$15="No",0,W216))</f>
        <v/>
      </c>
      <c r="Y216" s="194"/>
      <c r="Z216" s="194"/>
      <c r="AA216" s="194"/>
      <c r="AB216" s="194"/>
      <c r="AC216" s="257" t="str">
        <f>IF(COUNTBLANK(Y216:AB216)=4,"",SUM(Y216:AA216)+IF(Setup!$I$15="No",0,AB216))</f>
        <v/>
      </c>
      <c r="AD216" s="194"/>
      <c r="AE216" s="194"/>
      <c r="AF216" s="194"/>
      <c r="AG216" s="194"/>
      <c r="AH216" s="257" t="str">
        <f>IF(COUNTBLANK(AD216:AG216)=4,"",SUM(AD216:AF216)+IF(Setup!$I$15="No",0,AG216))</f>
        <v/>
      </c>
      <c r="AI216" s="194"/>
      <c r="AJ216" s="194"/>
      <c r="AK216" s="194"/>
      <c r="AL216" s="194"/>
      <c r="AM216" s="257" t="str">
        <f>IF(COUNTBLANK(AI216:AL216)=4,"",SUM(AI216:AK216)+IF(Setup!$I$15="No",0,AL216))</f>
        <v/>
      </c>
      <c r="AN216" s="194"/>
      <c r="AO216" s="194"/>
      <c r="AP216" s="194"/>
      <c r="AQ216" s="194"/>
      <c r="AR216" s="257" t="str">
        <f>IF(COUNTBLANK(AN216:AQ216)=4,"",SUM(AN216:AP216)+IF(Setup!$I$15="No",0,AQ216))</f>
        <v/>
      </c>
      <c r="AS216" s="194"/>
      <c r="AT216" s="194"/>
      <c r="AU216" s="194"/>
      <c r="AV216" s="194"/>
      <c r="AW216" s="257" t="str">
        <f>IF(COUNTBLANK(AS216:AV216)=4,"",SUM(AS216:AU216)+IF(Setup!$I$15="No",0,AV216))</f>
        <v/>
      </c>
      <c r="AX216" s="194"/>
      <c r="AY216" s="194"/>
      <c r="AZ216" s="194"/>
      <c r="BA216" s="194"/>
      <c r="BB216" s="257" t="str">
        <f>IF(COUNTBLANK(AX216:BA216)=4,"",SUM(AX216:AZ216)+IF(Setup!$I$15="No",0,BA216))</f>
        <v/>
      </c>
      <c r="BC216" s="261" t="str">
        <f ca="1">IF('Demand background (hide)'!A207=Num_Modalities,"",SUM(Demand!I216, Demand!N216))</f>
        <v/>
      </c>
      <c r="BD216" s="261" t="str">
        <f ca="1">IF(AND(A216&lt;=MaxRows,BE216&lt;&gt;"Yes"),'Demand background (hide)'!X207+IF(Setup!$I$15="Yes",'Demand background (hide)'!AJ207,0),"")</f>
        <v/>
      </c>
      <c r="BE216" s="211"/>
    </row>
    <row r="217" spans="1:57" ht="15" x14ac:dyDescent="0.25">
      <c r="A217" t="str">
        <f t="shared" ca="1" si="12"/>
        <v/>
      </c>
      <c r="B217" s="266" t="str">
        <f t="shared" ca="1" si="13"/>
        <v xml:space="preserve"> </v>
      </c>
      <c r="C217" s="267" t="str">
        <f t="shared" ca="1" si="14"/>
        <v/>
      </c>
      <c r="D217" s="424" t="str">
        <f t="shared" ca="1" si="15"/>
        <v/>
      </c>
      <c r="E217" s="194"/>
      <c r="F217" s="194"/>
      <c r="G217" s="194"/>
      <c r="H217" s="194"/>
      <c r="I217" s="253" t="str">
        <f>IF(COUNTBLANK(E217:H217)=4,"",SUM(E217:G217)+IF(Setup!$I$15="No",0,H217))</f>
        <v/>
      </c>
      <c r="J217" s="194"/>
      <c r="K217" s="194"/>
      <c r="L217" s="194"/>
      <c r="M217" s="194"/>
      <c r="N217" s="257" t="str">
        <f>IF(COUNTBLANK(J217:M217)=4,"",SUM(J217:L217)+IF(Setup!$I$15="No",0,M217))</f>
        <v/>
      </c>
      <c r="O217" s="194"/>
      <c r="P217" s="194"/>
      <c r="Q217" s="194"/>
      <c r="R217" s="194"/>
      <c r="S217" s="257" t="str">
        <f>IF(COUNTBLANK(O217:R217)=4,"",SUM(O217:Q217)+IF(Setup!$I$15="No",0,R217))</f>
        <v/>
      </c>
      <c r="T217" s="194"/>
      <c r="U217" s="194"/>
      <c r="V217" s="194"/>
      <c r="W217" s="194"/>
      <c r="X217" s="257" t="str">
        <f>IF(COUNTBLANK(T217:W217)=4,"",SUM(T217:V217)+IF(Setup!$I$15="No",0,W217))</f>
        <v/>
      </c>
      <c r="Y217" s="194"/>
      <c r="Z217" s="194"/>
      <c r="AA217" s="194"/>
      <c r="AB217" s="194"/>
      <c r="AC217" s="257" t="str">
        <f>IF(COUNTBLANK(Y217:AB217)=4,"",SUM(Y217:AA217)+IF(Setup!$I$15="No",0,AB217))</f>
        <v/>
      </c>
      <c r="AD217" s="194"/>
      <c r="AE217" s="194"/>
      <c r="AF217" s="194"/>
      <c r="AG217" s="194"/>
      <c r="AH217" s="257" t="str">
        <f>IF(COUNTBLANK(AD217:AG217)=4,"",SUM(AD217:AF217)+IF(Setup!$I$15="No",0,AG217))</f>
        <v/>
      </c>
      <c r="AI217" s="194"/>
      <c r="AJ217" s="194"/>
      <c r="AK217" s="194"/>
      <c r="AL217" s="194"/>
      <c r="AM217" s="257" t="str">
        <f>IF(COUNTBLANK(AI217:AL217)=4,"",SUM(AI217:AK217)+IF(Setup!$I$15="No",0,AL217))</f>
        <v/>
      </c>
      <c r="AN217" s="194"/>
      <c r="AO217" s="194"/>
      <c r="AP217" s="194"/>
      <c r="AQ217" s="194"/>
      <c r="AR217" s="257" t="str">
        <f>IF(COUNTBLANK(AN217:AQ217)=4,"",SUM(AN217:AP217)+IF(Setup!$I$15="No",0,AQ217))</f>
        <v/>
      </c>
      <c r="AS217" s="194"/>
      <c r="AT217" s="194"/>
      <c r="AU217" s="194"/>
      <c r="AV217" s="194"/>
      <c r="AW217" s="257" t="str">
        <f>IF(COUNTBLANK(AS217:AV217)=4,"",SUM(AS217:AU217)+IF(Setup!$I$15="No",0,AV217))</f>
        <v/>
      </c>
      <c r="AX217" s="194"/>
      <c r="AY217" s="194"/>
      <c r="AZ217" s="194"/>
      <c r="BA217" s="194"/>
      <c r="BB217" s="257" t="str">
        <f>IF(COUNTBLANK(AX217:BA217)=4,"",SUM(AX217:AZ217)+IF(Setup!$I$15="No",0,BA217))</f>
        <v/>
      </c>
      <c r="BC217" s="261" t="str">
        <f ca="1">IF('Demand background (hide)'!A208=Num_Modalities,"",SUM(Demand!I217, Demand!N217))</f>
        <v/>
      </c>
      <c r="BD217" s="261" t="str">
        <f ca="1">IF(AND(A217&lt;=MaxRows,BE217&lt;&gt;"Yes"),'Demand background (hide)'!X208+IF(Setup!$I$15="Yes",'Demand background (hide)'!AJ208,0),"")</f>
        <v/>
      </c>
      <c r="BE217" s="211"/>
    </row>
    <row r="218" spans="1:57" ht="15" x14ac:dyDescent="0.25">
      <c r="A218" t="str">
        <f t="shared" ca="1" si="12"/>
        <v/>
      </c>
      <c r="B218" s="266" t="str">
        <f t="shared" ca="1" si="13"/>
        <v xml:space="preserve"> </v>
      </c>
      <c r="C218" s="267" t="str">
        <f t="shared" ca="1" si="14"/>
        <v/>
      </c>
      <c r="D218" s="424" t="str">
        <f t="shared" ca="1" si="15"/>
        <v/>
      </c>
      <c r="E218" s="194"/>
      <c r="F218" s="194"/>
      <c r="G218" s="194"/>
      <c r="H218" s="194"/>
      <c r="I218" s="253" t="str">
        <f>IF(COUNTBLANK(E218:H218)=4,"",SUM(E218:G218)+IF(Setup!$I$15="No",0,H218))</f>
        <v/>
      </c>
      <c r="J218" s="194"/>
      <c r="K218" s="194"/>
      <c r="L218" s="194"/>
      <c r="M218" s="194"/>
      <c r="N218" s="257" t="str">
        <f>IF(COUNTBLANK(J218:M218)=4,"",SUM(J218:L218)+IF(Setup!$I$15="No",0,M218))</f>
        <v/>
      </c>
      <c r="O218" s="194"/>
      <c r="P218" s="194"/>
      <c r="Q218" s="194"/>
      <c r="R218" s="194"/>
      <c r="S218" s="257" t="str">
        <f>IF(COUNTBLANK(O218:R218)=4,"",SUM(O218:Q218)+IF(Setup!$I$15="No",0,R218))</f>
        <v/>
      </c>
      <c r="T218" s="194"/>
      <c r="U218" s="194"/>
      <c r="V218" s="194"/>
      <c r="W218" s="194"/>
      <c r="X218" s="257" t="str">
        <f>IF(COUNTBLANK(T218:W218)=4,"",SUM(T218:V218)+IF(Setup!$I$15="No",0,W218))</f>
        <v/>
      </c>
      <c r="Y218" s="194"/>
      <c r="Z218" s="194"/>
      <c r="AA218" s="194"/>
      <c r="AB218" s="194"/>
      <c r="AC218" s="257" t="str">
        <f>IF(COUNTBLANK(Y218:AB218)=4,"",SUM(Y218:AA218)+IF(Setup!$I$15="No",0,AB218))</f>
        <v/>
      </c>
      <c r="AD218" s="194"/>
      <c r="AE218" s="194"/>
      <c r="AF218" s="194"/>
      <c r="AG218" s="194"/>
      <c r="AH218" s="257" t="str">
        <f>IF(COUNTBLANK(AD218:AG218)=4,"",SUM(AD218:AF218)+IF(Setup!$I$15="No",0,AG218))</f>
        <v/>
      </c>
      <c r="AI218" s="194"/>
      <c r="AJ218" s="194"/>
      <c r="AK218" s="194"/>
      <c r="AL218" s="194"/>
      <c r="AM218" s="257" t="str">
        <f>IF(COUNTBLANK(AI218:AL218)=4,"",SUM(AI218:AK218)+IF(Setup!$I$15="No",0,AL218))</f>
        <v/>
      </c>
      <c r="AN218" s="194"/>
      <c r="AO218" s="194"/>
      <c r="AP218" s="194"/>
      <c r="AQ218" s="194"/>
      <c r="AR218" s="257" t="str">
        <f>IF(COUNTBLANK(AN218:AQ218)=4,"",SUM(AN218:AP218)+IF(Setup!$I$15="No",0,AQ218))</f>
        <v/>
      </c>
      <c r="AS218" s="194"/>
      <c r="AT218" s="194"/>
      <c r="AU218" s="194"/>
      <c r="AV218" s="194"/>
      <c r="AW218" s="257" t="str">
        <f>IF(COUNTBLANK(AS218:AV218)=4,"",SUM(AS218:AU218)+IF(Setup!$I$15="No",0,AV218))</f>
        <v/>
      </c>
      <c r="AX218" s="194"/>
      <c r="AY218" s="194"/>
      <c r="AZ218" s="194"/>
      <c r="BA218" s="194"/>
      <c r="BB218" s="257" t="str">
        <f>IF(COUNTBLANK(AX218:BA218)=4,"",SUM(AX218:AZ218)+IF(Setup!$I$15="No",0,BA218))</f>
        <v/>
      </c>
      <c r="BC218" s="261" t="str">
        <f ca="1">IF('Demand background (hide)'!A209=Num_Modalities,"",SUM(Demand!I218, Demand!N218))</f>
        <v/>
      </c>
      <c r="BD218" s="261" t="str">
        <f ca="1">IF(AND(A218&lt;=MaxRows,BE218&lt;&gt;"Yes"),'Demand background (hide)'!X209+IF(Setup!$I$15="Yes",'Demand background (hide)'!AJ209,0),"")</f>
        <v/>
      </c>
      <c r="BE218" s="211"/>
    </row>
    <row r="219" spans="1:57" ht="15" x14ac:dyDescent="0.25">
      <c r="A219" t="str">
        <f t="shared" ca="1" si="12"/>
        <v/>
      </c>
      <c r="B219" s="266" t="str">
        <f t="shared" ca="1" si="13"/>
        <v xml:space="preserve"> </v>
      </c>
      <c r="C219" s="267" t="str">
        <f t="shared" ca="1" si="14"/>
        <v/>
      </c>
      <c r="D219" s="424" t="str">
        <f t="shared" ca="1" si="15"/>
        <v/>
      </c>
      <c r="E219" s="194"/>
      <c r="F219" s="194"/>
      <c r="G219" s="194"/>
      <c r="H219" s="194"/>
      <c r="I219" s="253" t="str">
        <f>IF(COUNTBLANK(E219:H219)=4,"",SUM(E219:G219)+IF(Setup!$I$15="No",0,H219))</f>
        <v/>
      </c>
      <c r="J219" s="194"/>
      <c r="K219" s="194"/>
      <c r="L219" s="194"/>
      <c r="M219" s="194"/>
      <c r="N219" s="257" t="str">
        <f>IF(COUNTBLANK(J219:M219)=4,"",SUM(J219:L219)+IF(Setup!$I$15="No",0,M219))</f>
        <v/>
      </c>
      <c r="O219" s="194"/>
      <c r="P219" s="194"/>
      <c r="Q219" s="194"/>
      <c r="R219" s="194"/>
      <c r="S219" s="257" t="str">
        <f>IF(COUNTBLANK(O219:R219)=4,"",SUM(O219:Q219)+IF(Setup!$I$15="No",0,R219))</f>
        <v/>
      </c>
      <c r="T219" s="194"/>
      <c r="U219" s="194"/>
      <c r="V219" s="194"/>
      <c r="W219" s="194"/>
      <c r="X219" s="257" t="str">
        <f>IF(COUNTBLANK(T219:W219)=4,"",SUM(T219:V219)+IF(Setup!$I$15="No",0,W219))</f>
        <v/>
      </c>
      <c r="Y219" s="194"/>
      <c r="Z219" s="194"/>
      <c r="AA219" s="194"/>
      <c r="AB219" s="194"/>
      <c r="AC219" s="257" t="str">
        <f>IF(COUNTBLANK(Y219:AB219)=4,"",SUM(Y219:AA219)+IF(Setup!$I$15="No",0,AB219))</f>
        <v/>
      </c>
      <c r="AD219" s="194"/>
      <c r="AE219" s="194"/>
      <c r="AF219" s="194"/>
      <c r="AG219" s="194"/>
      <c r="AH219" s="257" t="str">
        <f>IF(COUNTBLANK(AD219:AG219)=4,"",SUM(AD219:AF219)+IF(Setup!$I$15="No",0,AG219))</f>
        <v/>
      </c>
      <c r="AI219" s="194"/>
      <c r="AJ219" s="194"/>
      <c r="AK219" s="194"/>
      <c r="AL219" s="194"/>
      <c r="AM219" s="257" t="str">
        <f>IF(COUNTBLANK(AI219:AL219)=4,"",SUM(AI219:AK219)+IF(Setup!$I$15="No",0,AL219))</f>
        <v/>
      </c>
      <c r="AN219" s="194"/>
      <c r="AO219" s="194"/>
      <c r="AP219" s="194"/>
      <c r="AQ219" s="194"/>
      <c r="AR219" s="257" t="str">
        <f>IF(COUNTBLANK(AN219:AQ219)=4,"",SUM(AN219:AP219)+IF(Setup!$I$15="No",0,AQ219))</f>
        <v/>
      </c>
      <c r="AS219" s="194"/>
      <c r="AT219" s="194"/>
      <c r="AU219" s="194"/>
      <c r="AV219" s="194"/>
      <c r="AW219" s="257" t="str">
        <f>IF(COUNTBLANK(AS219:AV219)=4,"",SUM(AS219:AU219)+IF(Setup!$I$15="No",0,AV219))</f>
        <v/>
      </c>
      <c r="AX219" s="194"/>
      <c r="AY219" s="194"/>
      <c r="AZ219" s="194"/>
      <c r="BA219" s="194"/>
      <c r="BB219" s="257" t="str">
        <f>IF(COUNTBLANK(AX219:BA219)=4,"",SUM(AX219:AZ219)+IF(Setup!$I$15="No",0,BA219))</f>
        <v/>
      </c>
      <c r="BC219" s="261" t="str">
        <f ca="1">IF('Demand background (hide)'!A210=Num_Modalities,"",SUM(Demand!I219, Demand!N219))</f>
        <v/>
      </c>
      <c r="BD219" s="261" t="str">
        <f ca="1">IF(AND(A219&lt;=MaxRows,BE219&lt;&gt;"Yes"),'Demand background (hide)'!X210+IF(Setup!$I$15="Yes",'Demand background (hide)'!AJ210,0),"")</f>
        <v/>
      </c>
      <c r="BE219" s="211"/>
    </row>
    <row r="220" spans="1:57" ht="15" x14ac:dyDescent="0.25">
      <c r="A220" t="str">
        <f t="shared" ca="1" si="12"/>
        <v/>
      </c>
      <c r="B220" s="266" t="str">
        <f t="shared" ca="1" si="13"/>
        <v xml:space="preserve"> </v>
      </c>
      <c r="C220" s="267" t="str">
        <f t="shared" ca="1" si="14"/>
        <v/>
      </c>
      <c r="D220" s="424" t="str">
        <f t="shared" ca="1" si="15"/>
        <v/>
      </c>
      <c r="E220" s="194"/>
      <c r="F220" s="194"/>
      <c r="G220" s="194"/>
      <c r="H220" s="194"/>
      <c r="I220" s="253" t="str">
        <f>IF(COUNTBLANK(E220:H220)=4,"",SUM(E220:G220)+IF(Setup!$I$15="No",0,H220))</f>
        <v/>
      </c>
      <c r="J220" s="194"/>
      <c r="K220" s="194"/>
      <c r="L220" s="194"/>
      <c r="M220" s="194"/>
      <c r="N220" s="257" t="str">
        <f>IF(COUNTBLANK(J220:M220)=4,"",SUM(J220:L220)+IF(Setup!$I$15="No",0,M220))</f>
        <v/>
      </c>
      <c r="O220" s="194"/>
      <c r="P220" s="194"/>
      <c r="Q220" s="194"/>
      <c r="R220" s="194"/>
      <c r="S220" s="257" t="str">
        <f>IF(COUNTBLANK(O220:R220)=4,"",SUM(O220:Q220)+IF(Setup!$I$15="No",0,R220))</f>
        <v/>
      </c>
      <c r="T220" s="194"/>
      <c r="U220" s="194"/>
      <c r="V220" s="194"/>
      <c r="W220" s="194"/>
      <c r="X220" s="257" t="str">
        <f>IF(COUNTBLANK(T220:W220)=4,"",SUM(T220:V220)+IF(Setup!$I$15="No",0,W220))</f>
        <v/>
      </c>
      <c r="Y220" s="194"/>
      <c r="Z220" s="194"/>
      <c r="AA220" s="194"/>
      <c r="AB220" s="194"/>
      <c r="AC220" s="257" t="str">
        <f>IF(COUNTBLANK(Y220:AB220)=4,"",SUM(Y220:AA220)+IF(Setup!$I$15="No",0,AB220))</f>
        <v/>
      </c>
      <c r="AD220" s="194"/>
      <c r="AE220" s="194"/>
      <c r="AF220" s="194"/>
      <c r="AG220" s="194"/>
      <c r="AH220" s="257" t="str">
        <f>IF(COUNTBLANK(AD220:AG220)=4,"",SUM(AD220:AF220)+IF(Setup!$I$15="No",0,AG220))</f>
        <v/>
      </c>
      <c r="AI220" s="194"/>
      <c r="AJ220" s="194"/>
      <c r="AK220" s="194"/>
      <c r="AL220" s="194"/>
      <c r="AM220" s="257" t="str">
        <f>IF(COUNTBLANK(AI220:AL220)=4,"",SUM(AI220:AK220)+IF(Setup!$I$15="No",0,AL220))</f>
        <v/>
      </c>
      <c r="AN220" s="194"/>
      <c r="AO220" s="194"/>
      <c r="AP220" s="194"/>
      <c r="AQ220" s="194"/>
      <c r="AR220" s="257" t="str">
        <f>IF(COUNTBLANK(AN220:AQ220)=4,"",SUM(AN220:AP220)+IF(Setup!$I$15="No",0,AQ220))</f>
        <v/>
      </c>
      <c r="AS220" s="194"/>
      <c r="AT220" s="194"/>
      <c r="AU220" s="194"/>
      <c r="AV220" s="194"/>
      <c r="AW220" s="257" t="str">
        <f>IF(COUNTBLANK(AS220:AV220)=4,"",SUM(AS220:AU220)+IF(Setup!$I$15="No",0,AV220))</f>
        <v/>
      </c>
      <c r="AX220" s="194"/>
      <c r="AY220" s="194"/>
      <c r="AZ220" s="194"/>
      <c r="BA220" s="194"/>
      <c r="BB220" s="257" t="str">
        <f>IF(COUNTBLANK(AX220:BA220)=4,"",SUM(AX220:AZ220)+IF(Setup!$I$15="No",0,BA220))</f>
        <v/>
      </c>
      <c r="BC220" s="261" t="str">
        <f ca="1">IF('Demand background (hide)'!A211=Num_Modalities,"",SUM(Demand!I220, Demand!N220))</f>
        <v/>
      </c>
      <c r="BD220" s="261" t="str">
        <f ca="1">IF(AND(A220&lt;=MaxRows,BE220&lt;&gt;"Yes"),'Demand background (hide)'!X211+IF(Setup!$I$15="Yes",'Demand background (hide)'!AJ211,0),"")</f>
        <v/>
      </c>
      <c r="BE220" s="211"/>
    </row>
    <row r="221" spans="1:57" ht="15" x14ac:dyDescent="0.25">
      <c r="A221" t="str">
        <f t="shared" ca="1" si="12"/>
        <v/>
      </c>
      <c r="B221" s="266" t="str">
        <f t="shared" ca="1" si="13"/>
        <v xml:space="preserve"> </v>
      </c>
      <c r="C221" s="267" t="str">
        <f t="shared" ca="1" si="14"/>
        <v/>
      </c>
      <c r="D221" s="424" t="str">
        <f t="shared" ca="1" si="15"/>
        <v/>
      </c>
      <c r="E221" s="194"/>
      <c r="F221" s="194"/>
      <c r="G221" s="194"/>
      <c r="H221" s="194"/>
      <c r="I221" s="253" t="str">
        <f>IF(COUNTBLANK(E221:H221)=4,"",SUM(E221:G221)+IF(Setup!$I$15="No",0,H221))</f>
        <v/>
      </c>
      <c r="J221" s="194"/>
      <c r="K221" s="194"/>
      <c r="L221" s="194"/>
      <c r="M221" s="194"/>
      <c r="N221" s="257" t="str">
        <f>IF(COUNTBLANK(J221:M221)=4,"",SUM(J221:L221)+IF(Setup!$I$15="No",0,M221))</f>
        <v/>
      </c>
      <c r="O221" s="194"/>
      <c r="P221" s="194"/>
      <c r="Q221" s="194"/>
      <c r="R221" s="194"/>
      <c r="S221" s="257" t="str">
        <f>IF(COUNTBLANK(O221:R221)=4,"",SUM(O221:Q221)+IF(Setup!$I$15="No",0,R221))</f>
        <v/>
      </c>
      <c r="T221" s="194"/>
      <c r="U221" s="194"/>
      <c r="V221" s="194"/>
      <c r="W221" s="194"/>
      <c r="X221" s="257" t="str">
        <f>IF(COUNTBLANK(T221:W221)=4,"",SUM(T221:V221)+IF(Setup!$I$15="No",0,W221))</f>
        <v/>
      </c>
      <c r="Y221" s="194"/>
      <c r="Z221" s="194"/>
      <c r="AA221" s="194"/>
      <c r="AB221" s="194"/>
      <c r="AC221" s="257" t="str">
        <f>IF(COUNTBLANK(Y221:AB221)=4,"",SUM(Y221:AA221)+IF(Setup!$I$15="No",0,AB221))</f>
        <v/>
      </c>
      <c r="AD221" s="194"/>
      <c r="AE221" s="194"/>
      <c r="AF221" s="194"/>
      <c r="AG221" s="194"/>
      <c r="AH221" s="257" t="str">
        <f>IF(COUNTBLANK(AD221:AG221)=4,"",SUM(AD221:AF221)+IF(Setup!$I$15="No",0,AG221))</f>
        <v/>
      </c>
      <c r="AI221" s="194"/>
      <c r="AJ221" s="194"/>
      <c r="AK221" s="194"/>
      <c r="AL221" s="194"/>
      <c r="AM221" s="257" t="str">
        <f>IF(COUNTBLANK(AI221:AL221)=4,"",SUM(AI221:AK221)+IF(Setup!$I$15="No",0,AL221))</f>
        <v/>
      </c>
      <c r="AN221" s="194"/>
      <c r="AO221" s="194"/>
      <c r="AP221" s="194"/>
      <c r="AQ221" s="194"/>
      <c r="AR221" s="257" t="str">
        <f>IF(COUNTBLANK(AN221:AQ221)=4,"",SUM(AN221:AP221)+IF(Setup!$I$15="No",0,AQ221))</f>
        <v/>
      </c>
      <c r="AS221" s="194"/>
      <c r="AT221" s="194"/>
      <c r="AU221" s="194"/>
      <c r="AV221" s="194"/>
      <c r="AW221" s="257" t="str">
        <f>IF(COUNTBLANK(AS221:AV221)=4,"",SUM(AS221:AU221)+IF(Setup!$I$15="No",0,AV221))</f>
        <v/>
      </c>
      <c r="AX221" s="194"/>
      <c r="AY221" s="194"/>
      <c r="AZ221" s="194"/>
      <c r="BA221" s="194"/>
      <c r="BB221" s="257" t="str">
        <f>IF(COUNTBLANK(AX221:BA221)=4,"",SUM(AX221:AZ221)+IF(Setup!$I$15="No",0,BA221))</f>
        <v/>
      </c>
      <c r="BC221" s="261" t="str">
        <f ca="1">IF('Demand background (hide)'!A212=Num_Modalities,"",SUM(Demand!I221, Demand!N221))</f>
        <v/>
      </c>
      <c r="BD221" s="261" t="str">
        <f ca="1">IF(AND(A221&lt;=MaxRows,BE221&lt;&gt;"Yes"),'Demand background (hide)'!X212+IF(Setup!$I$15="Yes",'Demand background (hide)'!AJ212,0),"")</f>
        <v/>
      </c>
      <c r="BE221" s="211"/>
    </row>
    <row r="222" spans="1:57" ht="15" x14ac:dyDescent="0.25">
      <c r="A222" t="str">
        <f t="shared" ca="1" si="12"/>
        <v/>
      </c>
      <c r="B222" s="266" t="str">
        <f t="shared" ca="1" si="13"/>
        <v xml:space="preserve"> </v>
      </c>
      <c r="C222" s="267" t="str">
        <f t="shared" ca="1" si="14"/>
        <v/>
      </c>
      <c r="D222" s="424" t="str">
        <f t="shared" ca="1" si="15"/>
        <v/>
      </c>
      <c r="E222" s="194"/>
      <c r="F222" s="194"/>
      <c r="G222" s="194"/>
      <c r="H222" s="194"/>
      <c r="I222" s="253" t="str">
        <f>IF(COUNTBLANK(E222:H222)=4,"",SUM(E222:G222)+IF(Setup!$I$15="No",0,H222))</f>
        <v/>
      </c>
      <c r="J222" s="194"/>
      <c r="K222" s="194"/>
      <c r="L222" s="194"/>
      <c r="M222" s="194"/>
      <c r="N222" s="257" t="str">
        <f>IF(COUNTBLANK(J222:M222)=4,"",SUM(J222:L222)+IF(Setup!$I$15="No",0,M222))</f>
        <v/>
      </c>
      <c r="O222" s="194"/>
      <c r="P222" s="194"/>
      <c r="Q222" s="194"/>
      <c r="R222" s="194"/>
      <c r="S222" s="257" t="str">
        <f>IF(COUNTBLANK(O222:R222)=4,"",SUM(O222:Q222)+IF(Setup!$I$15="No",0,R222))</f>
        <v/>
      </c>
      <c r="T222" s="194"/>
      <c r="U222" s="194"/>
      <c r="V222" s="194"/>
      <c r="W222" s="194"/>
      <c r="X222" s="257" t="str">
        <f>IF(COUNTBLANK(T222:W222)=4,"",SUM(T222:V222)+IF(Setup!$I$15="No",0,W222))</f>
        <v/>
      </c>
      <c r="Y222" s="194"/>
      <c r="Z222" s="194"/>
      <c r="AA222" s="194"/>
      <c r="AB222" s="194"/>
      <c r="AC222" s="257" t="str">
        <f>IF(COUNTBLANK(Y222:AB222)=4,"",SUM(Y222:AA222)+IF(Setup!$I$15="No",0,AB222))</f>
        <v/>
      </c>
      <c r="AD222" s="194"/>
      <c r="AE222" s="194"/>
      <c r="AF222" s="194"/>
      <c r="AG222" s="194"/>
      <c r="AH222" s="257" t="str">
        <f>IF(COUNTBLANK(AD222:AG222)=4,"",SUM(AD222:AF222)+IF(Setup!$I$15="No",0,AG222))</f>
        <v/>
      </c>
      <c r="AI222" s="194"/>
      <c r="AJ222" s="194"/>
      <c r="AK222" s="194"/>
      <c r="AL222" s="194"/>
      <c r="AM222" s="257" t="str">
        <f>IF(COUNTBLANK(AI222:AL222)=4,"",SUM(AI222:AK222)+IF(Setup!$I$15="No",0,AL222))</f>
        <v/>
      </c>
      <c r="AN222" s="194"/>
      <c r="AO222" s="194"/>
      <c r="AP222" s="194"/>
      <c r="AQ222" s="194"/>
      <c r="AR222" s="257" t="str">
        <f>IF(COUNTBLANK(AN222:AQ222)=4,"",SUM(AN222:AP222)+IF(Setup!$I$15="No",0,AQ222))</f>
        <v/>
      </c>
      <c r="AS222" s="194"/>
      <c r="AT222" s="194"/>
      <c r="AU222" s="194"/>
      <c r="AV222" s="194"/>
      <c r="AW222" s="257" t="str">
        <f>IF(COUNTBLANK(AS222:AV222)=4,"",SUM(AS222:AU222)+IF(Setup!$I$15="No",0,AV222))</f>
        <v/>
      </c>
      <c r="AX222" s="194"/>
      <c r="AY222" s="194"/>
      <c r="AZ222" s="194"/>
      <c r="BA222" s="194"/>
      <c r="BB222" s="257" t="str">
        <f>IF(COUNTBLANK(AX222:BA222)=4,"",SUM(AX222:AZ222)+IF(Setup!$I$15="No",0,BA222))</f>
        <v/>
      </c>
      <c r="BC222" s="261" t="str">
        <f ca="1">IF('Demand background (hide)'!A213=Num_Modalities,"",SUM(Demand!I222, Demand!N222))</f>
        <v/>
      </c>
      <c r="BD222" s="261" t="str">
        <f ca="1">IF(AND(A222&lt;=MaxRows,BE222&lt;&gt;"Yes"),'Demand background (hide)'!X213+IF(Setup!$I$15="Yes",'Demand background (hide)'!AJ213,0),"")</f>
        <v/>
      </c>
      <c r="BE222" s="211"/>
    </row>
    <row r="223" spans="1:57" ht="15" x14ac:dyDescent="0.25">
      <c r="A223" t="str">
        <f t="shared" ca="1" si="12"/>
        <v/>
      </c>
      <c r="B223" s="266" t="str">
        <f t="shared" ca="1" si="13"/>
        <v xml:space="preserve"> </v>
      </c>
      <c r="C223" s="267" t="str">
        <f t="shared" ca="1" si="14"/>
        <v/>
      </c>
      <c r="D223" s="424" t="str">
        <f t="shared" ca="1" si="15"/>
        <v/>
      </c>
      <c r="E223" s="194"/>
      <c r="F223" s="194"/>
      <c r="G223" s="194"/>
      <c r="H223" s="194"/>
      <c r="I223" s="253" t="str">
        <f>IF(COUNTBLANK(E223:H223)=4,"",SUM(E223:G223)+IF(Setup!$I$15="No",0,H223))</f>
        <v/>
      </c>
      <c r="J223" s="194"/>
      <c r="K223" s="194"/>
      <c r="L223" s="194"/>
      <c r="M223" s="194"/>
      <c r="N223" s="257" t="str">
        <f>IF(COUNTBLANK(J223:M223)=4,"",SUM(J223:L223)+IF(Setup!$I$15="No",0,M223))</f>
        <v/>
      </c>
      <c r="O223" s="194"/>
      <c r="P223" s="194"/>
      <c r="Q223" s="194"/>
      <c r="R223" s="194"/>
      <c r="S223" s="257" t="str">
        <f>IF(COUNTBLANK(O223:R223)=4,"",SUM(O223:Q223)+IF(Setup!$I$15="No",0,R223))</f>
        <v/>
      </c>
      <c r="T223" s="194"/>
      <c r="U223" s="194"/>
      <c r="V223" s="194"/>
      <c r="W223" s="194"/>
      <c r="X223" s="257" t="str">
        <f>IF(COUNTBLANK(T223:W223)=4,"",SUM(T223:V223)+IF(Setup!$I$15="No",0,W223))</f>
        <v/>
      </c>
      <c r="Y223" s="194"/>
      <c r="Z223" s="194"/>
      <c r="AA223" s="194"/>
      <c r="AB223" s="194"/>
      <c r="AC223" s="257" t="str">
        <f>IF(COUNTBLANK(Y223:AB223)=4,"",SUM(Y223:AA223)+IF(Setup!$I$15="No",0,AB223))</f>
        <v/>
      </c>
      <c r="AD223" s="194"/>
      <c r="AE223" s="194"/>
      <c r="AF223" s="194"/>
      <c r="AG223" s="194"/>
      <c r="AH223" s="257" t="str">
        <f>IF(COUNTBLANK(AD223:AG223)=4,"",SUM(AD223:AF223)+IF(Setup!$I$15="No",0,AG223))</f>
        <v/>
      </c>
      <c r="AI223" s="194"/>
      <c r="AJ223" s="194"/>
      <c r="AK223" s="194"/>
      <c r="AL223" s="194"/>
      <c r="AM223" s="257" t="str">
        <f>IF(COUNTBLANK(AI223:AL223)=4,"",SUM(AI223:AK223)+IF(Setup!$I$15="No",0,AL223))</f>
        <v/>
      </c>
      <c r="AN223" s="194"/>
      <c r="AO223" s="194"/>
      <c r="AP223" s="194"/>
      <c r="AQ223" s="194"/>
      <c r="AR223" s="257" t="str">
        <f>IF(COUNTBLANK(AN223:AQ223)=4,"",SUM(AN223:AP223)+IF(Setup!$I$15="No",0,AQ223))</f>
        <v/>
      </c>
      <c r="AS223" s="194"/>
      <c r="AT223" s="194"/>
      <c r="AU223" s="194"/>
      <c r="AV223" s="194"/>
      <c r="AW223" s="257" t="str">
        <f>IF(COUNTBLANK(AS223:AV223)=4,"",SUM(AS223:AU223)+IF(Setup!$I$15="No",0,AV223))</f>
        <v/>
      </c>
      <c r="AX223" s="194"/>
      <c r="AY223" s="194"/>
      <c r="AZ223" s="194"/>
      <c r="BA223" s="194"/>
      <c r="BB223" s="257" t="str">
        <f>IF(COUNTBLANK(AX223:BA223)=4,"",SUM(AX223:AZ223)+IF(Setup!$I$15="No",0,BA223))</f>
        <v/>
      </c>
      <c r="BC223" s="261" t="str">
        <f ca="1">IF('Demand background (hide)'!A214=Num_Modalities,"",SUM(Demand!I223, Demand!N223))</f>
        <v/>
      </c>
      <c r="BD223" s="261" t="str">
        <f ca="1">IF(AND(A223&lt;=MaxRows,BE223&lt;&gt;"Yes"),'Demand background (hide)'!X214+IF(Setup!$I$15="Yes",'Demand background (hide)'!AJ214,0),"")</f>
        <v/>
      </c>
      <c r="BE223" s="211"/>
    </row>
    <row r="224" spans="1:57" ht="15" x14ac:dyDescent="0.25">
      <c r="A224" t="str">
        <f t="shared" ca="1" si="12"/>
        <v/>
      </c>
      <c r="B224" s="266" t="str">
        <f t="shared" ca="1" si="13"/>
        <v xml:space="preserve"> </v>
      </c>
      <c r="C224" s="267" t="str">
        <f t="shared" ca="1" si="14"/>
        <v/>
      </c>
      <c r="D224" s="424" t="str">
        <f t="shared" ca="1" si="15"/>
        <v/>
      </c>
      <c r="E224" s="194"/>
      <c r="F224" s="194"/>
      <c r="G224" s="194"/>
      <c r="H224" s="194"/>
      <c r="I224" s="253" t="str">
        <f>IF(COUNTBLANK(E224:H224)=4,"",SUM(E224:G224)+IF(Setup!$I$15="No",0,H224))</f>
        <v/>
      </c>
      <c r="J224" s="194"/>
      <c r="K224" s="194"/>
      <c r="L224" s="194"/>
      <c r="M224" s="194"/>
      <c r="N224" s="257" t="str">
        <f>IF(COUNTBLANK(J224:M224)=4,"",SUM(J224:L224)+IF(Setup!$I$15="No",0,M224))</f>
        <v/>
      </c>
      <c r="O224" s="194"/>
      <c r="P224" s="194"/>
      <c r="Q224" s="194"/>
      <c r="R224" s="194"/>
      <c r="S224" s="257" t="str">
        <f>IF(COUNTBLANK(O224:R224)=4,"",SUM(O224:Q224)+IF(Setup!$I$15="No",0,R224))</f>
        <v/>
      </c>
      <c r="T224" s="194"/>
      <c r="U224" s="194"/>
      <c r="V224" s="194"/>
      <c r="W224" s="194"/>
      <c r="X224" s="257" t="str">
        <f>IF(COUNTBLANK(T224:W224)=4,"",SUM(T224:V224)+IF(Setup!$I$15="No",0,W224))</f>
        <v/>
      </c>
      <c r="Y224" s="194"/>
      <c r="Z224" s="194"/>
      <c r="AA224" s="194"/>
      <c r="AB224" s="194"/>
      <c r="AC224" s="257" t="str">
        <f>IF(COUNTBLANK(Y224:AB224)=4,"",SUM(Y224:AA224)+IF(Setup!$I$15="No",0,AB224))</f>
        <v/>
      </c>
      <c r="AD224" s="194"/>
      <c r="AE224" s="194"/>
      <c r="AF224" s="194"/>
      <c r="AG224" s="194"/>
      <c r="AH224" s="257" t="str">
        <f>IF(COUNTBLANK(AD224:AG224)=4,"",SUM(AD224:AF224)+IF(Setup!$I$15="No",0,AG224))</f>
        <v/>
      </c>
      <c r="AI224" s="194"/>
      <c r="AJ224" s="194"/>
      <c r="AK224" s="194"/>
      <c r="AL224" s="194"/>
      <c r="AM224" s="257" t="str">
        <f>IF(COUNTBLANK(AI224:AL224)=4,"",SUM(AI224:AK224)+IF(Setup!$I$15="No",0,AL224))</f>
        <v/>
      </c>
      <c r="AN224" s="194"/>
      <c r="AO224" s="194"/>
      <c r="AP224" s="194"/>
      <c r="AQ224" s="194"/>
      <c r="AR224" s="257" t="str">
        <f>IF(COUNTBLANK(AN224:AQ224)=4,"",SUM(AN224:AP224)+IF(Setup!$I$15="No",0,AQ224))</f>
        <v/>
      </c>
      <c r="AS224" s="194"/>
      <c r="AT224" s="194"/>
      <c r="AU224" s="194"/>
      <c r="AV224" s="194"/>
      <c r="AW224" s="257" t="str">
        <f>IF(COUNTBLANK(AS224:AV224)=4,"",SUM(AS224:AU224)+IF(Setup!$I$15="No",0,AV224))</f>
        <v/>
      </c>
      <c r="AX224" s="194"/>
      <c r="AY224" s="194"/>
      <c r="AZ224" s="194"/>
      <c r="BA224" s="194"/>
      <c r="BB224" s="257" t="str">
        <f>IF(COUNTBLANK(AX224:BA224)=4,"",SUM(AX224:AZ224)+IF(Setup!$I$15="No",0,BA224))</f>
        <v/>
      </c>
      <c r="BC224" s="261" t="str">
        <f ca="1">IF('Demand background (hide)'!A215=Num_Modalities,"",SUM(Demand!I224, Demand!N224))</f>
        <v/>
      </c>
      <c r="BD224" s="261" t="str">
        <f ca="1">IF(AND(A224&lt;=MaxRows,BE224&lt;&gt;"Yes"),'Demand background (hide)'!X215+IF(Setup!$I$15="Yes",'Demand background (hide)'!AJ215,0),"")</f>
        <v/>
      </c>
      <c r="BE224" s="211"/>
    </row>
    <row r="225" spans="1:57" ht="15" x14ac:dyDescent="0.25">
      <c r="A225" t="str">
        <f t="shared" ca="1" si="12"/>
        <v/>
      </c>
      <c r="B225" s="266" t="str">
        <f t="shared" ca="1" si="13"/>
        <v xml:space="preserve"> </v>
      </c>
      <c r="C225" s="267" t="str">
        <f t="shared" ca="1" si="14"/>
        <v/>
      </c>
      <c r="D225" s="424" t="str">
        <f t="shared" ca="1" si="15"/>
        <v/>
      </c>
      <c r="E225" s="194"/>
      <c r="F225" s="194"/>
      <c r="G225" s="194"/>
      <c r="H225" s="194"/>
      <c r="I225" s="253" t="str">
        <f>IF(COUNTBLANK(E225:H225)=4,"",SUM(E225:G225)+IF(Setup!$I$15="No",0,H225))</f>
        <v/>
      </c>
      <c r="J225" s="194"/>
      <c r="K225" s="194"/>
      <c r="L225" s="194"/>
      <c r="M225" s="194"/>
      <c r="N225" s="257" t="str">
        <f>IF(COUNTBLANK(J225:M225)=4,"",SUM(J225:L225)+IF(Setup!$I$15="No",0,M225))</f>
        <v/>
      </c>
      <c r="O225" s="194"/>
      <c r="P225" s="194"/>
      <c r="Q225" s="194"/>
      <c r="R225" s="194"/>
      <c r="S225" s="257" t="str">
        <f>IF(COUNTBLANK(O225:R225)=4,"",SUM(O225:Q225)+IF(Setup!$I$15="No",0,R225))</f>
        <v/>
      </c>
      <c r="T225" s="194"/>
      <c r="U225" s="194"/>
      <c r="V225" s="194"/>
      <c r="W225" s="194"/>
      <c r="X225" s="257" t="str">
        <f>IF(COUNTBLANK(T225:W225)=4,"",SUM(T225:V225)+IF(Setup!$I$15="No",0,W225))</f>
        <v/>
      </c>
      <c r="Y225" s="194"/>
      <c r="Z225" s="194"/>
      <c r="AA225" s="194"/>
      <c r="AB225" s="194"/>
      <c r="AC225" s="257" t="str">
        <f>IF(COUNTBLANK(Y225:AB225)=4,"",SUM(Y225:AA225)+IF(Setup!$I$15="No",0,AB225))</f>
        <v/>
      </c>
      <c r="AD225" s="194"/>
      <c r="AE225" s="194"/>
      <c r="AF225" s="194"/>
      <c r="AG225" s="194"/>
      <c r="AH225" s="257" t="str">
        <f>IF(COUNTBLANK(AD225:AG225)=4,"",SUM(AD225:AF225)+IF(Setup!$I$15="No",0,AG225))</f>
        <v/>
      </c>
      <c r="AI225" s="194"/>
      <c r="AJ225" s="194"/>
      <c r="AK225" s="194"/>
      <c r="AL225" s="194"/>
      <c r="AM225" s="257" t="str">
        <f>IF(COUNTBLANK(AI225:AL225)=4,"",SUM(AI225:AK225)+IF(Setup!$I$15="No",0,AL225))</f>
        <v/>
      </c>
      <c r="AN225" s="194"/>
      <c r="AO225" s="194"/>
      <c r="AP225" s="194"/>
      <c r="AQ225" s="194"/>
      <c r="AR225" s="257" t="str">
        <f>IF(COUNTBLANK(AN225:AQ225)=4,"",SUM(AN225:AP225)+IF(Setup!$I$15="No",0,AQ225))</f>
        <v/>
      </c>
      <c r="AS225" s="194"/>
      <c r="AT225" s="194"/>
      <c r="AU225" s="194"/>
      <c r="AV225" s="194"/>
      <c r="AW225" s="257" t="str">
        <f>IF(COUNTBLANK(AS225:AV225)=4,"",SUM(AS225:AU225)+IF(Setup!$I$15="No",0,AV225))</f>
        <v/>
      </c>
      <c r="AX225" s="194"/>
      <c r="AY225" s="194"/>
      <c r="AZ225" s="194"/>
      <c r="BA225" s="194"/>
      <c r="BB225" s="257" t="str">
        <f>IF(COUNTBLANK(AX225:BA225)=4,"",SUM(AX225:AZ225)+IF(Setup!$I$15="No",0,BA225))</f>
        <v/>
      </c>
      <c r="BC225" s="261" t="str">
        <f ca="1">IF('Demand background (hide)'!A216=Num_Modalities,"",SUM(Demand!I225, Demand!N225))</f>
        <v/>
      </c>
      <c r="BD225" s="261" t="str">
        <f ca="1">IF(AND(A225&lt;=MaxRows,BE225&lt;&gt;"Yes"),'Demand background (hide)'!X216+IF(Setup!$I$15="Yes",'Demand background (hide)'!AJ216,0),"")</f>
        <v/>
      </c>
      <c r="BE225" s="211"/>
    </row>
    <row r="226" spans="1:57" ht="15" x14ac:dyDescent="0.25">
      <c r="A226" t="str">
        <f t="shared" ca="1" si="12"/>
        <v/>
      </c>
      <c r="B226" s="266" t="str">
        <f t="shared" ca="1" si="13"/>
        <v xml:space="preserve"> </v>
      </c>
      <c r="C226" s="267" t="str">
        <f t="shared" ca="1" si="14"/>
        <v/>
      </c>
      <c r="D226" s="424" t="str">
        <f t="shared" ca="1" si="15"/>
        <v/>
      </c>
      <c r="E226" s="194"/>
      <c r="F226" s="194"/>
      <c r="G226" s="194"/>
      <c r="H226" s="194"/>
      <c r="I226" s="253" t="str">
        <f>IF(COUNTBLANK(E226:H226)=4,"",SUM(E226:G226)+IF(Setup!$I$15="No",0,H226))</f>
        <v/>
      </c>
      <c r="J226" s="194"/>
      <c r="K226" s="194"/>
      <c r="L226" s="194"/>
      <c r="M226" s="194"/>
      <c r="N226" s="257" t="str">
        <f>IF(COUNTBLANK(J226:M226)=4,"",SUM(J226:L226)+IF(Setup!$I$15="No",0,M226))</f>
        <v/>
      </c>
      <c r="O226" s="194"/>
      <c r="P226" s="194"/>
      <c r="Q226" s="194"/>
      <c r="R226" s="194"/>
      <c r="S226" s="257" t="str">
        <f>IF(COUNTBLANK(O226:R226)=4,"",SUM(O226:Q226)+IF(Setup!$I$15="No",0,R226))</f>
        <v/>
      </c>
      <c r="T226" s="194"/>
      <c r="U226" s="194"/>
      <c r="V226" s="194"/>
      <c r="W226" s="194"/>
      <c r="X226" s="257" t="str">
        <f>IF(COUNTBLANK(T226:W226)=4,"",SUM(T226:V226)+IF(Setup!$I$15="No",0,W226))</f>
        <v/>
      </c>
      <c r="Y226" s="194"/>
      <c r="Z226" s="194"/>
      <c r="AA226" s="194"/>
      <c r="AB226" s="194"/>
      <c r="AC226" s="257" t="str">
        <f>IF(COUNTBLANK(Y226:AB226)=4,"",SUM(Y226:AA226)+IF(Setup!$I$15="No",0,AB226))</f>
        <v/>
      </c>
      <c r="AD226" s="194"/>
      <c r="AE226" s="194"/>
      <c r="AF226" s="194"/>
      <c r="AG226" s="194"/>
      <c r="AH226" s="257" t="str">
        <f>IF(COUNTBLANK(AD226:AG226)=4,"",SUM(AD226:AF226)+IF(Setup!$I$15="No",0,AG226))</f>
        <v/>
      </c>
      <c r="AI226" s="194"/>
      <c r="AJ226" s="194"/>
      <c r="AK226" s="194"/>
      <c r="AL226" s="194"/>
      <c r="AM226" s="257" t="str">
        <f>IF(COUNTBLANK(AI226:AL226)=4,"",SUM(AI226:AK226)+IF(Setup!$I$15="No",0,AL226))</f>
        <v/>
      </c>
      <c r="AN226" s="194"/>
      <c r="AO226" s="194"/>
      <c r="AP226" s="194"/>
      <c r="AQ226" s="194"/>
      <c r="AR226" s="257" t="str">
        <f>IF(COUNTBLANK(AN226:AQ226)=4,"",SUM(AN226:AP226)+IF(Setup!$I$15="No",0,AQ226))</f>
        <v/>
      </c>
      <c r="AS226" s="194"/>
      <c r="AT226" s="194"/>
      <c r="AU226" s="194"/>
      <c r="AV226" s="194"/>
      <c r="AW226" s="257" t="str">
        <f>IF(COUNTBLANK(AS226:AV226)=4,"",SUM(AS226:AU226)+IF(Setup!$I$15="No",0,AV226))</f>
        <v/>
      </c>
      <c r="AX226" s="194"/>
      <c r="AY226" s="194"/>
      <c r="AZ226" s="194"/>
      <c r="BA226" s="194"/>
      <c r="BB226" s="257" t="str">
        <f>IF(COUNTBLANK(AX226:BA226)=4,"",SUM(AX226:AZ226)+IF(Setup!$I$15="No",0,BA226))</f>
        <v/>
      </c>
      <c r="BC226" s="261" t="str">
        <f ca="1">IF('Demand background (hide)'!A217=Num_Modalities,"",SUM(Demand!I226, Demand!N226))</f>
        <v/>
      </c>
      <c r="BD226" s="261" t="str">
        <f ca="1">IF(AND(A226&lt;=MaxRows,BE226&lt;&gt;"Yes"),'Demand background (hide)'!X217+IF(Setup!$I$15="Yes",'Demand background (hide)'!AJ217,0),"")</f>
        <v/>
      </c>
      <c r="BE226" s="211"/>
    </row>
    <row r="227" spans="1:57" ht="15" x14ac:dyDescent="0.25">
      <c r="A227" t="str">
        <f t="shared" ca="1" si="12"/>
        <v/>
      </c>
      <c r="B227" s="266" t="str">
        <f t="shared" ca="1" si="13"/>
        <v xml:space="preserve"> </v>
      </c>
      <c r="C227" s="267" t="str">
        <f t="shared" ca="1" si="14"/>
        <v/>
      </c>
      <c r="D227" s="424" t="str">
        <f t="shared" ca="1" si="15"/>
        <v/>
      </c>
      <c r="E227" s="194"/>
      <c r="F227" s="194"/>
      <c r="G227" s="194"/>
      <c r="H227" s="194"/>
      <c r="I227" s="253" t="str">
        <f>IF(COUNTBLANK(E227:H227)=4,"",SUM(E227:G227)+IF(Setup!$I$15="No",0,H227))</f>
        <v/>
      </c>
      <c r="J227" s="194"/>
      <c r="K227" s="194"/>
      <c r="L227" s="194"/>
      <c r="M227" s="194"/>
      <c r="N227" s="257" t="str">
        <f>IF(COUNTBLANK(J227:M227)=4,"",SUM(J227:L227)+IF(Setup!$I$15="No",0,M227))</f>
        <v/>
      </c>
      <c r="O227" s="194"/>
      <c r="P227" s="194"/>
      <c r="Q227" s="194"/>
      <c r="R227" s="194"/>
      <c r="S227" s="257" t="str">
        <f>IF(COUNTBLANK(O227:R227)=4,"",SUM(O227:Q227)+IF(Setup!$I$15="No",0,R227))</f>
        <v/>
      </c>
      <c r="T227" s="194"/>
      <c r="U227" s="194"/>
      <c r="V227" s="194"/>
      <c r="W227" s="194"/>
      <c r="X227" s="257" t="str">
        <f>IF(COUNTBLANK(T227:W227)=4,"",SUM(T227:V227)+IF(Setup!$I$15="No",0,W227))</f>
        <v/>
      </c>
      <c r="Y227" s="194"/>
      <c r="Z227" s="194"/>
      <c r="AA227" s="194"/>
      <c r="AB227" s="194"/>
      <c r="AC227" s="257" t="str">
        <f>IF(COUNTBLANK(Y227:AB227)=4,"",SUM(Y227:AA227)+IF(Setup!$I$15="No",0,AB227))</f>
        <v/>
      </c>
      <c r="AD227" s="194"/>
      <c r="AE227" s="194"/>
      <c r="AF227" s="194"/>
      <c r="AG227" s="194"/>
      <c r="AH227" s="257" t="str">
        <f>IF(COUNTBLANK(AD227:AG227)=4,"",SUM(AD227:AF227)+IF(Setup!$I$15="No",0,AG227))</f>
        <v/>
      </c>
      <c r="AI227" s="194"/>
      <c r="AJ227" s="194"/>
      <c r="AK227" s="194"/>
      <c r="AL227" s="194"/>
      <c r="AM227" s="257" t="str">
        <f>IF(COUNTBLANK(AI227:AL227)=4,"",SUM(AI227:AK227)+IF(Setup!$I$15="No",0,AL227))</f>
        <v/>
      </c>
      <c r="AN227" s="194"/>
      <c r="AO227" s="194"/>
      <c r="AP227" s="194"/>
      <c r="AQ227" s="194"/>
      <c r="AR227" s="257" t="str">
        <f>IF(COUNTBLANK(AN227:AQ227)=4,"",SUM(AN227:AP227)+IF(Setup!$I$15="No",0,AQ227))</f>
        <v/>
      </c>
      <c r="AS227" s="194"/>
      <c r="AT227" s="194"/>
      <c r="AU227" s="194"/>
      <c r="AV227" s="194"/>
      <c r="AW227" s="257" t="str">
        <f>IF(COUNTBLANK(AS227:AV227)=4,"",SUM(AS227:AU227)+IF(Setup!$I$15="No",0,AV227))</f>
        <v/>
      </c>
      <c r="AX227" s="194"/>
      <c r="AY227" s="194"/>
      <c r="AZ227" s="194"/>
      <c r="BA227" s="194"/>
      <c r="BB227" s="257" t="str">
        <f>IF(COUNTBLANK(AX227:BA227)=4,"",SUM(AX227:AZ227)+IF(Setup!$I$15="No",0,BA227))</f>
        <v/>
      </c>
      <c r="BC227" s="261" t="str">
        <f ca="1">IF('Demand background (hide)'!A218=Num_Modalities,"",SUM(Demand!I227, Demand!N227))</f>
        <v/>
      </c>
      <c r="BD227" s="261" t="str">
        <f ca="1">IF(AND(A227&lt;=MaxRows,BE227&lt;&gt;"Yes"),'Demand background (hide)'!X218+IF(Setup!$I$15="Yes",'Demand background (hide)'!AJ218,0),"")</f>
        <v/>
      </c>
      <c r="BE227" s="211"/>
    </row>
    <row r="228" spans="1:57" ht="15" x14ac:dyDescent="0.25">
      <c r="A228" t="str">
        <f t="shared" ca="1" si="12"/>
        <v/>
      </c>
      <c r="B228" s="266" t="str">
        <f t="shared" ca="1" si="13"/>
        <v xml:space="preserve"> </v>
      </c>
      <c r="C228" s="267" t="str">
        <f t="shared" ca="1" si="14"/>
        <v/>
      </c>
      <c r="D228" s="424" t="str">
        <f t="shared" ca="1" si="15"/>
        <v/>
      </c>
      <c r="E228" s="194"/>
      <c r="F228" s="194"/>
      <c r="G228" s="194"/>
      <c r="H228" s="194"/>
      <c r="I228" s="253" t="str">
        <f>IF(COUNTBLANK(E228:H228)=4,"",SUM(E228:G228)+IF(Setup!$I$15="No",0,H228))</f>
        <v/>
      </c>
      <c r="J228" s="194"/>
      <c r="K228" s="194"/>
      <c r="L228" s="194"/>
      <c r="M228" s="194"/>
      <c r="N228" s="257" t="str">
        <f>IF(COUNTBLANK(J228:M228)=4,"",SUM(J228:L228)+IF(Setup!$I$15="No",0,M228))</f>
        <v/>
      </c>
      <c r="O228" s="194"/>
      <c r="P228" s="194"/>
      <c r="Q228" s="194"/>
      <c r="R228" s="194"/>
      <c r="S228" s="257" t="str">
        <f>IF(COUNTBLANK(O228:R228)=4,"",SUM(O228:Q228)+IF(Setup!$I$15="No",0,R228))</f>
        <v/>
      </c>
      <c r="T228" s="194"/>
      <c r="U228" s="194"/>
      <c r="V228" s="194"/>
      <c r="W228" s="194"/>
      <c r="X228" s="257" t="str">
        <f>IF(COUNTBLANK(T228:W228)=4,"",SUM(T228:V228)+IF(Setup!$I$15="No",0,W228))</f>
        <v/>
      </c>
      <c r="Y228" s="194"/>
      <c r="Z228" s="194"/>
      <c r="AA228" s="194"/>
      <c r="AB228" s="194"/>
      <c r="AC228" s="257" t="str">
        <f>IF(COUNTBLANK(Y228:AB228)=4,"",SUM(Y228:AA228)+IF(Setup!$I$15="No",0,AB228))</f>
        <v/>
      </c>
      <c r="AD228" s="194"/>
      <c r="AE228" s="194"/>
      <c r="AF228" s="194"/>
      <c r="AG228" s="194"/>
      <c r="AH228" s="257" t="str">
        <f>IF(COUNTBLANK(AD228:AG228)=4,"",SUM(AD228:AF228)+IF(Setup!$I$15="No",0,AG228))</f>
        <v/>
      </c>
      <c r="AI228" s="194"/>
      <c r="AJ228" s="194"/>
      <c r="AK228" s="194"/>
      <c r="AL228" s="194"/>
      <c r="AM228" s="257" t="str">
        <f>IF(COUNTBLANK(AI228:AL228)=4,"",SUM(AI228:AK228)+IF(Setup!$I$15="No",0,AL228))</f>
        <v/>
      </c>
      <c r="AN228" s="194"/>
      <c r="AO228" s="194"/>
      <c r="AP228" s="194"/>
      <c r="AQ228" s="194"/>
      <c r="AR228" s="257" t="str">
        <f>IF(COUNTBLANK(AN228:AQ228)=4,"",SUM(AN228:AP228)+IF(Setup!$I$15="No",0,AQ228))</f>
        <v/>
      </c>
      <c r="AS228" s="194"/>
      <c r="AT228" s="194"/>
      <c r="AU228" s="194"/>
      <c r="AV228" s="194"/>
      <c r="AW228" s="257" t="str">
        <f>IF(COUNTBLANK(AS228:AV228)=4,"",SUM(AS228:AU228)+IF(Setup!$I$15="No",0,AV228))</f>
        <v/>
      </c>
      <c r="AX228" s="194"/>
      <c r="AY228" s="194"/>
      <c r="AZ228" s="194"/>
      <c r="BA228" s="194"/>
      <c r="BB228" s="257" t="str">
        <f>IF(COUNTBLANK(AX228:BA228)=4,"",SUM(AX228:AZ228)+IF(Setup!$I$15="No",0,BA228))</f>
        <v/>
      </c>
      <c r="BC228" s="261" t="str">
        <f ca="1">IF('Demand background (hide)'!A219=Num_Modalities,"",SUM(Demand!I228, Demand!N228))</f>
        <v/>
      </c>
      <c r="BD228" s="261" t="str">
        <f ca="1">IF(AND(A228&lt;=MaxRows,BE228&lt;&gt;"Yes"),'Demand background (hide)'!X219+IF(Setup!$I$15="Yes",'Demand background (hide)'!AJ219,0),"")</f>
        <v/>
      </c>
      <c r="BE228" s="211"/>
    </row>
    <row r="229" spans="1:57" ht="15" x14ac:dyDescent="0.25">
      <c r="A229" t="str">
        <f t="shared" ca="1" si="12"/>
        <v/>
      </c>
      <c r="B229" s="266" t="str">
        <f t="shared" ca="1" si="13"/>
        <v xml:space="preserve"> </v>
      </c>
      <c r="C229" s="267" t="str">
        <f t="shared" ca="1" si="14"/>
        <v/>
      </c>
      <c r="D229" s="424" t="str">
        <f t="shared" ca="1" si="15"/>
        <v/>
      </c>
      <c r="E229" s="194"/>
      <c r="F229" s="194"/>
      <c r="G229" s="194"/>
      <c r="H229" s="194"/>
      <c r="I229" s="253" t="str">
        <f>IF(COUNTBLANK(E229:H229)=4,"",SUM(E229:G229)+IF(Setup!$I$15="No",0,H229))</f>
        <v/>
      </c>
      <c r="J229" s="194"/>
      <c r="K229" s="194"/>
      <c r="L229" s="194"/>
      <c r="M229" s="194"/>
      <c r="N229" s="257" t="str">
        <f>IF(COUNTBLANK(J229:M229)=4,"",SUM(J229:L229)+IF(Setup!$I$15="No",0,M229))</f>
        <v/>
      </c>
      <c r="O229" s="194"/>
      <c r="P229" s="194"/>
      <c r="Q229" s="194"/>
      <c r="R229" s="194"/>
      <c r="S229" s="257" t="str">
        <f>IF(COUNTBLANK(O229:R229)=4,"",SUM(O229:Q229)+IF(Setup!$I$15="No",0,R229))</f>
        <v/>
      </c>
      <c r="T229" s="194"/>
      <c r="U229" s="194"/>
      <c r="V229" s="194"/>
      <c r="W229" s="194"/>
      <c r="X229" s="257" t="str">
        <f>IF(COUNTBLANK(T229:W229)=4,"",SUM(T229:V229)+IF(Setup!$I$15="No",0,W229))</f>
        <v/>
      </c>
      <c r="Y229" s="194"/>
      <c r="Z229" s="194"/>
      <c r="AA229" s="194"/>
      <c r="AB229" s="194"/>
      <c r="AC229" s="257" t="str">
        <f>IF(COUNTBLANK(Y229:AB229)=4,"",SUM(Y229:AA229)+IF(Setup!$I$15="No",0,AB229))</f>
        <v/>
      </c>
      <c r="AD229" s="194"/>
      <c r="AE229" s="194"/>
      <c r="AF229" s="194"/>
      <c r="AG229" s="194"/>
      <c r="AH229" s="257" t="str">
        <f>IF(COUNTBLANK(AD229:AG229)=4,"",SUM(AD229:AF229)+IF(Setup!$I$15="No",0,AG229))</f>
        <v/>
      </c>
      <c r="AI229" s="194"/>
      <c r="AJ229" s="194"/>
      <c r="AK229" s="194"/>
      <c r="AL229" s="194"/>
      <c r="AM229" s="257" t="str">
        <f>IF(COUNTBLANK(AI229:AL229)=4,"",SUM(AI229:AK229)+IF(Setup!$I$15="No",0,AL229))</f>
        <v/>
      </c>
      <c r="AN229" s="194"/>
      <c r="AO229" s="194"/>
      <c r="AP229" s="194"/>
      <c r="AQ229" s="194"/>
      <c r="AR229" s="257" t="str">
        <f>IF(COUNTBLANK(AN229:AQ229)=4,"",SUM(AN229:AP229)+IF(Setup!$I$15="No",0,AQ229))</f>
        <v/>
      </c>
      <c r="AS229" s="194"/>
      <c r="AT229" s="194"/>
      <c r="AU229" s="194"/>
      <c r="AV229" s="194"/>
      <c r="AW229" s="257" t="str">
        <f>IF(COUNTBLANK(AS229:AV229)=4,"",SUM(AS229:AU229)+IF(Setup!$I$15="No",0,AV229))</f>
        <v/>
      </c>
      <c r="AX229" s="194"/>
      <c r="AY229" s="194"/>
      <c r="AZ229" s="194"/>
      <c r="BA229" s="194"/>
      <c r="BB229" s="257" t="str">
        <f>IF(COUNTBLANK(AX229:BA229)=4,"",SUM(AX229:AZ229)+IF(Setup!$I$15="No",0,BA229))</f>
        <v/>
      </c>
      <c r="BC229" s="261" t="str">
        <f ca="1">IF('Demand background (hide)'!A220=Num_Modalities,"",SUM(Demand!I229, Demand!N229))</f>
        <v/>
      </c>
      <c r="BD229" s="261" t="str">
        <f ca="1">IF(AND(A229&lt;=MaxRows,BE229&lt;&gt;"Yes"),'Demand background (hide)'!X220+IF(Setup!$I$15="Yes",'Demand background (hide)'!AJ220,0),"")</f>
        <v/>
      </c>
      <c r="BE229" s="211"/>
    </row>
    <row r="230" spans="1:57" ht="15" x14ac:dyDescent="0.25">
      <c r="A230" t="str">
        <f t="shared" ca="1" si="12"/>
        <v/>
      </c>
      <c r="B230" s="266" t="str">
        <f t="shared" ca="1" si="13"/>
        <v xml:space="preserve"> </v>
      </c>
      <c r="C230" s="267" t="str">
        <f t="shared" ca="1" si="14"/>
        <v/>
      </c>
      <c r="D230" s="424" t="str">
        <f t="shared" ca="1" si="15"/>
        <v/>
      </c>
      <c r="E230" s="194"/>
      <c r="F230" s="194"/>
      <c r="G230" s="194"/>
      <c r="H230" s="194"/>
      <c r="I230" s="253" t="str">
        <f>IF(COUNTBLANK(E230:H230)=4,"",SUM(E230:G230)+IF(Setup!$I$15="No",0,H230))</f>
        <v/>
      </c>
      <c r="J230" s="194"/>
      <c r="K230" s="194"/>
      <c r="L230" s="194"/>
      <c r="M230" s="194"/>
      <c r="N230" s="257" t="str">
        <f>IF(COUNTBLANK(J230:M230)=4,"",SUM(J230:L230)+IF(Setup!$I$15="No",0,M230))</f>
        <v/>
      </c>
      <c r="O230" s="194"/>
      <c r="P230" s="194"/>
      <c r="Q230" s="194"/>
      <c r="R230" s="194"/>
      <c r="S230" s="257" t="str">
        <f>IF(COUNTBLANK(O230:R230)=4,"",SUM(O230:Q230)+IF(Setup!$I$15="No",0,R230))</f>
        <v/>
      </c>
      <c r="T230" s="194"/>
      <c r="U230" s="194"/>
      <c r="V230" s="194"/>
      <c r="W230" s="194"/>
      <c r="X230" s="257" t="str">
        <f>IF(COUNTBLANK(T230:W230)=4,"",SUM(T230:V230)+IF(Setup!$I$15="No",0,W230))</f>
        <v/>
      </c>
      <c r="Y230" s="194"/>
      <c r="Z230" s="194"/>
      <c r="AA230" s="194"/>
      <c r="AB230" s="194"/>
      <c r="AC230" s="257" t="str">
        <f>IF(COUNTBLANK(Y230:AB230)=4,"",SUM(Y230:AA230)+IF(Setup!$I$15="No",0,AB230))</f>
        <v/>
      </c>
      <c r="AD230" s="194"/>
      <c r="AE230" s="194"/>
      <c r="AF230" s="194"/>
      <c r="AG230" s="194"/>
      <c r="AH230" s="257" t="str">
        <f>IF(COUNTBLANK(AD230:AG230)=4,"",SUM(AD230:AF230)+IF(Setup!$I$15="No",0,AG230))</f>
        <v/>
      </c>
      <c r="AI230" s="194"/>
      <c r="AJ230" s="194"/>
      <c r="AK230" s="194"/>
      <c r="AL230" s="194"/>
      <c r="AM230" s="257" t="str">
        <f>IF(COUNTBLANK(AI230:AL230)=4,"",SUM(AI230:AK230)+IF(Setup!$I$15="No",0,AL230))</f>
        <v/>
      </c>
      <c r="AN230" s="194"/>
      <c r="AO230" s="194"/>
      <c r="AP230" s="194"/>
      <c r="AQ230" s="194"/>
      <c r="AR230" s="257" t="str">
        <f>IF(COUNTBLANK(AN230:AQ230)=4,"",SUM(AN230:AP230)+IF(Setup!$I$15="No",0,AQ230))</f>
        <v/>
      </c>
      <c r="AS230" s="194"/>
      <c r="AT230" s="194"/>
      <c r="AU230" s="194"/>
      <c r="AV230" s="194"/>
      <c r="AW230" s="257" t="str">
        <f>IF(COUNTBLANK(AS230:AV230)=4,"",SUM(AS230:AU230)+IF(Setup!$I$15="No",0,AV230))</f>
        <v/>
      </c>
      <c r="AX230" s="194"/>
      <c r="AY230" s="194"/>
      <c r="AZ230" s="194"/>
      <c r="BA230" s="194"/>
      <c r="BB230" s="257" t="str">
        <f>IF(COUNTBLANK(AX230:BA230)=4,"",SUM(AX230:AZ230)+IF(Setup!$I$15="No",0,BA230))</f>
        <v/>
      </c>
      <c r="BC230" s="261" t="str">
        <f ca="1">IF('Demand background (hide)'!A221=Num_Modalities,"",SUM(Demand!I230, Demand!N230))</f>
        <v/>
      </c>
      <c r="BD230" s="261" t="str">
        <f ca="1">IF(AND(A230&lt;=MaxRows,BE230&lt;&gt;"Yes"),'Demand background (hide)'!X221+IF(Setup!$I$15="Yes",'Demand background (hide)'!AJ221,0),"")</f>
        <v/>
      </c>
      <c r="BE230" s="211"/>
    </row>
    <row r="231" spans="1:57" ht="15" x14ac:dyDescent="0.25">
      <c r="A231" t="str">
        <f t="shared" ca="1" si="12"/>
        <v/>
      </c>
      <c r="B231" s="266" t="str">
        <f t="shared" ca="1" si="13"/>
        <v xml:space="preserve"> </v>
      </c>
      <c r="C231" s="267" t="str">
        <f t="shared" ca="1" si="14"/>
        <v/>
      </c>
      <c r="D231" s="424" t="str">
        <f t="shared" ca="1" si="15"/>
        <v/>
      </c>
      <c r="E231" s="194"/>
      <c r="F231" s="194"/>
      <c r="G231" s="194"/>
      <c r="H231" s="194"/>
      <c r="I231" s="253" t="str">
        <f>IF(COUNTBLANK(E231:H231)=4,"",SUM(E231:G231)+IF(Setup!$I$15="No",0,H231))</f>
        <v/>
      </c>
      <c r="J231" s="194"/>
      <c r="K231" s="194"/>
      <c r="L231" s="194"/>
      <c r="M231" s="194"/>
      <c r="N231" s="257" t="str">
        <f>IF(COUNTBLANK(J231:M231)=4,"",SUM(J231:L231)+IF(Setup!$I$15="No",0,M231))</f>
        <v/>
      </c>
      <c r="O231" s="194"/>
      <c r="P231" s="194"/>
      <c r="Q231" s="194"/>
      <c r="R231" s="194"/>
      <c r="S231" s="257" t="str">
        <f>IF(COUNTBLANK(O231:R231)=4,"",SUM(O231:Q231)+IF(Setup!$I$15="No",0,R231))</f>
        <v/>
      </c>
      <c r="T231" s="194"/>
      <c r="U231" s="194"/>
      <c r="V231" s="194"/>
      <c r="W231" s="194"/>
      <c r="X231" s="257" t="str">
        <f>IF(COUNTBLANK(T231:W231)=4,"",SUM(T231:V231)+IF(Setup!$I$15="No",0,W231))</f>
        <v/>
      </c>
      <c r="Y231" s="194"/>
      <c r="Z231" s="194"/>
      <c r="AA231" s="194"/>
      <c r="AB231" s="194"/>
      <c r="AC231" s="257" t="str">
        <f>IF(COUNTBLANK(Y231:AB231)=4,"",SUM(Y231:AA231)+IF(Setup!$I$15="No",0,AB231))</f>
        <v/>
      </c>
      <c r="AD231" s="194"/>
      <c r="AE231" s="194"/>
      <c r="AF231" s="194"/>
      <c r="AG231" s="194"/>
      <c r="AH231" s="257" t="str">
        <f>IF(COUNTBLANK(AD231:AG231)=4,"",SUM(AD231:AF231)+IF(Setup!$I$15="No",0,AG231))</f>
        <v/>
      </c>
      <c r="AI231" s="194"/>
      <c r="AJ231" s="194"/>
      <c r="AK231" s="194"/>
      <c r="AL231" s="194"/>
      <c r="AM231" s="257" t="str">
        <f>IF(COUNTBLANK(AI231:AL231)=4,"",SUM(AI231:AK231)+IF(Setup!$I$15="No",0,AL231))</f>
        <v/>
      </c>
      <c r="AN231" s="194"/>
      <c r="AO231" s="194"/>
      <c r="AP231" s="194"/>
      <c r="AQ231" s="194"/>
      <c r="AR231" s="257" t="str">
        <f>IF(COUNTBLANK(AN231:AQ231)=4,"",SUM(AN231:AP231)+IF(Setup!$I$15="No",0,AQ231))</f>
        <v/>
      </c>
      <c r="AS231" s="194"/>
      <c r="AT231" s="194"/>
      <c r="AU231" s="194"/>
      <c r="AV231" s="194"/>
      <c r="AW231" s="257" t="str">
        <f>IF(COUNTBLANK(AS231:AV231)=4,"",SUM(AS231:AU231)+IF(Setup!$I$15="No",0,AV231))</f>
        <v/>
      </c>
      <c r="AX231" s="194"/>
      <c r="AY231" s="194"/>
      <c r="AZ231" s="194"/>
      <c r="BA231" s="194"/>
      <c r="BB231" s="257" t="str">
        <f>IF(COUNTBLANK(AX231:BA231)=4,"",SUM(AX231:AZ231)+IF(Setup!$I$15="No",0,BA231))</f>
        <v/>
      </c>
      <c r="BC231" s="261" t="str">
        <f ca="1">IF('Demand background (hide)'!A222=Num_Modalities,"",SUM(Demand!I231, Demand!N231))</f>
        <v/>
      </c>
      <c r="BD231" s="261" t="str">
        <f ca="1">IF(AND(A231&lt;=MaxRows,BE231&lt;&gt;"Yes"),'Demand background (hide)'!X222+IF(Setup!$I$15="Yes",'Demand background (hide)'!AJ222,0),"")</f>
        <v/>
      </c>
      <c r="BE231" s="211"/>
    </row>
    <row r="232" spans="1:57" ht="15" x14ac:dyDescent="0.25">
      <c r="A232" t="str">
        <f t="shared" ca="1" si="12"/>
        <v/>
      </c>
      <c r="B232" s="266" t="str">
        <f t="shared" ca="1" si="13"/>
        <v xml:space="preserve"> </v>
      </c>
      <c r="C232" s="267" t="str">
        <f t="shared" ca="1" si="14"/>
        <v/>
      </c>
      <c r="D232" s="424" t="str">
        <f t="shared" ca="1" si="15"/>
        <v/>
      </c>
      <c r="E232" s="194"/>
      <c r="F232" s="194"/>
      <c r="G232" s="194"/>
      <c r="H232" s="194"/>
      <c r="I232" s="253" t="str">
        <f>IF(COUNTBLANK(E232:H232)=4,"",SUM(E232:G232)+IF(Setup!$I$15="No",0,H232))</f>
        <v/>
      </c>
      <c r="J232" s="194"/>
      <c r="K232" s="194"/>
      <c r="L232" s="194"/>
      <c r="M232" s="194"/>
      <c r="N232" s="257" t="str">
        <f>IF(COUNTBLANK(J232:M232)=4,"",SUM(J232:L232)+IF(Setup!$I$15="No",0,M232))</f>
        <v/>
      </c>
      <c r="O232" s="194"/>
      <c r="P232" s="194"/>
      <c r="Q232" s="194"/>
      <c r="R232" s="194"/>
      <c r="S232" s="257" t="str">
        <f>IF(COUNTBLANK(O232:R232)=4,"",SUM(O232:Q232)+IF(Setup!$I$15="No",0,R232))</f>
        <v/>
      </c>
      <c r="T232" s="194"/>
      <c r="U232" s="194"/>
      <c r="V232" s="194"/>
      <c r="W232" s="194"/>
      <c r="X232" s="257" t="str">
        <f>IF(COUNTBLANK(T232:W232)=4,"",SUM(T232:V232)+IF(Setup!$I$15="No",0,W232))</f>
        <v/>
      </c>
      <c r="Y232" s="194"/>
      <c r="Z232" s="194"/>
      <c r="AA232" s="194"/>
      <c r="AB232" s="194"/>
      <c r="AC232" s="257" t="str">
        <f>IF(COUNTBLANK(Y232:AB232)=4,"",SUM(Y232:AA232)+IF(Setup!$I$15="No",0,AB232))</f>
        <v/>
      </c>
      <c r="AD232" s="194"/>
      <c r="AE232" s="194"/>
      <c r="AF232" s="194"/>
      <c r="AG232" s="194"/>
      <c r="AH232" s="257" t="str">
        <f>IF(COUNTBLANK(AD232:AG232)=4,"",SUM(AD232:AF232)+IF(Setup!$I$15="No",0,AG232))</f>
        <v/>
      </c>
      <c r="AI232" s="194"/>
      <c r="AJ232" s="194"/>
      <c r="AK232" s="194"/>
      <c r="AL232" s="194"/>
      <c r="AM232" s="257" t="str">
        <f>IF(COUNTBLANK(AI232:AL232)=4,"",SUM(AI232:AK232)+IF(Setup!$I$15="No",0,AL232))</f>
        <v/>
      </c>
      <c r="AN232" s="194"/>
      <c r="AO232" s="194"/>
      <c r="AP232" s="194"/>
      <c r="AQ232" s="194"/>
      <c r="AR232" s="257" t="str">
        <f>IF(COUNTBLANK(AN232:AQ232)=4,"",SUM(AN232:AP232)+IF(Setup!$I$15="No",0,AQ232))</f>
        <v/>
      </c>
      <c r="AS232" s="194"/>
      <c r="AT232" s="194"/>
      <c r="AU232" s="194"/>
      <c r="AV232" s="194"/>
      <c r="AW232" s="257" t="str">
        <f>IF(COUNTBLANK(AS232:AV232)=4,"",SUM(AS232:AU232)+IF(Setup!$I$15="No",0,AV232))</f>
        <v/>
      </c>
      <c r="AX232" s="194"/>
      <c r="AY232" s="194"/>
      <c r="AZ232" s="194"/>
      <c r="BA232" s="194"/>
      <c r="BB232" s="257" t="str">
        <f>IF(COUNTBLANK(AX232:BA232)=4,"",SUM(AX232:AZ232)+IF(Setup!$I$15="No",0,BA232))</f>
        <v/>
      </c>
      <c r="BC232" s="261" t="str">
        <f ca="1">IF('Demand background (hide)'!A223=Num_Modalities,"",SUM(Demand!I232, Demand!N232))</f>
        <v/>
      </c>
      <c r="BD232" s="261" t="str">
        <f ca="1">IF(AND(A232&lt;=MaxRows,BE232&lt;&gt;"Yes"),'Demand background (hide)'!X223+IF(Setup!$I$15="Yes",'Demand background (hide)'!AJ223,0),"")</f>
        <v/>
      </c>
      <c r="BE232" s="211"/>
    </row>
    <row r="233" spans="1:57" ht="15" x14ac:dyDescent="0.25">
      <c r="A233" t="str">
        <f t="shared" ca="1" si="12"/>
        <v/>
      </c>
      <c r="B233" s="266" t="str">
        <f t="shared" ca="1" si="13"/>
        <v xml:space="preserve"> </v>
      </c>
      <c r="C233" s="267" t="str">
        <f t="shared" ca="1" si="14"/>
        <v/>
      </c>
      <c r="D233" s="424" t="str">
        <f t="shared" ca="1" si="15"/>
        <v/>
      </c>
      <c r="E233" s="194"/>
      <c r="F233" s="194"/>
      <c r="G233" s="194"/>
      <c r="H233" s="194"/>
      <c r="I233" s="253" t="str">
        <f>IF(COUNTBLANK(E233:H233)=4,"",SUM(E233:G233)+IF(Setup!$I$15="No",0,H233))</f>
        <v/>
      </c>
      <c r="J233" s="194"/>
      <c r="K233" s="194"/>
      <c r="L233" s="194"/>
      <c r="M233" s="194"/>
      <c r="N233" s="257" t="str">
        <f>IF(COUNTBLANK(J233:M233)=4,"",SUM(J233:L233)+IF(Setup!$I$15="No",0,M233))</f>
        <v/>
      </c>
      <c r="O233" s="194"/>
      <c r="P233" s="194"/>
      <c r="Q233" s="194"/>
      <c r="R233" s="194"/>
      <c r="S233" s="257" t="str">
        <f>IF(COUNTBLANK(O233:R233)=4,"",SUM(O233:Q233)+IF(Setup!$I$15="No",0,R233))</f>
        <v/>
      </c>
      <c r="T233" s="194"/>
      <c r="U233" s="194"/>
      <c r="V233" s="194"/>
      <c r="W233" s="194"/>
      <c r="X233" s="257" t="str">
        <f>IF(COUNTBLANK(T233:W233)=4,"",SUM(T233:V233)+IF(Setup!$I$15="No",0,W233))</f>
        <v/>
      </c>
      <c r="Y233" s="194"/>
      <c r="Z233" s="194"/>
      <c r="AA233" s="194"/>
      <c r="AB233" s="194"/>
      <c r="AC233" s="257" t="str">
        <f>IF(COUNTBLANK(Y233:AB233)=4,"",SUM(Y233:AA233)+IF(Setup!$I$15="No",0,AB233))</f>
        <v/>
      </c>
      <c r="AD233" s="194"/>
      <c r="AE233" s="194"/>
      <c r="AF233" s="194"/>
      <c r="AG233" s="194"/>
      <c r="AH233" s="257" t="str">
        <f>IF(COUNTBLANK(AD233:AG233)=4,"",SUM(AD233:AF233)+IF(Setup!$I$15="No",0,AG233))</f>
        <v/>
      </c>
      <c r="AI233" s="194"/>
      <c r="AJ233" s="194"/>
      <c r="AK233" s="194"/>
      <c r="AL233" s="194"/>
      <c r="AM233" s="257" t="str">
        <f>IF(COUNTBLANK(AI233:AL233)=4,"",SUM(AI233:AK233)+IF(Setup!$I$15="No",0,AL233))</f>
        <v/>
      </c>
      <c r="AN233" s="194"/>
      <c r="AO233" s="194"/>
      <c r="AP233" s="194"/>
      <c r="AQ233" s="194"/>
      <c r="AR233" s="257" t="str">
        <f>IF(COUNTBLANK(AN233:AQ233)=4,"",SUM(AN233:AP233)+IF(Setup!$I$15="No",0,AQ233))</f>
        <v/>
      </c>
      <c r="AS233" s="194"/>
      <c r="AT233" s="194"/>
      <c r="AU233" s="194"/>
      <c r="AV233" s="194"/>
      <c r="AW233" s="257" t="str">
        <f>IF(COUNTBLANK(AS233:AV233)=4,"",SUM(AS233:AU233)+IF(Setup!$I$15="No",0,AV233))</f>
        <v/>
      </c>
      <c r="AX233" s="194"/>
      <c r="AY233" s="194"/>
      <c r="AZ233" s="194"/>
      <c r="BA233" s="194"/>
      <c r="BB233" s="257" t="str">
        <f>IF(COUNTBLANK(AX233:BA233)=4,"",SUM(AX233:AZ233)+IF(Setup!$I$15="No",0,BA233))</f>
        <v/>
      </c>
      <c r="BC233" s="261" t="str">
        <f ca="1">IF('Demand background (hide)'!A224=Num_Modalities,"",SUM(Demand!I233, Demand!N233))</f>
        <v/>
      </c>
      <c r="BD233" s="261" t="str">
        <f ca="1">IF(AND(A233&lt;=MaxRows,BE233&lt;&gt;"Yes"),'Demand background (hide)'!X224+IF(Setup!$I$15="Yes",'Demand background (hide)'!AJ224,0),"")</f>
        <v/>
      </c>
      <c r="BE233" s="211"/>
    </row>
    <row r="234" spans="1:57" ht="15" x14ac:dyDescent="0.25">
      <c r="A234" t="str">
        <f t="shared" ca="1" si="12"/>
        <v/>
      </c>
      <c r="B234" s="266" t="str">
        <f t="shared" ca="1" si="13"/>
        <v xml:space="preserve"> </v>
      </c>
      <c r="C234" s="267" t="str">
        <f t="shared" ca="1" si="14"/>
        <v/>
      </c>
      <c r="D234" s="424" t="str">
        <f t="shared" ca="1" si="15"/>
        <v/>
      </c>
      <c r="E234" s="194"/>
      <c r="F234" s="194"/>
      <c r="G234" s="194"/>
      <c r="H234" s="194"/>
      <c r="I234" s="253" t="str">
        <f>IF(COUNTBLANK(E234:H234)=4,"",SUM(E234:G234)+IF(Setup!$I$15="No",0,H234))</f>
        <v/>
      </c>
      <c r="J234" s="194"/>
      <c r="K234" s="194"/>
      <c r="L234" s="194"/>
      <c r="M234" s="194"/>
      <c r="N234" s="257" t="str">
        <f>IF(COUNTBLANK(J234:M234)=4,"",SUM(J234:L234)+IF(Setup!$I$15="No",0,M234))</f>
        <v/>
      </c>
      <c r="O234" s="194"/>
      <c r="P234" s="194"/>
      <c r="Q234" s="194"/>
      <c r="R234" s="194"/>
      <c r="S234" s="257" t="str">
        <f>IF(COUNTBLANK(O234:R234)=4,"",SUM(O234:Q234)+IF(Setup!$I$15="No",0,R234))</f>
        <v/>
      </c>
      <c r="T234" s="194"/>
      <c r="U234" s="194"/>
      <c r="V234" s="194"/>
      <c r="W234" s="194"/>
      <c r="X234" s="257" t="str">
        <f>IF(COUNTBLANK(T234:W234)=4,"",SUM(T234:V234)+IF(Setup!$I$15="No",0,W234))</f>
        <v/>
      </c>
      <c r="Y234" s="194"/>
      <c r="Z234" s="194"/>
      <c r="AA234" s="194"/>
      <c r="AB234" s="194"/>
      <c r="AC234" s="257" t="str">
        <f>IF(COUNTBLANK(Y234:AB234)=4,"",SUM(Y234:AA234)+IF(Setup!$I$15="No",0,AB234))</f>
        <v/>
      </c>
      <c r="AD234" s="194"/>
      <c r="AE234" s="194"/>
      <c r="AF234" s="194"/>
      <c r="AG234" s="194"/>
      <c r="AH234" s="257" t="str">
        <f>IF(COUNTBLANK(AD234:AG234)=4,"",SUM(AD234:AF234)+IF(Setup!$I$15="No",0,AG234))</f>
        <v/>
      </c>
      <c r="AI234" s="194"/>
      <c r="AJ234" s="194"/>
      <c r="AK234" s="194"/>
      <c r="AL234" s="194"/>
      <c r="AM234" s="257" t="str">
        <f>IF(COUNTBLANK(AI234:AL234)=4,"",SUM(AI234:AK234)+IF(Setup!$I$15="No",0,AL234))</f>
        <v/>
      </c>
      <c r="AN234" s="194"/>
      <c r="AO234" s="194"/>
      <c r="AP234" s="194"/>
      <c r="AQ234" s="194"/>
      <c r="AR234" s="257" t="str">
        <f>IF(COUNTBLANK(AN234:AQ234)=4,"",SUM(AN234:AP234)+IF(Setup!$I$15="No",0,AQ234))</f>
        <v/>
      </c>
      <c r="AS234" s="194"/>
      <c r="AT234" s="194"/>
      <c r="AU234" s="194"/>
      <c r="AV234" s="194"/>
      <c r="AW234" s="257" t="str">
        <f>IF(COUNTBLANK(AS234:AV234)=4,"",SUM(AS234:AU234)+IF(Setup!$I$15="No",0,AV234))</f>
        <v/>
      </c>
      <c r="AX234" s="194"/>
      <c r="AY234" s="194"/>
      <c r="AZ234" s="194"/>
      <c r="BA234" s="194"/>
      <c r="BB234" s="257" t="str">
        <f>IF(COUNTBLANK(AX234:BA234)=4,"",SUM(AX234:AZ234)+IF(Setup!$I$15="No",0,BA234))</f>
        <v/>
      </c>
      <c r="BC234" s="261" t="str">
        <f ca="1">IF('Demand background (hide)'!A225=Num_Modalities,"",SUM(Demand!I234, Demand!N234))</f>
        <v/>
      </c>
      <c r="BD234" s="261" t="str">
        <f ca="1">IF(AND(A234&lt;=MaxRows,BE234&lt;&gt;"Yes"),'Demand background (hide)'!X225+IF(Setup!$I$15="Yes",'Demand background (hide)'!AJ225,0),"")</f>
        <v/>
      </c>
      <c r="BE234" s="211"/>
    </row>
    <row r="235" spans="1:57" ht="15" x14ac:dyDescent="0.25">
      <c r="A235" t="str">
        <f t="shared" ca="1" si="12"/>
        <v/>
      </c>
      <c r="B235" s="266" t="str">
        <f t="shared" ca="1" si="13"/>
        <v xml:space="preserve"> </v>
      </c>
      <c r="C235" s="267" t="str">
        <f t="shared" ca="1" si="14"/>
        <v/>
      </c>
      <c r="D235" s="424" t="str">
        <f t="shared" ca="1" si="15"/>
        <v/>
      </c>
      <c r="E235" s="194"/>
      <c r="F235" s="194"/>
      <c r="G235" s="194"/>
      <c r="H235" s="194"/>
      <c r="I235" s="253" t="str">
        <f>IF(COUNTBLANK(E235:H235)=4,"",SUM(E235:G235)+IF(Setup!$I$15="No",0,H235))</f>
        <v/>
      </c>
      <c r="J235" s="194"/>
      <c r="K235" s="194"/>
      <c r="L235" s="194"/>
      <c r="M235" s="194"/>
      <c r="N235" s="257" t="str">
        <f>IF(COUNTBLANK(J235:M235)=4,"",SUM(J235:L235)+IF(Setup!$I$15="No",0,M235))</f>
        <v/>
      </c>
      <c r="O235" s="194"/>
      <c r="P235" s="194"/>
      <c r="Q235" s="194"/>
      <c r="R235" s="194"/>
      <c r="S235" s="257" t="str">
        <f>IF(COUNTBLANK(O235:R235)=4,"",SUM(O235:Q235)+IF(Setup!$I$15="No",0,R235))</f>
        <v/>
      </c>
      <c r="T235" s="194"/>
      <c r="U235" s="194"/>
      <c r="V235" s="194"/>
      <c r="W235" s="194"/>
      <c r="X235" s="257" t="str">
        <f>IF(COUNTBLANK(T235:W235)=4,"",SUM(T235:V235)+IF(Setup!$I$15="No",0,W235))</f>
        <v/>
      </c>
      <c r="Y235" s="194"/>
      <c r="Z235" s="194"/>
      <c r="AA235" s="194"/>
      <c r="AB235" s="194"/>
      <c r="AC235" s="257" t="str">
        <f>IF(COUNTBLANK(Y235:AB235)=4,"",SUM(Y235:AA235)+IF(Setup!$I$15="No",0,AB235))</f>
        <v/>
      </c>
      <c r="AD235" s="194"/>
      <c r="AE235" s="194"/>
      <c r="AF235" s="194"/>
      <c r="AG235" s="194"/>
      <c r="AH235" s="257" t="str">
        <f>IF(COUNTBLANK(AD235:AG235)=4,"",SUM(AD235:AF235)+IF(Setup!$I$15="No",0,AG235))</f>
        <v/>
      </c>
      <c r="AI235" s="194"/>
      <c r="AJ235" s="194"/>
      <c r="AK235" s="194"/>
      <c r="AL235" s="194"/>
      <c r="AM235" s="257" t="str">
        <f>IF(COUNTBLANK(AI235:AL235)=4,"",SUM(AI235:AK235)+IF(Setup!$I$15="No",0,AL235))</f>
        <v/>
      </c>
      <c r="AN235" s="194"/>
      <c r="AO235" s="194"/>
      <c r="AP235" s="194"/>
      <c r="AQ235" s="194"/>
      <c r="AR235" s="257" t="str">
        <f>IF(COUNTBLANK(AN235:AQ235)=4,"",SUM(AN235:AP235)+IF(Setup!$I$15="No",0,AQ235))</f>
        <v/>
      </c>
      <c r="AS235" s="194"/>
      <c r="AT235" s="194"/>
      <c r="AU235" s="194"/>
      <c r="AV235" s="194"/>
      <c r="AW235" s="257" t="str">
        <f>IF(COUNTBLANK(AS235:AV235)=4,"",SUM(AS235:AU235)+IF(Setup!$I$15="No",0,AV235))</f>
        <v/>
      </c>
      <c r="AX235" s="194"/>
      <c r="AY235" s="194"/>
      <c r="AZ235" s="194"/>
      <c r="BA235" s="194"/>
      <c r="BB235" s="257" t="str">
        <f>IF(COUNTBLANK(AX235:BA235)=4,"",SUM(AX235:AZ235)+IF(Setup!$I$15="No",0,BA235))</f>
        <v/>
      </c>
      <c r="BC235" s="261" t="str">
        <f ca="1">IF('Demand background (hide)'!A226=Num_Modalities,"",SUM(Demand!I235, Demand!N235))</f>
        <v/>
      </c>
      <c r="BD235" s="261" t="str">
        <f ca="1">IF(AND(A235&lt;=MaxRows,BE235&lt;&gt;"Yes"),'Demand background (hide)'!X226+IF(Setup!$I$15="Yes",'Demand background (hide)'!AJ226,0),"")</f>
        <v/>
      </c>
      <c r="BE235" s="211"/>
    </row>
    <row r="236" spans="1:57" ht="15" x14ac:dyDescent="0.25">
      <c r="A236" t="str">
        <f t="shared" ca="1" si="12"/>
        <v/>
      </c>
      <c r="B236" s="266" t="str">
        <f t="shared" ca="1" si="13"/>
        <v xml:space="preserve"> </v>
      </c>
      <c r="C236" s="267" t="str">
        <f t="shared" ca="1" si="14"/>
        <v/>
      </c>
      <c r="D236" s="424" t="str">
        <f t="shared" ca="1" si="15"/>
        <v/>
      </c>
      <c r="E236" s="194"/>
      <c r="F236" s="194"/>
      <c r="G236" s="194"/>
      <c r="H236" s="194"/>
      <c r="I236" s="253" t="str">
        <f>IF(COUNTBLANK(E236:H236)=4,"",SUM(E236:G236)+IF(Setup!$I$15="No",0,H236))</f>
        <v/>
      </c>
      <c r="J236" s="194"/>
      <c r="K236" s="194"/>
      <c r="L236" s="194"/>
      <c r="M236" s="194"/>
      <c r="N236" s="257" t="str">
        <f>IF(COUNTBLANK(J236:M236)=4,"",SUM(J236:L236)+IF(Setup!$I$15="No",0,M236))</f>
        <v/>
      </c>
      <c r="O236" s="194"/>
      <c r="P236" s="194"/>
      <c r="Q236" s="194"/>
      <c r="R236" s="194"/>
      <c r="S236" s="257" t="str">
        <f>IF(COUNTBLANK(O236:R236)=4,"",SUM(O236:Q236)+IF(Setup!$I$15="No",0,R236))</f>
        <v/>
      </c>
      <c r="T236" s="194"/>
      <c r="U236" s="194"/>
      <c r="V236" s="194"/>
      <c r="W236" s="194"/>
      <c r="X236" s="257" t="str">
        <f>IF(COUNTBLANK(T236:W236)=4,"",SUM(T236:V236)+IF(Setup!$I$15="No",0,W236))</f>
        <v/>
      </c>
      <c r="Y236" s="194"/>
      <c r="Z236" s="194"/>
      <c r="AA236" s="194"/>
      <c r="AB236" s="194"/>
      <c r="AC236" s="257" t="str">
        <f>IF(COUNTBLANK(Y236:AB236)=4,"",SUM(Y236:AA236)+IF(Setup!$I$15="No",0,AB236))</f>
        <v/>
      </c>
      <c r="AD236" s="194"/>
      <c r="AE236" s="194"/>
      <c r="AF236" s="194"/>
      <c r="AG236" s="194"/>
      <c r="AH236" s="257" t="str">
        <f>IF(COUNTBLANK(AD236:AG236)=4,"",SUM(AD236:AF236)+IF(Setup!$I$15="No",0,AG236))</f>
        <v/>
      </c>
      <c r="AI236" s="194"/>
      <c r="AJ236" s="194"/>
      <c r="AK236" s="194"/>
      <c r="AL236" s="194"/>
      <c r="AM236" s="257" t="str">
        <f>IF(COUNTBLANK(AI236:AL236)=4,"",SUM(AI236:AK236)+IF(Setup!$I$15="No",0,AL236))</f>
        <v/>
      </c>
      <c r="AN236" s="194"/>
      <c r="AO236" s="194"/>
      <c r="AP236" s="194"/>
      <c r="AQ236" s="194"/>
      <c r="AR236" s="257" t="str">
        <f>IF(COUNTBLANK(AN236:AQ236)=4,"",SUM(AN236:AP236)+IF(Setup!$I$15="No",0,AQ236))</f>
        <v/>
      </c>
      <c r="AS236" s="194"/>
      <c r="AT236" s="194"/>
      <c r="AU236" s="194"/>
      <c r="AV236" s="194"/>
      <c r="AW236" s="257" t="str">
        <f>IF(COUNTBLANK(AS236:AV236)=4,"",SUM(AS236:AU236)+IF(Setup!$I$15="No",0,AV236))</f>
        <v/>
      </c>
      <c r="AX236" s="194"/>
      <c r="AY236" s="194"/>
      <c r="AZ236" s="194"/>
      <c r="BA236" s="194"/>
      <c r="BB236" s="257" t="str">
        <f>IF(COUNTBLANK(AX236:BA236)=4,"",SUM(AX236:AZ236)+IF(Setup!$I$15="No",0,BA236))</f>
        <v/>
      </c>
      <c r="BC236" s="261" t="str">
        <f ca="1">IF('Demand background (hide)'!A227=Num_Modalities,"",SUM(Demand!I236, Demand!N236))</f>
        <v/>
      </c>
      <c r="BD236" s="261" t="str">
        <f ca="1">IF(AND(A236&lt;=MaxRows,BE236&lt;&gt;"Yes"),'Demand background (hide)'!X227+IF(Setup!$I$15="Yes",'Demand background (hide)'!AJ227,0),"")</f>
        <v/>
      </c>
      <c r="BE236" s="211"/>
    </row>
    <row r="237" spans="1:57" ht="15" x14ac:dyDescent="0.25">
      <c r="A237" t="str">
        <f t="shared" ca="1" si="12"/>
        <v/>
      </c>
      <c r="B237" s="266" t="str">
        <f t="shared" ca="1" si="13"/>
        <v xml:space="preserve"> </v>
      </c>
      <c r="C237" s="267" t="str">
        <f t="shared" ca="1" si="14"/>
        <v/>
      </c>
      <c r="D237" s="424" t="str">
        <f t="shared" ca="1" si="15"/>
        <v/>
      </c>
      <c r="E237" s="194"/>
      <c r="F237" s="194"/>
      <c r="G237" s="194"/>
      <c r="H237" s="194"/>
      <c r="I237" s="253" t="str">
        <f>IF(COUNTBLANK(E237:H237)=4,"",SUM(E237:G237)+IF(Setup!$I$15="No",0,H237))</f>
        <v/>
      </c>
      <c r="J237" s="194"/>
      <c r="K237" s="194"/>
      <c r="L237" s="194"/>
      <c r="M237" s="194"/>
      <c r="N237" s="257" t="str">
        <f>IF(COUNTBLANK(J237:M237)=4,"",SUM(J237:L237)+IF(Setup!$I$15="No",0,M237))</f>
        <v/>
      </c>
      <c r="O237" s="194"/>
      <c r="P237" s="194"/>
      <c r="Q237" s="194"/>
      <c r="R237" s="194"/>
      <c r="S237" s="257" t="str">
        <f>IF(COUNTBLANK(O237:R237)=4,"",SUM(O237:Q237)+IF(Setup!$I$15="No",0,R237))</f>
        <v/>
      </c>
      <c r="T237" s="194"/>
      <c r="U237" s="194"/>
      <c r="V237" s="194"/>
      <c r="W237" s="194"/>
      <c r="X237" s="257" t="str">
        <f>IF(COUNTBLANK(T237:W237)=4,"",SUM(T237:V237)+IF(Setup!$I$15="No",0,W237))</f>
        <v/>
      </c>
      <c r="Y237" s="194"/>
      <c r="Z237" s="194"/>
      <c r="AA237" s="194"/>
      <c r="AB237" s="194"/>
      <c r="AC237" s="257" t="str">
        <f>IF(COUNTBLANK(Y237:AB237)=4,"",SUM(Y237:AA237)+IF(Setup!$I$15="No",0,AB237))</f>
        <v/>
      </c>
      <c r="AD237" s="194"/>
      <c r="AE237" s="194"/>
      <c r="AF237" s="194"/>
      <c r="AG237" s="194"/>
      <c r="AH237" s="257" t="str">
        <f>IF(COUNTBLANK(AD237:AG237)=4,"",SUM(AD237:AF237)+IF(Setup!$I$15="No",0,AG237))</f>
        <v/>
      </c>
      <c r="AI237" s="194"/>
      <c r="AJ237" s="194"/>
      <c r="AK237" s="194"/>
      <c r="AL237" s="194"/>
      <c r="AM237" s="257" t="str">
        <f>IF(COUNTBLANK(AI237:AL237)=4,"",SUM(AI237:AK237)+IF(Setup!$I$15="No",0,AL237))</f>
        <v/>
      </c>
      <c r="AN237" s="194"/>
      <c r="AO237" s="194"/>
      <c r="AP237" s="194"/>
      <c r="AQ237" s="194"/>
      <c r="AR237" s="257" t="str">
        <f>IF(COUNTBLANK(AN237:AQ237)=4,"",SUM(AN237:AP237)+IF(Setup!$I$15="No",0,AQ237))</f>
        <v/>
      </c>
      <c r="AS237" s="194"/>
      <c r="AT237" s="194"/>
      <c r="AU237" s="194"/>
      <c r="AV237" s="194"/>
      <c r="AW237" s="257" t="str">
        <f>IF(COUNTBLANK(AS237:AV237)=4,"",SUM(AS237:AU237)+IF(Setup!$I$15="No",0,AV237))</f>
        <v/>
      </c>
      <c r="AX237" s="194"/>
      <c r="AY237" s="194"/>
      <c r="AZ237" s="194"/>
      <c r="BA237" s="194"/>
      <c r="BB237" s="257" t="str">
        <f>IF(COUNTBLANK(AX237:BA237)=4,"",SUM(AX237:AZ237)+IF(Setup!$I$15="No",0,BA237))</f>
        <v/>
      </c>
      <c r="BC237" s="261" t="str">
        <f ca="1">IF('Demand background (hide)'!A228=Num_Modalities,"",SUM(Demand!I237, Demand!N237))</f>
        <v/>
      </c>
      <c r="BD237" s="261" t="str">
        <f ca="1">IF(AND(A237&lt;=MaxRows,BE237&lt;&gt;"Yes"),'Demand background (hide)'!X228+IF(Setup!$I$15="Yes",'Demand background (hide)'!AJ228,0),"")</f>
        <v/>
      </c>
      <c r="BE237" s="211"/>
    </row>
    <row r="238" spans="1:57" ht="15" x14ac:dyDescent="0.25">
      <c r="A238" t="str">
        <f t="shared" ca="1" si="12"/>
        <v/>
      </c>
      <c r="B238" s="266" t="str">
        <f t="shared" ca="1" si="13"/>
        <v xml:space="preserve"> </v>
      </c>
      <c r="C238" s="267" t="str">
        <f t="shared" ca="1" si="14"/>
        <v/>
      </c>
      <c r="D238" s="424" t="str">
        <f t="shared" ca="1" si="15"/>
        <v/>
      </c>
      <c r="E238" s="194"/>
      <c r="F238" s="194"/>
      <c r="G238" s="194"/>
      <c r="H238" s="194"/>
      <c r="I238" s="253" t="str">
        <f>IF(COUNTBLANK(E238:H238)=4,"",SUM(E238:G238)+IF(Setup!$I$15="No",0,H238))</f>
        <v/>
      </c>
      <c r="J238" s="194"/>
      <c r="K238" s="194"/>
      <c r="L238" s="194"/>
      <c r="M238" s="194"/>
      <c r="N238" s="257" t="str">
        <f>IF(COUNTBLANK(J238:M238)=4,"",SUM(J238:L238)+IF(Setup!$I$15="No",0,M238))</f>
        <v/>
      </c>
      <c r="O238" s="194"/>
      <c r="P238" s="194"/>
      <c r="Q238" s="194"/>
      <c r="R238" s="194"/>
      <c r="S238" s="257" t="str">
        <f>IF(COUNTBLANK(O238:R238)=4,"",SUM(O238:Q238)+IF(Setup!$I$15="No",0,R238))</f>
        <v/>
      </c>
      <c r="T238" s="194"/>
      <c r="U238" s="194"/>
      <c r="V238" s="194"/>
      <c r="W238" s="194"/>
      <c r="X238" s="257" t="str">
        <f>IF(COUNTBLANK(T238:W238)=4,"",SUM(T238:V238)+IF(Setup!$I$15="No",0,W238))</f>
        <v/>
      </c>
      <c r="Y238" s="194"/>
      <c r="Z238" s="194"/>
      <c r="AA238" s="194"/>
      <c r="AB238" s="194"/>
      <c r="AC238" s="257" t="str">
        <f>IF(COUNTBLANK(Y238:AB238)=4,"",SUM(Y238:AA238)+IF(Setup!$I$15="No",0,AB238))</f>
        <v/>
      </c>
      <c r="AD238" s="194"/>
      <c r="AE238" s="194"/>
      <c r="AF238" s="194"/>
      <c r="AG238" s="194"/>
      <c r="AH238" s="257" t="str">
        <f>IF(COUNTBLANK(AD238:AG238)=4,"",SUM(AD238:AF238)+IF(Setup!$I$15="No",0,AG238))</f>
        <v/>
      </c>
      <c r="AI238" s="194"/>
      <c r="AJ238" s="194"/>
      <c r="AK238" s="194"/>
      <c r="AL238" s="194"/>
      <c r="AM238" s="257" t="str">
        <f>IF(COUNTBLANK(AI238:AL238)=4,"",SUM(AI238:AK238)+IF(Setup!$I$15="No",0,AL238))</f>
        <v/>
      </c>
      <c r="AN238" s="194"/>
      <c r="AO238" s="194"/>
      <c r="AP238" s="194"/>
      <c r="AQ238" s="194"/>
      <c r="AR238" s="257" t="str">
        <f>IF(COUNTBLANK(AN238:AQ238)=4,"",SUM(AN238:AP238)+IF(Setup!$I$15="No",0,AQ238))</f>
        <v/>
      </c>
      <c r="AS238" s="194"/>
      <c r="AT238" s="194"/>
      <c r="AU238" s="194"/>
      <c r="AV238" s="194"/>
      <c r="AW238" s="257" t="str">
        <f>IF(COUNTBLANK(AS238:AV238)=4,"",SUM(AS238:AU238)+IF(Setup!$I$15="No",0,AV238))</f>
        <v/>
      </c>
      <c r="AX238" s="194"/>
      <c r="AY238" s="194"/>
      <c r="AZ238" s="194"/>
      <c r="BA238" s="194"/>
      <c r="BB238" s="257" t="str">
        <f>IF(COUNTBLANK(AX238:BA238)=4,"",SUM(AX238:AZ238)+IF(Setup!$I$15="No",0,BA238))</f>
        <v/>
      </c>
      <c r="BC238" s="261" t="str">
        <f ca="1">IF('Demand background (hide)'!A229=Num_Modalities,"",SUM(Demand!I238, Demand!N238))</f>
        <v/>
      </c>
      <c r="BD238" s="261" t="str">
        <f ca="1">IF(AND(A238&lt;=MaxRows,BE238&lt;&gt;"Yes"),'Demand background (hide)'!X229+IF(Setup!$I$15="Yes",'Demand background (hide)'!AJ229,0),"")</f>
        <v/>
      </c>
      <c r="BE238" s="211"/>
    </row>
    <row r="239" spans="1:57" ht="15" x14ac:dyDescent="0.25">
      <c r="A239" t="str">
        <f t="shared" ca="1" si="12"/>
        <v/>
      </c>
      <c r="B239" s="266" t="str">
        <f t="shared" ca="1" si="13"/>
        <v xml:space="preserve"> </v>
      </c>
      <c r="C239" s="267" t="str">
        <f t="shared" ca="1" si="14"/>
        <v/>
      </c>
      <c r="D239" s="424" t="str">
        <f t="shared" ca="1" si="15"/>
        <v/>
      </c>
      <c r="E239" s="194"/>
      <c r="F239" s="194"/>
      <c r="G239" s="194"/>
      <c r="H239" s="194"/>
      <c r="I239" s="253" t="str">
        <f>IF(COUNTBLANK(E239:H239)=4,"",SUM(E239:G239)+IF(Setup!$I$15="No",0,H239))</f>
        <v/>
      </c>
      <c r="J239" s="194"/>
      <c r="K239" s="194"/>
      <c r="L239" s="194"/>
      <c r="M239" s="194"/>
      <c r="N239" s="257" t="str">
        <f>IF(COUNTBLANK(J239:M239)=4,"",SUM(J239:L239)+IF(Setup!$I$15="No",0,M239))</f>
        <v/>
      </c>
      <c r="O239" s="194"/>
      <c r="P239" s="194"/>
      <c r="Q239" s="194"/>
      <c r="R239" s="194"/>
      <c r="S239" s="257" t="str">
        <f>IF(COUNTBLANK(O239:R239)=4,"",SUM(O239:Q239)+IF(Setup!$I$15="No",0,R239))</f>
        <v/>
      </c>
      <c r="T239" s="194"/>
      <c r="U239" s="194"/>
      <c r="V239" s="194"/>
      <c r="W239" s="194"/>
      <c r="X239" s="257" t="str">
        <f>IF(COUNTBLANK(T239:W239)=4,"",SUM(T239:V239)+IF(Setup!$I$15="No",0,W239))</f>
        <v/>
      </c>
      <c r="Y239" s="194"/>
      <c r="Z239" s="194"/>
      <c r="AA239" s="194"/>
      <c r="AB239" s="194"/>
      <c r="AC239" s="257" t="str">
        <f>IF(COUNTBLANK(Y239:AB239)=4,"",SUM(Y239:AA239)+IF(Setup!$I$15="No",0,AB239))</f>
        <v/>
      </c>
      <c r="AD239" s="194"/>
      <c r="AE239" s="194"/>
      <c r="AF239" s="194"/>
      <c r="AG239" s="194"/>
      <c r="AH239" s="257" t="str">
        <f>IF(COUNTBLANK(AD239:AG239)=4,"",SUM(AD239:AF239)+IF(Setup!$I$15="No",0,AG239))</f>
        <v/>
      </c>
      <c r="AI239" s="194"/>
      <c r="AJ239" s="194"/>
      <c r="AK239" s="194"/>
      <c r="AL239" s="194"/>
      <c r="AM239" s="257" t="str">
        <f>IF(COUNTBLANK(AI239:AL239)=4,"",SUM(AI239:AK239)+IF(Setup!$I$15="No",0,AL239))</f>
        <v/>
      </c>
      <c r="AN239" s="194"/>
      <c r="AO239" s="194"/>
      <c r="AP239" s="194"/>
      <c r="AQ239" s="194"/>
      <c r="AR239" s="257" t="str">
        <f>IF(COUNTBLANK(AN239:AQ239)=4,"",SUM(AN239:AP239)+IF(Setup!$I$15="No",0,AQ239))</f>
        <v/>
      </c>
      <c r="AS239" s="194"/>
      <c r="AT239" s="194"/>
      <c r="AU239" s="194"/>
      <c r="AV239" s="194"/>
      <c r="AW239" s="257" t="str">
        <f>IF(COUNTBLANK(AS239:AV239)=4,"",SUM(AS239:AU239)+IF(Setup!$I$15="No",0,AV239))</f>
        <v/>
      </c>
      <c r="AX239" s="194"/>
      <c r="AY239" s="194"/>
      <c r="AZ239" s="194"/>
      <c r="BA239" s="194"/>
      <c r="BB239" s="257" t="str">
        <f>IF(COUNTBLANK(AX239:BA239)=4,"",SUM(AX239:AZ239)+IF(Setup!$I$15="No",0,BA239))</f>
        <v/>
      </c>
      <c r="BC239" s="261" t="str">
        <f ca="1">IF('Demand background (hide)'!A230=Num_Modalities,"",SUM(Demand!I239, Demand!N239))</f>
        <v/>
      </c>
      <c r="BD239" s="261" t="str">
        <f ca="1">IF(AND(A239&lt;=MaxRows,BE239&lt;&gt;"Yes"),'Demand background (hide)'!X230+IF(Setup!$I$15="Yes",'Demand background (hide)'!AJ230,0),"")</f>
        <v/>
      </c>
      <c r="BE239" s="211"/>
    </row>
    <row r="240" spans="1:57" ht="15" x14ac:dyDescent="0.25">
      <c r="A240" t="str">
        <f t="shared" ca="1" si="12"/>
        <v/>
      </c>
      <c r="B240" s="266" t="str">
        <f t="shared" ca="1" si="13"/>
        <v xml:space="preserve"> </v>
      </c>
      <c r="C240" s="267" t="str">
        <f t="shared" ca="1" si="14"/>
        <v/>
      </c>
      <c r="D240" s="424" t="str">
        <f t="shared" ca="1" si="15"/>
        <v/>
      </c>
      <c r="E240" s="194"/>
      <c r="F240" s="194"/>
      <c r="G240" s="194"/>
      <c r="H240" s="194"/>
      <c r="I240" s="253" t="str">
        <f>IF(COUNTBLANK(E240:H240)=4,"",SUM(E240:G240)+IF(Setup!$I$15="No",0,H240))</f>
        <v/>
      </c>
      <c r="J240" s="194"/>
      <c r="K240" s="194"/>
      <c r="L240" s="194"/>
      <c r="M240" s="194"/>
      <c r="N240" s="257" t="str">
        <f>IF(COUNTBLANK(J240:M240)=4,"",SUM(J240:L240)+IF(Setup!$I$15="No",0,M240))</f>
        <v/>
      </c>
      <c r="O240" s="194"/>
      <c r="P240" s="194"/>
      <c r="Q240" s="194"/>
      <c r="R240" s="194"/>
      <c r="S240" s="257" t="str">
        <f>IF(COUNTBLANK(O240:R240)=4,"",SUM(O240:Q240)+IF(Setup!$I$15="No",0,R240))</f>
        <v/>
      </c>
      <c r="T240" s="194"/>
      <c r="U240" s="194"/>
      <c r="V240" s="194"/>
      <c r="W240" s="194"/>
      <c r="X240" s="257" t="str">
        <f>IF(COUNTBLANK(T240:W240)=4,"",SUM(T240:V240)+IF(Setup!$I$15="No",0,W240))</f>
        <v/>
      </c>
      <c r="Y240" s="194"/>
      <c r="Z240" s="194"/>
      <c r="AA240" s="194"/>
      <c r="AB240" s="194"/>
      <c r="AC240" s="257" t="str">
        <f>IF(COUNTBLANK(Y240:AB240)=4,"",SUM(Y240:AA240)+IF(Setup!$I$15="No",0,AB240))</f>
        <v/>
      </c>
      <c r="AD240" s="194"/>
      <c r="AE240" s="194"/>
      <c r="AF240" s="194"/>
      <c r="AG240" s="194"/>
      <c r="AH240" s="257" t="str">
        <f>IF(COUNTBLANK(AD240:AG240)=4,"",SUM(AD240:AF240)+IF(Setup!$I$15="No",0,AG240))</f>
        <v/>
      </c>
      <c r="AI240" s="194"/>
      <c r="AJ240" s="194"/>
      <c r="AK240" s="194"/>
      <c r="AL240" s="194"/>
      <c r="AM240" s="257" t="str">
        <f>IF(COUNTBLANK(AI240:AL240)=4,"",SUM(AI240:AK240)+IF(Setup!$I$15="No",0,AL240))</f>
        <v/>
      </c>
      <c r="AN240" s="194"/>
      <c r="AO240" s="194"/>
      <c r="AP240" s="194"/>
      <c r="AQ240" s="194"/>
      <c r="AR240" s="257" t="str">
        <f>IF(COUNTBLANK(AN240:AQ240)=4,"",SUM(AN240:AP240)+IF(Setup!$I$15="No",0,AQ240))</f>
        <v/>
      </c>
      <c r="AS240" s="194"/>
      <c r="AT240" s="194"/>
      <c r="AU240" s="194"/>
      <c r="AV240" s="194"/>
      <c r="AW240" s="257" t="str">
        <f>IF(COUNTBLANK(AS240:AV240)=4,"",SUM(AS240:AU240)+IF(Setup!$I$15="No",0,AV240))</f>
        <v/>
      </c>
      <c r="AX240" s="194"/>
      <c r="AY240" s="194"/>
      <c r="AZ240" s="194"/>
      <c r="BA240" s="194"/>
      <c r="BB240" s="257" t="str">
        <f>IF(COUNTBLANK(AX240:BA240)=4,"",SUM(AX240:AZ240)+IF(Setup!$I$15="No",0,BA240))</f>
        <v/>
      </c>
      <c r="BC240" s="261" t="str">
        <f ca="1">IF('Demand background (hide)'!A231=Num_Modalities,"",SUM(Demand!I240, Demand!N240))</f>
        <v/>
      </c>
      <c r="BD240" s="261" t="str">
        <f ca="1">IF(AND(A240&lt;=MaxRows,BE240&lt;&gt;"Yes"),'Demand background (hide)'!X231+IF(Setup!$I$15="Yes",'Demand background (hide)'!AJ231,0),"")</f>
        <v/>
      </c>
      <c r="BE240" s="211"/>
    </row>
    <row r="241" spans="1:57" ht="15" x14ac:dyDescent="0.25">
      <c r="A241" t="str">
        <f t="shared" ca="1" si="12"/>
        <v/>
      </c>
      <c r="B241" s="266" t="str">
        <f t="shared" ca="1" si="13"/>
        <v xml:space="preserve"> </v>
      </c>
      <c r="C241" s="267" t="str">
        <f t="shared" ca="1" si="14"/>
        <v/>
      </c>
      <c r="D241" s="424" t="str">
        <f t="shared" ca="1" si="15"/>
        <v/>
      </c>
      <c r="E241" s="194"/>
      <c r="F241" s="194"/>
      <c r="G241" s="194"/>
      <c r="H241" s="194"/>
      <c r="I241" s="253" t="str">
        <f>IF(COUNTBLANK(E241:H241)=4,"",SUM(E241:G241)+IF(Setup!$I$15="No",0,H241))</f>
        <v/>
      </c>
      <c r="J241" s="194"/>
      <c r="K241" s="194"/>
      <c r="L241" s="194"/>
      <c r="M241" s="194"/>
      <c r="N241" s="257" t="str">
        <f>IF(COUNTBLANK(J241:M241)=4,"",SUM(J241:L241)+IF(Setup!$I$15="No",0,M241))</f>
        <v/>
      </c>
      <c r="O241" s="194"/>
      <c r="P241" s="194"/>
      <c r="Q241" s="194"/>
      <c r="R241" s="194"/>
      <c r="S241" s="257" t="str">
        <f>IF(COUNTBLANK(O241:R241)=4,"",SUM(O241:Q241)+IF(Setup!$I$15="No",0,R241))</f>
        <v/>
      </c>
      <c r="T241" s="194"/>
      <c r="U241" s="194"/>
      <c r="V241" s="194"/>
      <c r="W241" s="194"/>
      <c r="X241" s="257" t="str">
        <f>IF(COUNTBLANK(T241:W241)=4,"",SUM(T241:V241)+IF(Setup!$I$15="No",0,W241))</f>
        <v/>
      </c>
      <c r="Y241" s="194"/>
      <c r="Z241" s="194"/>
      <c r="AA241" s="194"/>
      <c r="AB241" s="194"/>
      <c r="AC241" s="257" t="str">
        <f>IF(COUNTBLANK(Y241:AB241)=4,"",SUM(Y241:AA241)+IF(Setup!$I$15="No",0,AB241))</f>
        <v/>
      </c>
      <c r="AD241" s="194"/>
      <c r="AE241" s="194"/>
      <c r="AF241" s="194"/>
      <c r="AG241" s="194"/>
      <c r="AH241" s="257" t="str">
        <f>IF(COUNTBLANK(AD241:AG241)=4,"",SUM(AD241:AF241)+IF(Setup!$I$15="No",0,AG241))</f>
        <v/>
      </c>
      <c r="AI241" s="194"/>
      <c r="AJ241" s="194"/>
      <c r="AK241" s="194"/>
      <c r="AL241" s="194"/>
      <c r="AM241" s="257" t="str">
        <f>IF(COUNTBLANK(AI241:AL241)=4,"",SUM(AI241:AK241)+IF(Setup!$I$15="No",0,AL241))</f>
        <v/>
      </c>
      <c r="AN241" s="194"/>
      <c r="AO241" s="194"/>
      <c r="AP241" s="194"/>
      <c r="AQ241" s="194"/>
      <c r="AR241" s="257" t="str">
        <f>IF(COUNTBLANK(AN241:AQ241)=4,"",SUM(AN241:AP241)+IF(Setup!$I$15="No",0,AQ241))</f>
        <v/>
      </c>
      <c r="AS241" s="194"/>
      <c r="AT241" s="194"/>
      <c r="AU241" s="194"/>
      <c r="AV241" s="194"/>
      <c r="AW241" s="257" t="str">
        <f>IF(COUNTBLANK(AS241:AV241)=4,"",SUM(AS241:AU241)+IF(Setup!$I$15="No",0,AV241))</f>
        <v/>
      </c>
      <c r="AX241" s="194"/>
      <c r="AY241" s="194"/>
      <c r="AZ241" s="194"/>
      <c r="BA241" s="194"/>
      <c r="BB241" s="257" t="str">
        <f>IF(COUNTBLANK(AX241:BA241)=4,"",SUM(AX241:AZ241)+IF(Setup!$I$15="No",0,BA241))</f>
        <v/>
      </c>
      <c r="BC241" s="261" t="str">
        <f ca="1">IF('Demand background (hide)'!A232=Num_Modalities,"",SUM(Demand!I241, Demand!N241))</f>
        <v/>
      </c>
      <c r="BD241" s="261" t="str">
        <f ca="1">IF(AND(A241&lt;=MaxRows,BE241&lt;&gt;"Yes"),'Demand background (hide)'!X232+IF(Setup!$I$15="Yes",'Demand background (hide)'!AJ232,0),"")</f>
        <v/>
      </c>
      <c r="BE241" s="211"/>
    </row>
    <row r="242" spans="1:57" ht="15" x14ac:dyDescent="0.25">
      <c r="A242" t="str">
        <f t="shared" ca="1" si="12"/>
        <v/>
      </c>
      <c r="B242" s="266" t="str">
        <f t="shared" ca="1" si="13"/>
        <v xml:space="preserve"> </v>
      </c>
      <c r="C242" s="267" t="str">
        <f t="shared" ca="1" si="14"/>
        <v/>
      </c>
      <c r="D242" s="424" t="str">
        <f t="shared" ca="1" si="15"/>
        <v/>
      </c>
      <c r="E242" s="194"/>
      <c r="F242" s="194"/>
      <c r="G242" s="194"/>
      <c r="H242" s="194"/>
      <c r="I242" s="253" t="str">
        <f>IF(COUNTBLANK(E242:H242)=4,"",SUM(E242:G242)+IF(Setup!$I$15="No",0,H242))</f>
        <v/>
      </c>
      <c r="J242" s="194"/>
      <c r="K242" s="194"/>
      <c r="L242" s="194"/>
      <c r="M242" s="194"/>
      <c r="N242" s="257" t="str">
        <f>IF(COUNTBLANK(J242:M242)=4,"",SUM(J242:L242)+IF(Setup!$I$15="No",0,M242))</f>
        <v/>
      </c>
      <c r="O242" s="194"/>
      <c r="P242" s="194"/>
      <c r="Q242" s="194"/>
      <c r="R242" s="194"/>
      <c r="S242" s="257" t="str">
        <f>IF(COUNTBLANK(O242:R242)=4,"",SUM(O242:Q242)+IF(Setup!$I$15="No",0,R242))</f>
        <v/>
      </c>
      <c r="T242" s="194"/>
      <c r="U242" s="194"/>
      <c r="V242" s="194"/>
      <c r="W242" s="194"/>
      <c r="X242" s="257" t="str">
        <f>IF(COUNTBLANK(T242:W242)=4,"",SUM(T242:V242)+IF(Setup!$I$15="No",0,W242))</f>
        <v/>
      </c>
      <c r="Y242" s="194"/>
      <c r="Z242" s="194"/>
      <c r="AA242" s="194"/>
      <c r="AB242" s="194"/>
      <c r="AC242" s="257" t="str">
        <f>IF(COUNTBLANK(Y242:AB242)=4,"",SUM(Y242:AA242)+IF(Setup!$I$15="No",0,AB242))</f>
        <v/>
      </c>
      <c r="AD242" s="194"/>
      <c r="AE242" s="194"/>
      <c r="AF242" s="194"/>
      <c r="AG242" s="194"/>
      <c r="AH242" s="257" t="str">
        <f>IF(COUNTBLANK(AD242:AG242)=4,"",SUM(AD242:AF242)+IF(Setup!$I$15="No",0,AG242))</f>
        <v/>
      </c>
      <c r="AI242" s="194"/>
      <c r="AJ242" s="194"/>
      <c r="AK242" s="194"/>
      <c r="AL242" s="194"/>
      <c r="AM242" s="257" t="str">
        <f>IF(COUNTBLANK(AI242:AL242)=4,"",SUM(AI242:AK242)+IF(Setup!$I$15="No",0,AL242))</f>
        <v/>
      </c>
      <c r="AN242" s="194"/>
      <c r="AO242" s="194"/>
      <c r="AP242" s="194"/>
      <c r="AQ242" s="194"/>
      <c r="AR242" s="257" t="str">
        <f>IF(COUNTBLANK(AN242:AQ242)=4,"",SUM(AN242:AP242)+IF(Setup!$I$15="No",0,AQ242))</f>
        <v/>
      </c>
      <c r="AS242" s="194"/>
      <c r="AT242" s="194"/>
      <c r="AU242" s="194"/>
      <c r="AV242" s="194"/>
      <c r="AW242" s="257" t="str">
        <f>IF(COUNTBLANK(AS242:AV242)=4,"",SUM(AS242:AU242)+IF(Setup!$I$15="No",0,AV242))</f>
        <v/>
      </c>
      <c r="AX242" s="194"/>
      <c r="AY242" s="194"/>
      <c r="AZ242" s="194"/>
      <c r="BA242" s="194"/>
      <c r="BB242" s="257" t="str">
        <f>IF(COUNTBLANK(AX242:BA242)=4,"",SUM(AX242:AZ242)+IF(Setup!$I$15="No",0,BA242))</f>
        <v/>
      </c>
      <c r="BC242" s="261" t="str">
        <f ca="1">IF('Demand background (hide)'!A233=Num_Modalities,"",SUM(Demand!I242, Demand!N242))</f>
        <v/>
      </c>
      <c r="BD242" s="261" t="str">
        <f ca="1">IF(AND(A242&lt;=MaxRows,BE242&lt;&gt;"Yes"),'Demand background (hide)'!X233+IF(Setup!$I$15="Yes",'Demand background (hide)'!AJ233,0),"")</f>
        <v/>
      </c>
      <c r="BE242" s="211"/>
    </row>
    <row r="243" spans="1:57" ht="15" x14ac:dyDescent="0.25">
      <c r="A243" t="str">
        <f t="shared" ca="1" si="12"/>
        <v/>
      </c>
      <c r="B243" s="266" t="str">
        <f t="shared" ca="1" si="13"/>
        <v xml:space="preserve"> </v>
      </c>
      <c r="C243" s="267" t="str">
        <f t="shared" ca="1" si="14"/>
        <v/>
      </c>
      <c r="D243" s="424" t="str">
        <f t="shared" ca="1" si="15"/>
        <v/>
      </c>
      <c r="E243" s="194"/>
      <c r="F243" s="194"/>
      <c r="G243" s="194"/>
      <c r="H243" s="194"/>
      <c r="I243" s="253" t="str">
        <f>IF(COUNTBLANK(E243:H243)=4,"",SUM(E243:G243)+IF(Setup!$I$15="No",0,H243))</f>
        <v/>
      </c>
      <c r="J243" s="194"/>
      <c r="K243" s="194"/>
      <c r="L243" s="194"/>
      <c r="M243" s="194"/>
      <c r="N243" s="257" t="str">
        <f>IF(COUNTBLANK(J243:M243)=4,"",SUM(J243:L243)+IF(Setup!$I$15="No",0,M243))</f>
        <v/>
      </c>
      <c r="O243" s="194"/>
      <c r="P243" s="194"/>
      <c r="Q243" s="194"/>
      <c r="R243" s="194"/>
      <c r="S243" s="257" t="str">
        <f>IF(COUNTBLANK(O243:R243)=4,"",SUM(O243:Q243)+IF(Setup!$I$15="No",0,R243))</f>
        <v/>
      </c>
      <c r="T243" s="194"/>
      <c r="U243" s="194"/>
      <c r="V243" s="194"/>
      <c r="W243" s="194"/>
      <c r="X243" s="257" t="str">
        <f>IF(COUNTBLANK(T243:W243)=4,"",SUM(T243:V243)+IF(Setup!$I$15="No",0,W243))</f>
        <v/>
      </c>
      <c r="Y243" s="194"/>
      <c r="Z243" s="194"/>
      <c r="AA243" s="194"/>
      <c r="AB243" s="194"/>
      <c r="AC243" s="257" t="str">
        <f>IF(COUNTBLANK(Y243:AB243)=4,"",SUM(Y243:AA243)+IF(Setup!$I$15="No",0,AB243))</f>
        <v/>
      </c>
      <c r="AD243" s="194"/>
      <c r="AE243" s="194"/>
      <c r="AF243" s="194"/>
      <c r="AG243" s="194"/>
      <c r="AH243" s="257" t="str">
        <f>IF(COUNTBLANK(AD243:AG243)=4,"",SUM(AD243:AF243)+IF(Setup!$I$15="No",0,AG243))</f>
        <v/>
      </c>
      <c r="AI243" s="194"/>
      <c r="AJ243" s="194"/>
      <c r="AK243" s="194"/>
      <c r="AL243" s="194"/>
      <c r="AM243" s="257" t="str">
        <f>IF(COUNTBLANK(AI243:AL243)=4,"",SUM(AI243:AK243)+IF(Setup!$I$15="No",0,AL243))</f>
        <v/>
      </c>
      <c r="AN243" s="194"/>
      <c r="AO243" s="194"/>
      <c r="AP243" s="194"/>
      <c r="AQ243" s="194"/>
      <c r="AR243" s="257" t="str">
        <f>IF(COUNTBLANK(AN243:AQ243)=4,"",SUM(AN243:AP243)+IF(Setup!$I$15="No",0,AQ243))</f>
        <v/>
      </c>
      <c r="AS243" s="194"/>
      <c r="AT243" s="194"/>
      <c r="AU243" s="194"/>
      <c r="AV243" s="194"/>
      <c r="AW243" s="257" t="str">
        <f>IF(COUNTBLANK(AS243:AV243)=4,"",SUM(AS243:AU243)+IF(Setup!$I$15="No",0,AV243))</f>
        <v/>
      </c>
      <c r="AX243" s="194"/>
      <c r="AY243" s="194"/>
      <c r="AZ243" s="194"/>
      <c r="BA243" s="194"/>
      <c r="BB243" s="257" t="str">
        <f>IF(COUNTBLANK(AX243:BA243)=4,"",SUM(AX243:AZ243)+IF(Setup!$I$15="No",0,BA243))</f>
        <v/>
      </c>
      <c r="BC243" s="261" t="str">
        <f ca="1">IF('Demand background (hide)'!A234=Num_Modalities,"",SUM(Demand!I243, Demand!N243))</f>
        <v/>
      </c>
      <c r="BD243" s="261" t="str">
        <f ca="1">IF(AND(A243&lt;=MaxRows,BE243&lt;&gt;"Yes"),'Demand background (hide)'!X234+IF(Setup!$I$15="Yes",'Demand background (hide)'!AJ234,0),"")</f>
        <v/>
      </c>
      <c r="BE243" s="211"/>
    </row>
    <row r="244" spans="1:57" ht="15" x14ac:dyDescent="0.25">
      <c r="A244" t="str">
        <f t="shared" ca="1" si="12"/>
        <v/>
      </c>
      <c r="B244" s="266" t="str">
        <f t="shared" ca="1" si="13"/>
        <v xml:space="preserve"> </v>
      </c>
      <c r="C244" s="267" t="str">
        <f t="shared" ca="1" si="14"/>
        <v/>
      </c>
      <c r="D244" s="424" t="str">
        <f t="shared" ca="1" si="15"/>
        <v/>
      </c>
      <c r="E244" s="194"/>
      <c r="F244" s="194"/>
      <c r="G244" s="194"/>
      <c r="H244" s="194"/>
      <c r="I244" s="253" t="str">
        <f>IF(COUNTBLANK(E244:H244)=4,"",SUM(E244:G244)+IF(Setup!$I$15="No",0,H244))</f>
        <v/>
      </c>
      <c r="J244" s="194"/>
      <c r="K244" s="194"/>
      <c r="L244" s="194"/>
      <c r="M244" s="194"/>
      <c r="N244" s="257" t="str">
        <f>IF(COUNTBLANK(J244:M244)=4,"",SUM(J244:L244)+IF(Setup!$I$15="No",0,M244))</f>
        <v/>
      </c>
      <c r="O244" s="194"/>
      <c r="P244" s="194"/>
      <c r="Q244" s="194"/>
      <c r="R244" s="194"/>
      <c r="S244" s="257" t="str">
        <f>IF(COUNTBLANK(O244:R244)=4,"",SUM(O244:Q244)+IF(Setup!$I$15="No",0,R244))</f>
        <v/>
      </c>
      <c r="T244" s="194"/>
      <c r="U244" s="194"/>
      <c r="V244" s="194"/>
      <c r="W244" s="194"/>
      <c r="X244" s="257" t="str">
        <f>IF(COUNTBLANK(T244:W244)=4,"",SUM(T244:V244)+IF(Setup!$I$15="No",0,W244))</f>
        <v/>
      </c>
      <c r="Y244" s="194"/>
      <c r="Z244" s="194"/>
      <c r="AA244" s="194"/>
      <c r="AB244" s="194"/>
      <c r="AC244" s="257" t="str">
        <f>IF(COUNTBLANK(Y244:AB244)=4,"",SUM(Y244:AA244)+IF(Setup!$I$15="No",0,AB244))</f>
        <v/>
      </c>
      <c r="AD244" s="194"/>
      <c r="AE244" s="194"/>
      <c r="AF244" s="194"/>
      <c r="AG244" s="194"/>
      <c r="AH244" s="257" t="str">
        <f>IF(COUNTBLANK(AD244:AG244)=4,"",SUM(AD244:AF244)+IF(Setup!$I$15="No",0,AG244))</f>
        <v/>
      </c>
      <c r="AI244" s="194"/>
      <c r="AJ244" s="194"/>
      <c r="AK244" s="194"/>
      <c r="AL244" s="194"/>
      <c r="AM244" s="257" t="str">
        <f>IF(COUNTBLANK(AI244:AL244)=4,"",SUM(AI244:AK244)+IF(Setup!$I$15="No",0,AL244))</f>
        <v/>
      </c>
      <c r="AN244" s="194"/>
      <c r="AO244" s="194"/>
      <c r="AP244" s="194"/>
      <c r="AQ244" s="194"/>
      <c r="AR244" s="257" t="str">
        <f>IF(COUNTBLANK(AN244:AQ244)=4,"",SUM(AN244:AP244)+IF(Setup!$I$15="No",0,AQ244))</f>
        <v/>
      </c>
      <c r="AS244" s="194"/>
      <c r="AT244" s="194"/>
      <c r="AU244" s="194"/>
      <c r="AV244" s="194"/>
      <c r="AW244" s="257" t="str">
        <f>IF(COUNTBLANK(AS244:AV244)=4,"",SUM(AS244:AU244)+IF(Setup!$I$15="No",0,AV244))</f>
        <v/>
      </c>
      <c r="AX244" s="194"/>
      <c r="AY244" s="194"/>
      <c r="AZ244" s="194"/>
      <c r="BA244" s="194"/>
      <c r="BB244" s="257" t="str">
        <f>IF(COUNTBLANK(AX244:BA244)=4,"",SUM(AX244:AZ244)+IF(Setup!$I$15="No",0,BA244))</f>
        <v/>
      </c>
      <c r="BC244" s="261" t="str">
        <f ca="1">IF('Demand background (hide)'!A235=Num_Modalities,"",SUM(Demand!I244, Demand!N244))</f>
        <v/>
      </c>
      <c r="BD244" s="261" t="str">
        <f ca="1">IF(AND(A244&lt;=MaxRows,BE244&lt;&gt;"Yes"),'Demand background (hide)'!X235+IF(Setup!$I$15="Yes",'Demand background (hide)'!AJ235,0),"")</f>
        <v/>
      </c>
      <c r="BE244" s="211"/>
    </row>
    <row r="245" spans="1:57" ht="15" x14ac:dyDescent="0.25">
      <c r="A245" t="str">
        <f t="shared" ca="1" si="12"/>
        <v/>
      </c>
      <c r="B245" s="266" t="str">
        <f t="shared" ca="1" si="13"/>
        <v xml:space="preserve"> </v>
      </c>
      <c r="C245" s="267" t="str">
        <f t="shared" ca="1" si="14"/>
        <v/>
      </c>
      <c r="D245" s="424" t="str">
        <f t="shared" ca="1" si="15"/>
        <v/>
      </c>
      <c r="E245" s="194"/>
      <c r="F245" s="194"/>
      <c r="G245" s="194"/>
      <c r="H245" s="194"/>
      <c r="I245" s="253" t="str">
        <f>IF(COUNTBLANK(E245:H245)=4,"",SUM(E245:G245)+IF(Setup!$I$15="No",0,H245))</f>
        <v/>
      </c>
      <c r="J245" s="194"/>
      <c r="K245" s="194"/>
      <c r="L245" s="194"/>
      <c r="M245" s="194"/>
      <c r="N245" s="257" t="str">
        <f>IF(COUNTBLANK(J245:M245)=4,"",SUM(J245:L245)+IF(Setup!$I$15="No",0,M245))</f>
        <v/>
      </c>
      <c r="O245" s="194"/>
      <c r="P245" s="194"/>
      <c r="Q245" s="194"/>
      <c r="R245" s="194"/>
      <c r="S245" s="257" t="str">
        <f>IF(COUNTBLANK(O245:R245)=4,"",SUM(O245:Q245)+IF(Setup!$I$15="No",0,R245))</f>
        <v/>
      </c>
      <c r="T245" s="194"/>
      <c r="U245" s="194"/>
      <c r="V245" s="194"/>
      <c r="W245" s="194"/>
      <c r="X245" s="257" t="str">
        <f>IF(COUNTBLANK(T245:W245)=4,"",SUM(T245:V245)+IF(Setup!$I$15="No",0,W245))</f>
        <v/>
      </c>
      <c r="Y245" s="194"/>
      <c r="Z245" s="194"/>
      <c r="AA245" s="194"/>
      <c r="AB245" s="194"/>
      <c r="AC245" s="257" t="str">
        <f>IF(COUNTBLANK(Y245:AB245)=4,"",SUM(Y245:AA245)+IF(Setup!$I$15="No",0,AB245))</f>
        <v/>
      </c>
      <c r="AD245" s="194"/>
      <c r="AE245" s="194"/>
      <c r="AF245" s="194"/>
      <c r="AG245" s="194"/>
      <c r="AH245" s="257" t="str">
        <f>IF(COUNTBLANK(AD245:AG245)=4,"",SUM(AD245:AF245)+IF(Setup!$I$15="No",0,AG245))</f>
        <v/>
      </c>
      <c r="AI245" s="194"/>
      <c r="AJ245" s="194"/>
      <c r="AK245" s="194"/>
      <c r="AL245" s="194"/>
      <c r="AM245" s="257" t="str">
        <f>IF(COUNTBLANK(AI245:AL245)=4,"",SUM(AI245:AK245)+IF(Setup!$I$15="No",0,AL245))</f>
        <v/>
      </c>
      <c r="AN245" s="194"/>
      <c r="AO245" s="194"/>
      <c r="AP245" s="194"/>
      <c r="AQ245" s="194"/>
      <c r="AR245" s="257" t="str">
        <f>IF(COUNTBLANK(AN245:AQ245)=4,"",SUM(AN245:AP245)+IF(Setup!$I$15="No",0,AQ245))</f>
        <v/>
      </c>
      <c r="AS245" s="194"/>
      <c r="AT245" s="194"/>
      <c r="AU245" s="194"/>
      <c r="AV245" s="194"/>
      <c r="AW245" s="257" t="str">
        <f>IF(COUNTBLANK(AS245:AV245)=4,"",SUM(AS245:AU245)+IF(Setup!$I$15="No",0,AV245))</f>
        <v/>
      </c>
      <c r="AX245" s="194"/>
      <c r="AY245" s="194"/>
      <c r="AZ245" s="194"/>
      <c r="BA245" s="194"/>
      <c r="BB245" s="257" t="str">
        <f>IF(COUNTBLANK(AX245:BA245)=4,"",SUM(AX245:AZ245)+IF(Setup!$I$15="No",0,BA245))</f>
        <v/>
      </c>
      <c r="BC245" s="261" t="str">
        <f ca="1">IF('Demand background (hide)'!A236=Num_Modalities,"",SUM(Demand!I245, Demand!N245))</f>
        <v/>
      </c>
      <c r="BD245" s="261" t="str">
        <f ca="1">IF(AND(A245&lt;=MaxRows,BE245&lt;&gt;"Yes"),'Demand background (hide)'!X236+IF(Setup!$I$15="Yes",'Demand background (hide)'!AJ236,0),"")</f>
        <v/>
      </c>
      <c r="BE245" s="211"/>
    </row>
    <row r="246" spans="1:57" ht="15" x14ac:dyDescent="0.25">
      <c r="A246" t="str">
        <f t="shared" ca="1" si="12"/>
        <v/>
      </c>
      <c r="B246" s="266" t="str">
        <f t="shared" ca="1" si="13"/>
        <v xml:space="preserve"> </v>
      </c>
      <c r="C246" s="267" t="str">
        <f t="shared" ca="1" si="14"/>
        <v/>
      </c>
      <c r="D246" s="424" t="str">
        <f t="shared" ca="1" si="15"/>
        <v/>
      </c>
      <c r="E246" s="194"/>
      <c r="F246" s="194"/>
      <c r="G246" s="194"/>
      <c r="H246" s="194"/>
      <c r="I246" s="253" t="str">
        <f>IF(COUNTBLANK(E246:H246)=4,"",SUM(E246:G246)+IF(Setup!$I$15="No",0,H246))</f>
        <v/>
      </c>
      <c r="J246" s="194"/>
      <c r="K246" s="194"/>
      <c r="L246" s="194"/>
      <c r="M246" s="194"/>
      <c r="N246" s="257" t="str">
        <f>IF(COUNTBLANK(J246:M246)=4,"",SUM(J246:L246)+IF(Setup!$I$15="No",0,M246))</f>
        <v/>
      </c>
      <c r="O246" s="194"/>
      <c r="P246" s="194"/>
      <c r="Q246" s="194"/>
      <c r="R246" s="194"/>
      <c r="S246" s="257" t="str">
        <f>IF(COUNTBLANK(O246:R246)=4,"",SUM(O246:Q246)+IF(Setup!$I$15="No",0,R246))</f>
        <v/>
      </c>
      <c r="T246" s="194"/>
      <c r="U246" s="194"/>
      <c r="V246" s="194"/>
      <c r="W246" s="194"/>
      <c r="X246" s="257" t="str">
        <f>IF(COUNTBLANK(T246:W246)=4,"",SUM(T246:V246)+IF(Setup!$I$15="No",0,W246))</f>
        <v/>
      </c>
      <c r="Y246" s="194"/>
      <c r="Z246" s="194"/>
      <c r="AA246" s="194"/>
      <c r="AB246" s="194"/>
      <c r="AC246" s="257" t="str">
        <f>IF(COUNTBLANK(Y246:AB246)=4,"",SUM(Y246:AA246)+IF(Setup!$I$15="No",0,AB246))</f>
        <v/>
      </c>
      <c r="AD246" s="194"/>
      <c r="AE246" s="194"/>
      <c r="AF246" s="194"/>
      <c r="AG246" s="194"/>
      <c r="AH246" s="257" t="str">
        <f>IF(COUNTBLANK(AD246:AG246)=4,"",SUM(AD246:AF246)+IF(Setup!$I$15="No",0,AG246))</f>
        <v/>
      </c>
      <c r="AI246" s="194"/>
      <c r="AJ246" s="194"/>
      <c r="AK246" s="194"/>
      <c r="AL246" s="194"/>
      <c r="AM246" s="257" t="str">
        <f>IF(COUNTBLANK(AI246:AL246)=4,"",SUM(AI246:AK246)+IF(Setup!$I$15="No",0,AL246))</f>
        <v/>
      </c>
      <c r="AN246" s="194"/>
      <c r="AO246" s="194"/>
      <c r="AP246" s="194"/>
      <c r="AQ246" s="194"/>
      <c r="AR246" s="257" t="str">
        <f>IF(COUNTBLANK(AN246:AQ246)=4,"",SUM(AN246:AP246)+IF(Setup!$I$15="No",0,AQ246))</f>
        <v/>
      </c>
      <c r="AS246" s="194"/>
      <c r="AT246" s="194"/>
      <c r="AU246" s="194"/>
      <c r="AV246" s="194"/>
      <c r="AW246" s="257" t="str">
        <f>IF(COUNTBLANK(AS246:AV246)=4,"",SUM(AS246:AU246)+IF(Setup!$I$15="No",0,AV246))</f>
        <v/>
      </c>
      <c r="AX246" s="194"/>
      <c r="AY246" s="194"/>
      <c r="AZ246" s="194"/>
      <c r="BA246" s="194"/>
      <c r="BB246" s="257" t="str">
        <f>IF(COUNTBLANK(AX246:BA246)=4,"",SUM(AX246:AZ246)+IF(Setup!$I$15="No",0,BA246))</f>
        <v/>
      </c>
      <c r="BC246" s="261" t="str">
        <f ca="1">IF('Demand background (hide)'!A237=Num_Modalities,"",SUM(Demand!I246, Demand!N246))</f>
        <v/>
      </c>
      <c r="BD246" s="261" t="str">
        <f ca="1">IF(AND(A246&lt;=MaxRows,BE246&lt;&gt;"Yes"),'Demand background (hide)'!X237+IF(Setup!$I$15="Yes",'Demand background (hide)'!AJ237,0),"")</f>
        <v/>
      </c>
      <c r="BE246" s="211"/>
    </row>
    <row r="247" spans="1:57" ht="15" x14ac:dyDescent="0.25">
      <c r="A247" t="str">
        <f t="shared" ca="1" si="12"/>
        <v/>
      </c>
      <c r="B247" s="266" t="str">
        <f t="shared" ca="1" si="13"/>
        <v xml:space="preserve"> </v>
      </c>
      <c r="C247" s="267" t="str">
        <f t="shared" ca="1" si="14"/>
        <v/>
      </c>
      <c r="D247" s="424" t="str">
        <f t="shared" ca="1" si="15"/>
        <v/>
      </c>
      <c r="E247" s="194"/>
      <c r="F247" s="194"/>
      <c r="G247" s="194"/>
      <c r="H247" s="194"/>
      <c r="I247" s="253" t="str">
        <f>IF(COUNTBLANK(E247:H247)=4,"",SUM(E247:G247)+IF(Setup!$I$15="No",0,H247))</f>
        <v/>
      </c>
      <c r="J247" s="194"/>
      <c r="K247" s="194"/>
      <c r="L247" s="194"/>
      <c r="M247" s="194"/>
      <c r="N247" s="257" t="str">
        <f>IF(COUNTBLANK(J247:M247)=4,"",SUM(J247:L247)+IF(Setup!$I$15="No",0,M247))</f>
        <v/>
      </c>
      <c r="O247" s="194"/>
      <c r="P247" s="194"/>
      <c r="Q247" s="194"/>
      <c r="R247" s="194"/>
      <c r="S247" s="257" t="str">
        <f>IF(COUNTBLANK(O247:R247)=4,"",SUM(O247:Q247)+IF(Setup!$I$15="No",0,R247))</f>
        <v/>
      </c>
      <c r="T247" s="194"/>
      <c r="U247" s="194"/>
      <c r="V247" s="194"/>
      <c r="W247" s="194"/>
      <c r="X247" s="257" t="str">
        <f>IF(COUNTBLANK(T247:W247)=4,"",SUM(T247:V247)+IF(Setup!$I$15="No",0,W247))</f>
        <v/>
      </c>
      <c r="Y247" s="194"/>
      <c r="Z247" s="194"/>
      <c r="AA247" s="194"/>
      <c r="AB247" s="194"/>
      <c r="AC247" s="257" t="str">
        <f>IF(COUNTBLANK(Y247:AB247)=4,"",SUM(Y247:AA247)+IF(Setup!$I$15="No",0,AB247))</f>
        <v/>
      </c>
      <c r="AD247" s="194"/>
      <c r="AE247" s="194"/>
      <c r="AF247" s="194"/>
      <c r="AG247" s="194"/>
      <c r="AH247" s="257" t="str">
        <f>IF(COUNTBLANK(AD247:AG247)=4,"",SUM(AD247:AF247)+IF(Setup!$I$15="No",0,AG247))</f>
        <v/>
      </c>
      <c r="AI247" s="194"/>
      <c r="AJ247" s="194"/>
      <c r="AK247" s="194"/>
      <c r="AL247" s="194"/>
      <c r="AM247" s="257" t="str">
        <f>IF(COUNTBLANK(AI247:AL247)=4,"",SUM(AI247:AK247)+IF(Setup!$I$15="No",0,AL247))</f>
        <v/>
      </c>
      <c r="AN247" s="194"/>
      <c r="AO247" s="194"/>
      <c r="AP247" s="194"/>
      <c r="AQ247" s="194"/>
      <c r="AR247" s="257" t="str">
        <f>IF(COUNTBLANK(AN247:AQ247)=4,"",SUM(AN247:AP247)+IF(Setup!$I$15="No",0,AQ247))</f>
        <v/>
      </c>
      <c r="AS247" s="194"/>
      <c r="AT247" s="194"/>
      <c r="AU247" s="194"/>
      <c r="AV247" s="194"/>
      <c r="AW247" s="257" t="str">
        <f>IF(COUNTBLANK(AS247:AV247)=4,"",SUM(AS247:AU247)+IF(Setup!$I$15="No",0,AV247))</f>
        <v/>
      </c>
      <c r="AX247" s="194"/>
      <c r="AY247" s="194"/>
      <c r="AZ247" s="194"/>
      <c r="BA247" s="194"/>
      <c r="BB247" s="257" t="str">
        <f>IF(COUNTBLANK(AX247:BA247)=4,"",SUM(AX247:AZ247)+IF(Setup!$I$15="No",0,BA247))</f>
        <v/>
      </c>
      <c r="BC247" s="261" t="str">
        <f ca="1">IF('Demand background (hide)'!A238=Num_Modalities,"",SUM(Demand!I247, Demand!N247))</f>
        <v/>
      </c>
      <c r="BD247" s="261" t="str">
        <f ca="1">IF(AND(A247&lt;=MaxRows,BE247&lt;&gt;"Yes"),'Demand background (hide)'!X238+IF(Setup!$I$15="Yes",'Demand background (hide)'!AJ238,0),"")</f>
        <v/>
      </c>
      <c r="BE247" s="211"/>
    </row>
    <row r="248" spans="1:57" ht="15" x14ac:dyDescent="0.25">
      <c r="A248" t="str">
        <f t="shared" ca="1" si="12"/>
        <v/>
      </c>
      <c r="B248" s="266" t="str">
        <f t="shared" ca="1" si="13"/>
        <v xml:space="preserve"> </v>
      </c>
      <c r="C248" s="267" t="str">
        <f t="shared" ca="1" si="14"/>
        <v/>
      </c>
      <c r="D248" s="424" t="str">
        <f t="shared" ca="1" si="15"/>
        <v/>
      </c>
      <c r="E248" s="194"/>
      <c r="F248" s="194"/>
      <c r="G248" s="194"/>
      <c r="H248" s="194"/>
      <c r="I248" s="253" t="str">
        <f>IF(COUNTBLANK(E248:H248)=4,"",SUM(E248:G248)+IF(Setup!$I$15="No",0,H248))</f>
        <v/>
      </c>
      <c r="J248" s="194"/>
      <c r="K248" s="194"/>
      <c r="L248" s="194"/>
      <c r="M248" s="194"/>
      <c r="N248" s="257" t="str">
        <f>IF(COUNTBLANK(J248:M248)=4,"",SUM(J248:L248)+IF(Setup!$I$15="No",0,M248))</f>
        <v/>
      </c>
      <c r="O248" s="194"/>
      <c r="P248" s="194"/>
      <c r="Q248" s="194"/>
      <c r="R248" s="194"/>
      <c r="S248" s="257" t="str">
        <f>IF(COUNTBLANK(O248:R248)=4,"",SUM(O248:Q248)+IF(Setup!$I$15="No",0,R248))</f>
        <v/>
      </c>
      <c r="T248" s="194"/>
      <c r="U248" s="194"/>
      <c r="V248" s="194"/>
      <c r="W248" s="194"/>
      <c r="X248" s="257" t="str">
        <f>IF(COUNTBLANK(T248:W248)=4,"",SUM(T248:V248)+IF(Setup!$I$15="No",0,W248))</f>
        <v/>
      </c>
      <c r="Y248" s="194"/>
      <c r="Z248" s="194"/>
      <c r="AA248" s="194"/>
      <c r="AB248" s="194"/>
      <c r="AC248" s="257" t="str">
        <f>IF(COUNTBLANK(Y248:AB248)=4,"",SUM(Y248:AA248)+IF(Setup!$I$15="No",0,AB248))</f>
        <v/>
      </c>
      <c r="AD248" s="194"/>
      <c r="AE248" s="194"/>
      <c r="AF248" s="194"/>
      <c r="AG248" s="194"/>
      <c r="AH248" s="257" t="str">
        <f>IF(COUNTBLANK(AD248:AG248)=4,"",SUM(AD248:AF248)+IF(Setup!$I$15="No",0,AG248))</f>
        <v/>
      </c>
      <c r="AI248" s="194"/>
      <c r="AJ248" s="194"/>
      <c r="AK248" s="194"/>
      <c r="AL248" s="194"/>
      <c r="AM248" s="257" t="str">
        <f>IF(COUNTBLANK(AI248:AL248)=4,"",SUM(AI248:AK248)+IF(Setup!$I$15="No",0,AL248))</f>
        <v/>
      </c>
      <c r="AN248" s="194"/>
      <c r="AO248" s="194"/>
      <c r="AP248" s="194"/>
      <c r="AQ248" s="194"/>
      <c r="AR248" s="257" t="str">
        <f>IF(COUNTBLANK(AN248:AQ248)=4,"",SUM(AN248:AP248)+IF(Setup!$I$15="No",0,AQ248))</f>
        <v/>
      </c>
      <c r="AS248" s="194"/>
      <c r="AT248" s="194"/>
      <c r="AU248" s="194"/>
      <c r="AV248" s="194"/>
      <c r="AW248" s="257" t="str">
        <f>IF(COUNTBLANK(AS248:AV248)=4,"",SUM(AS248:AU248)+IF(Setup!$I$15="No",0,AV248))</f>
        <v/>
      </c>
      <c r="AX248" s="194"/>
      <c r="AY248" s="194"/>
      <c r="AZ248" s="194"/>
      <c r="BA248" s="194"/>
      <c r="BB248" s="257" t="str">
        <f>IF(COUNTBLANK(AX248:BA248)=4,"",SUM(AX248:AZ248)+IF(Setup!$I$15="No",0,BA248))</f>
        <v/>
      </c>
      <c r="BC248" s="261" t="str">
        <f ca="1">IF('Demand background (hide)'!A239=Num_Modalities,"",SUM(Demand!I248, Demand!N248))</f>
        <v/>
      </c>
      <c r="BD248" s="261" t="str">
        <f ca="1">IF(AND(A248&lt;=MaxRows,BE248&lt;&gt;"Yes"),'Demand background (hide)'!X239+IF(Setup!$I$15="Yes",'Demand background (hide)'!AJ239,0),"")</f>
        <v/>
      </c>
      <c r="BE248" s="211"/>
    </row>
    <row r="249" spans="1:57" ht="15" x14ac:dyDescent="0.25">
      <c r="A249" t="str">
        <f t="shared" ca="1" si="12"/>
        <v/>
      </c>
      <c r="B249" s="266" t="str">
        <f t="shared" ca="1" si="13"/>
        <v xml:space="preserve"> </v>
      </c>
      <c r="C249" s="267" t="str">
        <f t="shared" ca="1" si="14"/>
        <v/>
      </c>
      <c r="D249" s="424" t="str">
        <f t="shared" ca="1" si="15"/>
        <v/>
      </c>
      <c r="E249" s="194"/>
      <c r="F249" s="194"/>
      <c r="G249" s="194"/>
      <c r="H249" s="194"/>
      <c r="I249" s="253" t="str">
        <f>IF(COUNTBLANK(E249:H249)=4,"",SUM(E249:G249)+IF(Setup!$I$15="No",0,H249))</f>
        <v/>
      </c>
      <c r="J249" s="194"/>
      <c r="K249" s="194"/>
      <c r="L249" s="194"/>
      <c r="M249" s="194"/>
      <c r="N249" s="257" t="str">
        <f>IF(COUNTBLANK(J249:M249)=4,"",SUM(J249:L249)+IF(Setup!$I$15="No",0,M249))</f>
        <v/>
      </c>
      <c r="O249" s="194"/>
      <c r="P249" s="194"/>
      <c r="Q249" s="194"/>
      <c r="R249" s="194"/>
      <c r="S249" s="257" t="str">
        <f>IF(COUNTBLANK(O249:R249)=4,"",SUM(O249:Q249)+IF(Setup!$I$15="No",0,R249))</f>
        <v/>
      </c>
      <c r="T249" s="194"/>
      <c r="U249" s="194"/>
      <c r="V249" s="194"/>
      <c r="W249" s="194"/>
      <c r="X249" s="257" t="str">
        <f>IF(COUNTBLANK(T249:W249)=4,"",SUM(T249:V249)+IF(Setup!$I$15="No",0,W249))</f>
        <v/>
      </c>
      <c r="Y249" s="194"/>
      <c r="Z249" s="194"/>
      <c r="AA249" s="194"/>
      <c r="AB249" s="194"/>
      <c r="AC249" s="257" t="str">
        <f>IF(COUNTBLANK(Y249:AB249)=4,"",SUM(Y249:AA249)+IF(Setup!$I$15="No",0,AB249))</f>
        <v/>
      </c>
      <c r="AD249" s="194"/>
      <c r="AE249" s="194"/>
      <c r="AF249" s="194"/>
      <c r="AG249" s="194"/>
      <c r="AH249" s="257" t="str">
        <f>IF(COUNTBLANK(AD249:AG249)=4,"",SUM(AD249:AF249)+IF(Setup!$I$15="No",0,AG249))</f>
        <v/>
      </c>
      <c r="AI249" s="194"/>
      <c r="AJ249" s="194"/>
      <c r="AK249" s="194"/>
      <c r="AL249" s="194"/>
      <c r="AM249" s="257" t="str">
        <f>IF(COUNTBLANK(AI249:AL249)=4,"",SUM(AI249:AK249)+IF(Setup!$I$15="No",0,AL249))</f>
        <v/>
      </c>
      <c r="AN249" s="194"/>
      <c r="AO249" s="194"/>
      <c r="AP249" s="194"/>
      <c r="AQ249" s="194"/>
      <c r="AR249" s="257" t="str">
        <f>IF(COUNTBLANK(AN249:AQ249)=4,"",SUM(AN249:AP249)+IF(Setup!$I$15="No",0,AQ249))</f>
        <v/>
      </c>
      <c r="AS249" s="194"/>
      <c r="AT249" s="194"/>
      <c r="AU249" s="194"/>
      <c r="AV249" s="194"/>
      <c r="AW249" s="257" t="str">
        <f>IF(COUNTBLANK(AS249:AV249)=4,"",SUM(AS249:AU249)+IF(Setup!$I$15="No",0,AV249))</f>
        <v/>
      </c>
      <c r="AX249" s="194"/>
      <c r="AY249" s="194"/>
      <c r="AZ249" s="194"/>
      <c r="BA249" s="194"/>
      <c r="BB249" s="257" t="str">
        <f>IF(COUNTBLANK(AX249:BA249)=4,"",SUM(AX249:AZ249)+IF(Setup!$I$15="No",0,BA249))</f>
        <v/>
      </c>
      <c r="BC249" s="261" t="str">
        <f ca="1">IF('Demand background (hide)'!A240=Num_Modalities,"",SUM(Demand!I249, Demand!N249))</f>
        <v/>
      </c>
      <c r="BD249" s="261" t="str">
        <f ca="1">IF(AND(A249&lt;=MaxRows,BE249&lt;&gt;"Yes"),'Demand background (hide)'!X240+IF(Setup!$I$15="Yes",'Demand background (hide)'!AJ240,0),"")</f>
        <v/>
      </c>
      <c r="BE249" s="211"/>
    </row>
    <row r="250" spans="1:57" ht="15" x14ac:dyDescent="0.25">
      <c r="A250" t="str">
        <f t="shared" ca="1" si="12"/>
        <v/>
      </c>
      <c r="B250" s="266" t="str">
        <f t="shared" ca="1" si="13"/>
        <v xml:space="preserve"> </v>
      </c>
      <c r="C250" s="267" t="str">
        <f t="shared" ca="1" si="14"/>
        <v/>
      </c>
      <c r="D250" s="424" t="str">
        <f t="shared" ca="1" si="15"/>
        <v/>
      </c>
      <c r="E250" s="194"/>
      <c r="F250" s="194"/>
      <c r="G250" s="194"/>
      <c r="H250" s="194"/>
      <c r="I250" s="253" t="str">
        <f>IF(COUNTBLANK(E250:H250)=4,"",SUM(E250:G250)+IF(Setup!$I$15="No",0,H250))</f>
        <v/>
      </c>
      <c r="J250" s="194"/>
      <c r="K250" s="194"/>
      <c r="L250" s="194"/>
      <c r="M250" s="194"/>
      <c r="N250" s="257" t="str">
        <f>IF(COUNTBLANK(J250:M250)=4,"",SUM(J250:L250)+IF(Setup!$I$15="No",0,M250))</f>
        <v/>
      </c>
      <c r="O250" s="194"/>
      <c r="P250" s="194"/>
      <c r="Q250" s="194"/>
      <c r="R250" s="194"/>
      <c r="S250" s="257" t="str">
        <f>IF(COUNTBLANK(O250:R250)=4,"",SUM(O250:Q250)+IF(Setup!$I$15="No",0,R250))</f>
        <v/>
      </c>
      <c r="T250" s="194"/>
      <c r="U250" s="194"/>
      <c r="V250" s="194"/>
      <c r="W250" s="194"/>
      <c r="X250" s="257" t="str">
        <f>IF(COUNTBLANK(T250:W250)=4,"",SUM(T250:V250)+IF(Setup!$I$15="No",0,W250))</f>
        <v/>
      </c>
      <c r="Y250" s="194"/>
      <c r="Z250" s="194"/>
      <c r="AA250" s="194"/>
      <c r="AB250" s="194"/>
      <c r="AC250" s="257" t="str">
        <f>IF(COUNTBLANK(Y250:AB250)=4,"",SUM(Y250:AA250)+IF(Setup!$I$15="No",0,AB250))</f>
        <v/>
      </c>
      <c r="AD250" s="194"/>
      <c r="AE250" s="194"/>
      <c r="AF250" s="194"/>
      <c r="AG250" s="194"/>
      <c r="AH250" s="257" t="str">
        <f>IF(COUNTBLANK(AD250:AG250)=4,"",SUM(AD250:AF250)+IF(Setup!$I$15="No",0,AG250))</f>
        <v/>
      </c>
      <c r="AI250" s="194"/>
      <c r="AJ250" s="194"/>
      <c r="AK250" s="194"/>
      <c r="AL250" s="194"/>
      <c r="AM250" s="257" t="str">
        <f>IF(COUNTBLANK(AI250:AL250)=4,"",SUM(AI250:AK250)+IF(Setup!$I$15="No",0,AL250))</f>
        <v/>
      </c>
      <c r="AN250" s="194"/>
      <c r="AO250" s="194"/>
      <c r="AP250" s="194"/>
      <c r="AQ250" s="194"/>
      <c r="AR250" s="257" t="str">
        <f>IF(COUNTBLANK(AN250:AQ250)=4,"",SUM(AN250:AP250)+IF(Setup!$I$15="No",0,AQ250))</f>
        <v/>
      </c>
      <c r="AS250" s="194"/>
      <c r="AT250" s="194"/>
      <c r="AU250" s="194"/>
      <c r="AV250" s="194"/>
      <c r="AW250" s="257" t="str">
        <f>IF(COUNTBLANK(AS250:AV250)=4,"",SUM(AS250:AU250)+IF(Setup!$I$15="No",0,AV250))</f>
        <v/>
      </c>
      <c r="AX250" s="194"/>
      <c r="AY250" s="194"/>
      <c r="AZ250" s="194"/>
      <c r="BA250" s="194"/>
      <c r="BB250" s="257" t="str">
        <f>IF(COUNTBLANK(AX250:BA250)=4,"",SUM(AX250:AZ250)+IF(Setup!$I$15="No",0,BA250))</f>
        <v/>
      </c>
      <c r="BC250" s="261" t="str">
        <f ca="1">IF('Demand background (hide)'!A241=Num_Modalities,"",SUM(Demand!I250, Demand!N250))</f>
        <v/>
      </c>
      <c r="BD250" s="261" t="str">
        <f ca="1">IF(AND(A250&lt;=MaxRows,BE250&lt;&gt;"Yes"),'Demand background (hide)'!X241+IF(Setup!$I$15="Yes",'Demand background (hide)'!AJ241,0),"")</f>
        <v/>
      </c>
      <c r="BE250" s="211"/>
    </row>
    <row r="251" spans="1:57" ht="15" x14ac:dyDescent="0.25">
      <c r="A251" t="str">
        <f t="shared" ca="1" si="12"/>
        <v/>
      </c>
      <c r="B251" s="266" t="str">
        <f t="shared" ca="1" si="13"/>
        <v xml:space="preserve"> </v>
      </c>
      <c r="C251" s="267" t="str">
        <f t="shared" ca="1" si="14"/>
        <v/>
      </c>
      <c r="D251" s="424" t="str">
        <f t="shared" ca="1" si="15"/>
        <v/>
      </c>
      <c r="E251" s="194"/>
      <c r="F251" s="194"/>
      <c r="G251" s="194"/>
      <c r="H251" s="194"/>
      <c r="I251" s="253" t="str">
        <f>IF(COUNTBLANK(E251:H251)=4,"",SUM(E251:G251)+IF(Setup!$I$15="No",0,H251))</f>
        <v/>
      </c>
      <c r="J251" s="194"/>
      <c r="K251" s="194"/>
      <c r="L251" s="194"/>
      <c r="M251" s="194"/>
      <c r="N251" s="257" t="str">
        <f>IF(COUNTBLANK(J251:M251)=4,"",SUM(J251:L251)+IF(Setup!$I$15="No",0,M251))</f>
        <v/>
      </c>
      <c r="O251" s="194"/>
      <c r="P251" s="194"/>
      <c r="Q251" s="194"/>
      <c r="R251" s="194"/>
      <c r="S251" s="257" t="str">
        <f>IF(COUNTBLANK(O251:R251)=4,"",SUM(O251:Q251)+IF(Setup!$I$15="No",0,R251))</f>
        <v/>
      </c>
      <c r="T251" s="194"/>
      <c r="U251" s="194"/>
      <c r="V251" s="194"/>
      <c r="W251" s="194"/>
      <c r="X251" s="257" t="str">
        <f>IF(COUNTBLANK(T251:W251)=4,"",SUM(T251:V251)+IF(Setup!$I$15="No",0,W251))</f>
        <v/>
      </c>
      <c r="Y251" s="194"/>
      <c r="Z251" s="194"/>
      <c r="AA251" s="194"/>
      <c r="AB251" s="194"/>
      <c r="AC251" s="257" t="str">
        <f>IF(COUNTBLANK(Y251:AB251)=4,"",SUM(Y251:AA251)+IF(Setup!$I$15="No",0,AB251))</f>
        <v/>
      </c>
      <c r="AD251" s="194"/>
      <c r="AE251" s="194"/>
      <c r="AF251" s="194"/>
      <c r="AG251" s="194"/>
      <c r="AH251" s="257" t="str">
        <f>IF(COUNTBLANK(AD251:AG251)=4,"",SUM(AD251:AF251)+IF(Setup!$I$15="No",0,AG251))</f>
        <v/>
      </c>
      <c r="AI251" s="194"/>
      <c r="AJ251" s="194"/>
      <c r="AK251" s="194"/>
      <c r="AL251" s="194"/>
      <c r="AM251" s="257" t="str">
        <f>IF(COUNTBLANK(AI251:AL251)=4,"",SUM(AI251:AK251)+IF(Setup!$I$15="No",0,AL251))</f>
        <v/>
      </c>
      <c r="AN251" s="194"/>
      <c r="AO251" s="194"/>
      <c r="AP251" s="194"/>
      <c r="AQ251" s="194"/>
      <c r="AR251" s="257" t="str">
        <f>IF(COUNTBLANK(AN251:AQ251)=4,"",SUM(AN251:AP251)+IF(Setup!$I$15="No",0,AQ251))</f>
        <v/>
      </c>
      <c r="AS251" s="194"/>
      <c r="AT251" s="194"/>
      <c r="AU251" s="194"/>
      <c r="AV251" s="194"/>
      <c r="AW251" s="257" t="str">
        <f>IF(COUNTBLANK(AS251:AV251)=4,"",SUM(AS251:AU251)+IF(Setup!$I$15="No",0,AV251))</f>
        <v/>
      </c>
      <c r="AX251" s="194"/>
      <c r="AY251" s="194"/>
      <c r="AZ251" s="194"/>
      <c r="BA251" s="194"/>
      <c r="BB251" s="257" t="str">
        <f>IF(COUNTBLANK(AX251:BA251)=4,"",SUM(AX251:AZ251)+IF(Setup!$I$15="No",0,BA251))</f>
        <v/>
      </c>
      <c r="BC251" s="261" t="str">
        <f ca="1">IF('Demand background (hide)'!A242=Num_Modalities,"",SUM(Demand!I251, Demand!N251))</f>
        <v/>
      </c>
      <c r="BD251" s="261" t="str">
        <f ca="1">IF(AND(A251&lt;=MaxRows,BE251&lt;&gt;"Yes"),'Demand background (hide)'!X242+IF(Setup!$I$15="Yes",'Demand background (hide)'!AJ242,0),"")</f>
        <v/>
      </c>
      <c r="BE251" s="211"/>
    </row>
    <row r="252" spans="1:57" ht="15" x14ac:dyDescent="0.25">
      <c r="A252" t="str">
        <f t="shared" ca="1" si="12"/>
        <v/>
      </c>
      <c r="B252" s="266" t="str">
        <f t="shared" ca="1" si="13"/>
        <v xml:space="preserve"> </v>
      </c>
      <c r="C252" s="267" t="str">
        <f t="shared" ca="1" si="14"/>
        <v/>
      </c>
      <c r="D252" s="424" t="str">
        <f t="shared" ca="1" si="15"/>
        <v/>
      </c>
      <c r="E252" s="194"/>
      <c r="F252" s="194"/>
      <c r="G252" s="194"/>
      <c r="H252" s="194"/>
      <c r="I252" s="253" t="str">
        <f>IF(COUNTBLANK(E252:H252)=4,"",SUM(E252:G252)+IF(Setup!$I$15="No",0,H252))</f>
        <v/>
      </c>
      <c r="J252" s="194"/>
      <c r="K252" s="194"/>
      <c r="L252" s="194"/>
      <c r="M252" s="194"/>
      <c r="N252" s="257" t="str">
        <f>IF(COUNTBLANK(J252:M252)=4,"",SUM(J252:L252)+IF(Setup!$I$15="No",0,M252))</f>
        <v/>
      </c>
      <c r="O252" s="194"/>
      <c r="P252" s="194"/>
      <c r="Q252" s="194"/>
      <c r="R252" s="194"/>
      <c r="S252" s="257" t="str">
        <f>IF(COUNTBLANK(O252:R252)=4,"",SUM(O252:Q252)+IF(Setup!$I$15="No",0,R252))</f>
        <v/>
      </c>
      <c r="T252" s="194"/>
      <c r="U252" s="194"/>
      <c r="V252" s="194"/>
      <c r="W252" s="194"/>
      <c r="X252" s="257" t="str">
        <f>IF(COUNTBLANK(T252:W252)=4,"",SUM(T252:V252)+IF(Setup!$I$15="No",0,W252))</f>
        <v/>
      </c>
      <c r="Y252" s="194"/>
      <c r="Z252" s="194"/>
      <c r="AA252" s="194"/>
      <c r="AB252" s="194"/>
      <c r="AC252" s="257" t="str">
        <f>IF(COUNTBLANK(Y252:AB252)=4,"",SUM(Y252:AA252)+IF(Setup!$I$15="No",0,AB252))</f>
        <v/>
      </c>
      <c r="AD252" s="194"/>
      <c r="AE252" s="194"/>
      <c r="AF252" s="194"/>
      <c r="AG252" s="194"/>
      <c r="AH252" s="257" t="str">
        <f>IF(COUNTBLANK(AD252:AG252)=4,"",SUM(AD252:AF252)+IF(Setup!$I$15="No",0,AG252))</f>
        <v/>
      </c>
      <c r="AI252" s="194"/>
      <c r="AJ252" s="194"/>
      <c r="AK252" s="194"/>
      <c r="AL252" s="194"/>
      <c r="AM252" s="257" t="str">
        <f>IF(COUNTBLANK(AI252:AL252)=4,"",SUM(AI252:AK252)+IF(Setup!$I$15="No",0,AL252))</f>
        <v/>
      </c>
      <c r="AN252" s="194"/>
      <c r="AO252" s="194"/>
      <c r="AP252" s="194"/>
      <c r="AQ252" s="194"/>
      <c r="AR252" s="257" t="str">
        <f>IF(COUNTBLANK(AN252:AQ252)=4,"",SUM(AN252:AP252)+IF(Setup!$I$15="No",0,AQ252))</f>
        <v/>
      </c>
      <c r="AS252" s="194"/>
      <c r="AT252" s="194"/>
      <c r="AU252" s="194"/>
      <c r="AV252" s="194"/>
      <c r="AW252" s="257" t="str">
        <f>IF(COUNTBLANK(AS252:AV252)=4,"",SUM(AS252:AU252)+IF(Setup!$I$15="No",0,AV252))</f>
        <v/>
      </c>
      <c r="AX252" s="194"/>
      <c r="AY252" s="194"/>
      <c r="AZ252" s="194"/>
      <c r="BA252" s="194"/>
      <c r="BB252" s="257" t="str">
        <f>IF(COUNTBLANK(AX252:BA252)=4,"",SUM(AX252:AZ252)+IF(Setup!$I$15="No",0,BA252))</f>
        <v/>
      </c>
      <c r="BC252" s="261" t="str">
        <f ca="1">IF('Demand background (hide)'!A243=Num_Modalities,"",SUM(Demand!I252, Demand!N252))</f>
        <v/>
      </c>
      <c r="BD252" s="261" t="str">
        <f ca="1">IF(AND(A252&lt;=MaxRows,BE252&lt;&gt;"Yes"),'Demand background (hide)'!X243+IF(Setup!$I$15="Yes",'Demand background (hide)'!AJ243,0),"")</f>
        <v/>
      </c>
      <c r="BE252" s="211"/>
    </row>
    <row r="253" spans="1:57" ht="15" x14ac:dyDescent="0.25">
      <c r="A253" t="str">
        <f t="shared" ca="1" si="12"/>
        <v/>
      </c>
      <c r="B253" s="266" t="str">
        <f t="shared" ca="1" si="13"/>
        <v xml:space="preserve"> </v>
      </c>
      <c r="C253" s="267" t="str">
        <f t="shared" ca="1" si="14"/>
        <v/>
      </c>
      <c r="D253" s="424" t="str">
        <f t="shared" ca="1" si="15"/>
        <v/>
      </c>
      <c r="E253" s="194"/>
      <c r="F253" s="194"/>
      <c r="G253" s="194"/>
      <c r="H253" s="194"/>
      <c r="I253" s="253" t="str">
        <f>IF(COUNTBLANK(E253:H253)=4,"",SUM(E253:G253)+IF(Setup!$I$15="No",0,H253))</f>
        <v/>
      </c>
      <c r="J253" s="194"/>
      <c r="K253" s="194"/>
      <c r="L253" s="194"/>
      <c r="M253" s="194"/>
      <c r="N253" s="257" t="str">
        <f>IF(COUNTBLANK(J253:M253)=4,"",SUM(J253:L253)+IF(Setup!$I$15="No",0,M253))</f>
        <v/>
      </c>
      <c r="O253" s="194"/>
      <c r="P253" s="194"/>
      <c r="Q253" s="194"/>
      <c r="R253" s="194"/>
      <c r="S253" s="257" t="str">
        <f>IF(COUNTBLANK(O253:R253)=4,"",SUM(O253:Q253)+IF(Setup!$I$15="No",0,R253))</f>
        <v/>
      </c>
      <c r="T253" s="194"/>
      <c r="U253" s="194"/>
      <c r="V253" s="194"/>
      <c r="W253" s="194"/>
      <c r="X253" s="257" t="str">
        <f>IF(COUNTBLANK(T253:W253)=4,"",SUM(T253:V253)+IF(Setup!$I$15="No",0,W253))</f>
        <v/>
      </c>
      <c r="Y253" s="194"/>
      <c r="Z253" s="194"/>
      <c r="AA253" s="194"/>
      <c r="AB253" s="194"/>
      <c r="AC253" s="257" t="str">
        <f>IF(COUNTBLANK(Y253:AB253)=4,"",SUM(Y253:AA253)+IF(Setup!$I$15="No",0,AB253))</f>
        <v/>
      </c>
      <c r="AD253" s="194"/>
      <c r="AE253" s="194"/>
      <c r="AF253" s="194"/>
      <c r="AG253" s="194"/>
      <c r="AH253" s="257" t="str">
        <f>IF(COUNTBLANK(AD253:AG253)=4,"",SUM(AD253:AF253)+IF(Setup!$I$15="No",0,AG253))</f>
        <v/>
      </c>
      <c r="AI253" s="194"/>
      <c r="AJ253" s="194"/>
      <c r="AK253" s="194"/>
      <c r="AL253" s="194"/>
      <c r="AM253" s="257" t="str">
        <f>IF(COUNTBLANK(AI253:AL253)=4,"",SUM(AI253:AK253)+IF(Setup!$I$15="No",0,AL253))</f>
        <v/>
      </c>
      <c r="AN253" s="194"/>
      <c r="AO253" s="194"/>
      <c r="AP253" s="194"/>
      <c r="AQ253" s="194"/>
      <c r="AR253" s="257" t="str">
        <f>IF(COUNTBLANK(AN253:AQ253)=4,"",SUM(AN253:AP253)+IF(Setup!$I$15="No",0,AQ253))</f>
        <v/>
      </c>
      <c r="AS253" s="194"/>
      <c r="AT253" s="194"/>
      <c r="AU253" s="194"/>
      <c r="AV253" s="194"/>
      <c r="AW253" s="257" t="str">
        <f>IF(COUNTBLANK(AS253:AV253)=4,"",SUM(AS253:AU253)+IF(Setup!$I$15="No",0,AV253))</f>
        <v/>
      </c>
      <c r="AX253" s="194"/>
      <c r="AY253" s="194"/>
      <c r="AZ253" s="194"/>
      <c r="BA253" s="194"/>
      <c r="BB253" s="257" t="str">
        <f>IF(COUNTBLANK(AX253:BA253)=4,"",SUM(AX253:AZ253)+IF(Setup!$I$15="No",0,BA253))</f>
        <v/>
      </c>
      <c r="BC253" s="261" t="str">
        <f ca="1">IF('Demand background (hide)'!A244=Num_Modalities,"",SUM(Demand!I253, Demand!N253))</f>
        <v/>
      </c>
      <c r="BD253" s="261" t="str">
        <f ca="1">IF(AND(A253&lt;=MaxRows,BE253&lt;&gt;"Yes"),'Demand background (hide)'!X244+IF(Setup!$I$15="Yes",'Demand background (hide)'!AJ244,0),"")</f>
        <v/>
      </c>
      <c r="BE253" s="211"/>
    </row>
    <row r="254" spans="1:57" ht="15" x14ac:dyDescent="0.25">
      <c r="A254" t="str">
        <f t="shared" ca="1" si="12"/>
        <v/>
      </c>
      <c r="B254" s="266" t="str">
        <f t="shared" ca="1" si="13"/>
        <v xml:space="preserve"> </v>
      </c>
      <c r="C254" s="267" t="str">
        <f t="shared" ca="1" si="14"/>
        <v/>
      </c>
      <c r="D254" s="424" t="str">
        <f t="shared" ca="1" si="15"/>
        <v/>
      </c>
      <c r="E254" s="194"/>
      <c r="F254" s="194"/>
      <c r="G254" s="194"/>
      <c r="H254" s="194"/>
      <c r="I254" s="253" t="str">
        <f>IF(COUNTBLANK(E254:H254)=4,"",SUM(E254:G254)+IF(Setup!$I$15="No",0,H254))</f>
        <v/>
      </c>
      <c r="J254" s="194"/>
      <c r="K254" s="194"/>
      <c r="L254" s="194"/>
      <c r="M254" s="194"/>
      <c r="N254" s="257" t="str">
        <f>IF(COUNTBLANK(J254:M254)=4,"",SUM(J254:L254)+IF(Setup!$I$15="No",0,M254))</f>
        <v/>
      </c>
      <c r="O254" s="194"/>
      <c r="P254" s="194"/>
      <c r="Q254" s="194"/>
      <c r="R254" s="194"/>
      <c r="S254" s="257" t="str">
        <f>IF(COUNTBLANK(O254:R254)=4,"",SUM(O254:Q254)+IF(Setup!$I$15="No",0,R254))</f>
        <v/>
      </c>
      <c r="T254" s="194"/>
      <c r="U254" s="194"/>
      <c r="V254" s="194"/>
      <c r="W254" s="194"/>
      <c r="X254" s="257" t="str">
        <f>IF(COUNTBLANK(T254:W254)=4,"",SUM(T254:V254)+IF(Setup!$I$15="No",0,W254))</f>
        <v/>
      </c>
      <c r="Y254" s="194"/>
      <c r="Z254" s="194"/>
      <c r="AA254" s="194"/>
      <c r="AB254" s="194"/>
      <c r="AC254" s="257" t="str">
        <f>IF(COUNTBLANK(Y254:AB254)=4,"",SUM(Y254:AA254)+IF(Setup!$I$15="No",0,AB254))</f>
        <v/>
      </c>
      <c r="AD254" s="194"/>
      <c r="AE254" s="194"/>
      <c r="AF254" s="194"/>
      <c r="AG254" s="194"/>
      <c r="AH254" s="257" t="str">
        <f>IF(COUNTBLANK(AD254:AG254)=4,"",SUM(AD254:AF254)+IF(Setup!$I$15="No",0,AG254))</f>
        <v/>
      </c>
      <c r="AI254" s="194"/>
      <c r="AJ254" s="194"/>
      <c r="AK254" s="194"/>
      <c r="AL254" s="194"/>
      <c r="AM254" s="257" t="str">
        <f>IF(COUNTBLANK(AI254:AL254)=4,"",SUM(AI254:AK254)+IF(Setup!$I$15="No",0,AL254))</f>
        <v/>
      </c>
      <c r="AN254" s="194"/>
      <c r="AO254" s="194"/>
      <c r="AP254" s="194"/>
      <c r="AQ254" s="194"/>
      <c r="AR254" s="257" t="str">
        <f>IF(COUNTBLANK(AN254:AQ254)=4,"",SUM(AN254:AP254)+IF(Setup!$I$15="No",0,AQ254))</f>
        <v/>
      </c>
      <c r="AS254" s="194"/>
      <c r="AT254" s="194"/>
      <c r="AU254" s="194"/>
      <c r="AV254" s="194"/>
      <c r="AW254" s="257" t="str">
        <f>IF(COUNTBLANK(AS254:AV254)=4,"",SUM(AS254:AU254)+IF(Setup!$I$15="No",0,AV254))</f>
        <v/>
      </c>
      <c r="AX254" s="194"/>
      <c r="AY254" s="194"/>
      <c r="AZ254" s="194"/>
      <c r="BA254" s="194"/>
      <c r="BB254" s="257" t="str">
        <f>IF(COUNTBLANK(AX254:BA254)=4,"",SUM(AX254:AZ254)+IF(Setup!$I$15="No",0,BA254))</f>
        <v/>
      </c>
      <c r="BC254" s="261" t="str">
        <f ca="1">IF('Demand background (hide)'!A245=Num_Modalities,"",SUM(Demand!I254, Demand!N254))</f>
        <v/>
      </c>
      <c r="BD254" s="261" t="str">
        <f ca="1">IF(AND(A254&lt;=MaxRows,BE254&lt;&gt;"Yes"),'Demand background (hide)'!X245+IF(Setup!$I$15="Yes",'Demand background (hide)'!AJ245,0),"")</f>
        <v/>
      </c>
      <c r="BE254" s="211"/>
    </row>
    <row r="255" spans="1:57" ht="15" x14ac:dyDescent="0.25">
      <c r="A255" t="str">
        <f t="shared" ca="1" si="12"/>
        <v/>
      </c>
      <c r="B255" s="266" t="str">
        <f t="shared" ca="1" si="13"/>
        <v xml:space="preserve"> </v>
      </c>
      <c r="C255" s="267" t="str">
        <f t="shared" ca="1" si="14"/>
        <v/>
      </c>
      <c r="D255" s="424" t="str">
        <f t="shared" ca="1" si="15"/>
        <v/>
      </c>
      <c r="E255" s="194"/>
      <c r="F255" s="194"/>
      <c r="G255" s="194"/>
      <c r="H255" s="194"/>
      <c r="I255" s="253" t="str">
        <f>IF(COUNTBLANK(E255:H255)=4,"",SUM(E255:G255)+IF(Setup!$I$15="No",0,H255))</f>
        <v/>
      </c>
      <c r="J255" s="194"/>
      <c r="K255" s="194"/>
      <c r="L255" s="194"/>
      <c r="M255" s="194"/>
      <c r="N255" s="257" t="str">
        <f>IF(COUNTBLANK(J255:M255)=4,"",SUM(J255:L255)+IF(Setup!$I$15="No",0,M255))</f>
        <v/>
      </c>
      <c r="O255" s="194"/>
      <c r="P255" s="194"/>
      <c r="Q255" s="194"/>
      <c r="R255" s="194"/>
      <c r="S255" s="257" t="str">
        <f>IF(COUNTBLANK(O255:R255)=4,"",SUM(O255:Q255)+IF(Setup!$I$15="No",0,R255))</f>
        <v/>
      </c>
      <c r="T255" s="194"/>
      <c r="U255" s="194"/>
      <c r="V255" s="194"/>
      <c r="W255" s="194"/>
      <c r="X255" s="257" t="str">
        <f>IF(COUNTBLANK(T255:W255)=4,"",SUM(T255:V255)+IF(Setup!$I$15="No",0,W255))</f>
        <v/>
      </c>
      <c r="Y255" s="194"/>
      <c r="Z255" s="194"/>
      <c r="AA255" s="194"/>
      <c r="AB255" s="194"/>
      <c r="AC255" s="257" t="str">
        <f>IF(COUNTBLANK(Y255:AB255)=4,"",SUM(Y255:AA255)+IF(Setup!$I$15="No",0,AB255))</f>
        <v/>
      </c>
      <c r="AD255" s="194"/>
      <c r="AE255" s="194"/>
      <c r="AF255" s="194"/>
      <c r="AG255" s="194"/>
      <c r="AH255" s="257" t="str">
        <f>IF(COUNTBLANK(AD255:AG255)=4,"",SUM(AD255:AF255)+IF(Setup!$I$15="No",0,AG255))</f>
        <v/>
      </c>
      <c r="AI255" s="194"/>
      <c r="AJ255" s="194"/>
      <c r="AK255" s="194"/>
      <c r="AL255" s="194"/>
      <c r="AM255" s="257" t="str">
        <f>IF(COUNTBLANK(AI255:AL255)=4,"",SUM(AI255:AK255)+IF(Setup!$I$15="No",0,AL255))</f>
        <v/>
      </c>
      <c r="AN255" s="194"/>
      <c r="AO255" s="194"/>
      <c r="AP255" s="194"/>
      <c r="AQ255" s="194"/>
      <c r="AR255" s="257" t="str">
        <f>IF(COUNTBLANK(AN255:AQ255)=4,"",SUM(AN255:AP255)+IF(Setup!$I$15="No",0,AQ255))</f>
        <v/>
      </c>
      <c r="AS255" s="194"/>
      <c r="AT255" s="194"/>
      <c r="AU255" s="194"/>
      <c r="AV255" s="194"/>
      <c r="AW255" s="257" t="str">
        <f>IF(COUNTBLANK(AS255:AV255)=4,"",SUM(AS255:AU255)+IF(Setup!$I$15="No",0,AV255))</f>
        <v/>
      </c>
      <c r="AX255" s="194"/>
      <c r="AY255" s="194"/>
      <c r="AZ255" s="194"/>
      <c r="BA255" s="194"/>
      <c r="BB255" s="257" t="str">
        <f>IF(COUNTBLANK(AX255:BA255)=4,"",SUM(AX255:AZ255)+IF(Setup!$I$15="No",0,BA255))</f>
        <v/>
      </c>
      <c r="BC255" s="261" t="str">
        <f ca="1">IF('Demand background (hide)'!A246=Num_Modalities,"",SUM(Demand!I255, Demand!N255))</f>
        <v/>
      </c>
      <c r="BD255" s="261" t="str">
        <f ca="1">IF(AND(A255&lt;=MaxRows,BE255&lt;&gt;"Yes"),'Demand background (hide)'!X246+IF(Setup!$I$15="Yes",'Demand background (hide)'!AJ246,0),"")</f>
        <v/>
      </c>
      <c r="BE255" s="211"/>
    </row>
    <row r="256" spans="1:57" ht="15" x14ac:dyDescent="0.25">
      <c r="A256" t="str">
        <f t="shared" ca="1" si="12"/>
        <v/>
      </c>
      <c r="B256" s="266" t="str">
        <f t="shared" ca="1" si="13"/>
        <v xml:space="preserve"> </v>
      </c>
      <c r="C256" s="267" t="str">
        <f t="shared" ca="1" si="14"/>
        <v/>
      </c>
      <c r="D256" s="424" t="str">
        <f t="shared" ca="1" si="15"/>
        <v/>
      </c>
      <c r="E256" s="194"/>
      <c r="F256" s="194"/>
      <c r="G256" s="194"/>
      <c r="H256" s="194"/>
      <c r="I256" s="253" t="str">
        <f>IF(COUNTBLANK(E256:H256)=4,"",SUM(E256:G256)+IF(Setup!$I$15="No",0,H256))</f>
        <v/>
      </c>
      <c r="J256" s="194"/>
      <c r="K256" s="194"/>
      <c r="L256" s="194"/>
      <c r="M256" s="194"/>
      <c r="N256" s="257" t="str">
        <f>IF(COUNTBLANK(J256:M256)=4,"",SUM(J256:L256)+IF(Setup!$I$15="No",0,M256))</f>
        <v/>
      </c>
      <c r="O256" s="194"/>
      <c r="P256" s="194"/>
      <c r="Q256" s="194"/>
      <c r="R256" s="194"/>
      <c r="S256" s="257" t="str">
        <f>IF(COUNTBLANK(O256:R256)=4,"",SUM(O256:Q256)+IF(Setup!$I$15="No",0,R256))</f>
        <v/>
      </c>
      <c r="T256" s="194"/>
      <c r="U256" s="194"/>
      <c r="V256" s="194"/>
      <c r="W256" s="194"/>
      <c r="X256" s="257" t="str">
        <f>IF(COUNTBLANK(T256:W256)=4,"",SUM(T256:V256)+IF(Setup!$I$15="No",0,W256))</f>
        <v/>
      </c>
      <c r="Y256" s="194"/>
      <c r="Z256" s="194"/>
      <c r="AA256" s="194"/>
      <c r="AB256" s="194"/>
      <c r="AC256" s="257" t="str">
        <f>IF(COUNTBLANK(Y256:AB256)=4,"",SUM(Y256:AA256)+IF(Setup!$I$15="No",0,AB256))</f>
        <v/>
      </c>
      <c r="AD256" s="194"/>
      <c r="AE256" s="194"/>
      <c r="AF256" s="194"/>
      <c r="AG256" s="194"/>
      <c r="AH256" s="257" t="str">
        <f>IF(COUNTBLANK(AD256:AG256)=4,"",SUM(AD256:AF256)+IF(Setup!$I$15="No",0,AG256))</f>
        <v/>
      </c>
      <c r="AI256" s="194"/>
      <c r="AJ256" s="194"/>
      <c r="AK256" s="194"/>
      <c r="AL256" s="194"/>
      <c r="AM256" s="257" t="str">
        <f>IF(COUNTBLANK(AI256:AL256)=4,"",SUM(AI256:AK256)+IF(Setup!$I$15="No",0,AL256))</f>
        <v/>
      </c>
      <c r="AN256" s="194"/>
      <c r="AO256" s="194"/>
      <c r="AP256" s="194"/>
      <c r="AQ256" s="194"/>
      <c r="AR256" s="257" t="str">
        <f>IF(COUNTBLANK(AN256:AQ256)=4,"",SUM(AN256:AP256)+IF(Setup!$I$15="No",0,AQ256))</f>
        <v/>
      </c>
      <c r="AS256" s="194"/>
      <c r="AT256" s="194"/>
      <c r="AU256" s="194"/>
      <c r="AV256" s="194"/>
      <c r="AW256" s="257" t="str">
        <f>IF(COUNTBLANK(AS256:AV256)=4,"",SUM(AS256:AU256)+IF(Setup!$I$15="No",0,AV256))</f>
        <v/>
      </c>
      <c r="AX256" s="194"/>
      <c r="AY256" s="194"/>
      <c r="AZ256" s="194"/>
      <c r="BA256" s="194"/>
      <c r="BB256" s="257" t="str">
        <f>IF(COUNTBLANK(AX256:BA256)=4,"",SUM(AX256:AZ256)+IF(Setup!$I$15="No",0,BA256))</f>
        <v/>
      </c>
      <c r="BC256" s="261" t="str">
        <f ca="1">IF('Demand background (hide)'!A247=Num_Modalities,"",SUM(Demand!I256, Demand!N256))</f>
        <v/>
      </c>
      <c r="BD256" s="261" t="str">
        <f ca="1">IF(AND(A256&lt;=MaxRows,BE256&lt;&gt;"Yes"),'Demand background (hide)'!X247+IF(Setup!$I$15="Yes",'Demand background (hide)'!AJ247,0),"")</f>
        <v/>
      </c>
      <c r="BE256" s="211"/>
    </row>
    <row r="257" spans="1:57" ht="15" x14ac:dyDescent="0.25">
      <c r="A257" t="str">
        <f t="shared" ca="1" si="12"/>
        <v/>
      </c>
      <c r="B257" s="266" t="str">
        <f t="shared" ca="1" si="13"/>
        <v xml:space="preserve"> </v>
      </c>
      <c r="C257" s="267" t="str">
        <f t="shared" ca="1" si="14"/>
        <v/>
      </c>
      <c r="D257" s="424" t="str">
        <f t="shared" ca="1" si="15"/>
        <v/>
      </c>
      <c r="E257" s="194"/>
      <c r="F257" s="194"/>
      <c r="G257" s="194"/>
      <c r="H257" s="194"/>
      <c r="I257" s="253" t="str">
        <f>IF(COUNTBLANK(E257:H257)=4,"",SUM(E257:G257)+IF(Setup!$I$15="No",0,H257))</f>
        <v/>
      </c>
      <c r="J257" s="194"/>
      <c r="K257" s="194"/>
      <c r="L257" s="194"/>
      <c r="M257" s="194"/>
      <c r="N257" s="257" t="str">
        <f>IF(COUNTBLANK(J257:M257)=4,"",SUM(J257:L257)+IF(Setup!$I$15="No",0,M257))</f>
        <v/>
      </c>
      <c r="O257" s="194"/>
      <c r="P257" s="194"/>
      <c r="Q257" s="194"/>
      <c r="R257" s="194"/>
      <c r="S257" s="257" t="str">
        <f>IF(COUNTBLANK(O257:R257)=4,"",SUM(O257:Q257)+IF(Setup!$I$15="No",0,R257))</f>
        <v/>
      </c>
      <c r="T257" s="194"/>
      <c r="U257" s="194"/>
      <c r="V257" s="194"/>
      <c r="W257" s="194"/>
      <c r="X257" s="257" t="str">
        <f>IF(COUNTBLANK(T257:W257)=4,"",SUM(T257:V257)+IF(Setup!$I$15="No",0,W257))</f>
        <v/>
      </c>
      <c r="Y257" s="194"/>
      <c r="Z257" s="194"/>
      <c r="AA257" s="194"/>
      <c r="AB257" s="194"/>
      <c r="AC257" s="257" t="str">
        <f>IF(COUNTBLANK(Y257:AB257)=4,"",SUM(Y257:AA257)+IF(Setup!$I$15="No",0,AB257))</f>
        <v/>
      </c>
      <c r="AD257" s="194"/>
      <c r="AE257" s="194"/>
      <c r="AF257" s="194"/>
      <c r="AG257" s="194"/>
      <c r="AH257" s="257" t="str">
        <f>IF(COUNTBLANK(AD257:AG257)=4,"",SUM(AD257:AF257)+IF(Setup!$I$15="No",0,AG257))</f>
        <v/>
      </c>
      <c r="AI257" s="194"/>
      <c r="AJ257" s="194"/>
      <c r="AK257" s="194"/>
      <c r="AL257" s="194"/>
      <c r="AM257" s="257" t="str">
        <f>IF(COUNTBLANK(AI257:AL257)=4,"",SUM(AI257:AK257)+IF(Setup!$I$15="No",0,AL257))</f>
        <v/>
      </c>
      <c r="AN257" s="194"/>
      <c r="AO257" s="194"/>
      <c r="AP257" s="194"/>
      <c r="AQ257" s="194"/>
      <c r="AR257" s="257" t="str">
        <f>IF(COUNTBLANK(AN257:AQ257)=4,"",SUM(AN257:AP257)+IF(Setup!$I$15="No",0,AQ257))</f>
        <v/>
      </c>
      <c r="AS257" s="194"/>
      <c r="AT257" s="194"/>
      <c r="AU257" s="194"/>
      <c r="AV257" s="194"/>
      <c r="AW257" s="257" t="str">
        <f>IF(COUNTBLANK(AS257:AV257)=4,"",SUM(AS257:AU257)+IF(Setup!$I$15="No",0,AV257))</f>
        <v/>
      </c>
      <c r="AX257" s="194"/>
      <c r="AY257" s="194"/>
      <c r="AZ257" s="194"/>
      <c r="BA257" s="194"/>
      <c r="BB257" s="257" t="str">
        <f>IF(COUNTBLANK(AX257:BA257)=4,"",SUM(AX257:AZ257)+IF(Setup!$I$15="No",0,BA257))</f>
        <v/>
      </c>
      <c r="BC257" s="261" t="str">
        <f ca="1">IF('Demand background (hide)'!A248=Num_Modalities,"",SUM(Demand!I257, Demand!N257))</f>
        <v/>
      </c>
      <c r="BD257" s="261" t="str">
        <f ca="1">IF(AND(A257&lt;=MaxRows,BE257&lt;&gt;"Yes"),'Demand background (hide)'!X248+IF(Setup!$I$15="Yes",'Demand background (hide)'!AJ248,0),"")</f>
        <v/>
      </c>
      <c r="BE257" s="211"/>
    </row>
    <row r="258" spans="1:57" ht="15" x14ac:dyDescent="0.25">
      <c r="A258" t="str">
        <f t="shared" ca="1" si="12"/>
        <v/>
      </c>
      <c r="B258" s="266" t="str">
        <f t="shared" ca="1" si="13"/>
        <v xml:space="preserve"> </v>
      </c>
      <c r="C258" s="267" t="str">
        <f t="shared" ca="1" si="14"/>
        <v/>
      </c>
      <c r="D258" s="424" t="str">
        <f t="shared" ca="1" si="15"/>
        <v/>
      </c>
      <c r="E258" s="194"/>
      <c r="F258" s="194"/>
      <c r="G258" s="194"/>
      <c r="H258" s="194"/>
      <c r="I258" s="253" t="str">
        <f>IF(COUNTBLANK(E258:H258)=4,"",SUM(E258:G258)+IF(Setup!$I$15="No",0,H258))</f>
        <v/>
      </c>
      <c r="J258" s="194"/>
      <c r="K258" s="194"/>
      <c r="L258" s="194"/>
      <c r="M258" s="194"/>
      <c r="N258" s="257" t="str">
        <f>IF(COUNTBLANK(J258:M258)=4,"",SUM(J258:L258)+IF(Setup!$I$15="No",0,M258))</f>
        <v/>
      </c>
      <c r="O258" s="194"/>
      <c r="P258" s="194"/>
      <c r="Q258" s="194"/>
      <c r="R258" s="194"/>
      <c r="S258" s="257" t="str">
        <f>IF(COUNTBLANK(O258:R258)=4,"",SUM(O258:Q258)+IF(Setup!$I$15="No",0,R258))</f>
        <v/>
      </c>
      <c r="T258" s="194"/>
      <c r="U258" s="194"/>
      <c r="V258" s="194"/>
      <c r="W258" s="194"/>
      <c r="X258" s="257" t="str">
        <f>IF(COUNTBLANK(T258:W258)=4,"",SUM(T258:V258)+IF(Setup!$I$15="No",0,W258))</f>
        <v/>
      </c>
      <c r="Y258" s="194"/>
      <c r="Z258" s="194"/>
      <c r="AA258" s="194"/>
      <c r="AB258" s="194"/>
      <c r="AC258" s="257" t="str">
        <f>IF(COUNTBLANK(Y258:AB258)=4,"",SUM(Y258:AA258)+IF(Setup!$I$15="No",0,AB258))</f>
        <v/>
      </c>
      <c r="AD258" s="194"/>
      <c r="AE258" s="194"/>
      <c r="AF258" s="194"/>
      <c r="AG258" s="194"/>
      <c r="AH258" s="257" t="str">
        <f>IF(COUNTBLANK(AD258:AG258)=4,"",SUM(AD258:AF258)+IF(Setup!$I$15="No",0,AG258))</f>
        <v/>
      </c>
      <c r="AI258" s="194"/>
      <c r="AJ258" s="194"/>
      <c r="AK258" s="194"/>
      <c r="AL258" s="194"/>
      <c r="AM258" s="257" t="str">
        <f>IF(COUNTBLANK(AI258:AL258)=4,"",SUM(AI258:AK258)+IF(Setup!$I$15="No",0,AL258))</f>
        <v/>
      </c>
      <c r="AN258" s="194"/>
      <c r="AO258" s="194"/>
      <c r="AP258" s="194"/>
      <c r="AQ258" s="194"/>
      <c r="AR258" s="257" t="str">
        <f>IF(COUNTBLANK(AN258:AQ258)=4,"",SUM(AN258:AP258)+IF(Setup!$I$15="No",0,AQ258))</f>
        <v/>
      </c>
      <c r="AS258" s="194"/>
      <c r="AT258" s="194"/>
      <c r="AU258" s="194"/>
      <c r="AV258" s="194"/>
      <c r="AW258" s="257" t="str">
        <f>IF(COUNTBLANK(AS258:AV258)=4,"",SUM(AS258:AU258)+IF(Setup!$I$15="No",0,AV258))</f>
        <v/>
      </c>
      <c r="AX258" s="194"/>
      <c r="AY258" s="194"/>
      <c r="AZ258" s="194"/>
      <c r="BA258" s="194"/>
      <c r="BB258" s="257" t="str">
        <f>IF(COUNTBLANK(AX258:BA258)=4,"",SUM(AX258:AZ258)+IF(Setup!$I$15="No",0,BA258))</f>
        <v/>
      </c>
      <c r="BC258" s="261" t="str">
        <f ca="1">IF('Demand background (hide)'!A249=Num_Modalities,"",SUM(Demand!I258, Demand!N258))</f>
        <v/>
      </c>
      <c r="BD258" s="261" t="str">
        <f ca="1">IF(AND(A258&lt;=MaxRows,BE258&lt;&gt;"Yes"),'Demand background (hide)'!X249+IF(Setup!$I$15="Yes",'Demand background (hide)'!AJ249,0),"")</f>
        <v/>
      </c>
      <c r="BE258" s="211"/>
    </row>
    <row r="259" spans="1:57" ht="15" x14ac:dyDescent="0.25">
      <c r="A259" t="str">
        <f t="shared" ca="1" si="12"/>
        <v/>
      </c>
      <c r="B259" s="266" t="str">
        <f t="shared" ca="1" si="13"/>
        <v xml:space="preserve"> </v>
      </c>
      <c r="C259" s="267" t="str">
        <f t="shared" ca="1" si="14"/>
        <v/>
      </c>
      <c r="D259" s="424" t="str">
        <f t="shared" ca="1" si="15"/>
        <v/>
      </c>
      <c r="E259" s="194"/>
      <c r="F259" s="194"/>
      <c r="G259" s="194"/>
      <c r="H259" s="194"/>
      <c r="I259" s="253" t="str">
        <f>IF(COUNTBLANK(E259:H259)=4,"",SUM(E259:G259)+IF(Setup!$I$15="No",0,H259))</f>
        <v/>
      </c>
      <c r="J259" s="194"/>
      <c r="K259" s="194"/>
      <c r="L259" s="194"/>
      <c r="M259" s="194"/>
      <c r="N259" s="257" t="str">
        <f>IF(COUNTBLANK(J259:M259)=4,"",SUM(J259:L259)+IF(Setup!$I$15="No",0,M259))</f>
        <v/>
      </c>
      <c r="O259" s="194"/>
      <c r="P259" s="194"/>
      <c r="Q259" s="194"/>
      <c r="R259" s="194"/>
      <c r="S259" s="257" t="str">
        <f>IF(COUNTBLANK(O259:R259)=4,"",SUM(O259:Q259)+IF(Setup!$I$15="No",0,R259))</f>
        <v/>
      </c>
      <c r="T259" s="194"/>
      <c r="U259" s="194"/>
      <c r="V259" s="194"/>
      <c r="W259" s="194"/>
      <c r="X259" s="257" t="str">
        <f>IF(COUNTBLANK(T259:W259)=4,"",SUM(T259:V259)+IF(Setup!$I$15="No",0,W259))</f>
        <v/>
      </c>
      <c r="Y259" s="194"/>
      <c r="Z259" s="194"/>
      <c r="AA259" s="194"/>
      <c r="AB259" s="194"/>
      <c r="AC259" s="257" t="str">
        <f>IF(COUNTBLANK(Y259:AB259)=4,"",SUM(Y259:AA259)+IF(Setup!$I$15="No",0,AB259))</f>
        <v/>
      </c>
      <c r="AD259" s="194"/>
      <c r="AE259" s="194"/>
      <c r="AF259" s="194"/>
      <c r="AG259" s="194"/>
      <c r="AH259" s="257" t="str">
        <f>IF(COUNTBLANK(AD259:AG259)=4,"",SUM(AD259:AF259)+IF(Setup!$I$15="No",0,AG259))</f>
        <v/>
      </c>
      <c r="AI259" s="194"/>
      <c r="AJ259" s="194"/>
      <c r="AK259" s="194"/>
      <c r="AL259" s="194"/>
      <c r="AM259" s="257" t="str">
        <f>IF(COUNTBLANK(AI259:AL259)=4,"",SUM(AI259:AK259)+IF(Setup!$I$15="No",0,AL259))</f>
        <v/>
      </c>
      <c r="AN259" s="194"/>
      <c r="AO259" s="194"/>
      <c r="AP259" s="194"/>
      <c r="AQ259" s="194"/>
      <c r="AR259" s="257" t="str">
        <f>IF(COUNTBLANK(AN259:AQ259)=4,"",SUM(AN259:AP259)+IF(Setup!$I$15="No",0,AQ259))</f>
        <v/>
      </c>
      <c r="AS259" s="194"/>
      <c r="AT259" s="194"/>
      <c r="AU259" s="194"/>
      <c r="AV259" s="194"/>
      <c r="AW259" s="257" t="str">
        <f>IF(COUNTBLANK(AS259:AV259)=4,"",SUM(AS259:AU259)+IF(Setup!$I$15="No",0,AV259))</f>
        <v/>
      </c>
      <c r="AX259" s="194"/>
      <c r="AY259" s="194"/>
      <c r="AZ259" s="194"/>
      <c r="BA259" s="194"/>
      <c r="BB259" s="257" t="str">
        <f>IF(COUNTBLANK(AX259:BA259)=4,"",SUM(AX259:AZ259)+IF(Setup!$I$15="No",0,BA259))</f>
        <v/>
      </c>
      <c r="BC259" s="261" t="str">
        <f ca="1">IF('Demand background (hide)'!A250=Num_Modalities,"",SUM(Demand!I259, Demand!N259))</f>
        <v/>
      </c>
      <c r="BD259" s="261" t="str">
        <f ca="1">IF(AND(A259&lt;=MaxRows,BE259&lt;&gt;"Yes"),'Demand background (hide)'!X250+IF(Setup!$I$15="Yes",'Demand background (hide)'!AJ250,0),"")</f>
        <v/>
      </c>
      <c r="BE259" s="211"/>
    </row>
    <row r="260" spans="1:57" ht="15" x14ac:dyDescent="0.25">
      <c r="A260" t="str">
        <f t="shared" ca="1" si="12"/>
        <v/>
      </c>
      <c r="B260" s="266" t="str">
        <f t="shared" ca="1" si="13"/>
        <v xml:space="preserve"> </v>
      </c>
      <c r="C260" s="267" t="str">
        <f t="shared" ca="1" si="14"/>
        <v/>
      </c>
      <c r="D260" s="424" t="str">
        <f t="shared" ca="1" si="15"/>
        <v/>
      </c>
      <c r="E260" s="194"/>
      <c r="F260" s="194"/>
      <c r="G260" s="194"/>
      <c r="H260" s="194"/>
      <c r="I260" s="253" t="str">
        <f>IF(COUNTBLANK(E260:H260)=4,"",SUM(E260:G260)+IF(Setup!$I$15="No",0,H260))</f>
        <v/>
      </c>
      <c r="J260" s="194"/>
      <c r="K260" s="194"/>
      <c r="L260" s="194"/>
      <c r="M260" s="194"/>
      <c r="N260" s="257" t="str">
        <f>IF(COUNTBLANK(J260:M260)=4,"",SUM(J260:L260)+IF(Setup!$I$15="No",0,M260))</f>
        <v/>
      </c>
      <c r="O260" s="194"/>
      <c r="P260" s="194"/>
      <c r="Q260" s="194"/>
      <c r="R260" s="194"/>
      <c r="S260" s="257" t="str">
        <f>IF(COUNTBLANK(O260:R260)=4,"",SUM(O260:Q260)+IF(Setup!$I$15="No",0,R260))</f>
        <v/>
      </c>
      <c r="T260" s="194"/>
      <c r="U260" s="194"/>
      <c r="V260" s="194"/>
      <c r="W260" s="194"/>
      <c r="X260" s="257" t="str">
        <f>IF(COUNTBLANK(T260:W260)=4,"",SUM(T260:V260)+IF(Setup!$I$15="No",0,W260))</f>
        <v/>
      </c>
      <c r="Y260" s="194"/>
      <c r="Z260" s="194"/>
      <c r="AA260" s="194"/>
      <c r="AB260" s="194"/>
      <c r="AC260" s="257" t="str">
        <f>IF(COUNTBLANK(Y260:AB260)=4,"",SUM(Y260:AA260)+IF(Setup!$I$15="No",0,AB260))</f>
        <v/>
      </c>
      <c r="AD260" s="194"/>
      <c r="AE260" s="194"/>
      <c r="AF260" s="194"/>
      <c r="AG260" s="194"/>
      <c r="AH260" s="257" t="str">
        <f>IF(COUNTBLANK(AD260:AG260)=4,"",SUM(AD260:AF260)+IF(Setup!$I$15="No",0,AG260))</f>
        <v/>
      </c>
      <c r="AI260" s="194"/>
      <c r="AJ260" s="194"/>
      <c r="AK260" s="194"/>
      <c r="AL260" s="194"/>
      <c r="AM260" s="257" t="str">
        <f>IF(COUNTBLANK(AI260:AL260)=4,"",SUM(AI260:AK260)+IF(Setup!$I$15="No",0,AL260))</f>
        <v/>
      </c>
      <c r="AN260" s="194"/>
      <c r="AO260" s="194"/>
      <c r="AP260" s="194"/>
      <c r="AQ260" s="194"/>
      <c r="AR260" s="257" t="str">
        <f>IF(COUNTBLANK(AN260:AQ260)=4,"",SUM(AN260:AP260)+IF(Setup!$I$15="No",0,AQ260))</f>
        <v/>
      </c>
      <c r="AS260" s="194"/>
      <c r="AT260" s="194"/>
      <c r="AU260" s="194"/>
      <c r="AV260" s="194"/>
      <c r="AW260" s="257" t="str">
        <f>IF(COUNTBLANK(AS260:AV260)=4,"",SUM(AS260:AU260)+IF(Setup!$I$15="No",0,AV260))</f>
        <v/>
      </c>
      <c r="AX260" s="194"/>
      <c r="AY260" s="194"/>
      <c r="AZ260" s="194"/>
      <c r="BA260" s="194"/>
      <c r="BB260" s="257" t="str">
        <f>IF(COUNTBLANK(AX260:BA260)=4,"",SUM(AX260:AZ260)+IF(Setup!$I$15="No",0,BA260))</f>
        <v/>
      </c>
      <c r="BC260" s="261" t="str">
        <f ca="1">IF('Demand background (hide)'!A251=Num_Modalities,"",SUM(Demand!I260, Demand!N260))</f>
        <v/>
      </c>
      <c r="BD260" s="261" t="str">
        <f ca="1">IF(AND(A260&lt;=MaxRows,BE260&lt;&gt;"Yes"),'Demand background (hide)'!X251+IF(Setup!$I$15="Yes",'Demand background (hide)'!AJ251,0),"")</f>
        <v/>
      </c>
      <c r="BE260" s="211"/>
    </row>
    <row r="261" spans="1:57" ht="15" x14ac:dyDescent="0.25">
      <c r="A261" t="str">
        <f t="shared" ca="1" si="12"/>
        <v/>
      </c>
      <c r="B261" s="266" t="str">
        <f t="shared" ca="1" si="13"/>
        <v xml:space="preserve"> </v>
      </c>
      <c r="C261" s="267" t="str">
        <f t="shared" ca="1" si="14"/>
        <v/>
      </c>
      <c r="D261" s="424" t="str">
        <f t="shared" ca="1" si="15"/>
        <v/>
      </c>
      <c r="E261" s="194"/>
      <c r="F261" s="194"/>
      <c r="G261" s="194"/>
      <c r="H261" s="194"/>
      <c r="I261" s="253" t="str">
        <f>IF(COUNTBLANK(E261:H261)=4,"",SUM(E261:G261)+IF(Setup!$I$15="No",0,H261))</f>
        <v/>
      </c>
      <c r="J261" s="194"/>
      <c r="K261" s="194"/>
      <c r="L261" s="194"/>
      <c r="M261" s="194"/>
      <c r="N261" s="257" t="str">
        <f>IF(COUNTBLANK(J261:M261)=4,"",SUM(J261:L261)+IF(Setup!$I$15="No",0,M261))</f>
        <v/>
      </c>
      <c r="O261" s="194"/>
      <c r="P261" s="194"/>
      <c r="Q261" s="194"/>
      <c r="R261" s="194"/>
      <c r="S261" s="257" t="str">
        <f>IF(COUNTBLANK(O261:R261)=4,"",SUM(O261:Q261)+IF(Setup!$I$15="No",0,R261))</f>
        <v/>
      </c>
      <c r="T261" s="194"/>
      <c r="U261" s="194"/>
      <c r="V261" s="194"/>
      <c r="W261" s="194"/>
      <c r="X261" s="257" t="str">
        <f>IF(COUNTBLANK(T261:W261)=4,"",SUM(T261:V261)+IF(Setup!$I$15="No",0,W261))</f>
        <v/>
      </c>
      <c r="Y261" s="194"/>
      <c r="Z261" s="194"/>
      <c r="AA261" s="194"/>
      <c r="AB261" s="194"/>
      <c r="AC261" s="257" t="str">
        <f>IF(COUNTBLANK(Y261:AB261)=4,"",SUM(Y261:AA261)+IF(Setup!$I$15="No",0,AB261))</f>
        <v/>
      </c>
      <c r="AD261" s="194"/>
      <c r="AE261" s="194"/>
      <c r="AF261" s="194"/>
      <c r="AG261" s="194"/>
      <c r="AH261" s="257" t="str">
        <f>IF(COUNTBLANK(AD261:AG261)=4,"",SUM(AD261:AF261)+IF(Setup!$I$15="No",0,AG261))</f>
        <v/>
      </c>
      <c r="AI261" s="194"/>
      <c r="AJ261" s="194"/>
      <c r="AK261" s="194"/>
      <c r="AL261" s="194"/>
      <c r="AM261" s="257" t="str">
        <f>IF(COUNTBLANK(AI261:AL261)=4,"",SUM(AI261:AK261)+IF(Setup!$I$15="No",0,AL261))</f>
        <v/>
      </c>
      <c r="AN261" s="194"/>
      <c r="AO261" s="194"/>
      <c r="AP261" s="194"/>
      <c r="AQ261" s="194"/>
      <c r="AR261" s="257" t="str">
        <f>IF(COUNTBLANK(AN261:AQ261)=4,"",SUM(AN261:AP261)+IF(Setup!$I$15="No",0,AQ261))</f>
        <v/>
      </c>
      <c r="AS261" s="194"/>
      <c r="AT261" s="194"/>
      <c r="AU261" s="194"/>
      <c r="AV261" s="194"/>
      <c r="AW261" s="257" t="str">
        <f>IF(COUNTBLANK(AS261:AV261)=4,"",SUM(AS261:AU261)+IF(Setup!$I$15="No",0,AV261))</f>
        <v/>
      </c>
      <c r="AX261" s="194"/>
      <c r="AY261" s="194"/>
      <c r="AZ261" s="194"/>
      <c r="BA261" s="194"/>
      <c r="BB261" s="257" t="str">
        <f>IF(COUNTBLANK(AX261:BA261)=4,"",SUM(AX261:AZ261)+IF(Setup!$I$15="No",0,BA261))</f>
        <v/>
      </c>
      <c r="BC261" s="261" t="str">
        <f ca="1">IF('Demand background (hide)'!A252=Num_Modalities,"",SUM(Demand!I261, Demand!N261))</f>
        <v/>
      </c>
      <c r="BD261" s="261" t="str">
        <f ca="1">IF(AND(A261&lt;=MaxRows,BE261&lt;&gt;"Yes"),'Demand background (hide)'!X252+IF(Setup!$I$15="Yes",'Demand background (hide)'!AJ252,0),"")</f>
        <v/>
      </c>
      <c r="BE261" s="211"/>
    </row>
    <row r="262" spans="1:57" ht="15" x14ac:dyDescent="0.25">
      <c r="A262" t="str">
        <f t="shared" ca="1" si="12"/>
        <v/>
      </c>
      <c r="B262" s="266" t="str">
        <f t="shared" ca="1" si="13"/>
        <v xml:space="preserve"> </v>
      </c>
      <c r="C262" s="267" t="str">
        <f t="shared" ca="1" si="14"/>
        <v/>
      </c>
      <c r="D262" s="424" t="str">
        <f t="shared" ca="1" si="15"/>
        <v/>
      </c>
      <c r="E262" s="194"/>
      <c r="F262" s="194"/>
      <c r="G262" s="194"/>
      <c r="H262" s="194"/>
      <c r="I262" s="253" t="str">
        <f>IF(COUNTBLANK(E262:H262)=4,"",SUM(E262:G262)+IF(Setup!$I$15="No",0,H262))</f>
        <v/>
      </c>
      <c r="J262" s="194"/>
      <c r="K262" s="194"/>
      <c r="L262" s="194"/>
      <c r="M262" s="194"/>
      <c r="N262" s="257" t="str">
        <f>IF(COUNTBLANK(J262:M262)=4,"",SUM(J262:L262)+IF(Setup!$I$15="No",0,M262))</f>
        <v/>
      </c>
      <c r="O262" s="194"/>
      <c r="P262" s="194"/>
      <c r="Q262" s="194"/>
      <c r="R262" s="194"/>
      <c r="S262" s="257" t="str">
        <f>IF(COUNTBLANK(O262:R262)=4,"",SUM(O262:Q262)+IF(Setup!$I$15="No",0,R262))</f>
        <v/>
      </c>
      <c r="T262" s="194"/>
      <c r="U262" s="194"/>
      <c r="V262" s="194"/>
      <c r="W262" s="194"/>
      <c r="X262" s="257" t="str">
        <f>IF(COUNTBLANK(T262:W262)=4,"",SUM(T262:V262)+IF(Setup!$I$15="No",0,W262))</f>
        <v/>
      </c>
      <c r="Y262" s="194"/>
      <c r="Z262" s="194"/>
      <c r="AA262" s="194"/>
      <c r="AB262" s="194"/>
      <c r="AC262" s="257" t="str">
        <f>IF(COUNTBLANK(Y262:AB262)=4,"",SUM(Y262:AA262)+IF(Setup!$I$15="No",0,AB262))</f>
        <v/>
      </c>
      <c r="AD262" s="194"/>
      <c r="AE262" s="194"/>
      <c r="AF262" s="194"/>
      <c r="AG262" s="194"/>
      <c r="AH262" s="257" t="str">
        <f>IF(COUNTBLANK(AD262:AG262)=4,"",SUM(AD262:AF262)+IF(Setup!$I$15="No",0,AG262))</f>
        <v/>
      </c>
      <c r="AI262" s="194"/>
      <c r="AJ262" s="194"/>
      <c r="AK262" s="194"/>
      <c r="AL262" s="194"/>
      <c r="AM262" s="257" t="str">
        <f>IF(COUNTBLANK(AI262:AL262)=4,"",SUM(AI262:AK262)+IF(Setup!$I$15="No",0,AL262))</f>
        <v/>
      </c>
      <c r="AN262" s="194"/>
      <c r="AO262" s="194"/>
      <c r="AP262" s="194"/>
      <c r="AQ262" s="194"/>
      <c r="AR262" s="257" t="str">
        <f>IF(COUNTBLANK(AN262:AQ262)=4,"",SUM(AN262:AP262)+IF(Setup!$I$15="No",0,AQ262))</f>
        <v/>
      </c>
      <c r="AS262" s="194"/>
      <c r="AT262" s="194"/>
      <c r="AU262" s="194"/>
      <c r="AV262" s="194"/>
      <c r="AW262" s="257" t="str">
        <f>IF(COUNTBLANK(AS262:AV262)=4,"",SUM(AS262:AU262)+IF(Setup!$I$15="No",0,AV262))</f>
        <v/>
      </c>
      <c r="AX262" s="194"/>
      <c r="AY262" s="194"/>
      <c r="AZ262" s="194"/>
      <c r="BA262" s="194"/>
      <c r="BB262" s="257" t="str">
        <f>IF(COUNTBLANK(AX262:BA262)=4,"",SUM(AX262:AZ262)+IF(Setup!$I$15="No",0,BA262))</f>
        <v/>
      </c>
      <c r="BC262" s="261" t="str">
        <f ca="1">IF('Demand background (hide)'!A253=Num_Modalities,"",SUM(Demand!I262, Demand!N262))</f>
        <v/>
      </c>
      <c r="BD262" s="261" t="str">
        <f ca="1">IF(AND(A262&lt;=MaxRows,BE262&lt;&gt;"Yes"),'Demand background (hide)'!X253+IF(Setup!$I$15="Yes",'Demand background (hide)'!AJ253,0),"")</f>
        <v/>
      </c>
      <c r="BE262" s="211"/>
    </row>
    <row r="263" spans="1:57" ht="15" x14ac:dyDescent="0.25">
      <c r="A263" t="str">
        <f t="shared" ca="1" si="12"/>
        <v/>
      </c>
      <c r="B263" s="266" t="str">
        <f t="shared" ca="1" si="13"/>
        <v xml:space="preserve"> </v>
      </c>
      <c r="C263" s="267" t="str">
        <f t="shared" ca="1" si="14"/>
        <v/>
      </c>
      <c r="D263" s="424" t="str">
        <f t="shared" ca="1" si="15"/>
        <v/>
      </c>
      <c r="E263" s="194"/>
      <c r="F263" s="194"/>
      <c r="G263" s="194"/>
      <c r="H263" s="194"/>
      <c r="I263" s="253" t="str">
        <f>IF(COUNTBLANK(E263:H263)=4,"",SUM(E263:G263)+IF(Setup!$I$15="No",0,H263))</f>
        <v/>
      </c>
      <c r="J263" s="194"/>
      <c r="K263" s="194"/>
      <c r="L263" s="194"/>
      <c r="M263" s="194"/>
      <c r="N263" s="257" t="str">
        <f>IF(COUNTBLANK(J263:M263)=4,"",SUM(J263:L263)+IF(Setup!$I$15="No",0,M263))</f>
        <v/>
      </c>
      <c r="O263" s="194"/>
      <c r="P263" s="194"/>
      <c r="Q263" s="194"/>
      <c r="R263" s="194"/>
      <c r="S263" s="257" t="str">
        <f>IF(COUNTBLANK(O263:R263)=4,"",SUM(O263:Q263)+IF(Setup!$I$15="No",0,R263))</f>
        <v/>
      </c>
      <c r="T263" s="194"/>
      <c r="U263" s="194"/>
      <c r="V263" s="194"/>
      <c r="W263" s="194"/>
      <c r="X263" s="257" t="str">
        <f>IF(COUNTBLANK(T263:W263)=4,"",SUM(T263:V263)+IF(Setup!$I$15="No",0,W263))</f>
        <v/>
      </c>
      <c r="Y263" s="194"/>
      <c r="Z263" s="194"/>
      <c r="AA263" s="194"/>
      <c r="AB263" s="194"/>
      <c r="AC263" s="257" t="str">
        <f>IF(COUNTBLANK(Y263:AB263)=4,"",SUM(Y263:AA263)+IF(Setup!$I$15="No",0,AB263))</f>
        <v/>
      </c>
      <c r="AD263" s="194"/>
      <c r="AE263" s="194"/>
      <c r="AF263" s="194"/>
      <c r="AG263" s="194"/>
      <c r="AH263" s="257" t="str">
        <f>IF(COUNTBLANK(AD263:AG263)=4,"",SUM(AD263:AF263)+IF(Setup!$I$15="No",0,AG263))</f>
        <v/>
      </c>
      <c r="AI263" s="194"/>
      <c r="AJ263" s="194"/>
      <c r="AK263" s="194"/>
      <c r="AL263" s="194"/>
      <c r="AM263" s="257" t="str">
        <f>IF(COUNTBLANK(AI263:AL263)=4,"",SUM(AI263:AK263)+IF(Setup!$I$15="No",0,AL263))</f>
        <v/>
      </c>
      <c r="AN263" s="194"/>
      <c r="AO263" s="194"/>
      <c r="AP263" s="194"/>
      <c r="AQ263" s="194"/>
      <c r="AR263" s="257" t="str">
        <f>IF(COUNTBLANK(AN263:AQ263)=4,"",SUM(AN263:AP263)+IF(Setup!$I$15="No",0,AQ263))</f>
        <v/>
      </c>
      <c r="AS263" s="194"/>
      <c r="AT263" s="194"/>
      <c r="AU263" s="194"/>
      <c r="AV263" s="194"/>
      <c r="AW263" s="257" t="str">
        <f>IF(COUNTBLANK(AS263:AV263)=4,"",SUM(AS263:AU263)+IF(Setup!$I$15="No",0,AV263))</f>
        <v/>
      </c>
      <c r="AX263" s="194"/>
      <c r="AY263" s="194"/>
      <c r="AZ263" s="194"/>
      <c r="BA263" s="194"/>
      <c r="BB263" s="257" t="str">
        <f>IF(COUNTBLANK(AX263:BA263)=4,"",SUM(AX263:AZ263)+IF(Setup!$I$15="No",0,BA263))</f>
        <v/>
      </c>
      <c r="BC263" s="261" t="str">
        <f ca="1">IF('Demand background (hide)'!A254=Num_Modalities,"",SUM(Demand!I263, Demand!N263))</f>
        <v/>
      </c>
      <c r="BD263" s="261" t="str">
        <f ca="1">IF(AND(A263&lt;=MaxRows,BE263&lt;&gt;"Yes"),'Demand background (hide)'!X254+IF(Setup!$I$15="Yes",'Demand background (hide)'!AJ254,0),"")</f>
        <v/>
      </c>
      <c r="BE263" s="211"/>
    </row>
    <row r="264" spans="1:57" ht="15" x14ac:dyDescent="0.25">
      <c r="A264" t="str">
        <f t="shared" ca="1" si="12"/>
        <v/>
      </c>
      <c r="B264" s="266" t="str">
        <f t="shared" ca="1" si="13"/>
        <v xml:space="preserve"> </v>
      </c>
      <c r="C264" s="267" t="str">
        <f t="shared" ca="1" si="14"/>
        <v/>
      </c>
      <c r="D264" s="424" t="str">
        <f t="shared" ca="1" si="15"/>
        <v/>
      </c>
      <c r="E264" s="194"/>
      <c r="F264" s="194"/>
      <c r="G264" s="194"/>
      <c r="H264" s="194"/>
      <c r="I264" s="253" t="str">
        <f>IF(COUNTBLANK(E264:H264)=4,"",SUM(E264:G264)+IF(Setup!$I$15="No",0,H264))</f>
        <v/>
      </c>
      <c r="J264" s="194"/>
      <c r="K264" s="194"/>
      <c r="L264" s="194"/>
      <c r="M264" s="194"/>
      <c r="N264" s="257" t="str">
        <f>IF(COUNTBLANK(J264:M264)=4,"",SUM(J264:L264)+IF(Setup!$I$15="No",0,M264))</f>
        <v/>
      </c>
      <c r="O264" s="194"/>
      <c r="P264" s="194"/>
      <c r="Q264" s="194"/>
      <c r="R264" s="194"/>
      <c r="S264" s="257" t="str">
        <f>IF(COUNTBLANK(O264:R264)=4,"",SUM(O264:Q264)+IF(Setup!$I$15="No",0,R264))</f>
        <v/>
      </c>
      <c r="T264" s="194"/>
      <c r="U264" s="194"/>
      <c r="V264" s="194"/>
      <c r="W264" s="194"/>
      <c r="X264" s="257" t="str">
        <f>IF(COUNTBLANK(T264:W264)=4,"",SUM(T264:V264)+IF(Setup!$I$15="No",0,W264))</f>
        <v/>
      </c>
      <c r="Y264" s="194"/>
      <c r="Z264" s="194"/>
      <c r="AA264" s="194"/>
      <c r="AB264" s="194"/>
      <c r="AC264" s="257" t="str">
        <f>IF(COUNTBLANK(Y264:AB264)=4,"",SUM(Y264:AA264)+IF(Setup!$I$15="No",0,AB264))</f>
        <v/>
      </c>
      <c r="AD264" s="194"/>
      <c r="AE264" s="194"/>
      <c r="AF264" s="194"/>
      <c r="AG264" s="194"/>
      <c r="AH264" s="257" t="str">
        <f>IF(COUNTBLANK(AD264:AG264)=4,"",SUM(AD264:AF264)+IF(Setup!$I$15="No",0,AG264))</f>
        <v/>
      </c>
      <c r="AI264" s="194"/>
      <c r="AJ264" s="194"/>
      <c r="AK264" s="194"/>
      <c r="AL264" s="194"/>
      <c r="AM264" s="257" t="str">
        <f>IF(COUNTBLANK(AI264:AL264)=4,"",SUM(AI264:AK264)+IF(Setup!$I$15="No",0,AL264))</f>
        <v/>
      </c>
      <c r="AN264" s="194"/>
      <c r="AO264" s="194"/>
      <c r="AP264" s="194"/>
      <c r="AQ264" s="194"/>
      <c r="AR264" s="257" t="str">
        <f>IF(COUNTBLANK(AN264:AQ264)=4,"",SUM(AN264:AP264)+IF(Setup!$I$15="No",0,AQ264))</f>
        <v/>
      </c>
      <c r="AS264" s="194"/>
      <c r="AT264" s="194"/>
      <c r="AU264" s="194"/>
      <c r="AV264" s="194"/>
      <c r="AW264" s="257" t="str">
        <f>IF(COUNTBLANK(AS264:AV264)=4,"",SUM(AS264:AU264)+IF(Setup!$I$15="No",0,AV264))</f>
        <v/>
      </c>
      <c r="AX264" s="194"/>
      <c r="AY264" s="194"/>
      <c r="AZ264" s="194"/>
      <c r="BA264" s="194"/>
      <c r="BB264" s="257" t="str">
        <f>IF(COUNTBLANK(AX264:BA264)=4,"",SUM(AX264:AZ264)+IF(Setup!$I$15="No",0,BA264))</f>
        <v/>
      </c>
      <c r="BC264" s="261" t="str">
        <f ca="1">IF('Demand background (hide)'!A255=Num_Modalities,"",SUM(Demand!I264, Demand!N264))</f>
        <v/>
      </c>
      <c r="BD264" s="261" t="str">
        <f ca="1">IF(AND(A264&lt;=MaxRows,BE264&lt;&gt;"Yes"),'Demand background (hide)'!X255+IF(Setup!$I$15="Yes",'Demand background (hide)'!AJ255,0),"")</f>
        <v/>
      </c>
      <c r="BE264" s="211"/>
    </row>
    <row r="265" spans="1:57" ht="15" x14ac:dyDescent="0.25">
      <c r="A265" t="str">
        <f t="shared" ca="1" si="12"/>
        <v/>
      </c>
      <c r="B265" s="266" t="str">
        <f t="shared" ca="1" si="13"/>
        <v xml:space="preserve"> </v>
      </c>
      <c r="C265" s="267" t="str">
        <f t="shared" ca="1" si="14"/>
        <v/>
      </c>
      <c r="D265" s="424" t="str">
        <f t="shared" ca="1" si="15"/>
        <v/>
      </c>
      <c r="E265" s="194"/>
      <c r="F265" s="194"/>
      <c r="G265" s="194"/>
      <c r="H265" s="194"/>
      <c r="I265" s="253" t="str">
        <f>IF(COUNTBLANK(E265:H265)=4,"",SUM(E265:G265)+IF(Setup!$I$15="No",0,H265))</f>
        <v/>
      </c>
      <c r="J265" s="194"/>
      <c r="K265" s="194"/>
      <c r="L265" s="194"/>
      <c r="M265" s="194"/>
      <c r="N265" s="257" t="str">
        <f>IF(COUNTBLANK(J265:M265)=4,"",SUM(J265:L265)+IF(Setup!$I$15="No",0,M265))</f>
        <v/>
      </c>
      <c r="O265" s="194"/>
      <c r="P265" s="194"/>
      <c r="Q265" s="194"/>
      <c r="R265" s="194"/>
      <c r="S265" s="257" t="str">
        <f>IF(COUNTBLANK(O265:R265)=4,"",SUM(O265:Q265)+IF(Setup!$I$15="No",0,R265))</f>
        <v/>
      </c>
      <c r="T265" s="194"/>
      <c r="U265" s="194"/>
      <c r="V265" s="194"/>
      <c r="W265" s="194"/>
      <c r="X265" s="257" t="str">
        <f>IF(COUNTBLANK(T265:W265)=4,"",SUM(T265:V265)+IF(Setup!$I$15="No",0,W265))</f>
        <v/>
      </c>
      <c r="Y265" s="194"/>
      <c r="Z265" s="194"/>
      <c r="AA265" s="194"/>
      <c r="AB265" s="194"/>
      <c r="AC265" s="257" t="str">
        <f>IF(COUNTBLANK(Y265:AB265)=4,"",SUM(Y265:AA265)+IF(Setup!$I$15="No",0,AB265))</f>
        <v/>
      </c>
      <c r="AD265" s="194"/>
      <c r="AE265" s="194"/>
      <c r="AF265" s="194"/>
      <c r="AG265" s="194"/>
      <c r="AH265" s="257" t="str">
        <f>IF(COUNTBLANK(AD265:AG265)=4,"",SUM(AD265:AF265)+IF(Setup!$I$15="No",0,AG265))</f>
        <v/>
      </c>
      <c r="AI265" s="194"/>
      <c r="AJ265" s="194"/>
      <c r="AK265" s="194"/>
      <c r="AL265" s="194"/>
      <c r="AM265" s="257" t="str">
        <f>IF(COUNTBLANK(AI265:AL265)=4,"",SUM(AI265:AK265)+IF(Setup!$I$15="No",0,AL265))</f>
        <v/>
      </c>
      <c r="AN265" s="194"/>
      <c r="AO265" s="194"/>
      <c r="AP265" s="194"/>
      <c r="AQ265" s="194"/>
      <c r="AR265" s="257" t="str">
        <f>IF(COUNTBLANK(AN265:AQ265)=4,"",SUM(AN265:AP265)+IF(Setup!$I$15="No",0,AQ265))</f>
        <v/>
      </c>
      <c r="AS265" s="194"/>
      <c r="AT265" s="194"/>
      <c r="AU265" s="194"/>
      <c r="AV265" s="194"/>
      <c r="AW265" s="257" t="str">
        <f>IF(COUNTBLANK(AS265:AV265)=4,"",SUM(AS265:AU265)+IF(Setup!$I$15="No",0,AV265))</f>
        <v/>
      </c>
      <c r="AX265" s="194"/>
      <c r="AY265" s="194"/>
      <c r="AZ265" s="194"/>
      <c r="BA265" s="194"/>
      <c r="BB265" s="257" t="str">
        <f>IF(COUNTBLANK(AX265:BA265)=4,"",SUM(AX265:AZ265)+IF(Setup!$I$15="No",0,BA265))</f>
        <v/>
      </c>
      <c r="BC265" s="261" t="str">
        <f ca="1">IF('Demand background (hide)'!A256=Num_Modalities,"",SUM(Demand!I265, Demand!N265))</f>
        <v/>
      </c>
      <c r="BD265" s="261" t="str">
        <f ca="1">IF(AND(A265&lt;=MaxRows,BE265&lt;&gt;"Yes"),'Demand background (hide)'!X256+IF(Setup!$I$15="Yes",'Demand background (hide)'!AJ256,0),"")</f>
        <v/>
      </c>
      <c r="BE265" s="211"/>
    </row>
    <row r="266" spans="1:57" ht="15" x14ac:dyDescent="0.25">
      <c r="A266" t="str">
        <f t="shared" ca="1" si="12"/>
        <v/>
      </c>
      <c r="B266" s="266" t="str">
        <f t="shared" ca="1" si="13"/>
        <v xml:space="preserve"> </v>
      </c>
      <c r="C266" s="267" t="str">
        <f t="shared" ca="1" si="14"/>
        <v/>
      </c>
      <c r="D266" s="424" t="str">
        <f t="shared" ca="1" si="15"/>
        <v/>
      </c>
      <c r="E266" s="194"/>
      <c r="F266" s="194"/>
      <c r="G266" s="194"/>
      <c r="H266" s="194"/>
      <c r="I266" s="253" t="str">
        <f>IF(COUNTBLANK(E266:H266)=4,"",SUM(E266:G266)+IF(Setup!$I$15="No",0,H266))</f>
        <v/>
      </c>
      <c r="J266" s="194"/>
      <c r="K266" s="194"/>
      <c r="L266" s="194"/>
      <c r="M266" s="194"/>
      <c r="N266" s="257" t="str">
        <f>IF(COUNTBLANK(J266:M266)=4,"",SUM(J266:L266)+IF(Setup!$I$15="No",0,M266))</f>
        <v/>
      </c>
      <c r="O266" s="194"/>
      <c r="P266" s="194"/>
      <c r="Q266" s="194"/>
      <c r="R266" s="194"/>
      <c r="S266" s="257" t="str">
        <f>IF(COUNTBLANK(O266:R266)=4,"",SUM(O266:Q266)+IF(Setup!$I$15="No",0,R266))</f>
        <v/>
      </c>
      <c r="T266" s="194"/>
      <c r="U266" s="194"/>
      <c r="V266" s="194"/>
      <c r="W266" s="194"/>
      <c r="X266" s="257" t="str">
        <f>IF(COUNTBLANK(T266:W266)=4,"",SUM(T266:V266)+IF(Setup!$I$15="No",0,W266))</f>
        <v/>
      </c>
      <c r="Y266" s="194"/>
      <c r="Z266" s="194"/>
      <c r="AA266" s="194"/>
      <c r="AB266" s="194"/>
      <c r="AC266" s="257" t="str">
        <f>IF(COUNTBLANK(Y266:AB266)=4,"",SUM(Y266:AA266)+IF(Setup!$I$15="No",0,AB266))</f>
        <v/>
      </c>
      <c r="AD266" s="194"/>
      <c r="AE266" s="194"/>
      <c r="AF266" s="194"/>
      <c r="AG266" s="194"/>
      <c r="AH266" s="257" t="str">
        <f>IF(COUNTBLANK(AD266:AG266)=4,"",SUM(AD266:AF266)+IF(Setup!$I$15="No",0,AG266))</f>
        <v/>
      </c>
      <c r="AI266" s="194"/>
      <c r="AJ266" s="194"/>
      <c r="AK266" s="194"/>
      <c r="AL266" s="194"/>
      <c r="AM266" s="257" t="str">
        <f>IF(COUNTBLANK(AI266:AL266)=4,"",SUM(AI266:AK266)+IF(Setup!$I$15="No",0,AL266))</f>
        <v/>
      </c>
      <c r="AN266" s="194"/>
      <c r="AO266" s="194"/>
      <c r="AP266" s="194"/>
      <c r="AQ266" s="194"/>
      <c r="AR266" s="257" t="str">
        <f>IF(COUNTBLANK(AN266:AQ266)=4,"",SUM(AN266:AP266)+IF(Setup!$I$15="No",0,AQ266))</f>
        <v/>
      </c>
      <c r="AS266" s="194"/>
      <c r="AT266" s="194"/>
      <c r="AU266" s="194"/>
      <c r="AV266" s="194"/>
      <c r="AW266" s="257" t="str">
        <f>IF(COUNTBLANK(AS266:AV266)=4,"",SUM(AS266:AU266)+IF(Setup!$I$15="No",0,AV266))</f>
        <v/>
      </c>
      <c r="AX266" s="194"/>
      <c r="AY266" s="194"/>
      <c r="AZ266" s="194"/>
      <c r="BA266" s="194"/>
      <c r="BB266" s="257" t="str">
        <f>IF(COUNTBLANK(AX266:BA266)=4,"",SUM(AX266:AZ266)+IF(Setup!$I$15="No",0,BA266))</f>
        <v/>
      </c>
      <c r="BC266" s="261" t="str">
        <f ca="1">IF('Demand background (hide)'!A257=Num_Modalities,"",SUM(Demand!I266, Demand!N266))</f>
        <v/>
      </c>
      <c r="BD266" s="261" t="str">
        <f ca="1">IF(AND(A266&lt;=MaxRows,BE266&lt;&gt;"Yes"),'Demand background (hide)'!X257+IF(Setup!$I$15="Yes",'Demand background (hide)'!AJ257,0),"")</f>
        <v/>
      </c>
      <c r="BE266" s="211"/>
    </row>
    <row r="267" spans="1:57" ht="15" x14ac:dyDescent="0.25">
      <c r="A267" t="str">
        <f t="shared" ca="1" si="12"/>
        <v/>
      </c>
      <c r="B267" s="266" t="str">
        <f t="shared" ca="1" si="13"/>
        <v xml:space="preserve"> </v>
      </c>
      <c r="C267" s="267" t="str">
        <f t="shared" ca="1" si="14"/>
        <v/>
      </c>
      <c r="D267" s="424" t="str">
        <f t="shared" ca="1" si="15"/>
        <v/>
      </c>
      <c r="E267" s="194"/>
      <c r="F267" s="194"/>
      <c r="G267" s="194"/>
      <c r="H267" s="194"/>
      <c r="I267" s="253" t="str">
        <f>IF(COUNTBLANK(E267:H267)=4,"",SUM(E267:G267)+IF(Setup!$I$15="No",0,H267))</f>
        <v/>
      </c>
      <c r="J267" s="194"/>
      <c r="K267" s="194"/>
      <c r="L267" s="194"/>
      <c r="M267" s="194"/>
      <c r="N267" s="257" t="str">
        <f>IF(COUNTBLANK(J267:M267)=4,"",SUM(J267:L267)+IF(Setup!$I$15="No",0,M267))</f>
        <v/>
      </c>
      <c r="O267" s="194"/>
      <c r="P267" s="194"/>
      <c r="Q267" s="194"/>
      <c r="R267" s="194"/>
      <c r="S267" s="257" t="str">
        <f>IF(COUNTBLANK(O267:R267)=4,"",SUM(O267:Q267)+IF(Setup!$I$15="No",0,R267))</f>
        <v/>
      </c>
      <c r="T267" s="194"/>
      <c r="U267" s="194"/>
      <c r="V267" s="194"/>
      <c r="W267" s="194"/>
      <c r="X267" s="257" t="str">
        <f>IF(COUNTBLANK(T267:W267)=4,"",SUM(T267:V267)+IF(Setup!$I$15="No",0,W267))</f>
        <v/>
      </c>
      <c r="Y267" s="194"/>
      <c r="Z267" s="194"/>
      <c r="AA267" s="194"/>
      <c r="AB267" s="194"/>
      <c r="AC267" s="257" t="str">
        <f>IF(COUNTBLANK(Y267:AB267)=4,"",SUM(Y267:AA267)+IF(Setup!$I$15="No",0,AB267))</f>
        <v/>
      </c>
      <c r="AD267" s="194"/>
      <c r="AE267" s="194"/>
      <c r="AF267" s="194"/>
      <c r="AG267" s="194"/>
      <c r="AH267" s="257" t="str">
        <f>IF(COUNTBLANK(AD267:AG267)=4,"",SUM(AD267:AF267)+IF(Setup!$I$15="No",0,AG267))</f>
        <v/>
      </c>
      <c r="AI267" s="194"/>
      <c r="AJ267" s="194"/>
      <c r="AK267" s="194"/>
      <c r="AL267" s="194"/>
      <c r="AM267" s="257" t="str">
        <f>IF(COUNTBLANK(AI267:AL267)=4,"",SUM(AI267:AK267)+IF(Setup!$I$15="No",0,AL267))</f>
        <v/>
      </c>
      <c r="AN267" s="194"/>
      <c r="AO267" s="194"/>
      <c r="AP267" s="194"/>
      <c r="AQ267" s="194"/>
      <c r="AR267" s="257" t="str">
        <f>IF(COUNTBLANK(AN267:AQ267)=4,"",SUM(AN267:AP267)+IF(Setup!$I$15="No",0,AQ267))</f>
        <v/>
      </c>
      <c r="AS267" s="194"/>
      <c r="AT267" s="194"/>
      <c r="AU267" s="194"/>
      <c r="AV267" s="194"/>
      <c r="AW267" s="257" t="str">
        <f>IF(COUNTBLANK(AS267:AV267)=4,"",SUM(AS267:AU267)+IF(Setup!$I$15="No",0,AV267))</f>
        <v/>
      </c>
      <c r="AX267" s="194"/>
      <c r="AY267" s="194"/>
      <c r="AZ267" s="194"/>
      <c r="BA267" s="194"/>
      <c r="BB267" s="257" t="str">
        <f>IF(COUNTBLANK(AX267:BA267)=4,"",SUM(AX267:AZ267)+IF(Setup!$I$15="No",0,BA267))</f>
        <v/>
      </c>
      <c r="BC267" s="261" t="str">
        <f ca="1">IF('Demand background (hide)'!A258=Num_Modalities,"",SUM(Demand!I267, Demand!N267))</f>
        <v/>
      </c>
      <c r="BD267" s="261" t="str">
        <f ca="1">IF(AND(A267&lt;=MaxRows,BE267&lt;&gt;"Yes"),'Demand background (hide)'!X258+IF(Setup!$I$15="Yes",'Demand background (hide)'!AJ258,0),"")</f>
        <v/>
      </c>
      <c r="BE267" s="211"/>
    </row>
    <row r="268" spans="1:57" ht="15" x14ac:dyDescent="0.25">
      <c r="A268" t="str">
        <f t="shared" ca="1" si="12"/>
        <v/>
      </c>
      <c r="B268" s="266" t="str">
        <f t="shared" ca="1" si="13"/>
        <v xml:space="preserve"> </v>
      </c>
      <c r="C268" s="267" t="str">
        <f t="shared" ca="1" si="14"/>
        <v/>
      </c>
      <c r="D268" s="424" t="str">
        <f t="shared" ca="1" si="15"/>
        <v/>
      </c>
      <c r="E268" s="194"/>
      <c r="F268" s="194"/>
      <c r="G268" s="194"/>
      <c r="H268" s="194"/>
      <c r="I268" s="253" t="str">
        <f>IF(COUNTBLANK(E268:H268)=4,"",SUM(E268:G268)+IF(Setup!$I$15="No",0,H268))</f>
        <v/>
      </c>
      <c r="J268" s="194"/>
      <c r="K268" s="194"/>
      <c r="L268" s="194"/>
      <c r="M268" s="194"/>
      <c r="N268" s="257" t="str">
        <f>IF(COUNTBLANK(J268:M268)=4,"",SUM(J268:L268)+IF(Setup!$I$15="No",0,M268))</f>
        <v/>
      </c>
      <c r="O268" s="194"/>
      <c r="P268" s="194"/>
      <c r="Q268" s="194"/>
      <c r="R268" s="194"/>
      <c r="S268" s="257" t="str">
        <f>IF(COUNTBLANK(O268:R268)=4,"",SUM(O268:Q268)+IF(Setup!$I$15="No",0,R268))</f>
        <v/>
      </c>
      <c r="T268" s="194"/>
      <c r="U268" s="194"/>
      <c r="V268" s="194"/>
      <c r="W268" s="194"/>
      <c r="X268" s="257" t="str">
        <f>IF(COUNTBLANK(T268:W268)=4,"",SUM(T268:V268)+IF(Setup!$I$15="No",0,W268))</f>
        <v/>
      </c>
      <c r="Y268" s="194"/>
      <c r="Z268" s="194"/>
      <c r="AA268" s="194"/>
      <c r="AB268" s="194"/>
      <c r="AC268" s="257" t="str">
        <f>IF(COUNTBLANK(Y268:AB268)=4,"",SUM(Y268:AA268)+IF(Setup!$I$15="No",0,AB268))</f>
        <v/>
      </c>
      <c r="AD268" s="194"/>
      <c r="AE268" s="194"/>
      <c r="AF268" s="194"/>
      <c r="AG268" s="194"/>
      <c r="AH268" s="257" t="str">
        <f>IF(COUNTBLANK(AD268:AG268)=4,"",SUM(AD268:AF268)+IF(Setup!$I$15="No",0,AG268))</f>
        <v/>
      </c>
      <c r="AI268" s="194"/>
      <c r="AJ268" s="194"/>
      <c r="AK268" s="194"/>
      <c r="AL268" s="194"/>
      <c r="AM268" s="257" t="str">
        <f>IF(COUNTBLANK(AI268:AL268)=4,"",SUM(AI268:AK268)+IF(Setup!$I$15="No",0,AL268))</f>
        <v/>
      </c>
      <c r="AN268" s="194"/>
      <c r="AO268" s="194"/>
      <c r="AP268" s="194"/>
      <c r="AQ268" s="194"/>
      <c r="AR268" s="257" t="str">
        <f>IF(COUNTBLANK(AN268:AQ268)=4,"",SUM(AN268:AP268)+IF(Setup!$I$15="No",0,AQ268))</f>
        <v/>
      </c>
      <c r="AS268" s="194"/>
      <c r="AT268" s="194"/>
      <c r="AU268" s="194"/>
      <c r="AV268" s="194"/>
      <c r="AW268" s="257" t="str">
        <f>IF(COUNTBLANK(AS268:AV268)=4,"",SUM(AS268:AU268)+IF(Setup!$I$15="No",0,AV268))</f>
        <v/>
      </c>
      <c r="AX268" s="194"/>
      <c r="AY268" s="194"/>
      <c r="AZ268" s="194"/>
      <c r="BA268" s="194"/>
      <c r="BB268" s="257" t="str">
        <f>IF(COUNTBLANK(AX268:BA268)=4,"",SUM(AX268:AZ268)+IF(Setup!$I$15="No",0,BA268))</f>
        <v/>
      </c>
      <c r="BC268" s="261" t="str">
        <f ca="1">IF('Demand background (hide)'!A259=Num_Modalities,"",SUM(Demand!I268, Demand!N268))</f>
        <v/>
      </c>
      <c r="BD268" s="261" t="str">
        <f ca="1">IF(AND(A268&lt;=MaxRows,BE268&lt;&gt;"Yes"),'Demand background (hide)'!X259+IF(Setup!$I$15="Yes",'Demand background (hide)'!AJ259,0),"")</f>
        <v/>
      </c>
      <c r="BE268" s="211"/>
    </row>
    <row r="269" spans="1:57" ht="15" x14ac:dyDescent="0.25">
      <c r="A269" t="str">
        <f t="shared" ref="A269:A272" ca="1" si="16">IF(BC269&lt;&gt;"",ROW(A257),"")</f>
        <v/>
      </c>
      <c r="B269" s="266" t="str">
        <f t="shared" ca="1" si="13"/>
        <v xml:space="preserve"> </v>
      </c>
      <c r="C269" s="267" t="str">
        <f t="shared" ca="1" si="14"/>
        <v/>
      </c>
      <c r="D269" s="424" t="str">
        <f t="shared" ca="1" si="15"/>
        <v/>
      </c>
      <c r="E269" s="194"/>
      <c r="F269" s="194"/>
      <c r="G269" s="194"/>
      <c r="H269" s="194"/>
      <c r="I269" s="253" t="str">
        <f>IF(COUNTBLANK(E269:H269)=4,"",SUM(E269:G269)+IF(Setup!$I$15="No",0,H269))</f>
        <v/>
      </c>
      <c r="J269" s="194"/>
      <c r="K269" s="194"/>
      <c r="L269" s="194"/>
      <c r="M269" s="194"/>
      <c r="N269" s="257" t="str">
        <f>IF(COUNTBLANK(J269:M269)=4,"",SUM(J269:L269)+IF(Setup!$I$15="No",0,M269))</f>
        <v/>
      </c>
      <c r="O269" s="194"/>
      <c r="P269" s="194"/>
      <c r="Q269" s="194"/>
      <c r="R269" s="194"/>
      <c r="S269" s="257" t="str">
        <f>IF(COUNTBLANK(O269:R269)=4,"",SUM(O269:Q269)+IF(Setup!$I$15="No",0,R269))</f>
        <v/>
      </c>
      <c r="T269" s="194"/>
      <c r="U269" s="194"/>
      <c r="V269" s="194"/>
      <c r="W269" s="194"/>
      <c r="X269" s="257" t="str">
        <f>IF(COUNTBLANK(T269:W269)=4,"",SUM(T269:V269)+IF(Setup!$I$15="No",0,W269))</f>
        <v/>
      </c>
      <c r="Y269" s="194"/>
      <c r="Z269" s="194"/>
      <c r="AA269" s="194"/>
      <c r="AB269" s="194"/>
      <c r="AC269" s="257" t="str">
        <f>IF(COUNTBLANK(Y269:AB269)=4,"",SUM(Y269:AA269)+IF(Setup!$I$15="No",0,AB269))</f>
        <v/>
      </c>
      <c r="AD269" s="194"/>
      <c r="AE269" s="194"/>
      <c r="AF269" s="194"/>
      <c r="AG269" s="194"/>
      <c r="AH269" s="257" t="str">
        <f>IF(COUNTBLANK(AD269:AG269)=4,"",SUM(AD269:AF269)+IF(Setup!$I$15="No",0,AG269))</f>
        <v/>
      </c>
      <c r="AI269" s="194"/>
      <c r="AJ269" s="194"/>
      <c r="AK269" s="194"/>
      <c r="AL269" s="194"/>
      <c r="AM269" s="257" t="str">
        <f>IF(COUNTBLANK(AI269:AL269)=4,"",SUM(AI269:AK269)+IF(Setup!$I$15="No",0,AL269))</f>
        <v/>
      </c>
      <c r="AN269" s="194"/>
      <c r="AO269" s="194"/>
      <c r="AP269" s="194"/>
      <c r="AQ269" s="194"/>
      <c r="AR269" s="257" t="str">
        <f>IF(COUNTBLANK(AN269:AQ269)=4,"",SUM(AN269:AP269)+IF(Setup!$I$15="No",0,AQ269))</f>
        <v/>
      </c>
      <c r="AS269" s="194"/>
      <c r="AT269" s="194"/>
      <c r="AU269" s="194"/>
      <c r="AV269" s="194"/>
      <c r="AW269" s="257" t="str">
        <f>IF(COUNTBLANK(AS269:AV269)=4,"",SUM(AS269:AU269)+IF(Setup!$I$15="No",0,AV269))</f>
        <v/>
      </c>
      <c r="AX269" s="194"/>
      <c r="AY269" s="194"/>
      <c r="AZ269" s="194"/>
      <c r="BA269" s="194"/>
      <c r="BB269" s="257" t="str">
        <f>IF(COUNTBLANK(AX269:BA269)=4,"",SUM(AX269:AZ269)+IF(Setup!$I$15="No",0,BA269))</f>
        <v/>
      </c>
      <c r="BC269" s="261" t="str">
        <f ca="1">IF('Demand background (hide)'!A260=Num_Modalities,"",SUM(Demand!I269, Demand!N269))</f>
        <v/>
      </c>
      <c r="BD269" s="261" t="str">
        <f ca="1">IF(AND(A269&lt;=MaxRows,BE269&lt;&gt;"Yes"),'Demand background (hide)'!X260+IF(Setup!$I$15="Yes",'Demand background (hide)'!AJ260,0),"")</f>
        <v/>
      </c>
      <c r="BE269" s="211"/>
    </row>
    <row r="270" spans="1:57" ht="15" x14ac:dyDescent="0.25">
      <c r="A270" t="str">
        <f t="shared" ca="1" si="16"/>
        <v/>
      </c>
      <c r="B270" s="266" t="str">
        <f t="shared" ref="B270:B272" ca="1" si="17">IF(A270&lt;=MaxRows,IF($C$6&lt;&gt;"",IF(YEAR(D270)&lt;&gt;YEAR(D269),YEAR(D270)," "),IF(C270&lt;&gt;1,"",OFFSET(B270,-C269,0,1,1)+1))," ")</f>
        <v xml:space="preserve"> </v>
      </c>
      <c r="C270" s="267" t="str">
        <f t="shared" ref="C270:C272" ca="1" si="18">IF(ROW(A258)&lt;=MaxRows,IF($C$6&lt;&gt;"",WEEKNUM(D270,21),IF(MOD((C269+1),52)&gt;0,MOD((C269+1),52),52)),"")</f>
        <v/>
      </c>
      <c r="D270" s="424" t="str">
        <f t="shared" ref="D270:D272" ca="1" si="19">IF(ROW(A258)&lt;=MaxRows,IF($C$6&lt;&gt;"",D269+7,""),"")</f>
        <v/>
      </c>
      <c r="E270" s="194"/>
      <c r="F270" s="194"/>
      <c r="G270" s="194"/>
      <c r="H270" s="194"/>
      <c r="I270" s="253" t="str">
        <f>IF(COUNTBLANK(E270:H270)=4,"",SUM(E270:G270)+IF(Setup!$I$15="No",0,H270))</f>
        <v/>
      </c>
      <c r="J270" s="194"/>
      <c r="K270" s="194"/>
      <c r="L270" s="194"/>
      <c r="M270" s="194"/>
      <c r="N270" s="257" t="str">
        <f>IF(COUNTBLANK(J270:M270)=4,"",SUM(J270:L270)+IF(Setup!$I$15="No",0,M270))</f>
        <v/>
      </c>
      <c r="O270" s="194"/>
      <c r="P270" s="194"/>
      <c r="Q270" s="194"/>
      <c r="R270" s="194"/>
      <c r="S270" s="257" t="str">
        <f>IF(COUNTBLANK(O270:R270)=4,"",SUM(O270:Q270)+IF(Setup!$I$15="No",0,R270))</f>
        <v/>
      </c>
      <c r="T270" s="194"/>
      <c r="U270" s="194"/>
      <c r="V270" s="194"/>
      <c r="W270" s="194"/>
      <c r="X270" s="257" t="str">
        <f>IF(COUNTBLANK(T270:W270)=4,"",SUM(T270:V270)+IF(Setup!$I$15="No",0,W270))</f>
        <v/>
      </c>
      <c r="Y270" s="194"/>
      <c r="Z270" s="194"/>
      <c r="AA270" s="194"/>
      <c r="AB270" s="194"/>
      <c r="AC270" s="257" t="str">
        <f>IF(COUNTBLANK(Y270:AB270)=4,"",SUM(Y270:AA270)+IF(Setup!$I$15="No",0,AB270))</f>
        <v/>
      </c>
      <c r="AD270" s="194"/>
      <c r="AE270" s="194"/>
      <c r="AF270" s="194"/>
      <c r="AG270" s="194"/>
      <c r="AH270" s="257" t="str">
        <f>IF(COUNTBLANK(AD270:AG270)=4,"",SUM(AD270:AF270)+IF(Setup!$I$15="No",0,AG270))</f>
        <v/>
      </c>
      <c r="AI270" s="194"/>
      <c r="AJ270" s="194"/>
      <c r="AK270" s="194"/>
      <c r="AL270" s="194"/>
      <c r="AM270" s="257" t="str">
        <f>IF(COUNTBLANK(AI270:AL270)=4,"",SUM(AI270:AK270)+IF(Setup!$I$15="No",0,AL270))</f>
        <v/>
      </c>
      <c r="AN270" s="194"/>
      <c r="AO270" s="194"/>
      <c r="AP270" s="194"/>
      <c r="AQ270" s="194"/>
      <c r="AR270" s="257" t="str">
        <f>IF(COUNTBLANK(AN270:AQ270)=4,"",SUM(AN270:AP270)+IF(Setup!$I$15="No",0,AQ270))</f>
        <v/>
      </c>
      <c r="AS270" s="194"/>
      <c r="AT270" s="194"/>
      <c r="AU270" s="194"/>
      <c r="AV270" s="194"/>
      <c r="AW270" s="257" t="str">
        <f>IF(COUNTBLANK(AS270:AV270)=4,"",SUM(AS270:AU270)+IF(Setup!$I$15="No",0,AV270))</f>
        <v/>
      </c>
      <c r="AX270" s="194"/>
      <c r="AY270" s="194"/>
      <c r="AZ270" s="194"/>
      <c r="BA270" s="194"/>
      <c r="BB270" s="257" t="str">
        <f>IF(COUNTBLANK(AX270:BA270)=4,"",SUM(AX270:AZ270)+IF(Setup!$I$15="No",0,BA270))</f>
        <v/>
      </c>
      <c r="BC270" s="261" t="str">
        <f ca="1">IF('Demand background (hide)'!A261=Num_Modalities,"",SUM(Demand!I270, Demand!N270))</f>
        <v/>
      </c>
      <c r="BD270" s="261" t="str">
        <f ca="1">IF(AND(A270&lt;=MaxRows,BE270&lt;&gt;"Yes"),'Demand background (hide)'!X261+IF(Setup!$I$15="Yes",'Demand background (hide)'!AJ261,0),"")</f>
        <v/>
      </c>
      <c r="BE270" s="211"/>
    </row>
    <row r="271" spans="1:57" ht="15" x14ac:dyDescent="0.25">
      <c r="A271" t="str">
        <f t="shared" ca="1" si="16"/>
        <v/>
      </c>
      <c r="B271" s="266" t="str">
        <f t="shared" ca="1" si="17"/>
        <v xml:space="preserve"> </v>
      </c>
      <c r="C271" s="267" t="str">
        <f t="shared" ca="1" si="18"/>
        <v/>
      </c>
      <c r="D271" s="424" t="str">
        <f t="shared" ca="1" si="19"/>
        <v/>
      </c>
      <c r="E271" s="194"/>
      <c r="F271" s="194"/>
      <c r="G271" s="194"/>
      <c r="H271" s="194"/>
      <c r="I271" s="253" t="str">
        <f>IF(COUNTBLANK(E271:H271)=4,"",SUM(E271:G271)+IF(Setup!$I$15="No",0,H271))</f>
        <v/>
      </c>
      <c r="J271" s="194"/>
      <c r="K271" s="194"/>
      <c r="L271" s="194"/>
      <c r="M271" s="194"/>
      <c r="N271" s="257" t="str">
        <f>IF(COUNTBLANK(J271:M271)=4,"",SUM(J271:L271)+IF(Setup!$I$15="No",0,M271))</f>
        <v/>
      </c>
      <c r="O271" s="194"/>
      <c r="P271" s="194"/>
      <c r="Q271" s="194"/>
      <c r="R271" s="194"/>
      <c r="S271" s="257" t="str">
        <f>IF(COUNTBLANK(O271:R271)=4,"",SUM(O271:Q271)+IF(Setup!$I$15="No",0,R271))</f>
        <v/>
      </c>
      <c r="T271" s="194"/>
      <c r="U271" s="194"/>
      <c r="V271" s="194"/>
      <c r="W271" s="194"/>
      <c r="X271" s="257" t="str">
        <f>IF(COUNTBLANK(T271:W271)=4,"",SUM(T271:V271)+IF(Setup!$I$15="No",0,W271))</f>
        <v/>
      </c>
      <c r="Y271" s="194"/>
      <c r="Z271" s="194"/>
      <c r="AA271" s="194"/>
      <c r="AB271" s="194"/>
      <c r="AC271" s="257" t="str">
        <f>IF(COUNTBLANK(Y271:AB271)=4,"",SUM(Y271:AA271)+IF(Setup!$I$15="No",0,AB271))</f>
        <v/>
      </c>
      <c r="AD271" s="194"/>
      <c r="AE271" s="194"/>
      <c r="AF271" s="194"/>
      <c r="AG271" s="194"/>
      <c r="AH271" s="257" t="str">
        <f>IF(COUNTBLANK(AD271:AG271)=4,"",SUM(AD271:AF271)+IF(Setup!$I$15="No",0,AG271))</f>
        <v/>
      </c>
      <c r="AI271" s="194"/>
      <c r="AJ271" s="194"/>
      <c r="AK271" s="194"/>
      <c r="AL271" s="194"/>
      <c r="AM271" s="257" t="str">
        <f>IF(COUNTBLANK(AI271:AL271)=4,"",SUM(AI271:AK271)+IF(Setup!$I$15="No",0,AL271))</f>
        <v/>
      </c>
      <c r="AN271" s="194"/>
      <c r="AO271" s="194"/>
      <c r="AP271" s="194"/>
      <c r="AQ271" s="194"/>
      <c r="AR271" s="257" t="str">
        <f>IF(COUNTBLANK(AN271:AQ271)=4,"",SUM(AN271:AP271)+IF(Setup!$I$15="No",0,AQ271))</f>
        <v/>
      </c>
      <c r="AS271" s="194"/>
      <c r="AT271" s="194"/>
      <c r="AU271" s="194"/>
      <c r="AV271" s="194"/>
      <c r="AW271" s="257" t="str">
        <f>IF(COUNTBLANK(AS271:AV271)=4,"",SUM(AS271:AU271)+IF(Setup!$I$15="No",0,AV271))</f>
        <v/>
      </c>
      <c r="AX271" s="194"/>
      <c r="AY271" s="194"/>
      <c r="AZ271" s="194"/>
      <c r="BA271" s="194"/>
      <c r="BB271" s="257" t="str">
        <f>IF(COUNTBLANK(AX271:BA271)=4,"",SUM(AX271:AZ271)+IF(Setup!$I$15="No",0,BA271))</f>
        <v/>
      </c>
      <c r="BC271" s="261" t="str">
        <f ca="1">IF('Demand background (hide)'!A262=Num_Modalities,"",SUM(Demand!I271, Demand!N271))</f>
        <v/>
      </c>
      <c r="BD271" s="261" t="str">
        <f ca="1">IF(AND(A271&lt;=MaxRows,BE271&lt;&gt;"Yes"),'Demand background (hide)'!X262+IF(Setup!$I$15="Yes",'Demand background (hide)'!AJ262,0),"")</f>
        <v/>
      </c>
      <c r="BE271" s="211"/>
    </row>
    <row r="272" spans="1:57" ht="15" x14ac:dyDescent="0.25">
      <c r="A272" t="str">
        <f t="shared" ca="1" si="16"/>
        <v/>
      </c>
      <c r="B272" s="266" t="str">
        <f t="shared" ca="1" si="17"/>
        <v xml:space="preserve"> </v>
      </c>
      <c r="C272" s="267" t="str">
        <f t="shared" ca="1" si="18"/>
        <v/>
      </c>
      <c r="D272" s="424" t="str">
        <f t="shared" ca="1" si="19"/>
        <v/>
      </c>
      <c r="E272" s="194"/>
      <c r="F272" s="194"/>
      <c r="G272" s="194"/>
      <c r="H272" s="194"/>
      <c r="I272" s="253" t="str">
        <f>IF(COUNTBLANK(E272:H272)=4,"",SUM(E272:G272)+IF(Setup!$I$15="No",0,H272))</f>
        <v/>
      </c>
      <c r="J272" s="194"/>
      <c r="K272" s="194"/>
      <c r="L272" s="194"/>
      <c r="M272" s="194"/>
      <c r="N272" s="257" t="str">
        <f>IF(COUNTBLANK(J272:M272)=4,"",SUM(J272:L272)+IF(Setup!$I$15="No",0,M272))</f>
        <v/>
      </c>
      <c r="O272" s="194"/>
      <c r="P272" s="194"/>
      <c r="Q272" s="194"/>
      <c r="R272" s="194"/>
      <c r="S272" s="257" t="str">
        <f>IF(COUNTBLANK(O272:R272)=4,"",SUM(O272:Q272)+IF(Setup!$I$15="No",0,R272))</f>
        <v/>
      </c>
      <c r="T272" s="194"/>
      <c r="U272" s="194"/>
      <c r="V272" s="194"/>
      <c r="W272" s="194"/>
      <c r="X272" s="257" t="str">
        <f>IF(COUNTBLANK(T272:W272)=4,"",SUM(T272:V272)+IF(Setup!$I$15="No",0,W272))</f>
        <v/>
      </c>
      <c r="Y272" s="194"/>
      <c r="Z272" s="194"/>
      <c r="AA272" s="194"/>
      <c r="AB272" s="194"/>
      <c r="AC272" s="257" t="str">
        <f>IF(COUNTBLANK(Y272:AB272)=4,"",SUM(Y272:AA272)+IF(Setup!$I$15="No",0,AB272))</f>
        <v/>
      </c>
      <c r="AD272" s="194"/>
      <c r="AE272" s="194"/>
      <c r="AF272" s="194"/>
      <c r="AG272" s="194"/>
      <c r="AH272" s="257" t="str">
        <f>IF(COUNTBLANK(AD272:AG272)=4,"",SUM(AD272:AF272)+IF(Setup!$I$15="No",0,AG272))</f>
        <v/>
      </c>
      <c r="AI272" s="194"/>
      <c r="AJ272" s="194"/>
      <c r="AK272" s="194"/>
      <c r="AL272" s="194"/>
      <c r="AM272" s="257" t="str">
        <f>IF(COUNTBLANK(AI272:AL272)=4,"",SUM(AI272:AK272)+IF(Setup!$I$15="No",0,AL272))</f>
        <v/>
      </c>
      <c r="AN272" s="194"/>
      <c r="AO272" s="194"/>
      <c r="AP272" s="194"/>
      <c r="AQ272" s="194"/>
      <c r="AR272" s="257" t="str">
        <f>IF(COUNTBLANK(AN272:AQ272)=4,"",SUM(AN272:AP272)+IF(Setup!$I$15="No",0,AQ272))</f>
        <v/>
      </c>
      <c r="AS272" s="194"/>
      <c r="AT272" s="194"/>
      <c r="AU272" s="194"/>
      <c r="AV272" s="194"/>
      <c r="AW272" s="257" t="str">
        <f>IF(COUNTBLANK(AS272:AV272)=4,"",SUM(AS272:AU272)+IF(Setup!$I$15="No",0,AV272))</f>
        <v/>
      </c>
      <c r="AX272" s="194"/>
      <c r="AY272" s="194"/>
      <c r="AZ272" s="194"/>
      <c r="BA272" s="194"/>
      <c r="BB272" s="257" t="str">
        <f>IF(COUNTBLANK(AX272:BA272)=4,"",SUM(AX272:AZ272)+IF(Setup!$I$15="No",0,BA272))</f>
        <v/>
      </c>
      <c r="BC272" s="261" t="str">
        <f ca="1">IF('Demand background (hide)'!A263=Num_Modalities,"",SUM(Demand!I272, Demand!N272))</f>
        <v/>
      </c>
      <c r="BD272" s="261" t="str">
        <f ca="1">IF(AND(A272&lt;=MaxRows,BE272&lt;&gt;"Yes"),'Demand background (hide)'!X263+IF(Setup!$I$15="Yes",'Demand background (hide)'!AJ263,0),"")</f>
        <v/>
      </c>
      <c r="BE272" s="211"/>
    </row>
  </sheetData>
  <sheetProtection algorithmName="SHA-512" hashValue="xh/pK92WH04w9POFAR4TIFOU3sS3Sxn69pT7kLi53O14s6og1+8xoxlNXE4GgZaAEJJVdXOjiZo1Up6KUPxrkQ==" saltValue="QMLzdj+1coe8TDGXqYAOpQ==" spinCount="100000" sheet="1" objects="1" scenarios="1"/>
  <dataConsolidate/>
  <mergeCells count="6">
    <mergeCell ref="BC10:BC12"/>
    <mergeCell ref="BD10:BD12"/>
    <mergeCell ref="D10:D12"/>
    <mergeCell ref="BE10:BE12"/>
    <mergeCell ref="B10:B12"/>
    <mergeCell ref="C10:C12"/>
  </mergeCells>
  <conditionalFormatting sqref="J65:N272 T65:X272 AD65:AH272 AN65:AR272 AX65:BB272">
    <cfRule type="expression" dxfId="33" priority="4">
      <formula>IF(ROW(C65)-12&lt;=$A$6,TRUE,FALSE)</formula>
    </cfRule>
  </conditionalFormatting>
  <conditionalFormatting sqref="BC65:BE272">
    <cfRule type="expression" dxfId="32" priority="3">
      <formula>IF(ROW(A65)-12&lt;=$A$6,TRUE,FALSE)</formula>
    </cfRule>
  </conditionalFormatting>
  <conditionalFormatting sqref="D65:BB272">
    <cfRule type="expression" dxfId="31" priority="8">
      <formula>IF(ROW(A65)-12&lt;=$A$6,TRUE,FALSE)</formula>
    </cfRule>
  </conditionalFormatting>
  <conditionalFormatting sqref="C65:C272">
    <cfRule type="expression" dxfId="30" priority="2">
      <formula>IF(ROW(XFD65)-12&lt;=$A$6,TRUE,FALSE)</formula>
    </cfRule>
  </conditionalFormatting>
  <dataValidations count="2">
    <dataValidation type="date" allowBlank="1" showInputMessage="1" showErrorMessage="1" sqref="C6" xr:uid="{00000000-0002-0000-0500-000000000000}">
      <formula1>36526</formula1>
      <formula2>TODAY()</formula2>
    </dataValidation>
    <dataValidation type="decimal" allowBlank="1" showInputMessage="1" showErrorMessage="1" sqref="F11 K11 P11 U11 Z11 AE11 AO11 AT11 AY11" xr:uid="{00000000-0002-0000-0500-000001000000}">
      <formula1>0</formula1>
      <formula2>9999</formula2>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2000000}">
          <x14:formula1>
            <xm:f>'Control sheet (hide)'!$C$2:$C$3</xm:f>
          </x14:formula1>
          <xm:sqref>BE13:BE272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DJ264"/>
  <sheetViews>
    <sheetView topLeftCell="AX1" workbookViewId="0">
      <selection activeCell="BM6" sqref="BM6"/>
    </sheetView>
  </sheetViews>
  <sheetFormatPr defaultRowHeight="14.25" x14ac:dyDescent="0.2"/>
  <cols>
    <col min="1" max="11" width="11.25" customWidth="1"/>
    <col min="14" max="18" width="9.375" bestFit="1" customWidth="1"/>
    <col min="19" max="19" width="9" customWidth="1"/>
    <col min="20" max="24" width="9.375" bestFit="1" customWidth="1"/>
    <col min="38" max="38" width="16.625" customWidth="1"/>
    <col min="39" max="39" width="10.25" bestFit="1" customWidth="1"/>
    <col min="40" max="41" width="10.25" customWidth="1"/>
    <col min="42" max="42" width="10.25" style="37" customWidth="1"/>
    <col min="43" max="45" width="10.25" customWidth="1"/>
    <col min="46" max="46" width="12.375" bestFit="1" customWidth="1"/>
    <col min="103" max="103" width="10.125" customWidth="1"/>
  </cols>
  <sheetData>
    <row r="1" spans="1:114" x14ac:dyDescent="0.2">
      <c r="B1" t="s">
        <v>63</v>
      </c>
      <c r="M1" t="s">
        <v>66</v>
      </c>
      <c r="N1" t="str">
        <f>"Modifier: "&amp;Setup!$I$17</f>
        <v>Modifier: Minutes</v>
      </c>
      <c r="Z1" t="s">
        <v>67</v>
      </c>
      <c r="AL1" t="s">
        <v>287</v>
      </c>
      <c r="AP1" s="37" t="s">
        <v>131</v>
      </c>
      <c r="BQ1" t="s">
        <v>435</v>
      </c>
      <c r="CV1" t="s">
        <v>217</v>
      </c>
      <c r="CW1" t="s">
        <v>218</v>
      </c>
    </row>
    <row r="2" spans="1:114" x14ac:dyDescent="0.2">
      <c r="N2">
        <f ca="1">IF(Setup!$I$17="Patients",1,OFFSET(Demand!$F$11,0,(COLUMN(A1)-1)*5,1,1))</f>
        <v>30</v>
      </c>
      <c r="O2">
        <f ca="1">IF(Setup!$I$17="Patients",1,OFFSET(Demand!$F$11,0,(COLUMN(B1)-1)*5,1,1))</f>
        <v>40</v>
      </c>
      <c r="P2">
        <f ca="1">IF(Setup!$I$17="Patients",1,OFFSET(Demand!$F$11,0,(COLUMN(C1)-1)*5,1,1))</f>
        <v>1</v>
      </c>
      <c r="Q2">
        <f ca="1">IF(Setup!$I$17="Patients",1,OFFSET(Demand!$F$11,0,(COLUMN(D1)-1)*5,1,1))</f>
        <v>1</v>
      </c>
      <c r="R2">
        <f ca="1">IF(Setup!$I$17="Patients",1,OFFSET(Demand!$F$11,0,(COLUMN(E1)-1)*5,1,1))</f>
        <v>1</v>
      </c>
      <c r="S2">
        <f ca="1">IF(Setup!$I$17="Patients",1,OFFSET(Demand!$F$11,0,(COLUMN(F1)-1)*5,1,1))</f>
        <v>1</v>
      </c>
      <c r="T2">
        <f ca="1">IF(Setup!$I$17="Patients",1,OFFSET(Demand!$F$11,0,(COLUMN(G1)-1)*5,1,1))</f>
        <v>1</v>
      </c>
      <c r="U2">
        <f ca="1">IF(Setup!$I$17="Patients",1,OFFSET(Demand!$F$11,0,(COLUMN(H1)-1)*5,1,1))</f>
        <v>1</v>
      </c>
      <c r="V2">
        <f ca="1">IF(Setup!$I$17="Patients",1,OFFSET(Demand!$F$11,0,(COLUMN(I1)-1)*5,1,1))</f>
        <v>1</v>
      </c>
      <c r="W2">
        <f ca="1">IF(Setup!$I$17="Patients",1,OFFSET(Demand!$F$11,0,(COLUMN(J1)-1)*5,1,1))</f>
        <v>1</v>
      </c>
      <c r="AW2" t="s">
        <v>285</v>
      </c>
      <c r="AX2" t="s">
        <v>62</v>
      </c>
      <c r="BQ2" t="str">
        <f>"Mod "&amp;QUOTIENT(COLUMN(BQ2)-69,3)+1</f>
        <v>Mod 1</v>
      </c>
      <c r="BT2" t="str">
        <f>"Mod "&amp;QUOTIENT(COLUMN(BT2)-69,3)+1</f>
        <v>Mod 2</v>
      </c>
      <c r="BW2" t="str">
        <f>"Mod "&amp;QUOTIENT(COLUMN(BW2)-69,3)+1</f>
        <v>Mod 3</v>
      </c>
      <c r="BZ2" t="str">
        <f>"Mod "&amp;QUOTIENT(COLUMN(BZ2)-69,3)+1</f>
        <v>Mod 4</v>
      </c>
      <c r="CC2" t="str">
        <f>"Mod "&amp;QUOTIENT(COLUMN(CC2)-69,3)+1</f>
        <v>Mod 5</v>
      </c>
      <c r="CF2" t="str">
        <f>"Mod "&amp;QUOTIENT(COLUMN(CF2)-69,3)+1</f>
        <v>Mod 6</v>
      </c>
      <c r="CI2" t="str">
        <f>"Mod "&amp;QUOTIENT(COLUMN(CI2)-69,3)+1</f>
        <v>Mod 7</v>
      </c>
      <c r="CL2" t="str">
        <f>"Mod "&amp;QUOTIENT(COLUMN(CL2)-69,3)+1</f>
        <v>Mod 8</v>
      </c>
      <c r="CO2" t="str">
        <f>"Mod "&amp;QUOTIENT(COLUMN(CO2)-69,3)+1</f>
        <v>Mod 9</v>
      </c>
      <c r="CR2" t="str">
        <f>"Mod "&amp;QUOTIENT(COLUMN(CR2)-69,3)+1</f>
        <v>Mod 10</v>
      </c>
      <c r="DI2" t="s">
        <v>228</v>
      </c>
    </row>
    <row r="3" spans="1:114" x14ac:dyDescent="0.2">
      <c r="A3" t="s">
        <v>64</v>
      </c>
      <c r="B3" t="str">
        <f ca="1">OFFSET('Control sheet (hide)'!$AA$3,COLUMN(A1)-1,0,1,1)</f>
        <v>Test name 1</v>
      </c>
      <c r="C3" t="str">
        <f ca="1">OFFSET('Control sheet (hide)'!$AA$3,COLUMN(B1)-1,0,1,1)</f>
        <v>Test name 2</v>
      </c>
      <c r="D3" t="str">
        <f ca="1">OFFSET('Control sheet (hide)'!$AA$3,COLUMN(C1)-1,0,1,1)</f>
        <v>Another modality</v>
      </c>
      <c r="E3" t="str">
        <f ca="1">OFFSET('Control sheet (hide)'!$AA$3,COLUMN(D1)-1,0,1,1)</f>
        <v>Modality 4</v>
      </c>
      <c r="F3" t="str">
        <f ca="1">OFFSET('Control sheet (hide)'!$AA$3,COLUMN(E1)-1,0,1,1)</f>
        <v>Modality 5</v>
      </c>
      <c r="G3" t="str">
        <f ca="1">OFFSET('Control sheet (hide)'!$AA$3,COLUMN(F1)-1,0,1,1)</f>
        <v>Modality 6</v>
      </c>
      <c r="H3" t="str">
        <f ca="1">OFFSET('Control sheet (hide)'!$AA$3,COLUMN(G1)-1,0,1,1)</f>
        <v>Modality 7</v>
      </c>
      <c r="I3" t="str">
        <f ca="1">OFFSET('Control sheet (hide)'!$AA$3,COLUMN(H1)-1,0,1,1)</f>
        <v>Modality 8</v>
      </c>
      <c r="J3" t="str">
        <f ca="1">OFFSET('Control sheet (hide)'!$AA$3,COLUMN(I1)-1,0,1,1)</f>
        <v>Modality 9</v>
      </c>
      <c r="K3" t="str">
        <f ca="1">OFFSET('Control sheet (hide)'!$AA$3,COLUMN(J1)-1,0,1,1)</f>
        <v>Modality 10</v>
      </c>
      <c r="N3" t="str">
        <f t="shared" ref="N3:W3" ca="1" si="0">B3</f>
        <v>Test name 1</v>
      </c>
      <c r="O3" t="str">
        <f t="shared" ca="1" si="0"/>
        <v>Test name 2</v>
      </c>
      <c r="P3" t="str">
        <f t="shared" ca="1" si="0"/>
        <v>Another modality</v>
      </c>
      <c r="Q3" t="str">
        <f t="shared" ca="1" si="0"/>
        <v>Modality 4</v>
      </c>
      <c r="R3" t="str">
        <f t="shared" ca="1" si="0"/>
        <v>Modality 5</v>
      </c>
      <c r="S3" t="str">
        <f t="shared" ca="1" si="0"/>
        <v>Modality 6</v>
      </c>
      <c r="T3" t="str">
        <f t="shared" ca="1" si="0"/>
        <v>Modality 7</v>
      </c>
      <c r="U3" t="str">
        <f t="shared" ca="1" si="0"/>
        <v>Modality 8</v>
      </c>
      <c r="V3" t="str">
        <f t="shared" ca="1" si="0"/>
        <v>Modality 9</v>
      </c>
      <c r="W3" t="str">
        <f t="shared" ca="1" si="0"/>
        <v>Modality 10</v>
      </c>
      <c r="X3" t="s">
        <v>69</v>
      </c>
      <c r="Y3" t="s">
        <v>183</v>
      </c>
      <c r="Z3" t="str">
        <f ca="1">N3</f>
        <v>Test name 1</v>
      </c>
      <c r="AA3" t="str">
        <f t="shared" ref="AA3:AI3" ca="1" si="1">O3</f>
        <v>Test name 2</v>
      </c>
      <c r="AB3" t="str">
        <f t="shared" ca="1" si="1"/>
        <v>Another modality</v>
      </c>
      <c r="AC3" t="str">
        <f t="shared" ca="1" si="1"/>
        <v>Modality 4</v>
      </c>
      <c r="AD3" t="str">
        <f t="shared" ca="1" si="1"/>
        <v>Modality 5</v>
      </c>
      <c r="AE3" t="str">
        <f t="shared" ca="1" si="1"/>
        <v>Modality 6</v>
      </c>
      <c r="AF3" t="str">
        <f t="shared" ca="1" si="1"/>
        <v>Modality 7</v>
      </c>
      <c r="AG3" t="str">
        <f t="shared" ca="1" si="1"/>
        <v>Modality 8</v>
      </c>
      <c r="AH3" t="str">
        <f t="shared" ca="1" si="1"/>
        <v>Modality 9</v>
      </c>
      <c r="AI3" t="str">
        <f t="shared" ca="1" si="1"/>
        <v>Modality 10</v>
      </c>
      <c r="AJ3" t="s">
        <v>288</v>
      </c>
      <c r="AL3" t="s">
        <v>186</v>
      </c>
      <c r="AM3" t="s">
        <v>62</v>
      </c>
      <c r="AN3" t="s">
        <v>112</v>
      </c>
      <c r="AP3" s="37" t="s">
        <v>130</v>
      </c>
      <c r="AQ3" s="37" t="s">
        <v>132</v>
      </c>
      <c r="AT3" t="s">
        <v>76</v>
      </c>
      <c r="AV3" t="s">
        <v>70</v>
      </c>
      <c r="AW3" s="45">
        <f ca="1">AVERAGE(OFFSET(AL$4,'SPC background (hide)'!$C$4-1,0,'SPC background (hide)'!$H$5,1))</f>
        <v>495</v>
      </c>
      <c r="AX3" s="5">
        <f ca="1">AVERAGE(OFFSET(AM$4,'SPC background (hide)'!$C$4-1,0,'SPC background (hide)'!$H$5,1))</f>
        <v>0</v>
      </c>
      <c r="BB3" t="s">
        <v>206</v>
      </c>
      <c r="BQ3" t="s">
        <v>202</v>
      </c>
      <c r="BR3" t="s">
        <v>203</v>
      </c>
      <c r="BS3" t="s">
        <v>204</v>
      </c>
      <c r="BT3" t="s">
        <v>202</v>
      </c>
      <c r="BU3" t="s">
        <v>203</v>
      </c>
      <c r="BV3" t="s">
        <v>204</v>
      </c>
      <c r="BW3" t="s">
        <v>202</v>
      </c>
      <c r="BX3" t="s">
        <v>203</v>
      </c>
      <c r="BY3" t="s">
        <v>204</v>
      </c>
      <c r="BZ3" t="s">
        <v>202</v>
      </c>
      <c r="CA3" t="s">
        <v>203</v>
      </c>
      <c r="CB3" t="s">
        <v>204</v>
      </c>
      <c r="CC3" t="s">
        <v>202</v>
      </c>
      <c r="CD3" t="s">
        <v>203</v>
      </c>
      <c r="CE3" t="s">
        <v>204</v>
      </c>
      <c r="CF3" t="s">
        <v>202</v>
      </c>
      <c r="CG3" t="s">
        <v>203</v>
      </c>
      <c r="CH3" t="s">
        <v>204</v>
      </c>
      <c r="CI3" t="s">
        <v>202</v>
      </c>
      <c r="CJ3" t="s">
        <v>203</v>
      </c>
      <c r="CK3" t="s">
        <v>204</v>
      </c>
      <c r="CL3" t="s">
        <v>202</v>
      </c>
      <c r="CM3" t="s">
        <v>203</v>
      </c>
      <c r="CN3" t="s">
        <v>204</v>
      </c>
      <c r="CO3" t="s">
        <v>202</v>
      </c>
      <c r="CP3" t="s">
        <v>203</v>
      </c>
      <c r="CQ3" t="s">
        <v>204</v>
      </c>
      <c r="CR3" t="s">
        <v>202</v>
      </c>
      <c r="CS3" t="s">
        <v>203</v>
      </c>
      <c r="CT3" t="s">
        <v>204</v>
      </c>
      <c r="CW3" t="str">
        <f ca="1">B3</f>
        <v>Test name 1</v>
      </c>
      <c r="CX3" t="str">
        <f t="shared" ref="CX3:DF3" ca="1" si="2">C3</f>
        <v>Test name 2</v>
      </c>
      <c r="CY3" t="str">
        <f t="shared" ca="1" si="2"/>
        <v>Another modality</v>
      </c>
      <c r="CZ3" t="str">
        <f t="shared" ca="1" si="2"/>
        <v>Modality 4</v>
      </c>
      <c r="DA3" t="str">
        <f t="shared" ca="1" si="2"/>
        <v>Modality 5</v>
      </c>
      <c r="DB3" t="str">
        <f t="shared" ca="1" si="2"/>
        <v>Modality 6</v>
      </c>
      <c r="DC3" t="str">
        <f t="shared" ca="1" si="2"/>
        <v>Modality 7</v>
      </c>
      <c r="DD3" t="str">
        <f t="shared" ca="1" si="2"/>
        <v>Modality 8</v>
      </c>
      <c r="DE3" t="str">
        <f t="shared" ca="1" si="2"/>
        <v>Modality 9</v>
      </c>
      <c r="DF3" t="str">
        <f t="shared" ca="1" si="2"/>
        <v>Modality 10</v>
      </c>
      <c r="DG3" t="s">
        <v>58</v>
      </c>
      <c r="DI3" t="s">
        <v>229</v>
      </c>
      <c r="DJ3">
        <f ca="1">AVERAGE(OFFSET('Demand background (hide)'!$DG$4,'SPC background (hide)'!$C$4-1,0,'SPC background (hide)'!$H$5,1))</f>
        <v>0</v>
      </c>
    </row>
    <row r="4" spans="1:114" s="5" customFormat="1" x14ac:dyDescent="0.2">
      <c r="A4" s="5">
        <f t="shared" ref="A4:A35" ca="1" si="3">SUM(OFFSET(B4,0,0,1,Num_Modalities))</f>
        <v>0</v>
      </c>
      <c r="B4" s="5">
        <f ca="1">COUNTBLANK(OFFSET(Demand!$I13,0,(COLUMN(A1)-1)*5,1,1))</f>
        <v>0</v>
      </c>
      <c r="C4" s="5">
        <f ca="1">COUNTBLANK(OFFSET(Demand!$I13,0,(COLUMN(B1)-1)*5,1,1))</f>
        <v>0</v>
      </c>
      <c r="D4" s="5">
        <f ca="1">COUNTBLANK(OFFSET(Demand!$I13,0,(COLUMN(C1)-1)*5,1,1))</f>
        <v>1</v>
      </c>
      <c r="E4" s="5">
        <f ca="1">COUNTBLANK(OFFSET(Demand!$I13,0,(COLUMN(D1)-1)*5,1,1))</f>
        <v>1</v>
      </c>
      <c r="F4" s="5">
        <f ca="1">COUNTBLANK(OFFSET(Demand!$I13,0,(COLUMN(E1)-1)*5,1,1))</f>
        <v>1</v>
      </c>
      <c r="G4" s="5">
        <f ca="1">COUNTBLANK(OFFSET(Demand!$I13,0,(COLUMN(F1)-1)*5,1,1))</f>
        <v>1</v>
      </c>
      <c r="H4" s="5">
        <f ca="1">COUNTBLANK(OFFSET(Demand!$I13,0,(COLUMN(G1)-1)*5,1,1))</f>
        <v>1</v>
      </c>
      <c r="I4" s="5">
        <f ca="1">COUNTBLANK(OFFSET(Demand!$I13,0,(COLUMN(H1)-1)*5,1,1))</f>
        <v>1</v>
      </c>
      <c r="J4" s="5">
        <f ca="1">COUNTBLANK(OFFSET(Demand!$I13,0,(COLUMN(I1)-1)*5,1,1))</f>
        <v>1</v>
      </c>
      <c r="K4" s="5">
        <f ca="1">COUNTBLANK(OFFSET(Demand!$I13,0,(COLUMN(J1)-1)*5,1,1))</f>
        <v>1</v>
      </c>
      <c r="N4" s="5">
        <f ca="1">SUM(OFFSET(Demand!$E13,0,(COLUMN(A1)-1)*5,1,3))*N$2</f>
        <v>30</v>
      </c>
      <c r="O4" s="5">
        <f ca="1">SUM(OFFSET(Demand!$E13,0,(COLUMN(B1)-1)*5,1,3))*O$2</f>
        <v>360</v>
      </c>
      <c r="P4" s="5">
        <f ca="1">SUM(OFFSET(Demand!$E13,0,(COLUMN(C1)-1)*5,1,3))*P$2</f>
        <v>0</v>
      </c>
      <c r="Q4" s="5">
        <f ca="1">SUM(OFFSET(Demand!$E13,0,(COLUMN(D1)-1)*5,1,3))*Q$2</f>
        <v>0</v>
      </c>
      <c r="R4" s="5">
        <f ca="1">SUM(OFFSET(Demand!$E13,0,(COLUMN(E1)-1)*5,1,3))*R$2</f>
        <v>0</v>
      </c>
      <c r="S4" s="5">
        <f ca="1">SUM(OFFSET(Demand!$E13,0,(COLUMN(F1)-1)*5,1,3))*S$2</f>
        <v>0</v>
      </c>
      <c r="T4" s="5">
        <f ca="1">SUM(OFFSET(Demand!$E13,0,(COLUMN(G1)-1)*5,1,3))*T$2</f>
        <v>0</v>
      </c>
      <c r="U4" s="5">
        <f ca="1">SUM(OFFSET(Demand!$E13,0,(COLUMN(H1)-1)*5,1,3))*U$2</f>
        <v>0</v>
      </c>
      <c r="V4" s="5">
        <f ca="1">SUM(OFFSET(Demand!$E13,0,(COLUMN(I1)-1)*5,1,3))*V$2</f>
        <v>0</v>
      </c>
      <c r="W4" s="5">
        <f ca="1">SUM(OFFSET(Demand!$E13,0,(COLUMN(J1)-1)*5,1,3))*W$2</f>
        <v>0</v>
      </c>
      <c r="X4" s="5">
        <f t="shared" ref="X4:X67" ca="1" si="4">IF(AN4="",SUM(OFFSET(N4,0,0,1,Num_Modalities)),"")</f>
        <v>390</v>
      </c>
      <c r="Y4" s="5">
        <f t="shared" ref="Y4:Y67" ca="1" si="5">SUM(OFFSET(N4,0,0,1,Num_Modalities))</f>
        <v>390</v>
      </c>
      <c r="Z4" s="5">
        <f ca="1">SUM(OFFSET(Demand!$H13,0,(COLUMN(A1)-1)*5,1,1))*N$2</f>
        <v>0</v>
      </c>
      <c r="AA4" s="5">
        <f ca="1">SUM(OFFSET(Demand!$H13,0,(COLUMN(B1)-1)*5,1,1))*O$2</f>
        <v>0</v>
      </c>
      <c r="AB4" s="5">
        <f ca="1">SUM(OFFSET(Demand!$H13,0,(COLUMN(C1)-1)*5,1,1))*P$2</f>
        <v>0</v>
      </c>
      <c r="AC4" s="5">
        <f ca="1">SUM(OFFSET(Demand!$H13,0,(COLUMN(D1)-1)*5,1,1))*Q$2</f>
        <v>0</v>
      </c>
      <c r="AD4" s="5">
        <f ca="1">SUM(OFFSET(Demand!$H13,0,(COLUMN(E1)-1)*5,1,1))*R$2</f>
        <v>0</v>
      </c>
      <c r="AE4" s="5">
        <f ca="1">SUM(OFFSET(Demand!$H13,0,(COLUMN(F1)-1)*5,1,1))*S$2</f>
        <v>0</v>
      </c>
      <c r="AF4" s="5">
        <f ca="1">SUM(OFFSET(Demand!$H13,0,(COLUMN(G1)-1)*5,1,1))*T$2</f>
        <v>0</v>
      </c>
      <c r="AG4" s="5">
        <f ca="1">SUM(OFFSET(Demand!$H13,0,(COLUMN(H1)-1)*5,1,1))*U$2</f>
        <v>0</v>
      </c>
      <c r="AH4" s="5">
        <f ca="1">SUM(OFFSET(Demand!$H13,0,(COLUMN(I1)-1)*5,1,1))*V$2</f>
        <v>0</v>
      </c>
      <c r="AI4" s="5">
        <f ca="1">SUM(OFFSET(Demand!$H13,0,(COLUMN(J1)-1)*5,1,1))*W$2</f>
        <v>0</v>
      </c>
      <c r="AJ4" s="5">
        <f t="shared" ref="AJ4:AJ67" ca="1" si="6">SUM(OFFSET(Z4,0,0,1,Num_Modalities))</f>
        <v>0</v>
      </c>
      <c r="AL4" s="5">
        <f ca="1">X4</f>
        <v>390</v>
      </c>
      <c r="AM4" s="5">
        <f ca="1">IF(AN4&lt;&gt;"","",AJ4)</f>
        <v>0</v>
      </c>
      <c r="AN4" s="5" t="str">
        <f>IF(Demand!BE13="Yes","Yes","")</f>
        <v/>
      </c>
      <c r="AP4" s="37">
        <f>Demand!B13</f>
        <v>2016</v>
      </c>
      <c r="AQ4" s="5" t="str">
        <f>TEXT(Demand!D13,"MMM")</f>
        <v>Apr</v>
      </c>
      <c r="AV4" s="5" t="s">
        <v>73</v>
      </c>
      <c r="AW4" s="45">
        <f ca="1">AVERAGE(OFFSET($AT$4,'SPC background (hide)'!$C$4-1,0,'SPC background (hide)'!$H$5,1))</f>
        <v>159.80769230769232</v>
      </c>
      <c r="BB4"/>
      <c r="BC4"/>
      <c r="BD4"/>
      <c r="BE4"/>
      <c r="BF4" t="s">
        <v>201</v>
      </c>
      <c r="BG4"/>
      <c r="BH4"/>
      <c r="BI4"/>
      <c r="BJ4"/>
      <c r="BK4"/>
      <c r="BL4"/>
      <c r="BM4"/>
      <c r="BP4"/>
      <c r="BQ4">
        <f ca="1">IF($AN4="",OFFSET(Demand!$A$13,ROW(A1)-1,4+((QUOTIENT(COLUMN(BQ$2)-69,3))*5)+MOD(COLUMN(BQ$2),3),1,1),"")</f>
        <v>0</v>
      </c>
      <c r="BR4">
        <f ca="1">IF($AN4="",OFFSET(Demand!$A$13,ROW(B1)-1,4+((QUOTIENT(COLUMN(BR$2)-69,3))*5)+MOD(COLUMN(BR$2),3),1,1),"")</f>
        <v>1</v>
      </c>
      <c r="BS4">
        <f ca="1">IF($AN4="",OFFSET(Demand!$A$13,ROW(C1)-1,4+((QUOTIENT(COLUMN(BS$2)-69,3))*5)+MOD(COLUMN(BS$2),3),1,1),"")</f>
        <v>0</v>
      </c>
      <c r="BT4">
        <f ca="1">IF($AN4="",OFFSET(Demand!$A$13,ROW(D1)-1,4+((QUOTIENT(COLUMN(BT$2)-69,3))*5)+MOD(COLUMN(BT$2),3),1,1),"")</f>
        <v>0</v>
      </c>
      <c r="BU4">
        <f ca="1">IF($AN4="",OFFSET(Demand!$A$13,ROW(E1)-1,4+((QUOTIENT(COLUMN(BU$2)-69,3))*5)+MOD(COLUMN(BU$2),3),1,1),"")</f>
        <v>2</v>
      </c>
      <c r="BV4">
        <f ca="1">IF($AN4="",OFFSET(Demand!$A$13,ROW(F1)-1,4+((QUOTIENT(COLUMN(BV$2)-69,3))*5)+MOD(COLUMN(BV$2),3),1,1),"")</f>
        <v>7</v>
      </c>
      <c r="BW4">
        <f ca="1">IF($AN4="",OFFSET(Demand!$A$13,ROW(G1)-1,4+((QUOTIENT(COLUMN(BW$2)-69,3))*5)+MOD(COLUMN(BW$2),3),1,1),"")</f>
        <v>0</v>
      </c>
      <c r="BX4">
        <f ca="1">IF($AN4="",OFFSET(Demand!$A$13,ROW(H1)-1,4+((QUOTIENT(COLUMN(BX$2)-69,3))*5)+MOD(COLUMN(BX$2),3),1,1),"")</f>
        <v>0</v>
      </c>
      <c r="BY4">
        <f ca="1">IF($AN4="",OFFSET(Demand!$A$13,ROW(I1)-1,4+((QUOTIENT(COLUMN(BY$2)-69,3))*5)+MOD(COLUMN(BY$2),3),1,1),"")</f>
        <v>0</v>
      </c>
      <c r="BZ4">
        <f ca="1">IF($AN4="",OFFSET(Demand!$A$13,ROW(J1)-1,4+((QUOTIENT(COLUMN(BZ$2)-69,3))*5)+MOD(COLUMN(BZ$2),3),1,1),"")</f>
        <v>0</v>
      </c>
      <c r="CA4">
        <f ca="1">IF($AN4="",OFFSET(Demand!$A$13,ROW(K1)-1,4+((QUOTIENT(COLUMN(CA$2)-69,3))*5)+MOD(COLUMN(CA$2),3),1,1),"")</f>
        <v>0</v>
      </c>
      <c r="CB4">
        <f ca="1">IF($AN4="",OFFSET(Demand!$A$13,ROW(L1)-1,4+((QUOTIENT(COLUMN(CB$2)-69,3))*5)+MOD(COLUMN(CB$2),3),1,1),"")</f>
        <v>0</v>
      </c>
      <c r="CC4">
        <f ca="1">IF($AN4="",OFFSET(Demand!$A$13,ROW(M1)-1,4+((QUOTIENT(COLUMN(CC$2)-69,3))*5)+MOD(COLUMN(CC$2),3),1,1),"")</f>
        <v>0</v>
      </c>
      <c r="CD4">
        <f ca="1">IF($AN4="",OFFSET(Demand!$A$13,ROW(N1)-1,4+((QUOTIENT(COLUMN(CD$2)-69,3))*5)+MOD(COLUMN(CD$2),3),1,1),"")</f>
        <v>0</v>
      </c>
      <c r="CE4">
        <f ca="1">IF($AN4="",OFFSET(Demand!$A$13,ROW(O1)-1,4+((QUOTIENT(COLUMN(CE$2)-69,3))*5)+MOD(COLUMN(CE$2),3),1,1),"")</f>
        <v>0</v>
      </c>
      <c r="CF4">
        <f ca="1">IF($AN4="",OFFSET(Demand!$A$13,ROW(P1)-1,4+((QUOTIENT(COLUMN(CF$2)-69,3))*5)+MOD(COLUMN(CF$2),3),1,1),"")</f>
        <v>0</v>
      </c>
      <c r="CG4">
        <f ca="1">IF($AN4="",OFFSET(Demand!$A$13,ROW(Q1)-1,4+((QUOTIENT(COLUMN(CG$2)-69,3))*5)+MOD(COLUMN(CG$2),3),1,1),"")</f>
        <v>0</v>
      </c>
      <c r="CH4">
        <f ca="1">IF($AN4="",OFFSET(Demand!$A$13,ROW(R1)-1,4+((QUOTIENT(COLUMN(CH$2)-69,3))*5)+MOD(COLUMN(CH$2),3),1,1),"")</f>
        <v>0</v>
      </c>
      <c r="CI4">
        <f ca="1">IF($AN4="",OFFSET(Demand!$A$13,ROW(S1)-1,4+((QUOTIENT(COLUMN(CI$2)-69,3))*5)+MOD(COLUMN(CI$2),3),1,1),"")</f>
        <v>0</v>
      </c>
      <c r="CJ4">
        <f ca="1">IF($AN4="",OFFSET(Demand!$A$13,ROW(T1)-1,4+((QUOTIENT(COLUMN(CJ$2)-69,3))*5)+MOD(COLUMN(CJ$2),3),1,1),"")</f>
        <v>0</v>
      </c>
      <c r="CK4">
        <f ca="1">IF($AN4="",OFFSET(Demand!$A$13,ROW(U1)-1,4+((QUOTIENT(COLUMN(CK$2)-69,3))*5)+MOD(COLUMN(CK$2),3),1,1),"")</f>
        <v>0</v>
      </c>
      <c r="CL4">
        <f ca="1">IF($AN4="",OFFSET(Demand!$A$13,ROW(V1)-1,4+((QUOTIENT(COLUMN(CL$2)-69,3))*5)+MOD(COLUMN(CL$2),3),1,1),"")</f>
        <v>0</v>
      </c>
      <c r="CM4">
        <f ca="1">IF($AN4="",OFFSET(Demand!$A$13,ROW(W1)-1,4+((QUOTIENT(COLUMN(CM$2)-69,3))*5)+MOD(COLUMN(CM$2),3),1,1),"")</f>
        <v>0</v>
      </c>
      <c r="CN4">
        <f ca="1">IF($AN4="",OFFSET(Demand!$A$13,ROW(X1)-1,4+((QUOTIENT(COLUMN(CN$2)-69,3))*5)+MOD(COLUMN(CN$2),3),1,1),"")</f>
        <v>0</v>
      </c>
      <c r="CO4">
        <f ca="1">IF($AN4="",OFFSET(Demand!$A$13,ROW(Y1)-1,4+((QUOTIENT(COLUMN(CO$2)-69,3))*5)+MOD(COLUMN(CO$2),3),1,1),"")</f>
        <v>0</v>
      </c>
      <c r="CP4">
        <f ca="1">IF($AN4="",OFFSET(Demand!$A$13,ROW(Z1)-1,4+((QUOTIENT(COLUMN(CP$2)-69,3))*5)+MOD(COLUMN(CP$2),3),1,1),"")</f>
        <v>0</v>
      </c>
      <c r="CQ4">
        <f ca="1">IF($AN4="",OFFSET(Demand!$A$13,ROW(AA1)-1,4+((QUOTIENT(COLUMN(CQ$2)-69,3))*5)+MOD(COLUMN(CQ$2),3),1,1),"")</f>
        <v>0</v>
      </c>
      <c r="CR4">
        <f ca="1">IF($AN4="",OFFSET(Demand!$A$13,ROW(AB1)-1,4+((QUOTIENT(COLUMN(CR$2)-69,3))*5)+MOD(COLUMN(CR$2),3),1,1),"")</f>
        <v>0</v>
      </c>
      <c r="CS4">
        <f ca="1">IF($AN4="",OFFSET(Demand!$A$13,ROW(AC1)-1,4+((QUOTIENT(COLUMN(CS$2)-69,3))*5)+MOD(COLUMN(CS$2),3),1,1),"")</f>
        <v>0</v>
      </c>
      <c r="CT4">
        <f ca="1">IF($AN4="",OFFSET(Demand!$A$13,ROW(AD1)-1,4+((QUOTIENT(COLUMN(CT$2)-69,3))*5)+MOD(COLUMN(CT$2),3),1,1),"")</f>
        <v>0</v>
      </c>
      <c r="CW4" s="5">
        <f ca="1">SUM(OFFSET(Demand!$H$43,ROW(A1)-1,(COLUMN(A1)-1)*5,1,1))*N$2</f>
        <v>0</v>
      </c>
      <c r="CX4" s="5">
        <f ca="1">SUM(OFFSET(Demand!$H$43,ROW(B1)-1,(COLUMN(B1)-1)*5,1,1))*O$2</f>
        <v>0</v>
      </c>
      <c r="CY4" s="5">
        <f ca="1">SUM(OFFSET(Demand!$H$43,ROW(C1)-1,(COLUMN(C1)-1)*5,1,1))*P$2</f>
        <v>0</v>
      </c>
      <c r="CZ4" s="5">
        <f ca="1">SUM(OFFSET(Demand!$H$43,ROW(D1)-1,(COLUMN(D1)-1)*5,1,1))*Q$2</f>
        <v>0</v>
      </c>
      <c r="DA4" s="5">
        <f ca="1">SUM(OFFSET(Demand!$H$43,ROW(E1)-1,(COLUMN(E1)-1)*5,1,1))*R$2</f>
        <v>0</v>
      </c>
      <c r="DB4" s="5">
        <f ca="1">SUM(OFFSET(Demand!$H$43,ROW(F1)-1,(COLUMN(F1)-1)*5,1,1))*S$2</f>
        <v>0</v>
      </c>
      <c r="DC4" s="5">
        <f ca="1">SUM(OFFSET(Demand!$H$43,ROW(G1)-1,(COLUMN(G1)-1)*5,1,1))*T$2</f>
        <v>0</v>
      </c>
      <c r="DD4" s="5">
        <f ca="1">SUM(OFFSET(Demand!$H$43,ROW(H1)-1,(COLUMN(H1)-1)*5,1,1))*U$2</f>
        <v>0</v>
      </c>
      <c r="DE4" s="5">
        <f ca="1">SUM(OFFSET(Demand!$H$43,ROW(I1)-1,(COLUMN(I1)-1)*5,1,1))*V$2</f>
        <v>0</v>
      </c>
      <c r="DF4" s="5">
        <f ca="1">SUM(OFFSET(Demand!$H$43,ROW(J1)-1,(COLUMN(J1)-1)*5,1,1))*W$2</f>
        <v>0</v>
      </c>
      <c r="DG4" s="5">
        <f ca="1">IF(AN4="",SUM(CW4:DF4),"")</f>
        <v>0</v>
      </c>
      <c r="DI4" s="5" t="s">
        <v>230</v>
      </c>
      <c r="DJ4" s="5">
        <f ca="1">PERCENTILE((OFFSET('Demand background (hide)'!$DG$4,'SPC background (hide)'!$C$4-1,0,'SPC background (hide)'!$H$5,1)),'Control sheet (hide)'!$I$9)</f>
        <v>0</v>
      </c>
    </row>
    <row r="5" spans="1:114" s="5" customFormat="1" x14ac:dyDescent="0.2">
      <c r="A5" s="5">
        <f t="shared" ca="1" si="3"/>
        <v>0</v>
      </c>
      <c r="B5" s="5">
        <f ca="1">COUNTBLANK(OFFSET(Demand!$I14,0,(COLUMN(A2)-1)*5,1,1))</f>
        <v>0</v>
      </c>
      <c r="C5" s="5">
        <f ca="1">COUNTBLANK(OFFSET(Demand!$I14,0,(COLUMN(B2)-1)*5,1,1))</f>
        <v>0</v>
      </c>
      <c r="D5" s="5">
        <f ca="1">COUNTBLANK(OFFSET(Demand!$I14,0,(COLUMN(C2)-1)*5,1,1))</f>
        <v>1</v>
      </c>
      <c r="E5" s="5">
        <f ca="1">COUNTBLANK(OFFSET(Demand!$I14,0,(COLUMN(D2)-1)*5,1,1))</f>
        <v>1</v>
      </c>
      <c r="F5" s="5">
        <f ca="1">COUNTBLANK(OFFSET(Demand!$I14,0,(COLUMN(E2)-1)*5,1,1))</f>
        <v>1</v>
      </c>
      <c r="G5" s="5">
        <f ca="1">COUNTBLANK(OFFSET(Demand!$I14,0,(COLUMN(F2)-1)*5,1,1))</f>
        <v>1</v>
      </c>
      <c r="H5" s="5">
        <f ca="1">COUNTBLANK(OFFSET(Demand!$I14,0,(COLUMN(G2)-1)*5,1,1))</f>
        <v>1</v>
      </c>
      <c r="I5" s="5">
        <f ca="1">COUNTBLANK(OFFSET(Demand!$I14,0,(COLUMN(H2)-1)*5,1,1))</f>
        <v>1</v>
      </c>
      <c r="J5" s="5">
        <f ca="1">COUNTBLANK(OFFSET(Demand!$I14,0,(COLUMN(I2)-1)*5,1,1))</f>
        <v>1</v>
      </c>
      <c r="K5" s="5">
        <f ca="1">COUNTBLANK(OFFSET(Demand!$I14,0,(COLUMN(J2)-1)*5,1,1))</f>
        <v>1</v>
      </c>
      <c r="N5" s="5">
        <f ca="1">SUM(OFFSET(Demand!$E14,0,(COLUMN(A2)-1)*5,1,3))*N$2</f>
        <v>210</v>
      </c>
      <c r="O5" s="5">
        <f ca="1">SUM(OFFSET(Demand!$E14,0,(COLUMN(B2)-1)*5,1,3))*O$2</f>
        <v>400</v>
      </c>
      <c r="P5" s="5">
        <f ca="1">SUM(OFFSET(Demand!$E14,0,(COLUMN(C2)-1)*5,1,3))*P$2</f>
        <v>0</v>
      </c>
      <c r="Q5" s="5">
        <f ca="1">SUM(OFFSET(Demand!$E14,0,(COLUMN(D2)-1)*5,1,3))*Q$2</f>
        <v>0</v>
      </c>
      <c r="R5" s="5">
        <f ca="1">SUM(OFFSET(Demand!$E14,0,(COLUMN(E2)-1)*5,1,3))*R$2</f>
        <v>0</v>
      </c>
      <c r="S5" s="5">
        <f ca="1">SUM(OFFSET(Demand!$E14,0,(COLUMN(F2)-1)*5,1,3))*S$2</f>
        <v>0</v>
      </c>
      <c r="T5" s="5">
        <f ca="1">SUM(OFFSET(Demand!$E14,0,(COLUMN(G2)-1)*5,1,3))*T$2</f>
        <v>0</v>
      </c>
      <c r="U5" s="5">
        <f ca="1">SUM(OFFSET(Demand!$E14,0,(COLUMN(H2)-1)*5,1,3))*U$2</f>
        <v>0</v>
      </c>
      <c r="V5" s="5">
        <f ca="1">SUM(OFFSET(Demand!$E14,0,(COLUMN(I2)-1)*5,1,3))*V$2</f>
        <v>0</v>
      </c>
      <c r="W5" s="5">
        <f ca="1">SUM(OFFSET(Demand!$E14,0,(COLUMN(J2)-1)*5,1,3))*W$2</f>
        <v>0</v>
      </c>
      <c r="X5" s="5">
        <f t="shared" ca="1" si="4"/>
        <v>610</v>
      </c>
      <c r="Y5" s="5">
        <f t="shared" ca="1" si="5"/>
        <v>610</v>
      </c>
      <c r="Z5" s="5">
        <f ca="1">SUM(OFFSET(Demand!$H14,0,(COLUMN(A2)-1)*5,1,1))*N$2</f>
        <v>0</v>
      </c>
      <c r="AA5" s="5">
        <f ca="1">SUM(OFFSET(Demand!$H14,0,(COLUMN(B2)-1)*5,1,1))*O$2</f>
        <v>0</v>
      </c>
      <c r="AB5" s="5">
        <f ca="1">SUM(OFFSET(Demand!$H14,0,(COLUMN(C2)-1)*5,1,1))*P$2</f>
        <v>0</v>
      </c>
      <c r="AC5" s="5">
        <f ca="1">SUM(OFFSET(Demand!$H14,0,(COLUMN(D2)-1)*5,1,1))*Q$2</f>
        <v>0</v>
      </c>
      <c r="AD5" s="5">
        <f ca="1">SUM(OFFSET(Demand!$H14,0,(COLUMN(E2)-1)*5,1,1))*R$2</f>
        <v>0</v>
      </c>
      <c r="AE5" s="5">
        <f ca="1">SUM(OFFSET(Demand!$H14,0,(COLUMN(F2)-1)*5,1,1))*S$2</f>
        <v>0</v>
      </c>
      <c r="AF5" s="5">
        <f ca="1">SUM(OFFSET(Demand!$H14,0,(COLUMN(G2)-1)*5,1,1))*T$2</f>
        <v>0</v>
      </c>
      <c r="AG5" s="5">
        <f ca="1">SUM(OFFSET(Demand!$H14,0,(COLUMN(H2)-1)*5,1,1))*U$2</f>
        <v>0</v>
      </c>
      <c r="AH5" s="5">
        <f ca="1">SUM(OFFSET(Demand!$H14,0,(COLUMN(I2)-1)*5,1,1))*V$2</f>
        <v>0</v>
      </c>
      <c r="AI5" s="5">
        <f ca="1">SUM(OFFSET(Demand!$H14,0,(COLUMN(J2)-1)*5,1,1))*W$2</f>
        <v>0</v>
      </c>
      <c r="AJ5" s="5">
        <f t="shared" ca="1" si="6"/>
        <v>0</v>
      </c>
      <c r="AL5" s="5">
        <f t="shared" ref="AL5:AL68" ca="1" si="7">X5</f>
        <v>610</v>
      </c>
      <c r="AM5" s="5">
        <f t="shared" ref="AM5:AM68" ca="1" si="8">IF(AN5&lt;&gt;"","",AJ5)</f>
        <v>0</v>
      </c>
      <c r="AN5" s="5" t="str">
        <f>IF(Demand!BE14="Yes","Yes","")</f>
        <v/>
      </c>
      <c r="AP5" s="37" t="str">
        <f ca="1">Demand!B14</f>
        <v xml:space="preserve"> </v>
      </c>
      <c r="AQ5" s="5" t="str">
        <f ca="1">IF(TEXT(Demand!D14,"MMM")&lt;&gt;TEXT(Demand!D13,"MMM"),TEXT(Demand!D14,"MMM"),"")</f>
        <v/>
      </c>
      <c r="AT5" s="5">
        <f ca="1">IF(OR(AL5="",AL4=""),"",ABS(AL5-AL4))</f>
        <v>220</v>
      </c>
      <c r="AV5" s="5" t="s">
        <v>72</v>
      </c>
      <c r="AW5" s="45">
        <f ca="1">AW4/1.128</f>
        <v>141.67348608837972</v>
      </c>
      <c r="BB5"/>
      <c r="BC5" t="s">
        <v>78</v>
      </c>
      <c r="BD5" t="s">
        <v>79</v>
      </c>
      <c r="BE5" t="s">
        <v>80</v>
      </c>
      <c r="BF5" t="s">
        <v>82</v>
      </c>
      <c r="BG5" t="s">
        <v>83</v>
      </c>
      <c r="BH5" t="s">
        <v>84</v>
      </c>
      <c r="BI5" t="s">
        <v>88</v>
      </c>
      <c r="BJ5" t="s">
        <v>85</v>
      </c>
      <c r="BK5" t="s">
        <v>86</v>
      </c>
      <c r="BL5" t="s">
        <v>87</v>
      </c>
      <c r="BM5" t="s">
        <v>205</v>
      </c>
      <c r="BN5" s="5" t="s">
        <v>214</v>
      </c>
      <c r="BO5" s="5" t="s">
        <v>215</v>
      </c>
      <c r="BQ5">
        <f ca="1">IF($AN5="",OFFSET(Demand!$A$13,ROW(A2)-1,4+((QUOTIENT(COLUMN(BQ$2)-69,3))*5)+MOD(COLUMN(BQ$2),3),1,1),"")</f>
        <v>0</v>
      </c>
      <c r="BR5">
        <f ca="1">IF($AN5="",OFFSET(Demand!$A$13,ROW(B2)-1,4+((QUOTIENT(COLUMN(BR$2)-69,3))*5)+MOD(COLUMN(BR$2),3),1,1),"")</f>
        <v>5</v>
      </c>
      <c r="BS5">
        <f ca="1">IF($AN5="",OFFSET(Demand!$A$13,ROW(C2)-1,4+((QUOTIENT(COLUMN(BS$2)-69,3))*5)+MOD(COLUMN(BS$2),3),1,1),"")</f>
        <v>2</v>
      </c>
      <c r="BT5">
        <f ca="1">IF($AN5="",OFFSET(Demand!$A$13,ROW(D2)-1,4+((QUOTIENT(COLUMN(BT$2)-69,3))*5)+MOD(COLUMN(BT$2),3),1,1),"")</f>
        <v>0</v>
      </c>
      <c r="BU5">
        <f ca="1">IF($AN5="",OFFSET(Demand!$A$13,ROW(E2)-1,4+((QUOTIENT(COLUMN(BU$2)-69,3))*5)+MOD(COLUMN(BU$2),3),1,1),"")</f>
        <v>3</v>
      </c>
      <c r="BV5">
        <f ca="1">IF($AN5="",OFFSET(Demand!$A$13,ROW(F2)-1,4+((QUOTIENT(COLUMN(BV$2)-69,3))*5)+MOD(COLUMN(BV$2),3),1,1),"")</f>
        <v>7</v>
      </c>
      <c r="BW5">
        <f ca="1">IF($AN5="",OFFSET(Demand!$A$13,ROW(G2)-1,4+((QUOTIENT(COLUMN(BW$2)-69,3))*5)+MOD(COLUMN(BW$2),3),1,1),"")</f>
        <v>0</v>
      </c>
      <c r="BX5">
        <f ca="1">IF($AN5="",OFFSET(Demand!$A$13,ROW(H2)-1,4+((QUOTIENT(COLUMN(BX$2)-69,3))*5)+MOD(COLUMN(BX$2),3),1,1),"")</f>
        <v>0</v>
      </c>
      <c r="BY5">
        <f ca="1">IF($AN5="",OFFSET(Demand!$A$13,ROW(I2)-1,4+((QUOTIENT(COLUMN(BY$2)-69,3))*5)+MOD(COLUMN(BY$2),3),1,1),"")</f>
        <v>0</v>
      </c>
      <c r="BZ5">
        <f ca="1">IF($AN5="",OFFSET(Demand!$A$13,ROW(J2)-1,4+((QUOTIENT(COLUMN(BZ$2)-69,3))*5)+MOD(COLUMN(BZ$2),3),1,1),"")</f>
        <v>0</v>
      </c>
      <c r="CA5">
        <f ca="1">IF($AN5="",OFFSET(Demand!$A$13,ROW(K2)-1,4+((QUOTIENT(COLUMN(CA$2)-69,3))*5)+MOD(COLUMN(CA$2),3),1,1),"")</f>
        <v>0</v>
      </c>
      <c r="CB5">
        <f ca="1">IF($AN5="",OFFSET(Demand!$A$13,ROW(L2)-1,4+((QUOTIENT(COLUMN(CB$2)-69,3))*5)+MOD(COLUMN(CB$2),3),1,1),"")</f>
        <v>0</v>
      </c>
      <c r="CC5">
        <f ca="1">IF($AN5="",OFFSET(Demand!$A$13,ROW(M2)-1,4+((QUOTIENT(COLUMN(CC$2)-69,3))*5)+MOD(COLUMN(CC$2),3),1,1),"")</f>
        <v>0</v>
      </c>
      <c r="CD5">
        <f ca="1">IF($AN5="",OFFSET(Demand!$A$13,ROW(N2)-1,4+((QUOTIENT(COLUMN(CD$2)-69,3))*5)+MOD(COLUMN(CD$2),3),1,1),"")</f>
        <v>0</v>
      </c>
      <c r="CE5">
        <f ca="1">IF($AN5="",OFFSET(Demand!$A$13,ROW(O2)-1,4+((QUOTIENT(COLUMN(CE$2)-69,3))*5)+MOD(COLUMN(CE$2),3),1,1),"")</f>
        <v>0</v>
      </c>
      <c r="CF5">
        <f ca="1">IF($AN5="",OFFSET(Demand!$A$13,ROW(P2)-1,4+((QUOTIENT(COLUMN(CF$2)-69,3))*5)+MOD(COLUMN(CF$2),3),1,1),"")</f>
        <v>0</v>
      </c>
      <c r="CG5">
        <f ca="1">IF($AN5="",OFFSET(Demand!$A$13,ROW(Q2)-1,4+((QUOTIENT(COLUMN(CG$2)-69,3))*5)+MOD(COLUMN(CG$2),3),1,1),"")</f>
        <v>0</v>
      </c>
      <c r="CH5">
        <f ca="1">IF($AN5="",OFFSET(Demand!$A$13,ROW(R2)-1,4+((QUOTIENT(COLUMN(CH$2)-69,3))*5)+MOD(COLUMN(CH$2),3),1,1),"")</f>
        <v>0</v>
      </c>
      <c r="CI5">
        <f ca="1">IF($AN5="",OFFSET(Demand!$A$13,ROW(S2)-1,4+((QUOTIENT(COLUMN(CI$2)-69,3))*5)+MOD(COLUMN(CI$2),3),1,1),"")</f>
        <v>0</v>
      </c>
      <c r="CJ5">
        <f ca="1">IF($AN5="",OFFSET(Demand!$A$13,ROW(T2)-1,4+((QUOTIENT(COLUMN(CJ$2)-69,3))*5)+MOD(COLUMN(CJ$2),3),1,1),"")</f>
        <v>0</v>
      </c>
      <c r="CK5">
        <f ca="1">IF($AN5="",OFFSET(Demand!$A$13,ROW(U2)-1,4+((QUOTIENT(COLUMN(CK$2)-69,3))*5)+MOD(COLUMN(CK$2),3),1,1),"")</f>
        <v>0</v>
      </c>
      <c r="CL5">
        <f ca="1">IF($AN5="",OFFSET(Demand!$A$13,ROW(V2)-1,4+((QUOTIENT(COLUMN(CL$2)-69,3))*5)+MOD(COLUMN(CL$2),3),1,1),"")</f>
        <v>0</v>
      </c>
      <c r="CM5">
        <f ca="1">IF($AN5="",OFFSET(Demand!$A$13,ROW(W2)-1,4+((QUOTIENT(COLUMN(CM$2)-69,3))*5)+MOD(COLUMN(CM$2),3),1,1),"")</f>
        <v>0</v>
      </c>
      <c r="CN5">
        <f ca="1">IF($AN5="",OFFSET(Demand!$A$13,ROW(X2)-1,4+((QUOTIENT(COLUMN(CN$2)-69,3))*5)+MOD(COLUMN(CN$2),3),1,1),"")</f>
        <v>0</v>
      </c>
      <c r="CO5">
        <f ca="1">IF($AN5="",OFFSET(Demand!$A$13,ROW(Y2)-1,4+((QUOTIENT(COLUMN(CO$2)-69,3))*5)+MOD(COLUMN(CO$2),3),1,1),"")</f>
        <v>0</v>
      </c>
      <c r="CP5">
        <f ca="1">IF($AN5="",OFFSET(Demand!$A$13,ROW(Z2)-1,4+((QUOTIENT(COLUMN(CP$2)-69,3))*5)+MOD(COLUMN(CP$2),3),1,1),"")</f>
        <v>0</v>
      </c>
      <c r="CQ5">
        <f ca="1">IF($AN5="",OFFSET(Demand!$A$13,ROW(AA2)-1,4+((QUOTIENT(COLUMN(CQ$2)-69,3))*5)+MOD(COLUMN(CQ$2),3),1,1),"")</f>
        <v>0</v>
      </c>
      <c r="CR5">
        <f ca="1">IF($AN5="",OFFSET(Demand!$A$13,ROW(AB2)-1,4+((QUOTIENT(COLUMN(CR$2)-69,3))*5)+MOD(COLUMN(CR$2),3),1,1),"")</f>
        <v>0</v>
      </c>
      <c r="CS5">
        <f ca="1">IF($AN5="",OFFSET(Demand!$A$13,ROW(AC2)-1,4+((QUOTIENT(COLUMN(CS$2)-69,3))*5)+MOD(COLUMN(CS$2),3),1,1),"")</f>
        <v>0</v>
      </c>
      <c r="CT5">
        <f ca="1">IF($AN5="",OFFSET(Demand!$A$13,ROW(AD2)-1,4+((QUOTIENT(COLUMN(CT$2)-69,3))*5)+MOD(COLUMN(CT$2),3),1,1),"")</f>
        <v>0</v>
      </c>
      <c r="CW5" s="5">
        <f ca="1">SUM(OFFSET(Demand!$H$43,ROW(A2)-1,(COLUMN(A2)-1)*5,1,1))*N$2</f>
        <v>0</v>
      </c>
      <c r="CX5" s="5">
        <f ca="1">SUM(OFFSET(Demand!$H$43,ROW(B2)-1,(COLUMN(B2)-1)*5,1,1))*O$2</f>
        <v>0</v>
      </c>
      <c r="CY5" s="5">
        <f ca="1">SUM(OFFSET(Demand!$H$43,ROW(C2)-1,(COLUMN(C2)-1)*5,1,1))*P$2</f>
        <v>0</v>
      </c>
      <c r="CZ5" s="5">
        <f ca="1">SUM(OFFSET(Demand!$H$43,ROW(D2)-1,(COLUMN(D2)-1)*5,1,1))*Q$2</f>
        <v>0</v>
      </c>
      <c r="DA5" s="5">
        <f ca="1">SUM(OFFSET(Demand!$H$43,ROW(E2)-1,(COLUMN(E2)-1)*5,1,1))*R$2</f>
        <v>0</v>
      </c>
      <c r="DB5" s="5">
        <f ca="1">SUM(OFFSET(Demand!$H$43,ROW(F2)-1,(COLUMN(F2)-1)*5,1,1))*S$2</f>
        <v>0</v>
      </c>
      <c r="DC5" s="5">
        <f ca="1">SUM(OFFSET(Demand!$H$43,ROW(G2)-1,(COLUMN(G2)-1)*5,1,1))*T$2</f>
        <v>0</v>
      </c>
      <c r="DD5" s="5">
        <f ca="1">SUM(OFFSET(Demand!$H$43,ROW(H2)-1,(COLUMN(H2)-1)*5,1,1))*U$2</f>
        <v>0</v>
      </c>
      <c r="DE5" s="5">
        <f ca="1">SUM(OFFSET(Demand!$H$43,ROW(I2)-1,(COLUMN(I2)-1)*5,1,1))*V$2</f>
        <v>0</v>
      </c>
      <c r="DF5" s="5">
        <f ca="1">SUM(OFFSET(Demand!$H$43,ROW(J2)-1,(COLUMN(J2)-1)*5,1,1))*W$2</f>
        <v>0</v>
      </c>
      <c r="DG5" s="5">
        <f t="shared" ref="DG5:DG68" ca="1" si="9">IF(AN5="",SUM(CW5:DF5),"")</f>
        <v>0</v>
      </c>
      <c r="DI5" s="5" t="s">
        <v>231</v>
      </c>
      <c r="DJ5" s="5">
        <f ca="1">PERCENTILE((OFFSET('Demand background (hide)'!$DG$4,'SPC background (hide)'!$C$4-1,0,'SPC background (hide)'!$H$5,1)),'Control sheet (hide)'!$I$10)</f>
        <v>0</v>
      </c>
    </row>
    <row r="6" spans="1:114" s="5" customFormat="1" x14ac:dyDescent="0.2">
      <c r="A6" s="5">
        <f t="shared" ca="1" si="3"/>
        <v>0</v>
      </c>
      <c r="B6" s="5">
        <f ca="1">COUNTBLANK(OFFSET(Demand!$I15,0,(COLUMN(A3)-1)*5,1,1))</f>
        <v>0</v>
      </c>
      <c r="C6" s="5">
        <f ca="1">COUNTBLANK(OFFSET(Demand!$I15,0,(COLUMN(B3)-1)*5,1,1))</f>
        <v>0</v>
      </c>
      <c r="D6" s="5">
        <f ca="1">COUNTBLANK(OFFSET(Demand!$I15,0,(COLUMN(C3)-1)*5,1,1))</f>
        <v>1</v>
      </c>
      <c r="E6" s="5">
        <f ca="1">COUNTBLANK(OFFSET(Demand!$I15,0,(COLUMN(D3)-1)*5,1,1))</f>
        <v>1</v>
      </c>
      <c r="F6" s="5">
        <f ca="1">COUNTBLANK(OFFSET(Demand!$I15,0,(COLUMN(E3)-1)*5,1,1))</f>
        <v>1</v>
      </c>
      <c r="G6" s="5">
        <f ca="1">COUNTBLANK(OFFSET(Demand!$I15,0,(COLUMN(F3)-1)*5,1,1))</f>
        <v>1</v>
      </c>
      <c r="H6" s="5">
        <f ca="1">COUNTBLANK(OFFSET(Demand!$I15,0,(COLUMN(G3)-1)*5,1,1))</f>
        <v>1</v>
      </c>
      <c r="I6" s="5">
        <f ca="1">COUNTBLANK(OFFSET(Demand!$I15,0,(COLUMN(H3)-1)*5,1,1))</f>
        <v>1</v>
      </c>
      <c r="J6" s="5">
        <f ca="1">COUNTBLANK(OFFSET(Demand!$I15,0,(COLUMN(I3)-1)*5,1,1))</f>
        <v>1</v>
      </c>
      <c r="K6" s="5">
        <f ca="1">COUNTBLANK(OFFSET(Demand!$I15,0,(COLUMN(J3)-1)*5,1,1))</f>
        <v>1</v>
      </c>
      <c r="N6" s="5">
        <f ca="1">SUM(OFFSET(Demand!$E15,0,(COLUMN(A3)-1)*5,1,3))*N$2</f>
        <v>60</v>
      </c>
      <c r="O6" s="5">
        <f ca="1">SUM(OFFSET(Demand!$E15,0,(COLUMN(B3)-1)*5,1,3))*O$2</f>
        <v>320</v>
      </c>
      <c r="P6" s="5">
        <f ca="1">SUM(OFFSET(Demand!$E15,0,(COLUMN(C3)-1)*5,1,3))*P$2</f>
        <v>0</v>
      </c>
      <c r="Q6" s="5">
        <f ca="1">SUM(OFFSET(Demand!$E15,0,(COLUMN(D3)-1)*5,1,3))*Q$2</f>
        <v>0</v>
      </c>
      <c r="R6" s="5">
        <f ca="1">SUM(OFFSET(Demand!$E15,0,(COLUMN(E3)-1)*5,1,3))*R$2</f>
        <v>0</v>
      </c>
      <c r="S6" s="5">
        <f ca="1">SUM(OFFSET(Demand!$E15,0,(COLUMN(F3)-1)*5,1,3))*S$2</f>
        <v>0</v>
      </c>
      <c r="T6" s="5">
        <f ca="1">SUM(OFFSET(Demand!$E15,0,(COLUMN(G3)-1)*5,1,3))*T$2</f>
        <v>0</v>
      </c>
      <c r="U6" s="5">
        <f ca="1">SUM(OFFSET(Demand!$E15,0,(COLUMN(H3)-1)*5,1,3))*U$2</f>
        <v>0</v>
      </c>
      <c r="V6" s="5">
        <f ca="1">SUM(OFFSET(Demand!$E15,0,(COLUMN(I3)-1)*5,1,3))*V$2</f>
        <v>0</v>
      </c>
      <c r="W6" s="5">
        <f ca="1">SUM(OFFSET(Demand!$E15,0,(COLUMN(J3)-1)*5,1,3))*W$2</f>
        <v>0</v>
      </c>
      <c r="X6" s="5">
        <f t="shared" ca="1" si="4"/>
        <v>380</v>
      </c>
      <c r="Y6" s="5">
        <f t="shared" ca="1" si="5"/>
        <v>380</v>
      </c>
      <c r="Z6" s="5">
        <f ca="1">SUM(OFFSET(Demand!$H15,0,(COLUMN(A3)-1)*5,1,1))*N$2</f>
        <v>0</v>
      </c>
      <c r="AA6" s="5">
        <f ca="1">SUM(OFFSET(Demand!$H15,0,(COLUMN(B3)-1)*5,1,1))*O$2</f>
        <v>0</v>
      </c>
      <c r="AB6" s="5">
        <f ca="1">SUM(OFFSET(Demand!$H15,0,(COLUMN(C3)-1)*5,1,1))*P$2</f>
        <v>0</v>
      </c>
      <c r="AC6" s="5">
        <f ca="1">SUM(OFFSET(Demand!$H15,0,(COLUMN(D3)-1)*5,1,1))*Q$2</f>
        <v>0</v>
      </c>
      <c r="AD6" s="5">
        <f ca="1">SUM(OFFSET(Demand!$H15,0,(COLUMN(E3)-1)*5,1,1))*R$2</f>
        <v>0</v>
      </c>
      <c r="AE6" s="5">
        <f ca="1">SUM(OFFSET(Demand!$H15,0,(COLUMN(F3)-1)*5,1,1))*S$2</f>
        <v>0</v>
      </c>
      <c r="AF6" s="5">
        <f ca="1">SUM(OFFSET(Demand!$H15,0,(COLUMN(G3)-1)*5,1,1))*T$2</f>
        <v>0</v>
      </c>
      <c r="AG6" s="5">
        <f ca="1">SUM(OFFSET(Demand!$H15,0,(COLUMN(H3)-1)*5,1,1))*U$2</f>
        <v>0</v>
      </c>
      <c r="AH6" s="5">
        <f ca="1">SUM(OFFSET(Demand!$H15,0,(COLUMN(I3)-1)*5,1,1))*V$2</f>
        <v>0</v>
      </c>
      <c r="AI6" s="5">
        <f ca="1">SUM(OFFSET(Demand!$H15,0,(COLUMN(J3)-1)*5,1,1))*W$2</f>
        <v>0</v>
      </c>
      <c r="AJ6" s="5">
        <f t="shared" ca="1" si="6"/>
        <v>0</v>
      </c>
      <c r="AL6" s="5">
        <f t="shared" ca="1" si="7"/>
        <v>380</v>
      </c>
      <c r="AM6" s="5">
        <f t="shared" ca="1" si="8"/>
        <v>0</v>
      </c>
      <c r="AN6" s="5" t="str">
        <f>IF(Demand!BE15="Yes","Yes","")</f>
        <v/>
      </c>
      <c r="AP6" s="37" t="str">
        <f ca="1">Demand!B15</f>
        <v xml:space="preserve"> </v>
      </c>
      <c r="AQ6" s="5" t="str">
        <f ca="1">IF(TEXT(Demand!D15,"MMM")&lt;&gt;TEXT(Demand!D14,"MMM"),TEXT(Demand!D15,"MMM"),"")</f>
        <v/>
      </c>
      <c r="AT6" s="5">
        <f t="shared" ref="AT6:AT69" ca="1" si="10">IF(OR(AL6="",AL5=""),"",ABS(AL6-AL5))</f>
        <v>230</v>
      </c>
      <c r="AV6" s="5" t="s">
        <v>139</v>
      </c>
      <c r="AW6" s="45">
        <f ca="1">PERCENTILE(OFFSET(AL$4,'SPC background (hide)'!$C$4-1,0,'SPC background (hide)'!$H$5,1),'Control sheet (hide)'!$I$9)</f>
        <v>551.5</v>
      </c>
      <c r="AX6" s="5">
        <f ca="1">PERCENTILE(OFFSET(AM$4,'SPC background (hide)'!$C$4-1,0,'SPC background (hide)'!$H$5,1),'Control sheet (hide)'!$I$9)</f>
        <v>0</v>
      </c>
      <c r="BB6" t="str">
        <f>'Control sheet (hide)'!AA3</f>
        <v>Test name 1</v>
      </c>
      <c r="BC6" s="47">
        <f t="shared" ref="BC6:BC15" ca="1" si="11">IFERROR(IF(ROW(A1)&lt;=Num_Modalities,BJ6/$BM6,""),"")</f>
        <v>0</v>
      </c>
      <c r="BD6" s="47">
        <f t="shared" ref="BD6:BD15" ca="1" si="12">IFERROR(IF(ROW(B1)&lt;=Num_Modalities,BK6/$BM6,""),"")</f>
        <v>0.19047619047619047</v>
      </c>
      <c r="BE6" s="47">
        <f t="shared" ref="BE6:BE15" ca="1" si="13">IFERROR(IF(ROW(C1)&lt;=Num_Modalities,BL6/$BM6,""),"")</f>
        <v>0.80952380952380953</v>
      </c>
      <c r="BF6" s="5">
        <f ca="1">SUM(OFFSET($BQ$4,'SPC background (hide)'!$C$4-1,((ROW(A1)-1)*3)+MOD(COLUMN(C1),3),'SPC background (hide)'!$I$11,1))</f>
        <v>0</v>
      </c>
      <c r="BG6" s="5">
        <f ca="1">SUM(OFFSET($BQ$4,'SPC background (hide)'!$C$4-1,((ROW(B1)-1)*3)+MOD(COLUMN(D1),3),'SPC background (hide)'!$I$11,1))</f>
        <v>40</v>
      </c>
      <c r="BH6" s="5">
        <f ca="1">SUM(OFFSET($BQ$4,'SPC background (hide)'!$C$4-1,((ROW(C1)-1)*3)+MOD(COLUMN(E1),3),'SPC background (hide)'!$I$11,1))</f>
        <v>170</v>
      </c>
      <c r="BI6" s="5">
        <f ca="1">SUM(BF6:BH6)</f>
        <v>210</v>
      </c>
      <c r="BJ6" s="5">
        <f ca="1">BF6*OFFSET($N$2,0,ROW(A1)-1,1,1)</f>
        <v>0</v>
      </c>
      <c r="BK6" s="5">
        <f t="shared" ref="BK6:BL6" ca="1" si="14">BG6*OFFSET($N$2,0,ROW(B1)-1,1,1)</f>
        <v>1200</v>
      </c>
      <c r="BL6" s="5">
        <f t="shared" ca="1" si="14"/>
        <v>5100</v>
      </c>
      <c r="BM6" s="5">
        <f ca="1">SUM(BJ6:BL6)</f>
        <v>6300</v>
      </c>
      <c r="BN6" s="5">
        <f ca="1">OFFSET($N$2,0,ROW(A1)-1,1,1)</f>
        <v>30</v>
      </c>
      <c r="BO6" s="85">
        <f ca="1">BM6/$BM$16</f>
        <v>0.24475524475524477</v>
      </c>
      <c r="BQ6">
        <f ca="1">IF($AN6="",OFFSET(Demand!$A$13,ROW(A3)-1,4+((QUOTIENT(COLUMN(BQ$2)-69,3))*5)+MOD(COLUMN(BQ$2),3),1,1),"")</f>
        <v>0</v>
      </c>
      <c r="BR6">
        <f ca="1">IF($AN6="",OFFSET(Demand!$A$13,ROW(B3)-1,4+((QUOTIENT(COLUMN(BR$2)-69,3))*5)+MOD(COLUMN(BR$2),3),1,1),"")</f>
        <v>0</v>
      </c>
      <c r="BS6">
        <f ca="1">IF($AN6="",OFFSET(Demand!$A$13,ROW(C3)-1,4+((QUOTIENT(COLUMN(BS$2)-69,3))*5)+MOD(COLUMN(BS$2),3),1,1),"")</f>
        <v>2</v>
      </c>
      <c r="BT6">
        <f ca="1">IF($AN6="",OFFSET(Demand!$A$13,ROW(D3)-1,4+((QUOTIENT(COLUMN(BT$2)-69,3))*5)+MOD(COLUMN(BT$2),3),1,1),"")</f>
        <v>0</v>
      </c>
      <c r="BU6">
        <f ca="1">IF($AN6="",OFFSET(Demand!$A$13,ROW(E3)-1,4+((QUOTIENT(COLUMN(BU$2)-69,3))*5)+MOD(COLUMN(BU$2),3),1,1),"")</f>
        <v>3</v>
      </c>
      <c r="BV6">
        <f ca="1">IF($AN6="",OFFSET(Demand!$A$13,ROW(F3)-1,4+((QUOTIENT(COLUMN(BV$2)-69,3))*5)+MOD(COLUMN(BV$2),3),1,1),"")</f>
        <v>5</v>
      </c>
      <c r="BW6">
        <f ca="1">IF($AN6="",OFFSET(Demand!$A$13,ROW(G3)-1,4+((QUOTIENT(COLUMN(BW$2)-69,3))*5)+MOD(COLUMN(BW$2),3),1,1),"")</f>
        <v>0</v>
      </c>
      <c r="BX6">
        <f ca="1">IF($AN6="",OFFSET(Demand!$A$13,ROW(H3)-1,4+((QUOTIENT(COLUMN(BX$2)-69,3))*5)+MOD(COLUMN(BX$2),3),1,1),"")</f>
        <v>0</v>
      </c>
      <c r="BY6">
        <f ca="1">IF($AN6="",OFFSET(Demand!$A$13,ROW(I3)-1,4+((QUOTIENT(COLUMN(BY$2)-69,3))*5)+MOD(COLUMN(BY$2),3),1,1),"")</f>
        <v>0</v>
      </c>
      <c r="BZ6">
        <f ca="1">IF($AN6="",OFFSET(Demand!$A$13,ROW(J3)-1,4+((QUOTIENT(COLUMN(BZ$2)-69,3))*5)+MOD(COLUMN(BZ$2),3),1,1),"")</f>
        <v>0</v>
      </c>
      <c r="CA6">
        <f ca="1">IF($AN6="",OFFSET(Demand!$A$13,ROW(K3)-1,4+((QUOTIENT(COLUMN(CA$2)-69,3))*5)+MOD(COLUMN(CA$2),3),1,1),"")</f>
        <v>0</v>
      </c>
      <c r="CB6">
        <f ca="1">IF($AN6="",OFFSET(Demand!$A$13,ROW(L3)-1,4+((QUOTIENT(COLUMN(CB$2)-69,3))*5)+MOD(COLUMN(CB$2),3),1,1),"")</f>
        <v>0</v>
      </c>
      <c r="CC6">
        <f ca="1">IF($AN6="",OFFSET(Demand!$A$13,ROW(M3)-1,4+((QUOTIENT(COLUMN(CC$2)-69,3))*5)+MOD(COLUMN(CC$2),3),1,1),"")</f>
        <v>0</v>
      </c>
      <c r="CD6">
        <f ca="1">IF($AN6="",OFFSET(Demand!$A$13,ROW(N3)-1,4+((QUOTIENT(COLUMN(CD$2)-69,3))*5)+MOD(COLUMN(CD$2),3),1,1),"")</f>
        <v>0</v>
      </c>
      <c r="CE6">
        <f ca="1">IF($AN6="",OFFSET(Demand!$A$13,ROW(O3)-1,4+((QUOTIENT(COLUMN(CE$2)-69,3))*5)+MOD(COLUMN(CE$2),3),1,1),"")</f>
        <v>0</v>
      </c>
      <c r="CF6">
        <f ca="1">IF($AN6="",OFFSET(Demand!$A$13,ROW(P3)-1,4+((QUOTIENT(COLUMN(CF$2)-69,3))*5)+MOD(COLUMN(CF$2),3),1,1),"")</f>
        <v>0</v>
      </c>
      <c r="CG6">
        <f ca="1">IF($AN6="",OFFSET(Demand!$A$13,ROW(Q3)-1,4+((QUOTIENT(COLUMN(CG$2)-69,3))*5)+MOD(COLUMN(CG$2),3),1,1),"")</f>
        <v>0</v>
      </c>
      <c r="CH6">
        <f ca="1">IF($AN6="",OFFSET(Demand!$A$13,ROW(R3)-1,4+((QUOTIENT(COLUMN(CH$2)-69,3))*5)+MOD(COLUMN(CH$2),3),1,1),"")</f>
        <v>0</v>
      </c>
      <c r="CI6">
        <f ca="1">IF($AN6="",OFFSET(Demand!$A$13,ROW(S3)-1,4+((QUOTIENT(COLUMN(CI$2)-69,3))*5)+MOD(COLUMN(CI$2),3),1,1),"")</f>
        <v>0</v>
      </c>
      <c r="CJ6">
        <f ca="1">IF($AN6="",OFFSET(Demand!$A$13,ROW(T3)-1,4+((QUOTIENT(COLUMN(CJ$2)-69,3))*5)+MOD(COLUMN(CJ$2),3),1,1),"")</f>
        <v>0</v>
      </c>
      <c r="CK6">
        <f ca="1">IF($AN6="",OFFSET(Demand!$A$13,ROW(U3)-1,4+((QUOTIENT(COLUMN(CK$2)-69,3))*5)+MOD(COLUMN(CK$2),3),1,1),"")</f>
        <v>0</v>
      </c>
      <c r="CL6">
        <f ca="1">IF($AN6="",OFFSET(Demand!$A$13,ROW(V3)-1,4+((QUOTIENT(COLUMN(CL$2)-69,3))*5)+MOD(COLUMN(CL$2),3),1,1),"")</f>
        <v>0</v>
      </c>
      <c r="CM6">
        <f ca="1">IF($AN6="",OFFSET(Demand!$A$13,ROW(W3)-1,4+((QUOTIENT(COLUMN(CM$2)-69,3))*5)+MOD(COLUMN(CM$2),3),1,1),"")</f>
        <v>0</v>
      </c>
      <c r="CN6">
        <f ca="1">IF($AN6="",OFFSET(Demand!$A$13,ROW(X3)-1,4+((QUOTIENT(COLUMN(CN$2)-69,3))*5)+MOD(COLUMN(CN$2),3),1,1),"")</f>
        <v>0</v>
      </c>
      <c r="CO6">
        <f ca="1">IF($AN6="",OFFSET(Demand!$A$13,ROW(Y3)-1,4+((QUOTIENT(COLUMN(CO$2)-69,3))*5)+MOD(COLUMN(CO$2),3),1,1),"")</f>
        <v>0</v>
      </c>
      <c r="CP6">
        <f ca="1">IF($AN6="",OFFSET(Demand!$A$13,ROW(Z3)-1,4+((QUOTIENT(COLUMN(CP$2)-69,3))*5)+MOD(COLUMN(CP$2),3),1,1),"")</f>
        <v>0</v>
      </c>
      <c r="CQ6">
        <f ca="1">IF($AN6="",OFFSET(Demand!$A$13,ROW(AA3)-1,4+((QUOTIENT(COLUMN(CQ$2)-69,3))*5)+MOD(COLUMN(CQ$2),3),1,1),"")</f>
        <v>0</v>
      </c>
      <c r="CR6">
        <f ca="1">IF($AN6="",OFFSET(Demand!$A$13,ROW(AB3)-1,4+((QUOTIENT(COLUMN(CR$2)-69,3))*5)+MOD(COLUMN(CR$2),3),1,1),"")</f>
        <v>0</v>
      </c>
      <c r="CS6">
        <f ca="1">IF($AN6="",OFFSET(Demand!$A$13,ROW(AC3)-1,4+((QUOTIENT(COLUMN(CS$2)-69,3))*5)+MOD(COLUMN(CS$2),3),1,1),"")</f>
        <v>0</v>
      </c>
      <c r="CT6">
        <f ca="1">IF($AN6="",OFFSET(Demand!$A$13,ROW(AD3)-1,4+((QUOTIENT(COLUMN(CT$2)-69,3))*5)+MOD(COLUMN(CT$2),3),1,1),"")</f>
        <v>0</v>
      </c>
      <c r="CW6" s="5">
        <f ca="1">SUM(OFFSET(Demand!$H$43,ROW(A3)-1,(COLUMN(A3)-1)*5,1,1))*N$2</f>
        <v>0</v>
      </c>
      <c r="CX6" s="5">
        <f ca="1">SUM(OFFSET(Demand!$H$43,ROW(B3)-1,(COLUMN(B3)-1)*5,1,1))*O$2</f>
        <v>0</v>
      </c>
      <c r="CY6" s="5">
        <f ca="1">SUM(OFFSET(Demand!$H$43,ROW(C3)-1,(COLUMN(C3)-1)*5,1,1))*P$2</f>
        <v>0</v>
      </c>
      <c r="CZ6" s="5">
        <f ca="1">SUM(OFFSET(Demand!$H$43,ROW(D3)-1,(COLUMN(D3)-1)*5,1,1))*Q$2</f>
        <v>0</v>
      </c>
      <c r="DA6" s="5">
        <f ca="1">SUM(OFFSET(Demand!$H$43,ROW(E3)-1,(COLUMN(E3)-1)*5,1,1))*R$2</f>
        <v>0</v>
      </c>
      <c r="DB6" s="5">
        <f ca="1">SUM(OFFSET(Demand!$H$43,ROW(F3)-1,(COLUMN(F3)-1)*5,1,1))*S$2</f>
        <v>0</v>
      </c>
      <c r="DC6" s="5">
        <f ca="1">SUM(OFFSET(Demand!$H$43,ROW(G3)-1,(COLUMN(G3)-1)*5,1,1))*T$2</f>
        <v>0</v>
      </c>
      <c r="DD6" s="5">
        <f ca="1">SUM(OFFSET(Demand!$H$43,ROW(H3)-1,(COLUMN(H3)-1)*5,1,1))*U$2</f>
        <v>0</v>
      </c>
      <c r="DE6" s="5">
        <f ca="1">SUM(OFFSET(Demand!$H$43,ROW(I3)-1,(COLUMN(I3)-1)*5,1,1))*V$2</f>
        <v>0</v>
      </c>
      <c r="DF6" s="5">
        <f ca="1">SUM(OFFSET(Demand!$H$43,ROW(J3)-1,(COLUMN(J3)-1)*5,1,1))*W$2</f>
        <v>0</v>
      </c>
      <c r="DG6" s="5">
        <f t="shared" ca="1" si="9"/>
        <v>0</v>
      </c>
    </row>
    <row r="7" spans="1:114" s="5" customFormat="1" x14ac:dyDescent="0.2">
      <c r="A7" s="5">
        <f t="shared" ca="1" si="3"/>
        <v>0</v>
      </c>
      <c r="B7" s="5">
        <f ca="1">COUNTBLANK(OFFSET(Demand!$I16,0,(COLUMN(A4)-1)*5,1,1))</f>
        <v>0</v>
      </c>
      <c r="C7" s="5">
        <f ca="1">COUNTBLANK(OFFSET(Demand!$I16,0,(COLUMN(B4)-1)*5,1,1))</f>
        <v>0</v>
      </c>
      <c r="D7" s="5">
        <f ca="1">COUNTBLANK(OFFSET(Demand!$I16,0,(COLUMN(C4)-1)*5,1,1))</f>
        <v>1</v>
      </c>
      <c r="E7" s="5">
        <f ca="1">COUNTBLANK(OFFSET(Demand!$I16,0,(COLUMN(D4)-1)*5,1,1))</f>
        <v>1</v>
      </c>
      <c r="F7" s="5">
        <f ca="1">COUNTBLANK(OFFSET(Demand!$I16,0,(COLUMN(E4)-1)*5,1,1))</f>
        <v>1</v>
      </c>
      <c r="G7" s="5">
        <f ca="1">COUNTBLANK(OFFSET(Demand!$I16,0,(COLUMN(F4)-1)*5,1,1))</f>
        <v>1</v>
      </c>
      <c r="H7" s="5">
        <f ca="1">COUNTBLANK(OFFSET(Demand!$I16,0,(COLUMN(G4)-1)*5,1,1))</f>
        <v>1</v>
      </c>
      <c r="I7" s="5">
        <f ca="1">COUNTBLANK(OFFSET(Demand!$I16,0,(COLUMN(H4)-1)*5,1,1))</f>
        <v>1</v>
      </c>
      <c r="J7" s="5">
        <f ca="1">COUNTBLANK(OFFSET(Demand!$I16,0,(COLUMN(I4)-1)*5,1,1))</f>
        <v>1</v>
      </c>
      <c r="K7" s="5">
        <f ca="1">COUNTBLANK(OFFSET(Demand!$I16,0,(COLUMN(J4)-1)*5,1,1))</f>
        <v>1</v>
      </c>
      <c r="N7" s="5">
        <f ca="1">SUM(OFFSET(Demand!$E16,0,(COLUMN(A4)-1)*5,1,3))*N$2</f>
        <v>270</v>
      </c>
      <c r="O7" s="5">
        <f ca="1">SUM(OFFSET(Demand!$E16,0,(COLUMN(B4)-1)*5,1,3))*O$2</f>
        <v>480</v>
      </c>
      <c r="P7" s="5">
        <f ca="1">SUM(OFFSET(Demand!$E16,0,(COLUMN(C4)-1)*5,1,3))*P$2</f>
        <v>0</v>
      </c>
      <c r="Q7" s="5">
        <f ca="1">SUM(OFFSET(Demand!$E16,0,(COLUMN(D4)-1)*5,1,3))*Q$2</f>
        <v>0</v>
      </c>
      <c r="R7" s="5">
        <f ca="1">SUM(OFFSET(Demand!$E16,0,(COLUMN(E4)-1)*5,1,3))*R$2</f>
        <v>0</v>
      </c>
      <c r="S7" s="5">
        <f ca="1">SUM(OFFSET(Demand!$E16,0,(COLUMN(F4)-1)*5,1,3))*S$2</f>
        <v>0</v>
      </c>
      <c r="T7" s="5">
        <f ca="1">SUM(OFFSET(Demand!$E16,0,(COLUMN(G4)-1)*5,1,3))*T$2</f>
        <v>0</v>
      </c>
      <c r="U7" s="5">
        <f ca="1">SUM(OFFSET(Demand!$E16,0,(COLUMN(H4)-1)*5,1,3))*U$2</f>
        <v>0</v>
      </c>
      <c r="V7" s="5">
        <f ca="1">SUM(OFFSET(Demand!$E16,0,(COLUMN(I4)-1)*5,1,3))*V$2</f>
        <v>0</v>
      </c>
      <c r="W7" s="5">
        <f ca="1">SUM(OFFSET(Demand!$E16,0,(COLUMN(J4)-1)*5,1,3))*W$2</f>
        <v>0</v>
      </c>
      <c r="X7" s="5">
        <f t="shared" ca="1" si="4"/>
        <v>750</v>
      </c>
      <c r="Y7" s="5">
        <f t="shared" ca="1" si="5"/>
        <v>750</v>
      </c>
      <c r="Z7" s="5">
        <f ca="1">SUM(OFFSET(Demand!$H16,0,(COLUMN(A4)-1)*5,1,1))*N$2</f>
        <v>0</v>
      </c>
      <c r="AA7" s="5">
        <f ca="1">SUM(OFFSET(Demand!$H16,0,(COLUMN(B4)-1)*5,1,1))*O$2</f>
        <v>0</v>
      </c>
      <c r="AB7" s="5">
        <f ca="1">SUM(OFFSET(Demand!$H16,0,(COLUMN(C4)-1)*5,1,1))*P$2</f>
        <v>0</v>
      </c>
      <c r="AC7" s="5">
        <f ca="1">SUM(OFFSET(Demand!$H16,0,(COLUMN(D4)-1)*5,1,1))*Q$2</f>
        <v>0</v>
      </c>
      <c r="AD7" s="5">
        <f ca="1">SUM(OFFSET(Demand!$H16,0,(COLUMN(E4)-1)*5,1,1))*R$2</f>
        <v>0</v>
      </c>
      <c r="AE7" s="5">
        <f ca="1">SUM(OFFSET(Demand!$H16,0,(COLUMN(F4)-1)*5,1,1))*S$2</f>
        <v>0</v>
      </c>
      <c r="AF7" s="5">
        <f ca="1">SUM(OFFSET(Demand!$H16,0,(COLUMN(G4)-1)*5,1,1))*T$2</f>
        <v>0</v>
      </c>
      <c r="AG7" s="5">
        <f ca="1">SUM(OFFSET(Demand!$H16,0,(COLUMN(H4)-1)*5,1,1))*U$2</f>
        <v>0</v>
      </c>
      <c r="AH7" s="5">
        <f ca="1">SUM(OFFSET(Demand!$H16,0,(COLUMN(I4)-1)*5,1,1))*V$2</f>
        <v>0</v>
      </c>
      <c r="AI7" s="5">
        <f ca="1">SUM(OFFSET(Demand!$H16,0,(COLUMN(J4)-1)*5,1,1))*W$2</f>
        <v>0</v>
      </c>
      <c r="AJ7" s="5">
        <f t="shared" ca="1" si="6"/>
        <v>0</v>
      </c>
      <c r="AL7" s="5">
        <f t="shared" ca="1" si="7"/>
        <v>750</v>
      </c>
      <c r="AM7" s="5">
        <f t="shared" ca="1" si="8"/>
        <v>0</v>
      </c>
      <c r="AN7" s="5" t="str">
        <f>IF(Demand!BE16="Yes","Yes","")</f>
        <v/>
      </c>
      <c r="AP7" s="37" t="str">
        <f ca="1">Demand!B16</f>
        <v xml:space="preserve"> </v>
      </c>
      <c r="AQ7" s="5" t="str">
        <f ca="1">IF(TEXT(Demand!D16,"MMM")&lt;&gt;TEXT(Demand!D15,"MMM"),TEXT(Demand!D16,"MMM"),"")</f>
        <v/>
      </c>
      <c r="AT7" s="5">
        <f t="shared" ca="1" si="10"/>
        <v>370</v>
      </c>
      <c r="AV7" s="5" t="s">
        <v>140</v>
      </c>
      <c r="AW7" s="45">
        <f ca="1">PERCENTILE(OFFSET(AL$4,'SPC background (hide)'!$C$4-1,0,'SPC background (hide)'!$H$5,1),'Control sheet (hide)'!$I$10)</f>
        <v>664</v>
      </c>
      <c r="AX7" s="5">
        <f ca="1">PERCENTILE(OFFSET(AM$4,'SPC background (hide)'!$C$4-1,0,'SPC background (hide)'!$H$5,1),'Control sheet (hide)'!$I$10)</f>
        <v>0</v>
      </c>
      <c r="BB7" t="str">
        <f>'Control sheet (hide)'!AA4</f>
        <v>Test name 2</v>
      </c>
      <c r="BC7" s="47">
        <f t="shared" ca="1" si="11"/>
        <v>0</v>
      </c>
      <c r="BD7" s="47">
        <f t="shared" ca="1" si="12"/>
        <v>0.22633744855967078</v>
      </c>
      <c r="BE7" s="47">
        <f t="shared" ca="1" si="13"/>
        <v>0.77366255144032925</v>
      </c>
      <c r="BF7" s="5">
        <f ca="1">SUM(OFFSET($BQ$4,'SPC background (hide)'!$C$4-1,((ROW(A2)-1)*3)+MOD(COLUMN(C2),3),'SPC background (hide)'!$I$11,1))</f>
        <v>0</v>
      </c>
      <c r="BG7" s="5">
        <f ca="1">SUM(OFFSET($BQ$4,'SPC background (hide)'!$C$4-1,((ROW(B2)-1)*3)+MOD(COLUMN(D2),3),'SPC background (hide)'!$I$11,1))</f>
        <v>110</v>
      </c>
      <c r="BH7" s="5">
        <f ca="1">SUM(OFFSET($BQ$4,'SPC background (hide)'!$C$4-1,((ROW(C2)-1)*3)+MOD(COLUMN(E2),3),'SPC background (hide)'!$I$11,1))</f>
        <v>376</v>
      </c>
      <c r="BI7" s="5">
        <f t="shared" ref="BI7:BI15" ca="1" si="15">SUM(BF7:BH7)</f>
        <v>486</v>
      </c>
      <c r="BJ7" s="5">
        <f t="shared" ref="BJ7:BL7" ca="1" si="16">BF7*OFFSET($N$2,0,ROW(A2)-1,1,1)</f>
        <v>0</v>
      </c>
      <c r="BK7" s="5">
        <f t="shared" ca="1" si="16"/>
        <v>4400</v>
      </c>
      <c r="BL7" s="5">
        <f t="shared" ca="1" si="16"/>
        <v>15040</v>
      </c>
      <c r="BM7" s="5">
        <f t="shared" ref="BM7:BM15" ca="1" si="17">SUM(BJ7:BL7)</f>
        <v>19440</v>
      </c>
      <c r="BN7" s="5">
        <f t="shared" ref="BN7:BN15" ca="1" si="18">OFFSET($N$2,0,ROW(A2)-1,1,1)</f>
        <v>40</v>
      </c>
      <c r="BO7" s="85">
        <f t="shared" ref="BO7:BO15" ca="1" si="19">BM7/$BM$16</f>
        <v>0.75524475524475521</v>
      </c>
      <c r="BQ7">
        <f ca="1">IF($AN7="",OFFSET(Demand!$A$13,ROW(A4)-1,4+((QUOTIENT(COLUMN(BQ$2)-69,3))*5)+MOD(COLUMN(BQ$2),3),1,1),"")</f>
        <v>0</v>
      </c>
      <c r="BR7">
        <f ca="1">IF($AN7="",OFFSET(Demand!$A$13,ROW(B4)-1,4+((QUOTIENT(COLUMN(BR$2)-69,3))*5)+MOD(COLUMN(BR$2),3),1,1),"")</f>
        <v>1</v>
      </c>
      <c r="BS7">
        <f ca="1">IF($AN7="",OFFSET(Demand!$A$13,ROW(C4)-1,4+((QUOTIENT(COLUMN(BS$2)-69,3))*5)+MOD(COLUMN(BS$2),3),1,1),"")</f>
        <v>8</v>
      </c>
      <c r="BT7">
        <f ca="1">IF($AN7="",OFFSET(Demand!$A$13,ROW(D4)-1,4+((QUOTIENT(COLUMN(BT$2)-69,3))*5)+MOD(COLUMN(BT$2),3),1,1),"")</f>
        <v>0</v>
      </c>
      <c r="BU7">
        <f ca="1">IF($AN7="",OFFSET(Demand!$A$13,ROW(E4)-1,4+((QUOTIENT(COLUMN(BU$2)-69,3))*5)+MOD(COLUMN(BU$2),3),1,1),"")</f>
        <v>3</v>
      </c>
      <c r="BV7">
        <f ca="1">IF($AN7="",OFFSET(Demand!$A$13,ROW(F4)-1,4+((QUOTIENT(COLUMN(BV$2)-69,3))*5)+MOD(COLUMN(BV$2),3),1,1),"")</f>
        <v>9</v>
      </c>
      <c r="BW7">
        <f ca="1">IF($AN7="",OFFSET(Demand!$A$13,ROW(G4)-1,4+((QUOTIENT(COLUMN(BW$2)-69,3))*5)+MOD(COLUMN(BW$2),3),1,1),"")</f>
        <v>0</v>
      </c>
      <c r="BX7">
        <f ca="1">IF($AN7="",OFFSET(Demand!$A$13,ROW(H4)-1,4+((QUOTIENT(COLUMN(BX$2)-69,3))*5)+MOD(COLUMN(BX$2),3),1,1),"")</f>
        <v>0</v>
      </c>
      <c r="BY7">
        <f ca="1">IF($AN7="",OFFSET(Demand!$A$13,ROW(I4)-1,4+((QUOTIENT(COLUMN(BY$2)-69,3))*5)+MOD(COLUMN(BY$2),3),1,1),"")</f>
        <v>0</v>
      </c>
      <c r="BZ7">
        <f ca="1">IF($AN7="",OFFSET(Demand!$A$13,ROW(J4)-1,4+((QUOTIENT(COLUMN(BZ$2)-69,3))*5)+MOD(COLUMN(BZ$2),3),1,1),"")</f>
        <v>0</v>
      </c>
      <c r="CA7">
        <f ca="1">IF($AN7="",OFFSET(Demand!$A$13,ROW(K4)-1,4+((QUOTIENT(COLUMN(CA$2)-69,3))*5)+MOD(COLUMN(CA$2),3),1,1),"")</f>
        <v>0</v>
      </c>
      <c r="CB7">
        <f ca="1">IF($AN7="",OFFSET(Demand!$A$13,ROW(L4)-1,4+((QUOTIENT(COLUMN(CB$2)-69,3))*5)+MOD(COLUMN(CB$2),3),1,1),"")</f>
        <v>0</v>
      </c>
      <c r="CC7">
        <f ca="1">IF($AN7="",OFFSET(Demand!$A$13,ROW(M4)-1,4+((QUOTIENT(COLUMN(CC$2)-69,3))*5)+MOD(COLUMN(CC$2),3),1,1),"")</f>
        <v>0</v>
      </c>
      <c r="CD7">
        <f ca="1">IF($AN7="",OFFSET(Demand!$A$13,ROW(N4)-1,4+((QUOTIENT(COLUMN(CD$2)-69,3))*5)+MOD(COLUMN(CD$2),3),1,1),"")</f>
        <v>0</v>
      </c>
      <c r="CE7">
        <f ca="1">IF($AN7="",OFFSET(Demand!$A$13,ROW(O4)-1,4+((QUOTIENT(COLUMN(CE$2)-69,3))*5)+MOD(COLUMN(CE$2),3),1,1),"")</f>
        <v>0</v>
      </c>
      <c r="CF7">
        <f ca="1">IF($AN7="",OFFSET(Demand!$A$13,ROW(P4)-1,4+((QUOTIENT(COLUMN(CF$2)-69,3))*5)+MOD(COLUMN(CF$2),3),1,1),"")</f>
        <v>0</v>
      </c>
      <c r="CG7">
        <f ca="1">IF($AN7="",OFFSET(Demand!$A$13,ROW(Q4)-1,4+((QUOTIENT(COLUMN(CG$2)-69,3))*5)+MOD(COLUMN(CG$2),3),1,1),"")</f>
        <v>0</v>
      </c>
      <c r="CH7">
        <f ca="1">IF($AN7="",OFFSET(Demand!$A$13,ROW(R4)-1,4+((QUOTIENT(COLUMN(CH$2)-69,3))*5)+MOD(COLUMN(CH$2),3),1,1),"")</f>
        <v>0</v>
      </c>
      <c r="CI7">
        <f ca="1">IF($AN7="",OFFSET(Demand!$A$13,ROW(S4)-1,4+((QUOTIENT(COLUMN(CI$2)-69,3))*5)+MOD(COLUMN(CI$2),3),1,1),"")</f>
        <v>0</v>
      </c>
      <c r="CJ7">
        <f ca="1">IF($AN7="",OFFSET(Demand!$A$13,ROW(T4)-1,4+((QUOTIENT(COLUMN(CJ$2)-69,3))*5)+MOD(COLUMN(CJ$2),3),1,1),"")</f>
        <v>0</v>
      </c>
      <c r="CK7">
        <f ca="1">IF($AN7="",OFFSET(Demand!$A$13,ROW(U4)-1,4+((QUOTIENT(COLUMN(CK$2)-69,3))*5)+MOD(COLUMN(CK$2),3),1,1),"")</f>
        <v>0</v>
      </c>
      <c r="CL7">
        <f ca="1">IF($AN7="",OFFSET(Demand!$A$13,ROW(V4)-1,4+((QUOTIENT(COLUMN(CL$2)-69,3))*5)+MOD(COLUMN(CL$2),3),1,1),"")</f>
        <v>0</v>
      </c>
      <c r="CM7">
        <f ca="1">IF($AN7="",OFFSET(Demand!$A$13,ROW(W4)-1,4+((QUOTIENT(COLUMN(CM$2)-69,3))*5)+MOD(COLUMN(CM$2),3),1,1),"")</f>
        <v>0</v>
      </c>
      <c r="CN7">
        <f ca="1">IF($AN7="",OFFSET(Demand!$A$13,ROW(X4)-1,4+((QUOTIENT(COLUMN(CN$2)-69,3))*5)+MOD(COLUMN(CN$2),3),1,1),"")</f>
        <v>0</v>
      </c>
      <c r="CO7">
        <f ca="1">IF($AN7="",OFFSET(Demand!$A$13,ROW(Y4)-1,4+((QUOTIENT(COLUMN(CO$2)-69,3))*5)+MOD(COLUMN(CO$2),3),1,1),"")</f>
        <v>0</v>
      </c>
      <c r="CP7">
        <f ca="1">IF($AN7="",OFFSET(Demand!$A$13,ROW(Z4)-1,4+((QUOTIENT(COLUMN(CP$2)-69,3))*5)+MOD(COLUMN(CP$2),3),1,1),"")</f>
        <v>0</v>
      </c>
      <c r="CQ7">
        <f ca="1">IF($AN7="",OFFSET(Demand!$A$13,ROW(AA4)-1,4+((QUOTIENT(COLUMN(CQ$2)-69,3))*5)+MOD(COLUMN(CQ$2),3),1,1),"")</f>
        <v>0</v>
      </c>
      <c r="CR7">
        <f ca="1">IF($AN7="",OFFSET(Demand!$A$13,ROW(AB4)-1,4+((QUOTIENT(COLUMN(CR$2)-69,3))*5)+MOD(COLUMN(CR$2),3),1,1),"")</f>
        <v>0</v>
      </c>
      <c r="CS7">
        <f ca="1">IF($AN7="",OFFSET(Demand!$A$13,ROW(AC4)-1,4+((QUOTIENT(COLUMN(CS$2)-69,3))*5)+MOD(COLUMN(CS$2),3),1,1),"")</f>
        <v>0</v>
      </c>
      <c r="CT7">
        <f ca="1">IF($AN7="",OFFSET(Demand!$A$13,ROW(AD4)-1,4+((QUOTIENT(COLUMN(CT$2)-69,3))*5)+MOD(COLUMN(CT$2),3),1,1),"")</f>
        <v>0</v>
      </c>
      <c r="CW7" s="5">
        <f ca="1">SUM(OFFSET(Demand!$H$43,ROW(A4)-1,(COLUMN(A4)-1)*5,1,1))*N$2</f>
        <v>0</v>
      </c>
      <c r="CX7" s="5">
        <f ca="1">SUM(OFFSET(Demand!$H$43,ROW(B4)-1,(COLUMN(B4)-1)*5,1,1))*O$2</f>
        <v>0</v>
      </c>
      <c r="CY7" s="5">
        <f ca="1">SUM(OFFSET(Demand!$H$43,ROW(C4)-1,(COLUMN(C4)-1)*5,1,1))*P$2</f>
        <v>0</v>
      </c>
      <c r="CZ7" s="5">
        <f ca="1">SUM(OFFSET(Demand!$H$43,ROW(D4)-1,(COLUMN(D4)-1)*5,1,1))*Q$2</f>
        <v>0</v>
      </c>
      <c r="DA7" s="5">
        <f ca="1">SUM(OFFSET(Demand!$H$43,ROW(E4)-1,(COLUMN(E4)-1)*5,1,1))*R$2</f>
        <v>0</v>
      </c>
      <c r="DB7" s="5">
        <f ca="1">SUM(OFFSET(Demand!$H$43,ROW(F4)-1,(COLUMN(F4)-1)*5,1,1))*S$2</f>
        <v>0</v>
      </c>
      <c r="DC7" s="5">
        <f ca="1">SUM(OFFSET(Demand!$H$43,ROW(G4)-1,(COLUMN(G4)-1)*5,1,1))*T$2</f>
        <v>0</v>
      </c>
      <c r="DD7" s="5">
        <f ca="1">SUM(OFFSET(Demand!$H$43,ROW(H4)-1,(COLUMN(H4)-1)*5,1,1))*U$2</f>
        <v>0</v>
      </c>
      <c r="DE7" s="5">
        <f ca="1">SUM(OFFSET(Demand!$H$43,ROW(I4)-1,(COLUMN(I4)-1)*5,1,1))*V$2</f>
        <v>0</v>
      </c>
      <c r="DF7" s="5">
        <f ca="1">SUM(OFFSET(Demand!$H$43,ROW(J4)-1,(COLUMN(J4)-1)*5,1,1))*W$2</f>
        <v>0</v>
      </c>
      <c r="DG7" s="5">
        <f t="shared" ca="1" si="9"/>
        <v>0</v>
      </c>
      <c r="DI7" s="5" t="s">
        <v>232</v>
      </c>
      <c r="DJ7" t="str">
        <f ca="1">IFERROR(AVERAGE(OFFSET('Demand background (hide)'!$DG$4,'SPC background (hide)'!$D$6-1,0,'SPC background (hide)'!$H$7,1)),"")</f>
        <v/>
      </c>
    </row>
    <row r="8" spans="1:114" s="5" customFormat="1" x14ac:dyDescent="0.2">
      <c r="A8" s="5">
        <f t="shared" ca="1" si="3"/>
        <v>0</v>
      </c>
      <c r="B8" s="5">
        <f ca="1">COUNTBLANK(OFFSET(Demand!$I17,0,(COLUMN(A5)-1)*5,1,1))</f>
        <v>0</v>
      </c>
      <c r="C8" s="5">
        <f ca="1">COUNTBLANK(OFFSET(Demand!$I17,0,(COLUMN(B5)-1)*5,1,1))</f>
        <v>0</v>
      </c>
      <c r="D8" s="5">
        <f ca="1">COUNTBLANK(OFFSET(Demand!$I17,0,(COLUMN(C5)-1)*5,1,1))</f>
        <v>1</v>
      </c>
      <c r="E8" s="5">
        <f ca="1">COUNTBLANK(OFFSET(Demand!$I17,0,(COLUMN(D5)-1)*5,1,1))</f>
        <v>1</v>
      </c>
      <c r="F8" s="5">
        <f ca="1">COUNTBLANK(OFFSET(Demand!$I17,0,(COLUMN(E5)-1)*5,1,1))</f>
        <v>1</v>
      </c>
      <c r="G8" s="5">
        <f ca="1">COUNTBLANK(OFFSET(Demand!$I17,0,(COLUMN(F5)-1)*5,1,1))</f>
        <v>1</v>
      </c>
      <c r="H8" s="5">
        <f ca="1">COUNTBLANK(OFFSET(Demand!$I17,0,(COLUMN(G5)-1)*5,1,1))</f>
        <v>1</v>
      </c>
      <c r="I8" s="5">
        <f ca="1">COUNTBLANK(OFFSET(Demand!$I17,0,(COLUMN(H5)-1)*5,1,1))</f>
        <v>1</v>
      </c>
      <c r="J8" s="5">
        <f ca="1">COUNTBLANK(OFFSET(Demand!$I17,0,(COLUMN(I5)-1)*5,1,1))</f>
        <v>1</v>
      </c>
      <c r="K8" s="5">
        <f ca="1">COUNTBLANK(OFFSET(Demand!$I17,0,(COLUMN(J5)-1)*5,1,1))</f>
        <v>1</v>
      </c>
      <c r="N8" s="5">
        <f ca="1">SUM(OFFSET(Demand!$E17,0,(COLUMN(A5)-1)*5,1,3))*N$2</f>
        <v>90</v>
      </c>
      <c r="O8" s="5">
        <f ca="1">SUM(OFFSET(Demand!$E17,0,(COLUMN(B5)-1)*5,1,3))*O$2</f>
        <v>400</v>
      </c>
      <c r="P8" s="5">
        <f ca="1">SUM(OFFSET(Demand!$E17,0,(COLUMN(C5)-1)*5,1,3))*P$2</f>
        <v>0</v>
      </c>
      <c r="Q8" s="5">
        <f ca="1">SUM(OFFSET(Demand!$E17,0,(COLUMN(D5)-1)*5,1,3))*Q$2</f>
        <v>0</v>
      </c>
      <c r="R8" s="5">
        <f ca="1">SUM(OFFSET(Demand!$E17,0,(COLUMN(E5)-1)*5,1,3))*R$2</f>
        <v>0</v>
      </c>
      <c r="S8" s="5">
        <f ca="1">SUM(OFFSET(Demand!$E17,0,(COLUMN(F5)-1)*5,1,3))*S$2</f>
        <v>0</v>
      </c>
      <c r="T8" s="5">
        <f ca="1">SUM(OFFSET(Demand!$E17,0,(COLUMN(G5)-1)*5,1,3))*T$2</f>
        <v>0</v>
      </c>
      <c r="U8" s="5">
        <f ca="1">SUM(OFFSET(Demand!$E17,0,(COLUMN(H5)-1)*5,1,3))*U$2</f>
        <v>0</v>
      </c>
      <c r="V8" s="5">
        <f ca="1">SUM(OFFSET(Demand!$E17,0,(COLUMN(I5)-1)*5,1,3))*V$2</f>
        <v>0</v>
      </c>
      <c r="W8" s="5">
        <f ca="1">SUM(OFFSET(Demand!$E17,0,(COLUMN(J5)-1)*5,1,3))*W$2</f>
        <v>0</v>
      </c>
      <c r="X8" s="5">
        <f t="shared" ca="1" si="4"/>
        <v>490</v>
      </c>
      <c r="Y8" s="5">
        <f t="shared" ca="1" si="5"/>
        <v>490</v>
      </c>
      <c r="Z8" s="5">
        <f ca="1">SUM(OFFSET(Demand!$H17,0,(COLUMN(A5)-1)*5,1,1))*N$2</f>
        <v>0</v>
      </c>
      <c r="AA8" s="5">
        <f ca="1">SUM(OFFSET(Demand!$H17,0,(COLUMN(B5)-1)*5,1,1))*O$2</f>
        <v>0</v>
      </c>
      <c r="AB8" s="5">
        <f ca="1">SUM(OFFSET(Demand!$H17,0,(COLUMN(C5)-1)*5,1,1))*P$2</f>
        <v>0</v>
      </c>
      <c r="AC8" s="5">
        <f ca="1">SUM(OFFSET(Demand!$H17,0,(COLUMN(D5)-1)*5,1,1))*Q$2</f>
        <v>0</v>
      </c>
      <c r="AD8" s="5">
        <f ca="1">SUM(OFFSET(Demand!$H17,0,(COLUMN(E5)-1)*5,1,1))*R$2</f>
        <v>0</v>
      </c>
      <c r="AE8" s="5">
        <f ca="1">SUM(OFFSET(Demand!$H17,0,(COLUMN(F5)-1)*5,1,1))*S$2</f>
        <v>0</v>
      </c>
      <c r="AF8" s="5">
        <f ca="1">SUM(OFFSET(Demand!$H17,0,(COLUMN(G5)-1)*5,1,1))*T$2</f>
        <v>0</v>
      </c>
      <c r="AG8" s="5">
        <f ca="1">SUM(OFFSET(Demand!$H17,0,(COLUMN(H5)-1)*5,1,1))*U$2</f>
        <v>0</v>
      </c>
      <c r="AH8" s="5">
        <f ca="1">SUM(OFFSET(Demand!$H17,0,(COLUMN(I5)-1)*5,1,1))*V$2</f>
        <v>0</v>
      </c>
      <c r="AI8" s="5">
        <f ca="1">SUM(OFFSET(Demand!$H17,0,(COLUMN(J5)-1)*5,1,1))*W$2</f>
        <v>0</v>
      </c>
      <c r="AJ8" s="5">
        <f t="shared" ca="1" si="6"/>
        <v>0</v>
      </c>
      <c r="AL8" s="5">
        <f t="shared" ca="1" si="7"/>
        <v>490</v>
      </c>
      <c r="AM8" s="5">
        <f t="shared" ca="1" si="8"/>
        <v>0</v>
      </c>
      <c r="AN8" s="5" t="str">
        <f>IF(Demand!BE17="Yes","Yes","")</f>
        <v/>
      </c>
      <c r="AP8" s="37" t="str">
        <f ca="1">Demand!B17</f>
        <v xml:space="preserve"> </v>
      </c>
      <c r="AQ8" s="5" t="str">
        <f ca="1">IF(TEXT(Demand!D17,"MMM")&lt;&gt;TEXT(Demand!D16,"MMM"),TEXT(Demand!D17,"MMM"),"")</f>
        <v/>
      </c>
      <c r="AT8" s="5">
        <f t="shared" ca="1" si="10"/>
        <v>260</v>
      </c>
      <c r="BB8" t="str">
        <f>'Control sheet (hide)'!AA5</f>
        <v>Another modality</v>
      </c>
      <c r="BC8" s="47" t="str">
        <f t="shared" si="11"/>
        <v/>
      </c>
      <c r="BD8" s="47" t="str">
        <f t="shared" si="12"/>
        <v/>
      </c>
      <c r="BE8" s="47" t="str">
        <f t="shared" si="13"/>
        <v/>
      </c>
      <c r="BF8" s="5">
        <f ca="1">SUM(OFFSET($BQ$4,'SPC background (hide)'!$C$4-1,((ROW(A3)-1)*3)+MOD(COLUMN(C3),3),'SPC background (hide)'!$I$11,1))</f>
        <v>0</v>
      </c>
      <c r="BG8" s="5">
        <f ca="1">SUM(OFFSET($BQ$4,'SPC background (hide)'!$C$4-1,((ROW(B3)-1)*3)+MOD(COLUMN(D3),3),'SPC background (hide)'!$I$11,1))</f>
        <v>0</v>
      </c>
      <c r="BH8" s="5">
        <f ca="1">SUM(OFFSET($BQ$4,'SPC background (hide)'!$C$4-1,((ROW(C3)-1)*3)+MOD(COLUMN(E3),3),'SPC background (hide)'!$I$11,1))</f>
        <v>0</v>
      </c>
      <c r="BI8" s="5">
        <f t="shared" ca="1" si="15"/>
        <v>0</v>
      </c>
      <c r="BJ8" s="5">
        <f t="shared" ref="BJ8:BL8" ca="1" si="20">BF8*OFFSET($N$2,0,ROW(A3)-1,1,1)</f>
        <v>0</v>
      </c>
      <c r="BK8" s="5">
        <f t="shared" ca="1" si="20"/>
        <v>0</v>
      </c>
      <c r="BL8" s="5">
        <f t="shared" ca="1" si="20"/>
        <v>0</v>
      </c>
      <c r="BM8" s="5">
        <f t="shared" ca="1" si="17"/>
        <v>0</v>
      </c>
      <c r="BN8" s="5">
        <f t="shared" ca="1" si="18"/>
        <v>1</v>
      </c>
      <c r="BO8" s="85">
        <f t="shared" ca="1" si="19"/>
        <v>0</v>
      </c>
      <c r="BQ8">
        <f ca="1">IF($AN8="",OFFSET(Demand!$A$13,ROW(A5)-1,4+((QUOTIENT(COLUMN(BQ$2)-69,3))*5)+MOD(COLUMN(BQ$2),3),1,1),"")</f>
        <v>0</v>
      </c>
      <c r="BR8">
        <f ca="1">IF($AN8="",OFFSET(Demand!$A$13,ROW(B5)-1,4+((QUOTIENT(COLUMN(BR$2)-69,3))*5)+MOD(COLUMN(BR$2),3),1,1),"")</f>
        <v>1</v>
      </c>
      <c r="BS8">
        <f ca="1">IF($AN8="",OFFSET(Demand!$A$13,ROW(C5)-1,4+((QUOTIENT(COLUMN(BS$2)-69,3))*5)+MOD(COLUMN(BS$2),3),1,1),"")</f>
        <v>2</v>
      </c>
      <c r="BT8">
        <f ca="1">IF($AN8="",OFFSET(Demand!$A$13,ROW(D5)-1,4+((QUOTIENT(COLUMN(BT$2)-69,3))*5)+MOD(COLUMN(BT$2),3),1,1),"")</f>
        <v>0</v>
      </c>
      <c r="BU8">
        <f ca="1">IF($AN8="",OFFSET(Demand!$A$13,ROW(E5)-1,4+((QUOTIENT(COLUMN(BU$2)-69,3))*5)+MOD(COLUMN(BU$2),3),1,1),"")</f>
        <v>3</v>
      </c>
      <c r="BV8">
        <f ca="1">IF($AN8="",OFFSET(Demand!$A$13,ROW(F5)-1,4+((QUOTIENT(COLUMN(BV$2)-69,3))*5)+MOD(COLUMN(BV$2),3),1,1),"")</f>
        <v>7</v>
      </c>
      <c r="BW8">
        <f ca="1">IF($AN8="",OFFSET(Demand!$A$13,ROW(G5)-1,4+((QUOTIENT(COLUMN(BW$2)-69,3))*5)+MOD(COLUMN(BW$2),3),1,1),"")</f>
        <v>0</v>
      </c>
      <c r="BX8">
        <f ca="1">IF($AN8="",OFFSET(Demand!$A$13,ROW(H5)-1,4+((QUOTIENT(COLUMN(BX$2)-69,3))*5)+MOD(COLUMN(BX$2),3),1,1),"")</f>
        <v>0</v>
      </c>
      <c r="BY8">
        <f ca="1">IF($AN8="",OFFSET(Demand!$A$13,ROW(I5)-1,4+((QUOTIENT(COLUMN(BY$2)-69,3))*5)+MOD(COLUMN(BY$2),3),1,1),"")</f>
        <v>0</v>
      </c>
      <c r="BZ8">
        <f ca="1">IF($AN8="",OFFSET(Demand!$A$13,ROW(J5)-1,4+((QUOTIENT(COLUMN(BZ$2)-69,3))*5)+MOD(COLUMN(BZ$2),3),1,1),"")</f>
        <v>0</v>
      </c>
      <c r="CA8">
        <f ca="1">IF($AN8="",OFFSET(Demand!$A$13,ROW(K5)-1,4+((QUOTIENT(COLUMN(CA$2)-69,3))*5)+MOD(COLUMN(CA$2),3),1,1),"")</f>
        <v>0</v>
      </c>
      <c r="CB8">
        <f ca="1">IF($AN8="",OFFSET(Demand!$A$13,ROW(L5)-1,4+((QUOTIENT(COLUMN(CB$2)-69,3))*5)+MOD(COLUMN(CB$2),3),1,1),"")</f>
        <v>0</v>
      </c>
      <c r="CC8">
        <f ca="1">IF($AN8="",OFFSET(Demand!$A$13,ROW(M5)-1,4+((QUOTIENT(COLUMN(CC$2)-69,3))*5)+MOD(COLUMN(CC$2),3),1,1),"")</f>
        <v>0</v>
      </c>
      <c r="CD8">
        <f ca="1">IF($AN8="",OFFSET(Demand!$A$13,ROW(N5)-1,4+((QUOTIENT(COLUMN(CD$2)-69,3))*5)+MOD(COLUMN(CD$2),3),1,1),"")</f>
        <v>0</v>
      </c>
      <c r="CE8">
        <f ca="1">IF($AN8="",OFFSET(Demand!$A$13,ROW(O5)-1,4+((QUOTIENT(COLUMN(CE$2)-69,3))*5)+MOD(COLUMN(CE$2),3),1,1),"")</f>
        <v>0</v>
      </c>
      <c r="CF8">
        <f ca="1">IF($AN8="",OFFSET(Demand!$A$13,ROW(P5)-1,4+((QUOTIENT(COLUMN(CF$2)-69,3))*5)+MOD(COLUMN(CF$2),3),1,1),"")</f>
        <v>0</v>
      </c>
      <c r="CG8">
        <f ca="1">IF($AN8="",OFFSET(Demand!$A$13,ROW(Q5)-1,4+((QUOTIENT(COLUMN(CG$2)-69,3))*5)+MOD(COLUMN(CG$2),3),1,1),"")</f>
        <v>0</v>
      </c>
      <c r="CH8">
        <f ca="1">IF($AN8="",OFFSET(Demand!$A$13,ROW(R5)-1,4+((QUOTIENT(COLUMN(CH$2)-69,3))*5)+MOD(COLUMN(CH$2),3),1,1),"")</f>
        <v>0</v>
      </c>
      <c r="CI8">
        <f ca="1">IF($AN8="",OFFSET(Demand!$A$13,ROW(S5)-1,4+((QUOTIENT(COLUMN(CI$2)-69,3))*5)+MOD(COLUMN(CI$2),3),1,1),"")</f>
        <v>0</v>
      </c>
      <c r="CJ8">
        <f ca="1">IF($AN8="",OFFSET(Demand!$A$13,ROW(T5)-1,4+((QUOTIENT(COLUMN(CJ$2)-69,3))*5)+MOD(COLUMN(CJ$2),3),1,1),"")</f>
        <v>0</v>
      </c>
      <c r="CK8">
        <f ca="1">IF($AN8="",OFFSET(Demand!$A$13,ROW(U5)-1,4+((QUOTIENT(COLUMN(CK$2)-69,3))*5)+MOD(COLUMN(CK$2),3),1,1),"")</f>
        <v>0</v>
      </c>
      <c r="CL8">
        <f ca="1">IF($AN8="",OFFSET(Demand!$A$13,ROW(V5)-1,4+((QUOTIENT(COLUMN(CL$2)-69,3))*5)+MOD(COLUMN(CL$2),3),1,1),"")</f>
        <v>0</v>
      </c>
      <c r="CM8">
        <f ca="1">IF($AN8="",OFFSET(Demand!$A$13,ROW(W5)-1,4+((QUOTIENT(COLUMN(CM$2)-69,3))*5)+MOD(COLUMN(CM$2),3),1,1),"")</f>
        <v>0</v>
      </c>
      <c r="CN8">
        <f ca="1">IF($AN8="",OFFSET(Demand!$A$13,ROW(X5)-1,4+((QUOTIENT(COLUMN(CN$2)-69,3))*5)+MOD(COLUMN(CN$2),3),1,1),"")</f>
        <v>0</v>
      </c>
      <c r="CO8">
        <f ca="1">IF($AN8="",OFFSET(Demand!$A$13,ROW(Y5)-1,4+((QUOTIENT(COLUMN(CO$2)-69,3))*5)+MOD(COLUMN(CO$2),3),1,1),"")</f>
        <v>0</v>
      </c>
      <c r="CP8">
        <f ca="1">IF($AN8="",OFFSET(Demand!$A$13,ROW(Z5)-1,4+((QUOTIENT(COLUMN(CP$2)-69,3))*5)+MOD(COLUMN(CP$2),3),1,1),"")</f>
        <v>0</v>
      </c>
      <c r="CQ8">
        <f ca="1">IF($AN8="",OFFSET(Demand!$A$13,ROW(AA5)-1,4+((QUOTIENT(COLUMN(CQ$2)-69,3))*5)+MOD(COLUMN(CQ$2),3),1,1),"")</f>
        <v>0</v>
      </c>
      <c r="CR8">
        <f ca="1">IF($AN8="",OFFSET(Demand!$A$13,ROW(AB5)-1,4+((QUOTIENT(COLUMN(CR$2)-69,3))*5)+MOD(COLUMN(CR$2),3),1,1),"")</f>
        <v>0</v>
      </c>
      <c r="CS8">
        <f ca="1">IF($AN8="",OFFSET(Demand!$A$13,ROW(AC5)-1,4+((QUOTIENT(COLUMN(CS$2)-69,3))*5)+MOD(COLUMN(CS$2),3),1,1),"")</f>
        <v>0</v>
      </c>
      <c r="CT8">
        <f ca="1">IF($AN8="",OFFSET(Demand!$A$13,ROW(AD5)-1,4+((QUOTIENT(COLUMN(CT$2)-69,3))*5)+MOD(COLUMN(CT$2),3),1,1),"")</f>
        <v>0</v>
      </c>
      <c r="CW8" s="5">
        <f ca="1">SUM(OFFSET(Demand!$H$43,ROW(A5)-1,(COLUMN(A5)-1)*5,1,1))*N$2</f>
        <v>0</v>
      </c>
      <c r="CX8" s="5">
        <f ca="1">SUM(OFFSET(Demand!$H$43,ROW(B5)-1,(COLUMN(B5)-1)*5,1,1))*O$2</f>
        <v>0</v>
      </c>
      <c r="CY8" s="5">
        <f ca="1">SUM(OFFSET(Demand!$H$43,ROW(C5)-1,(COLUMN(C5)-1)*5,1,1))*P$2</f>
        <v>0</v>
      </c>
      <c r="CZ8" s="5">
        <f ca="1">SUM(OFFSET(Demand!$H$43,ROW(D5)-1,(COLUMN(D5)-1)*5,1,1))*Q$2</f>
        <v>0</v>
      </c>
      <c r="DA8" s="5">
        <f ca="1">SUM(OFFSET(Demand!$H$43,ROW(E5)-1,(COLUMN(E5)-1)*5,1,1))*R$2</f>
        <v>0</v>
      </c>
      <c r="DB8" s="5">
        <f ca="1">SUM(OFFSET(Demand!$H$43,ROW(F5)-1,(COLUMN(F5)-1)*5,1,1))*S$2</f>
        <v>0</v>
      </c>
      <c r="DC8" s="5">
        <f ca="1">SUM(OFFSET(Demand!$H$43,ROW(G5)-1,(COLUMN(G5)-1)*5,1,1))*T$2</f>
        <v>0</v>
      </c>
      <c r="DD8" s="5">
        <f ca="1">SUM(OFFSET(Demand!$H$43,ROW(H5)-1,(COLUMN(H5)-1)*5,1,1))*U$2</f>
        <v>0</v>
      </c>
      <c r="DE8" s="5">
        <f ca="1">SUM(OFFSET(Demand!$H$43,ROW(I5)-1,(COLUMN(I5)-1)*5,1,1))*V$2</f>
        <v>0</v>
      </c>
      <c r="DF8" s="5">
        <f ca="1">SUM(OFFSET(Demand!$H$43,ROW(J5)-1,(COLUMN(J5)-1)*5,1,1))*W$2</f>
        <v>0</v>
      </c>
      <c r="DG8" s="5">
        <f t="shared" ca="1" si="9"/>
        <v>0</v>
      </c>
      <c r="DI8" s="5" t="s">
        <v>233</v>
      </c>
      <c r="DJ8" s="5" t="str">
        <f ca="1">IFERROR(PERCENTILE((OFFSET('Demand background (hide)'!$DG$4,'SPC background (hide)'!$D$6-1,0,'SPC background (hide)'!$H$7,1)),'Control sheet (hide)'!$I$9),"")</f>
        <v/>
      </c>
    </row>
    <row r="9" spans="1:114" s="5" customFormat="1" x14ac:dyDescent="0.2">
      <c r="A9" s="5">
        <f t="shared" ca="1" si="3"/>
        <v>0</v>
      </c>
      <c r="B9" s="5">
        <f ca="1">COUNTBLANK(OFFSET(Demand!$I18,0,(COLUMN(A6)-1)*5,1,1))</f>
        <v>0</v>
      </c>
      <c r="C9" s="5">
        <f ca="1">COUNTBLANK(OFFSET(Demand!$I18,0,(COLUMN(B6)-1)*5,1,1))</f>
        <v>0</v>
      </c>
      <c r="D9" s="5">
        <f ca="1">COUNTBLANK(OFFSET(Demand!$I18,0,(COLUMN(C6)-1)*5,1,1))</f>
        <v>1</v>
      </c>
      <c r="E9" s="5">
        <f ca="1">COUNTBLANK(OFFSET(Demand!$I18,0,(COLUMN(D6)-1)*5,1,1))</f>
        <v>1</v>
      </c>
      <c r="F9" s="5">
        <f ca="1">COUNTBLANK(OFFSET(Demand!$I18,0,(COLUMN(E6)-1)*5,1,1))</f>
        <v>1</v>
      </c>
      <c r="G9" s="5">
        <f ca="1">COUNTBLANK(OFFSET(Demand!$I18,0,(COLUMN(F6)-1)*5,1,1))</f>
        <v>1</v>
      </c>
      <c r="H9" s="5">
        <f ca="1">COUNTBLANK(OFFSET(Demand!$I18,0,(COLUMN(G6)-1)*5,1,1))</f>
        <v>1</v>
      </c>
      <c r="I9" s="5">
        <f ca="1">COUNTBLANK(OFFSET(Demand!$I18,0,(COLUMN(H6)-1)*5,1,1))</f>
        <v>1</v>
      </c>
      <c r="J9" s="5">
        <f ca="1">COUNTBLANK(OFFSET(Demand!$I18,0,(COLUMN(I6)-1)*5,1,1))</f>
        <v>1</v>
      </c>
      <c r="K9" s="5">
        <f ca="1">COUNTBLANK(OFFSET(Demand!$I18,0,(COLUMN(J6)-1)*5,1,1))</f>
        <v>1</v>
      </c>
      <c r="N9" s="5">
        <f ca="1">SUM(OFFSET(Demand!$E18,0,(COLUMN(A6)-1)*5,1,3))*N$2</f>
        <v>120</v>
      </c>
      <c r="O9" s="5">
        <f ca="1">SUM(OFFSET(Demand!$E18,0,(COLUMN(B6)-1)*5,1,3))*O$2</f>
        <v>280</v>
      </c>
      <c r="P9" s="5">
        <f ca="1">SUM(OFFSET(Demand!$E18,0,(COLUMN(C6)-1)*5,1,3))*P$2</f>
        <v>0</v>
      </c>
      <c r="Q9" s="5">
        <f ca="1">SUM(OFFSET(Demand!$E18,0,(COLUMN(D6)-1)*5,1,3))*Q$2</f>
        <v>0</v>
      </c>
      <c r="R9" s="5">
        <f ca="1">SUM(OFFSET(Demand!$E18,0,(COLUMN(E6)-1)*5,1,3))*R$2</f>
        <v>0</v>
      </c>
      <c r="S9" s="5">
        <f ca="1">SUM(OFFSET(Demand!$E18,0,(COLUMN(F6)-1)*5,1,3))*S$2</f>
        <v>0</v>
      </c>
      <c r="T9" s="5">
        <f ca="1">SUM(OFFSET(Demand!$E18,0,(COLUMN(G6)-1)*5,1,3))*T$2</f>
        <v>0</v>
      </c>
      <c r="U9" s="5">
        <f ca="1">SUM(OFFSET(Demand!$E18,0,(COLUMN(H6)-1)*5,1,3))*U$2</f>
        <v>0</v>
      </c>
      <c r="V9" s="5">
        <f ca="1">SUM(OFFSET(Demand!$E18,0,(COLUMN(I6)-1)*5,1,3))*V$2</f>
        <v>0</v>
      </c>
      <c r="W9" s="5">
        <f ca="1">SUM(OFFSET(Demand!$E18,0,(COLUMN(J6)-1)*5,1,3))*W$2</f>
        <v>0</v>
      </c>
      <c r="X9" s="5">
        <f t="shared" ca="1" si="4"/>
        <v>400</v>
      </c>
      <c r="Y9" s="5">
        <f t="shared" ca="1" si="5"/>
        <v>400</v>
      </c>
      <c r="Z9" s="5">
        <f ca="1">SUM(OFFSET(Demand!$H18,0,(COLUMN(A6)-1)*5,1,1))*N$2</f>
        <v>0</v>
      </c>
      <c r="AA9" s="5">
        <f ca="1">SUM(OFFSET(Demand!$H18,0,(COLUMN(B6)-1)*5,1,1))*O$2</f>
        <v>0</v>
      </c>
      <c r="AB9" s="5">
        <f ca="1">SUM(OFFSET(Demand!$H18,0,(COLUMN(C6)-1)*5,1,1))*P$2</f>
        <v>0</v>
      </c>
      <c r="AC9" s="5">
        <f ca="1">SUM(OFFSET(Demand!$H18,0,(COLUMN(D6)-1)*5,1,1))*Q$2</f>
        <v>0</v>
      </c>
      <c r="AD9" s="5">
        <f ca="1">SUM(OFFSET(Demand!$H18,0,(COLUMN(E6)-1)*5,1,1))*R$2</f>
        <v>0</v>
      </c>
      <c r="AE9" s="5">
        <f ca="1">SUM(OFFSET(Demand!$H18,0,(COLUMN(F6)-1)*5,1,1))*S$2</f>
        <v>0</v>
      </c>
      <c r="AF9" s="5">
        <f ca="1">SUM(OFFSET(Demand!$H18,0,(COLUMN(G6)-1)*5,1,1))*T$2</f>
        <v>0</v>
      </c>
      <c r="AG9" s="5">
        <f ca="1">SUM(OFFSET(Demand!$H18,0,(COLUMN(H6)-1)*5,1,1))*U$2</f>
        <v>0</v>
      </c>
      <c r="AH9" s="5">
        <f ca="1">SUM(OFFSET(Demand!$H18,0,(COLUMN(I6)-1)*5,1,1))*V$2</f>
        <v>0</v>
      </c>
      <c r="AI9" s="5">
        <f ca="1">SUM(OFFSET(Demand!$H18,0,(COLUMN(J6)-1)*5,1,1))*W$2</f>
        <v>0</v>
      </c>
      <c r="AJ9" s="5">
        <f t="shared" ca="1" si="6"/>
        <v>0</v>
      </c>
      <c r="AL9" s="5">
        <f t="shared" ca="1" si="7"/>
        <v>400</v>
      </c>
      <c r="AM9" s="5">
        <f t="shared" ca="1" si="8"/>
        <v>0</v>
      </c>
      <c r="AN9" s="5" t="str">
        <f>IF(Demand!BE18="Yes","Yes","")</f>
        <v/>
      </c>
      <c r="AP9" s="37" t="str">
        <f ca="1">Demand!B18</f>
        <v xml:space="preserve"> </v>
      </c>
      <c r="AQ9" s="5" t="str">
        <f ca="1">IF(TEXT(Demand!D18,"MMM")&lt;&gt;TEXT(Demand!D17,"MMM"),TEXT(Demand!D18,"MMM"),"")</f>
        <v>May</v>
      </c>
      <c r="AT9" s="5">
        <f t="shared" ca="1" si="10"/>
        <v>90</v>
      </c>
      <c r="BB9" t="str">
        <f>'Control sheet (hide)'!AA6</f>
        <v>Modality 4</v>
      </c>
      <c r="BC9" s="47" t="str">
        <f t="shared" si="11"/>
        <v/>
      </c>
      <c r="BD9" s="47" t="str">
        <f t="shared" si="12"/>
        <v/>
      </c>
      <c r="BE9" s="47" t="str">
        <f t="shared" si="13"/>
        <v/>
      </c>
      <c r="BF9" s="5">
        <f ca="1">SUM(OFFSET($BQ$4,'SPC background (hide)'!$C$4-1,((ROW(A4)-1)*3)+MOD(COLUMN(C4),3),'SPC background (hide)'!$I$11,1))</f>
        <v>0</v>
      </c>
      <c r="BG9" s="5">
        <f ca="1">SUM(OFFSET($BQ$4,'SPC background (hide)'!$C$4-1,((ROW(B4)-1)*3)+MOD(COLUMN(D4),3),'SPC background (hide)'!$I$11,1))</f>
        <v>0</v>
      </c>
      <c r="BH9" s="5">
        <f ca="1">SUM(OFFSET($BQ$4,'SPC background (hide)'!$C$4-1,((ROW(C4)-1)*3)+MOD(COLUMN(E4),3),'SPC background (hide)'!$I$11,1))</f>
        <v>0</v>
      </c>
      <c r="BI9" s="5">
        <f t="shared" ca="1" si="15"/>
        <v>0</v>
      </c>
      <c r="BJ9" s="5">
        <f t="shared" ref="BJ9:BL9" ca="1" si="21">BF9*OFFSET($N$2,0,ROW(A4)-1,1,1)</f>
        <v>0</v>
      </c>
      <c r="BK9" s="5">
        <f t="shared" ca="1" si="21"/>
        <v>0</v>
      </c>
      <c r="BL9" s="5">
        <f t="shared" ca="1" si="21"/>
        <v>0</v>
      </c>
      <c r="BM9" s="5">
        <f t="shared" ca="1" si="17"/>
        <v>0</v>
      </c>
      <c r="BN9" s="5">
        <f t="shared" ca="1" si="18"/>
        <v>1</v>
      </c>
      <c r="BO9" s="85">
        <f t="shared" ca="1" si="19"/>
        <v>0</v>
      </c>
      <c r="BQ9">
        <f ca="1">IF($AN9="",OFFSET(Demand!$A$13,ROW(A6)-1,4+((QUOTIENT(COLUMN(BQ$2)-69,3))*5)+MOD(COLUMN(BQ$2),3),1,1),"")</f>
        <v>0</v>
      </c>
      <c r="BR9">
        <f ca="1">IF($AN9="",OFFSET(Demand!$A$13,ROW(B6)-1,4+((QUOTIENT(COLUMN(BR$2)-69,3))*5)+MOD(COLUMN(BR$2),3),1,1),"")</f>
        <v>0</v>
      </c>
      <c r="BS9">
        <f ca="1">IF($AN9="",OFFSET(Demand!$A$13,ROW(C6)-1,4+((QUOTIENT(COLUMN(BS$2)-69,3))*5)+MOD(COLUMN(BS$2),3),1,1),"")</f>
        <v>4</v>
      </c>
      <c r="BT9">
        <f ca="1">IF($AN9="",OFFSET(Demand!$A$13,ROW(D6)-1,4+((QUOTIENT(COLUMN(BT$2)-69,3))*5)+MOD(COLUMN(BT$2),3),1,1),"")</f>
        <v>0</v>
      </c>
      <c r="BU9">
        <f ca="1">IF($AN9="",OFFSET(Demand!$A$13,ROW(E6)-1,4+((QUOTIENT(COLUMN(BU$2)-69,3))*5)+MOD(COLUMN(BU$2),3),1,1),"")</f>
        <v>2</v>
      </c>
      <c r="BV9">
        <f ca="1">IF($AN9="",OFFSET(Demand!$A$13,ROW(F6)-1,4+((QUOTIENT(COLUMN(BV$2)-69,3))*5)+MOD(COLUMN(BV$2),3),1,1),"")</f>
        <v>5</v>
      </c>
      <c r="BW9">
        <f ca="1">IF($AN9="",OFFSET(Demand!$A$13,ROW(G6)-1,4+((QUOTIENT(COLUMN(BW$2)-69,3))*5)+MOD(COLUMN(BW$2),3),1,1),"")</f>
        <v>0</v>
      </c>
      <c r="BX9">
        <f ca="1">IF($AN9="",OFFSET(Demand!$A$13,ROW(H6)-1,4+((QUOTIENT(COLUMN(BX$2)-69,3))*5)+MOD(COLUMN(BX$2),3),1,1),"")</f>
        <v>0</v>
      </c>
      <c r="BY9">
        <f ca="1">IF($AN9="",OFFSET(Demand!$A$13,ROW(I6)-1,4+((QUOTIENT(COLUMN(BY$2)-69,3))*5)+MOD(COLUMN(BY$2),3),1,1),"")</f>
        <v>0</v>
      </c>
      <c r="BZ9">
        <f ca="1">IF($AN9="",OFFSET(Demand!$A$13,ROW(J6)-1,4+((QUOTIENT(COLUMN(BZ$2)-69,3))*5)+MOD(COLUMN(BZ$2),3),1,1),"")</f>
        <v>0</v>
      </c>
      <c r="CA9">
        <f ca="1">IF($AN9="",OFFSET(Demand!$A$13,ROW(K6)-1,4+((QUOTIENT(COLUMN(CA$2)-69,3))*5)+MOD(COLUMN(CA$2),3),1,1),"")</f>
        <v>0</v>
      </c>
      <c r="CB9">
        <f ca="1">IF($AN9="",OFFSET(Demand!$A$13,ROW(L6)-1,4+((QUOTIENT(COLUMN(CB$2)-69,3))*5)+MOD(COLUMN(CB$2),3),1,1),"")</f>
        <v>0</v>
      </c>
      <c r="CC9">
        <f ca="1">IF($AN9="",OFFSET(Demand!$A$13,ROW(M6)-1,4+((QUOTIENT(COLUMN(CC$2)-69,3))*5)+MOD(COLUMN(CC$2),3),1,1),"")</f>
        <v>0</v>
      </c>
      <c r="CD9">
        <f ca="1">IF($AN9="",OFFSET(Demand!$A$13,ROW(N6)-1,4+((QUOTIENT(COLUMN(CD$2)-69,3))*5)+MOD(COLUMN(CD$2),3),1,1),"")</f>
        <v>0</v>
      </c>
      <c r="CE9">
        <f ca="1">IF($AN9="",OFFSET(Demand!$A$13,ROW(O6)-1,4+((QUOTIENT(COLUMN(CE$2)-69,3))*5)+MOD(COLUMN(CE$2),3),1,1),"")</f>
        <v>0</v>
      </c>
      <c r="CF9">
        <f ca="1">IF($AN9="",OFFSET(Demand!$A$13,ROW(P6)-1,4+((QUOTIENT(COLUMN(CF$2)-69,3))*5)+MOD(COLUMN(CF$2),3),1,1),"")</f>
        <v>0</v>
      </c>
      <c r="CG9">
        <f ca="1">IF($AN9="",OFFSET(Demand!$A$13,ROW(Q6)-1,4+((QUOTIENT(COLUMN(CG$2)-69,3))*5)+MOD(COLUMN(CG$2),3),1,1),"")</f>
        <v>0</v>
      </c>
      <c r="CH9">
        <f ca="1">IF($AN9="",OFFSET(Demand!$A$13,ROW(R6)-1,4+((QUOTIENT(COLUMN(CH$2)-69,3))*5)+MOD(COLUMN(CH$2),3),1,1),"")</f>
        <v>0</v>
      </c>
      <c r="CI9">
        <f ca="1">IF($AN9="",OFFSET(Demand!$A$13,ROW(S6)-1,4+((QUOTIENT(COLUMN(CI$2)-69,3))*5)+MOD(COLUMN(CI$2),3),1,1),"")</f>
        <v>0</v>
      </c>
      <c r="CJ9">
        <f ca="1">IF($AN9="",OFFSET(Demand!$A$13,ROW(T6)-1,4+((QUOTIENT(COLUMN(CJ$2)-69,3))*5)+MOD(COLUMN(CJ$2),3),1,1),"")</f>
        <v>0</v>
      </c>
      <c r="CK9">
        <f ca="1">IF($AN9="",OFFSET(Demand!$A$13,ROW(U6)-1,4+((QUOTIENT(COLUMN(CK$2)-69,3))*5)+MOD(COLUMN(CK$2),3),1,1),"")</f>
        <v>0</v>
      </c>
      <c r="CL9">
        <f ca="1">IF($AN9="",OFFSET(Demand!$A$13,ROW(V6)-1,4+((QUOTIENT(COLUMN(CL$2)-69,3))*5)+MOD(COLUMN(CL$2),3),1,1),"")</f>
        <v>0</v>
      </c>
      <c r="CM9">
        <f ca="1">IF($AN9="",OFFSET(Demand!$A$13,ROW(W6)-1,4+((QUOTIENT(COLUMN(CM$2)-69,3))*5)+MOD(COLUMN(CM$2),3),1,1),"")</f>
        <v>0</v>
      </c>
      <c r="CN9">
        <f ca="1">IF($AN9="",OFFSET(Demand!$A$13,ROW(X6)-1,4+((QUOTIENT(COLUMN(CN$2)-69,3))*5)+MOD(COLUMN(CN$2),3),1,1),"")</f>
        <v>0</v>
      </c>
      <c r="CO9">
        <f ca="1">IF($AN9="",OFFSET(Demand!$A$13,ROW(Y6)-1,4+((QUOTIENT(COLUMN(CO$2)-69,3))*5)+MOD(COLUMN(CO$2),3),1,1),"")</f>
        <v>0</v>
      </c>
      <c r="CP9">
        <f ca="1">IF($AN9="",OFFSET(Demand!$A$13,ROW(Z6)-1,4+((QUOTIENT(COLUMN(CP$2)-69,3))*5)+MOD(COLUMN(CP$2),3),1,1),"")</f>
        <v>0</v>
      </c>
      <c r="CQ9">
        <f ca="1">IF($AN9="",OFFSET(Demand!$A$13,ROW(AA6)-1,4+((QUOTIENT(COLUMN(CQ$2)-69,3))*5)+MOD(COLUMN(CQ$2),3),1,1),"")</f>
        <v>0</v>
      </c>
      <c r="CR9">
        <f ca="1">IF($AN9="",OFFSET(Demand!$A$13,ROW(AB6)-1,4+((QUOTIENT(COLUMN(CR$2)-69,3))*5)+MOD(COLUMN(CR$2),3),1,1),"")</f>
        <v>0</v>
      </c>
      <c r="CS9">
        <f ca="1">IF($AN9="",OFFSET(Demand!$A$13,ROW(AC6)-1,4+((QUOTIENT(COLUMN(CS$2)-69,3))*5)+MOD(COLUMN(CS$2),3),1,1),"")</f>
        <v>0</v>
      </c>
      <c r="CT9">
        <f ca="1">IF($AN9="",OFFSET(Demand!$A$13,ROW(AD6)-1,4+((QUOTIENT(COLUMN(CT$2)-69,3))*5)+MOD(COLUMN(CT$2),3),1,1),"")</f>
        <v>0</v>
      </c>
      <c r="CW9" s="5">
        <f ca="1">SUM(OFFSET(Demand!$H$43,ROW(A6)-1,(COLUMN(A6)-1)*5,1,1))*N$2</f>
        <v>0</v>
      </c>
      <c r="CX9" s="5">
        <f ca="1">SUM(OFFSET(Demand!$H$43,ROW(B6)-1,(COLUMN(B6)-1)*5,1,1))*O$2</f>
        <v>0</v>
      </c>
      <c r="CY9" s="5">
        <f ca="1">SUM(OFFSET(Demand!$H$43,ROW(C6)-1,(COLUMN(C6)-1)*5,1,1))*P$2</f>
        <v>0</v>
      </c>
      <c r="CZ9" s="5">
        <f ca="1">SUM(OFFSET(Demand!$H$43,ROW(D6)-1,(COLUMN(D6)-1)*5,1,1))*Q$2</f>
        <v>0</v>
      </c>
      <c r="DA9" s="5">
        <f ca="1">SUM(OFFSET(Demand!$H$43,ROW(E6)-1,(COLUMN(E6)-1)*5,1,1))*R$2</f>
        <v>0</v>
      </c>
      <c r="DB9" s="5">
        <f ca="1">SUM(OFFSET(Demand!$H$43,ROW(F6)-1,(COLUMN(F6)-1)*5,1,1))*S$2</f>
        <v>0</v>
      </c>
      <c r="DC9" s="5">
        <f ca="1">SUM(OFFSET(Demand!$H$43,ROW(G6)-1,(COLUMN(G6)-1)*5,1,1))*T$2</f>
        <v>0</v>
      </c>
      <c r="DD9" s="5">
        <f ca="1">SUM(OFFSET(Demand!$H$43,ROW(H6)-1,(COLUMN(H6)-1)*5,1,1))*U$2</f>
        <v>0</v>
      </c>
      <c r="DE9" s="5">
        <f ca="1">SUM(OFFSET(Demand!$H$43,ROW(I6)-1,(COLUMN(I6)-1)*5,1,1))*V$2</f>
        <v>0</v>
      </c>
      <c r="DF9" s="5">
        <f ca="1">SUM(OFFSET(Demand!$H$43,ROW(J6)-1,(COLUMN(J6)-1)*5,1,1))*W$2</f>
        <v>0</v>
      </c>
      <c r="DG9" s="5">
        <f t="shared" ca="1" si="9"/>
        <v>0</v>
      </c>
      <c r="DI9" s="5" t="s">
        <v>234</v>
      </c>
      <c r="DJ9" s="5" t="str">
        <f ca="1">IFERROR(PERCENTILE((OFFSET('Demand background (hide)'!$DG$4,'SPC background (hide)'!$D$6-1,0,'SPC background (hide)'!$H$7,1)),'Control sheet (hide)'!$I$10),"")</f>
        <v/>
      </c>
    </row>
    <row r="10" spans="1:114" s="5" customFormat="1" x14ac:dyDescent="0.2">
      <c r="A10" s="5">
        <f t="shared" ca="1" si="3"/>
        <v>0</v>
      </c>
      <c r="B10" s="5">
        <f ca="1">COUNTBLANK(OFFSET(Demand!$I19,0,(COLUMN(A7)-1)*5,1,1))</f>
        <v>0</v>
      </c>
      <c r="C10" s="5">
        <f ca="1">COUNTBLANK(OFFSET(Demand!$I19,0,(COLUMN(B7)-1)*5,1,1))</f>
        <v>0</v>
      </c>
      <c r="D10" s="5">
        <f ca="1">COUNTBLANK(OFFSET(Demand!$I19,0,(COLUMN(C7)-1)*5,1,1))</f>
        <v>1</v>
      </c>
      <c r="E10" s="5">
        <f ca="1">COUNTBLANK(OFFSET(Demand!$I19,0,(COLUMN(D7)-1)*5,1,1))</f>
        <v>1</v>
      </c>
      <c r="F10" s="5">
        <f ca="1">COUNTBLANK(OFFSET(Demand!$I19,0,(COLUMN(E7)-1)*5,1,1))</f>
        <v>1</v>
      </c>
      <c r="G10" s="5">
        <f ca="1">COUNTBLANK(OFFSET(Demand!$I19,0,(COLUMN(F7)-1)*5,1,1))</f>
        <v>1</v>
      </c>
      <c r="H10" s="5">
        <f ca="1">COUNTBLANK(OFFSET(Demand!$I19,0,(COLUMN(G7)-1)*5,1,1))</f>
        <v>1</v>
      </c>
      <c r="I10" s="5">
        <f ca="1">COUNTBLANK(OFFSET(Demand!$I19,0,(COLUMN(H7)-1)*5,1,1))</f>
        <v>1</v>
      </c>
      <c r="J10" s="5">
        <f ca="1">COUNTBLANK(OFFSET(Demand!$I19,0,(COLUMN(I7)-1)*5,1,1))</f>
        <v>1</v>
      </c>
      <c r="K10" s="5">
        <f ca="1">COUNTBLANK(OFFSET(Demand!$I19,0,(COLUMN(J7)-1)*5,1,1))</f>
        <v>1</v>
      </c>
      <c r="N10" s="5">
        <f ca="1">SUM(OFFSET(Demand!$E19,0,(COLUMN(A7)-1)*5,1,3))*N$2</f>
        <v>150</v>
      </c>
      <c r="O10" s="5">
        <f ca="1">SUM(OFFSET(Demand!$E19,0,(COLUMN(B7)-1)*5,1,3))*O$2</f>
        <v>440</v>
      </c>
      <c r="P10" s="5">
        <f ca="1">SUM(OFFSET(Demand!$E19,0,(COLUMN(C7)-1)*5,1,3))*P$2</f>
        <v>0</v>
      </c>
      <c r="Q10" s="5">
        <f ca="1">SUM(OFFSET(Demand!$E19,0,(COLUMN(D7)-1)*5,1,3))*Q$2</f>
        <v>0</v>
      </c>
      <c r="R10" s="5">
        <f ca="1">SUM(OFFSET(Demand!$E19,0,(COLUMN(E7)-1)*5,1,3))*R$2</f>
        <v>0</v>
      </c>
      <c r="S10" s="5">
        <f ca="1">SUM(OFFSET(Demand!$E19,0,(COLUMN(F7)-1)*5,1,3))*S$2</f>
        <v>0</v>
      </c>
      <c r="T10" s="5">
        <f ca="1">SUM(OFFSET(Demand!$E19,0,(COLUMN(G7)-1)*5,1,3))*T$2</f>
        <v>0</v>
      </c>
      <c r="U10" s="5">
        <f ca="1">SUM(OFFSET(Demand!$E19,0,(COLUMN(H7)-1)*5,1,3))*U$2</f>
        <v>0</v>
      </c>
      <c r="V10" s="5">
        <f ca="1">SUM(OFFSET(Demand!$E19,0,(COLUMN(I7)-1)*5,1,3))*V$2</f>
        <v>0</v>
      </c>
      <c r="W10" s="5">
        <f ca="1">SUM(OFFSET(Demand!$E19,0,(COLUMN(J7)-1)*5,1,3))*W$2</f>
        <v>0</v>
      </c>
      <c r="X10" s="5">
        <f t="shared" ca="1" si="4"/>
        <v>590</v>
      </c>
      <c r="Y10" s="5">
        <f t="shared" ca="1" si="5"/>
        <v>590</v>
      </c>
      <c r="Z10" s="5">
        <f ca="1">SUM(OFFSET(Demand!$H19,0,(COLUMN(A7)-1)*5,1,1))*N$2</f>
        <v>0</v>
      </c>
      <c r="AA10" s="5">
        <f ca="1">SUM(OFFSET(Demand!$H19,0,(COLUMN(B7)-1)*5,1,1))*O$2</f>
        <v>0</v>
      </c>
      <c r="AB10" s="5">
        <f ca="1">SUM(OFFSET(Demand!$H19,0,(COLUMN(C7)-1)*5,1,1))*P$2</f>
        <v>0</v>
      </c>
      <c r="AC10" s="5">
        <f ca="1">SUM(OFFSET(Demand!$H19,0,(COLUMN(D7)-1)*5,1,1))*Q$2</f>
        <v>0</v>
      </c>
      <c r="AD10" s="5">
        <f ca="1">SUM(OFFSET(Demand!$H19,0,(COLUMN(E7)-1)*5,1,1))*R$2</f>
        <v>0</v>
      </c>
      <c r="AE10" s="5">
        <f ca="1">SUM(OFFSET(Demand!$H19,0,(COLUMN(F7)-1)*5,1,1))*S$2</f>
        <v>0</v>
      </c>
      <c r="AF10" s="5">
        <f ca="1">SUM(OFFSET(Demand!$H19,0,(COLUMN(G7)-1)*5,1,1))*T$2</f>
        <v>0</v>
      </c>
      <c r="AG10" s="5">
        <f ca="1">SUM(OFFSET(Demand!$H19,0,(COLUMN(H7)-1)*5,1,1))*U$2</f>
        <v>0</v>
      </c>
      <c r="AH10" s="5">
        <f ca="1">SUM(OFFSET(Demand!$H19,0,(COLUMN(I7)-1)*5,1,1))*V$2</f>
        <v>0</v>
      </c>
      <c r="AI10" s="5">
        <f ca="1">SUM(OFFSET(Demand!$H19,0,(COLUMN(J7)-1)*5,1,1))*W$2</f>
        <v>0</v>
      </c>
      <c r="AJ10" s="5">
        <f t="shared" ca="1" si="6"/>
        <v>0</v>
      </c>
      <c r="AL10" s="5">
        <f t="shared" ca="1" si="7"/>
        <v>590</v>
      </c>
      <c r="AM10" s="5">
        <f t="shared" ca="1" si="8"/>
        <v>0</v>
      </c>
      <c r="AN10" s="5" t="str">
        <f>IF(Demand!BE19="Yes","Yes","")</f>
        <v/>
      </c>
      <c r="AP10" s="37" t="str">
        <f ca="1">Demand!B19</f>
        <v xml:space="preserve"> </v>
      </c>
      <c r="AQ10" s="5" t="str">
        <f ca="1">IF(TEXT(Demand!D19,"MMM")&lt;&gt;TEXT(Demand!D18,"MMM"),TEXT(Demand!D19,"MMM"),"")</f>
        <v/>
      </c>
      <c r="AT10" s="5">
        <f t="shared" ca="1" si="10"/>
        <v>190</v>
      </c>
      <c r="AV10" s="5" t="s">
        <v>71</v>
      </c>
      <c r="AW10" s="45" t="str">
        <f ca="1">IFERROR(AVERAGE(OFFSET(AL$4,'SPC background (hide)'!$D$6-1,0,'SPC background (hide)'!$H$7,1)),"")</f>
        <v/>
      </c>
      <c r="AX10" s="5" t="str">
        <f ca="1">IFERROR(AVERAGE(OFFSET(AM$4,'SPC background (hide)'!$D$6-1,0,'SPC background (hide)'!$H$7,1)),"")</f>
        <v/>
      </c>
      <c r="BB10" t="str">
        <f>'Control sheet (hide)'!AA7</f>
        <v>Modality 5</v>
      </c>
      <c r="BC10" s="47" t="str">
        <f t="shared" si="11"/>
        <v/>
      </c>
      <c r="BD10" s="47" t="str">
        <f t="shared" si="12"/>
        <v/>
      </c>
      <c r="BE10" s="47" t="str">
        <f t="shared" si="13"/>
        <v/>
      </c>
      <c r="BF10" s="5">
        <f ca="1">SUM(OFFSET($BQ$4,'SPC background (hide)'!$C$4-1,((ROW(A5)-1)*3)+MOD(COLUMN(C5),3),'SPC background (hide)'!$I$11,1))</f>
        <v>0</v>
      </c>
      <c r="BG10" s="5">
        <f ca="1">SUM(OFFSET($BQ$4,'SPC background (hide)'!$C$4-1,((ROW(B5)-1)*3)+MOD(COLUMN(D5),3),'SPC background (hide)'!$I$11,1))</f>
        <v>0</v>
      </c>
      <c r="BH10" s="5">
        <f ca="1">SUM(OFFSET($BQ$4,'SPC background (hide)'!$C$4-1,((ROW(C5)-1)*3)+MOD(COLUMN(E5),3),'SPC background (hide)'!$I$11,1))</f>
        <v>0</v>
      </c>
      <c r="BI10" s="5">
        <f t="shared" ca="1" si="15"/>
        <v>0</v>
      </c>
      <c r="BJ10" s="5">
        <f t="shared" ref="BJ10:BL10" ca="1" si="22">BF10*OFFSET($N$2,0,ROW(A5)-1,1,1)</f>
        <v>0</v>
      </c>
      <c r="BK10" s="5">
        <f t="shared" ca="1" si="22"/>
        <v>0</v>
      </c>
      <c r="BL10" s="5">
        <f t="shared" ca="1" si="22"/>
        <v>0</v>
      </c>
      <c r="BM10" s="5">
        <f t="shared" ca="1" si="17"/>
        <v>0</v>
      </c>
      <c r="BN10" s="5">
        <f t="shared" ca="1" si="18"/>
        <v>1</v>
      </c>
      <c r="BO10" s="85">
        <f t="shared" ca="1" si="19"/>
        <v>0</v>
      </c>
      <c r="BQ10">
        <f ca="1">IF($AN10="",OFFSET(Demand!$A$13,ROW(A7)-1,4+((QUOTIENT(COLUMN(BQ$2)-69,3))*5)+MOD(COLUMN(BQ$2),3),1,1),"")</f>
        <v>0</v>
      </c>
      <c r="BR10">
        <f ca="1">IF($AN10="",OFFSET(Demand!$A$13,ROW(B7)-1,4+((QUOTIENT(COLUMN(BR$2)-69,3))*5)+MOD(COLUMN(BR$2),3),1,1),"")</f>
        <v>1</v>
      </c>
      <c r="BS10">
        <f ca="1">IF($AN10="",OFFSET(Demand!$A$13,ROW(C7)-1,4+((QUOTIENT(COLUMN(BS$2)-69,3))*5)+MOD(COLUMN(BS$2),3),1,1),"")</f>
        <v>4</v>
      </c>
      <c r="BT10">
        <f ca="1">IF($AN10="",OFFSET(Demand!$A$13,ROW(D7)-1,4+((QUOTIENT(COLUMN(BT$2)-69,3))*5)+MOD(COLUMN(BT$2),3),1,1),"")</f>
        <v>0</v>
      </c>
      <c r="BU10">
        <f ca="1">IF($AN10="",OFFSET(Demand!$A$13,ROW(E7)-1,4+((QUOTIENT(COLUMN(BU$2)-69,3))*5)+MOD(COLUMN(BU$2),3),1,1),"")</f>
        <v>2</v>
      </c>
      <c r="BV10">
        <f ca="1">IF($AN10="",OFFSET(Demand!$A$13,ROW(F7)-1,4+((QUOTIENT(COLUMN(BV$2)-69,3))*5)+MOD(COLUMN(BV$2),3),1,1),"")</f>
        <v>9</v>
      </c>
      <c r="BW10">
        <f ca="1">IF($AN10="",OFFSET(Demand!$A$13,ROW(G7)-1,4+((QUOTIENT(COLUMN(BW$2)-69,3))*5)+MOD(COLUMN(BW$2),3),1,1),"")</f>
        <v>0</v>
      </c>
      <c r="BX10">
        <f ca="1">IF($AN10="",OFFSET(Demand!$A$13,ROW(H7)-1,4+((QUOTIENT(COLUMN(BX$2)-69,3))*5)+MOD(COLUMN(BX$2),3),1,1),"")</f>
        <v>0</v>
      </c>
      <c r="BY10">
        <f ca="1">IF($AN10="",OFFSET(Demand!$A$13,ROW(I7)-1,4+((QUOTIENT(COLUMN(BY$2)-69,3))*5)+MOD(COLUMN(BY$2),3),1,1),"")</f>
        <v>0</v>
      </c>
      <c r="BZ10">
        <f ca="1">IF($AN10="",OFFSET(Demand!$A$13,ROW(J7)-1,4+((QUOTIENT(COLUMN(BZ$2)-69,3))*5)+MOD(COLUMN(BZ$2),3),1,1),"")</f>
        <v>0</v>
      </c>
      <c r="CA10">
        <f ca="1">IF($AN10="",OFFSET(Demand!$A$13,ROW(K7)-1,4+((QUOTIENT(COLUMN(CA$2)-69,3))*5)+MOD(COLUMN(CA$2),3),1,1),"")</f>
        <v>0</v>
      </c>
      <c r="CB10">
        <f ca="1">IF($AN10="",OFFSET(Demand!$A$13,ROW(L7)-1,4+((QUOTIENT(COLUMN(CB$2)-69,3))*5)+MOD(COLUMN(CB$2),3),1,1),"")</f>
        <v>0</v>
      </c>
      <c r="CC10">
        <f ca="1">IF($AN10="",OFFSET(Demand!$A$13,ROW(M7)-1,4+((QUOTIENT(COLUMN(CC$2)-69,3))*5)+MOD(COLUMN(CC$2),3),1,1),"")</f>
        <v>0</v>
      </c>
      <c r="CD10">
        <f ca="1">IF($AN10="",OFFSET(Demand!$A$13,ROW(N7)-1,4+((QUOTIENT(COLUMN(CD$2)-69,3))*5)+MOD(COLUMN(CD$2),3),1,1),"")</f>
        <v>0</v>
      </c>
      <c r="CE10">
        <f ca="1">IF($AN10="",OFFSET(Demand!$A$13,ROW(O7)-1,4+((QUOTIENT(COLUMN(CE$2)-69,3))*5)+MOD(COLUMN(CE$2),3),1,1),"")</f>
        <v>0</v>
      </c>
      <c r="CF10">
        <f ca="1">IF($AN10="",OFFSET(Demand!$A$13,ROW(P7)-1,4+((QUOTIENT(COLUMN(CF$2)-69,3))*5)+MOD(COLUMN(CF$2),3),1,1),"")</f>
        <v>0</v>
      </c>
      <c r="CG10">
        <f ca="1">IF($AN10="",OFFSET(Demand!$A$13,ROW(Q7)-1,4+((QUOTIENT(COLUMN(CG$2)-69,3))*5)+MOD(COLUMN(CG$2),3),1,1),"")</f>
        <v>0</v>
      </c>
      <c r="CH10">
        <f ca="1">IF($AN10="",OFFSET(Demand!$A$13,ROW(R7)-1,4+((QUOTIENT(COLUMN(CH$2)-69,3))*5)+MOD(COLUMN(CH$2),3),1,1),"")</f>
        <v>0</v>
      </c>
      <c r="CI10">
        <f ca="1">IF($AN10="",OFFSET(Demand!$A$13,ROW(S7)-1,4+((QUOTIENT(COLUMN(CI$2)-69,3))*5)+MOD(COLUMN(CI$2),3),1,1),"")</f>
        <v>0</v>
      </c>
      <c r="CJ10">
        <f ca="1">IF($AN10="",OFFSET(Demand!$A$13,ROW(T7)-1,4+((QUOTIENT(COLUMN(CJ$2)-69,3))*5)+MOD(COLUMN(CJ$2),3),1,1),"")</f>
        <v>0</v>
      </c>
      <c r="CK10">
        <f ca="1">IF($AN10="",OFFSET(Demand!$A$13,ROW(U7)-1,4+((QUOTIENT(COLUMN(CK$2)-69,3))*5)+MOD(COLUMN(CK$2),3),1,1),"")</f>
        <v>0</v>
      </c>
      <c r="CL10">
        <f ca="1">IF($AN10="",OFFSET(Demand!$A$13,ROW(V7)-1,4+((QUOTIENT(COLUMN(CL$2)-69,3))*5)+MOD(COLUMN(CL$2),3),1,1),"")</f>
        <v>0</v>
      </c>
      <c r="CM10">
        <f ca="1">IF($AN10="",OFFSET(Demand!$A$13,ROW(W7)-1,4+((QUOTIENT(COLUMN(CM$2)-69,3))*5)+MOD(COLUMN(CM$2),3),1,1),"")</f>
        <v>0</v>
      </c>
      <c r="CN10">
        <f ca="1">IF($AN10="",OFFSET(Demand!$A$13,ROW(X7)-1,4+((QUOTIENT(COLUMN(CN$2)-69,3))*5)+MOD(COLUMN(CN$2),3),1,1),"")</f>
        <v>0</v>
      </c>
      <c r="CO10">
        <f ca="1">IF($AN10="",OFFSET(Demand!$A$13,ROW(Y7)-1,4+((QUOTIENT(COLUMN(CO$2)-69,3))*5)+MOD(COLUMN(CO$2),3),1,1),"")</f>
        <v>0</v>
      </c>
      <c r="CP10">
        <f ca="1">IF($AN10="",OFFSET(Demand!$A$13,ROW(Z7)-1,4+((QUOTIENT(COLUMN(CP$2)-69,3))*5)+MOD(COLUMN(CP$2),3),1,1),"")</f>
        <v>0</v>
      </c>
      <c r="CQ10">
        <f ca="1">IF($AN10="",OFFSET(Demand!$A$13,ROW(AA7)-1,4+((QUOTIENT(COLUMN(CQ$2)-69,3))*5)+MOD(COLUMN(CQ$2),3),1,1),"")</f>
        <v>0</v>
      </c>
      <c r="CR10">
        <f ca="1">IF($AN10="",OFFSET(Demand!$A$13,ROW(AB7)-1,4+((QUOTIENT(COLUMN(CR$2)-69,3))*5)+MOD(COLUMN(CR$2),3),1,1),"")</f>
        <v>0</v>
      </c>
      <c r="CS10">
        <f ca="1">IF($AN10="",OFFSET(Demand!$A$13,ROW(AC7)-1,4+((QUOTIENT(COLUMN(CS$2)-69,3))*5)+MOD(COLUMN(CS$2),3),1,1),"")</f>
        <v>0</v>
      </c>
      <c r="CT10">
        <f ca="1">IF($AN10="",OFFSET(Demand!$A$13,ROW(AD7)-1,4+((QUOTIENT(COLUMN(CT$2)-69,3))*5)+MOD(COLUMN(CT$2),3),1,1),"")</f>
        <v>0</v>
      </c>
      <c r="CW10" s="5">
        <f ca="1">SUM(OFFSET(Demand!$H$43,ROW(A7)-1,(COLUMN(A7)-1)*5,1,1))*N$2</f>
        <v>0</v>
      </c>
      <c r="CX10" s="5">
        <f ca="1">SUM(OFFSET(Demand!$H$43,ROW(B7)-1,(COLUMN(B7)-1)*5,1,1))*O$2</f>
        <v>0</v>
      </c>
      <c r="CY10" s="5">
        <f ca="1">SUM(OFFSET(Demand!$H$43,ROW(C7)-1,(COLUMN(C7)-1)*5,1,1))*P$2</f>
        <v>0</v>
      </c>
      <c r="CZ10" s="5">
        <f ca="1">SUM(OFFSET(Demand!$H$43,ROW(D7)-1,(COLUMN(D7)-1)*5,1,1))*Q$2</f>
        <v>0</v>
      </c>
      <c r="DA10" s="5">
        <f ca="1">SUM(OFFSET(Demand!$H$43,ROW(E7)-1,(COLUMN(E7)-1)*5,1,1))*R$2</f>
        <v>0</v>
      </c>
      <c r="DB10" s="5">
        <f ca="1">SUM(OFFSET(Demand!$H$43,ROW(F7)-1,(COLUMN(F7)-1)*5,1,1))*S$2</f>
        <v>0</v>
      </c>
      <c r="DC10" s="5">
        <f ca="1">SUM(OFFSET(Demand!$H$43,ROW(G7)-1,(COLUMN(G7)-1)*5,1,1))*T$2</f>
        <v>0</v>
      </c>
      <c r="DD10" s="5">
        <f ca="1">SUM(OFFSET(Demand!$H$43,ROW(H7)-1,(COLUMN(H7)-1)*5,1,1))*U$2</f>
        <v>0</v>
      </c>
      <c r="DE10" s="5">
        <f ca="1">SUM(OFFSET(Demand!$H$43,ROW(I7)-1,(COLUMN(I7)-1)*5,1,1))*V$2</f>
        <v>0</v>
      </c>
      <c r="DF10" s="5">
        <f ca="1">SUM(OFFSET(Demand!$H$43,ROW(J7)-1,(COLUMN(J7)-1)*5,1,1))*W$2</f>
        <v>0</v>
      </c>
      <c r="DG10" s="5">
        <f t="shared" ca="1" si="9"/>
        <v>0</v>
      </c>
    </row>
    <row r="11" spans="1:114" s="5" customFormat="1" x14ac:dyDescent="0.2">
      <c r="A11" s="5">
        <f t="shared" ca="1" si="3"/>
        <v>0</v>
      </c>
      <c r="B11" s="5">
        <f ca="1">COUNTBLANK(OFFSET(Demand!$I20,0,(COLUMN(A8)-1)*5,1,1))</f>
        <v>0</v>
      </c>
      <c r="C11" s="5">
        <f ca="1">COUNTBLANK(OFFSET(Demand!$I20,0,(COLUMN(B8)-1)*5,1,1))</f>
        <v>0</v>
      </c>
      <c r="D11" s="5">
        <f ca="1">COUNTBLANK(OFFSET(Demand!$I20,0,(COLUMN(C8)-1)*5,1,1))</f>
        <v>1</v>
      </c>
      <c r="E11" s="5">
        <f ca="1">COUNTBLANK(OFFSET(Demand!$I20,0,(COLUMN(D8)-1)*5,1,1))</f>
        <v>1</v>
      </c>
      <c r="F11" s="5">
        <f ca="1">COUNTBLANK(OFFSET(Demand!$I20,0,(COLUMN(E8)-1)*5,1,1))</f>
        <v>1</v>
      </c>
      <c r="G11" s="5">
        <f ca="1">COUNTBLANK(OFFSET(Demand!$I20,0,(COLUMN(F8)-1)*5,1,1))</f>
        <v>1</v>
      </c>
      <c r="H11" s="5">
        <f ca="1">COUNTBLANK(OFFSET(Demand!$I20,0,(COLUMN(G8)-1)*5,1,1))</f>
        <v>1</v>
      </c>
      <c r="I11" s="5">
        <f ca="1">COUNTBLANK(OFFSET(Demand!$I20,0,(COLUMN(H8)-1)*5,1,1))</f>
        <v>1</v>
      </c>
      <c r="J11" s="5">
        <f ca="1">COUNTBLANK(OFFSET(Demand!$I20,0,(COLUMN(I8)-1)*5,1,1))</f>
        <v>1</v>
      </c>
      <c r="K11" s="5">
        <f ca="1">COUNTBLANK(OFFSET(Demand!$I20,0,(COLUMN(J8)-1)*5,1,1))</f>
        <v>1</v>
      </c>
      <c r="N11" s="5">
        <f ca="1">SUM(OFFSET(Demand!$E20,0,(COLUMN(A8)-1)*5,1,3))*N$2</f>
        <v>90</v>
      </c>
      <c r="O11" s="5">
        <f ca="1">SUM(OFFSET(Demand!$E20,0,(COLUMN(B8)-1)*5,1,3))*O$2</f>
        <v>360</v>
      </c>
      <c r="P11" s="5">
        <f ca="1">SUM(OFFSET(Demand!$E20,0,(COLUMN(C8)-1)*5,1,3))*P$2</f>
        <v>0</v>
      </c>
      <c r="Q11" s="5">
        <f ca="1">SUM(OFFSET(Demand!$E20,0,(COLUMN(D8)-1)*5,1,3))*Q$2</f>
        <v>0</v>
      </c>
      <c r="R11" s="5">
        <f ca="1">SUM(OFFSET(Demand!$E20,0,(COLUMN(E8)-1)*5,1,3))*R$2</f>
        <v>0</v>
      </c>
      <c r="S11" s="5">
        <f ca="1">SUM(OFFSET(Demand!$E20,0,(COLUMN(F8)-1)*5,1,3))*S$2</f>
        <v>0</v>
      </c>
      <c r="T11" s="5">
        <f ca="1">SUM(OFFSET(Demand!$E20,0,(COLUMN(G8)-1)*5,1,3))*T$2</f>
        <v>0</v>
      </c>
      <c r="U11" s="5">
        <f ca="1">SUM(OFFSET(Demand!$E20,0,(COLUMN(H8)-1)*5,1,3))*U$2</f>
        <v>0</v>
      </c>
      <c r="V11" s="5">
        <f ca="1">SUM(OFFSET(Demand!$E20,0,(COLUMN(I8)-1)*5,1,3))*V$2</f>
        <v>0</v>
      </c>
      <c r="W11" s="5">
        <f ca="1">SUM(OFFSET(Demand!$E20,0,(COLUMN(J8)-1)*5,1,3))*W$2</f>
        <v>0</v>
      </c>
      <c r="X11" s="5">
        <f t="shared" ca="1" si="4"/>
        <v>450</v>
      </c>
      <c r="Y11" s="5">
        <f t="shared" ca="1" si="5"/>
        <v>450</v>
      </c>
      <c r="Z11" s="5">
        <f ca="1">SUM(OFFSET(Demand!$H20,0,(COLUMN(A8)-1)*5,1,1))*N$2</f>
        <v>0</v>
      </c>
      <c r="AA11" s="5">
        <f ca="1">SUM(OFFSET(Demand!$H20,0,(COLUMN(B8)-1)*5,1,1))*O$2</f>
        <v>0</v>
      </c>
      <c r="AB11" s="5">
        <f ca="1">SUM(OFFSET(Demand!$H20,0,(COLUMN(C8)-1)*5,1,1))*P$2</f>
        <v>0</v>
      </c>
      <c r="AC11" s="5">
        <f ca="1">SUM(OFFSET(Demand!$H20,0,(COLUMN(D8)-1)*5,1,1))*Q$2</f>
        <v>0</v>
      </c>
      <c r="AD11" s="5">
        <f ca="1">SUM(OFFSET(Demand!$H20,0,(COLUMN(E8)-1)*5,1,1))*R$2</f>
        <v>0</v>
      </c>
      <c r="AE11" s="5">
        <f ca="1">SUM(OFFSET(Demand!$H20,0,(COLUMN(F8)-1)*5,1,1))*S$2</f>
        <v>0</v>
      </c>
      <c r="AF11" s="5">
        <f ca="1">SUM(OFFSET(Demand!$H20,0,(COLUMN(G8)-1)*5,1,1))*T$2</f>
        <v>0</v>
      </c>
      <c r="AG11" s="5">
        <f ca="1">SUM(OFFSET(Demand!$H20,0,(COLUMN(H8)-1)*5,1,1))*U$2</f>
        <v>0</v>
      </c>
      <c r="AH11" s="5">
        <f ca="1">SUM(OFFSET(Demand!$H20,0,(COLUMN(I8)-1)*5,1,1))*V$2</f>
        <v>0</v>
      </c>
      <c r="AI11" s="5">
        <f ca="1">SUM(OFFSET(Demand!$H20,0,(COLUMN(J8)-1)*5,1,1))*W$2</f>
        <v>0</v>
      </c>
      <c r="AJ11" s="5">
        <f t="shared" ca="1" si="6"/>
        <v>0</v>
      </c>
      <c r="AL11" s="5">
        <f t="shared" ca="1" si="7"/>
        <v>450</v>
      </c>
      <c r="AM11" s="5">
        <f t="shared" ca="1" si="8"/>
        <v>0</v>
      </c>
      <c r="AN11" s="5" t="str">
        <f>IF(Demand!BE20="Yes","Yes","")</f>
        <v/>
      </c>
      <c r="AP11" s="37" t="str">
        <f ca="1">Demand!B20</f>
        <v xml:space="preserve"> </v>
      </c>
      <c r="AQ11" s="5" t="str">
        <f ca="1">IF(TEXT(Demand!D20,"MMM")&lt;&gt;TEXT(Demand!D19,"MMM"),TEXT(Demand!D20,"MMM"),"")</f>
        <v/>
      </c>
      <c r="AT11" s="5">
        <f t="shared" ca="1" si="10"/>
        <v>140</v>
      </c>
      <c r="AV11" s="5" t="s">
        <v>75</v>
      </c>
      <c r="AW11" s="45" t="str">
        <f ca="1">IFERROR(AVERAGE(OFFSET($AT$4,'SPC background (hide)'!$D$6-1,0,'SPC background (hide)'!$H$7,1)),"")</f>
        <v/>
      </c>
      <c r="BB11" t="str">
        <f>'Control sheet (hide)'!AA8</f>
        <v>Modality 6</v>
      </c>
      <c r="BC11" s="47" t="str">
        <f t="shared" si="11"/>
        <v/>
      </c>
      <c r="BD11" s="47" t="str">
        <f t="shared" si="12"/>
        <v/>
      </c>
      <c r="BE11" s="47" t="str">
        <f t="shared" si="13"/>
        <v/>
      </c>
      <c r="BF11" s="5">
        <f ca="1">SUM(OFFSET($BQ$4,'SPC background (hide)'!$C$4-1,((ROW(A6)-1)*3)+MOD(COLUMN(C6),3),'SPC background (hide)'!$I$11,1))</f>
        <v>0</v>
      </c>
      <c r="BG11" s="5">
        <f ca="1">SUM(OFFSET($BQ$4,'SPC background (hide)'!$C$4-1,((ROW(B6)-1)*3)+MOD(COLUMN(D6),3),'SPC background (hide)'!$I$11,1))</f>
        <v>0</v>
      </c>
      <c r="BH11" s="5">
        <f ca="1">SUM(OFFSET($BQ$4,'SPC background (hide)'!$C$4-1,((ROW(C6)-1)*3)+MOD(COLUMN(E6),3),'SPC background (hide)'!$I$11,1))</f>
        <v>0</v>
      </c>
      <c r="BI11" s="5">
        <f t="shared" ca="1" si="15"/>
        <v>0</v>
      </c>
      <c r="BJ11" s="5">
        <f t="shared" ref="BJ11:BL11" ca="1" si="23">BF11*OFFSET($N$2,0,ROW(A6)-1,1,1)</f>
        <v>0</v>
      </c>
      <c r="BK11" s="5">
        <f t="shared" ca="1" si="23"/>
        <v>0</v>
      </c>
      <c r="BL11" s="5">
        <f t="shared" ca="1" si="23"/>
        <v>0</v>
      </c>
      <c r="BM11" s="5">
        <f t="shared" ca="1" si="17"/>
        <v>0</v>
      </c>
      <c r="BN11" s="5">
        <f t="shared" ca="1" si="18"/>
        <v>1</v>
      </c>
      <c r="BO11" s="85">
        <f t="shared" ca="1" si="19"/>
        <v>0</v>
      </c>
      <c r="BQ11">
        <f ca="1">IF($AN11="",OFFSET(Demand!$A$13,ROW(A8)-1,4+((QUOTIENT(COLUMN(BQ$2)-69,3))*5)+MOD(COLUMN(BQ$2),3),1,1),"")</f>
        <v>0</v>
      </c>
      <c r="BR11">
        <f ca="1">IF($AN11="",OFFSET(Demand!$A$13,ROW(B8)-1,4+((QUOTIENT(COLUMN(BR$2)-69,3))*5)+MOD(COLUMN(BR$2),3),1,1),"")</f>
        <v>0</v>
      </c>
      <c r="BS11">
        <f ca="1">IF($AN11="",OFFSET(Demand!$A$13,ROW(C8)-1,4+((QUOTIENT(COLUMN(BS$2)-69,3))*5)+MOD(COLUMN(BS$2),3),1,1),"")</f>
        <v>3</v>
      </c>
      <c r="BT11">
        <f ca="1">IF($AN11="",OFFSET(Demand!$A$13,ROW(D8)-1,4+((QUOTIENT(COLUMN(BT$2)-69,3))*5)+MOD(COLUMN(BT$2),3),1,1),"")</f>
        <v>0</v>
      </c>
      <c r="BU11">
        <f ca="1">IF($AN11="",OFFSET(Demand!$A$13,ROW(E8)-1,4+((QUOTIENT(COLUMN(BU$2)-69,3))*5)+MOD(COLUMN(BU$2),3),1,1),"")</f>
        <v>2</v>
      </c>
      <c r="BV11">
        <f ca="1">IF($AN11="",OFFSET(Demand!$A$13,ROW(F8)-1,4+((QUOTIENT(COLUMN(BV$2)-69,3))*5)+MOD(COLUMN(BV$2),3),1,1),"")</f>
        <v>7</v>
      </c>
      <c r="BW11">
        <f ca="1">IF($AN11="",OFFSET(Demand!$A$13,ROW(G8)-1,4+((QUOTIENT(COLUMN(BW$2)-69,3))*5)+MOD(COLUMN(BW$2),3),1,1),"")</f>
        <v>0</v>
      </c>
      <c r="BX11">
        <f ca="1">IF($AN11="",OFFSET(Demand!$A$13,ROW(H8)-1,4+((QUOTIENT(COLUMN(BX$2)-69,3))*5)+MOD(COLUMN(BX$2),3),1,1),"")</f>
        <v>0</v>
      </c>
      <c r="BY11">
        <f ca="1">IF($AN11="",OFFSET(Demand!$A$13,ROW(I8)-1,4+((QUOTIENT(COLUMN(BY$2)-69,3))*5)+MOD(COLUMN(BY$2),3),1,1),"")</f>
        <v>0</v>
      </c>
      <c r="BZ11">
        <f ca="1">IF($AN11="",OFFSET(Demand!$A$13,ROW(J8)-1,4+((QUOTIENT(COLUMN(BZ$2)-69,3))*5)+MOD(COLUMN(BZ$2),3),1,1),"")</f>
        <v>0</v>
      </c>
      <c r="CA11">
        <f ca="1">IF($AN11="",OFFSET(Demand!$A$13,ROW(K8)-1,4+((QUOTIENT(COLUMN(CA$2)-69,3))*5)+MOD(COLUMN(CA$2),3),1,1),"")</f>
        <v>0</v>
      </c>
      <c r="CB11">
        <f ca="1">IF($AN11="",OFFSET(Demand!$A$13,ROW(L8)-1,4+((QUOTIENT(COLUMN(CB$2)-69,3))*5)+MOD(COLUMN(CB$2),3),1,1),"")</f>
        <v>0</v>
      </c>
      <c r="CC11">
        <f ca="1">IF($AN11="",OFFSET(Demand!$A$13,ROW(M8)-1,4+((QUOTIENT(COLUMN(CC$2)-69,3))*5)+MOD(COLUMN(CC$2),3),1,1),"")</f>
        <v>0</v>
      </c>
      <c r="CD11">
        <f ca="1">IF($AN11="",OFFSET(Demand!$A$13,ROW(N8)-1,4+((QUOTIENT(COLUMN(CD$2)-69,3))*5)+MOD(COLUMN(CD$2),3),1,1),"")</f>
        <v>0</v>
      </c>
      <c r="CE11">
        <f ca="1">IF($AN11="",OFFSET(Demand!$A$13,ROW(O8)-1,4+((QUOTIENT(COLUMN(CE$2)-69,3))*5)+MOD(COLUMN(CE$2),3),1,1),"")</f>
        <v>0</v>
      </c>
      <c r="CF11">
        <f ca="1">IF($AN11="",OFFSET(Demand!$A$13,ROW(P8)-1,4+((QUOTIENT(COLUMN(CF$2)-69,3))*5)+MOD(COLUMN(CF$2),3),1,1),"")</f>
        <v>0</v>
      </c>
      <c r="CG11">
        <f ca="1">IF($AN11="",OFFSET(Demand!$A$13,ROW(Q8)-1,4+((QUOTIENT(COLUMN(CG$2)-69,3))*5)+MOD(COLUMN(CG$2),3),1,1),"")</f>
        <v>0</v>
      </c>
      <c r="CH11">
        <f ca="1">IF($AN11="",OFFSET(Demand!$A$13,ROW(R8)-1,4+((QUOTIENT(COLUMN(CH$2)-69,3))*5)+MOD(COLUMN(CH$2),3),1,1),"")</f>
        <v>0</v>
      </c>
      <c r="CI11">
        <f ca="1">IF($AN11="",OFFSET(Demand!$A$13,ROW(S8)-1,4+((QUOTIENT(COLUMN(CI$2)-69,3))*5)+MOD(COLUMN(CI$2),3),1,1),"")</f>
        <v>0</v>
      </c>
      <c r="CJ11">
        <f ca="1">IF($AN11="",OFFSET(Demand!$A$13,ROW(T8)-1,4+((QUOTIENT(COLUMN(CJ$2)-69,3))*5)+MOD(COLUMN(CJ$2),3),1,1),"")</f>
        <v>0</v>
      </c>
      <c r="CK11">
        <f ca="1">IF($AN11="",OFFSET(Demand!$A$13,ROW(U8)-1,4+((QUOTIENT(COLUMN(CK$2)-69,3))*5)+MOD(COLUMN(CK$2),3),1,1),"")</f>
        <v>0</v>
      </c>
      <c r="CL11">
        <f ca="1">IF($AN11="",OFFSET(Demand!$A$13,ROW(V8)-1,4+((QUOTIENT(COLUMN(CL$2)-69,3))*5)+MOD(COLUMN(CL$2),3),1,1),"")</f>
        <v>0</v>
      </c>
      <c r="CM11">
        <f ca="1">IF($AN11="",OFFSET(Demand!$A$13,ROW(W8)-1,4+((QUOTIENT(COLUMN(CM$2)-69,3))*5)+MOD(COLUMN(CM$2),3),1,1),"")</f>
        <v>0</v>
      </c>
      <c r="CN11">
        <f ca="1">IF($AN11="",OFFSET(Demand!$A$13,ROW(X8)-1,4+((QUOTIENT(COLUMN(CN$2)-69,3))*5)+MOD(COLUMN(CN$2),3),1,1),"")</f>
        <v>0</v>
      </c>
      <c r="CO11">
        <f ca="1">IF($AN11="",OFFSET(Demand!$A$13,ROW(Y8)-1,4+((QUOTIENT(COLUMN(CO$2)-69,3))*5)+MOD(COLUMN(CO$2),3),1,1),"")</f>
        <v>0</v>
      </c>
      <c r="CP11">
        <f ca="1">IF($AN11="",OFFSET(Demand!$A$13,ROW(Z8)-1,4+((QUOTIENT(COLUMN(CP$2)-69,3))*5)+MOD(COLUMN(CP$2),3),1,1),"")</f>
        <v>0</v>
      </c>
      <c r="CQ11">
        <f ca="1">IF($AN11="",OFFSET(Demand!$A$13,ROW(AA8)-1,4+((QUOTIENT(COLUMN(CQ$2)-69,3))*5)+MOD(COLUMN(CQ$2),3),1,1),"")</f>
        <v>0</v>
      </c>
      <c r="CR11">
        <f ca="1">IF($AN11="",OFFSET(Demand!$A$13,ROW(AB8)-1,4+((QUOTIENT(COLUMN(CR$2)-69,3))*5)+MOD(COLUMN(CR$2),3),1,1),"")</f>
        <v>0</v>
      </c>
      <c r="CS11">
        <f ca="1">IF($AN11="",OFFSET(Demand!$A$13,ROW(AC8)-1,4+((QUOTIENT(COLUMN(CS$2)-69,3))*5)+MOD(COLUMN(CS$2),3),1,1),"")</f>
        <v>0</v>
      </c>
      <c r="CT11">
        <f ca="1">IF($AN11="",OFFSET(Demand!$A$13,ROW(AD8)-1,4+((QUOTIENT(COLUMN(CT$2)-69,3))*5)+MOD(COLUMN(CT$2),3),1,1),"")</f>
        <v>0</v>
      </c>
      <c r="CW11" s="5">
        <f ca="1">SUM(OFFSET(Demand!$H$43,ROW(A8)-1,(COLUMN(A8)-1)*5,1,1))*N$2</f>
        <v>0</v>
      </c>
      <c r="CX11" s="5">
        <f ca="1">SUM(OFFSET(Demand!$H$43,ROW(B8)-1,(COLUMN(B8)-1)*5,1,1))*O$2</f>
        <v>0</v>
      </c>
      <c r="CY11" s="5">
        <f ca="1">SUM(OFFSET(Demand!$H$43,ROW(C8)-1,(COLUMN(C8)-1)*5,1,1))*P$2</f>
        <v>0</v>
      </c>
      <c r="CZ11" s="5">
        <f ca="1">SUM(OFFSET(Demand!$H$43,ROW(D8)-1,(COLUMN(D8)-1)*5,1,1))*Q$2</f>
        <v>0</v>
      </c>
      <c r="DA11" s="5">
        <f ca="1">SUM(OFFSET(Demand!$H$43,ROW(E8)-1,(COLUMN(E8)-1)*5,1,1))*R$2</f>
        <v>0</v>
      </c>
      <c r="DB11" s="5">
        <f ca="1">SUM(OFFSET(Demand!$H$43,ROW(F8)-1,(COLUMN(F8)-1)*5,1,1))*S$2</f>
        <v>0</v>
      </c>
      <c r="DC11" s="5">
        <f ca="1">SUM(OFFSET(Demand!$H$43,ROW(G8)-1,(COLUMN(G8)-1)*5,1,1))*T$2</f>
        <v>0</v>
      </c>
      <c r="DD11" s="5">
        <f ca="1">SUM(OFFSET(Demand!$H$43,ROW(H8)-1,(COLUMN(H8)-1)*5,1,1))*U$2</f>
        <v>0</v>
      </c>
      <c r="DE11" s="5">
        <f ca="1">SUM(OFFSET(Demand!$H$43,ROW(I8)-1,(COLUMN(I8)-1)*5,1,1))*V$2</f>
        <v>0</v>
      </c>
      <c r="DF11" s="5">
        <f ca="1">SUM(OFFSET(Demand!$H$43,ROW(J8)-1,(COLUMN(J8)-1)*5,1,1))*W$2</f>
        <v>0</v>
      </c>
      <c r="DG11" s="5">
        <f t="shared" ca="1" si="9"/>
        <v>0</v>
      </c>
      <c r="DI11" s="5" t="s">
        <v>235</v>
      </c>
      <c r="DJ11" s="5" t="str">
        <f ca="1">IFERROR(AVERAGE(OFFSET($DG$4,'SPC background (hide)'!$D$8,0,'SPC background (hide)'!$H$9,1)),"")</f>
        <v/>
      </c>
    </row>
    <row r="12" spans="1:114" s="5" customFormat="1" x14ac:dyDescent="0.2">
      <c r="A12" s="5">
        <f t="shared" ca="1" si="3"/>
        <v>0</v>
      </c>
      <c r="B12" s="5">
        <f ca="1">COUNTBLANK(OFFSET(Demand!$I21,0,(COLUMN(A9)-1)*5,1,1))</f>
        <v>0</v>
      </c>
      <c r="C12" s="5">
        <f ca="1">COUNTBLANK(OFFSET(Demand!$I21,0,(COLUMN(B9)-1)*5,1,1))</f>
        <v>0</v>
      </c>
      <c r="D12" s="5">
        <f ca="1">COUNTBLANK(OFFSET(Demand!$I21,0,(COLUMN(C9)-1)*5,1,1))</f>
        <v>1</v>
      </c>
      <c r="E12" s="5">
        <f ca="1">COUNTBLANK(OFFSET(Demand!$I21,0,(COLUMN(D9)-1)*5,1,1))</f>
        <v>1</v>
      </c>
      <c r="F12" s="5">
        <f ca="1">COUNTBLANK(OFFSET(Demand!$I21,0,(COLUMN(E9)-1)*5,1,1))</f>
        <v>1</v>
      </c>
      <c r="G12" s="5">
        <f ca="1">COUNTBLANK(OFFSET(Demand!$I21,0,(COLUMN(F9)-1)*5,1,1))</f>
        <v>1</v>
      </c>
      <c r="H12" s="5">
        <f ca="1">COUNTBLANK(OFFSET(Demand!$I21,0,(COLUMN(G9)-1)*5,1,1))</f>
        <v>1</v>
      </c>
      <c r="I12" s="5">
        <f ca="1">COUNTBLANK(OFFSET(Demand!$I21,0,(COLUMN(H9)-1)*5,1,1))</f>
        <v>1</v>
      </c>
      <c r="J12" s="5">
        <f ca="1">COUNTBLANK(OFFSET(Demand!$I21,0,(COLUMN(I9)-1)*5,1,1))</f>
        <v>1</v>
      </c>
      <c r="K12" s="5">
        <f ca="1">COUNTBLANK(OFFSET(Demand!$I21,0,(COLUMN(J9)-1)*5,1,1))</f>
        <v>1</v>
      </c>
      <c r="N12" s="5">
        <f ca="1">SUM(OFFSET(Demand!$E21,0,(COLUMN(A9)-1)*5,1,3))*N$2</f>
        <v>60</v>
      </c>
      <c r="O12" s="5">
        <f ca="1">SUM(OFFSET(Demand!$E21,0,(COLUMN(B9)-1)*5,1,3))*O$2</f>
        <v>200</v>
      </c>
      <c r="P12" s="5">
        <f ca="1">SUM(OFFSET(Demand!$E21,0,(COLUMN(C9)-1)*5,1,3))*P$2</f>
        <v>0</v>
      </c>
      <c r="Q12" s="5">
        <f ca="1">SUM(OFFSET(Demand!$E21,0,(COLUMN(D9)-1)*5,1,3))*Q$2</f>
        <v>0</v>
      </c>
      <c r="R12" s="5">
        <f ca="1">SUM(OFFSET(Demand!$E21,0,(COLUMN(E9)-1)*5,1,3))*R$2</f>
        <v>0</v>
      </c>
      <c r="S12" s="5">
        <f ca="1">SUM(OFFSET(Demand!$E21,0,(COLUMN(F9)-1)*5,1,3))*S$2</f>
        <v>0</v>
      </c>
      <c r="T12" s="5">
        <f ca="1">SUM(OFFSET(Demand!$E21,0,(COLUMN(G9)-1)*5,1,3))*T$2</f>
        <v>0</v>
      </c>
      <c r="U12" s="5">
        <f ca="1">SUM(OFFSET(Demand!$E21,0,(COLUMN(H9)-1)*5,1,3))*U$2</f>
        <v>0</v>
      </c>
      <c r="V12" s="5">
        <f ca="1">SUM(OFFSET(Demand!$E21,0,(COLUMN(I9)-1)*5,1,3))*V$2</f>
        <v>0</v>
      </c>
      <c r="W12" s="5">
        <f ca="1">SUM(OFFSET(Demand!$E21,0,(COLUMN(J9)-1)*5,1,3))*W$2</f>
        <v>0</v>
      </c>
      <c r="X12" s="5">
        <f t="shared" ca="1" si="4"/>
        <v>260</v>
      </c>
      <c r="Y12" s="5">
        <f t="shared" ca="1" si="5"/>
        <v>260</v>
      </c>
      <c r="Z12" s="5">
        <f ca="1">SUM(OFFSET(Demand!$H21,0,(COLUMN(A9)-1)*5,1,1))*N$2</f>
        <v>0</v>
      </c>
      <c r="AA12" s="5">
        <f ca="1">SUM(OFFSET(Demand!$H21,0,(COLUMN(B9)-1)*5,1,1))*O$2</f>
        <v>0</v>
      </c>
      <c r="AB12" s="5">
        <f ca="1">SUM(OFFSET(Demand!$H21,0,(COLUMN(C9)-1)*5,1,1))*P$2</f>
        <v>0</v>
      </c>
      <c r="AC12" s="5">
        <f ca="1">SUM(OFFSET(Demand!$H21,0,(COLUMN(D9)-1)*5,1,1))*Q$2</f>
        <v>0</v>
      </c>
      <c r="AD12" s="5">
        <f ca="1">SUM(OFFSET(Demand!$H21,0,(COLUMN(E9)-1)*5,1,1))*R$2</f>
        <v>0</v>
      </c>
      <c r="AE12" s="5">
        <f ca="1">SUM(OFFSET(Demand!$H21,0,(COLUMN(F9)-1)*5,1,1))*S$2</f>
        <v>0</v>
      </c>
      <c r="AF12" s="5">
        <f ca="1">SUM(OFFSET(Demand!$H21,0,(COLUMN(G9)-1)*5,1,1))*T$2</f>
        <v>0</v>
      </c>
      <c r="AG12" s="5">
        <f ca="1">SUM(OFFSET(Demand!$H21,0,(COLUMN(H9)-1)*5,1,1))*U$2</f>
        <v>0</v>
      </c>
      <c r="AH12" s="5">
        <f ca="1">SUM(OFFSET(Demand!$H21,0,(COLUMN(I9)-1)*5,1,1))*V$2</f>
        <v>0</v>
      </c>
      <c r="AI12" s="5">
        <f ca="1">SUM(OFFSET(Demand!$H21,0,(COLUMN(J9)-1)*5,1,1))*W$2</f>
        <v>0</v>
      </c>
      <c r="AJ12" s="5">
        <f t="shared" ca="1" si="6"/>
        <v>0</v>
      </c>
      <c r="AL12" s="5">
        <f t="shared" ca="1" si="7"/>
        <v>260</v>
      </c>
      <c r="AM12" s="5">
        <f t="shared" ca="1" si="8"/>
        <v>0</v>
      </c>
      <c r="AN12" s="5" t="str">
        <f>IF(Demand!BE21="Yes","Yes","")</f>
        <v/>
      </c>
      <c r="AP12" s="37" t="str">
        <f ca="1">Demand!B21</f>
        <v xml:space="preserve"> </v>
      </c>
      <c r="AQ12" s="5" t="str">
        <f ca="1">IF(TEXT(Demand!D21,"MMM")&lt;&gt;TEXT(Demand!D20,"MMM"),TEXT(Demand!D21,"MMM"),"")</f>
        <v/>
      </c>
      <c r="AT12" s="5">
        <f t="shared" ca="1" si="10"/>
        <v>190</v>
      </c>
      <c r="AV12" s="5" t="s">
        <v>74</v>
      </c>
      <c r="AW12" s="45" t="str">
        <f ca="1">IFERROR(AW11/1.128,"")</f>
        <v/>
      </c>
      <c r="BB12" t="str">
        <f>'Control sheet (hide)'!AA9</f>
        <v>Modality 7</v>
      </c>
      <c r="BC12" s="47" t="str">
        <f t="shared" si="11"/>
        <v/>
      </c>
      <c r="BD12" s="47" t="str">
        <f t="shared" si="12"/>
        <v/>
      </c>
      <c r="BE12" s="47" t="str">
        <f t="shared" si="13"/>
        <v/>
      </c>
      <c r="BF12" s="5">
        <f ca="1">SUM(OFFSET($BQ$4,'SPC background (hide)'!$C$4-1,((ROW(A7)-1)*3)+MOD(COLUMN(C7),3),'SPC background (hide)'!$I$11,1))</f>
        <v>0</v>
      </c>
      <c r="BG12" s="5">
        <f ca="1">SUM(OFFSET($BQ$4,'SPC background (hide)'!$C$4-1,((ROW(B7)-1)*3)+MOD(COLUMN(D7),3),'SPC background (hide)'!$I$11,1))</f>
        <v>0</v>
      </c>
      <c r="BH12" s="5">
        <f ca="1">SUM(OFFSET($BQ$4,'SPC background (hide)'!$C$4-1,((ROW(C7)-1)*3)+MOD(COLUMN(E7),3),'SPC background (hide)'!$I$11,1))</f>
        <v>0</v>
      </c>
      <c r="BI12" s="5">
        <f t="shared" ca="1" si="15"/>
        <v>0</v>
      </c>
      <c r="BJ12" s="5">
        <f t="shared" ref="BJ12:BL12" ca="1" si="24">BF12*OFFSET($N$2,0,ROW(A7)-1,1,1)</f>
        <v>0</v>
      </c>
      <c r="BK12" s="5">
        <f t="shared" ca="1" si="24"/>
        <v>0</v>
      </c>
      <c r="BL12" s="5">
        <f t="shared" ca="1" si="24"/>
        <v>0</v>
      </c>
      <c r="BM12" s="5">
        <f t="shared" ca="1" si="17"/>
        <v>0</v>
      </c>
      <c r="BN12" s="5">
        <f t="shared" ca="1" si="18"/>
        <v>1</v>
      </c>
      <c r="BO12" s="85">
        <f t="shared" ca="1" si="19"/>
        <v>0</v>
      </c>
      <c r="BQ12">
        <f ca="1">IF($AN12="",OFFSET(Demand!$A$13,ROW(A9)-1,4+((QUOTIENT(COLUMN(BQ$2)-69,3))*5)+MOD(COLUMN(BQ$2),3),1,1),"")</f>
        <v>0</v>
      </c>
      <c r="BR12">
        <f ca="1">IF($AN12="",OFFSET(Demand!$A$13,ROW(B9)-1,4+((QUOTIENT(COLUMN(BR$2)-69,3))*5)+MOD(COLUMN(BR$2),3),1,1),"")</f>
        <v>2</v>
      </c>
      <c r="BS12">
        <f ca="1">IF($AN12="",OFFSET(Demand!$A$13,ROW(C9)-1,4+((QUOTIENT(COLUMN(BS$2)-69,3))*5)+MOD(COLUMN(BS$2),3),1,1),"")</f>
        <v>0</v>
      </c>
      <c r="BT12">
        <f ca="1">IF($AN12="",OFFSET(Demand!$A$13,ROW(D9)-1,4+((QUOTIENT(COLUMN(BT$2)-69,3))*5)+MOD(COLUMN(BT$2),3),1,1),"")</f>
        <v>0</v>
      </c>
      <c r="BU12">
        <f ca="1">IF($AN12="",OFFSET(Demand!$A$13,ROW(E9)-1,4+((QUOTIENT(COLUMN(BU$2)-69,3))*5)+MOD(COLUMN(BU$2),3),1,1),"")</f>
        <v>0</v>
      </c>
      <c r="BV12">
        <f ca="1">IF($AN12="",OFFSET(Demand!$A$13,ROW(F9)-1,4+((QUOTIENT(COLUMN(BV$2)-69,3))*5)+MOD(COLUMN(BV$2),3),1,1),"")</f>
        <v>5</v>
      </c>
      <c r="BW12">
        <f ca="1">IF($AN12="",OFFSET(Demand!$A$13,ROW(G9)-1,4+((QUOTIENT(COLUMN(BW$2)-69,3))*5)+MOD(COLUMN(BW$2),3),1,1),"")</f>
        <v>0</v>
      </c>
      <c r="BX12">
        <f ca="1">IF($AN12="",OFFSET(Demand!$A$13,ROW(H9)-1,4+((QUOTIENT(COLUMN(BX$2)-69,3))*5)+MOD(COLUMN(BX$2),3),1,1),"")</f>
        <v>0</v>
      </c>
      <c r="BY12">
        <f ca="1">IF($AN12="",OFFSET(Demand!$A$13,ROW(I9)-1,4+((QUOTIENT(COLUMN(BY$2)-69,3))*5)+MOD(COLUMN(BY$2),3),1,1),"")</f>
        <v>0</v>
      </c>
      <c r="BZ12">
        <f ca="1">IF($AN12="",OFFSET(Demand!$A$13,ROW(J9)-1,4+((QUOTIENT(COLUMN(BZ$2)-69,3))*5)+MOD(COLUMN(BZ$2),3),1,1),"")</f>
        <v>0</v>
      </c>
      <c r="CA12">
        <f ca="1">IF($AN12="",OFFSET(Demand!$A$13,ROW(K9)-1,4+((QUOTIENT(COLUMN(CA$2)-69,3))*5)+MOD(COLUMN(CA$2),3),1,1),"")</f>
        <v>0</v>
      </c>
      <c r="CB12">
        <f ca="1">IF($AN12="",OFFSET(Demand!$A$13,ROW(L9)-1,4+((QUOTIENT(COLUMN(CB$2)-69,3))*5)+MOD(COLUMN(CB$2),3),1,1),"")</f>
        <v>0</v>
      </c>
      <c r="CC12">
        <f ca="1">IF($AN12="",OFFSET(Demand!$A$13,ROW(M9)-1,4+((QUOTIENT(COLUMN(CC$2)-69,3))*5)+MOD(COLUMN(CC$2),3),1,1),"")</f>
        <v>0</v>
      </c>
      <c r="CD12">
        <f ca="1">IF($AN12="",OFFSET(Demand!$A$13,ROW(N9)-1,4+((QUOTIENT(COLUMN(CD$2)-69,3))*5)+MOD(COLUMN(CD$2),3),1,1),"")</f>
        <v>0</v>
      </c>
      <c r="CE12">
        <f ca="1">IF($AN12="",OFFSET(Demand!$A$13,ROW(O9)-1,4+((QUOTIENT(COLUMN(CE$2)-69,3))*5)+MOD(COLUMN(CE$2),3),1,1),"")</f>
        <v>0</v>
      </c>
      <c r="CF12">
        <f ca="1">IF($AN12="",OFFSET(Demand!$A$13,ROW(P9)-1,4+((QUOTIENT(COLUMN(CF$2)-69,3))*5)+MOD(COLUMN(CF$2),3),1,1),"")</f>
        <v>0</v>
      </c>
      <c r="CG12">
        <f ca="1">IF($AN12="",OFFSET(Demand!$A$13,ROW(Q9)-1,4+((QUOTIENT(COLUMN(CG$2)-69,3))*5)+MOD(COLUMN(CG$2),3),1,1),"")</f>
        <v>0</v>
      </c>
      <c r="CH12">
        <f ca="1">IF($AN12="",OFFSET(Demand!$A$13,ROW(R9)-1,4+((QUOTIENT(COLUMN(CH$2)-69,3))*5)+MOD(COLUMN(CH$2),3),1,1),"")</f>
        <v>0</v>
      </c>
      <c r="CI12">
        <f ca="1">IF($AN12="",OFFSET(Demand!$A$13,ROW(S9)-1,4+((QUOTIENT(COLUMN(CI$2)-69,3))*5)+MOD(COLUMN(CI$2),3),1,1),"")</f>
        <v>0</v>
      </c>
      <c r="CJ12">
        <f ca="1">IF($AN12="",OFFSET(Demand!$A$13,ROW(T9)-1,4+((QUOTIENT(COLUMN(CJ$2)-69,3))*5)+MOD(COLUMN(CJ$2),3),1,1),"")</f>
        <v>0</v>
      </c>
      <c r="CK12">
        <f ca="1">IF($AN12="",OFFSET(Demand!$A$13,ROW(U9)-1,4+((QUOTIENT(COLUMN(CK$2)-69,3))*5)+MOD(COLUMN(CK$2),3),1,1),"")</f>
        <v>0</v>
      </c>
      <c r="CL12">
        <f ca="1">IF($AN12="",OFFSET(Demand!$A$13,ROW(V9)-1,4+((QUOTIENT(COLUMN(CL$2)-69,3))*5)+MOD(COLUMN(CL$2),3),1,1),"")</f>
        <v>0</v>
      </c>
      <c r="CM12">
        <f ca="1">IF($AN12="",OFFSET(Demand!$A$13,ROW(W9)-1,4+((QUOTIENT(COLUMN(CM$2)-69,3))*5)+MOD(COLUMN(CM$2),3),1,1),"")</f>
        <v>0</v>
      </c>
      <c r="CN12">
        <f ca="1">IF($AN12="",OFFSET(Demand!$A$13,ROW(X9)-1,4+((QUOTIENT(COLUMN(CN$2)-69,3))*5)+MOD(COLUMN(CN$2),3),1,1),"")</f>
        <v>0</v>
      </c>
      <c r="CO12">
        <f ca="1">IF($AN12="",OFFSET(Demand!$A$13,ROW(Y9)-1,4+((QUOTIENT(COLUMN(CO$2)-69,3))*5)+MOD(COLUMN(CO$2),3),1,1),"")</f>
        <v>0</v>
      </c>
      <c r="CP12">
        <f ca="1">IF($AN12="",OFFSET(Demand!$A$13,ROW(Z9)-1,4+((QUOTIENT(COLUMN(CP$2)-69,3))*5)+MOD(COLUMN(CP$2),3),1,1),"")</f>
        <v>0</v>
      </c>
      <c r="CQ12">
        <f ca="1">IF($AN12="",OFFSET(Demand!$A$13,ROW(AA9)-1,4+((QUOTIENT(COLUMN(CQ$2)-69,3))*5)+MOD(COLUMN(CQ$2),3),1,1),"")</f>
        <v>0</v>
      </c>
      <c r="CR12">
        <f ca="1">IF($AN12="",OFFSET(Demand!$A$13,ROW(AB9)-1,4+((QUOTIENT(COLUMN(CR$2)-69,3))*5)+MOD(COLUMN(CR$2),3),1,1),"")</f>
        <v>0</v>
      </c>
      <c r="CS12">
        <f ca="1">IF($AN12="",OFFSET(Demand!$A$13,ROW(AC9)-1,4+((QUOTIENT(COLUMN(CS$2)-69,3))*5)+MOD(COLUMN(CS$2),3),1,1),"")</f>
        <v>0</v>
      </c>
      <c r="CT12">
        <f ca="1">IF($AN12="",OFFSET(Demand!$A$13,ROW(AD9)-1,4+((QUOTIENT(COLUMN(CT$2)-69,3))*5)+MOD(COLUMN(CT$2),3),1,1),"")</f>
        <v>0</v>
      </c>
      <c r="CW12" s="5">
        <f ca="1">SUM(OFFSET(Demand!$H$43,ROW(A9)-1,(COLUMN(A9)-1)*5,1,1))*N$2</f>
        <v>0</v>
      </c>
      <c r="CX12" s="5">
        <f ca="1">SUM(OFFSET(Demand!$H$43,ROW(B9)-1,(COLUMN(B9)-1)*5,1,1))*O$2</f>
        <v>0</v>
      </c>
      <c r="CY12" s="5">
        <f ca="1">SUM(OFFSET(Demand!$H$43,ROW(C9)-1,(COLUMN(C9)-1)*5,1,1))*P$2</f>
        <v>0</v>
      </c>
      <c r="CZ12" s="5">
        <f ca="1">SUM(OFFSET(Demand!$H$43,ROW(D9)-1,(COLUMN(D9)-1)*5,1,1))*Q$2</f>
        <v>0</v>
      </c>
      <c r="DA12" s="5">
        <f ca="1">SUM(OFFSET(Demand!$H$43,ROW(E9)-1,(COLUMN(E9)-1)*5,1,1))*R$2</f>
        <v>0</v>
      </c>
      <c r="DB12" s="5">
        <f ca="1">SUM(OFFSET(Demand!$H$43,ROW(F9)-1,(COLUMN(F9)-1)*5,1,1))*S$2</f>
        <v>0</v>
      </c>
      <c r="DC12" s="5">
        <f ca="1">SUM(OFFSET(Demand!$H$43,ROW(G9)-1,(COLUMN(G9)-1)*5,1,1))*T$2</f>
        <v>0</v>
      </c>
      <c r="DD12" s="5">
        <f ca="1">SUM(OFFSET(Demand!$H$43,ROW(H9)-1,(COLUMN(H9)-1)*5,1,1))*U$2</f>
        <v>0</v>
      </c>
      <c r="DE12" s="5">
        <f ca="1">SUM(OFFSET(Demand!$H$43,ROW(I9)-1,(COLUMN(I9)-1)*5,1,1))*V$2</f>
        <v>0</v>
      </c>
      <c r="DF12" s="5">
        <f ca="1">SUM(OFFSET(Demand!$H$43,ROW(J9)-1,(COLUMN(J9)-1)*5,1,1))*W$2</f>
        <v>0</v>
      </c>
      <c r="DG12" s="5">
        <f t="shared" ca="1" si="9"/>
        <v>0</v>
      </c>
      <c r="DI12" s="5" t="s">
        <v>236</v>
      </c>
      <c r="DJ12" s="5" t="str">
        <f ca="1">IFERROR(PERCENTILE(OFFSET($DG$4,'SPC background (hide)'!$D$8,0,'SPC background (hide)'!$H$9,1),'Control sheet (hide)'!$I$9),"")</f>
        <v/>
      </c>
    </row>
    <row r="13" spans="1:114" s="5" customFormat="1" x14ac:dyDescent="0.2">
      <c r="A13" s="5">
        <f t="shared" ca="1" si="3"/>
        <v>0</v>
      </c>
      <c r="B13" s="5">
        <f ca="1">COUNTBLANK(OFFSET(Demand!$I22,0,(COLUMN(A10)-1)*5,1,1))</f>
        <v>0</v>
      </c>
      <c r="C13" s="5">
        <f ca="1">COUNTBLANK(OFFSET(Demand!$I22,0,(COLUMN(B10)-1)*5,1,1))</f>
        <v>0</v>
      </c>
      <c r="D13" s="5">
        <f ca="1">COUNTBLANK(OFFSET(Demand!$I22,0,(COLUMN(C10)-1)*5,1,1))</f>
        <v>1</v>
      </c>
      <c r="E13" s="5">
        <f ca="1">COUNTBLANK(OFFSET(Demand!$I22,0,(COLUMN(D10)-1)*5,1,1))</f>
        <v>1</v>
      </c>
      <c r="F13" s="5">
        <f ca="1">COUNTBLANK(OFFSET(Demand!$I22,0,(COLUMN(E10)-1)*5,1,1))</f>
        <v>1</v>
      </c>
      <c r="G13" s="5">
        <f ca="1">COUNTBLANK(OFFSET(Demand!$I22,0,(COLUMN(F10)-1)*5,1,1))</f>
        <v>1</v>
      </c>
      <c r="H13" s="5">
        <f ca="1">COUNTBLANK(OFFSET(Demand!$I22,0,(COLUMN(G10)-1)*5,1,1))</f>
        <v>1</v>
      </c>
      <c r="I13" s="5">
        <f ca="1">COUNTBLANK(OFFSET(Demand!$I22,0,(COLUMN(H10)-1)*5,1,1))</f>
        <v>1</v>
      </c>
      <c r="J13" s="5">
        <f ca="1">COUNTBLANK(OFFSET(Demand!$I22,0,(COLUMN(I10)-1)*5,1,1))</f>
        <v>1</v>
      </c>
      <c r="K13" s="5">
        <f ca="1">COUNTBLANK(OFFSET(Demand!$I22,0,(COLUMN(J10)-1)*5,1,1))</f>
        <v>1</v>
      </c>
      <c r="N13" s="5">
        <f ca="1">SUM(OFFSET(Demand!$E22,0,(COLUMN(A10)-1)*5,1,3))*N$2</f>
        <v>240</v>
      </c>
      <c r="O13" s="5">
        <f ca="1">SUM(OFFSET(Demand!$E22,0,(COLUMN(B10)-1)*5,1,3))*O$2</f>
        <v>360</v>
      </c>
      <c r="P13" s="5">
        <f ca="1">SUM(OFFSET(Demand!$E22,0,(COLUMN(C10)-1)*5,1,3))*P$2</f>
        <v>0</v>
      </c>
      <c r="Q13" s="5">
        <f ca="1">SUM(OFFSET(Demand!$E22,0,(COLUMN(D10)-1)*5,1,3))*Q$2</f>
        <v>0</v>
      </c>
      <c r="R13" s="5">
        <f ca="1">SUM(OFFSET(Demand!$E22,0,(COLUMN(E10)-1)*5,1,3))*R$2</f>
        <v>0</v>
      </c>
      <c r="S13" s="5">
        <f ca="1">SUM(OFFSET(Demand!$E22,0,(COLUMN(F10)-1)*5,1,3))*S$2</f>
        <v>0</v>
      </c>
      <c r="T13" s="5">
        <f ca="1">SUM(OFFSET(Demand!$E22,0,(COLUMN(G10)-1)*5,1,3))*T$2</f>
        <v>0</v>
      </c>
      <c r="U13" s="5">
        <f ca="1">SUM(OFFSET(Demand!$E22,0,(COLUMN(H10)-1)*5,1,3))*U$2</f>
        <v>0</v>
      </c>
      <c r="V13" s="5">
        <f ca="1">SUM(OFFSET(Demand!$E22,0,(COLUMN(I10)-1)*5,1,3))*V$2</f>
        <v>0</v>
      </c>
      <c r="W13" s="5">
        <f ca="1">SUM(OFFSET(Demand!$E22,0,(COLUMN(J10)-1)*5,1,3))*W$2</f>
        <v>0</v>
      </c>
      <c r="X13" s="5">
        <f t="shared" ca="1" si="4"/>
        <v>600</v>
      </c>
      <c r="Y13" s="5">
        <f t="shared" ca="1" si="5"/>
        <v>600</v>
      </c>
      <c r="Z13" s="5">
        <f ca="1">SUM(OFFSET(Demand!$H22,0,(COLUMN(A10)-1)*5,1,1))*N$2</f>
        <v>0</v>
      </c>
      <c r="AA13" s="5">
        <f ca="1">SUM(OFFSET(Demand!$H22,0,(COLUMN(B10)-1)*5,1,1))*O$2</f>
        <v>0</v>
      </c>
      <c r="AB13" s="5">
        <f ca="1">SUM(OFFSET(Demand!$H22,0,(COLUMN(C10)-1)*5,1,1))*P$2</f>
        <v>0</v>
      </c>
      <c r="AC13" s="5">
        <f ca="1">SUM(OFFSET(Demand!$H22,0,(COLUMN(D10)-1)*5,1,1))*Q$2</f>
        <v>0</v>
      </c>
      <c r="AD13" s="5">
        <f ca="1">SUM(OFFSET(Demand!$H22,0,(COLUMN(E10)-1)*5,1,1))*R$2</f>
        <v>0</v>
      </c>
      <c r="AE13" s="5">
        <f ca="1">SUM(OFFSET(Demand!$H22,0,(COLUMN(F10)-1)*5,1,1))*S$2</f>
        <v>0</v>
      </c>
      <c r="AF13" s="5">
        <f ca="1">SUM(OFFSET(Demand!$H22,0,(COLUMN(G10)-1)*5,1,1))*T$2</f>
        <v>0</v>
      </c>
      <c r="AG13" s="5">
        <f ca="1">SUM(OFFSET(Demand!$H22,0,(COLUMN(H10)-1)*5,1,1))*U$2</f>
        <v>0</v>
      </c>
      <c r="AH13" s="5">
        <f ca="1">SUM(OFFSET(Demand!$H22,0,(COLUMN(I10)-1)*5,1,1))*V$2</f>
        <v>0</v>
      </c>
      <c r="AI13" s="5">
        <f ca="1">SUM(OFFSET(Demand!$H22,0,(COLUMN(J10)-1)*5,1,1))*W$2</f>
        <v>0</v>
      </c>
      <c r="AJ13" s="5">
        <f t="shared" ca="1" si="6"/>
        <v>0</v>
      </c>
      <c r="AL13" s="5">
        <f t="shared" ca="1" si="7"/>
        <v>600</v>
      </c>
      <c r="AM13" s="5">
        <f t="shared" ca="1" si="8"/>
        <v>0</v>
      </c>
      <c r="AN13" s="5" t="str">
        <f>IF(Demand!BE22="Yes","Yes","")</f>
        <v/>
      </c>
      <c r="AP13" s="37" t="str">
        <f ca="1">Demand!B22</f>
        <v xml:space="preserve"> </v>
      </c>
      <c r="AQ13" s="5" t="str">
        <f ca="1">IF(TEXT(Demand!D22,"MMM")&lt;&gt;TEXT(Demand!D21,"MMM"),TEXT(Demand!D22,"MMM"),"")</f>
        <v>Jun</v>
      </c>
      <c r="AT13" s="5">
        <f t="shared" ca="1" si="10"/>
        <v>340</v>
      </c>
      <c r="AV13" s="5" t="s">
        <v>139</v>
      </c>
      <c r="AW13" s="45" t="str">
        <f ca="1">IFERROR(PERCENTILE(OFFSET(AL$4,'SPC background (hide)'!$D$6-1,0,'SPC background (hide)'!$H$7,1),'Control sheet (hide)'!$I$9),"")</f>
        <v/>
      </c>
      <c r="AX13" s="5" t="str">
        <f ca="1">IFERROR(PERCENTILE(OFFSET(AM$4,'SPC background (hide)'!$C$6-1,0,'SPC background (hide)'!$H$7,1),'Control sheet (hide)'!$I$9),"")</f>
        <v/>
      </c>
      <c r="BB13" t="str">
        <f>'Control sheet (hide)'!AA10</f>
        <v>Modality 8</v>
      </c>
      <c r="BC13" s="47" t="str">
        <f t="shared" si="11"/>
        <v/>
      </c>
      <c r="BD13" s="47" t="str">
        <f t="shared" si="12"/>
        <v/>
      </c>
      <c r="BE13" s="47" t="str">
        <f t="shared" si="13"/>
        <v/>
      </c>
      <c r="BF13" s="5">
        <f ca="1">SUM(OFFSET($BQ$4,'SPC background (hide)'!$C$4-1,((ROW(A8)-1)*3)+MOD(COLUMN(C8),3),'SPC background (hide)'!$I$11,1))</f>
        <v>0</v>
      </c>
      <c r="BG13" s="5">
        <f ca="1">SUM(OFFSET($BQ$4,'SPC background (hide)'!$C$4-1,((ROW(B8)-1)*3)+MOD(COLUMN(D8),3),'SPC background (hide)'!$I$11,1))</f>
        <v>0</v>
      </c>
      <c r="BH13" s="5">
        <f ca="1">SUM(OFFSET($BQ$4,'SPC background (hide)'!$C$4-1,((ROW(C8)-1)*3)+MOD(COLUMN(E8),3),'SPC background (hide)'!$I$11,1))</f>
        <v>0</v>
      </c>
      <c r="BI13" s="5">
        <f t="shared" ca="1" si="15"/>
        <v>0</v>
      </c>
      <c r="BJ13" s="5">
        <f t="shared" ref="BJ13:BL13" ca="1" si="25">BF13*OFFSET($N$2,0,ROW(A8)-1,1,1)</f>
        <v>0</v>
      </c>
      <c r="BK13" s="5">
        <f t="shared" ca="1" si="25"/>
        <v>0</v>
      </c>
      <c r="BL13" s="5">
        <f t="shared" ca="1" si="25"/>
        <v>0</v>
      </c>
      <c r="BM13" s="5">
        <f t="shared" ca="1" si="17"/>
        <v>0</v>
      </c>
      <c r="BN13" s="5">
        <f t="shared" ca="1" si="18"/>
        <v>1</v>
      </c>
      <c r="BO13" s="85">
        <f t="shared" ca="1" si="19"/>
        <v>0</v>
      </c>
      <c r="BQ13">
        <f ca="1">IF($AN13="",OFFSET(Demand!$A$13,ROW(A10)-1,4+((QUOTIENT(COLUMN(BQ$2)-69,3))*5)+MOD(COLUMN(BQ$2),3),1,1),"")</f>
        <v>0</v>
      </c>
      <c r="BR13">
        <f ca="1">IF($AN13="",OFFSET(Demand!$A$13,ROW(B10)-1,4+((QUOTIENT(COLUMN(BR$2)-69,3))*5)+MOD(COLUMN(BR$2),3),1,1),"")</f>
        <v>4</v>
      </c>
      <c r="BS13">
        <f ca="1">IF($AN13="",OFFSET(Demand!$A$13,ROW(C10)-1,4+((QUOTIENT(COLUMN(BS$2)-69,3))*5)+MOD(COLUMN(BS$2),3),1,1),"")</f>
        <v>4</v>
      </c>
      <c r="BT13">
        <f ca="1">IF($AN13="",OFFSET(Demand!$A$13,ROW(D10)-1,4+((QUOTIENT(COLUMN(BT$2)-69,3))*5)+MOD(COLUMN(BT$2),3),1,1),"")</f>
        <v>0</v>
      </c>
      <c r="BU13">
        <f ca="1">IF($AN13="",OFFSET(Demand!$A$13,ROW(E10)-1,4+((QUOTIENT(COLUMN(BU$2)-69,3))*5)+MOD(COLUMN(BU$2),3),1,1),"")</f>
        <v>1</v>
      </c>
      <c r="BV13">
        <f ca="1">IF($AN13="",OFFSET(Demand!$A$13,ROW(F10)-1,4+((QUOTIENT(COLUMN(BV$2)-69,3))*5)+MOD(COLUMN(BV$2),3),1,1),"")</f>
        <v>8</v>
      </c>
      <c r="BW13">
        <f ca="1">IF($AN13="",OFFSET(Demand!$A$13,ROW(G10)-1,4+((QUOTIENT(COLUMN(BW$2)-69,3))*5)+MOD(COLUMN(BW$2),3),1,1),"")</f>
        <v>0</v>
      </c>
      <c r="BX13">
        <f ca="1">IF($AN13="",OFFSET(Demand!$A$13,ROW(H10)-1,4+((QUOTIENT(COLUMN(BX$2)-69,3))*5)+MOD(COLUMN(BX$2),3),1,1),"")</f>
        <v>0</v>
      </c>
      <c r="BY13">
        <f ca="1">IF($AN13="",OFFSET(Demand!$A$13,ROW(I10)-1,4+((QUOTIENT(COLUMN(BY$2)-69,3))*5)+MOD(COLUMN(BY$2),3),1,1),"")</f>
        <v>0</v>
      </c>
      <c r="BZ13">
        <f ca="1">IF($AN13="",OFFSET(Demand!$A$13,ROW(J10)-1,4+((QUOTIENT(COLUMN(BZ$2)-69,3))*5)+MOD(COLUMN(BZ$2),3),1,1),"")</f>
        <v>0</v>
      </c>
      <c r="CA13">
        <f ca="1">IF($AN13="",OFFSET(Demand!$A$13,ROW(K10)-1,4+((QUOTIENT(COLUMN(CA$2)-69,3))*5)+MOD(COLUMN(CA$2),3),1,1),"")</f>
        <v>0</v>
      </c>
      <c r="CB13">
        <f ca="1">IF($AN13="",OFFSET(Demand!$A$13,ROW(L10)-1,4+((QUOTIENT(COLUMN(CB$2)-69,3))*5)+MOD(COLUMN(CB$2),3),1,1),"")</f>
        <v>0</v>
      </c>
      <c r="CC13">
        <f ca="1">IF($AN13="",OFFSET(Demand!$A$13,ROW(M10)-1,4+((QUOTIENT(COLUMN(CC$2)-69,3))*5)+MOD(COLUMN(CC$2),3),1,1),"")</f>
        <v>0</v>
      </c>
      <c r="CD13">
        <f ca="1">IF($AN13="",OFFSET(Demand!$A$13,ROW(N10)-1,4+((QUOTIENT(COLUMN(CD$2)-69,3))*5)+MOD(COLUMN(CD$2),3),1,1),"")</f>
        <v>0</v>
      </c>
      <c r="CE13">
        <f ca="1">IF($AN13="",OFFSET(Demand!$A$13,ROW(O10)-1,4+((QUOTIENT(COLUMN(CE$2)-69,3))*5)+MOD(COLUMN(CE$2),3),1,1),"")</f>
        <v>0</v>
      </c>
      <c r="CF13">
        <f ca="1">IF($AN13="",OFFSET(Demand!$A$13,ROW(P10)-1,4+((QUOTIENT(COLUMN(CF$2)-69,3))*5)+MOD(COLUMN(CF$2),3),1,1),"")</f>
        <v>0</v>
      </c>
      <c r="CG13">
        <f ca="1">IF($AN13="",OFFSET(Demand!$A$13,ROW(Q10)-1,4+((QUOTIENT(COLUMN(CG$2)-69,3))*5)+MOD(COLUMN(CG$2),3),1,1),"")</f>
        <v>0</v>
      </c>
      <c r="CH13">
        <f ca="1">IF($AN13="",OFFSET(Demand!$A$13,ROW(R10)-1,4+((QUOTIENT(COLUMN(CH$2)-69,3))*5)+MOD(COLUMN(CH$2),3),1,1),"")</f>
        <v>0</v>
      </c>
      <c r="CI13">
        <f ca="1">IF($AN13="",OFFSET(Demand!$A$13,ROW(S10)-1,4+((QUOTIENT(COLUMN(CI$2)-69,3))*5)+MOD(COLUMN(CI$2),3),1,1),"")</f>
        <v>0</v>
      </c>
      <c r="CJ13">
        <f ca="1">IF($AN13="",OFFSET(Demand!$A$13,ROW(T10)-1,4+((QUOTIENT(COLUMN(CJ$2)-69,3))*5)+MOD(COLUMN(CJ$2),3),1,1),"")</f>
        <v>0</v>
      </c>
      <c r="CK13">
        <f ca="1">IF($AN13="",OFFSET(Demand!$A$13,ROW(U10)-1,4+((QUOTIENT(COLUMN(CK$2)-69,3))*5)+MOD(COLUMN(CK$2),3),1,1),"")</f>
        <v>0</v>
      </c>
      <c r="CL13">
        <f ca="1">IF($AN13="",OFFSET(Demand!$A$13,ROW(V10)-1,4+((QUOTIENT(COLUMN(CL$2)-69,3))*5)+MOD(COLUMN(CL$2),3),1,1),"")</f>
        <v>0</v>
      </c>
      <c r="CM13">
        <f ca="1">IF($AN13="",OFFSET(Demand!$A$13,ROW(W10)-1,4+((QUOTIENT(COLUMN(CM$2)-69,3))*5)+MOD(COLUMN(CM$2),3),1,1),"")</f>
        <v>0</v>
      </c>
      <c r="CN13">
        <f ca="1">IF($AN13="",OFFSET(Demand!$A$13,ROW(X10)-1,4+((QUOTIENT(COLUMN(CN$2)-69,3))*5)+MOD(COLUMN(CN$2),3),1,1),"")</f>
        <v>0</v>
      </c>
      <c r="CO13">
        <f ca="1">IF($AN13="",OFFSET(Demand!$A$13,ROW(Y10)-1,4+((QUOTIENT(COLUMN(CO$2)-69,3))*5)+MOD(COLUMN(CO$2),3),1,1),"")</f>
        <v>0</v>
      </c>
      <c r="CP13">
        <f ca="1">IF($AN13="",OFFSET(Demand!$A$13,ROW(Z10)-1,4+((QUOTIENT(COLUMN(CP$2)-69,3))*5)+MOD(COLUMN(CP$2),3),1,1),"")</f>
        <v>0</v>
      </c>
      <c r="CQ13">
        <f ca="1">IF($AN13="",OFFSET(Demand!$A$13,ROW(AA10)-1,4+((QUOTIENT(COLUMN(CQ$2)-69,3))*5)+MOD(COLUMN(CQ$2),3),1,1),"")</f>
        <v>0</v>
      </c>
      <c r="CR13">
        <f ca="1">IF($AN13="",OFFSET(Demand!$A$13,ROW(AB10)-1,4+((QUOTIENT(COLUMN(CR$2)-69,3))*5)+MOD(COLUMN(CR$2),3),1,1),"")</f>
        <v>0</v>
      </c>
      <c r="CS13">
        <f ca="1">IF($AN13="",OFFSET(Demand!$A$13,ROW(AC10)-1,4+((QUOTIENT(COLUMN(CS$2)-69,3))*5)+MOD(COLUMN(CS$2),3),1,1),"")</f>
        <v>0</v>
      </c>
      <c r="CT13">
        <f ca="1">IF($AN13="",OFFSET(Demand!$A$13,ROW(AD10)-1,4+((QUOTIENT(COLUMN(CT$2)-69,3))*5)+MOD(COLUMN(CT$2),3),1,1),"")</f>
        <v>0</v>
      </c>
      <c r="CW13" s="5">
        <f ca="1">SUM(OFFSET(Demand!$H$43,ROW(A10)-1,(COLUMN(A10)-1)*5,1,1))*N$2</f>
        <v>0</v>
      </c>
      <c r="CX13" s="5">
        <f ca="1">SUM(OFFSET(Demand!$H$43,ROW(B10)-1,(COLUMN(B10)-1)*5,1,1))*O$2</f>
        <v>0</v>
      </c>
      <c r="CY13" s="5">
        <f ca="1">SUM(OFFSET(Demand!$H$43,ROW(C10)-1,(COLUMN(C10)-1)*5,1,1))*P$2</f>
        <v>0</v>
      </c>
      <c r="CZ13" s="5">
        <f ca="1">SUM(OFFSET(Demand!$H$43,ROW(D10)-1,(COLUMN(D10)-1)*5,1,1))*Q$2</f>
        <v>0</v>
      </c>
      <c r="DA13" s="5">
        <f ca="1">SUM(OFFSET(Demand!$H$43,ROW(E10)-1,(COLUMN(E10)-1)*5,1,1))*R$2</f>
        <v>0</v>
      </c>
      <c r="DB13" s="5">
        <f ca="1">SUM(OFFSET(Demand!$H$43,ROW(F10)-1,(COLUMN(F10)-1)*5,1,1))*S$2</f>
        <v>0</v>
      </c>
      <c r="DC13" s="5">
        <f ca="1">SUM(OFFSET(Demand!$H$43,ROW(G10)-1,(COLUMN(G10)-1)*5,1,1))*T$2</f>
        <v>0</v>
      </c>
      <c r="DD13" s="5">
        <f ca="1">SUM(OFFSET(Demand!$H$43,ROW(H10)-1,(COLUMN(H10)-1)*5,1,1))*U$2</f>
        <v>0</v>
      </c>
      <c r="DE13" s="5">
        <f ca="1">SUM(OFFSET(Demand!$H$43,ROW(I10)-1,(COLUMN(I10)-1)*5,1,1))*V$2</f>
        <v>0</v>
      </c>
      <c r="DF13" s="5">
        <f ca="1">SUM(OFFSET(Demand!$H$43,ROW(J10)-1,(COLUMN(J10)-1)*5,1,1))*W$2</f>
        <v>0</v>
      </c>
      <c r="DG13" s="5">
        <f t="shared" ca="1" si="9"/>
        <v>0</v>
      </c>
      <c r="DI13" s="5" t="s">
        <v>237</v>
      </c>
      <c r="DJ13" s="5" t="str">
        <f ca="1">IFERROR(PERCENTILE(OFFSET($DG$4,'SPC background (hide)'!$D$8,0,'SPC background (hide)'!$H$9,1),'Control sheet (hide)'!$I$10),"")</f>
        <v/>
      </c>
    </row>
    <row r="14" spans="1:114" s="5" customFormat="1" x14ac:dyDescent="0.2">
      <c r="A14" s="5">
        <f t="shared" ca="1" si="3"/>
        <v>0</v>
      </c>
      <c r="B14" s="5">
        <f ca="1">COUNTBLANK(OFFSET(Demand!$I23,0,(COLUMN(A11)-1)*5,1,1))</f>
        <v>0</v>
      </c>
      <c r="C14" s="5">
        <f ca="1">COUNTBLANK(OFFSET(Demand!$I23,0,(COLUMN(B11)-1)*5,1,1))</f>
        <v>0</v>
      </c>
      <c r="D14" s="5">
        <f ca="1">COUNTBLANK(OFFSET(Demand!$I23,0,(COLUMN(C11)-1)*5,1,1))</f>
        <v>1</v>
      </c>
      <c r="E14" s="5">
        <f ca="1">COUNTBLANK(OFFSET(Demand!$I23,0,(COLUMN(D11)-1)*5,1,1))</f>
        <v>1</v>
      </c>
      <c r="F14" s="5">
        <f ca="1">COUNTBLANK(OFFSET(Demand!$I23,0,(COLUMN(E11)-1)*5,1,1))</f>
        <v>1</v>
      </c>
      <c r="G14" s="5">
        <f ca="1">COUNTBLANK(OFFSET(Demand!$I23,0,(COLUMN(F11)-1)*5,1,1))</f>
        <v>1</v>
      </c>
      <c r="H14" s="5">
        <f ca="1">COUNTBLANK(OFFSET(Demand!$I23,0,(COLUMN(G11)-1)*5,1,1))</f>
        <v>1</v>
      </c>
      <c r="I14" s="5">
        <f ca="1">COUNTBLANK(OFFSET(Demand!$I23,0,(COLUMN(H11)-1)*5,1,1))</f>
        <v>1</v>
      </c>
      <c r="J14" s="5">
        <f ca="1">COUNTBLANK(OFFSET(Demand!$I23,0,(COLUMN(I11)-1)*5,1,1))</f>
        <v>1</v>
      </c>
      <c r="K14" s="5">
        <f ca="1">COUNTBLANK(OFFSET(Demand!$I23,0,(COLUMN(J11)-1)*5,1,1))</f>
        <v>1</v>
      </c>
      <c r="N14" s="5">
        <f ca="1">SUM(OFFSET(Demand!$E23,0,(COLUMN(A11)-1)*5,1,3))*N$2</f>
        <v>120</v>
      </c>
      <c r="O14" s="5">
        <f ca="1">SUM(OFFSET(Demand!$E23,0,(COLUMN(B11)-1)*5,1,3))*O$2</f>
        <v>560</v>
      </c>
      <c r="P14" s="5">
        <f ca="1">SUM(OFFSET(Demand!$E23,0,(COLUMN(C11)-1)*5,1,3))*P$2</f>
        <v>0</v>
      </c>
      <c r="Q14" s="5">
        <f ca="1">SUM(OFFSET(Demand!$E23,0,(COLUMN(D11)-1)*5,1,3))*Q$2</f>
        <v>0</v>
      </c>
      <c r="R14" s="5">
        <f ca="1">SUM(OFFSET(Demand!$E23,0,(COLUMN(E11)-1)*5,1,3))*R$2</f>
        <v>0</v>
      </c>
      <c r="S14" s="5">
        <f ca="1">SUM(OFFSET(Demand!$E23,0,(COLUMN(F11)-1)*5,1,3))*S$2</f>
        <v>0</v>
      </c>
      <c r="T14" s="5">
        <f ca="1">SUM(OFFSET(Demand!$E23,0,(COLUMN(G11)-1)*5,1,3))*T$2</f>
        <v>0</v>
      </c>
      <c r="U14" s="5">
        <f ca="1">SUM(OFFSET(Demand!$E23,0,(COLUMN(H11)-1)*5,1,3))*U$2</f>
        <v>0</v>
      </c>
      <c r="V14" s="5">
        <f ca="1">SUM(OFFSET(Demand!$E23,0,(COLUMN(I11)-1)*5,1,3))*V$2</f>
        <v>0</v>
      </c>
      <c r="W14" s="5">
        <f ca="1">SUM(OFFSET(Demand!$E23,0,(COLUMN(J11)-1)*5,1,3))*W$2</f>
        <v>0</v>
      </c>
      <c r="X14" s="5">
        <f t="shared" ca="1" si="4"/>
        <v>680</v>
      </c>
      <c r="Y14" s="5">
        <f t="shared" ca="1" si="5"/>
        <v>680</v>
      </c>
      <c r="Z14" s="5">
        <f ca="1">SUM(OFFSET(Demand!$H23,0,(COLUMN(A11)-1)*5,1,1))*N$2</f>
        <v>0</v>
      </c>
      <c r="AA14" s="5">
        <f ca="1">SUM(OFFSET(Demand!$H23,0,(COLUMN(B11)-1)*5,1,1))*O$2</f>
        <v>0</v>
      </c>
      <c r="AB14" s="5">
        <f ca="1">SUM(OFFSET(Demand!$H23,0,(COLUMN(C11)-1)*5,1,1))*P$2</f>
        <v>0</v>
      </c>
      <c r="AC14" s="5">
        <f ca="1">SUM(OFFSET(Demand!$H23,0,(COLUMN(D11)-1)*5,1,1))*Q$2</f>
        <v>0</v>
      </c>
      <c r="AD14" s="5">
        <f ca="1">SUM(OFFSET(Demand!$H23,0,(COLUMN(E11)-1)*5,1,1))*R$2</f>
        <v>0</v>
      </c>
      <c r="AE14" s="5">
        <f ca="1">SUM(OFFSET(Demand!$H23,0,(COLUMN(F11)-1)*5,1,1))*S$2</f>
        <v>0</v>
      </c>
      <c r="AF14" s="5">
        <f ca="1">SUM(OFFSET(Demand!$H23,0,(COLUMN(G11)-1)*5,1,1))*T$2</f>
        <v>0</v>
      </c>
      <c r="AG14" s="5">
        <f ca="1">SUM(OFFSET(Demand!$H23,0,(COLUMN(H11)-1)*5,1,1))*U$2</f>
        <v>0</v>
      </c>
      <c r="AH14" s="5">
        <f ca="1">SUM(OFFSET(Demand!$H23,0,(COLUMN(I11)-1)*5,1,1))*V$2</f>
        <v>0</v>
      </c>
      <c r="AI14" s="5">
        <f ca="1">SUM(OFFSET(Demand!$H23,0,(COLUMN(J11)-1)*5,1,1))*W$2</f>
        <v>0</v>
      </c>
      <c r="AJ14" s="5">
        <f t="shared" ca="1" si="6"/>
        <v>0</v>
      </c>
      <c r="AL14" s="5">
        <f t="shared" ca="1" si="7"/>
        <v>680</v>
      </c>
      <c r="AM14" s="5">
        <f t="shared" ca="1" si="8"/>
        <v>0</v>
      </c>
      <c r="AN14" s="5" t="str">
        <f>IF(Demand!BE23="Yes","Yes","")</f>
        <v/>
      </c>
      <c r="AP14" s="37" t="str">
        <f ca="1">Demand!B23</f>
        <v xml:space="preserve"> </v>
      </c>
      <c r="AQ14" s="5" t="str">
        <f ca="1">IF(TEXT(Demand!D23,"MMM")&lt;&gt;TEXT(Demand!D22,"MMM"),TEXT(Demand!D23,"MMM"),"")</f>
        <v/>
      </c>
      <c r="AT14" s="5">
        <f t="shared" ca="1" si="10"/>
        <v>80</v>
      </c>
      <c r="AV14" s="5" t="s">
        <v>140</v>
      </c>
      <c r="AW14" s="45" t="str">
        <f ca="1">IFERROR(PERCENTILE(OFFSET(AL$4,'SPC background (hide)'!$D$6-1,0,'SPC background (hide)'!$H$7,1),'Control sheet (hide)'!$I$10),"")</f>
        <v/>
      </c>
      <c r="AX14" s="5" t="str">
        <f ca="1">IFERROR(PERCENTILE(OFFSET(AM$4,'SPC background (hide)'!$C$6-1,0,'SPC background (hide)'!$H$7,1),'Control sheet (hide)'!$I$10),"")</f>
        <v/>
      </c>
      <c r="BB14" t="str">
        <f>'Control sheet (hide)'!AA11</f>
        <v>Modality 9</v>
      </c>
      <c r="BC14" s="47" t="str">
        <f t="shared" si="11"/>
        <v/>
      </c>
      <c r="BD14" s="47" t="str">
        <f t="shared" si="12"/>
        <v/>
      </c>
      <c r="BE14" s="47" t="str">
        <f t="shared" si="13"/>
        <v/>
      </c>
      <c r="BF14" s="5">
        <f ca="1">SUM(OFFSET($BQ$4,'SPC background (hide)'!$C$4-1,((ROW(A9)-1)*3)+MOD(COLUMN(C9),3),'SPC background (hide)'!$I$11,1))</f>
        <v>0</v>
      </c>
      <c r="BG14" s="5">
        <f ca="1">SUM(OFFSET($BQ$4,'SPC background (hide)'!$C$4-1,((ROW(B9)-1)*3)+MOD(COLUMN(D9),3),'SPC background (hide)'!$I$11,1))</f>
        <v>0</v>
      </c>
      <c r="BH14" s="5">
        <f ca="1">SUM(OFFSET($BQ$4,'SPC background (hide)'!$C$4-1,((ROW(C9)-1)*3)+MOD(COLUMN(E9),3),'SPC background (hide)'!$I$11,1))</f>
        <v>0</v>
      </c>
      <c r="BI14" s="5">
        <f t="shared" ca="1" si="15"/>
        <v>0</v>
      </c>
      <c r="BJ14" s="5">
        <f t="shared" ref="BJ14:BL14" ca="1" si="26">BF14*OFFSET($N$2,0,ROW(A9)-1,1,1)</f>
        <v>0</v>
      </c>
      <c r="BK14" s="5">
        <f t="shared" ca="1" si="26"/>
        <v>0</v>
      </c>
      <c r="BL14" s="5">
        <f t="shared" ca="1" si="26"/>
        <v>0</v>
      </c>
      <c r="BM14" s="5">
        <f t="shared" ca="1" si="17"/>
        <v>0</v>
      </c>
      <c r="BN14" s="5">
        <f t="shared" ca="1" si="18"/>
        <v>1</v>
      </c>
      <c r="BO14" s="85">
        <f t="shared" ca="1" si="19"/>
        <v>0</v>
      </c>
      <c r="BQ14">
        <f ca="1">IF($AN14="",OFFSET(Demand!$A$13,ROW(A11)-1,4+((QUOTIENT(COLUMN(BQ$2)-69,3))*5)+MOD(COLUMN(BQ$2),3),1,1),"")</f>
        <v>0</v>
      </c>
      <c r="BR14">
        <f ca="1">IF($AN14="",OFFSET(Demand!$A$13,ROW(B11)-1,4+((QUOTIENT(COLUMN(BR$2)-69,3))*5)+MOD(COLUMN(BR$2),3),1,1),"")</f>
        <v>2</v>
      </c>
      <c r="BS14">
        <f ca="1">IF($AN14="",OFFSET(Demand!$A$13,ROW(C11)-1,4+((QUOTIENT(COLUMN(BS$2)-69,3))*5)+MOD(COLUMN(BS$2),3),1,1),"")</f>
        <v>2</v>
      </c>
      <c r="BT14">
        <f ca="1">IF($AN14="",OFFSET(Demand!$A$13,ROW(D11)-1,4+((QUOTIENT(COLUMN(BT$2)-69,3))*5)+MOD(COLUMN(BT$2),3),1,1),"")</f>
        <v>0</v>
      </c>
      <c r="BU14">
        <f ca="1">IF($AN14="",OFFSET(Demand!$A$13,ROW(E11)-1,4+((QUOTIENT(COLUMN(BU$2)-69,3))*5)+MOD(COLUMN(BU$2),3),1,1),"")</f>
        <v>0</v>
      </c>
      <c r="BV14">
        <f ca="1">IF($AN14="",OFFSET(Demand!$A$13,ROW(F11)-1,4+((QUOTIENT(COLUMN(BV$2)-69,3))*5)+MOD(COLUMN(BV$2),3),1,1),"")</f>
        <v>14</v>
      </c>
      <c r="BW14">
        <f ca="1">IF($AN14="",OFFSET(Demand!$A$13,ROW(G11)-1,4+((QUOTIENT(COLUMN(BW$2)-69,3))*5)+MOD(COLUMN(BW$2),3),1,1),"")</f>
        <v>0</v>
      </c>
      <c r="BX14">
        <f ca="1">IF($AN14="",OFFSET(Demand!$A$13,ROW(H11)-1,4+((QUOTIENT(COLUMN(BX$2)-69,3))*5)+MOD(COLUMN(BX$2),3),1,1),"")</f>
        <v>0</v>
      </c>
      <c r="BY14">
        <f ca="1">IF($AN14="",OFFSET(Demand!$A$13,ROW(I11)-1,4+((QUOTIENT(COLUMN(BY$2)-69,3))*5)+MOD(COLUMN(BY$2),3),1,1),"")</f>
        <v>0</v>
      </c>
      <c r="BZ14">
        <f ca="1">IF($AN14="",OFFSET(Demand!$A$13,ROW(J11)-1,4+((QUOTIENT(COLUMN(BZ$2)-69,3))*5)+MOD(COLUMN(BZ$2),3),1,1),"")</f>
        <v>0</v>
      </c>
      <c r="CA14">
        <f ca="1">IF($AN14="",OFFSET(Demand!$A$13,ROW(K11)-1,4+((QUOTIENT(COLUMN(CA$2)-69,3))*5)+MOD(COLUMN(CA$2),3),1,1),"")</f>
        <v>0</v>
      </c>
      <c r="CB14">
        <f ca="1">IF($AN14="",OFFSET(Demand!$A$13,ROW(L11)-1,4+((QUOTIENT(COLUMN(CB$2)-69,3))*5)+MOD(COLUMN(CB$2),3),1,1),"")</f>
        <v>0</v>
      </c>
      <c r="CC14">
        <f ca="1">IF($AN14="",OFFSET(Demand!$A$13,ROW(M11)-1,4+((QUOTIENT(COLUMN(CC$2)-69,3))*5)+MOD(COLUMN(CC$2),3),1,1),"")</f>
        <v>0</v>
      </c>
      <c r="CD14">
        <f ca="1">IF($AN14="",OFFSET(Demand!$A$13,ROW(N11)-1,4+((QUOTIENT(COLUMN(CD$2)-69,3))*5)+MOD(COLUMN(CD$2),3),1,1),"")</f>
        <v>0</v>
      </c>
      <c r="CE14">
        <f ca="1">IF($AN14="",OFFSET(Demand!$A$13,ROW(O11)-1,4+((QUOTIENT(COLUMN(CE$2)-69,3))*5)+MOD(COLUMN(CE$2),3),1,1),"")</f>
        <v>0</v>
      </c>
      <c r="CF14">
        <f ca="1">IF($AN14="",OFFSET(Demand!$A$13,ROW(P11)-1,4+((QUOTIENT(COLUMN(CF$2)-69,3))*5)+MOD(COLUMN(CF$2),3),1,1),"")</f>
        <v>0</v>
      </c>
      <c r="CG14">
        <f ca="1">IF($AN14="",OFFSET(Demand!$A$13,ROW(Q11)-1,4+((QUOTIENT(COLUMN(CG$2)-69,3))*5)+MOD(COLUMN(CG$2),3),1,1),"")</f>
        <v>0</v>
      </c>
      <c r="CH14">
        <f ca="1">IF($AN14="",OFFSET(Demand!$A$13,ROW(R11)-1,4+((QUOTIENT(COLUMN(CH$2)-69,3))*5)+MOD(COLUMN(CH$2),3),1,1),"")</f>
        <v>0</v>
      </c>
      <c r="CI14">
        <f ca="1">IF($AN14="",OFFSET(Demand!$A$13,ROW(S11)-1,4+((QUOTIENT(COLUMN(CI$2)-69,3))*5)+MOD(COLUMN(CI$2),3),1,1),"")</f>
        <v>0</v>
      </c>
      <c r="CJ14">
        <f ca="1">IF($AN14="",OFFSET(Demand!$A$13,ROW(T11)-1,4+((QUOTIENT(COLUMN(CJ$2)-69,3))*5)+MOD(COLUMN(CJ$2),3),1,1),"")</f>
        <v>0</v>
      </c>
      <c r="CK14">
        <f ca="1">IF($AN14="",OFFSET(Demand!$A$13,ROW(U11)-1,4+((QUOTIENT(COLUMN(CK$2)-69,3))*5)+MOD(COLUMN(CK$2),3),1,1),"")</f>
        <v>0</v>
      </c>
      <c r="CL14">
        <f ca="1">IF($AN14="",OFFSET(Demand!$A$13,ROW(V11)-1,4+((QUOTIENT(COLUMN(CL$2)-69,3))*5)+MOD(COLUMN(CL$2),3),1,1),"")</f>
        <v>0</v>
      </c>
      <c r="CM14">
        <f ca="1">IF($AN14="",OFFSET(Demand!$A$13,ROW(W11)-1,4+((QUOTIENT(COLUMN(CM$2)-69,3))*5)+MOD(COLUMN(CM$2),3),1,1),"")</f>
        <v>0</v>
      </c>
      <c r="CN14">
        <f ca="1">IF($AN14="",OFFSET(Demand!$A$13,ROW(X11)-1,4+((QUOTIENT(COLUMN(CN$2)-69,3))*5)+MOD(COLUMN(CN$2),3),1,1),"")</f>
        <v>0</v>
      </c>
      <c r="CO14">
        <f ca="1">IF($AN14="",OFFSET(Demand!$A$13,ROW(Y11)-1,4+((QUOTIENT(COLUMN(CO$2)-69,3))*5)+MOD(COLUMN(CO$2),3),1,1),"")</f>
        <v>0</v>
      </c>
      <c r="CP14">
        <f ca="1">IF($AN14="",OFFSET(Demand!$A$13,ROW(Z11)-1,4+((QUOTIENT(COLUMN(CP$2)-69,3))*5)+MOD(COLUMN(CP$2),3),1,1),"")</f>
        <v>0</v>
      </c>
      <c r="CQ14">
        <f ca="1">IF($AN14="",OFFSET(Demand!$A$13,ROW(AA11)-1,4+((QUOTIENT(COLUMN(CQ$2)-69,3))*5)+MOD(COLUMN(CQ$2),3),1,1),"")</f>
        <v>0</v>
      </c>
      <c r="CR14">
        <f ca="1">IF($AN14="",OFFSET(Demand!$A$13,ROW(AB11)-1,4+((QUOTIENT(COLUMN(CR$2)-69,3))*5)+MOD(COLUMN(CR$2),3),1,1),"")</f>
        <v>0</v>
      </c>
      <c r="CS14">
        <f ca="1">IF($AN14="",OFFSET(Demand!$A$13,ROW(AC11)-1,4+((QUOTIENT(COLUMN(CS$2)-69,3))*5)+MOD(COLUMN(CS$2),3),1,1),"")</f>
        <v>0</v>
      </c>
      <c r="CT14">
        <f ca="1">IF($AN14="",OFFSET(Demand!$A$13,ROW(AD11)-1,4+((QUOTIENT(COLUMN(CT$2)-69,3))*5)+MOD(COLUMN(CT$2),3),1,1),"")</f>
        <v>0</v>
      </c>
      <c r="CW14" s="5">
        <f ca="1">SUM(OFFSET(Demand!$H$43,ROW(A11)-1,(COLUMN(A11)-1)*5,1,1))*N$2</f>
        <v>0</v>
      </c>
      <c r="CX14" s="5">
        <f ca="1">SUM(OFFSET(Demand!$H$43,ROW(B11)-1,(COLUMN(B11)-1)*5,1,1))*O$2</f>
        <v>0</v>
      </c>
      <c r="CY14" s="5">
        <f ca="1">SUM(OFFSET(Demand!$H$43,ROW(C11)-1,(COLUMN(C11)-1)*5,1,1))*P$2</f>
        <v>0</v>
      </c>
      <c r="CZ14" s="5">
        <f ca="1">SUM(OFFSET(Demand!$H$43,ROW(D11)-1,(COLUMN(D11)-1)*5,1,1))*Q$2</f>
        <v>0</v>
      </c>
      <c r="DA14" s="5">
        <f ca="1">SUM(OFFSET(Demand!$H$43,ROW(E11)-1,(COLUMN(E11)-1)*5,1,1))*R$2</f>
        <v>0</v>
      </c>
      <c r="DB14" s="5">
        <f ca="1">SUM(OFFSET(Demand!$H$43,ROW(F11)-1,(COLUMN(F11)-1)*5,1,1))*S$2</f>
        <v>0</v>
      </c>
      <c r="DC14" s="5">
        <f ca="1">SUM(OFFSET(Demand!$H$43,ROW(G11)-1,(COLUMN(G11)-1)*5,1,1))*T$2</f>
        <v>0</v>
      </c>
      <c r="DD14" s="5">
        <f ca="1">SUM(OFFSET(Demand!$H$43,ROW(H11)-1,(COLUMN(H11)-1)*5,1,1))*U$2</f>
        <v>0</v>
      </c>
      <c r="DE14" s="5">
        <f ca="1">SUM(OFFSET(Demand!$H$43,ROW(I11)-1,(COLUMN(I11)-1)*5,1,1))*V$2</f>
        <v>0</v>
      </c>
      <c r="DF14" s="5">
        <f ca="1">SUM(OFFSET(Demand!$H$43,ROW(J11)-1,(COLUMN(J11)-1)*5,1,1))*W$2</f>
        <v>0</v>
      </c>
      <c r="DG14" s="5">
        <f t="shared" ca="1" si="9"/>
        <v>0</v>
      </c>
    </row>
    <row r="15" spans="1:114" s="5" customFormat="1" x14ac:dyDescent="0.2">
      <c r="A15" s="5">
        <f t="shared" ca="1" si="3"/>
        <v>0</v>
      </c>
      <c r="B15" s="5">
        <f ca="1">COUNTBLANK(OFFSET(Demand!$I24,0,(COLUMN(A12)-1)*5,1,1))</f>
        <v>0</v>
      </c>
      <c r="C15" s="5">
        <f ca="1">COUNTBLANK(OFFSET(Demand!$I24,0,(COLUMN(B12)-1)*5,1,1))</f>
        <v>0</v>
      </c>
      <c r="D15" s="5">
        <f ca="1">COUNTBLANK(OFFSET(Demand!$I24,0,(COLUMN(C12)-1)*5,1,1))</f>
        <v>1</v>
      </c>
      <c r="E15" s="5">
        <f ca="1">COUNTBLANK(OFFSET(Demand!$I24,0,(COLUMN(D12)-1)*5,1,1))</f>
        <v>1</v>
      </c>
      <c r="F15" s="5">
        <f ca="1">COUNTBLANK(OFFSET(Demand!$I24,0,(COLUMN(E12)-1)*5,1,1))</f>
        <v>1</v>
      </c>
      <c r="G15" s="5">
        <f ca="1">COUNTBLANK(OFFSET(Demand!$I24,0,(COLUMN(F12)-1)*5,1,1))</f>
        <v>1</v>
      </c>
      <c r="H15" s="5">
        <f ca="1">COUNTBLANK(OFFSET(Demand!$I24,0,(COLUMN(G12)-1)*5,1,1))</f>
        <v>1</v>
      </c>
      <c r="I15" s="5">
        <f ca="1">COUNTBLANK(OFFSET(Demand!$I24,0,(COLUMN(H12)-1)*5,1,1))</f>
        <v>1</v>
      </c>
      <c r="J15" s="5">
        <f ca="1">COUNTBLANK(OFFSET(Demand!$I24,0,(COLUMN(I12)-1)*5,1,1))</f>
        <v>1</v>
      </c>
      <c r="K15" s="5">
        <f ca="1">COUNTBLANK(OFFSET(Demand!$I24,0,(COLUMN(J12)-1)*5,1,1))</f>
        <v>1</v>
      </c>
      <c r="N15" s="5">
        <f ca="1">SUM(OFFSET(Demand!$E24,0,(COLUMN(A12)-1)*5,1,3))*N$2</f>
        <v>150</v>
      </c>
      <c r="O15" s="5">
        <f ca="1">SUM(OFFSET(Demand!$E24,0,(COLUMN(B12)-1)*5,1,3))*O$2</f>
        <v>200</v>
      </c>
      <c r="P15" s="5">
        <f ca="1">SUM(OFFSET(Demand!$E24,0,(COLUMN(C12)-1)*5,1,3))*P$2</f>
        <v>0</v>
      </c>
      <c r="Q15" s="5">
        <f ca="1">SUM(OFFSET(Demand!$E24,0,(COLUMN(D12)-1)*5,1,3))*Q$2</f>
        <v>0</v>
      </c>
      <c r="R15" s="5">
        <f ca="1">SUM(OFFSET(Demand!$E24,0,(COLUMN(E12)-1)*5,1,3))*R$2</f>
        <v>0</v>
      </c>
      <c r="S15" s="5">
        <f ca="1">SUM(OFFSET(Demand!$E24,0,(COLUMN(F12)-1)*5,1,3))*S$2</f>
        <v>0</v>
      </c>
      <c r="T15" s="5">
        <f ca="1">SUM(OFFSET(Demand!$E24,0,(COLUMN(G12)-1)*5,1,3))*T$2</f>
        <v>0</v>
      </c>
      <c r="U15" s="5">
        <f ca="1">SUM(OFFSET(Demand!$E24,0,(COLUMN(H12)-1)*5,1,3))*U$2</f>
        <v>0</v>
      </c>
      <c r="V15" s="5">
        <f ca="1">SUM(OFFSET(Demand!$E24,0,(COLUMN(I12)-1)*5,1,3))*V$2</f>
        <v>0</v>
      </c>
      <c r="W15" s="5">
        <f ca="1">SUM(OFFSET(Demand!$E24,0,(COLUMN(J12)-1)*5,1,3))*W$2</f>
        <v>0</v>
      </c>
      <c r="X15" s="5">
        <f t="shared" ca="1" si="4"/>
        <v>350</v>
      </c>
      <c r="Y15" s="5">
        <f t="shared" ca="1" si="5"/>
        <v>350</v>
      </c>
      <c r="Z15" s="5">
        <f ca="1">SUM(OFFSET(Demand!$H24,0,(COLUMN(A12)-1)*5,1,1))*N$2</f>
        <v>0</v>
      </c>
      <c r="AA15" s="5">
        <f ca="1">SUM(OFFSET(Demand!$H24,0,(COLUMN(B12)-1)*5,1,1))*O$2</f>
        <v>0</v>
      </c>
      <c r="AB15" s="5">
        <f ca="1">SUM(OFFSET(Demand!$H24,0,(COLUMN(C12)-1)*5,1,1))*P$2</f>
        <v>0</v>
      </c>
      <c r="AC15" s="5">
        <f ca="1">SUM(OFFSET(Demand!$H24,0,(COLUMN(D12)-1)*5,1,1))*Q$2</f>
        <v>0</v>
      </c>
      <c r="AD15" s="5">
        <f ca="1">SUM(OFFSET(Demand!$H24,0,(COLUMN(E12)-1)*5,1,1))*R$2</f>
        <v>0</v>
      </c>
      <c r="AE15" s="5">
        <f ca="1">SUM(OFFSET(Demand!$H24,0,(COLUMN(F12)-1)*5,1,1))*S$2</f>
        <v>0</v>
      </c>
      <c r="AF15" s="5">
        <f ca="1">SUM(OFFSET(Demand!$H24,0,(COLUMN(G12)-1)*5,1,1))*T$2</f>
        <v>0</v>
      </c>
      <c r="AG15" s="5">
        <f ca="1">SUM(OFFSET(Demand!$H24,0,(COLUMN(H12)-1)*5,1,1))*U$2</f>
        <v>0</v>
      </c>
      <c r="AH15" s="5">
        <f ca="1">SUM(OFFSET(Demand!$H24,0,(COLUMN(I12)-1)*5,1,1))*V$2</f>
        <v>0</v>
      </c>
      <c r="AI15" s="5">
        <f ca="1">SUM(OFFSET(Demand!$H24,0,(COLUMN(J12)-1)*5,1,1))*W$2</f>
        <v>0</v>
      </c>
      <c r="AJ15" s="5">
        <f t="shared" ca="1" si="6"/>
        <v>0</v>
      </c>
      <c r="AL15" s="5">
        <f t="shared" ca="1" si="7"/>
        <v>350</v>
      </c>
      <c r="AM15" s="5">
        <f t="shared" ca="1" si="8"/>
        <v>0</v>
      </c>
      <c r="AN15" s="5" t="str">
        <f>IF(Demand!BE24="Yes","Yes","")</f>
        <v/>
      </c>
      <c r="AP15" s="37" t="str">
        <f ca="1">Demand!B24</f>
        <v xml:space="preserve"> </v>
      </c>
      <c r="AQ15" s="5" t="str">
        <f ca="1">IF(TEXT(Demand!D24,"MMM")&lt;&gt;TEXT(Demand!D23,"MMM"),TEXT(Demand!D24,"MMM"),"")</f>
        <v/>
      </c>
      <c r="AT15" s="5">
        <f t="shared" ca="1" si="10"/>
        <v>330</v>
      </c>
      <c r="BB15" t="str">
        <f>'Control sheet (hide)'!AA12</f>
        <v>Modality 10</v>
      </c>
      <c r="BC15" s="47" t="str">
        <f t="shared" si="11"/>
        <v/>
      </c>
      <c r="BD15" s="47" t="str">
        <f t="shared" si="12"/>
        <v/>
      </c>
      <c r="BE15" s="47" t="str">
        <f t="shared" si="13"/>
        <v/>
      </c>
      <c r="BF15" s="5">
        <f ca="1">SUM(OFFSET($BQ$4,'SPC background (hide)'!$C$4-1,((ROW(A10)-1)*3)+MOD(COLUMN(C10),3),'SPC background (hide)'!$I$11,1))</f>
        <v>0</v>
      </c>
      <c r="BG15" s="5">
        <f ca="1">SUM(OFFSET($BQ$4,'SPC background (hide)'!$C$4-1,((ROW(B10)-1)*3)+MOD(COLUMN(D10),3),'SPC background (hide)'!$I$11,1))</f>
        <v>0</v>
      </c>
      <c r="BH15" s="5">
        <f ca="1">SUM(OFFSET($BQ$4,'SPC background (hide)'!$C$4-1,((ROW(C10)-1)*3)+MOD(COLUMN(E10),3),'SPC background (hide)'!$I$11,1))</f>
        <v>0</v>
      </c>
      <c r="BI15" s="5">
        <f t="shared" ca="1" si="15"/>
        <v>0</v>
      </c>
      <c r="BJ15" s="5">
        <f t="shared" ref="BJ15:BL15" ca="1" si="27">BF15*OFFSET($N$2,0,ROW(A10)-1,1,1)</f>
        <v>0</v>
      </c>
      <c r="BK15" s="5">
        <f t="shared" ca="1" si="27"/>
        <v>0</v>
      </c>
      <c r="BL15" s="5">
        <f t="shared" ca="1" si="27"/>
        <v>0</v>
      </c>
      <c r="BM15" s="5">
        <f t="shared" ca="1" si="17"/>
        <v>0</v>
      </c>
      <c r="BN15" s="5">
        <f t="shared" ca="1" si="18"/>
        <v>1</v>
      </c>
      <c r="BO15" s="85">
        <f t="shared" ca="1" si="19"/>
        <v>0</v>
      </c>
      <c r="BQ15">
        <f ca="1">IF($AN15="",OFFSET(Demand!$A$13,ROW(A12)-1,4+((QUOTIENT(COLUMN(BQ$2)-69,3))*5)+MOD(COLUMN(BQ$2),3),1,1),"")</f>
        <v>0</v>
      </c>
      <c r="BR15">
        <f ca="1">IF($AN15="",OFFSET(Demand!$A$13,ROW(B12)-1,4+((QUOTIENT(COLUMN(BR$2)-69,3))*5)+MOD(COLUMN(BR$2),3),1,1),"")</f>
        <v>2</v>
      </c>
      <c r="BS15">
        <f ca="1">IF($AN15="",OFFSET(Demand!$A$13,ROW(C12)-1,4+((QUOTIENT(COLUMN(BS$2)-69,3))*5)+MOD(COLUMN(BS$2),3),1,1),"")</f>
        <v>3</v>
      </c>
      <c r="BT15">
        <f ca="1">IF($AN15="",OFFSET(Demand!$A$13,ROW(D12)-1,4+((QUOTIENT(COLUMN(BT$2)-69,3))*5)+MOD(COLUMN(BT$2),3),1,1),"")</f>
        <v>0</v>
      </c>
      <c r="BU15">
        <f ca="1">IF($AN15="",OFFSET(Demand!$A$13,ROW(E12)-1,4+((QUOTIENT(COLUMN(BU$2)-69,3))*5)+MOD(COLUMN(BU$2),3),1,1),"")</f>
        <v>2</v>
      </c>
      <c r="BV15">
        <f ca="1">IF($AN15="",OFFSET(Demand!$A$13,ROW(F12)-1,4+((QUOTIENT(COLUMN(BV$2)-69,3))*5)+MOD(COLUMN(BV$2),3),1,1),"")</f>
        <v>3</v>
      </c>
      <c r="BW15">
        <f ca="1">IF($AN15="",OFFSET(Demand!$A$13,ROW(G12)-1,4+((QUOTIENT(COLUMN(BW$2)-69,3))*5)+MOD(COLUMN(BW$2),3),1,1),"")</f>
        <v>0</v>
      </c>
      <c r="BX15">
        <f ca="1">IF($AN15="",OFFSET(Demand!$A$13,ROW(H12)-1,4+((QUOTIENT(COLUMN(BX$2)-69,3))*5)+MOD(COLUMN(BX$2),3),1,1),"")</f>
        <v>0</v>
      </c>
      <c r="BY15">
        <f ca="1">IF($AN15="",OFFSET(Demand!$A$13,ROW(I12)-1,4+((QUOTIENT(COLUMN(BY$2)-69,3))*5)+MOD(COLUMN(BY$2),3),1,1),"")</f>
        <v>0</v>
      </c>
      <c r="BZ15">
        <f ca="1">IF($AN15="",OFFSET(Demand!$A$13,ROW(J12)-1,4+((QUOTIENT(COLUMN(BZ$2)-69,3))*5)+MOD(COLUMN(BZ$2),3),1,1),"")</f>
        <v>0</v>
      </c>
      <c r="CA15">
        <f ca="1">IF($AN15="",OFFSET(Demand!$A$13,ROW(K12)-1,4+((QUOTIENT(COLUMN(CA$2)-69,3))*5)+MOD(COLUMN(CA$2),3),1,1),"")</f>
        <v>0</v>
      </c>
      <c r="CB15">
        <f ca="1">IF($AN15="",OFFSET(Demand!$A$13,ROW(L12)-1,4+((QUOTIENT(COLUMN(CB$2)-69,3))*5)+MOD(COLUMN(CB$2),3),1,1),"")</f>
        <v>0</v>
      </c>
      <c r="CC15">
        <f ca="1">IF($AN15="",OFFSET(Demand!$A$13,ROW(M12)-1,4+((QUOTIENT(COLUMN(CC$2)-69,3))*5)+MOD(COLUMN(CC$2),3),1,1),"")</f>
        <v>0</v>
      </c>
      <c r="CD15">
        <f ca="1">IF($AN15="",OFFSET(Demand!$A$13,ROW(N12)-1,4+((QUOTIENT(COLUMN(CD$2)-69,3))*5)+MOD(COLUMN(CD$2),3),1,1),"")</f>
        <v>0</v>
      </c>
      <c r="CE15">
        <f ca="1">IF($AN15="",OFFSET(Demand!$A$13,ROW(O12)-1,4+((QUOTIENT(COLUMN(CE$2)-69,3))*5)+MOD(COLUMN(CE$2),3),1,1),"")</f>
        <v>0</v>
      </c>
      <c r="CF15">
        <f ca="1">IF($AN15="",OFFSET(Demand!$A$13,ROW(P12)-1,4+((QUOTIENT(COLUMN(CF$2)-69,3))*5)+MOD(COLUMN(CF$2),3),1,1),"")</f>
        <v>0</v>
      </c>
      <c r="CG15">
        <f ca="1">IF($AN15="",OFFSET(Demand!$A$13,ROW(Q12)-1,4+((QUOTIENT(COLUMN(CG$2)-69,3))*5)+MOD(COLUMN(CG$2),3),1,1),"")</f>
        <v>0</v>
      </c>
      <c r="CH15">
        <f ca="1">IF($AN15="",OFFSET(Demand!$A$13,ROW(R12)-1,4+((QUOTIENT(COLUMN(CH$2)-69,3))*5)+MOD(COLUMN(CH$2),3),1,1),"")</f>
        <v>0</v>
      </c>
      <c r="CI15">
        <f ca="1">IF($AN15="",OFFSET(Demand!$A$13,ROW(S12)-1,4+((QUOTIENT(COLUMN(CI$2)-69,3))*5)+MOD(COLUMN(CI$2),3),1,1),"")</f>
        <v>0</v>
      </c>
      <c r="CJ15">
        <f ca="1">IF($AN15="",OFFSET(Demand!$A$13,ROW(T12)-1,4+((QUOTIENT(COLUMN(CJ$2)-69,3))*5)+MOD(COLUMN(CJ$2),3),1,1),"")</f>
        <v>0</v>
      </c>
      <c r="CK15">
        <f ca="1">IF($AN15="",OFFSET(Demand!$A$13,ROW(U12)-1,4+((QUOTIENT(COLUMN(CK$2)-69,3))*5)+MOD(COLUMN(CK$2),3),1,1),"")</f>
        <v>0</v>
      </c>
      <c r="CL15">
        <f ca="1">IF($AN15="",OFFSET(Demand!$A$13,ROW(V12)-1,4+((QUOTIENT(COLUMN(CL$2)-69,3))*5)+MOD(COLUMN(CL$2),3),1,1),"")</f>
        <v>0</v>
      </c>
      <c r="CM15">
        <f ca="1">IF($AN15="",OFFSET(Demand!$A$13,ROW(W12)-1,4+((QUOTIENT(COLUMN(CM$2)-69,3))*5)+MOD(COLUMN(CM$2),3),1,1),"")</f>
        <v>0</v>
      </c>
      <c r="CN15">
        <f ca="1">IF($AN15="",OFFSET(Demand!$A$13,ROW(X12)-1,4+((QUOTIENT(COLUMN(CN$2)-69,3))*5)+MOD(COLUMN(CN$2),3),1,1),"")</f>
        <v>0</v>
      </c>
      <c r="CO15">
        <f ca="1">IF($AN15="",OFFSET(Demand!$A$13,ROW(Y12)-1,4+((QUOTIENT(COLUMN(CO$2)-69,3))*5)+MOD(COLUMN(CO$2),3),1,1),"")</f>
        <v>0</v>
      </c>
      <c r="CP15">
        <f ca="1">IF($AN15="",OFFSET(Demand!$A$13,ROW(Z12)-1,4+((QUOTIENT(COLUMN(CP$2)-69,3))*5)+MOD(COLUMN(CP$2),3),1,1),"")</f>
        <v>0</v>
      </c>
      <c r="CQ15">
        <f ca="1">IF($AN15="",OFFSET(Demand!$A$13,ROW(AA12)-1,4+((QUOTIENT(COLUMN(CQ$2)-69,3))*5)+MOD(COLUMN(CQ$2),3),1,1),"")</f>
        <v>0</v>
      </c>
      <c r="CR15">
        <f ca="1">IF($AN15="",OFFSET(Demand!$A$13,ROW(AB12)-1,4+((QUOTIENT(COLUMN(CR$2)-69,3))*5)+MOD(COLUMN(CR$2),3),1,1),"")</f>
        <v>0</v>
      </c>
      <c r="CS15">
        <f ca="1">IF($AN15="",OFFSET(Demand!$A$13,ROW(AC12)-1,4+((QUOTIENT(COLUMN(CS$2)-69,3))*5)+MOD(COLUMN(CS$2),3),1,1),"")</f>
        <v>0</v>
      </c>
      <c r="CT15">
        <f ca="1">IF($AN15="",OFFSET(Demand!$A$13,ROW(AD12)-1,4+((QUOTIENT(COLUMN(CT$2)-69,3))*5)+MOD(COLUMN(CT$2),3),1,1),"")</f>
        <v>0</v>
      </c>
      <c r="CW15" s="5">
        <f ca="1">SUM(OFFSET(Demand!$H$43,ROW(A12)-1,(COLUMN(A12)-1)*5,1,1))*N$2</f>
        <v>0</v>
      </c>
      <c r="CX15" s="5">
        <f ca="1">SUM(OFFSET(Demand!$H$43,ROW(B12)-1,(COLUMN(B12)-1)*5,1,1))*O$2</f>
        <v>0</v>
      </c>
      <c r="CY15" s="5">
        <f ca="1">SUM(OFFSET(Demand!$H$43,ROW(C12)-1,(COLUMN(C12)-1)*5,1,1))*P$2</f>
        <v>0</v>
      </c>
      <c r="CZ15" s="5">
        <f ca="1">SUM(OFFSET(Demand!$H$43,ROW(D12)-1,(COLUMN(D12)-1)*5,1,1))*Q$2</f>
        <v>0</v>
      </c>
      <c r="DA15" s="5">
        <f ca="1">SUM(OFFSET(Demand!$H$43,ROW(E12)-1,(COLUMN(E12)-1)*5,1,1))*R$2</f>
        <v>0</v>
      </c>
      <c r="DB15" s="5">
        <f ca="1">SUM(OFFSET(Demand!$H$43,ROW(F12)-1,(COLUMN(F12)-1)*5,1,1))*S$2</f>
        <v>0</v>
      </c>
      <c r="DC15" s="5">
        <f ca="1">SUM(OFFSET(Demand!$H$43,ROW(G12)-1,(COLUMN(G12)-1)*5,1,1))*T$2</f>
        <v>0</v>
      </c>
      <c r="DD15" s="5">
        <f ca="1">SUM(OFFSET(Demand!$H$43,ROW(H12)-1,(COLUMN(H12)-1)*5,1,1))*U$2</f>
        <v>0</v>
      </c>
      <c r="DE15" s="5">
        <f ca="1">SUM(OFFSET(Demand!$H$43,ROW(I12)-1,(COLUMN(I12)-1)*5,1,1))*V$2</f>
        <v>0</v>
      </c>
      <c r="DF15" s="5">
        <f ca="1">SUM(OFFSET(Demand!$H$43,ROW(J12)-1,(COLUMN(J12)-1)*5,1,1))*W$2</f>
        <v>0</v>
      </c>
      <c r="DG15" s="5">
        <f t="shared" ca="1" si="9"/>
        <v>0</v>
      </c>
      <c r="DI15" s="5" t="s">
        <v>238</v>
      </c>
      <c r="DJ15" s="5" t="str">
        <f ca="1">IFERROR(AVERAGE(OFFSET($DG$4,'SPC background (hide)'!$D$10,0,'SPC background (hide)'!$H$11,1)),"")</f>
        <v/>
      </c>
    </row>
    <row r="16" spans="1:114" s="5" customFormat="1" x14ac:dyDescent="0.2">
      <c r="A16" s="5">
        <f t="shared" ca="1" si="3"/>
        <v>0</v>
      </c>
      <c r="B16" s="5">
        <f ca="1">COUNTBLANK(OFFSET(Demand!$I25,0,(COLUMN(A13)-1)*5,1,1))</f>
        <v>0</v>
      </c>
      <c r="C16" s="5">
        <f ca="1">COUNTBLANK(OFFSET(Demand!$I25,0,(COLUMN(B13)-1)*5,1,1))</f>
        <v>0</v>
      </c>
      <c r="D16" s="5">
        <f ca="1">COUNTBLANK(OFFSET(Demand!$I25,0,(COLUMN(C13)-1)*5,1,1))</f>
        <v>1</v>
      </c>
      <c r="E16" s="5">
        <f ca="1">COUNTBLANK(OFFSET(Demand!$I25,0,(COLUMN(D13)-1)*5,1,1))</f>
        <v>1</v>
      </c>
      <c r="F16" s="5">
        <f ca="1">COUNTBLANK(OFFSET(Demand!$I25,0,(COLUMN(E13)-1)*5,1,1))</f>
        <v>1</v>
      </c>
      <c r="G16" s="5">
        <f ca="1">COUNTBLANK(OFFSET(Demand!$I25,0,(COLUMN(F13)-1)*5,1,1))</f>
        <v>1</v>
      </c>
      <c r="H16" s="5">
        <f ca="1">COUNTBLANK(OFFSET(Demand!$I25,0,(COLUMN(G13)-1)*5,1,1))</f>
        <v>1</v>
      </c>
      <c r="I16" s="5">
        <f ca="1">COUNTBLANK(OFFSET(Demand!$I25,0,(COLUMN(H13)-1)*5,1,1))</f>
        <v>1</v>
      </c>
      <c r="J16" s="5">
        <f ca="1">COUNTBLANK(OFFSET(Demand!$I25,0,(COLUMN(I13)-1)*5,1,1))</f>
        <v>1</v>
      </c>
      <c r="K16" s="5">
        <f ca="1">COUNTBLANK(OFFSET(Demand!$I25,0,(COLUMN(J13)-1)*5,1,1))</f>
        <v>1</v>
      </c>
      <c r="N16" s="5">
        <f ca="1">SUM(OFFSET(Demand!$E25,0,(COLUMN(A13)-1)*5,1,3))*N$2</f>
        <v>120</v>
      </c>
      <c r="O16" s="5">
        <f ca="1">SUM(OFFSET(Demand!$E25,0,(COLUMN(B13)-1)*5,1,3))*O$2</f>
        <v>280</v>
      </c>
      <c r="P16" s="5">
        <f ca="1">SUM(OFFSET(Demand!$E25,0,(COLUMN(C13)-1)*5,1,3))*P$2</f>
        <v>0</v>
      </c>
      <c r="Q16" s="5">
        <f ca="1">SUM(OFFSET(Demand!$E25,0,(COLUMN(D13)-1)*5,1,3))*Q$2</f>
        <v>0</v>
      </c>
      <c r="R16" s="5">
        <f ca="1">SUM(OFFSET(Demand!$E25,0,(COLUMN(E13)-1)*5,1,3))*R$2</f>
        <v>0</v>
      </c>
      <c r="S16" s="5">
        <f ca="1">SUM(OFFSET(Demand!$E25,0,(COLUMN(F13)-1)*5,1,3))*S$2</f>
        <v>0</v>
      </c>
      <c r="T16" s="5">
        <f ca="1">SUM(OFFSET(Demand!$E25,0,(COLUMN(G13)-1)*5,1,3))*T$2</f>
        <v>0</v>
      </c>
      <c r="U16" s="5">
        <f ca="1">SUM(OFFSET(Demand!$E25,0,(COLUMN(H13)-1)*5,1,3))*U$2</f>
        <v>0</v>
      </c>
      <c r="V16" s="5">
        <f ca="1">SUM(OFFSET(Demand!$E25,0,(COLUMN(I13)-1)*5,1,3))*V$2</f>
        <v>0</v>
      </c>
      <c r="W16" s="5">
        <f ca="1">SUM(OFFSET(Demand!$E25,0,(COLUMN(J13)-1)*5,1,3))*W$2</f>
        <v>0</v>
      </c>
      <c r="X16" s="5">
        <f t="shared" ca="1" si="4"/>
        <v>400</v>
      </c>
      <c r="Y16" s="5">
        <f t="shared" ca="1" si="5"/>
        <v>400</v>
      </c>
      <c r="Z16" s="5">
        <f ca="1">SUM(OFFSET(Demand!$H25,0,(COLUMN(A13)-1)*5,1,1))*N$2</f>
        <v>0</v>
      </c>
      <c r="AA16" s="5">
        <f ca="1">SUM(OFFSET(Demand!$H25,0,(COLUMN(B13)-1)*5,1,1))*O$2</f>
        <v>0</v>
      </c>
      <c r="AB16" s="5">
        <f ca="1">SUM(OFFSET(Demand!$H25,0,(COLUMN(C13)-1)*5,1,1))*P$2</f>
        <v>0</v>
      </c>
      <c r="AC16" s="5">
        <f ca="1">SUM(OFFSET(Demand!$H25,0,(COLUMN(D13)-1)*5,1,1))*Q$2</f>
        <v>0</v>
      </c>
      <c r="AD16" s="5">
        <f ca="1">SUM(OFFSET(Demand!$H25,0,(COLUMN(E13)-1)*5,1,1))*R$2</f>
        <v>0</v>
      </c>
      <c r="AE16" s="5">
        <f ca="1">SUM(OFFSET(Demand!$H25,0,(COLUMN(F13)-1)*5,1,1))*S$2</f>
        <v>0</v>
      </c>
      <c r="AF16" s="5">
        <f ca="1">SUM(OFFSET(Demand!$H25,0,(COLUMN(G13)-1)*5,1,1))*T$2</f>
        <v>0</v>
      </c>
      <c r="AG16" s="5">
        <f ca="1">SUM(OFFSET(Demand!$H25,0,(COLUMN(H13)-1)*5,1,1))*U$2</f>
        <v>0</v>
      </c>
      <c r="AH16" s="5">
        <f ca="1">SUM(OFFSET(Demand!$H25,0,(COLUMN(I13)-1)*5,1,1))*V$2</f>
        <v>0</v>
      </c>
      <c r="AI16" s="5">
        <f ca="1">SUM(OFFSET(Demand!$H25,0,(COLUMN(J13)-1)*5,1,1))*W$2</f>
        <v>0</v>
      </c>
      <c r="AJ16" s="5">
        <f t="shared" ca="1" si="6"/>
        <v>0</v>
      </c>
      <c r="AL16" s="5">
        <f t="shared" ca="1" si="7"/>
        <v>400</v>
      </c>
      <c r="AM16" s="5">
        <f t="shared" ca="1" si="8"/>
        <v>0</v>
      </c>
      <c r="AN16" s="5" t="str">
        <f>IF(Demand!BE25="Yes","Yes","")</f>
        <v/>
      </c>
      <c r="AP16" s="37" t="str">
        <f ca="1">Demand!B25</f>
        <v xml:space="preserve"> </v>
      </c>
      <c r="AQ16" s="5" t="str">
        <f ca="1">IF(TEXT(Demand!D25,"MMM")&lt;&gt;TEXT(Demand!D24,"MMM"),TEXT(Demand!D25,"MMM"),"")</f>
        <v/>
      </c>
      <c r="AT16" s="5">
        <f t="shared" ca="1" si="10"/>
        <v>50</v>
      </c>
      <c r="BB16" s="5" t="s">
        <v>24</v>
      </c>
      <c r="BC16" s="47">
        <f ca="1">BJ16/$BM16</f>
        <v>0</v>
      </c>
      <c r="BD16" s="47">
        <f ca="1">BK16/$BM16</f>
        <v>0.21756021756021757</v>
      </c>
      <c r="BE16" s="47">
        <f ca="1">BL16/$BM16</f>
        <v>0.78243978243978241</v>
      </c>
      <c r="BF16" s="5">
        <f t="shared" ref="BF16:BM16" ca="1" si="28">SUM(OFFSET(BF$6,0,0,Num_Modalities,1))</f>
        <v>0</v>
      </c>
      <c r="BG16" s="5">
        <f t="shared" ca="1" si="28"/>
        <v>150</v>
      </c>
      <c r="BH16" s="5">
        <f t="shared" ca="1" si="28"/>
        <v>546</v>
      </c>
      <c r="BI16" s="5">
        <f t="shared" ca="1" si="28"/>
        <v>696</v>
      </c>
      <c r="BJ16" s="5">
        <f t="shared" ca="1" si="28"/>
        <v>0</v>
      </c>
      <c r="BK16" s="5">
        <f t="shared" ca="1" si="28"/>
        <v>5600</v>
      </c>
      <c r="BL16" s="5">
        <f t="shared" ca="1" si="28"/>
        <v>20140</v>
      </c>
      <c r="BM16" s="5">
        <f t="shared" ca="1" si="28"/>
        <v>25740</v>
      </c>
      <c r="BN16" s="5">
        <f ca="1">IF(BI16=0,1,BM16/BI16)</f>
        <v>36.982758620689658</v>
      </c>
      <c r="BQ16">
        <f ca="1">IF($AN16="",OFFSET(Demand!$A$13,ROW(A13)-1,4+((QUOTIENT(COLUMN(BQ$2)-69,3))*5)+MOD(COLUMN(BQ$2),3),1,1),"")</f>
        <v>0</v>
      </c>
      <c r="BR16">
        <f ca="1">IF($AN16="",OFFSET(Demand!$A$13,ROW(B13)-1,4+((QUOTIENT(COLUMN(BR$2)-69,3))*5)+MOD(COLUMN(BR$2),3),1,1),"")</f>
        <v>2</v>
      </c>
      <c r="BS16">
        <f ca="1">IF($AN16="",OFFSET(Demand!$A$13,ROW(C13)-1,4+((QUOTIENT(COLUMN(BS$2)-69,3))*5)+MOD(COLUMN(BS$2),3),1,1),"")</f>
        <v>2</v>
      </c>
      <c r="BT16">
        <f ca="1">IF($AN16="",OFFSET(Demand!$A$13,ROW(D13)-1,4+((QUOTIENT(COLUMN(BT$2)-69,3))*5)+MOD(COLUMN(BT$2),3),1,1),"")</f>
        <v>0</v>
      </c>
      <c r="BU16">
        <f ca="1">IF($AN16="",OFFSET(Demand!$A$13,ROW(E13)-1,4+((QUOTIENT(COLUMN(BU$2)-69,3))*5)+MOD(COLUMN(BU$2),3),1,1),"")</f>
        <v>0</v>
      </c>
      <c r="BV16">
        <f ca="1">IF($AN16="",OFFSET(Demand!$A$13,ROW(F13)-1,4+((QUOTIENT(COLUMN(BV$2)-69,3))*5)+MOD(COLUMN(BV$2),3),1,1),"")</f>
        <v>7</v>
      </c>
      <c r="BW16">
        <f ca="1">IF($AN16="",OFFSET(Demand!$A$13,ROW(G13)-1,4+((QUOTIENT(COLUMN(BW$2)-69,3))*5)+MOD(COLUMN(BW$2),3),1,1),"")</f>
        <v>0</v>
      </c>
      <c r="BX16">
        <f ca="1">IF($AN16="",OFFSET(Demand!$A$13,ROW(H13)-1,4+((QUOTIENT(COLUMN(BX$2)-69,3))*5)+MOD(COLUMN(BX$2),3),1,1),"")</f>
        <v>0</v>
      </c>
      <c r="BY16">
        <f ca="1">IF($AN16="",OFFSET(Demand!$A$13,ROW(I13)-1,4+((QUOTIENT(COLUMN(BY$2)-69,3))*5)+MOD(COLUMN(BY$2),3),1,1),"")</f>
        <v>0</v>
      </c>
      <c r="BZ16">
        <f ca="1">IF($AN16="",OFFSET(Demand!$A$13,ROW(J13)-1,4+((QUOTIENT(COLUMN(BZ$2)-69,3))*5)+MOD(COLUMN(BZ$2),3),1,1),"")</f>
        <v>0</v>
      </c>
      <c r="CA16">
        <f ca="1">IF($AN16="",OFFSET(Demand!$A$13,ROW(K13)-1,4+((QUOTIENT(COLUMN(CA$2)-69,3))*5)+MOD(COLUMN(CA$2),3),1,1),"")</f>
        <v>0</v>
      </c>
      <c r="CB16">
        <f ca="1">IF($AN16="",OFFSET(Demand!$A$13,ROW(L13)-1,4+((QUOTIENT(COLUMN(CB$2)-69,3))*5)+MOD(COLUMN(CB$2),3),1,1),"")</f>
        <v>0</v>
      </c>
      <c r="CC16">
        <f ca="1">IF($AN16="",OFFSET(Demand!$A$13,ROW(M13)-1,4+((QUOTIENT(COLUMN(CC$2)-69,3))*5)+MOD(COLUMN(CC$2),3),1,1),"")</f>
        <v>0</v>
      </c>
      <c r="CD16">
        <f ca="1">IF($AN16="",OFFSET(Demand!$A$13,ROW(N13)-1,4+((QUOTIENT(COLUMN(CD$2)-69,3))*5)+MOD(COLUMN(CD$2),3),1,1),"")</f>
        <v>0</v>
      </c>
      <c r="CE16">
        <f ca="1">IF($AN16="",OFFSET(Demand!$A$13,ROW(O13)-1,4+((QUOTIENT(COLUMN(CE$2)-69,3))*5)+MOD(COLUMN(CE$2),3),1,1),"")</f>
        <v>0</v>
      </c>
      <c r="CF16">
        <f ca="1">IF($AN16="",OFFSET(Demand!$A$13,ROW(P13)-1,4+((QUOTIENT(COLUMN(CF$2)-69,3))*5)+MOD(COLUMN(CF$2),3),1,1),"")</f>
        <v>0</v>
      </c>
      <c r="CG16">
        <f ca="1">IF($AN16="",OFFSET(Demand!$A$13,ROW(Q13)-1,4+((QUOTIENT(COLUMN(CG$2)-69,3))*5)+MOD(COLUMN(CG$2),3),1,1),"")</f>
        <v>0</v>
      </c>
      <c r="CH16">
        <f ca="1">IF($AN16="",OFFSET(Demand!$A$13,ROW(R13)-1,4+((QUOTIENT(COLUMN(CH$2)-69,3))*5)+MOD(COLUMN(CH$2),3),1,1),"")</f>
        <v>0</v>
      </c>
      <c r="CI16">
        <f ca="1">IF($AN16="",OFFSET(Demand!$A$13,ROW(S13)-1,4+((QUOTIENT(COLUMN(CI$2)-69,3))*5)+MOD(COLUMN(CI$2),3),1,1),"")</f>
        <v>0</v>
      </c>
      <c r="CJ16">
        <f ca="1">IF($AN16="",OFFSET(Demand!$A$13,ROW(T13)-1,4+((QUOTIENT(COLUMN(CJ$2)-69,3))*5)+MOD(COLUMN(CJ$2),3),1,1),"")</f>
        <v>0</v>
      </c>
      <c r="CK16">
        <f ca="1">IF($AN16="",OFFSET(Demand!$A$13,ROW(U13)-1,4+((QUOTIENT(COLUMN(CK$2)-69,3))*5)+MOD(COLUMN(CK$2),3),1,1),"")</f>
        <v>0</v>
      </c>
      <c r="CL16">
        <f ca="1">IF($AN16="",OFFSET(Demand!$A$13,ROW(V13)-1,4+((QUOTIENT(COLUMN(CL$2)-69,3))*5)+MOD(COLUMN(CL$2),3),1,1),"")</f>
        <v>0</v>
      </c>
      <c r="CM16">
        <f ca="1">IF($AN16="",OFFSET(Demand!$A$13,ROW(W13)-1,4+((QUOTIENT(COLUMN(CM$2)-69,3))*5)+MOD(COLUMN(CM$2),3),1,1),"")</f>
        <v>0</v>
      </c>
      <c r="CN16">
        <f ca="1">IF($AN16="",OFFSET(Demand!$A$13,ROW(X13)-1,4+((QUOTIENT(COLUMN(CN$2)-69,3))*5)+MOD(COLUMN(CN$2),3),1,1),"")</f>
        <v>0</v>
      </c>
      <c r="CO16">
        <f ca="1">IF($AN16="",OFFSET(Demand!$A$13,ROW(Y13)-1,4+((QUOTIENT(COLUMN(CO$2)-69,3))*5)+MOD(COLUMN(CO$2),3),1,1),"")</f>
        <v>0</v>
      </c>
      <c r="CP16">
        <f ca="1">IF($AN16="",OFFSET(Demand!$A$13,ROW(Z13)-1,4+((QUOTIENT(COLUMN(CP$2)-69,3))*5)+MOD(COLUMN(CP$2),3),1,1),"")</f>
        <v>0</v>
      </c>
      <c r="CQ16">
        <f ca="1">IF($AN16="",OFFSET(Demand!$A$13,ROW(AA13)-1,4+((QUOTIENT(COLUMN(CQ$2)-69,3))*5)+MOD(COLUMN(CQ$2),3),1,1),"")</f>
        <v>0</v>
      </c>
      <c r="CR16">
        <f ca="1">IF($AN16="",OFFSET(Demand!$A$13,ROW(AB13)-1,4+((QUOTIENT(COLUMN(CR$2)-69,3))*5)+MOD(COLUMN(CR$2),3),1,1),"")</f>
        <v>0</v>
      </c>
      <c r="CS16">
        <f ca="1">IF($AN16="",OFFSET(Demand!$A$13,ROW(AC13)-1,4+((QUOTIENT(COLUMN(CS$2)-69,3))*5)+MOD(COLUMN(CS$2),3),1,1),"")</f>
        <v>0</v>
      </c>
      <c r="CT16">
        <f ca="1">IF($AN16="",OFFSET(Demand!$A$13,ROW(AD13)-1,4+((QUOTIENT(COLUMN(CT$2)-69,3))*5)+MOD(COLUMN(CT$2),3),1,1),"")</f>
        <v>0</v>
      </c>
      <c r="CW16" s="5">
        <f ca="1">SUM(OFFSET(Demand!$H$43,ROW(A13)-1,(COLUMN(A13)-1)*5,1,1))*N$2</f>
        <v>0</v>
      </c>
      <c r="CX16" s="5">
        <f ca="1">SUM(OFFSET(Demand!$H$43,ROW(B13)-1,(COLUMN(B13)-1)*5,1,1))*O$2</f>
        <v>0</v>
      </c>
      <c r="CY16" s="5">
        <f ca="1">SUM(OFFSET(Demand!$H$43,ROW(C13)-1,(COLUMN(C13)-1)*5,1,1))*P$2</f>
        <v>0</v>
      </c>
      <c r="CZ16" s="5">
        <f ca="1">SUM(OFFSET(Demand!$H$43,ROW(D13)-1,(COLUMN(D13)-1)*5,1,1))*Q$2</f>
        <v>0</v>
      </c>
      <c r="DA16" s="5">
        <f ca="1">SUM(OFFSET(Demand!$H$43,ROW(E13)-1,(COLUMN(E13)-1)*5,1,1))*R$2</f>
        <v>0</v>
      </c>
      <c r="DB16" s="5">
        <f ca="1">SUM(OFFSET(Demand!$H$43,ROW(F13)-1,(COLUMN(F13)-1)*5,1,1))*S$2</f>
        <v>0</v>
      </c>
      <c r="DC16" s="5">
        <f ca="1">SUM(OFFSET(Demand!$H$43,ROW(G13)-1,(COLUMN(G13)-1)*5,1,1))*T$2</f>
        <v>0</v>
      </c>
      <c r="DD16" s="5">
        <f ca="1">SUM(OFFSET(Demand!$H$43,ROW(H13)-1,(COLUMN(H13)-1)*5,1,1))*U$2</f>
        <v>0</v>
      </c>
      <c r="DE16" s="5">
        <f ca="1">SUM(OFFSET(Demand!$H$43,ROW(I13)-1,(COLUMN(I13)-1)*5,1,1))*V$2</f>
        <v>0</v>
      </c>
      <c r="DF16" s="5">
        <f ca="1">SUM(OFFSET(Demand!$H$43,ROW(J13)-1,(COLUMN(J13)-1)*5,1,1))*W$2</f>
        <v>0</v>
      </c>
      <c r="DG16" s="5">
        <f t="shared" ca="1" si="9"/>
        <v>0</v>
      </c>
      <c r="DI16" s="5" t="s">
        <v>239</v>
      </c>
      <c r="DJ16" s="5" t="str">
        <f ca="1">IFERROR(PERCENTILE(OFFSET($DG$4,'SPC background (hide)'!$D$10,0,'SPC background (hide)'!$H$11,1),'Control sheet (hide)'!$I$11),"")</f>
        <v/>
      </c>
    </row>
    <row r="17" spans="1:114" s="5" customFormat="1" x14ac:dyDescent="0.2">
      <c r="A17" s="5">
        <f t="shared" ca="1" si="3"/>
        <v>0</v>
      </c>
      <c r="B17" s="5">
        <f ca="1">COUNTBLANK(OFFSET(Demand!$I26,0,(COLUMN(A14)-1)*5,1,1))</f>
        <v>0</v>
      </c>
      <c r="C17" s="5">
        <f ca="1">COUNTBLANK(OFFSET(Demand!$I26,0,(COLUMN(B14)-1)*5,1,1))</f>
        <v>0</v>
      </c>
      <c r="D17" s="5">
        <f ca="1">COUNTBLANK(OFFSET(Demand!$I26,0,(COLUMN(C14)-1)*5,1,1))</f>
        <v>1</v>
      </c>
      <c r="E17" s="5">
        <f ca="1">COUNTBLANK(OFFSET(Demand!$I26,0,(COLUMN(D14)-1)*5,1,1))</f>
        <v>1</v>
      </c>
      <c r="F17" s="5">
        <f ca="1">COUNTBLANK(OFFSET(Demand!$I26,0,(COLUMN(E14)-1)*5,1,1))</f>
        <v>1</v>
      </c>
      <c r="G17" s="5">
        <f ca="1">COUNTBLANK(OFFSET(Demand!$I26,0,(COLUMN(F14)-1)*5,1,1))</f>
        <v>1</v>
      </c>
      <c r="H17" s="5">
        <f ca="1">COUNTBLANK(OFFSET(Demand!$I26,0,(COLUMN(G14)-1)*5,1,1))</f>
        <v>1</v>
      </c>
      <c r="I17" s="5">
        <f ca="1">COUNTBLANK(OFFSET(Demand!$I26,0,(COLUMN(H14)-1)*5,1,1))</f>
        <v>1</v>
      </c>
      <c r="J17" s="5">
        <f ca="1">COUNTBLANK(OFFSET(Demand!$I26,0,(COLUMN(I14)-1)*5,1,1))</f>
        <v>1</v>
      </c>
      <c r="K17" s="5">
        <f ca="1">COUNTBLANK(OFFSET(Demand!$I26,0,(COLUMN(J14)-1)*5,1,1))</f>
        <v>1</v>
      </c>
      <c r="N17" s="5">
        <f ca="1">SUM(OFFSET(Demand!$E26,0,(COLUMN(A14)-1)*5,1,3))*N$2</f>
        <v>150</v>
      </c>
      <c r="O17" s="5">
        <f ca="1">SUM(OFFSET(Demand!$E26,0,(COLUMN(B14)-1)*5,1,3))*O$2</f>
        <v>520</v>
      </c>
      <c r="P17" s="5">
        <f ca="1">SUM(OFFSET(Demand!$E26,0,(COLUMN(C14)-1)*5,1,3))*P$2</f>
        <v>0</v>
      </c>
      <c r="Q17" s="5">
        <f ca="1">SUM(OFFSET(Demand!$E26,0,(COLUMN(D14)-1)*5,1,3))*Q$2</f>
        <v>0</v>
      </c>
      <c r="R17" s="5">
        <f ca="1">SUM(OFFSET(Demand!$E26,0,(COLUMN(E14)-1)*5,1,3))*R$2</f>
        <v>0</v>
      </c>
      <c r="S17" s="5">
        <f ca="1">SUM(OFFSET(Demand!$E26,0,(COLUMN(F14)-1)*5,1,3))*S$2</f>
        <v>0</v>
      </c>
      <c r="T17" s="5">
        <f ca="1">SUM(OFFSET(Demand!$E26,0,(COLUMN(G14)-1)*5,1,3))*T$2</f>
        <v>0</v>
      </c>
      <c r="U17" s="5">
        <f ca="1">SUM(OFFSET(Demand!$E26,0,(COLUMN(H14)-1)*5,1,3))*U$2</f>
        <v>0</v>
      </c>
      <c r="V17" s="5">
        <f ca="1">SUM(OFFSET(Demand!$E26,0,(COLUMN(I14)-1)*5,1,3))*V$2</f>
        <v>0</v>
      </c>
      <c r="W17" s="5">
        <f ca="1">SUM(OFFSET(Demand!$E26,0,(COLUMN(J14)-1)*5,1,3))*W$2</f>
        <v>0</v>
      </c>
      <c r="X17" s="5">
        <f t="shared" ca="1" si="4"/>
        <v>670</v>
      </c>
      <c r="Y17" s="5">
        <f t="shared" ca="1" si="5"/>
        <v>670</v>
      </c>
      <c r="Z17" s="5">
        <f ca="1">SUM(OFFSET(Demand!$H26,0,(COLUMN(A14)-1)*5,1,1))*N$2</f>
        <v>0</v>
      </c>
      <c r="AA17" s="5">
        <f ca="1">SUM(OFFSET(Demand!$H26,0,(COLUMN(B14)-1)*5,1,1))*O$2</f>
        <v>0</v>
      </c>
      <c r="AB17" s="5">
        <f ca="1">SUM(OFFSET(Demand!$H26,0,(COLUMN(C14)-1)*5,1,1))*P$2</f>
        <v>0</v>
      </c>
      <c r="AC17" s="5">
        <f ca="1">SUM(OFFSET(Demand!$H26,0,(COLUMN(D14)-1)*5,1,1))*Q$2</f>
        <v>0</v>
      </c>
      <c r="AD17" s="5">
        <f ca="1">SUM(OFFSET(Demand!$H26,0,(COLUMN(E14)-1)*5,1,1))*R$2</f>
        <v>0</v>
      </c>
      <c r="AE17" s="5">
        <f ca="1">SUM(OFFSET(Demand!$H26,0,(COLUMN(F14)-1)*5,1,1))*S$2</f>
        <v>0</v>
      </c>
      <c r="AF17" s="5">
        <f ca="1">SUM(OFFSET(Demand!$H26,0,(COLUMN(G14)-1)*5,1,1))*T$2</f>
        <v>0</v>
      </c>
      <c r="AG17" s="5">
        <f ca="1">SUM(OFFSET(Demand!$H26,0,(COLUMN(H14)-1)*5,1,1))*U$2</f>
        <v>0</v>
      </c>
      <c r="AH17" s="5">
        <f ca="1">SUM(OFFSET(Demand!$H26,0,(COLUMN(I14)-1)*5,1,1))*V$2</f>
        <v>0</v>
      </c>
      <c r="AI17" s="5">
        <f ca="1">SUM(OFFSET(Demand!$H26,0,(COLUMN(J14)-1)*5,1,1))*W$2</f>
        <v>0</v>
      </c>
      <c r="AJ17" s="5">
        <f t="shared" ca="1" si="6"/>
        <v>0</v>
      </c>
      <c r="AL17" s="5">
        <f t="shared" ca="1" si="7"/>
        <v>670</v>
      </c>
      <c r="AM17" s="5">
        <f t="shared" ca="1" si="8"/>
        <v>0</v>
      </c>
      <c r="AN17" s="5" t="str">
        <f>IF(Demand!BE26="Yes","Yes","")</f>
        <v/>
      </c>
      <c r="AP17" s="37" t="str">
        <f ca="1">Demand!B26</f>
        <v xml:space="preserve"> </v>
      </c>
      <c r="AQ17" s="5" t="str">
        <f ca="1">IF(TEXT(Demand!D26,"MMM")&lt;&gt;TEXT(Demand!D25,"MMM"),TEXT(Demand!D26,"MMM"),"")</f>
        <v>Jul</v>
      </c>
      <c r="AT17" s="5">
        <f t="shared" ca="1" si="10"/>
        <v>270</v>
      </c>
      <c r="AV17" s="5" t="s">
        <v>108</v>
      </c>
      <c r="AW17" s="45" t="str">
        <f ca="1">IFERROR(AVERAGE(OFFSET(AL$4,'SPC background (hide)'!$D$8-1,0,'SPC background (hide)'!$H$9,1)),"")</f>
        <v/>
      </c>
      <c r="AX17" s="5" t="str">
        <f ca="1">IFERROR(AVERAGE(OFFSET(AM$4,'SPC background (hide)'!$D$8-1,0,'SPC background (hide)'!$H$9,1)),"")</f>
        <v/>
      </c>
      <c r="BQ17">
        <f ca="1">IF($AN17="",OFFSET(Demand!$A$13,ROW(A14)-1,4+((QUOTIENT(COLUMN(BQ$2)-69,3))*5)+MOD(COLUMN(BQ$2),3),1,1),"")</f>
        <v>0</v>
      </c>
      <c r="BR17">
        <f ca="1">IF($AN17="",OFFSET(Demand!$A$13,ROW(B14)-1,4+((QUOTIENT(COLUMN(BR$2)-69,3))*5)+MOD(COLUMN(BR$2),3),1,1),"")</f>
        <v>1</v>
      </c>
      <c r="BS17">
        <f ca="1">IF($AN17="",OFFSET(Demand!$A$13,ROW(C14)-1,4+((QUOTIENT(COLUMN(BS$2)-69,3))*5)+MOD(COLUMN(BS$2),3),1,1),"")</f>
        <v>4</v>
      </c>
      <c r="BT17">
        <f ca="1">IF($AN17="",OFFSET(Demand!$A$13,ROW(D14)-1,4+((QUOTIENT(COLUMN(BT$2)-69,3))*5)+MOD(COLUMN(BT$2),3),1,1),"")</f>
        <v>0</v>
      </c>
      <c r="BU17">
        <f ca="1">IF($AN17="",OFFSET(Demand!$A$13,ROW(E14)-1,4+((QUOTIENT(COLUMN(BU$2)-69,3))*5)+MOD(COLUMN(BU$2),3),1,1),"")</f>
        <v>3</v>
      </c>
      <c r="BV17">
        <f ca="1">IF($AN17="",OFFSET(Demand!$A$13,ROW(F14)-1,4+((QUOTIENT(COLUMN(BV$2)-69,3))*5)+MOD(COLUMN(BV$2),3),1,1),"")</f>
        <v>10</v>
      </c>
      <c r="BW17">
        <f ca="1">IF($AN17="",OFFSET(Demand!$A$13,ROW(G14)-1,4+((QUOTIENT(COLUMN(BW$2)-69,3))*5)+MOD(COLUMN(BW$2),3),1,1),"")</f>
        <v>0</v>
      </c>
      <c r="BX17">
        <f ca="1">IF($AN17="",OFFSET(Demand!$A$13,ROW(H14)-1,4+((QUOTIENT(COLUMN(BX$2)-69,3))*5)+MOD(COLUMN(BX$2),3),1,1),"")</f>
        <v>0</v>
      </c>
      <c r="BY17">
        <f ca="1">IF($AN17="",OFFSET(Demand!$A$13,ROW(I14)-1,4+((QUOTIENT(COLUMN(BY$2)-69,3))*5)+MOD(COLUMN(BY$2),3),1,1),"")</f>
        <v>0</v>
      </c>
      <c r="BZ17">
        <f ca="1">IF($AN17="",OFFSET(Demand!$A$13,ROW(J14)-1,4+((QUOTIENT(COLUMN(BZ$2)-69,3))*5)+MOD(COLUMN(BZ$2),3),1,1),"")</f>
        <v>0</v>
      </c>
      <c r="CA17">
        <f ca="1">IF($AN17="",OFFSET(Demand!$A$13,ROW(K14)-1,4+((QUOTIENT(COLUMN(CA$2)-69,3))*5)+MOD(COLUMN(CA$2),3),1,1),"")</f>
        <v>0</v>
      </c>
      <c r="CB17">
        <f ca="1">IF($AN17="",OFFSET(Demand!$A$13,ROW(L14)-1,4+((QUOTIENT(COLUMN(CB$2)-69,3))*5)+MOD(COLUMN(CB$2),3),1,1),"")</f>
        <v>0</v>
      </c>
      <c r="CC17">
        <f ca="1">IF($AN17="",OFFSET(Demand!$A$13,ROW(M14)-1,4+((QUOTIENT(COLUMN(CC$2)-69,3))*5)+MOD(COLUMN(CC$2),3),1,1),"")</f>
        <v>0</v>
      </c>
      <c r="CD17">
        <f ca="1">IF($AN17="",OFFSET(Demand!$A$13,ROW(N14)-1,4+((QUOTIENT(COLUMN(CD$2)-69,3))*5)+MOD(COLUMN(CD$2),3),1,1),"")</f>
        <v>0</v>
      </c>
      <c r="CE17">
        <f ca="1">IF($AN17="",OFFSET(Demand!$A$13,ROW(O14)-1,4+((QUOTIENT(COLUMN(CE$2)-69,3))*5)+MOD(COLUMN(CE$2),3),1,1),"")</f>
        <v>0</v>
      </c>
      <c r="CF17">
        <f ca="1">IF($AN17="",OFFSET(Demand!$A$13,ROW(P14)-1,4+((QUOTIENT(COLUMN(CF$2)-69,3))*5)+MOD(COLUMN(CF$2),3),1,1),"")</f>
        <v>0</v>
      </c>
      <c r="CG17">
        <f ca="1">IF($AN17="",OFFSET(Demand!$A$13,ROW(Q14)-1,4+((QUOTIENT(COLUMN(CG$2)-69,3))*5)+MOD(COLUMN(CG$2),3),1,1),"")</f>
        <v>0</v>
      </c>
      <c r="CH17">
        <f ca="1">IF($AN17="",OFFSET(Demand!$A$13,ROW(R14)-1,4+((QUOTIENT(COLUMN(CH$2)-69,3))*5)+MOD(COLUMN(CH$2),3),1,1),"")</f>
        <v>0</v>
      </c>
      <c r="CI17">
        <f ca="1">IF($AN17="",OFFSET(Demand!$A$13,ROW(S14)-1,4+((QUOTIENT(COLUMN(CI$2)-69,3))*5)+MOD(COLUMN(CI$2),3),1,1),"")</f>
        <v>0</v>
      </c>
      <c r="CJ17">
        <f ca="1">IF($AN17="",OFFSET(Demand!$A$13,ROW(T14)-1,4+((QUOTIENT(COLUMN(CJ$2)-69,3))*5)+MOD(COLUMN(CJ$2),3),1,1),"")</f>
        <v>0</v>
      </c>
      <c r="CK17">
        <f ca="1">IF($AN17="",OFFSET(Demand!$A$13,ROW(U14)-1,4+((QUOTIENT(COLUMN(CK$2)-69,3))*5)+MOD(COLUMN(CK$2),3),1,1),"")</f>
        <v>0</v>
      </c>
      <c r="CL17">
        <f ca="1">IF($AN17="",OFFSET(Demand!$A$13,ROW(V14)-1,4+((QUOTIENT(COLUMN(CL$2)-69,3))*5)+MOD(COLUMN(CL$2),3),1,1),"")</f>
        <v>0</v>
      </c>
      <c r="CM17">
        <f ca="1">IF($AN17="",OFFSET(Demand!$A$13,ROW(W14)-1,4+((QUOTIENT(COLUMN(CM$2)-69,3))*5)+MOD(COLUMN(CM$2),3),1,1),"")</f>
        <v>0</v>
      </c>
      <c r="CN17">
        <f ca="1">IF($AN17="",OFFSET(Demand!$A$13,ROW(X14)-1,4+((QUOTIENT(COLUMN(CN$2)-69,3))*5)+MOD(COLUMN(CN$2),3),1,1),"")</f>
        <v>0</v>
      </c>
      <c r="CO17">
        <f ca="1">IF($AN17="",OFFSET(Demand!$A$13,ROW(Y14)-1,4+((QUOTIENT(COLUMN(CO$2)-69,3))*5)+MOD(COLUMN(CO$2),3),1,1),"")</f>
        <v>0</v>
      </c>
      <c r="CP17">
        <f ca="1">IF($AN17="",OFFSET(Demand!$A$13,ROW(Z14)-1,4+((QUOTIENT(COLUMN(CP$2)-69,3))*5)+MOD(COLUMN(CP$2),3),1,1),"")</f>
        <v>0</v>
      </c>
      <c r="CQ17">
        <f ca="1">IF($AN17="",OFFSET(Demand!$A$13,ROW(AA14)-1,4+((QUOTIENT(COLUMN(CQ$2)-69,3))*5)+MOD(COLUMN(CQ$2),3),1,1),"")</f>
        <v>0</v>
      </c>
      <c r="CR17">
        <f ca="1">IF($AN17="",OFFSET(Demand!$A$13,ROW(AB14)-1,4+((QUOTIENT(COLUMN(CR$2)-69,3))*5)+MOD(COLUMN(CR$2),3),1,1),"")</f>
        <v>0</v>
      </c>
      <c r="CS17">
        <f ca="1">IF($AN17="",OFFSET(Demand!$A$13,ROW(AC14)-1,4+((QUOTIENT(COLUMN(CS$2)-69,3))*5)+MOD(COLUMN(CS$2),3),1,1),"")</f>
        <v>0</v>
      </c>
      <c r="CT17">
        <f ca="1">IF($AN17="",OFFSET(Demand!$A$13,ROW(AD14)-1,4+((QUOTIENT(COLUMN(CT$2)-69,3))*5)+MOD(COLUMN(CT$2),3),1,1),"")</f>
        <v>0</v>
      </c>
      <c r="CW17" s="5">
        <f ca="1">SUM(OFFSET(Demand!$H$43,ROW(A14)-1,(COLUMN(A14)-1)*5,1,1))*N$2</f>
        <v>0</v>
      </c>
      <c r="CX17" s="5">
        <f ca="1">SUM(OFFSET(Demand!$H$43,ROW(B14)-1,(COLUMN(B14)-1)*5,1,1))*O$2</f>
        <v>0</v>
      </c>
      <c r="CY17" s="5">
        <f ca="1">SUM(OFFSET(Demand!$H$43,ROW(C14)-1,(COLUMN(C14)-1)*5,1,1))*P$2</f>
        <v>0</v>
      </c>
      <c r="CZ17" s="5">
        <f ca="1">SUM(OFFSET(Demand!$H$43,ROW(D14)-1,(COLUMN(D14)-1)*5,1,1))*Q$2</f>
        <v>0</v>
      </c>
      <c r="DA17" s="5">
        <f ca="1">SUM(OFFSET(Demand!$H$43,ROW(E14)-1,(COLUMN(E14)-1)*5,1,1))*R$2</f>
        <v>0</v>
      </c>
      <c r="DB17" s="5">
        <f ca="1">SUM(OFFSET(Demand!$H$43,ROW(F14)-1,(COLUMN(F14)-1)*5,1,1))*S$2</f>
        <v>0</v>
      </c>
      <c r="DC17" s="5">
        <f ca="1">SUM(OFFSET(Demand!$H$43,ROW(G14)-1,(COLUMN(G14)-1)*5,1,1))*T$2</f>
        <v>0</v>
      </c>
      <c r="DD17" s="5">
        <f ca="1">SUM(OFFSET(Demand!$H$43,ROW(H14)-1,(COLUMN(H14)-1)*5,1,1))*U$2</f>
        <v>0</v>
      </c>
      <c r="DE17" s="5">
        <f ca="1">SUM(OFFSET(Demand!$H$43,ROW(I14)-1,(COLUMN(I14)-1)*5,1,1))*V$2</f>
        <v>0</v>
      </c>
      <c r="DF17" s="5">
        <f ca="1">SUM(OFFSET(Demand!$H$43,ROW(J14)-1,(COLUMN(J14)-1)*5,1,1))*W$2</f>
        <v>0</v>
      </c>
      <c r="DG17" s="5">
        <f t="shared" ca="1" si="9"/>
        <v>0</v>
      </c>
      <c r="DI17" s="5" t="s">
        <v>240</v>
      </c>
      <c r="DJ17" s="5" t="str">
        <f ca="1">IFERROR(PERCENTILE(OFFSET($DG$4,'SPC background (hide)'!$D$10,0,'SPC background (hide)'!$H$11,1),'Control sheet (hide)'!$I$10),"")</f>
        <v/>
      </c>
    </row>
    <row r="18" spans="1:114" s="5" customFormat="1" x14ac:dyDescent="0.2">
      <c r="A18" s="5">
        <f t="shared" ca="1" si="3"/>
        <v>0</v>
      </c>
      <c r="B18" s="5">
        <f ca="1">COUNTBLANK(OFFSET(Demand!$I27,0,(COLUMN(A15)-1)*5,1,1))</f>
        <v>0</v>
      </c>
      <c r="C18" s="5">
        <f ca="1">COUNTBLANK(OFFSET(Demand!$I27,0,(COLUMN(B15)-1)*5,1,1))</f>
        <v>0</v>
      </c>
      <c r="D18" s="5">
        <f ca="1">COUNTBLANK(OFFSET(Demand!$I27,0,(COLUMN(C15)-1)*5,1,1))</f>
        <v>1</v>
      </c>
      <c r="E18" s="5">
        <f ca="1">COUNTBLANK(OFFSET(Demand!$I27,0,(COLUMN(D15)-1)*5,1,1))</f>
        <v>1</v>
      </c>
      <c r="F18" s="5">
        <f ca="1">COUNTBLANK(OFFSET(Demand!$I27,0,(COLUMN(E15)-1)*5,1,1))</f>
        <v>1</v>
      </c>
      <c r="G18" s="5">
        <f ca="1">COUNTBLANK(OFFSET(Demand!$I27,0,(COLUMN(F15)-1)*5,1,1))</f>
        <v>1</v>
      </c>
      <c r="H18" s="5">
        <f ca="1">COUNTBLANK(OFFSET(Demand!$I27,0,(COLUMN(G15)-1)*5,1,1))</f>
        <v>1</v>
      </c>
      <c r="I18" s="5">
        <f ca="1">COUNTBLANK(OFFSET(Demand!$I27,0,(COLUMN(H15)-1)*5,1,1))</f>
        <v>1</v>
      </c>
      <c r="J18" s="5">
        <f ca="1">COUNTBLANK(OFFSET(Demand!$I27,0,(COLUMN(I15)-1)*5,1,1))</f>
        <v>1</v>
      </c>
      <c r="K18" s="5">
        <f ca="1">COUNTBLANK(OFFSET(Demand!$I27,0,(COLUMN(J15)-1)*5,1,1))</f>
        <v>1</v>
      </c>
      <c r="N18" s="5">
        <f ca="1">SUM(OFFSET(Demand!$E27,0,(COLUMN(A15)-1)*5,1,3))*N$2</f>
        <v>90</v>
      </c>
      <c r="O18" s="5">
        <f ca="1">SUM(OFFSET(Demand!$E27,0,(COLUMN(B15)-1)*5,1,3))*O$2</f>
        <v>440</v>
      </c>
      <c r="P18" s="5">
        <f ca="1">SUM(OFFSET(Demand!$E27,0,(COLUMN(C15)-1)*5,1,3))*P$2</f>
        <v>0</v>
      </c>
      <c r="Q18" s="5">
        <f ca="1">SUM(OFFSET(Demand!$E27,0,(COLUMN(D15)-1)*5,1,3))*Q$2</f>
        <v>0</v>
      </c>
      <c r="R18" s="5">
        <f ca="1">SUM(OFFSET(Demand!$E27,0,(COLUMN(E15)-1)*5,1,3))*R$2</f>
        <v>0</v>
      </c>
      <c r="S18" s="5">
        <f ca="1">SUM(OFFSET(Demand!$E27,0,(COLUMN(F15)-1)*5,1,3))*S$2</f>
        <v>0</v>
      </c>
      <c r="T18" s="5">
        <f ca="1">SUM(OFFSET(Demand!$E27,0,(COLUMN(G15)-1)*5,1,3))*T$2</f>
        <v>0</v>
      </c>
      <c r="U18" s="5">
        <f ca="1">SUM(OFFSET(Demand!$E27,0,(COLUMN(H15)-1)*5,1,3))*U$2</f>
        <v>0</v>
      </c>
      <c r="V18" s="5">
        <f ca="1">SUM(OFFSET(Demand!$E27,0,(COLUMN(I15)-1)*5,1,3))*V$2</f>
        <v>0</v>
      </c>
      <c r="W18" s="5">
        <f ca="1">SUM(OFFSET(Demand!$E27,0,(COLUMN(J15)-1)*5,1,3))*W$2</f>
        <v>0</v>
      </c>
      <c r="X18" s="5">
        <f t="shared" ca="1" si="4"/>
        <v>530</v>
      </c>
      <c r="Y18" s="5">
        <f t="shared" ca="1" si="5"/>
        <v>530</v>
      </c>
      <c r="Z18" s="5">
        <f ca="1">SUM(OFFSET(Demand!$H27,0,(COLUMN(A15)-1)*5,1,1))*N$2</f>
        <v>0</v>
      </c>
      <c r="AA18" s="5">
        <f ca="1">SUM(OFFSET(Demand!$H27,0,(COLUMN(B15)-1)*5,1,1))*O$2</f>
        <v>0</v>
      </c>
      <c r="AB18" s="5">
        <f ca="1">SUM(OFFSET(Demand!$H27,0,(COLUMN(C15)-1)*5,1,1))*P$2</f>
        <v>0</v>
      </c>
      <c r="AC18" s="5">
        <f ca="1">SUM(OFFSET(Demand!$H27,0,(COLUMN(D15)-1)*5,1,1))*Q$2</f>
        <v>0</v>
      </c>
      <c r="AD18" s="5">
        <f ca="1">SUM(OFFSET(Demand!$H27,0,(COLUMN(E15)-1)*5,1,1))*R$2</f>
        <v>0</v>
      </c>
      <c r="AE18" s="5">
        <f ca="1">SUM(OFFSET(Demand!$H27,0,(COLUMN(F15)-1)*5,1,1))*S$2</f>
        <v>0</v>
      </c>
      <c r="AF18" s="5">
        <f ca="1">SUM(OFFSET(Demand!$H27,0,(COLUMN(G15)-1)*5,1,1))*T$2</f>
        <v>0</v>
      </c>
      <c r="AG18" s="5">
        <f ca="1">SUM(OFFSET(Demand!$H27,0,(COLUMN(H15)-1)*5,1,1))*U$2</f>
        <v>0</v>
      </c>
      <c r="AH18" s="5">
        <f ca="1">SUM(OFFSET(Demand!$H27,0,(COLUMN(I15)-1)*5,1,1))*V$2</f>
        <v>0</v>
      </c>
      <c r="AI18" s="5">
        <f ca="1">SUM(OFFSET(Demand!$H27,0,(COLUMN(J15)-1)*5,1,1))*W$2</f>
        <v>0</v>
      </c>
      <c r="AJ18" s="5">
        <f t="shared" ca="1" si="6"/>
        <v>0</v>
      </c>
      <c r="AL18" s="5">
        <f t="shared" ca="1" si="7"/>
        <v>530</v>
      </c>
      <c r="AM18" s="5">
        <f t="shared" ca="1" si="8"/>
        <v>0</v>
      </c>
      <c r="AN18" s="5" t="str">
        <f>IF(Demand!BE27="Yes","Yes","")</f>
        <v/>
      </c>
      <c r="AP18" s="37" t="str">
        <f ca="1">Demand!B27</f>
        <v xml:space="preserve"> </v>
      </c>
      <c r="AQ18" s="5" t="str">
        <f ca="1">IF(TEXT(Demand!D27,"MMM")&lt;&gt;TEXT(Demand!D26,"MMM"),TEXT(Demand!D27,"MMM"),"")</f>
        <v/>
      </c>
      <c r="AT18" s="5">
        <f t="shared" ca="1" si="10"/>
        <v>140</v>
      </c>
      <c r="AV18" s="5" t="s">
        <v>107</v>
      </c>
      <c r="AW18" s="45" t="str">
        <f ca="1">IFERROR(AVERAGE(OFFSET($AT$4,'SPC background (hide)'!$D$8-1,0,'SPC background (hide)'!$H$9,1)),"")</f>
        <v/>
      </c>
      <c r="AX18" s="5" t="str">
        <f ca="1">IFERROR(AVERAGE(OFFSET($AT$4,'SPC background (hide)'!$D$8-1,0,'SPC background (hide)'!$H$9,1)),"")</f>
        <v/>
      </c>
      <c r="BB18" s="5" t="s">
        <v>332</v>
      </c>
      <c r="BF18" s="5">
        <f ca="1">BF16/MAX('SPC background (hide)'!$I$5:$I$11)</f>
        <v>0</v>
      </c>
      <c r="BG18" s="5">
        <f ca="1">BG16/MAX('SPC background (hide)'!$I$5:$I$11)</f>
        <v>2.8846153846153846</v>
      </c>
      <c r="BH18" s="5">
        <f ca="1">BH16/MAX('SPC background (hide)'!$I$5:$I$11)</f>
        <v>10.5</v>
      </c>
      <c r="BI18" s="5">
        <f ca="1">BI16/MAX('SPC background (hide)'!$I$5:$I$11)</f>
        <v>13.384615384615385</v>
      </c>
      <c r="BJ18" s="5">
        <f ca="1">BJ16/MAX('SPC background (hide)'!$I$5:$I$11)</f>
        <v>0</v>
      </c>
      <c r="BK18" s="5">
        <f ca="1">BK16/MAX('SPC background (hide)'!$I$5:$I$11)</f>
        <v>107.69230769230769</v>
      </c>
      <c r="BL18" s="5">
        <f ca="1">BL16/MAX('SPC background (hide)'!$I$5:$I$11)</f>
        <v>387.30769230769232</v>
      </c>
      <c r="BM18" s="5">
        <f ca="1">BM16/MAX('SPC background (hide)'!$I$5:$I$11)</f>
        <v>495</v>
      </c>
      <c r="BQ18">
        <f ca="1">IF($AN18="",OFFSET(Demand!$A$13,ROW(A15)-1,4+((QUOTIENT(COLUMN(BQ$2)-69,3))*5)+MOD(COLUMN(BQ$2),3),1,1),"")</f>
        <v>0</v>
      </c>
      <c r="BR18">
        <f ca="1">IF($AN18="",OFFSET(Demand!$A$13,ROW(B15)-1,4+((QUOTIENT(COLUMN(BR$2)-69,3))*5)+MOD(COLUMN(BR$2),3),1,1),"")</f>
        <v>2</v>
      </c>
      <c r="BS18">
        <f ca="1">IF($AN18="",OFFSET(Demand!$A$13,ROW(C15)-1,4+((QUOTIENT(COLUMN(BS$2)-69,3))*5)+MOD(COLUMN(BS$2),3),1,1),"")</f>
        <v>1</v>
      </c>
      <c r="BT18">
        <f ca="1">IF($AN18="",OFFSET(Demand!$A$13,ROW(D15)-1,4+((QUOTIENT(COLUMN(BT$2)-69,3))*5)+MOD(COLUMN(BT$2),3),1,1),"")</f>
        <v>0</v>
      </c>
      <c r="BU18">
        <f ca="1">IF($AN18="",OFFSET(Demand!$A$13,ROW(E15)-1,4+((QUOTIENT(COLUMN(BU$2)-69,3))*5)+MOD(COLUMN(BU$2),3),1,1),"")</f>
        <v>2</v>
      </c>
      <c r="BV18">
        <f ca="1">IF($AN18="",OFFSET(Demand!$A$13,ROW(F15)-1,4+((QUOTIENT(COLUMN(BV$2)-69,3))*5)+MOD(COLUMN(BV$2),3),1,1),"")</f>
        <v>9</v>
      </c>
      <c r="BW18">
        <f ca="1">IF($AN18="",OFFSET(Demand!$A$13,ROW(G15)-1,4+((QUOTIENT(COLUMN(BW$2)-69,3))*5)+MOD(COLUMN(BW$2),3),1,1),"")</f>
        <v>0</v>
      </c>
      <c r="BX18">
        <f ca="1">IF($AN18="",OFFSET(Demand!$A$13,ROW(H15)-1,4+((QUOTIENT(COLUMN(BX$2)-69,3))*5)+MOD(COLUMN(BX$2),3),1,1),"")</f>
        <v>0</v>
      </c>
      <c r="BY18">
        <f ca="1">IF($AN18="",OFFSET(Demand!$A$13,ROW(I15)-1,4+((QUOTIENT(COLUMN(BY$2)-69,3))*5)+MOD(COLUMN(BY$2),3),1,1),"")</f>
        <v>0</v>
      </c>
      <c r="BZ18">
        <f ca="1">IF($AN18="",OFFSET(Demand!$A$13,ROW(J15)-1,4+((QUOTIENT(COLUMN(BZ$2)-69,3))*5)+MOD(COLUMN(BZ$2),3),1,1),"")</f>
        <v>0</v>
      </c>
      <c r="CA18">
        <f ca="1">IF($AN18="",OFFSET(Demand!$A$13,ROW(K15)-1,4+((QUOTIENT(COLUMN(CA$2)-69,3))*5)+MOD(COLUMN(CA$2),3),1,1),"")</f>
        <v>0</v>
      </c>
      <c r="CB18">
        <f ca="1">IF($AN18="",OFFSET(Demand!$A$13,ROW(L15)-1,4+((QUOTIENT(COLUMN(CB$2)-69,3))*5)+MOD(COLUMN(CB$2),3),1,1),"")</f>
        <v>0</v>
      </c>
      <c r="CC18">
        <f ca="1">IF($AN18="",OFFSET(Demand!$A$13,ROW(M15)-1,4+((QUOTIENT(COLUMN(CC$2)-69,3))*5)+MOD(COLUMN(CC$2),3),1,1),"")</f>
        <v>0</v>
      </c>
      <c r="CD18">
        <f ca="1">IF($AN18="",OFFSET(Demand!$A$13,ROW(N15)-1,4+((QUOTIENT(COLUMN(CD$2)-69,3))*5)+MOD(COLUMN(CD$2),3),1,1),"")</f>
        <v>0</v>
      </c>
      <c r="CE18">
        <f ca="1">IF($AN18="",OFFSET(Demand!$A$13,ROW(O15)-1,4+((QUOTIENT(COLUMN(CE$2)-69,3))*5)+MOD(COLUMN(CE$2),3),1,1),"")</f>
        <v>0</v>
      </c>
      <c r="CF18">
        <f ca="1">IF($AN18="",OFFSET(Demand!$A$13,ROW(P15)-1,4+((QUOTIENT(COLUMN(CF$2)-69,3))*5)+MOD(COLUMN(CF$2),3),1,1),"")</f>
        <v>0</v>
      </c>
      <c r="CG18">
        <f ca="1">IF($AN18="",OFFSET(Demand!$A$13,ROW(Q15)-1,4+((QUOTIENT(COLUMN(CG$2)-69,3))*5)+MOD(COLUMN(CG$2),3),1,1),"")</f>
        <v>0</v>
      </c>
      <c r="CH18">
        <f ca="1">IF($AN18="",OFFSET(Demand!$A$13,ROW(R15)-1,4+((QUOTIENT(COLUMN(CH$2)-69,3))*5)+MOD(COLUMN(CH$2),3),1,1),"")</f>
        <v>0</v>
      </c>
      <c r="CI18">
        <f ca="1">IF($AN18="",OFFSET(Demand!$A$13,ROW(S15)-1,4+((QUOTIENT(COLUMN(CI$2)-69,3))*5)+MOD(COLUMN(CI$2),3),1,1),"")</f>
        <v>0</v>
      </c>
      <c r="CJ18">
        <f ca="1">IF($AN18="",OFFSET(Demand!$A$13,ROW(T15)-1,4+((QUOTIENT(COLUMN(CJ$2)-69,3))*5)+MOD(COLUMN(CJ$2),3),1,1),"")</f>
        <v>0</v>
      </c>
      <c r="CK18">
        <f ca="1">IF($AN18="",OFFSET(Demand!$A$13,ROW(U15)-1,4+((QUOTIENT(COLUMN(CK$2)-69,3))*5)+MOD(COLUMN(CK$2),3),1,1),"")</f>
        <v>0</v>
      </c>
      <c r="CL18">
        <f ca="1">IF($AN18="",OFFSET(Demand!$A$13,ROW(V15)-1,4+((QUOTIENT(COLUMN(CL$2)-69,3))*5)+MOD(COLUMN(CL$2),3),1,1),"")</f>
        <v>0</v>
      </c>
      <c r="CM18">
        <f ca="1">IF($AN18="",OFFSET(Demand!$A$13,ROW(W15)-1,4+((QUOTIENT(COLUMN(CM$2)-69,3))*5)+MOD(COLUMN(CM$2),3),1,1),"")</f>
        <v>0</v>
      </c>
      <c r="CN18">
        <f ca="1">IF($AN18="",OFFSET(Demand!$A$13,ROW(X15)-1,4+((QUOTIENT(COLUMN(CN$2)-69,3))*5)+MOD(COLUMN(CN$2),3),1,1),"")</f>
        <v>0</v>
      </c>
      <c r="CO18">
        <f ca="1">IF($AN18="",OFFSET(Demand!$A$13,ROW(Y15)-1,4+((QUOTIENT(COLUMN(CO$2)-69,3))*5)+MOD(COLUMN(CO$2),3),1,1),"")</f>
        <v>0</v>
      </c>
      <c r="CP18">
        <f ca="1">IF($AN18="",OFFSET(Demand!$A$13,ROW(Z15)-1,4+((QUOTIENT(COLUMN(CP$2)-69,3))*5)+MOD(COLUMN(CP$2),3),1,1),"")</f>
        <v>0</v>
      </c>
      <c r="CQ18">
        <f ca="1">IF($AN18="",OFFSET(Demand!$A$13,ROW(AA15)-1,4+((QUOTIENT(COLUMN(CQ$2)-69,3))*5)+MOD(COLUMN(CQ$2),3),1,1),"")</f>
        <v>0</v>
      </c>
      <c r="CR18">
        <f ca="1">IF($AN18="",OFFSET(Demand!$A$13,ROW(AB15)-1,4+((QUOTIENT(COLUMN(CR$2)-69,3))*5)+MOD(COLUMN(CR$2),3),1,1),"")</f>
        <v>0</v>
      </c>
      <c r="CS18">
        <f ca="1">IF($AN18="",OFFSET(Demand!$A$13,ROW(AC15)-1,4+((QUOTIENT(COLUMN(CS$2)-69,3))*5)+MOD(COLUMN(CS$2),3),1,1),"")</f>
        <v>0</v>
      </c>
      <c r="CT18">
        <f ca="1">IF($AN18="",OFFSET(Demand!$A$13,ROW(AD15)-1,4+((QUOTIENT(COLUMN(CT$2)-69,3))*5)+MOD(COLUMN(CT$2),3),1,1),"")</f>
        <v>0</v>
      </c>
      <c r="CW18" s="5">
        <f ca="1">SUM(OFFSET(Demand!$H$43,ROW(A15)-1,(COLUMN(A15)-1)*5,1,1))*N$2</f>
        <v>0</v>
      </c>
      <c r="CX18" s="5">
        <f ca="1">SUM(OFFSET(Demand!$H$43,ROW(B15)-1,(COLUMN(B15)-1)*5,1,1))*O$2</f>
        <v>0</v>
      </c>
      <c r="CY18" s="5">
        <f ca="1">SUM(OFFSET(Demand!$H$43,ROW(C15)-1,(COLUMN(C15)-1)*5,1,1))*P$2</f>
        <v>0</v>
      </c>
      <c r="CZ18" s="5">
        <f ca="1">SUM(OFFSET(Demand!$H$43,ROW(D15)-1,(COLUMN(D15)-1)*5,1,1))*Q$2</f>
        <v>0</v>
      </c>
      <c r="DA18" s="5">
        <f ca="1">SUM(OFFSET(Demand!$H$43,ROW(E15)-1,(COLUMN(E15)-1)*5,1,1))*R$2</f>
        <v>0</v>
      </c>
      <c r="DB18" s="5">
        <f ca="1">SUM(OFFSET(Demand!$H$43,ROW(F15)-1,(COLUMN(F15)-1)*5,1,1))*S$2</f>
        <v>0</v>
      </c>
      <c r="DC18" s="5">
        <f ca="1">SUM(OFFSET(Demand!$H$43,ROW(G15)-1,(COLUMN(G15)-1)*5,1,1))*T$2</f>
        <v>0</v>
      </c>
      <c r="DD18" s="5">
        <f ca="1">SUM(OFFSET(Demand!$H$43,ROW(H15)-1,(COLUMN(H15)-1)*5,1,1))*U$2</f>
        <v>0</v>
      </c>
      <c r="DE18" s="5">
        <f ca="1">SUM(OFFSET(Demand!$H$43,ROW(I15)-1,(COLUMN(I15)-1)*5,1,1))*V$2</f>
        <v>0</v>
      </c>
      <c r="DF18" s="5">
        <f ca="1">SUM(OFFSET(Demand!$H$43,ROW(J15)-1,(COLUMN(J15)-1)*5,1,1))*W$2</f>
        <v>0</v>
      </c>
      <c r="DG18" s="5">
        <f t="shared" ca="1" si="9"/>
        <v>0</v>
      </c>
    </row>
    <row r="19" spans="1:114" s="5" customFormat="1" x14ac:dyDescent="0.2">
      <c r="A19" s="5">
        <f t="shared" ca="1" si="3"/>
        <v>0</v>
      </c>
      <c r="B19" s="5">
        <f ca="1">COUNTBLANK(OFFSET(Demand!$I28,0,(COLUMN(A16)-1)*5,1,1))</f>
        <v>0</v>
      </c>
      <c r="C19" s="5">
        <f ca="1">COUNTBLANK(OFFSET(Demand!$I28,0,(COLUMN(B16)-1)*5,1,1))</f>
        <v>0</v>
      </c>
      <c r="D19" s="5">
        <f ca="1">COUNTBLANK(OFFSET(Demand!$I28,0,(COLUMN(C16)-1)*5,1,1))</f>
        <v>1</v>
      </c>
      <c r="E19" s="5">
        <f ca="1">COUNTBLANK(OFFSET(Demand!$I28,0,(COLUMN(D16)-1)*5,1,1))</f>
        <v>1</v>
      </c>
      <c r="F19" s="5">
        <f ca="1">COUNTBLANK(OFFSET(Demand!$I28,0,(COLUMN(E16)-1)*5,1,1))</f>
        <v>1</v>
      </c>
      <c r="G19" s="5">
        <f ca="1">COUNTBLANK(OFFSET(Demand!$I28,0,(COLUMN(F16)-1)*5,1,1))</f>
        <v>1</v>
      </c>
      <c r="H19" s="5">
        <f ca="1">COUNTBLANK(OFFSET(Demand!$I28,0,(COLUMN(G16)-1)*5,1,1))</f>
        <v>1</v>
      </c>
      <c r="I19" s="5">
        <f ca="1">COUNTBLANK(OFFSET(Demand!$I28,0,(COLUMN(H16)-1)*5,1,1))</f>
        <v>1</v>
      </c>
      <c r="J19" s="5">
        <f ca="1">COUNTBLANK(OFFSET(Demand!$I28,0,(COLUMN(I16)-1)*5,1,1))</f>
        <v>1</v>
      </c>
      <c r="K19" s="5">
        <f ca="1">COUNTBLANK(OFFSET(Demand!$I28,0,(COLUMN(J16)-1)*5,1,1))</f>
        <v>1</v>
      </c>
      <c r="N19" s="5">
        <f ca="1">SUM(OFFSET(Demand!$E28,0,(COLUMN(A16)-1)*5,1,3))*N$2</f>
        <v>150</v>
      </c>
      <c r="O19" s="5">
        <f ca="1">SUM(OFFSET(Demand!$E28,0,(COLUMN(B16)-1)*5,1,3))*O$2</f>
        <v>360</v>
      </c>
      <c r="P19" s="5">
        <f ca="1">SUM(OFFSET(Demand!$E28,0,(COLUMN(C16)-1)*5,1,3))*P$2</f>
        <v>0</v>
      </c>
      <c r="Q19" s="5">
        <f ca="1">SUM(OFFSET(Demand!$E28,0,(COLUMN(D16)-1)*5,1,3))*Q$2</f>
        <v>0</v>
      </c>
      <c r="R19" s="5">
        <f ca="1">SUM(OFFSET(Demand!$E28,0,(COLUMN(E16)-1)*5,1,3))*R$2</f>
        <v>0</v>
      </c>
      <c r="S19" s="5">
        <f ca="1">SUM(OFFSET(Demand!$E28,0,(COLUMN(F16)-1)*5,1,3))*S$2</f>
        <v>0</v>
      </c>
      <c r="T19" s="5">
        <f ca="1">SUM(OFFSET(Demand!$E28,0,(COLUMN(G16)-1)*5,1,3))*T$2</f>
        <v>0</v>
      </c>
      <c r="U19" s="5">
        <f ca="1">SUM(OFFSET(Demand!$E28,0,(COLUMN(H16)-1)*5,1,3))*U$2</f>
        <v>0</v>
      </c>
      <c r="V19" s="5">
        <f ca="1">SUM(OFFSET(Demand!$E28,0,(COLUMN(I16)-1)*5,1,3))*V$2</f>
        <v>0</v>
      </c>
      <c r="W19" s="5">
        <f ca="1">SUM(OFFSET(Demand!$E28,0,(COLUMN(J16)-1)*5,1,3))*W$2</f>
        <v>0</v>
      </c>
      <c r="X19" s="5">
        <f t="shared" ca="1" si="4"/>
        <v>510</v>
      </c>
      <c r="Y19" s="5">
        <f t="shared" ca="1" si="5"/>
        <v>510</v>
      </c>
      <c r="Z19" s="5">
        <f ca="1">SUM(OFFSET(Demand!$H28,0,(COLUMN(A16)-1)*5,1,1))*N$2</f>
        <v>0</v>
      </c>
      <c r="AA19" s="5">
        <f ca="1">SUM(OFFSET(Demand!$H28,0,(COLUMN(B16)-1)*5,1,1))*O$2</f>
        <v>0</v>
      </c>
      <c r="AB19" s="5">
        <f ca="1">SUM(OFFSET(Demand!$H28,0,(COLUMN(C16)-1)*5,1,1))*P$2</f>
        <v>0</v>
      </c>
      <c r="AC19" s="5">
        <f ca="1">SUM(OFFSET(Demand!$H28,0,(COLUMN(D16)-1)*5,1,1))*Q$2</f>
        <v>0</v>
      </c>
      <c r="AD19" s="5">
        <f ca="1">SUM(OFFSET(Demand!$H28,0,(COLUMN(E16)-1)*5,1,1))*R$2</f>
        <v>0</v>
      </c>
      <c r="AE19" s="5">
        <f ca="1">SUM(OFFSET(Demand!$H28,0,(COLUMN(F16)-1)*5,1,1))*S$2</f>
        <v>0</v>
      </c>
      <c r="AF19" s="5">
        <f ca="1">SUM(OFFSET(Demand!$H28,0,(COLUMN(G16)-1)*5,1,1))*T$2</f>
        <v>0</v>
      </c>
      <c r="AG19" s="5">
        <f ca="1">SUM(OFFSET(Demand!$H28,0,(COLUMN(H16)-1)*5,1,1))*U$2</f>
        <v>0</v>
      </c>
      <c r="AH19" s="5">
        <f ca="1">SUM(OFFSET(Demand!$H28,0,(COLUMN(I16)-1)*5,1,1))*V$2</f>
        <v>0</v>
      </c>
      <c r="AI19" s="5">
        <f ca="1">SUM(OFFSET(Demand!$H28,0,(COLUMN(J16)-1)*5,1,1))*W$2</f>
        <v>0</v>
      </c>
      <c r="AJ19" s="5">
        <f t="shared" ca="1" si="6"/>
        <v>0</v>
      </c>
      <c r="AL19" s="5">
        <f t="shared" ca="1" si="7"/>
        <v>510</v>
      </c>
      <c r="AM19" s="5">
        <f t="shared" ca="1" si="8"/>
        <v>0</v>
      </c>
      <c r="AN19" s="5" t="str">
        <f>IF(Demand!BE28="Yes","Yes","")</f>
        <v/>
      </c>
      <c r="AP19" s="37" t="str">
        <f ca="1">Demand!B28</f>
        <v xml:space="preserve"> </v>
      </c>
      <c r="AQ19" s="5" t="str">
        <f ca="1">IF(TEXT(Demand!D28,"MMM")&lt;&gt;TEXT(Demand!D27,"MMM"),TEXT(Demand!D28,"MMM"),"")</f>
        <v/>
      </c>
      <c r="AT19" s="5">
        <f t="shared" ca="1" si="10"/>
        <v>20</v>
      </c>
      <c r="AV19" s="5" t="s">
        <v>109</v>
      </c>
      <c r="AW19" s="45" t="str">
        <f ca="1">IFERROR(AW18/1.128,"")</f>
        <v/>
      </c>
      <c r="AX19" s="5" t="str">
        <f ca="1">IFERROR(AX18/1.128,"")</f>
        <v/>
      </c>
      <c r="BQ19">
        <f ca="1">IF($AN19="",OFFSET(Demand!$A$13,ROW(A16)-1,4+((QUOTIENT(COLUMN(BQ$2)-69,3))*5)+MOD(COLUMN(BQ$2),3),1,1),"")</f>
        <v>0</v>
      </c>
      <c r="BR19">
        <f ca="1">IF($AN19="",OFFSET(Demand!$A$13,ROW(B16)-1,4+((QUOTIENT(COLUMN(BR$2)-69,3))*5)+MOD(COLUMN(BR$2),3),1,1),"")</f>
        <v>2</v>
      </c>
      <c r="BS19">
        <f ca="1">IF($AN19="",OFFSET(Demand!$A$13,ROW(C16)-1,4+((QUOTIENT(COLUMN(BS$2)-69,3))*5)+MOD(COLUMN(BS$2),3),1,1),"")</f>
        <v>3</v>
      </c>
      <c r="BT19">
        <f ca="1">IF($AN19="",OFFSET(Demand!$A$13,ROW(D16)-1,4+((QUOTIENT(COLUMN(BT$2)-69,3))*5)+MOD(COLUMN(BT$2),3),1,1),"")</f>
        <v>0</v>
      </c>
      <c r="BU19">
        <f ca="1">IF($AN19="",OFFSET(Demand!$A$13,ROW(E16)-1,4+((QUOTIENT(COLUMN(BU$2)-69,3))*5)+MOD(COLUMN(BU$2),3),1,1),"")</f>
        <v>2</v>
      </c>
      <c r="BV19">
        <f ca="1">IF($AN19="",OFFSET(Demand!$A$13,ROW(F16)-1,4+((QUOTIENT(COLUMN(BV$2)-69,3))*5)+MOD(COLUMN(BV$2),3),1,1),"")</f>
        <v>7</v>
      </c>
      <c r="BW19">
        <f ca="1">IF($AN19="",OFFSET(Demand!$A$13,ROW(G16)-1,4+((QUOTIENT(COLUMN(BW$2)-69,3))*5)+MOD(COLUMN(BW$2),3),1,1),"")</f>
        <v>0</v>
      </c>
      <c r="BX19">
        <f ca="1">IF($AN19="",OFFSET(Demand!$A$13,ROW(H16)-1,4+((QUOTIENT(COLUMN(BX$2)-69,3))*5)+MOD(COLUMN(BX$2),3),1,1),"")</f>
        <v>0</v>
      </c>
      <c r="BY19">
        <f ca="1">IF($AN19="",OFFSET(Demand!$A$13,ROW(I16)-1,4+((QUOTIENT(COLUMN(BY$2)-69,3))*5)+MOD(COLUMN(BY$2),3),1,1),"")</f>
        <v>0</v>
      </c>
      <c r="BZ19">
        <f ca="1">IF($AN19="",OFFSET(Demand!$A$13,ROW(J16)-1,4+((QUOTIENT(COLUMN(BZ$2)-69,3))*5)+MOD(COLUMN(BZ$2),3),1,1),"")</f>
        <v>0</v>
      </c>
      <c r="CA19">
        <f ca="1">IF($AN19="",OFFSET(Demand!$A$13,ROW(K16)-1,4+((QUOTIENT(COLUMN(CA$2)-69,3))*5)+MOD(COLUMN(CA$2),3),1,1),"")</f>
        <v>0</v>
      </c>
      <c r="CB19">
        <f ca="1">IF($AN19="",OFFSET(Demand!$A$13,ROW(L16)-1,4+((QUOTIENT(COLUMN(CB$2)-69,3))*5)+MOD(COLUMN(CB$2),3),1,1),"")</f>
        <v>0</v>
      </c>
      <c r="CC19">
        <f ca="1">IF($AN19="",OFFSET(Demand!$A$13,ROW(M16)-1,4+((QUOTIENT(COLUMN(CC$2)-69,3))*5)+MOD(COLUMN(CC$2),3),1,1),"")</f>
        <v>0</v>
      </c>
      <c r="CD19">
        <f ca="1">IF($AN19="",OFFSET(Demand!$A$13,ROW(N16)-1,4+((QUOTIENT(COLUMN(CD$2)-69,3))*5)+MOD(COLUMN(CD$2),3),1,1),"")</f>
        <v>0</v>
      </c>
      <c r="CE19">
        <f ca="1">IF($AN19="",OFFSET(Demand!$A$13,ROW(O16)-1,4+((QUOTIENT(COLUMN(CE$2)-69,3))*5)+MOD(COLUMN(CE$2),3),1,1),"")</f>
        <v>0</v>
      </c>
      <c r="CF19">
        <f ca="1">IF($AN19="",OFFSET(Demand!$A$13,ROW(P16)-1,4+((QUOTIENT(COLUMN(CF$2)-69,3))*5)+MOD(COLUMN(CF$2),3),1,1),"")</f>
        <v>0</v>
      </c>
      <c r="CG19">
        <f ca="1">IF($AN19="",OFFSET(Demand!$A$13,ROW(Q16)-1,4+((QUOTIENT(COLUMN(CG$2)-69,3))*5)+MOD(COLUMN(CG$2),3),1,1),"")</f>
        <v>0</v>
      </c>
      <c r="CH19">
        <f ca="1">IF($AN19="",OFFSET(Demand!$A$13,ROW(R16)-1,4+((QUOTIENT(COLUMN(CH$2)-69,3))*5)+MOD(COLUMN(CH$2),3),1,1),"")</f>
        <v>0</v>
      </c>
      <c r="CI19">
        <f ca="1">IF($AN19="",OFFSET(Demand!$A$13,ROW(S16)-1,4+((QUOTIENT(COLUMN(CI$2)-69,3))*5)+MOD(COLUMN(CI$2),3),1,1),"")</f>
        <v>0</v>
      </c>
      <c r="CJ19">
        <f ca="1">IF($AN19="",OFFSET(Demand!$A$13,ROW(T16)-1,4+((QUOTIENT(COLUMN(CJ$2)-69,3))*5)+MOD(COLUMN(CJ$2),3),1,1),"")</f>
        <v>0</v>
      </c>
      <c r="CK19">
        <f ca="1">IF($AN19="",OFFSET(Demand!$A$13,ROW(U16)-1,4+((QUOTIENT(COLUMN(CK$2)-69,3))*5)+MOD(COLUMN(CK$2),3),1,1),"")</f>
        <v>0</v>
      </c>
      <c r="CL19">
        <f ca="1">IF($AN19="",OFFSET(Demand!$A$13,ROW(V16)-1,4+((QUOTIENT(COLUMN(CL$2)-69,3))*5)+MOD(COLUMN(CL$2),3),1,1),"")</f>
        <v>0</v>
      </c>
      <c r="CM19">
        <f ca="1">IF($AN19="",OFFSET(Demand!$A$13,ROW(W16)-1,4+((QUOTIENT(COLUMN(CM$2)-69,3))*5)+MOD(COLUMN(CM$2),3),1,1),"")</f>
        <v>0</v>
      </c>
      <c r="CN19">
        <f ca="1">IF($AN19="",OFFSET(Demand!$A$13,ROW(X16)-1,4+((QUOTIENT(COLUMN(CN$2)-69,3))*5)+MOD(COLUMN(CN$2),3),1,1),"")</f>
        <v>0</v>
      </c>
      <c r="CO19">
        <f ca="1">IF($AN19="",OFFSET(Demand!$A$13,ROW(Y16)-1,4+((QUOTIENT(COLUMN(CO$2)-69,3))*5)+MOD(COLUMN(CO$2),3),1,1),"")</f>
        <v>0</v>
      </c>
      <c r="CP19">
        <f ca="1">IF($AN19="",OFFSET(Demand!$A$13,ROW(Z16)-1,4+((QUOTIENT(COLUMN(CP$2)-69,3))*5)+MOD(COLUMN(CP$2),3),1,1),"")</f>
        <v>0</v>
      </c>
      <c r="CQ19">
        <f ca="1">IF($AN19="",OFFSET(Demand!$A$13,ROW(AA16)-1,4+((QUOTIENT(COLUMN(CQ$2)-69,3))*5)+MOD(COLUMN(CQ$2),3),1,1),"")</f>
        <v>0</v>
      </c>
      <c r="CR19">
        <f ca="1">IF($AN19="",OFFSET(Demand!$A$13,ROW(AB16)-1,4+((QUOTIENT(COLUMN(CR$2)-69,3))*5)+MOD(COLUMN(CR$2),3),1,1),"")</f>
        <v>0</v>
      </c>
      <c r="CS19">
        <f ca="1">IF($AN19="",OFFSET(Demand!$A$13,ROW(AC16)-1,4+((QUOTIENT(COLUMN(CS$2)-69,3))*5)+MOD(COLUMN(CS$2),3),1,1),"")</f>
        <v>0</v>
      </c>
      <c r="CT19">
        <f ca="1">IF($AN19="",OFFSET(Demand!$A$13,ROW(AD16)-1,4+((QUOTIENT(COLUMN(CT$2)-69,3))*5)+MOD(COLUMN(CT$2),3),1,1),"")</f>
        <v>0</v>
      </c>
      <c r="CW19" s="5">
        <f ca="1">SUM(OFFSET(Demand!$H$43,ROW(A16)-1,(COLUMN(A16)-1)*5,1,1))*N$2</f>
        <v>0</v>
      </c>
      <c r="CX19" s="5">
        <f ca="1">SUM(OFFSET(Demand!$H$43,ROW(B16)-1,(COLUMN(B16)-1)*5,1,1))*O$2</f>
        <v>0</v>
      </c>
      <c r="CY19" s="5">
        <f ca="1">SUM(OFFSET(Demand!$H$43,ROW(C16)-1,(COLUMN(C16)-1)*5,1,1))*P$2</f>
        <v>0</v>
      </c>
      <c r="CZ19" s="5">
        <f ca="1">SUM(OFFSET(Demand!$H$43,ROW(D16)-1,(COLUMN(D16)-1)*5,1,1))*Q$2</f>
        <v>0</v>
      </c>
      <c r="DA19" s="5">
        <f ca="1">SUM(OFFSET(Demand!$H$43,ROW(E16)-1,(COLUMN(E16)-1)*5,1,1))*R$2</f>
        <v>0</v>
      </c>
      <c r="DB19" s="5">
        <f ca="1">SUM(OFFSET(Demand!$H$43,ROW(F16)-1,(COLUMN(F16)-1)*5,1,1))*S$2</f>
        <v>0</v>
      </c>
      <c r="DC19" s="5">
        <f ca="1">SUM(OFFSET(Demand!$H$43,ROW(G16)-1,(COLUMN(G16)-1)*5,1,1))*T$2</f>
        <v>0</v>
      </c>
      <c r="DD19" s="5">
        <f ca="1">SUM(OFFSET(Demand!$H$43,ROW(H16)-1,(COLUMN(H16)-1)*5,1,1))*U$2</f>
        <v>0</v>
      </c>
      <c r="DE19" s="5">
        <f ca="1">SUM(OFFSET(Demand!$H$43,ROW(I16)-1,(COLUMN(I16)-1)*5,1,1))*V$2</f>
        <v>0</v>
      </c>
      <c r="DF19" s="5">
        <f ca="1">SUM(OFFSET(Demand!$H$43,ROW(J16)-1,(COLUMN(J16)-1)*5,1,1))*W$2</f>
        <v>0</v>
      </c>
      <c r="DG19" s="5">
        <f t="shared" ca="1" si="9"/>
        <v>0</v>
      </c>
    </row>
    <row r="20" spans="1:114" s="5" customFormat="1" x14ac:dyDescent="0.2">
      <c r="A20" s="5">
        <f t="shared" ca="1" si="3"/>
        <v>0</v>
      </c>
      <c r="B20" s="5">
        <f ca="1">COUNTBLANK(OFFSET(Demand!$I29,0,(COLUMN(A17)-1)*5,1,1))</f>
        <v>0</v>
      </c>
      <c r="C20" s="5">
        <f ca="1">COUNTBLANK(OFFSET(Demand!$I29,0,(COLUMN(B17)-1)*5,1,1))</f>
        <v>0</v>
      </c>
      <c r="D20" s="5">
        <f ca="1">COUNTBLANK(OFFSET(Demand!$I29,0,(COLUMN(C17)-1)*5,1,1))</f>
        <v>1</v>
      </c>
      <c r="E20" s="5">
        <f ca="1">COUNTBLANK(OFFSET(Demand!$I29,0,(COLUMN(D17)-1)*5,1,1))</f>
        <v>1</v>
      </c>
      <c r="F20" s="5">
        <f ca="1">COUNTBLANK(OFFSET(Demand!$I29,0,(COLUMN(E17)-1)*5,1,1))</f>
        <v>1</v>
      </c>
      <c r="G20" s="5">
        <f ca="1">COUNTBLANK(OFFSET(Demand!$I29,0,(COLUMN(F17)-1)*5,1,1))</f>
        <v>1</v>
      </c>
      <c r="H20" s="5">
        <f ca="1">COUNTBLANK(OFFSET(Demand!$I29,0,(COLUMN(G17)-1)*5,1,1))</f>
        <v>1</v>
      </c>
      <c r="I20" s="5">
        <f ca="1">COUNTBLANK(OFFSET(Demand!$I29,0,(COLUMN(H17)-1)*5,1,1))</f>
        <v>1</v>
      </c>
      <c r="J20" s="5">
        <f ca="1">COUNTBLANK(OFFSET(Demand!$I29,0,(COLUMN(I17)-1)*5,1,1))</f>
        <v>1</v>
      </c>
      <c r="K20" s="5">
        <f ca="1">COUNTBLANK(OFFSET(Demand!$I29,0,(COLUMN(J17)-1)*5,1,1))</f>
        <v>1</v>
      </c>
      <c r="N20" s="5">
        <f ca="1">SUM(OFFSET(Demand!$E29,0,(COLUMN(A17)-1)*5,1,3))*N$2</f>
        <v>240</v>
      </c>
      <c r="O20" s="5">
        <f ca="1">SUM(OFFSET(Demand!$E29,0,(COLUMN(B17)-1)*5,1,3))*O$2</f>
        <v>360</v>
      </c>
      <c r="P20" s="5">
        <f ca="1">SUM(OFFSET(Demand!$E29,0,(COLUMN(C17)-1)*5,1,3))*P$2</f>
        <v>0</v>
      </c>
      <c r="Q20" s="5">
        <f ca="1">SUM(OFFSET(Demand!$E29,0,(COLUMN(D17)-1)*5,1,3))*Q$2</f>
        <v>0</v>
      </c>
      <c r="R20" s="5">
        <f ca="1">SUM(OFFSET(Demand!$E29,0,(COLUMN(E17)-1)*5,1,3))*R$2</f>
        <v>0</v>
      </c>
      <c r="S20" s="5">
        <f ca="1">SUM(OFFSET(Demand!$E29,0,(COLUMN(F17)-1)*5,1,3))*S$2</f>
        <v>0</v>
      </c>
      <c r="T20" s="5">
        <f ca="1">SUM(OFFSET(Demand!$E29,0,(COLUMN(G17)-1)*5,1,3))*T$2</f>
        <v>0</v>
      </c>
      <c r="U20" s="5">
        <f ca="1">SUM(OFFSET(Demand!$E29,0,(COLUMN(H17)-1)*5,1,3))*U$2</f>
        <v>0</v>
      </c>
      <c r="V20" s="5">
        <f ca="1">SUM(OFFSET(Demand!$E29,0,(COLUMN(I17)-1)*5,1,3))*V$2</f>
        <v>0</v>
      </c>
      <c r="W20" s="5">
        <f ca="1">SUM(OFFSET(Demand!$E29,0,(COLUMN(J17)-1)*5,1,3))*W$2</f>
        <v>0</v>
      </c>
      <c r="X20" s="5">
        <f t="shared" ca="1" si="4"/>
        <v>600</v>
      </c>
      <c r="Y20" s="5">
        <f t="shared" ca="1" si="5"/>
        <v>600</v>
      </c>
      <c r="Z20" s="5">
        <f ca="1">SUM(OFFSET(Demand!$H29,0,(COLUMN(A17)-1)*5,1,1))*N$2</f>
        <v>0</v>
      </c>
      <c r="AA20" s="5">
        <f ca="1">SUM(OFFSET(Demand!$H29,0,(COLUMN(B17)-1)*5,1,1))*O$2</f>
        <v>0</v>
      </c>
      <c r="AB20" s="5">
        <f ca="1">SUM(OFFSET(Demand!$H29,0,(COLUMN(C17)-1)*5,1,1))*P$2</f>
        <v>0</v>
      </c>
      <c r="AC20" s="5">
        <f ca="1">SUM(OFFSET(Demand!$H29,0,(COLUMN(D17)-1)*5,1,1))*Q$2</f>
        <v>0</v>
      </c>
      <c r="AD20" s="5">
        <f ca="1">SUM(OFFSET(Demand!$H29,0,(COLUMN(E17)-1)*5,1,1))*R$2</f>
        <v>0</v>
      </c>
      <c r="AE20" s="5">
        <f ca="1">SUM(OFFSET(Demand!$H29,0,(COLUMN(F17)-1)*5,1,1))*S$2</f>
        <v>0</v>
      </c>
      <c r="AF20" s="5">
        <f ca="1">SUM(OFFSET(Demand!$H29,0,(COLUMN(G17)-1)*5,1,1))*T$2</f>
        <v>0</v>
      </c>
      <c r="AG20" s="5">
        <f ca="1">SUM(OFFSET(Demand!$H29,0,(COLUMN(H17)-1)*5,1,1))*U$2</f>
        <v>0</v>
      </c>
      <c r="AH20" s="5">
        <f ca="1">SUM(OFFSET(Demand!$H29,0,(COLUMN(I17)-1)*5,1,1))*V$2</f>
        <v>0</v>
      </c>
      <c r="AI20" s="5">
        <f ca="1">SUM(OFFSET(Demand!$H29,0,(COLUMN(J17)-1)*5,1,1))*W$2</f>
        <v>0</v>
      </c>
      <c r="AJ20" s="5">
        <f t="shared" ca="1" si="6"/>
        <v>0</v>
      </c>
      <c r="AL20" s="5">
        <f t="shared" ca="1" si="7"/>
        <v>600</v>
      </c>
      <c r="AM20" s="5">
        <f t="shared" ca="1" si="8"/>
        <v>0</v>
      </c>
      <c r="AN20" s="5" t="str">
        <f>IF(Demand!BE29="Yes","Yes","")</f>
        <v/>
      </c>
      <c r="AP20" s="37" t="str">
        <f ca="1">Demand!B29</f>
        <v xml:space="preserve"> </v>
      </c>
      <c r="AQ20" s="5" t="str">
        <f ca="1">IF(TEXT(Demand!D29,"MMM")&lt;&gt;TEXT(Demand!D28,"MMM"),TEXT(Demand!D29,"MMM"),"")</f>
        <v/>
      </c>
      <c r="AT20" s="5">
        <f t="shared" ca="1" si="10"/>
        <v>90</v>
      </c>
      <c r="AV20" s="5" t="s">
        <v>139</v>
      </c>
      <c r="AW20" s="45" t="str">
        <f ca="1">IFERROR(PERCENTILE(OFFSET(AL$4,'SPC background (hide)'!$D$8-1,0,'SPC background (hide)'!$H$9,1),'Control sheet (hide)'!$I$9),"")</f>
        <v/>
      </c>
      <c r="AX20" s="5" t="str">
        <f ca="1">IFERROR(PERCENTILE(OFFSET(AM$4,'SPC background (hide)'!$C$8-1,0,'SPC background (hide)'!$H$9,1),'Control sheet (hide)'!$I$9),"")</f>
        <v/>
      </c>
      <c r="BI20" s="5" t="s">
        <v>415</v>
      </c>
      <c r="BJ20" s="47">
        <f ca="1">BJ18/BM18</f>
        <v>0</v>
      </c>
      <c r="BK20" s="47">
        <f ca="1">BK18/BM18</f>
        <v>0.21756021756021757</v>
      </c>
      <c r="BL20" s="47">
        <f ca="1">BL18/BM18</f>
        <v>0.78243978243978252</v>
      </c>
      <c r="BQ20">
        <f ca="1">IF($AN20="",OFFSET(Demand!$A$13,ROW(A17)-1,4+((QUOTIENT(COLUMN(BQ$2)-69,3))*5)+MOD(COLUMN(BQ$2),3),1,1),"")</f>
        <v>0</v>
      </c>
      <c r="BR20">
        <f ca="1">IF($AN20="",OFFSET(Demand!$A$13,ROW(B17)-1,4+((QUOTIENT(COLUMN(BR$2)-69,3))*5)+MOD(COLUMN(BR$2),3),1,1),"")</f>
        <v>2</v>
      </c>
      <c r="BS20">
        <f ca="1">IF($AN20="",OFFSET(Demand!$A$13,ROW(C17)-1,4+((QUOTIENT(COLUMN(BS$2)-69,3))*5)+MOD(COLUMN(BS$2),3),1,1),"")</f>
        <v>6</v>
      </c>
      <c r="BT20">
        <f ca="1">IF($AN20="",OFFSET(Demand!$A$13,ROW(D17)-1,4+((QUOTIENT(COLUMN(BT$2)-69,3))*5)+MOD(COLUMN(BT$2),3),1,1),"")</f>
        <v>0</v>
      </c>
      <c r="BU20">
        <f ca="1">IF($AN20="",OFFSET(Demand!$A$13,ROW(E17)-1,4+((QUOTIENT(COLUMN(BU$2)-69,3))*5)+MOD(COLUMN(BU$2),3),1,1),"")</f>
        <v>2</v>
      </c>
      <c r="BV20">
        <f ca="1">IF($AN20="",OFFSET(Demand!$A$13,ROW(F17)-1,4+((QUOTIENT(COLUMN(BV$2)-69,3))*5)+MOD(COLUMN(BV$2),3),1,1),"")</f>
        <v>7</v>
      </c>
      <c r="BW20">
        <f ca="1">IF($AN20="",OFFSET(Demand!$A$13,ROW(G17)-1,4+((QUOTIENT(COLUMN(BW$2)-69,3))*5)+MOD(COLUMN(BW$2),3),1,1),"")</f>
        <v>0</v>
      </c>
      <c r="BX20">
        <f ca="1">IF($AN20="",OFFSET(Demand!$A$13,ROW(H17)-1,4+((QUOTIENT(COLUMN(BX$2)-69,3))*5)+MOD(COLUMN(BX$2),3),1,1),"")</f>
        <v>0</v>
      </c>
      <c r="BY20">
        <f ca="1">IF($AN20="",OFFSET(Demand!$A$13,ROW(I17)-1,4+((QUOTIENT(COLUMN(BY$2)-69,3))*5)+MOD(COLUMN(BY$2),3),1,1),"")</f>
        <v>0</v>
      </c>
      <c r="BZ20">
        <f ca="1">IF($AN20="",OFFSET(Demand!$A$13,ROW(J17)-1,4+((QUOTIENT(COLUMN(BZ$2)-69,3))*5)+MOD(COLUMN(BZ$2),3),1,1),"")</f>
        <v>0</v>
      </c>
      <c r="CA20">
        <f ca="1">IF($AN20="",OFFSET(Demand!$A$13,ROW(K17)-1,4+((QUOTIENT(COLUMN(CA$2)-69,3))*5)+MOD(COLUMN(CA$2),3),1,1),"")</f>
        <v>0</v>
      </c>
      <c r="CB20">
        <f ca="1">IF($AN20="",OFFSET(Demand!$A$13,ROW(L17)-1,4+((QUOTIENT(COLUMN(CB$2)-69,3))*5)+MOD(COLUMN(CB$2),3),1,1),"")</f>
        <v>0</v>
      </c>
      <c r="CC20">
        <f ca="1">IF($AN20="",OFFSET(Demand!$A$13,ROW(M17)-1,4+((QUOTIENT(COLUMN(CC$2)-69,3))*5)+MOD(COLUMN(CC$2),3),1,1),"")</f>
        <v>0</v>
      </c>
      <c r="CD20">
        <f ca="1">IF($AN20="",OFFSET(Demand!$A$13,ROW(N17)-1,4+((QUOTIENT(COLUMN(CD$2)-69,3))*5)+MOD(COLUMN(CD$2),3),1,1),"")</f>
        <v>0</v>
      </c>
      <c r="CE20">
        <f ca="1">IF($AN20="",OFFSET(Demand!$A$13,ROW(O17)-1,4+((QUOTIENT(COLUMN(CE$2)-69,3))*5)+MOD(COLUMN(CE$2),3),1,1),"")</f>
        <v>0</v>
      </c>
      <c r="CF20">
        <f ca="1">IF($AN20="",OFFSET(Demand!$A$13,ROW(P17)-1,4+((QUOTIENT(COLUMN(CF$2)-69,3))*5)+MOD(COLUMN(CF$2),3),1,1),"")</f>
        <v>0</v>
      </c>
      <c r="CG20">
        <f ca="1">IF($AN20="",OFFSET(Demand!$A$13,ROW(Q17)-1,4+((QUOTIENT(COLUMN(CG$2)-69,3))*5)+MOD(COLUMN(CG$2),3),1,1),"")</f>
        <v>0</v>
      </c>
      <c r="CH20">
        <f ca="1">IF($AN20="",OFFSET(Demand!$A$13,ROW(R17)-1,4+((QUOTIENT(COLUMN(CH$2)-69,3))*5)+MOD(COLUMN(CH$2),3),1,1),"")</f>
        <v>0</v>
      </c>
      <c r="CI20">
        <f ca="1">IF($AN20="",OFFSET(Demand!$A$13,ROW(S17)-1,4+((QUOTIENT(COLUMN(CI$2)-69,3))*5)+MOD(COLUMN(CI$2),3),1,1),"")</f>
        <v>0</v>
      </c>
      <c r="CJ20">
        <f ca="1">IF($AN20="",OFFSET(Demand!$A$13,ROW(T17)-1,4+((QUOTIENT(COLUMN(CJ$2)-69,3))*5)+MOD(COLUMN(CJ$2),3),1,1),"")</f>
        <v>0</v>
      </c>
      <c r="CK20">
        <f ca="1">IF($AN20="",OFFSET(Demand!$A$13,ROW(U17)-1,4+((QUOTIENT(COLUMN(CK$2)-69,3))*5)+MOD(COLUMN(CK$2),3),1,1),"")</f>
        <v>0</v>
      </c>
      <c r="CL20">
        <f ca="1">IF($AN20="",OFFSET(Demand!$A$13,ROW(V17)-1,4+((QUOTIENT(COLUMN(CL$2)-69,3))*5)+MOD(COLUMN(CL$2),3),1,1),"")</f>
        <v>0</v>
      </c>
      <c r="CM20">
        <f ca="1">IF($AN20="",OFFSET(Demand!$A$13,ROW(W17)-1,4+((QUOTIENT(COLUMN(CM$2)-69,3))*5)+MOD(COLUMN(CM$2),3),1,1),"")</f>
        <v>0</v>
      </c>
      <c r="CN20">
        <f ca="1">IF($AN20="",OFFSET(Demand!$A$13,ROW(X17)-1,4+((QUOTIENT(COLUMN(CN$2)-69,3))*5)+MOD(COLUMN(CN$2),3),1,1),"")</f>
        <v>0</v>
      </c>
      <c r="CO20">
        <f ca="1">IF($AN20="",OFFSET(Demand!$A$13,ROW(Y17)-1,4+((QUOTIENT(COLUMN(CO$2)-69,3))*5)+MOD(COLUMN(CO$2),3),1,1),"")</f>
        <v>0</v>
      </c>
      <c r="CP20">
        <f ca="1">IF($AN20="",OFFSET(Demand!$A$13,ROW(Z17)-1,4+((QUOTIENT(COLUMN(CP$2)-69,3))*5)+MOD(COLUMN(CP$2),3),1,1),"")</f>
        <v>0</v>
      </c>
      <c r="CQ20">
        <f ca="1">IF($AN20="",OFFSET(Demand!$A$13,ROW(AA17)-1,4+((QUOTIENT(COLUMN(CQ$2)-69,3))*5)+MOD(COLUMN(CQ$2),3),1,1),"")</f>
        <v>0</v>
      </c>
      <c r="CR20">
        <f ca="1">IF($AN20="",OFFSET(Demand!$A$13,ROW(AB17)-1,4+((QUOTIENT(COLUMN(CR$2)-69,3))*5)+MOD(COLUMN(CR$2),3),1,1),"")</f>
        <v>0</v>
      </c>
      <c r="CS20">
        <f ca="1">IF($AN20="",OFFSET(Demand!$A$13,ROW(AC17)-1,4+((QUOTIENT(COLUMN(CS$2)-69,3))*5)+MOD(COLUMN(CS$2),3),1,1),"")</f>
        <v>0</v>
      </c>
      <c r="CT20">
        <f ca="1">IF($AN20="",OFFSET(Demand!$A$13,ROW(AD17)-1,4+((QUOTIENT(COLUMN(CT$2)-69,3))*5)+MOD(COLUMN(CT$2),3),1,1),"")</f>
        <v>0</v>
      </c>
      <c r="CW20" s="5">
        <f ca="1">SUM(OFFSET(Demand!$H$43,ROW(A17)-1,(COLUMN(A17)-1)*5,1,1))*N$2</f>
        <v>0</v>
      </c>
      <c r="CX20" s="5">
        <f ca="1">SUM(OFFSET(Demand!$H$43,ROW(B17)-1,(COLUMN(B17)-1)*5,1,1))*O$2</f>
        <v>0</v>
      </c>
      <c r="CY20" s="5">
        <f ca="1">SUM(OFFSET(Demand!$H$43,ROW(C17)-1,(COLUMN(C17)-1)*5,1,1))*P$2</f>
        <v>0</v>
      </c>
      <c r="CZ20" s="5">
        <f ca="1">SUM(OFFSET(Demand!$H$43,ROW(D17)-1,(COLUMN(D17)-1)*5,1,1))*Q$2</f>
        <v>0</v>
      </c>
      <c r="DA20" s="5">
        <f ca="1">SUM(OFFSET(Demand!$H$43,ROW(E17)-1,(COLUMN(E17)-1)*5,1,1))*R$2</f>
        <v>0</v>
      </c>
      <c r="DB20" s="5">
        <f ca="1">SUM(OFFSET(Demand!$H$43,ROW(F17)-1,(COLUMN(F17)-1)*5,1,1))*S$2</f>
        <v>0</v>
      </c>
      <c r="DC20" s="5">
        <f ca="1">SUM(OFFSET(Demand!$H$43,ROW(G17)-1,(COLUMN(G17)-1)*5,1,1))*T$2</f>
        <v>0</v>
      </c>
      <c r="DD20" s="5">
        <f ca="1">SUM(OFFSET(Demand!$H$43,ROW(H17)-1,(COLUMN(H17)-1)*5,1,1))*U$2</f>
        <v>0</v>
      </c>
      <c r="DE20" s="5">
        <f ca="1">SUM(OFFSET(Demand!$H$43,ROW(I17)-1,(COLUMN(I17)-1)*5,1,1))*V$2</f>
        <v>0</v>
      </c>
      <c r="DF20" s="5">
        <f ca="1">SUM(OFFSET(Demand!$H$43,ROW(J17)-1,(COLUMN(J17)-1)*5,1,1))*W$2</f>
        <v>0</v>
      </c>
      <c r="DG20" s="5">
        <f t="shared" ca="1" si="9"/>
        <v>0</v>
      </c>
    </row>
    <row r="21" spans="1:114" s="5" customFormat="1" x14ac:dyDescent="0.2">
      <c r="A21" s="5">
        <f t="shared" ca="1" si="3"/>
        <v>0</v>
      </c>
      <c r="B21" s="5">
        <f ca="1">COUNTBLANK(OFFSET(Demand!$I30,0,(COLUMN(A18)-1)*5,1,1))</f>
        <v>0</v>
      </c>
      <c r="C21" s="5">
        <f ca="1">COUNTBLANK(OFFSET(Demand!$I30,0,(COLUMN(B18)-1)*5,1,1))</f>
        <v>0</v>
      </c>
      <c r="D21" s="5">
        <f ca="1">COUNTBLANK(OFFSET(Demand!$I30,0,(COLUMN(C18)-1)*5,1,1))</f>
        <v>1</v>
      </c>
      <c r="E21" s="5">
        <f ca="1">COUNTBLANK(OFFSET(Demand!$I30,0,(COLUMN(D18)-1)*5,1,1))</f>
        <v>1</v>
      </c>
      <c r="F21" s="5">
        <f ca="1">COUNTBLANK(OFFSET(Demand!$I30,0,(COLUMN(E18)-1)*5,1,1))</f>
        <v>1</v>
      </c>
      <c r="G21" s="5">
        <f ca="1">COUNTBLANK(OFFSET(Demand!$I30,0,(COLUMN(F18)-1)*5,1,1))</f>
        <v>1</v>
      </c>
      <c r="H21" s="5">
        <f ca="1">COUNTBLANK(OFFSET(Demand!$I30,0,(COLUMN(G18)-1)*5,1,1))</f>
        <v>1</v>
      </c>
      <c r="I21" s="5">
        <f ca="1">COUNTBLANK(OFFSET(Demand!$I30,0,(COLUMN(H18)-1)*5,1,1))</f>
        <v>1</v>
      </c>
      <c r="J21" s="5">
        <f ca="1">COUNTBLANK(OFFSET(Demand!$I30,0,(COLUMN(I18)-1)*5,1,1))</f>
        <v>1</v>
      </c>
      <c r="K21" s="5">
        <f ca="1">COUNTBLANK(OFFSET(Demand!$I30,0,(COLUMN(J18)-1)*5,1,1))</f>
        <v>1</v>
      </c>
      <c r="N21" s="5">
        <f ca="1">SUM(OFFSET(Demand!$E30,0,(COLUMN(A18)-1)*5,1,3))*N$2</f>
        <v>120</v>
      </c>
      <c r="O21" s="5">
        <f ca="1">SUM(OFFSET(Demand!$E30,0,(COLUMN(B18)-1)*5,1,3))*O$2</f>
        <v>400</v>
      </c>
      <c r="P21" s="5">
        <f ca="1">SUM(OFFSET(Demand!$E30,0,(COLUMN(C18)-1)*5,1,3))*P$2</f>
        <v>0</v>
      </c>
      <c r="Q21" s="5">
        <f ca="1">SUM(OFFSET(Demand!$E30,0,(COLUMN(D18)-1)*5,1,3))*Q$2</f>
        <v>0</v>
      </c>
      <c r="R21" s="5">
        <f ca="1">SUM(OFFSET(Demand!$E30,0,(COLUMN(E18)-1)*5,1,3))*R$2</f>
        <v>0</v>
      </c>
      <c r="S21" s="5">
        <f ca="1">SUM(OFFSET(Demand!$E30,0,(COLUMN(F18)-1)*5,1,3))*S$2</f>
        <v>0</v>
      </c>
      <c r="T21" s="5">
        <f ca="1">SUM(OFFSET(Demand!$E30,0,(COLUMN(G18)-1)*5,1,3))*T$2</f>
        <v>0</v>
      </c>
      <c r="U21" s="5">
        <f ca="1">SUM(OFFSET(Demand!$E30,0,(COLUMN(H18)-1)*5,1,3))*U$2</f>
        <v>0</v>
      </c>
      <c r="V21" s="5">
        <f ca="1">SUM(OFFSET(Demand!$E30,0,(COLUMN(I18)-1)*5,1,3))*V$2</f>
        <v>0</v>
      </c>
      <c r="W21" s="5">
        <f ca="1">SUM(OFFSET(Demand!$E30,0,(COLUMN(J18)-1)*5,1,3))*W$2</f>
        <v>0</v>
      </c>
      <c r="X21" s="5">
        <f t="shared" ca="1" si="4"/>
        <v>520</v>
      </c>
      <c r="Y21" s="5">
        <f t="shared" ca="1" si="5"/>
        <v>520</v>
      </c>
      <c r="Z21" s="5">
        <f ca="1">SUM(OFFSET(Demand!$H30,0,(COLUMN(A18)-1)*5,1,1))*N$2</f>
        <v>0</v>
      </c>
      <c r="AA21" s="5">
        <f ca="1">SUM(OFFSET(Demand!$H30,0,(COLUMN(B18)-1)*5,1,1))*O$2</f>
        <v>0</v>
      </c>
      <c r="AB21" s="5">
        <f ca="1">SUM(OFFSET(Demand!$H30,0,(COLUMN(C18)-1)*5,1,1))*P$2</f>
        <v>0</v>
      </c>
      <c r="AC21" s="5">
        <f ca="1">SUM(OFFSET(Demand!$H30,0,(COLUMN(D18)-1)*5,1,1))*Q$2</f>
        <v>0</v>
      </c>
      <c r="AD21" s="5">
        <f ca="1">SUM(OFFSET(Demand!$H30,0,(COLUMN(E18)-1)*5,1,1))*R$2</f>
        <v>0</v>
      </c>
      <c r="AE21" s="5">
        <f ca="1">SUM(OFFSET(Demand!$H30,0,(COLUMN(F18)-1)*5,1,1))*S$2</f>
        <v>0</v>
      </c>
      <c r="AF21" s="5">
        <f ca="1">SUM(OFFSET(Demand!$H30,0,(COLUMN(G18)-1)*5,1,1))*T$2</f>
        <v>0</v>
      </c>
      <c r="AG21" s="5">
        <f ca="1">SUM(OFFSET(Demand!$H30,0,(COLUMN(H18)-1)*5,1,1))*U$2</f>
        <v>0</v>
      </c>
      <c r="AH21" s="5">
        <f ca="1">SUM(OFFSET(Demand!$H30,0,(COLUMN(I18)-1)*5,1,1))*V$2</f>
        <v>0</v>
      </c>
      <c r="AI21" s="5">
        <f ca="1">SUM(OFFSET(Demand!$H30,0,(COLUMN(J18)-1)*5,1,1))*W$2</f>
        <v>0</v>
      </c>
      <c r="AJ21" s="5">
        <f t="shared" ca="1" si="6"/>
        <v>0</v>
      </c>
      <c r="AL21" s="5">
        <f t="shared" ca="1" si="7"/>
        <v>520</v>
      </c>
      <c r="AM21" s="5">
        <f t="shared" ca="1" si="8"/>
        <v>0</v>
      </c>
      <c r="AN21" s="5" t="str">
        <f>IF(Demand!BE30="Yes","Yes","")</f>
        <v/>
      </c>
      <c r="AP21" s="37" t="str">
        <f ca="1">Demand!B30</f>
        <v xml:space="preserve"> </v>
      </c>
      <c r="AQ21" s="5" t="str">
        <f ca="1">IF(TEXT(Demand!D30,"MMM")&lt;&gt;TEXT(Demand!D29,"MMM"),TEXT(Demand!D30,"MMM"),"")</f>
        <v/>
      </c>
      <c r="AT21" s="5">
        <f t="shared" ca="1" si="10"/>
        <v>80</v>
      </c>
      <c r="AV21" s="5" t="s">
        <v>140</v>
      </c>
      <c r="AW21" s="45" t="str">
        <f ca="1">IFERROR(PERCENTILE(OFFSET(AL$4,'SPC background (hide)'!$D$8-1,0,'SPC background (hide)'!$H$9,1),'Control sheet (hide)'!$I$10),"")</f>
        <v/>
      </c>
      <c r="AX21" s="5" t="str">
        <f ca="1">IFERROR(PERCENTILE(OFFSET(AM$4,'SPC background (hide)'!$C$8-1,0,'SPC background (hide)'!$H$9,1),'Control sheet (hide)'!$I$10),"")</f>
        <v/>
      </c>
      <c r="BQ21">
        <f ca="1">IF($AN21="",OFFSET(Demand!$A$13,ROW(A18)-1,4+((QUOTIENT(COLUMN(BQ$2)-69,3))*5)+MOD(COLUMN(BQ$2),3),1,1),"")</f>
        <v>0</v>
      </c>
      <c r="BR21">
        <f ca="1">IF($AN21="",OFFSET(Demand!$A$13,ROW(B18)-1,4+((QUOTIENT(COLUMN(BR$2)-69,3))*5)+MOD(COLUMN(BR$2),3),1,1),"")</f>
        <v>2</v>
      </c>
      <c r="BS21">
        <f ca="1">IF($AN21="",OFFSET(Demand!$A$13,ROW(C18)-1,4+((QUOTIENT(COLUMN(BS$2)-69,3))*5)+MOD(COLUMN(BS$2),3),1,1),"")</f>
        <v>2</v>
      </c>
      <c r="BT21">
        <f ca="1">IF($AN21="",OFFSET(Demand!$A$13,ROW(D18)-1,4+((QUOTIENT(COLUMN(BT$2)-69,3))*5)+MOD(COLUMN(BT$2),3),1,1),"")</f>
        <v>0</v>
      </c>
      <c r="BU21">
        <f ca="1">IF($AN21="",OFFSET(Demand!$A$13,ROW(E18)-1,4+((QUOTIENT(COLUMN(BU$2)-69,3))*5)+MOD(COLUMN(BU$2),3),1,1),"")</f>
        <v>1</v>
      </c>
      <c r="BV21">
        <f ca="1">IF($AN21="",OFFSET(Demand!$A$13,ROW(F18)-1,4+((QUOTIENT(COLUMN(BV$2)-69,3))*5)+MOD(COLUMN(BV$2),3),1,1),"")</f>
        <v>9</v>
      </c>
      <c r="BW21">
        <f ca="1">IF($AN21="",OFFSET(Demand!$A$13,ROW(G18)-1,4+((QUOTIENT(COLUMN(BW$2)-69,3))*5)+MOD(COLUMN(BW$2),3),1,1),"")</f>
        <v>0</v>
      </c>
      <c r="BX21">
        <f ca="1">IF($AN21="",OFFSET(Demand!$A$13,ROW(H18)-1,4+((QUOTIENT(COLUMN(BX$2)-69,3))*5)+MOD(COLUMN(BX$2),3),1,1),"")</f>
        <v>0</v>
      </c>
      <c r="BY21">
        <f ca="1">IF($AN21="",OFFSET(Demand!$A$13,ROW(I18)-1,4+((QUOTIENT(COLUMN(BY$2)-69,3))*5)+MOD(COLUMN(BY$2),3),1,1),"")</f>
        <v>0</v>
      </c>
      <c r="BZ21">
        <f ca="1">IF($AN21="",OFFSET(Demand!$A$13,ROW(J18)-1,4+((QUOTIENT(COLUMN(BZ$2)-69,3))*5)+MOD(COLUMN(BZ$2),3),1,1),"")</f>
        <v>0</v>
      </c>
      <c r="CA21">
        <f ca="1">IF($AN21="",OFFSET(Demand!$A$13,ROW(K18)-1,4+((QUOTIENT(COLUMN(CA$2)-69,3))*5)+MOD(COLUMN(CA$2),3),1,1),"")</f>
        <v>0</v>
      </c>
      <c r="CB21">
        <f ca="1">IF($AN21="",OFFSET(Demand!$A$13,ROW(L18)-1,4+((QUOTIENT(COLUMN(CB$2)-69,3))*5)+MOD(COLUMN(CB$2),3),1,1),"")</f>
        <v>0</v>
      </c>
      <c r="CC21">
        <f ca="1">IF($AN21="",OFFSET(Demand!$A$13,ROW(M18)-1,4+((QUOTIENT(COLUMN(CC$2)-69,3))*5)+MOD(COLUMN(CC$2),3),1,1),"")</f>
        <v>0</v>
      </c>
      <c r="CD21">
        <f ca="1">IF($AN21="",OFFSET(Demand!$A$13,ROW(N18)-1,4+((QUOTIENT(COLUMN(CD$2)-69,3))*5)+MOD(COLUMN(CD$2),3),1,1),"")</f>
        <v>0</v>
      </c>
      <c r="CE21">
        <f ca="1">IF($AN21="",OFFSET(Demand!$A$13,ROW(O18)-1,4+((QUOTIENT(COLUMN(CE$2)-69,3))*5)+MOD(COLUMN(CE$2),3),1,1),"")</f>
        <v>0</v>
      </c>
      <c r="CF21">
        <f ca="1">IF($AN21="",OFFSET(Demand!$A$13,ROW(P18)-1,4+((QUOTIENT(COLUMN(CF$2)-69,3))*5)+MOD(COLUMN(CF$2),3),1,1),"")</f>
        <v>0</v>
      </c>
      <c r="CG21">
        <f ca="1">IF($AN21="",OFFSET(Demand!$A$13,ROW(Q18)-1,4+((QUOTIENT(COLUMN(CG$2)-69,3))*5)+MOD(COLUMN(CG$2),3),1,1),"")</f>
        <v>0</v>
      </c>
      <c r="CH21">
        <f ca="1">IF($AN21="",OFFSET(Demand!$A$13,ROW(R18)-1,4+((QUOTIENT(COLUMN(CH$2)-69,3))*5)+MOD(COLUMN(CH$2),3),1,1),"")</f>
        <v>0</v>
      </c>
      <c r="CI21">
        <f ca="1">IF($AN21="",OFFSET(Demand!$A$13,ROW(S18)-1,4+((QUOTIENT(COLUMN(CI$2)-69,3))*5)+MOD(COLUMN(CI$2),3),1,1),"")</f>
        <v>0</v>
      </c>
      <c r="CJ21">
        <f ca="1">IF($AN21="",OFFSET(Demand!$A$13,ROW(T18)-1,4+((QUOTIENT(COLUMN(CJ$2)-69,3))*5)+MOD(COLUMN(CJ$2),3),1,1),"")</f>
        <v>0</v>
      </c>
      <c r="CK21">
        <f ca="1">IF($AN21="",OFFSET(Demand!$A$13,ROW(U18)-1,4+((QUOTIENT(COLUMN(CK$2)-69,3))*5)+MOD(COLUMN(CK$2),3),1,1),"")</f>
        <v>0</v>
      </c>
      <c r="CL21">
        <f ca="1">IF($AN21="",OFFSET(Demand!$A$13,ROW(V18)-1,4+((QUOTIENT(COLUMN(CL$2)-69,3))*5)+MOD(COLUMN(CL$2),3),1,1),"")</f>
        <v>0</v>
      </c>
      <c r="CM21">
        <f ca="1">IF($AN21="",OFFSET(Demand!$A$13,ROW(W18)-1,4+((QUOTIENT(COLUMN(CM$2)-69,3))*5)+MOD(COLUMN(CM$2),3),1,1),"")</f>
        <v>0</v>
      </c>
      <c r="CN21">
        <f ca="1">IF($AN21="",OFFSET(Demand!$A$13,ROW(X18)-1,4+((QUOTIENT(COLUMN(CN$2)-69,3))*5)+MOD(COLUMN(CN$2),3),1,1),"")</f>
        <v>0</v>
      </c>
      <c r="CO21">
        <f ca="1">IF($AN21="",OFFSET(Demand!$A$13,ROW(Y18)-1,4+((QUOTIENT(COLUMN(CO$2)-69,3))*5)+MOD(COLUMN(CO$2),3),1,1),"")</f>
        <v>0</v>
      </c>
      <c r="CP21">
        <f ca="1">IF($AN21="",OFFSET(Demand!$A$13,ROW(Z18)-1,4+((QUOTIENT(COLUMN(CP$2)-69,3))*5)+MOD(COLUMN(CP$2),3),1,1),"")</f>
        <v>0</v>
      </c>
      <c r="CQ21">
        <f ca="1">IF($AN21="",OFFSET(Demand!$A$13,ROW(AA18)-1,4+((QUOTIENT(COLUMN(CQ$2)-69,3))*5)+MOD(COLUMN(CQ$2),3),1,1),"")</f>
        <v>0</v>
      </c>
      <c r="CR21">
        <f ca="1">IF($AN21="",OFFSET(Demand!$A$13,ROW(AB18)-1,4+((QUOTIENT(COLUMN(CR$2)-69,3))*5)+MOD(COLUMN(CR$2),3),1,1),"")</f>
        <v>0</v>
      </c>
      <c r="CS21">
        <f ca="1">IF($AN21="",OFFSET(Demand!$A$13,ROW(AC18)-1,4+((QUOTIENT(COLUMN(CS$2)-69,3))*5)+MOD(COLUMN(CS$2),3),1,1),"")</f>
        <v>0</v>
      </c>
      <c r="CT21">
        <f ca="1">IF($AN21="",OFFSET(Demand!$A$13,ROW(AD18)-1,4+((QUOTIENT(COLUMN(CT$2)-69,3))*5)+MOD(COLUMN(CT$2),3),1,1),"")</f>
        <v>0</v>
      </c>
      <c r="CW21" s="5">
        <f ca="1">SUM(OFFSET(Demand!$H$43,ROW(A18)-1,(COLUMN(A18)-1)*5,1,1))*N$2</f>
        <v>0</v>
      </c>
      <c r="CX21" s="5">
        <f ca="1">SUM(OFFSET(Demand!$H$43,ROW(B18)-1,(COLUMN(B18)-1)*5,1,1))*O$2</f>
        <v>0</v>
      </c>
      <c r="CY21" s="5">
        <f ca="1">SUM(OFFSET(Demand!$H$43,ROW(C18)-1,(COLUMN(C18)-1)*5,1,1))*P$2</f>
        <v>0</v>
      </c>
      <c r="CZ21" s="5">
        <f ca="1">SUM(OFFSET(Demand!$H$43,ROW(D18)-1,(COLUMN(D18)-1)*5,1,1))*Q$2</f>
        <v>0</v>
      </c>
      <c r="DA21" s="5">
        <f ca="1">SUM(OFFSET(Demand!$H$43,ROW(E18)-1,(COLUMN(E18)-1)*5,1,1))*R$2</f>
        <v>0</v>
      </c>
      <c r="DB21" s="5">
        <f ca="1">SUM(OFFSET(Demand!$H$43,ROW(F18)-1,(COLUMN(F18)-1)*5,1,1))*S$2</f>
        <v>0</v>
      </c>
      <c r="DC21" s="5">
        <f ca="1">SUM(OFFSET(Demand!$H$43,ROW(G18)-1,(COLUMN(G18)-1)*5,1,1))*T$2</f>
        <v>0</v>
      </c>
      <c r="DD21" s="5">
        <f ca="1">SUM(OFFSET(Demand!$H$43,ROW(H18)-1,(COLUMN(H18)-1)*5,1,1))*U$2</f>
        <v>0</v>
      </c>
      <c r="DE21" s="5">
        <f ca="1">SUM(OFFSET(Demand!$H$43,ROW(I18)-1,(COLUMN(I18)-1)*5,1,1))*V$2</f>
        <v>0</v>
      </c>
      <c r="DF21" s="5">
        <f ca="1">SUM(OFFSET(Demand!$H$43,ROW(J18)-1,(COLUMN(J18)-1)*5,1,1))*W$2</f>
        <v>0</v>
      </c>
      <c r="DG21" s="5">
        <f t="shared" ca="1" si="9"/>
        <v>0</v>
      </c>
    </row>
    <row r="22" spans="1:114" s="5" customFormat="1" x14ac:dyDescent="0.2">
      <c r="A22" s="5">
        <f t="shared" ca="1" si="3"/>
        <v>0</v>
      </c>
      <c r="B22" s="5">
        <f ca="1">COUNTBLANK(OFFSET(Demand!$I31,0,(COLUMN(A19)-1)*5,1,1))</f>
        <v>0</v>
      </c>
      <c r="C22" s="5">
        <f ca="1">COUNTBLANK(OFFSET(Demand!$I31,0,(COLUMN(B19)-1)*5,1,1))</f>
        <v>0</v>
      </c>
      <c r="D22" s="5">
        <f ca="1">COUNTBLANK(OFFSET(Demand!$I31,0,(COLUMN(C19)-1)*5,1,1))</f>
        <v>1</v>
      </c>
      <c r="E22" s="5">
        <f ca="1">COUNTBLANK(OFFSET(Demand!$I31,0,(COLUMN(D19)-1)*5,1,1))</f>
        <v>1</v>
      </c>
      <c r="F22" s="5">
        <f ca="1">COUNTBLANK(OFFSET(Demand!$I31,0,(COLUMN(E19)-1)*5,1,1))</f>
        <v>1</v>
      </c>
      <c r="G22" s="5">
        <f ca="1">COUNTBLANK(OFFSET(Demand!$I31,0,(COLUMN(F19)-1)*5,1,1))</f>
        <v>1</v>
      </c>
      <c r="H22" s="5">
        <f ca="1">COUNTBLANK(OFFSET(Demand!$I31,0,(COLUMN(G19)-1)*5,1,1))</f>
        <v>1</v>
      </c>
      <c r="I22" s="5">
        <f ca="1">COUNTBLANK(OFFSET(Demand!$I31,0,(COLUMN(H19)-1)*5,1,1))</f>
        <v>1</v>
      </c>
      <c r="J22" s="5">
        <f ca="1">COUNTBLANK(OFFSET(Demand!$I31,0,(COLUMN(I19)-1)*5,1,1))</f>
        <v>1</v>
      </c>
      <c r="K22" s="5">
        <f ca="1">COUNTBLANK(OFFSET(Demand!$I31,0,(COLUMN(J19)-1)*5,1,1))</f>
        <v>1</v>
      </c>
      <c r="N22" s="5">
        <f ca="1">SUM(OFFSET(Demand!$E31,0,(COLUMN(A19)-1)*5,1,3))*N$2</f>
        <v>240</v>
      </c>
      <c r="O22" s="5">
        <f ca="1">SUM(OFFSET(Demand!$E31,0,(COLUMN(B19)-1)*5,1,3))*O$2</f>
        <v>360</v>
      </c>
      <c r="P22" s="5">
        <f ca="1">SUM(OFFSET(Demand!$E31,0,(COLUMN(C19)-1)*5,1,3))*P$2</f>
        <v>0</v>
      </c>
      <c r="Q22" s="5">
        <f ca="1">SUM(OFFSET(Demand!$E31,0,(COLUMN(D19)-1)*5,1,3))*Q$2</f>
        <v>0</v>
      </c>
      <c r="R22" s="5">
        <f ca="1">SUM(OFFSET(Demand!$E31,0,(COLUMN(E19)-1)*5,1,3))*R$2</f>
        <v>0</v>
      </c>
      <c r="S22" s="5">
        <f ca="1">SUM(OFFSET(Demand!$E31,0,(COLUMN(F19)-1)*5,1,3))*S$2</f>
        <v>0</v>
      </c>
      <c r="T22" s="5">
        <f ca="1">SUM(OFFSET(Demand!$E31,0,(COLUMN(G19)-1)*5,1,3))*T$2</f>
        <v>0</v>
      </c>
      <c r="U22" s="5">
        <f ca="1">SUM(OFFSET(Demand!$E31,0,(COLUMN(H19)-1)*5,1,3))*U$2</f>
        <v>0</v>
      </c>
      <c r="V22" s="5">
        <f ca="1">SUM(OFFSET(Demand!$E31,0,(COLUMN(I19)-1)*5,1,3))*V$2</f>
        <v>0</v>
      </c>
      <c r="W22" s="5">
        <f ca="1">SUM(OFFSET(Demand!$E31,0,(COLUMN(J19)-1)*5,1,3))*W$2</f>
        <v>0</v>
      </c>
      <c r="X22" s="5">
        <f t="shared" ca="1" si="4"/>
        <v>600</v>
      </c>
      <c r="Y22" s="5">
        <f t="shared" ca="1" si="5"/>
        <v>600</v>
      </c>
      <c r="Z22" s="5">
        <f ca="1">SUM(OFFSET(Demand!$H31,0,(COLUMN(A19)-1)*5,1,1))*N$2</f>
        <v>0</v>
      </c>
      <c r="AA22" s="5">
        <f ca="1">SUM(OFFSET(Demand!$H31,0,(COLUMN(B19)-1)*5,1,1))*O$2</f>
        <v>0</v>
      </c>
      <c r="AB22" s="5">
        <f ca="1">SUM(OFFSET(Demand!$H31,0,(COLUMN(C19)-1)*5,1,1))*P$2</f>
        <v>0</v>
      </c>
      <c r="AC22" s="5">
        <f ca="1">SUM(OFFSET(Demand!$H31,0,(COLUMN(D19)-1)*5,1,1))*Q$2</f>
        <v>0</v>
      </c>
      <c r="AD22" s="5">
        <f ca="1">SUM(OFFSET(Demand!$H31,0,(COLUMN(E19)-1)*5,1,1))*R$2</f>
        <v>0</v>
      </c>
      <c r="AE22" s="5">
        <f ca="1">SUM(OFFSET(Demand!$H31,0,(COLUMN(F19)-1)*5,1,1))*S$2</f>
        <v>0</v>
      </c>
      <c r="AF22" s="5">
        <f ca="1">SUM(OFFSET(Demand!$H31,0,(COLUMN(G19)-1)*5,1,1))*T$2</f>
        <v>0</v>
      </c>
      <c r="AG22" s="5">
        <f ca="1">SUM(OFFSET(Demand!$H31,0,(COLUMN(H19)-1)*5,1,1))*U$2</f>
        <v>0</v>
      </c>
      <c r="AH22" s="5">
        <f ca="1">SUM(OFFSET(Demand!$H31,0,(COLUMN(I19)-1)*5,1,1))*V$2</f>
        <v>0</v>
      </c>
      <c r="AI22" s="5">
        <f ca="1">SUM(OFFSET(Demand!$H31,0,(COLUMN(J19)-1)*5,1,1))*W$2</f>
        <v>0</v>
      </c>
      <c r="AJ22" s="5">
        <f t="shared" ca="1" si="6"/>
        <v>0</v>
      </c>
      <c r="AL22" s="5">
        <f t="shared" ca="1" si="7"/>
        <v>600</v>
      </c>
      <c r="AM22" s="5">
        <f t="shared" ca="1" si="8"/>
        <v>0</v>
      </c>
      <c r="AN22" s="5" t="str">
        <f>IF(Demand!BE31="Yes","Yes","")</f>
        <v/>
      </c>
      <c r="AP22" s="37" t="str">
        <f ca="1">Demand!B31</f>
        <v xml:space="preserve"> </v>
      </c>
      <c r="AQ22" s="5" t="str">
        <f ca="1">IF(TEXT(Demand!D31,"MMM")&lt;&gt;TEXT(Demand!D30,"MMM"),TEXT(Demand!D31,"MMM"),"")</f>
        <v>Aug</v>
      </c>
      <c r="AT22" s="5">
        <f t="shared" ca="1" si="10"/>
        <v>80</v>
      </c>
      <c r="BQ22">
        <f ca="1">IF($AN22="",OFFSET(Demand!$A$13,ROW(A19)-1,4+((QUOTIENT(COLUMN(BQ$2)-69,3))*5)+MOD(COLUMN(BQ$2),3),1,1),"")</f>
        <v>0</v>
      </c>
      <c r="BR22">
        <f ca="1">IF($AN22="",OFFSET(Demand!$A$13,ROW(B19)-1,4+((QUOTIENT(COLUMN(BR$2)-69,3))*5)+MOD(COLUMN(BR$2),3),1,1),"")</f>
        <v>1</v>
      </c>
      <c r="BS22">
        <f ca="1">IF($AN22="",OFFSET(Demand!$A$13,ROW(C19)-1,4+((QUOTIENT(COLUMN(BS$2)-69,3))*5)+MOD(COLUMN(BS$2),3),1,1),"")</f>
        <v>7</v>
      </c>
      <c r="BT22">
        <f ca="1">IF($AN22="",OFFSET(Demand!$A$13,ROW(D19)-1,4+((QUOTIENT(COLUMN(BT$2)-69,3))*5)+MOD(COLUMN(BT$2),3),1,1),"")</f>
        <v>0</v>
      </c>
      <c r="BU22">
        <f ca="1">IF($AN22="",OFFSET(Demand!$A$13,ROW(E19)-1,4+((QUOTIENT(COLUMN(BU$2)-69,3))*5)+MOD(COLUMN(BU$2),3),1,1),"")</f>
        <v>1</v>
      </c>
      <c r="BV22">
        <f ca="1">IF($AN22="",OFFSET(Demand!$A$13,ROW(F19)-1,4+((QUOTIENT(COLUMN(BV$2)-69,3))*5)+MOD(COLUMN(BV$2),3),1,1),"")</f>
        <v>8</v>
      </c>
      <c r="BW22">
        <f ca="1">IF($AN22="",OFFSET(Demand!$A$13,ROW(G19)-1,4+((QUOTIENT(COLUMN(BW$2)-69,3))*5)+MOD(COLUMN(BW$2),3),1,1),"")</f>
        <v>0</v>
      </c>
      <c r="BX22">
        <f ca="1">IF($AN22="",OFFSET(Demand!$A$13,ROW(H19)-1,4+((QUOTIENT(COLUMN(BX$2)-69,3))*5)+MOD(COLUMN(BX$2),3),1,1),"")</f>
        <v>0</v>
      </c>
      <c r="BY22">
        <f ca="1">IF($AN22="",OFFSET(Demand!$A$13,ROW(I19)-1,4+((QUOTIENT(COLUMN(BY$2)-69,3))*5)+MOD(COLUMN(BY$2),3),1,1),"")</f>
        <v>0</v>
      </c>
      <c r="BZ22">
        <f ca="1">IF($AN22="",OFFSET(Demand!$A$13,ROW(J19)-1,4+((QUOTIENT(COLUMN(BZ$2)-69,3))*5)+MOD(COLUMN(BZ$2),3),1,1),"")</f>
        <v>0</v>
      </c>
      <c r="CA22">
        <f ca="1">IF($AN22="",OFFSET(Demand!$A$13,ROW(K19)-1,4+((QUOTIENT(COLUMN(CA$2)-69,3))*5)+MOD(COLUMN(CA$2),3),1,1),"")</f>
        <v>0</v>
      </c>
      <c r="CB22">
        <f ca="1">IF($AN22="",OFFSET(Demand!$A$13,ROW(L19)-1,4+((QUOTIENT(COLUMN(CB$2)-69,3))*5)+MOD(COLUMN(CB$2),3),1,1),"")</f>
        <v>0</v>
      </c>
      <c r="CC22">
        <f ca="1">IF($AN22="",OFFSET(Demand!$A$13,ROW(M19)-1,4+((QUOTIENT(COLUMN(CC$2)-69,3))*5)+MOD(COLUMN(CC$2),3),1,1),"")</f>
        <v>0</v>
      </c>
      <c r="CD22">
        <f ca="1">IF($AN22="",OFFSET(Demand!$A$13,ROW(N19)-1,4+((QUOTIENT(COLUMN(CD$2)-69,3))*5)+MOD(COLUMN(CD$2),3),1,1),"")</f>
        <v>0</v>
      </c>
      <c r="CE22">
        <f ca="1">IF($AN22="",OFFSET(Demand!$A$13,ROW(O19)-1,4+((QUOTIENT(COLUMN(CE$2)-69,3))*5)+MOD(COLUMN(CE$2),3),1,1),"")</f>
        <v>0</v>
      </c>
      <c r="CF22">
        <f ca="1">IF($AN22="",OFFSET(Demand!$A$13,ROW(P19)-1,4+((QUOTIENT(COLUMN(CF$2)-69,3))*5)+MOD(COLUMN(CF$2),3),1,1),"")</f>
        <v>0</v>
      </c>
      <c r="CG22">
        <f ca="1">IF($AN22="",OFFSET(Demand!$A$13,ROW(Q19)-1,4+((QUOTIENT(COLUMN(CG$2)-69,3))*5)+MOD(COLUMN(CG$2),3),1,1),"")</f>
        <v>0</v>
      </c>
      <c r="CH22">
        <f ca="1">IF($AN22="",OFFSET(Demand!$A$13,ROW(R19)-1,4+((QUOTIENT(COLUMN(CH$2)-69,3))*5)+MOD(COLUMN(CH$2),3),1,1),"")</f>
        <v>0</v>
      </c>
      <c r="CI22">
        <f ca="1">IF($AN22="",OFFSET(Demand!$A$13,ROW(S19)-1,4+((QUOTIENT(COLUMN(CI$2)-69,3))*5)+MOD(COLUMN(CI$2),3),1,1),"")</f>
        <v>0</v>
      </c>
      <c r="CJ22">
        <f ca="1">IF($AN22="",OFFSET(Demand!$A$13,ROW(T19)-1,4+((QUOTIENT(COLUMN(CJ$2)-69,3))*5)+MOD(COLUMN(CJ$2),3),1,1),"")</f>
        <v>0</v>
      </c>
      <c r="CK22">
        <f ca="1">IF($AN22="",OFFSET(Demand!$A$13,ROW(U19)-1,4+((QUOTIENT(COLUMN(CK$2)-69,3))*5)+MOD(COLUMN(CK$2),3),1,1),"")</f>
        <v>0</v>
      </c>
      <c r="CL22">
        <f ca="1">IF($AN22="",OFFSET(Demand!$A$13,ROW(V19)-1,4+((QUOTIENT(COLUMN(CL$2)-69,3))*5)+MOD(COLUMN(CL$2),3),1,1),"")</f>
        <v>0</v>
      </c>
      <c r="CM22">
        <f ca="1">IF($AN22="",OFFSET(Demand!$A$13,ROW(W19)-1,4+((QUOTIENT(COLUMN(CM$2)-69,3))*5)+MOD(COLUMN(CM$2),3),1,1),"")</f>
        <v>0</v>
      </c>
      <c r="CN22">
        <f ca="1">IF($AN22="",OFFSET(Demand!$A$13,ROW(X19)-1,4+((QUOTIENT(COLUMN(CN$2)-69,3))*5)+MOD(COLUMN(CN$2),3),1,1),"")</f>
        <v>0</v>
      </c>
      <c r="CO22">
        <f ca="1">IF($AN22="",OFFSET(Demand!$A$13,ROW(Y19)-1,4+((QUOTIENT(COLUMN(CO$2)-69,3))*5)+MOD(COLUMN(CO$2),3),1,1),"")</f>
        <v>0</v>
      </c>
      <c r="CP22">
        <f ca="1">IF($AN22="",OFFSET(Demand!$A$13,ROW(Z19)-1,4+((QUOTIENT(COLUMN(CP$2)-69,3))*5)+MOD(COLUMN(CP$2),3),1,1),"")</f>
        <v>0</v>
      </c>
      <c r="CQ22">
        <f ca="1">IF($AN22="",OFFSET(Demand!$A$13,ROW(AA19)-1,4+((QUOTIENT(COLUMN(CQ$2)-69,3))*5)+MOD(COLUMN(CQ$2),3),1,1),"")</f>
        <v>0</v>
      </c>
      <c r="CR22">
        <f ca="1">IF($AN22="",OFFSET(Demand!$A$13,ROW(AB19)-1,4+((QUOTIENT(COLUMN(CR$2)-69,3))*5)+MOD(COLUMN(CR$2),3),1,1),"")</f>
        <v>0</v>
      </c>
      <c r="CS22">
        <f ca="1">IF($AN22="",OFFSET(Demand!$A$13,ROW(AC19)-1,4+((QUOTIENT(COLUMN(CS$2)-69,3))*5)+MOD(COLUMN(CS$2),3),1,1),"")</f>
        <v>0</v>
      </c>
      <c r="CT22">
        <f ca="1">IF($AN22="",OFFSET(Demand!$A$13,ROW(AD19)-1,4+((QUOTIENT(COLUMN(CT$2)-69,3))*5)+MOD(COLUMN(CT$2),3),1,1),"")</f>
        <v>0</v>
      </c>
      <c r="CW22" s="5">
        <f ca="1">SUM(OFFSET(Demand!$H$43,ROW(A19)-1,(COLUMN(A19)-1)*5,1,1))*N$2</f>
        <v>0</v>
      </c>
      <c r="CX22" s="5">
        <f ca="1">SUM(OFFSET(Demand!$H$43,ROW(B19)-1,(COLUMN(B19)-1)*5,1,1))*O$2</f>
        <v>0</v>
      </c>
      <c r="CY22" s="5">
        <f ca="1">SUM(OFFSET(Demand!$H$43,ROW(C19)-1,(COLUMN(C19)-1)*5,1,1))*P$2</f>
        <v>0</v>
      </c>
      <c r="CZ22" s="5">
        <f ca="1">SUM(OFFSET(Demand!$H$43,ROW(D19)-1,(COLUMN(D19)-1)*5,1,1))*Q$2</f>
        <v>0</v>
      </c>
      <c r="DA22" s="5">
        <f ca="1">SUM(OFFSET(Demand!$H$43,ROW(E19)-1,(COLUMN(E19)-1)*5,1,1))*R$2</f>
        <v>0</v>
      </c>
      <c r="DB22" s="5">
        <f ca="1">SUM(OFFSET(Demand!$H$43,ROW(F19)-1,(COLUMN(F19)-1)*5,1,1))*S$2</f>
        <v>0</v>
      </c>
      <c r="DC22" s="5">
        <f ca="1">SUM(OFFSET(Demand!$H$43,ROW(G19)-1,(COLUMN(G19)-1)*5,1,1))*T$2</f>
        <v>0</v>
      </c>
      <c r="DD22" s="5">
        <f ca="1">SUM(OFFSET(Demand!$H$43,ROW(H19)-1,(COLUMN(H19)-1)*5,1,1))*U$2</f>
        <v>0</v>
      </c>
      <c r="DE22" s="5">
        <f ca="1">SUM(OFFSET(Demand!$H$43,ROW(I19)-1,(COLUMN(I19)-1)*5,1,1))*V$2</f>
        <v>0</v>
      </c>
      <c r="DF22" s="5">
        <f ca="1">SUM(OFFSET(Demand!$H$43,ROW(J19)-1,(COLUMN(J19)-1)*5,1,1))*W$2</f>
        <v>0</v>
      </c>
      <c r="DG22" s="5">
        <f t="shared" ca="1" si="9"/>
        <v>0</v>
      </c>
    </row>
    <row r="23" spans="1:114" s="5" customFormat="1" x14ac:dyDescent="0.2">
      <c r="A23" s="5">
        <f t="shared" ca="1" si="3"/>
        <v>0</v>
      </c>
      <c r="B23" s="5">
        <f ca="1">COUNTBLANK(OFFSET(Demand!$I32,0,(COLUMN(A20)-1)*5,1,1))</f>
        <v>0</v>
      </c>
      <c r="C23" s="5">
        <f ca="1">COUNTBLANK(OFFSET(Demand!$I32,0,(COLUMN(B20)-1)*5,1,1))</f>
        <v>0</v>
      </c>
      <c r="D23" s="5">
        <f ca="1">COUNTBLANK(OFFSET(Demand!$I32,0,(COLUMN(C20)-1)*5,1,1))</f>
        <v>1</v>
      </c>
      <c r="E23" s="5">
        <f ca="1">COUNTBLANK(OFFSET(Demand!$I32,0,(COLUMN(D20)-1)*5,1,1))</f>
        <v>1</v>
      </c>
      <c r="F23" s="5">
        <f ca="1">COUNTBLANK(OFFSET(Demand!$I32,0,(COLUMN(E20)-1)*5,1,1))</f>
        <v>1</v>
      </c>
      <c r="G23" s="5">
        <f ca="1">COUNTBLANK(OFFSET(Demand!$I32,0,(COLUMN(F20)-1)*5,1,1))</f>
        <v>1</v>
      </c>
      <c r="H23" s="5">
        <f ca="1">COUNTBLANK(OFFSET(Demand!$I32,0,(COLUMN(G20)-1)*5,1,1))</f>
        <v>1</v>
      </c>
      <c r="I23" s="5">
        <f ca="1">COUNTBLANK(OFFSET(Demand!$I32,0,(COLUMN(H20)-1)*5,1,1))</f>
        <v>1</v>
      </c>
      <c r="J23" s="5">
        <f ca="1">COUNTBLANK(OFFSET(Demand!$I32,0,(COLUMN(I20)-1)*5,1,1))</f>
        <v>1</v>
      </c>
      <c r="K23" s="5">
        <f ca="1">COUNTBLANK(OFFSET(Demand!$I32,0,(COLUMN(J20)-1)*5,1,1))</f>
        <v>1</v>
      </c>
      <c r="N23" s="5">
        <f ca="1">SUM(OFFSET(Demand!$E32,0,(COLUMN(A20)-1)*5,1,3))*N$2</f>
        <v>150</v>
      </c>
      <c r="O23" s="5">
        <f ca="1">SUM(OFFSET(Demand!$E32,0,(COLUMN(B20)-1)*5,1,3))*O$2</f>
        <v>560</v>
      </c>
      <c r="P23" s="5">
        <f ca="1">SUM(OFFSET(Demand!$E32,0,(COLUMN(C20)-1)*5,1,3))*P$2</f>
        <v>0</v>
      </c>
      <c r="Q23" s="5">
        <f ca="1">SUM(OFFSET(Demand!$E32,0,(COLUMN(D20)-1)*5,1,3))*Q$2</f>
        <v>0</v>
      </c>
      <c r="R23" s="5">
        <f ca="1">SUM(OFFSET(Demand!$E32,0,(COLUMN(E20)-1)*5,1,3))*R$2</f>
        <v>0</v>
      </c>
      <c r="S23" s="5">
        <f ca="1">SUM(OFFSET(Demand!$E32,0,(COLUMN(F20)-1)*5,1,3))*S$2</f>
        <v>0</v>
      </c>
      <c r="T23" s="5">
        <f ca="1">SUM(OFFSET(Demand!$E32,0,(COLUMN(G20)-1)*5,1,3))*T$2</f>
        <v>0</v>
      </c>
      <c r="U23" s="5">
        <f ca="1">SUM(OFFSET(Demand!$E32,0,(COLUMN(H20)-1)*5,1,3))*U$2</f>
        <v>0</v>
      </c>
      <c r="V23" s="5">
        <f ca="1">SUM(OFFSET(Demand!$E32,0,(COLUMN(I20)-1)*5,1,3))*V$2</f>
        <v>0</v>
      </c>
      <c r="W23" s="5">
        <f ca="1">SUM(OFFSET(Demand!$E32,0,(COLUMN(J20)-1)*5,1,3))*W$2</f>
        <v>0</v>
      </c>
      <c r="X23" s="5">
        <f t="shared" ca="1" si="4"/>
        <v>710</v>
      </c>
      <c r="Y23" s="5">
        <f t="shared" ca="1" si="5"/>
        <v>710</v>
      </c>
      <c r="Z23" s="5">
        <f ca="1">SUM(OFFSET(Demand!$H32,0,(COLUMN(A20)-1)*5,1,1))*N$2</f>
        <v>0</v>
      </c>
      <c r="AA23" s="5">
        <f ca="1">SUM(OFFSET(Demand!$H32,0,(COLUMN(B20)-1)*5,1,1))*O$2</f>
        <v>0</v>
      </c>
      <c r="AB23" s="5">
        <f ca="1">SUM(OFFSET(Demand!$H32,0,(COLUMN(C20)-1)*5,1,1))*P$2</f>
        <v>0</v>
      </c>
      <c r="AC23" s="5">
        <f ca="1">SUM(OFFSET(Demand!$H32,0,(COLUMN(D20)-1)*5,1,1))*Q$2</f>
        <v>0</v>
      </c>
      <c r="AD23" s="5">
        <f ca="1">SUM(OFFSET(Demand!$H32,0,(COLUMN(E20)-1)*5,1,1))*R$2</f>
        <v>0</v>
      </c>
      <c r="AE23" s="5">
        <f ca="1">SUM(OFFSET(Demand!$H32,0,(COLUMN(F20)-1)*5,1,1))*S$2</f>
        <v>0</v>
      </c>
      <c r="AF23" s="5">
        <f ca="1">SUM(OFFSET(Demand!$H32,0,(COLUMN(G20)-1)*5,1,1))*T$2</f>
        <v>0</v>
      </c>
      <c r="AG23" s="5">
        <f ca="1">SUM(OFFSET(Demand!$H32,0,(COLUMN(H20)-1)*5,1,1))*U$2</f>
        <v>0</v>
      </c>
      <c r="AH23" s="5">
        <f ca="1">SUM(OFFSET(Demand!$H32,0,(COLUMN(I20)-1)*5,1,1))*V$2</f>
        <v>0</v>
      </c>
      <c r="AI23" s="5">
        <f ca="1">SUM(OFFSET(Demand!$H32,0,(COLUMN(J20)-1)*5,1,1))*W$2</f>
        <v>0</v>
      </c>
      <c r="AJ23" s="5">
        <f t="shared" ca="1" si="6"/>
        <v>0</v>
      </c>
      <c r="AL23" s="5">
        <f t="shared" ca="1" si="7"/>
        <v>710</v>
      </c>
      <c r="AM23" s="5">
        <f t="shared" ca="1" si="8"/>
        <v>0</v>
      </c>
      <c r="AN23" s="5" t="str">
        <f>IF(Demand!BE32="Yes","Yes","")</f>
        <v/>
      </c>
      <c r="AP23" s="37" t="str">
        <f ca="1">Demand!B32</f>
        <v xml:space="preserve"> </v>
      </c>
      <c r="AQ23" s="5" t="str">
        <f ca="1">IF(TEXT(Demand!D32,"MMM")&lt;&gt;TEXT(Demand!D31,"MMM"),TEXT(Demand!D32,"MMM"),"")</f>
        <v/>
      </c>
      <c r="AT23" s="5">
        <f t="shared" ca="1" si="10"/>
        <v>110</v>
      </c>
      <c r="BQ23">
        <f ca="1">IF($AN23="",OFFSET(Demand!$A$13,ROW(A20)-1,4+((QUOTIENT(COLUMN(BQ$2)-69,3))*5)+MOD(COLUMN(BQ$2),3),1,1),"")</f>
        <v>0</v>
      </c>
      <c r="BR23">
        <f ca="1">IF($AN23="",OFFSET(Demand!$A$13,ROW(B20)-1,4+((QUOTIENT(COLUMN(BR$2)-69,3))*5)+MOD(COLUMN(BR$2),3),1,1),"")</f>
        <v>1</v>
      </c>
      <c r="BS23">
        <f ca="1">IF($AN23="",OFFSET(Demand!$A$13,ROW(C20)-1,4+((QUOTIENT(COLUMN(BS$2)-69,3))*5)+MOD(COLUMN(BS$2),3),1,1),"")</f>
        <v>4</v>
      </c>
      <c r="BT23">
        <f ca="1">IF($AN23="",OFFSET(Demand!$A$13,ROW(D20)-1,4+((QUOTIENT(COLUMN(BT$2)-69,3))*5)+MOD(COLUMN(BT$2),3),1,1),"")</f>
        <v>0</v>
      </c>
      <c r="BU23">
        <f ca="1">IF($AN23="",OFFSET(Demand!$A$13,ROW(E20)-1,4+((QUOTIENT(COLUMN(BU$2)-69,3))*5)+MOD(COLUMN(BU$2),3),1,1),"")</f>
        <v>3</v>
      </c>
      <c r="BV23">
        <f ca="1">IF($AN23="",OFFSET(Demand!$A$13,ROW(F20)-1,4+((QUOTIENT(COLUMN(BV$2)-69,3))*5)+MOD(COLUMN(BV$2),3),1,1),"")</f>
        <v>11</v>
      </c>
      <c r="BW23">
        <f ca="1">IF($AN23="",OFFSET(Demand!$A$13,ROW(G20)-1,4+((QUOTIENT(COLUMN(BW$2)-69,3))*5)+MOD(COLUMN(BW$2),3),1,1),"")</f>
        <v>0</v>
      </c>
      <c r="BX23">
        <f ca="1">IF($AN23="",OFFSET(Demand!$A$13,ROW(H20)-1,4+((QUOTIENT(COLUMN(BX$2)-69,3))*5)+MOD(COLUMN(BX$2),3),1,1),"")</f>
        <v>0</v>
      </c>
      <c r="BY23">
        <f ca="1">IF($AN23="",OFFSET(Demand!$A$13,ROW(I20)-1,4+((QUOTIENT(COLUMN(BY$2)-69,3))*5)+MOD(COLUMN(BY$2),3),1,1),"")</f>
        <v>0</v>
      </c>
      <c r="BZ23">
        <f ca="1">IF($AN23="",OFFSET(Demand!$A$13,ROW(J20)-1,4+((QUOTIENT(COLUMN(BZ$2)-69,3))*5)+MOD(COLUMN(BZ$2),3),1,1),"")</f>
        <v>0</v>
      </c>
      <c r="CA23">
        <f ca="1">IF($AN23="",OFFSET(Demand!$A$13,ROW(K20)-1,4+((QUOTIENT(COLUMN(CA$2)-69,3))*5)+MOD(COLUMN(CA$2),3),1,1),"")</f>
        <v>0</v>
      </c>
      <c r="CB23">
        <f ca="1">IF($AN23="",OFFSET(Demand!$A$13,ROW(L20)-1,4+((QUOTIENT(COLUMN(CB$2)-69,3))*5)+MOD(COLUMN(CB$2),3),1,1),"")</f>
        <v>0</v>
      </c>
      <c r="CC23">
        <f ca="1">IF($AN23="",OFFSET(Demand!$A$13,ROW(M20)-1,4+((QUOTIENT(COLUMN(CC$2)-69,3))*5)+MOD(COLUMN(CC$2),3),1,1),"")</f>
        <v>0</v>
      </c>
      <c r="CD23">
        <f ca="1">IF($AN23="",OFFSET(Demand!$A$13,ROW(N20)-1,4+((QUOTIENT(COLUMN(CD$2)-69,3))*5)+MOD(COLUMN(CD$2),3),1,1),"")</f>
        <v>0</v>
      </c>
      <c r="CE23">
        <f ca="1">IF($AN23="",OFFSET(Demand!$A$13,ROW(O20)-1,4+((QUOTIENT(COLUMN(CE$2)-69,3))*5)+MOD(COLUMN(CE$2),3),1,1),"")</f>
        <v>0</v>
      </c>
      <c r="CF23">
        <f ca="1">IF($AN23="",OFFSET(Demand!$A$13,ROW(P20)-1,4+((QUOTIENT(COLUMN(CF$2)-69,3))*5)+MOD(COLUMN(CF$2),3),1,1),"")</f>
        <v>0</v>
      </c>
      <c r="CG23">
        <f ca="1">IF($AN23="",OFFSET(Demand!$A$13,ROW(Q20)-1,4+((QUOTIENT(COLUMN(CG$2)-69,3))*5)+MOD(COLUMN(CG$2),3),1,1),"")</f>
        <v>0</v>
      </c>
      <c r="CH23">
        <f ca="1">IF($AN23="",OFFSET(Demand!$A$13,ROW(R20)-1,4+((QUOTIENT(COLUMN(CH$2)-69,3))*5)+MOD(COLUMN(CH$2),3),1,1),"")</f>
        <v>0</v>
      </c>
      <c r="CI23">
        <f ca="1">IF($AN23="",OFFSET(Demand!$A$13,ROW(S20)-1,4+((QUOTIENT(COLUMN(CI$2)-69,3))*5)+MOD(COLUMN(CI$2),3),1,1),"")</f>
        <v>0</v>
      </c>
      <c r="CJ23">
        <f ca="1">IF($AN23="",OFFSET(Demand!$A$13,ROW(T20)-1,4+((QUOTIENT(COLUMN(CJ$2)-69,3))*5)+MOD(COLUMN(CJ$2),3),1,1),"")</f>
        <v>0</v>
      </c>
      <c r="CK23">
        <f ca="1">IF($AN23="",OFFSET(Demand!$A$13,ROW(U20)-1,4+((QUOTIENT(COLUMN(CK$2)-69,3))*5)+MOD(COLUMN(CK$2),3),1,1),"")</f>
        <v>0</v>
      </c>
      <c r="CL23">
        <f ca="1">IF($AN23="",OFFSET(Demand!$A$13,ROW(V20)-1,4+((QUOTIENT(COLUMN(CL$2)-69,3))*5)+MOD(COLUMN(CL$2),3),1,1),"")</f>
        <v>0</v>
      </c>
      <c r="CM23">
        <f ca="1">IF($AN23="",OFFSET(Demand!$A$13,ROW(W20)-1,4+((QUOTIENT(COLUMN(CM$2)-69,3))*5)+MOD(COLUMN(CM$2),3),1,1),"")</f>
        <v>0</v>
      </c>
      <c r="CN23">
        <f ca="1">IF($AN23="",OFFSET(Demand!$A$13,ROW(X20)-1,4+((QUOTIENT(COLUMN(CN$2)-69,3))*5)+MOD(COLUMN(CN$2),3),1,1),"")</f>
        <v>0</v>
      </c>
      <c r="CO23">
        <f ca="1">IF($AN23="",OFFSET(Demand!$A$13,ROW(Y20)-1,4+((QUOTIENT(COLUMN(CO$2)-69,3))*5)+MOD(COLUMN(CO$2),3),1,1),"")</f>
        <v>0</v>
      </c>
      <c r="CP23">
        <f ca="1">IF($AN23="",OFFSET(Demand!$A$13,ROW(Z20)-1,4+((QUOTIENT(COLUMN(CP$2)-69,3))*5)+MOD(COLUMN(CP$2),3),1,1),"")</f>
        <v>0</v>
      </c>
      <c r="CQ23">
        <f ca="1">IF($AN23="",OFFSET(Demand!$A$13,ROW(AA20)-1,4+((QUOTIENT(COLUMN(CQ$2)-69,3))*5)+MOD(COLUMN(CQ$2),3),1,1),"")</f>
        <v>0</v>
      </c>
      <c r="CR23">
        <f ca="1">IF($AN23="",OFFSET(Demand!$A$13,ROW(AB20)-1,4+((QUOTIENT(COLUMN(CR$2)-69,3))*5)+MOD(COLUMN(CR$2),3),1,1),"")</f>
        <v>0</v>
      </c>
      <c r="CS23">
        <f ca="1">IF($AN23="",OFFSET(Demand!$A$13,ROW(AC20)-1,4+((QUOTIENT(COLUMN(CS$2)-69,3))*5)+MOD(COLUMN(CS$2),3),1,1),"")</f>
        <v>0</v>
      </c>
      <c r="CT23">
        <f ca="1">IF($AN23="",OFFSET(Demand!$A$13,ROW(AD20)-1,4+((QUOTIENT(COLUMN(CT$2)-69,3))*5)+MOD(COLUMN(CT$2),3),1,1),"")</f>
        <v>0</v>
      </c>
      <c r="CW23" s="5">
        <f ca="1">SUM(OFFSET(Demand!$H$43,ROW(A20)-1,(COLUMN(A20)-1)*5,1,1))*N$2</f>
        <v>0</v>
      </c>
      <c r="CX23" s="5">
        <f ca="1">SUM(OFFSET(Demand!$H$43,ROW(B20)-1,(COLUMN(B20)-1)*5,1,1))*O$2</f>
        <v>0</v>
      </c>
      <c r="CY23" s="5">
        <f ca="1">SUM(OFFSET(Demand!$H$43,ROW(C20)-1,(COLUMN(C20)-1)*5,1,1))*P$2</f>
        <v>0</v>
      </c>
      <c r="CZ23" s="5">
        <f ca="1">SUM(OFFSET(Demand!$H$43,ROW(D20)-1,(COLUMN(D20)-1)*5,1,1))*Q$2</f>
        <v>0</v>
      </c>
      <c r="DA23" s="5">
        <f ca="1">SUM(OFFSET(Demand!$H$43,ROW(E20)-1,(COLUMN(E20)-1)*5,1,1))*R$2</f>
        <v>0</v>
      </c>
      <c r="DB23" s="5">
        <f ca="1">SUM(OFFSET(Demand!$H$43,ROW(F20)-1,(COLUMN(F20)-1)*5,1,1))*S$2</f>
        <v>0</v>
      </c>
      <c r="DC23" s="5">
        <f ca="1">SUM(OFFSET(Demand!$H$43,ROW(G20)-1,(COLUMN(G20)-1)*5,1,1))*T$2</f>
        <v>0</v>
      </c>
      <c r="DD23" s="5">
        <f ca="1">SUM(OFFSET(Demand!$H$43,ROW(H20)-1,(COLUMN(H20)-1)*5,1,1))*U$2</f>
        <v>0</v>
      </c>
      <c r="DE23" s="5">
        <f ca="1">SUM(OFFSET(Demand!$H$43,ROW(I20)-1,(COLUMN(I20)-1)*5,1,1))*V$2</f>
        <v>0</v>
      </c>
      <c r="DF23" s="5">
        <f ca="1">SUM(OFFSET(Demand!$H$43,ROW(J20)-1,(COLUMN(J20)-1)*5,1,1))*W$2</f>
        <v>0</v>
      </c>
      <c r="DG23" s="5">
        <f t="shared" ca="1" si="9"/>
        <v>0</v>
      </c>
    </row>
    <row r="24" spans="1:114" s="5" customFormat="1" x14ac:dyDescent="0.2">
      <c r="A24" s="5">
        <f t="shared" ca="1" si="3"/>
        <v>0</v>
      </c>
      <c r="B24" s="5">
        <f ca="1">COUNTBLANK(OFFSET(Demand!$I33,0,(COLUMN(A21)-1)*5,1,1))</f>
        <v>0</v>
      </c>
      <c r="C24" s="5">
        <f ca="1">COUNTBLANK(OFFSET(Demand!$I33,0,(COLUMN(B21)-1)*5,1,1))</f>
        <v>0</v>
      </c>
      <c r="D24" s="5">
        <f ca="1">COUNTBLANK(OFFSET(Demand!$I33,0,(COLUMN(C21)-1)*5,1,1))</f>
        <v>1</v>
      </c>
      <c r="E24" s="5">
        <f ca="1">COUNTBLANK(OFFSET(Demand!$I33,0,(COLUMN(D21)-1)*5,1,1))</f>
        <v>1</v>
      </c>
      <c r="F24" s="5">
        <f ca="1">COUNTBLANK(OFFSET(Demand!$I33,0,(COLUMN(E21)-1)*5,1,1))</f>
        <v>1</v>
      </c>
      <c r="G24" s="5">
        <f ca="1">COUNTBLANK(OFFSET(Demand!$I33,0,(COLUMN(F21)-1)*5,1,1))</f>
        <v>1</v>
      </c>
      <c r="H24" s="5">
        <f ca="1">COUNTBLANK(OFFSET(Demand!$I33,0,(COLUMN(G21)-1)*5,1,1))</f>
        <v>1</v>
      </c>
      <c r="I24" s="5">
        <f ca="1">COUNTBLANK(OFFSET(Demand!$I33,0,(COLUMN(H21)-1)*5,1,1))</f>
        <v>1</v>
      </c>
      <c r="J24" s="5">
        <f ca="1">COUNTBLANK(OFFSET(Demand!$I33,0,(COLUMN(I21)-1)*5,1,1))</f>
        <v>1</v>
      </c>
      <c r="K24" s="5">
        <f ca="1">COUNTBLANK(OFFSET(Demand!$I33,0,(COLUMN(J21)-1)*5,1,1))</f>
        <v>1</v>
      </c>
      <c r="N24" s="5">
        <f ca="1">SUM(OFFSET(Demand!$E33,0,(COLUMN(A21)-1)*5,1,3))*N$2</f>
        <v>270</v>
      </c>
      <c r="O24" s="5">
        <f ca="1">SUM(OFFSET(Demand!$E33,0,(COLUMN(B21)-1)*5,1,3))*O$2</f>
        <v>400</v>
      </c>
      <c r="P24" s="5">
        <f ca="1">SUM(OFFSET(Demand!$E33,0,(COLUMN(C21)-1)*5,1,3))*P$2</f>
        <v>0</v>
      </c>
      <c r="Q24" s="5">
        <f ca="1">SUM(OFFSET(Demand!$E33,0,(COLUMN(D21)-1)*5,1,3))*Q$2</f>
        <v>0</v>
      </c>
      <c r="R24" s="5">
        <f ca="1">SUM(OFFSET(Demand!$E33,0,(COLUMN(E21)-1)*5,1,3))*R$2</f>
        <v>0</v>
      </c>
      <c r="S24" s="5">
        <f ca="1">SUM(OFFSET(Demand!$E33,0,(COLUMN(F21)-1)*5,1,3))*S$2</f>
        <v>0</v>
      </c>
      <c r="T24" s="5">
        <f ca="1">SUM(OFFSET(Demand!$E33,0,(COLUMN(G21)-1)*5,1,3))*T$2</f>
        <v>0</v>
      </c>
      <c r="U24" s="5">
        <f ca="1">SUM(OFFSET(Demand!$E33,0,(COLUMN(H21)-1)*5,1,3))*U$2</f>
        <v>0</v>
      </c>
      <c r="V24" s="5">
        <f ca="1">SUM(OFFSET(Demand!$E33,0,(COLUMN(I21)-1)*5,1,3))*V$2</f>
        <v>0</v>
      </c>
      <c r="W24" s="5">
        <f ca="1">SUM(OFFSET(Demand!$E33,0,(COLUMN(J21)-1)*5,1,3))*W$2</f>
        <v>0</v>
      </c>
      <c r="X24" s="5">
        <f t="shared" ca="1" si="4"/>
        <v>670</v>
      </c>
      <c r="Y24" s="5">
        <f t="shared" ca="1" si="5"/>
        <v>670</v>
      </c>
      <c r="Z24" s="5">
        <f ca="1">SUM(OFFSET(Demand!$H33,0,(COLUMN(A21)-1)*5,1,1))*N$2</f>
        <v>0</v>
      </c>
      <c r="AA24" s="5">
        <f ca="1">SUM(OFFSET(Demand!$H33,0,(COLUMN(B21)-1)*5,1,1))*O$2</f>
        <v>0</v>
      </c>
      <c r="AB24" s="5">
        <f ca="1">SUM(OFFSET(Demand!$H33,0,(COLUMN(C21)-1)*5,1,1))*P$2</f>
        <v>0</v>
      </c>
      <c r="AC24" s="5">
        <f ca="1">SUM(OFFSET(Demand!$H33,0,(COLUMN(D21)-1)*5,1,1))*Q$2</f>
        <v>0</v>
      </c>
      <c r="AD24" s="5">
        <f ca="1">SUM(OFFSET(Demand!$H33,0,(COLUMN(E21)-1)*5,1,1))*R$2</f>
        <v>0</v>
      </c>
      <c r="AE24" s="5">
        <f ca="1">SUM(OFFSET(Demand!$H33,0,(COLUMN(F21)-1)*5,1,1))*S$2</f>
        <v>0</v>
      </c>
      <c r="AF24" s="5">
        <f ca="1">SUM(OFFSET(Demand!$H33,0,(COLUMN(G21)-1)*5,1,1))*T$2</f>
        <v>0</v>
      </c>
      <c r="AG24" s="5">
        <f ca="1">SUM(OFFSET(Demand!$H33,0,(COLUMN(H21)-1)*5,1,1))*U$2</f>
        <v>0</v>
      </c>
      <c r="AH24" s="5">
        <f ca="1">SUM(OFFSET(Demand!$H33,0,(COLUMN(I21)-1)*5,1,1))*V$2</f>
        <v>0</v>
      </c>
      <c r="AI24" s="5">
        <f ca="1">SUM(OFFSET(Demand!$H33,0,(COLUMN(J21)-1)*5,1,1))*W$2</f>
        <v>0</v>
      </c>
      <c r="AJ24" s="5">
        <f t="shared" ca="1" si="6"/>
        <v>0</v>
      </c>
      <c r="AL24" s="5">
        <f t="shared" ca="1" si="7"/>
        <v>670</v>
      </c>
      <c r="AM24" s="5">
        <f t="shared" ca="1" si="8"/>
        <v>0</v>
      </c>
      <c r="AN24" s="5" t="str">
        <f>IF(Demand!BE33="Yes","Yes","")</f>
        <v/>
      </c>
      <c r="AP24" s="37" t="str">
        <f ca="1">Demand!B33</f>
        <v xml:space="preserve"> </v>
      </c>
      <c r="AQ24" s="5" t="str">
        <f ca="1">IF(TEXT(Demand!D33,"MMM")&lt;&gt;TEXT(Demand!D32,"MMM"),TEXT(Demand!D33,"MMM"),"")</f>
        <v/>
      </c>
      <c r="AT24" s="5">
        <f t="shared" ca="1" si="10"/>
        <v>40</v>
      </c>
      <c r="BQ24">
        <f ca="1">IF($AN24="",OFFSET(Demand!$A$13,ROW(A21)-1,4+((QUOTIENT(COLUMN(BQ$2)-69,3))*5)+MOD(COLUMN(BQ$2),3),1,1),"")</f>
        <v>0</v>
      </c>
      <c r="BR24">
        <f ca="1">IF($AN24="",OFFSET(Demand!$A$13,ROW(B21)-1,4+((QUOTIENT(COLUMN(BR$2)-69,3))*5)+MOD(COLUMN(BR$2),3),1,1),"")</f>
        <v>3</v>
      </c>
      <c r="BS24">
        <f ca="1">IF($AN24="",OFFSET(Demand!$A$13,ROW(C21)-1,4+((QUOTIENT(COLUMN(BS$2)-69,3))*5)+MOD(COLUMN(BS$2),3),1,1),"")</f>
        <v>6</v>
      </c>
      <c r="BT24">
        <f ca="1">IF($AN24="",OFFSET(Demand!$A$13,ROW(D21)-1,4+((QUOTIENT(COLUMN(BT$2)-69,3))*5)+MOD(COLUMN(BT$2),3),1,1),"")</f>
        <v>0</v>
      </c>
      <c r="BU24">
        <f ca="1">IF($AN24="",OFFSET(Demand!$A$13,ROW(E21)-1,4+((QUOTIENT(COLUMN(BU$2)-69,3))*5)+MOD(COLUMN(BU$2),3),1,1),"")</f>
        <v>3</v>
      </c>
      <c r="BV24">
        <f ca="1">IF($AN24="",OFFSET(Demand!$A$13,ROW(F21)-1,4+((QUOTIENT(COLUMN(BV$2)-69,3))*5)+MOD(COLUMN(BV$2),3),1,1),"")</f>
        <v>7</v>
      </c>
      <c r="BW24">
        <f ca="1">IF($AN24="",OFFSET(Demand!$A$13,ROW(G21)-1,4+((QUOTIENT(COLUMN(BW$2)-69,3))*5)+MOD(COLUMN(BW$2),3),1,1),"")</f>
        <v>0</v>
      </c>
      <c r="BX24">
        <f ca="1">IF($AN24="",OFFSET(Demand!$A$13,ROW(H21)-1,4+((QUOTIENT(COLUMN(BX$2)-69,3))*5)+MOD(COLUMN(BX$2),3),1,1),"")</f>
        <v>0</v>
      </c>
      <c r="BY24">
        <f ca="1">IF($AN24="",OFFSET(Demand!$A$13,ROW(I21)-1,4+((QUOTIENT(COLUMN(BY$2)-69,3))*5)+MOD(COLUMN(BY$2),3),1,1),"")</f>
        <v>0</v>
      </c>
      <c r="BZ24">
        <f ca="1">IF($AN24="",OFFSET(Demand!$A$13,ROW(J21)-1,4+((QUOTIENT(COLUMN(BZ$2)-69,3))*5)+MOD(COLUMN(BZ$2),3),1,1),"")</f>
        <v>0</v>
      </c>
      <c r="CA24">
        <f ca="1">IF($AN24="",OFFSET(Demand!$A$13,ROW(K21)-1,4+((QUOTIENT(COLUMN(CA$2)-69,3))*5)+MOD(COLUMN(CA$2),3),1,1),"")</f>
        <v>0</v>
      </c>
      <c r="CB24">
        <f ca="1">IF($AN24="",OFFSET(Demand!$A$13,ROW(L21)-1,4+((QUOTIENT(COLUMN(CB$2)-69,3))*5)+MOD(COLUMN(CB$2),3),1,1),"")</f>
        <v>0</v>
      </c>
      <c r="CC24">
        <f ca="1">IF($AN24="",OFFSET(Demand!$A$13,ROW(M21)-1,4+((QUOTIENT(COLUMN(CC$2)-69,3))*5)+MOD(COLUMN(CC$2),3),1,1),"")</f>
        <v>0</v>
      </c>
      <c r="CD24">
        <f ca="1">IF($AN24="",OFFSET(Demand!$A$13,ROW(N21)-1,4+((QUOTIENT(COLUMN(CD$2)-69,3))*5)+MOD(COLUMN(CD$2),3),1,1),"")</f>
        <v>0</v>
      </c>
      <c r="CE24">
        <f ca="1">IF($AN24="",OFFSET(Demand!$A$13,ROW(O21)-1,4+((QUOTIENT(COLUMN(CE$2)-69,3))*5)+MOD(COLUMN(CE$2),3),1,1),"")</f>
        <v>0</v>
      </c>
      <c r="CF24">
        <f ca="1">IF($AN24="",OFFSET(Demand!$A$13,ROW(P21)-1,4+((QUOTIENT(COLUMN(CF$2)-69,3))*5)+MOD(COLUMN(CF$2),3),1,1),"")</f>
        <v>0</v>
      </c>
      <c r="CG24">
        <f ca="1">IF($AN24="",OFFSET(Demand!$A$13,ROW(Q21)-1,4+((QUOTIENT(COLUMN(CG$2)-69,3))*5)+MOD(COLUMN(CG$2),3),1,1),"")</f>
        <v>0</v>
      </c>
      <c r="CH24">
        <f ca="1">IF($AN24="",OFFSET(Demand!$A$13,ROW(R21)-1,4+((QUOTIENT(COLUMN(CH$2)-69,3))*5)+MOD(COLUMN(CH$2),3),1,1),"")</f>
        <v>0</v>
      </c>
      <c r="CI24">
        <f ca="1">IF($AN24="",OFFSET(Demand!$A$13,ROW(S21)-1,4+((QUOTIENT(COLUMN(CI$2)-69,3))*5)+MOD(COLUMN(CI$2),3),1,1),"")</f>
        <v>0</v>
      </c>
      <c r="CJ24">
        <f ca="1">IF($AN24="",OFFSET(Demand!$A$13,ROW(T21)-1,4+((QUOTIENT(COLUMN(CJ$2)-69,3))*5)+MOD(COLUMN(CJ$2),3),1,1),"")</f>
        <v>0</v>
      </c>
      <c r="CK24">
        <f ca="1">IF($AN24="",OFFSET(Demand!$A$13,ROW(U21)-1,4+((QUOTIENT(COLUMN(CK$2)-69,3))*5)+MOD(COLUMN(CK$2),3),1,1),"")</f>
        <v>0</v>
      </c>
      <c r="CL24">
        <f ca="1">IF($AN24="",OFFSET(Demand!$A$13,ROW(V21)-1,4+((QUOTIENT(COLUMN(CL$2)-69,3))*5)+MOD(COLUMN(CL$2),3),1,1),"")</f>
        <v>0</v>
      </c>
      <c r="CM24">
        <f ca="1">IF($AN24="",OFFSET(Demand!$A$13,ROW(W21)-1,4+((QUOTIENT(COLUMN(CM$2)-69,3))*5)+MOD(COLUMN(CM$2),3),1,1),"")</f>
        <v>0</v>
      </c>
      <c r="CN24">
        <f ca="1">IF($AN24="",OFFSET(Demand!$A$13,ROW(X21)-1,4+((QUOTIENT(COLUMN(CN$2)-69,3))*5)+MOD(COLUMN(CN$2),3),1,1),"")</f>
        <v>0</v>
      </c>
      <c r="CO24">
        <f ca="1">IF($AN24="",OFFSET(Demand!$A$13,ROW(Y21)-1,4+((QUOTIENT(COLUMN(CO$2)-69,3))*5)+MOD(COLUMN(CO$2),3),1,1),"")</f>
        <v>0</v>
      </c>
      <c r="CP24">
        <f ca="1">IF($AN24="",OFFSET(Demand!$A$13,ROW(Z21)-1,4+((QUOTIENT(COLUMN(CP$2)-69,3))*5)+MOD(COLUMN(CP$2),3),1,1),"")</f>
        <v>0</v>
      </c>
      <c r="CQ24">
        <f ca="1">IF($AN24="",OFFSET(Demand!$A$13,ROW(AA21)-1,4+((QUOTIENT(COLUMN(CQ$2)-69,3))*5)+MOD(COLUMN(CQ$2),3),1,1),"")</f>
        <v>0</v>
      </c>
      <c r="CR24">
        <f ca="1">IF($AN24="",OFFSET(Demand!$A$13,ROW(AB21)-1,4+((QUOTIENT(COLUMN(CR$2)-69,3))*5)+MOD(COLUMN(CR$2),3),1,1),"")</f>
        <v>0</v>
      </c>
      <c r="CS24">
        <f ca="1">IF($AN24="",OFFSET(Demand!$A$13,ROW(AC21)-1,4+((QUOTIENT(COLUMN(CS$2)-69,3))*5)+MOD(COLUMN(CS$2),3),1,1),"")</f>
        <v>0</v>
      </c>
      <c r="CT24">
        <f ca="1">IF($AN24="",OFFSET(Demand!$A$13,ROW(AD21)-1,4+((QUOTIENT(COLUMN(CT$2)-69,3))*5)+MOD(COLUMN(CT$2),3),1,1),"")</f>
        <v>0</v>
      </c>
      <c r="CW24" s="5">
        <f ca="1">SUM(OFFSET(Demand!$H$43,ROW(A21)-1,(COLUMN(A21)-1)*5,1,1))*N$2</f>
        <v>0</v>
      </c>
      <c r="CX24" s="5">
        <f ca="1">SUM(OFFSET(Demand!$H$43,ROW(B21)-1,(COLUMN(B21)-1)*5,1,1))*O$2</f>
        <v>0</v>
      </c>
      <c r="CY24" s="5">
        <f ca="1">SUM(OFFSET(Demand!$H$43,ROW(C21)-1,(COLUMN(C21)-1)*5,1,1))*P$2</f>
        <v>0</v>
      </c>
      <c r="CZ24" s="5">
        <f ca="1">SUM(OFFSET(Demand!$H$43,ROW(D21)-1,(COLUMN(D21)-1)*5,1,1))*Q$2</f>
        <v>0</v>
      </c>
      <c r="DA24" s="5">
        <f ca="1">SUM(OFFSET(Demand!$H$43,ROW(E21)-1,(COLUMN(E21)-1)*5,1,1))*R$2</f>
        <v>0</v>
      </c>
      <c r="DB24" s="5">
        <f ca="1">SUM(OFFSET(Demand!$H$43,ROW(F21)-1,(COLUMN(F21)-1)*5,1,1))*S$2</f>
        <v>0</v>
      </c>
      <c r="DC24" s="5">
        <f ca="1">SUM(OFFSET(Demand!$H$43,ROW(G21)-1,(COLUMN(G21)-1)*5,1,1))*T$2</f>
        <v>0</v>
      </c>
      <c r="DD24" s="5">
        <f ca="1">SUM(OFFSET(Demand!$H$43,ROW(H21)-1,(COLUMN(H21)-1)*5,1,1))*U$2</f>
        <v>0</v>
      </c>
      <c r="DE24" s="5">
        <f ca="1">SUM(OFFSET(Demand!$H$43,ROW(I21)-1,(COLUMN(I21)-1)*5,1,1))*V$2</f>
        <v>0</v>
      </c>
      <c r="DF24" s="5">
        <f ca="1">SUM(OFFSET(Demand!$H$43,ROW(J21)-1,(COLUMN(J21)-1)*5,1,1))*W$2</f>
        <v>0</v>
      </c>
      <c r="DG24" s="5">
        <f t="shared" ca="1" si="9"/>
        <v>0</v>
      </c>
    </row>
    <row r="25" spans="1:114" s="5" customFormat="1" x14ac:dyDescent="0.2">
      <c r="A25" s="5">
        <f t="shared" ca="1" si="3"/>
        <v>0</v>
      </c>
      <c r="B25" s="5">
        <f ca="1">COUNTBLANK(OFFSET(Demand!$I34,0,(COLUMN(A22)-1)*5,1,1))</f>
        <v>0</v>
      </c>
      <c r="C25" s="5">
        <f ca="1">COUNTBLANK(OFFSET(Demand!$I34,0,(COLUMN(B22)-1)*5,1,1))</f>
        <v>0</v>
      </c>
      <c r="D25" s="5">
        <f ca="1">COUNTBLANK(OFFSET(Demand!$I34,0,(COLUMN(C22)-1)*5,1,1))</f>
        <v>1</v>
      </c>
      <c r="E25" s="5">
        <f ca="1">COUNTBLANK(OFFSET(Demand!$I34,0,(COLUMN(D22)-1)*5,1,1))</f>
        <v>1</v>
      </c>
      <c r="F25" s="5">
        <f ca="1">COUNTBLANK(OFFSET(Demand!$I34,0,(COLUMN(E22)-1)*5,1,1))</f>
        <v>1</v>
      </c>
      <c r="G25" s="5">
        <f ca="1">COUNTBLANK(OFFSET(Demand!$I34,0,(COLUMN(F22)-1)*5,1,1))</f>
        <v>1</v>
      </c>
      <c r="H25" s="5">
        <f ca="1">COUNTBLANK(OFFSET(Demand!$I34,0,(COLUMN(G22)-1)*5,1,1))</f>
        <v>1</v>
      </c>
      <c r="I25" s="5">
        <f ca="1">COUNTBLANK(OFFSET(Demand!$I34,0,(COLUMN(H22)-1)*5,1,1))</f>
        <v>1</v>
      </c>
      <c r="J25" s="5">
        <f ca="1">COUNTBLANK(OFFSET(Demand!$I34,0,(COLUMN(I22)-1)*5,1,1))</f>
        <v>1</v>
      </c>
      <c r="K25" s="5">
        <f ca="1">COUNTBLANK(OFFSET(Demand!$I34,0,(COLUMN(J22)-1)*5,1,1))</f>
        <v>1</v>
      </c>
      <c r="N25" s="5">
        <f ca="1">SUM(OFFSET(Demand!$E34,0,(COLUMN(A22)-1)*5,1,3))*N$2</f>
        <v>360</v>
      </c>
      <c r="O25" s="5">
        <f ca="1">SUM(OFFSET(Demand!$E34,0,(COLUMN(B22)-1)*5,1,3))*O$2</f>
        <v>240</v>
      </c>
      <c r="P25" s="5">
        <f ca="1">SUM(OFFSET(Demand!$E34,0,(COLUMN(C22)-1)*5,1,3))*P$2</f>
        <v>0</v>
      </c>
      <c r="Q25" s="5">
        <f ca="1">SUM(OFFSET(Demand!$E34,0,(COLUMN(D22)-1)*5,1,3))*Q$2</f>
        <v>0</v>
      </c>
      <c r="R25" s="5">
        <f ca="1">SUM(OFFSET(Demand!$E34,0,(COLUMN(E22)-1)*5,1,3))*R$2</f>
        <v>0</v>
      </c>
      <c r="S25" s="5">
        <f ca="1">SUM(OFFSET(Demand!$E34,0,(COLUMN(F22)-1)*5,1,3))*S$2</f>
        <v>0</v>
      </c>
      <c r="T25" s="5">
        <f ca="1">SUM(OFFSET(Demand!$E34,0,(COLUMN(G22)-1)*5,1,3))*T$2</f>
        <v>0</v>
      </c>
      <c r="U25" s="5">
        <f ca="1">SUM(OFFSET(Demand!$E34,0,(COLUMN(H22)-1)*5,1,3))*U$2</f>
        <v>0</v>
      </c>
      <c r="V25" s="5">
        <f ca="1">SUM(OFFSET(Demand!$E34,0,(COLUMN(I22)-1)*5,1,3))*V$2</f>
        <v>0</v>
      </c>
      <c r="W25" s="5">
        <f ca="1">SUM(OFFSET(Demand!$E34,0,(COLUMN(J22)-1)*5,1,3))*W$2</f>
        <v>0</v>
      </c>
      <c r="X25" s="5">
        <f t="shared" ca="1" si="4"/>
        <v>600</v>
      </c>
      <c r="Y25" s="5">
        <f t="shared" ca="1" si="5"/>
        <v>600</v>
      </c>
      <c r="Z25" s="5">
        <f ca="1">SUM(OFFSET(Demand!$H34,0,(COLUMN(A22)-1)*5,1,1))*N$2</f>
        <v>0</v>
      </c>
      <c r="AA25" s="5">
        <f ca="1">SUM(OFFSET(Demand!$H34,0,(COLUMN(B22)-1)*5,1,1))*O$2</f>
        <v>0</v>
      </c>
      <c r="AB25" s="5">
        <f ca="1">SUM(OFFSET(Demand!$H34,0,(COLUMN(C22)-1)*5,1,1))*P$2</f>
        <v>0</v>
      </c>
      <c r="AC25" s="5">
        <f ca="1">SUM(OFFSET(Demand!$H34,0,(COLUMN(D22)-1)*5,1,1))*Q$2</f>
        <v>0</v>
      </c>
      <c r="AD25" s="5">
        <f ca="1">SUM(OFFSET(Demand!$H34,0,(COLUMN(E22)-1)*5,1,1))*R$2</f>
        <v>0</v>
      </c>
      <c r="AE25" s="5">
        <f ca="1">SUM(OFFSET(Demand!$H34,0,(COLUMN(F22)-1)*5,1,1))*S$2</f>
        <v>0</v>
      </c>
      <c r="AF25" s="5">
        <f ca="1">SUM(OFFSET(Demand!$H34,0,(COLUMN(G22)-1)*5,1,1))*T$2</f>
        <v>0</v>
      </c>
      <c r="AG25" s="5">
        <f ca="1">SUM(OFFSET(Demand!$H34,0,(COLUMN(H22)-1)*5,1,1))*U$2</f>
        <v>0</v>
      </c>
      <c r="AH25" s="5">
        <f ca="1">SUM(OFFSET(Demand!$H34,0,(COLUMN(I22)-1)*5,1,1))*V$2</f>
        <v>0</v>
      </c>
      <c r="AI25" s="5">
        <f ca="1">SUM(OFFSET(Demand!$H34,0,(COLUMN(J22)-1)*5,1,1))*W$2</f>
        <v>0</v>
      </c>
      <c r="AJ25" s="5">
        <f t="shared" ca="1" si="6"/>
        <v>0</v>
      </c>
      <c r="AL25" s="5">
        <f t="shared" ca="1" si="7"/>
        <v>600</v>
      </c>
      <c r="AM25" s="5">
        <f t="shared" ca="1" si="8"/>
        <v>0</v>
      </c>
      <c r="AN25" s="5" t="str">
        <f>IF(Demand!BE34="Yes","Yes","")</f>
        <v/>
      </c>
      <c r="AP25" s="37" t="str">
        <f ca="1">Demand!B34</f>
        <v xml:space="preserve"> </v>
      </c>
      <c r="AQ25" s="5" t="str">
        <f ca="1">IF(TEXT(Demand!D34,"MMM")&lt;&gt;TEXT(Demand!D33,"MMM"),TEXT(Demand!D34,"MMM"),"")</f>
        <v/>
      </c>
      <c r="AT25" s="5">
        <f t="shared" ca="1" si="10"/>
        <v>70</v>
      </c>
      <c r="AV25" s="5" t="s">
        <v>106</v>
      </c>
      <c r="AW25" s="45" t="str">
        <f ca="1">IFERROR(AVERAGE(OFFSET(AL$4,'SPC background (hide)'!$D$10-1,0,'SPC background (hide)'!$H$11,1)),"")</f>
        <v/>
      </c>
      <c r="AX25" s="5" t="str">
        <f ca="1">IFERROR(AVERAGE(OFFSET(AM$4,'SPC background (hide)'!$D$10-1,0,'SPC background (hide)'!$H$11,1)),"")</f>
        <v/>
      </c>
      <c r="AY25" s="5" t="str">
        <f ca="1">'SPC background (hide)'!$H$11</f>
        <v/>
      </c>
      <c r="BQ25">
        <f ca="1">IF($AN25="",OFFSET(Demand!$A$13,ROW(A22)-1,4+((QUOTIENT(COLUMN(BQ$2)-69,3))*5)+MOD(COLUMN(BQ$2),3),1,1),"")</f>
        <v>0</v>
      </c>
      <c r="BR25">
        <f ca="1">IF($AN25="",OFFSET(Demand!$A$13,ROW(B22)-1,4+((QUOTIENT(COLUMN(BR$2)-69,3))*5)+MOD(COLUMN(BR$2),3),1,1),"")</f>
        <v>2</v>
      </c>
      <c r="BS25">
        <f ca="1">IF($AN25="",OFFSET(Demand!$A$13,ROW(C22)-1,4+((QUOTIENT(COLUMN(BS$2)-69,3))*5)+MOD(COLUMN(BS$2),3),1,1),"")</f>
        <v>10</v>
      </c>
      <c r="BT25">
        <f ca="1">IF($AN25="",OFFSET(Demand!$A$13,ROW(D22)-1,4+((QUOTIENT(COLUMN(BT$2)-69,3))*5)+MOD(COLUMN(BT$2),3),1,1),"")</f>
        <v>0</v>
      </c>
      <c r="BU25">
        <f ca="1">IF($AN25="",OFFSET(Demand!$A$13,ROW(E22)-1,4+((QUOTIENT(COLUMN(BU$2)-69,3))*5)+MOD(COLUMN(BU$2),3),1,1),"")</f>
        <v>1</v>
      </c>
      <c r="BV25">
        <f ca="1">IF($AN25="",OFFSET(Demand!$A$13,ROW(F22)-1,4+((QUOTIENT(COLUMN(BV$2)-69,3))*5)+MOD(COLUMN(BV$2),3),1,1),"")</f>
        <v>5</v>
      </c>
      <c r="BW25">
        <f ca="1">IF($AN25="",OFFSET(Demand!$A$13,ROW(G22)-1,4+((QUOTIENT(COLUMN(BW$2)-69,3))*5)+MOD(COLUMN(BW$2),3),1,1),"")</f>
        <v>0</v>
      </c>
      <c r="BX25">
        <f ca="1">IF($AN25="",OFFSET(Demand!$A$13,ROW(H22)-1,4+((QUOTIENT(COLUMN(BX$2)-69,3))*5)+MOD(COLUMN(BX$2),3),1,1),"")</f>
        <v>0</v>
      </c>
      <c r="BY25">
        <f ca="1">IF($AN25="",OFFSET(Demand!$A$13,ROW(I22)-1,4+((QUOTIENT(COLUMN(BY$2)-69,3))*5)+MOD(COLUMN(BY$2),3),1,1),"")</f>
        <v>0</v>
      </c>
      <c r="BZ25">
        <f ca="1">IF($AN25="",OFFSET(Demand!$A$13,ROW(J22)-1,4+((QUOTIENT(COLUMN(BZ$2)-69,3))*5)+MOD(COLUMN(BZ$2),3),1,1),"")</f>
        <v>0</v>
      </c>
      <c r="CA25">
        <f ca="1">IF($AN25="",OFFSET(Demand!$A$13,ROW(K22)-1,4+((QUOTIENT(COLUMN(CA$2)-69,3))*5)+MOD(COLUMN(CA$2),3),1,1),"")</f>
        <v>0</v>
      </c>
      <c r="CB25">
        <f ca="1">IF($AN25="",OFFSET(Demand!$A$13,ROW(L22)-1,4+((QUOTIENT(COLUMN(CB$2)-69,3))*5)+MOD(COLUMN(CB$2),3),1,1),"")</f>
        <v>0</v>
      </c>
      <c r="CC25">
        <f ca="1">IF($AN25="",OFFSET(Demand!$A$13,ROW(M22)-1,4+((QUOTIENT(COLUMN(CC$2)-69,3))*5)+MOD(COLUMN(CC$2),3),1,1),"")</f>
        <v>0</v>
      </c>
      <c r="CD25">
        <f ca="1">IF($AN25="",OFFSET(Demand!$A$13,ROW(N22)-1,4+((QUOTIENT(COLUMN(CD$2)-69,3))*5)+MOD(COLUMN(CD$2),3),1,1),"")</f>
        <v>0</v>
      </c>
      <c r="CE25">
        <f ca="1">IF($AN25="",OFFSET(Demand!$A$13,ROW(O22)-1,4+((QUOTIENT(COLUMN(CE$2)-69,3))*5)+MOD(COLUMN(CE$2),3),1,1),"")</f>
        <v>0</v>
      </c>
      <c r="CF25">
        <f ca="1">IF($AN25="",OFFSET(Demand!$A$13,ROW(P22)-1,4+((QUOTIENT(COLUMN(CF$2)-69,3))*5)+MOD(COLUMN(CF$2),3),1,1),"")</f>
        <v>0</v>
      </c>
      <c r="CG25">
        <f ca="1">IF($AN25="",OFFSET(Demand!$A$13,ROW(Q22)-1,4+((QUOTIENT(COLUMN(CG$2)-69,3))*5)+MOD(COLUMN(CG$2),3),1,1),"")</f>
        <v>0</v>
      </c>
      <c r="CH25">
        <f ca="1">IF($AN25="",OFFSET(Demand!$A$13,ROW(R22)-1,4+((QUOTIENT(COLUMN(CH$2)-69,3))*5)+MOD(COLUMN(CH$2),3),1,1),"")</f>
        <v>0</v>
      </c>
      <c r="CI25">
        <f ca="1">IF($AN25="",OFFSET(Demand!$A$13,ROW(S22)-1,4+((QUOTIENT(COLUMN(CI$2)-69,3))*5)+MOD(COLUMN(CI$2),3),1,1),"")</f>
        <v>0</v>
      </c>
      <c r="CJ25">
        <f ca="1">IF($AN25="",OFFSET(Demand!$A$13,ROW(T22)-1,4+((QUOTIENT(COLUMN(CJ$2)-69,3))*5)+MOD(COLUMN(CJ$2),3),1,1),"")</f>
        <v>0</v>
      </c>
      <c r="CK25">
        <f ca="1">IF($AN25="",OFFSET(Demand!$A$13,ROW(U22)-1,4+((QUOTIENT(COLUMN(CK$2)-69,3))*5)+MOD(COLUMN(CK$2),3),1,1),"")</f>
        <v>0</v>
      </c>
      <c r="CL25">
        <f ca="1">IF($AN25="",OFFSET(Demand!$A$13,ROW(V22)-1,4+((QUOTIENT(COLUMN(CL$2)-69,3))*5)+MOD(COLUMN(CL$2),3),1,1),"")</f>
        <v>0</v>
      </c>
      <c r="CM25">
        <f ca="1">IF($AN25="",OFFSET(Demand!$A$13,ROW(W22)-1,4+((QUOTIENT(COLUMN(CM$2)-69,3))*5)+MOD(COLUMN(CM$2),3),1,1),"")</f>
        <v>0</v>
      </c>
      <c r="CN25">
        <f ca="1">IF($AN25="",OFFSET(Demand!$A$13,ROW(X22)-1,4+((QUOTIENT(COLUMN(CN$2)-69,3))*5)+MOD(COLUMN(CN$2),3),1,1),"")</f>
        <v>0</v>
      </c>
      <c r="CO25">
        <f ca="1">IF($AN25="",OFFSET(Demand!$A$13,ROW(Y22)-1,4+((QUOTIENT(COLUMN(CO$2)-69,3))*5)+MOD(COLUMN(CO$2),3),1,1),"")</f>
        <v>0</v>
      </c>
      <c r="CP25">
        <f ca="1">IF($AN25="",OFFSET(Demand!$A$13,ROW(Z22)-1,4+((QUOTIENT(COLUMN(CP$2)-69,3))*5)+MOD(COLUMN(CP$2),3),1,1),"")</f>
        <v>0</v>
      </c>
      <c r="CQ25">
        <f ca="1">IF($AN25="",OFFSET(Demand!$A$13,ROW(AA22)-1,4+((QUOTIENT(COLUMN(CQ$2)-69,3))*5)+MOD(COLUMN(CQ$2),3),1,1),"")</f>
        <v>0</v>
      </c>
      <c r="CR25">
        <f ca="1">IF($AN25="",OFFSET(Demand!$A$13,ROW(AB22)-1,4+((QUOTIENT(COLUMN(CR$2)-69,3))*5)+MOD(COLUMN(CR$2),3),1,1),"")</f>
        <v>0</v>
      </c>
      <c r="CS25">
        <f ca="1">IF($AN25="",OFFSET(Demand!$A$13,ROW(AC22)-1,4+((QUOTIENT(COLUMN(CS$2)-69,3))*5)+MOD(COLUMN(CS$2),3),1,1),"")</f>
        <v>0</v>
      </c>
      <c r="CT25">
        <f ca="1">IF($AN25="",OFFSET(Demand!$A$13,ROW(AD22)-1,4+((QUOTIENT(COLUMN(CT$2)-69,3))*5)+MOD(COLUMN(CT$2),3),1,1),"")</f>
        <v>0</v>
      </c>
      <c r="CW25" s="5">
        <f ca="1">SUM(OFFSET(Demand!$H$43,ROW(A22)-1,(COLUMN(A22)-1)*5,1,1))*N$2</f>
        <v>0</v>
      </c>
      <c r="CX25" s="5">
        <f ca="1">SUM(OFFSET(Demand!$H$43,ROW(B22)-1,(COLUMN(B22)-1)*5,1,1))*O$2</f>
        <v>0</v>
      </c>
      <c r="CY25" s="5">
        <f ca="1">SUM(OFFSET(Demand!$H$43,ROW(C22)-1,(COLUMN(C22)-1)*5,1,1))*P$2</f>
        <v>0</v>
      </c>
      <c r="CZ25" s="5">
        <f ca="1">SUM(OFFSET(Demand!$H$43,ROW(D22)-1,(COLUMN(D22)-1)*5,1,1))*Q$2</f>
        <v>0</v>
      </c>
      <c r="DA25" s="5">
        <f ca="1">SUM(OFFSET(Demand!$H$43,ROW(E22)-1,(COLUMN(E22)-1)*5,1,1))*R$2</f>
        <v>0</v>
      </c>
      <c r="DB25" s="5">
        <f ca="1">SUM(OFFSET(Demand!$H$43,ROW(F22)-1,(COLUMN(F22)-1)*5,1,1))*S$2</f>
        <v>0</v>
      </c>
      <c r="DC25" s="5">
        <f ca="1">SUM(OFFSET(Demand!$H$43,ROW(G22)-1,(COLUMN(G22)-1)*5,1,1))*T$2</f>
        <v>0</v>
      </c>
      <c r="DD25" s="5">
        <f ca="1">SUM(OFFSET(Demand!$H$43,ROW(H22)-1,(COLUMN(H22)-1)*5,1,1))*U$2</f>
        <v>0</v>
      </c>
      <c r="DE25" s="5">
        <f ca="1">SUM(OFFSET(Demand!$H$43,ROW(I22)-1,(COLUMN(I22)-1)*5,1,1))*V$2</f>
        <v>0</v>
      </c>
      <c r="DF25" s="5">
        <f ca="1">SUM(OFFSET(Demand!$H$43,ROW(J22)-1,(COLUMN(J22)-1)*5,1,1))*W$2</f>
        <v>0</v>
      </c>
      <c r="DG25" s="5">
        <f t="shared" ca="1" si="9"/>
        <v>0</v>
      </c>
    </row>
    <row r="26" spans="1:114" s="5" customFormat="1" x14ac:dyDescent="0.2">
      <c r="A26" s="5">
        <f t="shared" ca="1" si="3"/>
        <v>0</v>
      </c>
      <c r="B26" s="5">
        <f ca="1">COUNTBLANK(OFFSET(Demand!$I35,0,(COLUMN(A23)-1)*5,1,1))</f>
        <v>0</v>
      </c>
      <c r="C26" s="5">
        <f ca="1">COUNTBLANK(OFFSET(Demand!$I35,0,(COLUMN(B23)-1)*5,1,1))</f>
        <v>0</v>
      </c>
      <c r="D26" s="5">
        <f ca="1">COUNTBLANK(OFFSET(Demand!$I35,0,(COLUMN(C23)-1)*5,1,1))</f>
        <v>1</v>
      </c>
      <c r="E26" s="5">
        <f ca="1">COUNTBLANK(OFFSET(Demand!$I35,0,(COLUMN(D23)-1)*5,1,1))</f>
        <v>1</v>
      </c>
      <c r="F26" s="5">
        <f ca="1">COUNTBLANK(OFFSET(Demand!$I35,0,(COLUMN(E23)-1)*5,1,1))</f>
        <v>1</v>
      </c>
      <c r="G26" s="5">
        <f ca="1">COUNTBLANK(OFFSET(Demand!$I35,0,(COLUMN(F23)-1)*5,1,1))</f>
        <v>1</v>
      </c>
      <c r="H26" s="5">
        <f ca="1">COUNTBLANK(OFFSET(Demand!$I35,0,(COLUMN(G23)-1)*5,1,1))</f>
        <v>1</v>
      </c>
      <c r="I26" s="5">
        <f ca="1">COUNTBLANK(OFFSET(Demand!$I35,0,(COLUMN(H23)-1)*5,1,1))</f>
        <v>1</v>
      </c>
      <c r="J26" s="5">
        <f ca="1">COUNTBLANK(OFFSET(Demand!$I35,0,(COLUMN(I23)-1)*5,1,1))</f>
        <v>1</v>
      </c>
      <c r="K26" s="5">
        <f ca="1">COUNTBLANK(OFFSET(Demand!$I35,0,(COLUMN(J23)-1)*5,1,1))</f>
        <v>1</v>
      </c>
      <c r="N26" s="5">
        <f ca="1">SUM(OFFSET(Demand!$E35,0,(COLUMN(A23)-1)*5,1,3))*N$2</f>
        <v>180</v>
      </c>
      <c r="O26" s="5">
        <f ca="1">SUM(OFFSET(Demand!$E35,0,(COLUMN(B23)-1)*5,1,3))*O$2</f>
        <v>480</v>
      </c>
      <c r="P26" s="5">
        <f ca="1">SUM(OFFSET(Demand!$E35,0,(COLUMN(C23)-1)*5,1,3))*P$2</f>
        <v>0</v>
      </c>
      <c r="Q26" s="5">
        <f ca="1">SUM(OFFSET(Demand!$E35,0,(COLUMN(D23)-1)*5,1,3))*Q$2</f>
        <v>0</v>
      </c>
      <c r="R26" s="5">
        <f ca="1">SUM(OFFSET(Demand!$E35,0,(COLUMN(E23)-1)*5,1,3))*R$2</f>
        <v>0</v>
      </c>
      <c r="S26" s="5">
        <f ca="1">SUM(OFFSET(Demand!$E35,0,(COLUMN(F23)-1)*5,1,3))*S$2</f>
        <v>0</v>
      </c>
      <c r="T26" s="5">
        <f ca="1">SUM(OFFSET(Demand!$E35,0,(COLUMN(G23)-1)*5,1,3))*T$2</f>
        <v>0</v>
      </c>
      <c r="U26" s="5">
        <f ca="1">SUM(OFFSET(Demand!$E35,0,(COLUMN(H23)-1)*5,1,3))*U$2</f>
        <v>0</v>
      </c>
      <c r="V26" s="5">
        <f ca="1">SUM(OFFSET(Demand!$E35,0,(COLUMN(I23)-1)*5,1,3))*V$2</f>
        <v>0</v>
      </c>
      <c r="W26" s="5">
        <f ca="1">SUM(OFFSET(Demand!$E35,0,(COLUMN(J23)-1)*5,1,3))*W$2</f>
        <v>0</v>
      </c>
      <c r="X26" s="5">
        <f t="shared" ca="1" si="4"/>
        <v>660</v>
      </c>
      <c r="Y26" s="5">
        <f t="shared" ca="1" si="5"/>
        <v>660</v>
      </c>
      <c r="Z26" s="5">
        <f ca="1">SUM(OFFSET(Demand!$H35,0,(COLUMN(A23)-1)*5,1,1))*N$2</f>
        <v>0</v>
      </c>
      <c r="AA26" s="5">
        <f ca="1">SUM(OFFSET(Demand!$H35,0,(COLUMN(B23)-1)*5,1,1))*O$2</f>
        <v>0</v>
      </c>
      <c r="AB26" s="5">
        <f ca="1">SUM(OFFSET(Demand!$H35,0,(COLUMN(C23)-1)*5,1,1))*P$2</f>
        <v>0</v>
      </c>
      <c r="AC26" s="5">
        <f ca="1">SUM(OFFSET(Demand!$H35,0,(COLUMN(D23)-1)*5,1,1))*Q$2</f>
        <v>0</v>
      </c>
      <c r="AD26" s="5">
        <f ca="1">SUM(OFFSET(Demand!$H35,0,(COLUMN(E23)-1)*5,1,1))*R$2</f>
        <v>0</v>
      </c>
      <c r="AE26" s="5">
        <f ca="1">SUM(OFFSET(Demand!$H35,0,(COLUMN(F23)-1)*5,1,1))*S$2</f>
        <v>0</v>
      </c>
      <c r="AF26" s="5">
        <f ca="1">SUM(OFFSET(Demand!$H35,0,(COLUMN(G23)-1)*5,1,1))*T$2</f>
        <v>0</v>
      </c>
      <c r="AG26" s="5">
        <f ca="1">SUM(OFFSET(Demand!$H35,0,(COLUMN(H23)-1)*5,1,1))*U$2</f>
        <v>0</v>
      </c>
      <c r="AH26" s="5">
        <f ca="1">SUM(OFFSET(Demand!$H35,0,(COLUMN(I23)-1)*5,1,1))*V$2</f>
        <v>0</v>
      </c>
      <c r="AI26" s="5">
        <f ca="1">SUM(OFFSET(Demand!$H35,0,(COLUMN(J23)-1)*5,1,1))*W$2</f>
        <v>0</v>
      </c>
      <c r="AJ26" s="5">
        <f t="shared" ca="1" si="6"/>
        <v>0</v>
      </c>
      <c r="AL26" s="5">
        <f t="shared" ca="1" si="7"/>
        <v>660</v>
      </c>
      <c r="AM26" s="5">
        <f t="shared" ca="1" si="8"/>
        <v>0</v>
      </c>
      <c r="AN26" s="5" t="str">
        <f>IF(Demand!BE35="Yes","Yes","")</f>
        <v/>
      </c>
      <c r="AP26" s="37" t="str">
        <f ca="1">Demand!B35</f>
        <v xml:space="preserve"> </v>
      </c>
      <c r="AQ26" s="5" t="str">
        <f ca="1">IF(TEXT(Demand!D35,"MMM")&lt;&gt;TEXT(Demand!D34,"MMM"),TEXT(Demand!D35,"MMM"),"")</f>
        <v>Sep</v>
      </c>
      <c r="AT26" s="5">
        <f t="shared" ca="1" si="10"/>
        <v>60</v>
      </c>
      <c r="AV26" s="5" t="s">
        <v>110</v>
      </c>
      <c r="AW26" s="45" t="str">
        <f ca="1">IFERROR(AVERAGE(OFFSET($AT$4,'SPC background (hide)'!$D$10-1,0,'SPC background (hide)'!$H$11,1)),"")</f>
        <v/>
      </c>
      <c r="AX26" s="5" t="str">
        <f ca="1">IFERROR(AVERAGE(OFFSET($AT$4,'SPC background (hide)'!$D$10-1,0,'SPC background (hide)'!$H$11,1)),"")</f>
        <v/>
      </c>
      <c r="BQ26">
        <f ca="1">IF($AN26="",OFFSET(Demand!$A$13,ROW(A23)-1,4+((QUOTIENT(COLUMN(BQ$2)-69,3))*5)+MOD(COLUMN(BQ$2),3),1,1),"")</f>
        <v>0</v>
      </c>
      <c r="BR26">
        <f ca="1">IF($AN26="",OFFSET(Demand!$A$13,ROW(B23)-1,4+((QUOTIENT(COLUMN(BR$2)-69,3))*5)+MOD(COLUMN(BR$2),3),1,1),"")</f>
        <v>1</v>
      </c>
      <c r="BS26">
        <f ca="1">IF($AN26="",OFFSET(Demand!$A$13,ROW(C23)-1,4+((QUOTIENT(COLUMN(BS$2)-69,3))*5)+MOD(COLUMN(BS$2),3),1,1),"")</f>
        <v>5</v>
      </c>
      <c r="BT26">
        <f ca="1">IF($AN26="",OFFSET(Demand!$A$13,ROW(D23)-1,4+((QUOTIENT(COLUMN(BT$2)-69,3))*5)+MOD(COLUMN(BT$2),3),1,1),"")</f>
        <v>0</v>
      </c>
      <c r="BU26">
        <f ca="1">IF($AN26="",OFFSET(Demand!$A$13,ROW(E23)-1,4+((QUOTIENT(COLUMN(BU$2)-69,3))*5)+MOD(COLUMN(BU$2),3),1,1),"")</f>
        <v>0</v>
      </c>
      <c r="BV26">
        <f ca="1">IF($AN26="",OFFSET(Demand!$A$13,ROW(F23)-1,4+((QUOTIENT(COLUMN(BV$2)-69,3))*5)+MOD(COLUMN(BV$2),3),1,1),"")</f>
        <v>12</v>
      </c>
      <c r="BW26">
        <f ca="1">IF($AN26="",OFFSET(Demand!$A$13,ROW(G23)-1,4+((QUOTIENT(COLUMN(BW$2)-69,3))*5)+MOD(COLUMN(BW$2),3),1,1),"")</f>
        <v>0</v>
      </c>
      <c r="BX26">
        <f ca="1">IF($AN26="",OFFSET(Demand!$A$13,ROW(H23)-1,4+((QUOTIENT(COLUMN(BX$2)-69,3))*5)+MOD(COLUMN(BX$2),3),1,1),"")</f>
        <v>0</v>
      </c>
      <c r="BY26">
        <f ca="1">IF($AN26="",OFFSET(Demand!$A$13,ROW(I23)-1,4+((QUOTIENT(COLUMN(BY$2)-69,3))*5)+MOD(COLUMN(BY$2),3),1,1),"")</f>
        <v>0</v>
      </c>
      <c r="BZ26">
        <f ca="1">IF($AN26="",OFFSET(Demand!$A$13,ROW(J23)-1,4+((QUOTIENT(COLUMN(BZ$2)-69,3))*5)+MOD(COLUMN(BZ$2),3),1,1),"")</f>
        <v>0</v>
      </c>
      <c r="CA26">
        <f ca="1">IF($AN26="",OFFSET(Demand!$A$13,ROW(K23)-1,4+((QUOTIENT(COLUMN(CA$2)-69,3))*5)+MOD(COLUMN(CA$2),3),1,1),"")</f>
        <v>0</v>
      </c>
      <c r="CB26">
        <f ca="1">IF($AN26="",OFFSET(Demand!$A$13,ROW(L23)-1,4+((QUOTIENT(COLUMN(CB$2)-69,3))*5)+MOD(COLUMN(CB$2),3),1,1),"")</f>
        <v>0</v>
      </c>
      <c r="CC26">
        <f ca="1">IF($AN26="",OFFSET(Demand!$A$13,ROW(M23)-1,4+((QUOTIENT(COLUMN(CC$2)-69,3))*5)+MOD(COLUMN(CC$2),3),1,1),"")</f>
        <v>0</v>
      </c>
      <c r="CD26">
        <f ca="1">IF($AN26="",OFFSET(Demand!$A$13,ROW(N23)-1,4+((QUOTIENT(COLUMN(CD$2)-69,3))*5)+MOD(COLUMN(CD$2),3),1,1),"")</f>
        <v>0</v>
      </c>
      <c r="CE26">
        <f ca="1">IF($AN26="",OFFSET(Demand!$A$13,ROW(O23)-1,4+((QUOTIENT(COLUMN(CE$2)-69,3))*5)+MOD(COLUMN(CE$2),3),1,1),"")</f>
        <v>0</v>
      </c>
      <c r="CF26">
        <f ca="1">IF($AN26="",OFFSET(Demand!$A$13,ROW(P23)-1,4+((QUOTIENT(COLUMN(CF$2)-69,3))*5)+MOD(COLUMN(CF$2),3),1,1),"")</f>
        <v>0</v>
      </c>
      <c r="CG26">
        <f ca="1">IF($AN26="",OFFSET(Demand!$A$13,ROW(Q23)-1,4+((QUOTIENT(COLUMN(CG$2)-69,3))*5)+MOD(COLUMN(CG$2),3),1,1),"")</f>
        <v>0</v>
      </c>
      <c r="CH26">
        <f ca="1">IF($AN26="",OFFSET(Demand!$A$13,ROW(R23)-1,4+((QUOTIENT(COLUMN(CH$2)-69,3))*5)+MOD(COLUMN(CH$2),3),1,1),"")</f>
        <v>0</v>
      </c>
      <c r="CI26">
        <f ca="1">IF($AN26="",OFFSET(Demand!$A$13,ROW(S23)-1,4+((QUOTIENT(COLUMN(CI$2)-69,3))*5)+MOD(COLUMN(CI$2),3),1,1),"")</f>
        <v>0</v>
      </c>
      <c r="CJ26">
        <f ca="1">IF($AN26="",OFFSET(Demand!$A$13,ROW(T23)-1,4+((QUOTIENT(COLUMN(CJ$2)-69,3))*5)+MOD(COLUMN(CJ$2),3),1,1),"")</f>
        <v>0</v>
      </c>
      <c r="CK26">
        <f ca="1">IF($AN26="",OFFSET(Demand!$A$13,ROW(U23)-1,4+((QUOTIENT(COLUMN(CK$2)-69,3))*5)+MOD(COLUMN(CK$2),3),1,1),"")</f>
        <v>0</v>
      </c>
      <c r="CL26">
        <f ca="1">IF($AN26="",OFFSET(Demand!$A$13,ROW(V23)-1,4+((QUOTIENT(COLUMN(CL$2)-69,3))*5)+MOD(COLUMN(CL$2),3),1,1),"")</f>
        <v>0</v>
      </c>
      <c r="CM26">
        <f ca="1">IF($AN26="",OFFSET(Demand!$A$13,ROW(W23)-1,4+((QUOTIENT(COLUMN(CM$2)-69,3))*5)+MOD(COLUMN(CM$2),3),1,1),"")</f>
        <v>0</v>
      </c>
      <c r="CN26">
        <f ca="1">IF($AN26="",OFFSET(Demand!$A$13,ROW(X23)-1,4+((QUOTIENT(COLUMN(CN$2)-69,3))*5)+MOD(COLUMN(CN$2),3),1,1),"")</f>
        <v>0</v>
      </c>
      <c r="CO26">
        <f ca="1">IF($AN26="",OFFSET(Demand!$A$13,ROW(Y23)-1,4+((QUOTIENT(COLUMN(CO$2)-69,3))*5)+MOD(COLUMN(CO$2),3),1,1),"")</f>
        <v>0</v>
      </c>
      <c r="CP26">
        <f ca="1">IF($AN26="",OFFSET(Demand!$A$13,ROW(Z23)-1,4+((QUOTIENT(COLUMN(CP$2)-69,3))*5)+MOD(COLUMN(CP$2),3),1,1),"")</f>
        <v>0</v>
      </c>
      <c r="CQ26">
        <f ca="1">IF($AN26="",OFFSET(Demand!$A$13,ROW(AA23)-1,4+((QUOTIENT(COLUMN(CQ$2)-69,3))*5)+MOD(COLUMN(CQ$2),3),1,1),"")</f>
        <v>0</v>
      </c>
      <c r="CR26">
        <f ca="1">IF($AN26="",OFFSET(Demand!$A$13,ROW(AB23)-1,4+((QUOTIENT(COLUMN(CR$2)-69,3))*5)+MOD(COLUMN(CR$2),3),1,1),"")</f>
        <v>0</v>
      </c>
      <c r="CS26">
        <f ca="1">IF($AN26="",OFFSET(Demand!$A$13,ROW(AC23)-1,4+((QUOTIENT(COLUMN(CS$2)-69,3))*5)+MOD(COLUMN(CS$2),3),1,1),"")</f>
        <v>0</v>
      </c>
      <c r="CT26">
        <f ca="1">IF($AN26="",OFFSET(Demand!$A$13,ROW(AD23)-1,4+((QUOTIENT(COLUMN(CT$2)-69,3))*5)+MOD(COLUMN(CT$2),3),1,1),"")</f>
        <v>0</v>
      </c>
      <c r="CW26" s="5">
        <f ca="1">SUM(OFFSET(Demand!$H$43,ROW(A23)-1,(COLUMN(A23)-1)*5,1,1))*N$2</f>
        <v>0</v>
      </c>
      <c r="CX26" s="5">
        <f ca="1">SUM(OFFSET(Demand!$H$43,ROW(B23)-1,(COLUMN(B23)-1)*5,1,1))*O$2</f>
        <v>0</v>
      </c>
      <c r="CY26" s="5">
        <f ca="1">SUM(OFFSET(Demand!$H$43,ROW(C23)-1,(COLUMN(C23)-1)*5,1,1))*P$2</f>
        <v>0</v>
      </c>
      <c r="CZ26" s="5">
        <f ca="1">SUM(OFFSET(Demand!$H$43,ROW(D23)-1,(COLUMN(D23)-1)*5,1,1))*Q$2</f>
        <v>0</v>
      </c>
      <c r="DA26" s="5">
        <f ca="1">SUM(OFFSET(Demand!$H$43,ROW(E23)-1,(COLUMN(E23)-1)*5,1,1))*R$2</f>
        <v>0</v>
      </c>
      <c r="DB26" s="5">
        <f ca="1">SUM(OFFSET(Demand!$H$43,ROW(F23)-1,(COLUMN(F23)-1)*5,1,1))*S$2</f>
        <v>0</v>
      </c>
      <c r="DC26" s="5">
        <f ca="1">SUM(OFFSET(Demand!$H$43,ROW(G23)-1,(COLUMN(G23)-1)*5,1,1))*T$2</f>
        <v>0</v>
      </c>
      <c r="DD26" s="5">
        <f ca="1">SUM(OFFSET(Demand!$H$43,ROW(H23)-1,(COLUMN(H23)-1)*5,1,1))*U$2</f>
        <v>0</v>
      </c>
      <c r="DE26" s="5">
        <f ca="1">SUM(OFFSET(Demand!$H$43,ROW(I23)-1,(COLUMN(I23)-1)*5,1,1))*V$2</f>
        <v>0</v>
      </c>
      <c r="DF26" s="5">
        <f ca="1">SUM(OFFSET(Demand!$H$43,ROW(J23)-1,(COLUMN(J23)-1)*5,1,1))*W$2</f>
        <v>0</v>
      </c>
      <c r="DG26" s="5">
        <f t="shared" ca="1" si="9"/>
        <v>0</v>
      </c>
    </row>
    <row r="27" spans="1:114" s="5" customFormat="1" x14ac:dyDescent="0.2">
      <c r="A27" s="5">
        <f t="shared" ca="1" si="3"/>
        <v>0</v>
      </c>
      <c r="B27" s="5">
        <f ca="1">COUNTBLANK(OFFSET(Demand!$I36,0,(COLUMN(A24)-1)*5,1,1))</f>
        <v>0</v>
      </c>
      <c r="C27" s="5">
        <f ca="1">COUNTBLANK(OFFSET(Demand!$I36,0,(COLUMN(B24)-1)*5,1,1))</f>
        <v>0</v>
      </c>
      <c r="D27" s="5">
        <f ca="1">COUNTBLANK(OFFSET(Demand!$I36,0,(COLUMN(C24)-1)*5,1,1))</f>
        <v>1</v>
      </c>
      <c r="E27" s="5">
        <f ca="1">COUNTBLANK(OFFSET(Demand!$I36,0,(COLUMN(D24)-1)*5,1,1))</f>
        <v>1</v>
      </c>
      <c r="F27" s="5">
        <f ca="1">COUNTBLANK(OFFSET(Demand!$I36,0,(COLUMN(E24)-1)*5,1,1))</f>
        <v>1</v>
      </c>
      <c r="G27" s="5">
        <f ca="1">COUNTBLANK(OFFSET(Demand!$I36,0,(COLUMN(F24)-1)*5,1,1))</f>
        <v>1</v>
      </c>
      <c r="H27" s="5">
        <f ca="1">COUNTBLANK(OFFSET(Demand!$I36,0,(COLUMN(G24)-1)*5,1,1))</f>
        <v>1</v>
      </c>
      <c r="I27" s="5">
        <f ca="1">COUNTBLANK(OFFSET(Demand!$I36,0,(COLUMN(H24)-1)*5,1,1))</f>
        <v>1</v>
      </c>
      <c r="J27" s="5">
        <f ca="1">COUNTBLANK(OFFSET(Demand!$I36,0,(COLUMN(I24)-1)*5,1,1))</f>
        <v>1</v>
      </c>
      <c r="K27" s="5">
        <f ca="1">COUNTBLANK(OFFSET(Demand!$I36,0,(COLUMN(J24)-1)*5,1,1))</f>
        <v>1</v>
      </c>
      <c r="N27" s="5">
        <f ca="1">SUM(OFFSET(Demand!$E36,0,(COLUMN(A24)-1)*5,1,3))*N$2</f>
        <v>60</v>
      </c>
      <c r="O27" s="5">
        <f ca="1">SUM(OFFSET(Demand!$E36,0,(COLUMN(B24)-1)*5,1,3))*O$2</f>
        <v>360</v>
      </c>
      <c r="P27" s="5">
        <f ca="1">SUM(OFFSET(Demand!$E36,0,(COLUMN(C24)-1)*5,1,3))*P$2</f>
        <v>0</v>
      </c>
      <c r="Q27" s="5">
        <f ca="1">SUM(OFFSET(Demand!$E36,0,(COLUMN(D24)-1)*5,1,3))*Q$2</f>
        <v>0</v>
      </c>
      <c r="R27" s="5">
        <f ca="1">SUM(OFFSET(Demand!$E36,0,(COLUMN(E24)-1)*5,1,3))*R$2</f>
        <v>0</v>
      </c>
      <c r="S27" s="5">
        <f ca="1">SUM(OFFSET(Demand!$E36,0,(COLUMN(F24)-1)*5,1,3))*S$2</f>
        <v>0</v>
      </c>
      <c r="T27" s="5">
        <f ca="1">SUM(OFFSET(Demand!$E36,0,(COLUMN(G24)-1)*5,1,3))*T$2</f>
        <v>0</v>
      </c>
      <c r="U27" s="5">
        <f ca="1">SUM(OFFSET(Demand!$E36,0,(COLUMN(H24)-1)*5,1,3))*U$2</f>
        <v>0</v>
      </c>
      <c r="V27" s="5">
        <f ca="1">SUM(OFFSET(Demand!$E36,0,(COLUMN(I24)-1)*5,1,3))*V$2</f>
        <v>0</v>
      </c>
      <c r="W27" s="5">
        <f ca="1">SUM(OFFSET(Demand!$E36,0,(COLUMN(J24)-1)*5,1,3))*W$2</f>
        <v>0</v>
      </c>
      <c r="X27" s="5">
        <f t="shared" ca="1" si="4"/>
        <v>420</v>
      </c>
      <c r="Y27" s="5">
        <f t="shared" ca="1" si="5"/>
        <v>420</v>
      </c>
      <c r="Z27" s="5">
        <f ca="1">SUM(OFFSET(Demand!$H36,0,(COLUMN(A24)-1)*5,1,1))*N$2</f>
        <v>0</v>
      </c>
      <c r="AA27" s="5">
        <f ca="1">SUM(OFFSET(Demand!$H36,0,(COLUMN(B24)-1)*5,1,1))*O$2</f>
        <v>0</v>
      </c>
      <c r="AB27" s="5">
        <f ca="1">SUM(OFFSET(Demand!$H36,0,(COLUMN(C24)-1)*5,1,1))*P$2</f>
        <v>0</v>
      </c>
      <c r="AC27" s="5">
        <f ca="1">SUM(OFFSET(Demand!$H36,0,(COLUMN(D24)-1)*5,1,1))*Q$2</f>
        <v>0</v>
      </c>
      <c r="AD27" s="5">
        <f ca="1">SUM(OFFSET(Demand!$H36,0,(COLUMN(E24)-1)*5,1,1))*R$2</f>
        <v>0</v>
      </c>
      <c r="AE27" s="5">
        <f ca="1">SUM(OFFSET(Demand!$H36,0,(COLUMN(F24)-1)*5,1,1))*S$2</f>
        <v>0</v>
      </c>
      <c r="AF27" s="5">
        <f ca="1">SUM(OFFSET(Demand!$H36,0,(COLUMN(G24)-1)*5,1,1))*T$2</f>
        <v>0</v>
      </c>
      <c r="AG27" s="5">
        <f ca="1">SUM(OFFSET(Demand!$H36,0,(COLUMN(H24)-1)*5,1,1))*U$2</f>
        <v>0</v>
      </c>
      <c r="AH27" s="5">
        <f ca="1">SUM(OFFSET(Demand!$H36,0,(COLUMN(I24)-1)*5,1,1))*V$2</f>
        <v>0</v>
      </c>
      <c r="AI27" s="5">
        <f ca="1">SUM(OFFSET(Demand!$H36,0,(COLUMN(J24)-1)*5,1,1))*W$2</f>
        <v>0</v>
      </c>
      <c r="AJ27" s="5">
        <f t="shared" ca="1" si="6"/>
        <v>0</v>
      </c>
      <c r="AL27" s="5">
        <f t="shared" ca="1" si="7"/>
        <v>420</v>
      </c>
      <c r="AM27" s="5">
        <f t="shared" ca="1" si="8"/>
        <v>0</v>
      </c>
      <c r="AN27" s="5" t="str">
        <f>IF(Demand!BE36="Yes","Yes","")</f>
        <v/>
      </c>
      <c r="AP27" s="37" t="str">
        <f ca="1">Demand!B36</f>
        <v xml:space="preserve"> </v>
      </c>
      <c r="AQ27" s="5" t="str">
        <f ca="1">IF(TEXT(Demand!D36,"MMM")&lt;&gt;TEXT(Demand!D35,"MMM"),TEXT(Demand!D36,"MMM"),"")</f>
        <v/>
      </c>
      <c r="AT27" s="5">
        <f t="shared" ca="1" si="10"/>
        <v>240</v>
      </c>
      <c r="AV27" s="5" t="s">
        <v>111</v>
      </c>
      <c r="AW27" s="45" t="str">
        <f ca="1">IFERROR(AW26/1.128,"")</f>
        <v/>
      </c>
      <c r="AX27" s="5" t="str">
        <f ca="1">IFERROR(AX26/1.128,"")</f>
        <v/>
      </c>
      <c r="BQ27">
        <f ca="1">IF($AN27="",OFFSET(Demand!$A$13,ROW(A24)-1,4+((QUOTIENT(COLUMN(BQ$2)-69,3))*5)+MOD(COLUMN(BQ$2),3),1,1),"")</f>
        <v>0</v>
      </c>
      <c r="BR27">
        <f ca="1">IF($AN27="",OFFSET(Demand!$A$13,ROW(B24)-1,4+((QUOTIENT(COLUMN(BR$2)-69,3))*5)+MOD(COLUMN(BR$2),3),1,1),"")</f>
        <v>1</v>
      </c>
      <c r="BS27">
        <f ca="1">IF($AN27="",OFFSET(Demand!$A$13,ROW(C24)-1,4+((QUOTIENT(COLUMN(BS$2)-69,3))*5)+MOD(COLUMN(BS$2),3),1,1),"")</f>
        <v>1</v>
      </c>
      <c r="BT27">
        <f ca="1">IF($AN27="",OFFSET(Demand!$A$13,ROW(D24)-1,4+((QUOTIENT(COLUMN(BT$2)-69,3))*5)+MOD(COLUMN(BT$2),3),1,1),"")</f>
        <v>0</v>
      </c>
      <c r="BU27">
        <f ca="1">IF($AN27="",OFFSET(Demand!$A$13,ROW(E24)-1,4+((QUOTIENT(COLUMN(BU$2)-69,3))*5)+MOD(COLUMN(BU$2),3),1,1),"")</f>
        <v>1</v>
      </c>
      <c r="BV27">
        <f ca="1">IF($AN27="",OFFSET(Demand!$A$13,ROW(F24)-1,4+((QUOTIENT(COLUMN(BV$2)-69,3))*5)+MOD(COLUMN(BV$2),3),1,1),"")</f>
        <v>8</v>
      </c>
      <c r="BW27">
        <f ca="1">IF($AN27="",OFFSET(Demand!$A$13,ROW(G24)-1,4+((QUOTIENT(COLUMN(BW$2)-69,3))*5)+MOD(COLUMN(BW$2),3),1,1),"")</f>
        <v>0</v>
      </c>
      <c r="BX27">
        <f ca="1">IF($AN27="",OFFSET(Demand!$A$13,ROW(H24)-1,4+((QUOTIENT(COLUMN(BX$2)-69,3))*5)+MOD(COLUMN(BX$2),3),1,1),"")</f>
        <v>0</v>
      </c>
      <c r="BY27">
        <f ca="1">IF($AN27="",OFFSET(Demand!$A$13,ROW(I24)-1,4+((QUOTIENT(COLUMN(BY$2)-69,3))*5)+MOD(COLUMN(BY$2),3),1,1),"")</f>
        <v>0</v>
      </c>
      <c r="BZ27">
        <f ca="1">IF($AN27="",OFFSET(Demand!$A$13,ROW(J24)-1,4+((QUOTIENT(COLUMN(BZ$2)-69,3))*5)+MOD(COLUMN(BZ$2),3),1,1),"")</f>
        <v>0</v>
      </c>
      <c r="CA27">
        <f ca="1">IF($AN27="",OFFSET(Demand!$A$13,ROW(K24)-1,4+((QUOTIENT(COLUMN(CA$2)-69,3))*5)+MOD(COLUMN(CA$2),3),1,1),"")</f>
        <v>0</v>
      </c>
      <c r="CB27">
        <f ca="1">IF($AN27="",OFFSET(Demand!$A$13,ROW(L24)-1,4+((QUOTIENT(COLUMN(CB$2)-69,3))*5)+MOD(COLUMN(CB$2),3),1,1),"")</f>
        <v>0</v>
      </c>
      <c r="CC27">
        <f ca="1">IF($AN27="",OFFSET(Demand!$A$13,ROW(M24)-1,4+((QUOTIENT(COLUMN(CC$2)-69,3))*5)+MOD(COLUMN(CC$2),3),1,1),"")</f>
        <v>0</v>
      </c>
      <c r="CD27">
        <f ca="1">IF($AN27="",OFFSET(Demand!$A$13,ROW(N24)-1,4+((QUOTIENT(COLUMN(CD$2)-69,3))*5)+MOD(COLUMN(CD$2),3),1,1),"")</f>
        <v>0</v>
      </c>
      <c r="CE27">
        <f ca="1">IF($AN27="",OFFSET(Demand!$A$13,ROW(O24)-1,4+((QUOTIENT(COLUMN(CE$2)-69,3))*5)+MOD(COLUMN(CE$2),3),1,1),"")</f>
        <v>0</v>
      </c>
      <c r="CF27">
        <f ca="1">IF($AN27="",OFFSET(Demand!$A$13,ROW(P24)-1,4+((QUOTIENT(COLUMN(CF$2)-69,3))*5)+MOD(COLUMN(CF$2),3),1,1),"")</f>
        <v>0</v>
      </c>
      <c r="CG27">
        <f ca="1">IF($AN27="",OFFSET(Demand!$A$13,ROW(Q24)-1,4+((QUOTIENT(COLUMN(CG$2)-69,3))*5)+MOD(COLUMN(CG$2),3),1,1),"")</f>
        <v>0</v>
      </c>
      <c r="CH27">
        <f ca="1">IF($AN27="",OFFSET(Demand!$A$13,ROW(R24)-1,4+((QUOTIENT(COLUMN(CH$2)-69,3))*5)+MOD(COLUMN(CH$2),3),1,1),"")</f>
        <v>0</v>
      </c>
      <c r="CI27">
        <f ca="1">IF($AN27="",OFFSET(Demand!$A$13,ROW(S24)-1,4+((QUOTIENT(COLUMN(CI$2)-69,3))*5)+MOD(COLUMN(CI$2),3),1,1),"")</f>
        <v>0</v>
      </c>
      <c r="CJ27">
        <f ca="1">IF($AN27="",OFFSET(Demand!$A$13,ROW(T24)-1,4+((QUOTIENT(COLUMN(CJ$2)-69,3))*5)+MOD(COLUMN(CJ$2),3),1,1),"")</f>
        <v>0</v>
      </c>
      <c r="CK27">
        <f ca="1">IF($AN27="",OFFSET(Demand!$A$13,ROW(U24)-1,4+((QUOTIENT(COLUMN(CK$2)-69,3))*5)+MOD(COLUMN(CK$2),3),1,1),"")</f>
        <v>0</v>
      </c>
      <c r="CL27">
        <f ca="1">IF($AN27="",OFFSET(Demand!$A$13,ROW(V24)-1,4+((QUOTIENT(COLUMN(CL$2)-69,3))*5)+MOD(COLUMN(CL$2),3),1,1),"")</f>
        <v>0</v>
      </c>
      <c r="CM27">
        <f ca="1">IF($AN27="",OFFSET(Demand!$A$13,ROW(W24)-1,4+((QUOTIENT(COLUMN(CM$2)-69,3))*5)+MOD(COLUMN(CM$2),3),1,1),"")</f>
        <v>0</v>
      </c>
      <c r="CN27">
        <f ca="1">IF($AN27="",OFFSET(Demand!$A$13,ROW(X24)-1,4+((QUOTIENT(COLUMN(CN$2)-69,3))*5)+MOD(COLUMN(CN$2),3),1,1),"")</f>
        <v>0</v>
      </c>
      <c r="CO27">
        <f ca="1">IF($AN27="",OFFSET(Demand!$A$13,ROW(Y24)-1,4+((QUOTIENT(COLUMN(CO$2)-69,3))*5)+MOD(COLUMN(CO$2),3),1,1),"")</f>
        <v>0</v>
      </c>
      <c r="CP27">
        <f ca="1">IF($AN27="",OFFSET(Demand!$A$13,ROW(Z24)-1,4+((QUOTIENT(COLUMN(CP$2)-69,3))*5)+MOD(COLUMN(CP$2),3),1,1),"")</f>
        <v>0</v>
      </c>
      <c r="CQ27">
        <f ca="1">IF($AN27="",OFFSET(Demand!$A$13,ROW(AA24)-1,4+((QUOTIENT(COLUMN(CQ$2)-69,3))*5)+MOD(COLUMN(CQ$2),3),1,1),"")</f>
        <v>0</v>
      </c>
      <c r="CR27">
        <f ca="1">IF($AN27="",OFFSET(Demand!$A$13,ROW(AB24)-1,4+((QUOTIENT(COLUMN(CR$2)-69,3))*5)+MOD(COLUMN(CR$2),3),1,1),"")</f>
        <v>0</v>
      </c>
      <c r="CS27">
        <f ca="1">IF($AN27="",OFFSET(Demand!$A$13,ROW(AC24)-1,4+((QUOTIENT(COLUMN(CS$2)-69,3))*5)+MOD(COLUMN(CS$2),3),1,1),"")</f>
        <v>0</v>
      </c>
      <c r="CT27">
        <f ca="1">IF($AN27="",OFFSET(Demand!$A$13,ROW(AD24)-1,4+((QUOTIENT(COLUMN(CT$2)-69,3))*5)+MOD(COLUMN(CT$2),3),1,1),"")</f>
        <v>0</v>
      </c>
      <c r="CW27" s="5">
        <f ca="1">SUM(OFFSET(Demand!$H$43,ROW(A24)-1,(COLUMN(A24)-1)*5,1,1))*N$2</f>
        <v>0</v>
      </c>
      <c r="CX27" s="5">
        <f ca="1">SUM(OFFSET(Demand!$H$43,ROW(B24)-1,(COLUMN(B24)-1)*5,1,1))*O$2</f>
        <v>0</v>
      </c>
      <c r="CY27" s="5">
        <f ca="1">SUM(OFFSET(Demand!$H$43,ROW(C24)-1,(COLUMN(C24)-1)*5,1,1))*P$2</f>
        <v>0</v>
      </c>
      <c r="CZ27" s="5">
        <f ca="1">SUM(OFFSET(Demand!$H$43,ROW(D24)-1,(COLUMN(D24)-1)*5,1,1))*Q$2</f>
        <v>0</v>
      </c>
      <c r="DA27" s="5">
        <f ca="1">SUM(OFFSET(Demand!$H$43,ROW(E24)-1,(COLUMN(E24)-1)*5,1,1))*R$2</f>
        <v>0</v>
      </c>
      <c r="DB27" s="5">
        <f ca="1">SUM(OFFSET(Demand!$H$43,ROW(F24)-1,(COLUMN(F24)-1)*5,1,1))*S$2</f>
        <v>0</v>
      </c>
      <c r="DC27" s="5">
        <f ca="1">SUM(OFFSET(Demand!$H$43,ROW(G24)-1,(COLUMN(G24)-1)*5,1,1))*T$2</f>
        <v>0</v>
      </c>
      <c r="DD27" s="5">
        <f ca="1">SUM(OFFSET(Demand!$H$43,ROW(H24)-1,(COLUMN(H24)-1)*5,1,1))*U$2</f>
        <v>0</v>
      </c>
      <c r="DE27" s="5">
        <f ca="1">SUM(OFFSET(Demand!$H$43,ROW(I24)-1,(COLUMN(I24)-1)*5,1,1))*V$2</f>
        <v>0</v>
      </c>
      <c r="DF27" s="5">
        <f ca="1">SUM(OFFSET(Demand!$H$43,ROW(J24)-1,(COLUMN(J24)-1)*5,1,1))*W$2</f>
        <v>0</v>
      </c>
      <c r="DG27" s="5">
        <f t="shared" ca="1" si="9"/>
        <v>0</v>
      </c>
    </row>
    <row r="28" spans="1:114" s="5" customFormat="1" x14ac:dyDescent="0.2">
      <c r="A28" s="5">
        <f t="shared" ca="1" si="3"/>
        <v>0</v>
      </c>
      <c r="B28" s="5">
        <f ca="1">COUNTBLANK(OFFSET(Demand!$I37,0,(COLUMN(A25)-1)*5,1,1))</f>
        <v>0</v>
      </c>
      <c r="C28" s="5">
        <f ca="1">COUNTBLANK(OFFSET(Demand!$I37,0,(COLUMN(B25)-1)*5,1,1))</f>
        <v>0</v>
      </c>
      <c r="D28" s="5">
        <f ca="1">COUNTBLANK(OFFSET(Demand!$I37,0,(COLUMN(C25)-1)*5,1,1))</f>
        <v>1</v>
      </c>
      <c r="E28" s="5">
        <f ca="1">COUNTBLANK(OFFSET(Demand!$I37,0,(COLUMN(D25)-1)*5,1,1))</f>
        <v>1</v>
      </c>
      <c r="F28" s="5">
        <f ca="1">COUNTBLANK(OFFSET(Demand!$I37,0,(COLUMN(E25)-1)*5,1,1))</f>
        <v>1</v>
      </c>
      <c r="G28" s="5">
        <f ca="1">COUNTBLANK(OFFSET(Demand!$I37,0,(COLUMN(F25)-1)*5,1,1))</f>
        <v>1</v>
      </c>
      <c r="H28" s="5">
        <f ca="1">COUNTBLANK(OFFSET(Demand!$I37,0,(COLUMN(G25)-1)*5,1,1))</f>
        <v>1</v>
      </c>
      <c r="I28" s="5">
        <f ca="1">COUNTBLANK(OFFSET(Demand!$I37,0,(COLUMN(H25)-1)*5,1,1))</f>
        <v>1</v>
      </c>
      <c r="J28" s="5">
        <f ca="1">COUNTBLANK(OFFSET(Demand!$I37,0,(COLUMN(I25)-1)*5,1,1))</f>
        <v>1</v>
      </c>
      <c r="K28" s="5">
        <f ca="1">COUNTBLANK(OFFSET(Demand!$I37,0,(COLUMN(J25)-1)*5,1,1))</f>
        <v>1</v>
      </c>
      <c r="N28" s="5">
        <f ca="1">SUM(OFFSET(Demand!$E37,0,(COLUMN(A25)-1)*5,1,3))*N$2</f>
        <v>210</v>
      </c>
      <c r="O28" s="5">
        <f ca="1">SUM(OFFSET(Demand!$E37,0,(COLUMN(B25)-1)*5,1,3))*O$2</f>
        <v>520</v>
      </c>
      <c r="P28" s="5">
        <f ca="1">SUM(OFFSET(Demand!$E37,0,(COLUMN(C25)-1)*5,1,3))*P$2</f>
        <v>0</v>
      </c>
      <c r="Q28" s="5">
        <f ca="1">SUM(OFFSET(Demand!$E37,0,(COLUMN(D25)-1)*5,1,3))*Q$2</f>
        <v>0</v>
      </c>
      <c r="R28" s="5">
        <f ca="1">SUM(OFFSET(Demand!$E37,0,(COLUMN(E25)-1)*5,1,3))*R$2</f>
        <v>0</v>
      </c>
      <c r="S28" s="5">
        <f ca="1">SUM(OFFSET(Demand!$E37,0,(COLUMN(F25)-1)*5,1,3))*S$2</f>
        <v>0</v>
      </c>
      <c r="T28" s="5">
        <f ca="1">SUM(OFFSET(Demand!$E37,0,(COLUMN(G25)-1)*5,1,3))*T$2</f>
        <v>0</v>
      </c>
      <c r="U28" s="5">
        <f ca="1">SUM(OFFSET(Demand!$E37,0,(COLUMN(H25)-1)*5,1,3))*U$2</f>
        <v>0</v>
      </c>
      <c r="V28" s="5">
        <f ca="1">SUM(OFFSET(Demand!$E37,0,(COLUMN(I25)-1)*5,1,3))*V$2</f>
        <v>0</v>
      </c>
      <c r="W28" s="5">
        <f ca="1">SUM(OFFSET(Demand!$E37,0,(COLUMN(J25)-1)*5,1,3))*W$2</f>
        <v>0</v>
      </c>
      <c r="X28" s="5">
        <f t="shared" ca="1" si="4"/>
        <v>730</v>
      </c>
      <c r="Y28" s="5">
        <f t="shared" ca="1" si="5"/>
        <v>730</v>
      </c>
      <c r="Z28" s="5">
        <f ca="1">SUM(OFFSET(Demand!$H37,0,(COLUMN(A25)-1)*5,1,1))*N$2</f>
        <v>0</v>
      </c>
      <c r="AA28" s="5">
        <f ca="1">SUM(OFFSET(Demand!$H37,0,(COLUMN(B25)-1)*5,1,1))*O$2</f>
        <v>0</v>
      </c>
      <c r="AB28" s="5">
        <f ca="1">SUM(OFFSET(Demand!$H37,0,(COLUMN(C25)-1)*5,1,1))*P$2</f>
        <v>0</v>
      </c>
      <c r="AC28" s="5">
        <f ca="1">SUM(OFFSET(Demand!$H37,0,(COLUMN(D25)-1)*5,1,1))*Q$2</f>
        <v>0</v>
      </c>
      <c r="AD28" s="5">
        <f ca="1">SUM(OFFSET(Demand!$H37,0,(COLUMN(E25)-1)*5,1,1))*R$2</f>
        <v>0</v>
      </c>
      <c r="AE28" s="5">
        <f ca="1">SUM(OFFSET(Demand!$H37,0,(COLUMN(F25)-1)*5,1,1))*S$2</f>
        <v>0</v>
      </c>
      <c r="AF28" s="5">
        <f ca="1">SUM(OFFSET(Demand!$H37,0,(COLUMN(G25)-1)*5,1,1))*T$2</f>
        <v>0</v>
      </c>
      <c r="AG28" s="5">
        <f ca="1">SUM(OFFSET(Demand!$H37,0,(COLUMN(H25)-1)*5,1,1))*U$2</f>
        <v>0</v>
      </c>
      <c r="AH28" s="5">
        <f ca="1">SUM(OFFSET(Demand!$H37,0,(COLUMN(I25)-1)*5,1,1))*V$2</f>
        <v>0</v>
      </c>
      <c r="AI28" s="5">
        <f ca="1">SUM(OFFSET(Demand!$H37,0,(COLUMN(J25)-1)*5,1,1))*W$2</f>
        <v>0</v>
      </c>
      <c r="AJ28" s="5">
        <f t="shared" ca="1" si="6"/>
        <v>0</v>
      </c>
      <c r="AL28" s="5">
        <f t="shared" ca="1" si="7"/>
        <v>730</v>
      </c>
      <c r="AM28" s="5">
        <f t="shared" ca="1" si="8"/>
        <v>0</v>
      </c>
      <c r="AN28" s="5" t="str">
        <f>IF(Demand!BE37="Yes","Yes","")</f>
        <v/>
      </c>
      <c r="AP28" s="37" t="str">
        <f ca="1">Demand!B37</f>
        <v xml:space="preserve"> </v>
      </c>
      <c r="AQ28" s="5" t="str">
        <f ca="1">IF(TEXT(Demand!D37,"MMM")&lt;&gt;TEXT(Demand!D36,"MMM"),TEXT(Demand!D37,"MMM"),"")</f>
        <v/>
      </c>
      <c r="AT28" s="5">
        <f t="shared" ca="1" si="10"/>
        <v>310</v>
      </c>
      <c r="AV28" s="5" t="s">
        <v>139</v>
      </c>
      <c r="AW28" s="45" t="str">
        <f ca="1">IFERROR(PERCENTILE(OFFSET(AL$4,'SPC background (hide)'!$D$10-1,0,'SPC background (hide)'!$H$11,1),'Control sheet (hide)'!$I$9),"")</f>
        <v/>
      </c>
      <c r="AX28" s="5" t="str">
        <f ca="1">IFERROR(PERCENTILE(OFFSET(AM$4,'SPC background (hide)'!$C$10-1,0,'SPC background (hide)'!$H$11,1),'Control sheet (hide)'!$I$9),"")</f>
        <v/>
      </c>
      <c r="BQ28">
        <f ca="1">IF($AN28="",OFFSET(Demand!$A$13,ROW(A25)-1,4+((QUOTIENT(COLUMN(BQ$2)-69,3))*5)+MOD(COLUMN(BQ$2),3),1,1),"")</f>
        <v>0</v>
      </c>
      <c r="BR28">
        <f ca="1">IF($AN28="",OFFSET(Demand!$A$13,ROW(B25)-1,4+((QUOTIENT(COLUMN(BR$2)-69,3))*5)+MOD(COLUMN(BR$2),3),1,1),"")</f>
        <v>2</v>
      </c>
      <c r="BS28">
        <f ca="1">IF($AN28="",OFFSET(Demand!$A$13,ROW(C25)-1,4+((QUOTIENT(COLUMN(BS$2)-69,3))*5)+MOD(COLUMN(BS$2),3),1,1),"")</f>
        <v>5</v>
      </c>
      <c r="BT28">
        <f ca="1">IF($AN28="",OFFSET(Demand!$A$13,ROW(D25)-1,4+((QUOTIENT(COLUMN(BT$2)-69,3))*5)+MOD(COLUMN(BT$2),3),1,1),"")</f>
        <v>0</v>
      </c>
      <c r="BU28">
        <f ca="1">IF($AN28="",OFFSET(Demand!$A$13,ROW(E25)-1,4+((QUOTIENT(COLUMN(BU$2)-69,3))*5)+MOD(COLUMN(BU$2),3),1,1),"")</f>
        <v>6</v>
      </c>
      <c r="BV28">
        <f ca="1">IF($AN28="",OFFSET(Demand!$A$13,ROW(F25)-1,4+((QUOTIENT(COLUMN(BV$2)-69,3))*5)+MOD(COLUMN(BV$2),3),1,1),"")</f>
        <v>7</v>
      </c>
      <c r="BW28">
        <f ca="1">IF($AN28="",OFFSET(Demand!$A$13,ROW(G25)-1,4+((QUOTIENT(COLUMN(BW$2)-69,3))*5)+MOD(COLUMN(BW$2),3),1,1),"")</f>
        <v>0</v>
      </c>
      <c r="BX28">
        <f ca="1">IF($AN28="",OFFSET(Demand!$A$13,ROW(H25)-1,4+((QUOTIENT(COLUMN(BX$2)-69,3))*5)+MOD(COLUMN(BX$2),3),1,1),"")</f>
        <v>0</v>
      </c>
      <c r="BY28">
        <f ca="1">IF($AN28="",OFFSET(Demand!$A$13,ROW(I25)-1,4+((QUOTIENT(COLUMN(BY$2)-69,3))*5)+MOD(COLUMN(BY$2),3),1,1),"")</f>
        <v>0</v>
      </c>
      <c r="BZ28">
        <f ca="1">IF($AN28="",OFFSET(Demand!$A$13,ROW(J25)-1,4+((QUOTIENT(COLUMN(BZ$2)-69,3))*5)+MOD(COLUMN(BZ$2),3),1,1),"")</f>
        <v>0</v>
      </c>
      <c r="CA28">
        <f ca="1">IF($AN28="",OFFSET(Demand!$A$13,ROW(K25)-1,4+((QUOTIENT(COLUMN(CA$2)-69,3))*5)+MOD(COLUMN(CA$2),3),1,1),"")</f>
        <v>0</v>
      </c>
      <c r="CB28">
        <f ca="1">IF($AN28="",OFFSET(Demand!$A$13,ROW(L25)-1,4+((QUOTIENT(COLUMN(CB$2)-69,3))*5)+MOD(COLUMN(CB$2),3),1,1),"")</f>
        <v>0</v>
      </c>
      <c r="CC28">
        <f ca="1">IF($AN28="",OFFSET(Demand!$A$13,ROW(M25)-1,4+((QUOTIENT(COLUMN(CC$2)-69,3))*5)+MOD(COLUMN(CC$2),3),1,1),"")</f>
        <v>0</v>
      </c>
      <c r="CD28">
        <f ca="1">IF($AN28="",OFFSET(Demand!$A$13,ROW(N25)-1,4+((QUOTIENT(COLUMN(CD$2)-69,3))*5)+MOD(COLUMN(CD$2),3),1,1),"")</f>
        <v>0</v>
      </c>
      <c r="CE28">
        <f ca="1">IF($AN28="",OFFSET(Demand!$A$13,ROW(O25)-1,4+((QUOTIENT(COLUMN(CE$2)-69,3))*5)+MOD(COLUMN(CE$2),3),1,1),"")</f>
        <v>0</v>
      </c>
      <c r="CF28">
        <f ca="1">IF($AN28="",OFFSET(Demand!$A$13,ROW(P25)-1,4+((QUOTIENT(COLUMN(CF$2)-69,3))*5)+MOD(COLUMN(CF$2),3),1,1),"")</f>
        <v>0</v>
      </c>
      <c r="CG28">
        <f ca="1">IF($AN28="",OFFSET(Demand!$A$13,ROW(Q25)-1,4+((QUOTIENT(COLUMN(CG$2)-69,3))*5)+MOD(COLUMN(CG$2),3),1,1),"")</f>
        <v>0</v>
      </c>
      <c r="CH28">
        <f ca="1">IF($AN28="",OFFSET(Demand!$A$13,ROW(R25)-1,4+((QUOTIENT(COLUMN(CH$2)-69,3))*5)+MOD(COLUMN(CH$2),3),1,1),"")</f>
        <v>0</v>
      </c>
      <c r="CI28">
        <f ca="1">IF($AN28="",OFFSET(Demand!$A$13,ROW(S25)-1,4+((QUOTIENT(COLUMN(CI$2)-69,3))*5)+MOD(COLUMN(CI$2),3),1,1),"")</f>
        <v>0</v>
      </c>
      <c r="CJ28">
        <f ca="1">IF($AN28="",OFFSET(Demand!$A$13,ROW(T25)-1,4+((QUOTIENT(COLUMN(CJ$2)-69,3))*5)+MOD(COLUMN(CJ$2),3),1,1),"")</f>
        <v>0</v>
      </c>
      <c r="CK28">
        <f ca="1">IF($AN28="",OFFSET(Demand!$A$13,ROW(U25)-1,4+((QUOTIENT(COLUMN(CK$2)-69,3))*5)+MOD(COLUMN(CK$2),3),1,1),"")</f>
        <v>0</v>
      </c>
      <c r="CL28">
        <f ca="1">IF($AN28="",OFFSET(Demand!$A$13,ROW(V25)-1,4+((QUOTIENT(COLUMN(CL$2)-69,3))*5)+MOD(COLUMN(CL$2),3),1,1),"")</f>
        <v>0</v>
      </c>
      <c r="CM28">
        <f ca="1">IF($AN28="",OFFSET(Demand!$A$13,ROW(W25)-1,4+((QUOTIENT(COLUMN(CM$2)-69,3))*5)+MOD(COLUMN(CM$2),3),1,1),"")</f>
        <v>0</v>
      </c>
      <c r="CN28">
        <f ca="1">IF($AN28="",OFFSET(Demand!$A$13,ROW(X25)-1,4+((QUOTIENT(COLUMN(CN$2)-69,3))*5)+MOD(COLUMN(CN$2),3),1,1),"")</f>
        <v>0</v>
      </c>
      <c r="CO28">
        <f ca="1">IF($AN28="",OFFSET(Demand!$A$13,ROW(Y25)-1,4+((QUOTIENT(COLUMN(CO$2)-69,3))*5)+MOD(COLUMN(CO$2),3),1,1),"")</f>
        <v>0</v>
      </c>
      <c r="CP28">
        <f ca="1">IF($AN28="",OFFSET(Demand!$A$13,ROW(Z25)-1,4+((QUOTIENT(COLUMN(CP$2)-69,3))*5)+MOD(COLUMN(CP$2),3),1,1),"")</f>
        <v>0</v>
      </c>
      <c r="CQ28">
        <f ca="1">IF($AN28="",OFFSET(Demand!$A$13,ROW(AA25)-1,4+((QUOTIENT(COLUMN(CQ$2)-69,3))*5)+MOD(COLUMN(CQ$2),3),1,1),"")</f>
        <v>0</v>
      </c>
      <c r="CR28">
        <f ca="1">IF($AN28="",OFFSET(Demand!$A$13,ROW(AB25)-1,4+((QUOTIENT(COLUMN(CR$2)-69,3))*5)+MOD(COLUMN(CR$2),3),1,1),"")</f>
        <v>0</v>
      </c>
      <c r="CS28">
        <f ca="1">IF($AN28="",OFFSET(Demand!$A$13,ROW(AC25)-1,4+((QUOTIENT(COLUMN(CS$2)-69,3))*5)+MOD(COLUMN(CS$2),3),1,1),"")</f>
        <v>0</v>
      </c>
      <c r="CT28">
        <f ca="1">IF($AN28="",OFFSET(Demand!$A$13,ROW(AD25)-1,4+((QUOTIENT(COLUMN(CT$2)-69,3))*5)+MOD(COLUMN(CT$2),3),1,1),"")</f>
        <v>0</v>
      </c>
      <c r="CW28" s="5">
        <f ca="1">SUM(OFFSET(Demand!$H$43,ROW(A25)-1,(COLUMN(A25)-1)*5,1,1))*N$2</f>
        <v>0</v>
      </c>
      <c r="CX28" s="5">
        <f ca="1">SUM(OFFSET(Demand!$H$43,ROW(B25)-1,(COLUMN(B25)-1)*5,1,1))*O$2</f>
        <v>0</v>
      </c>
      <c r="CY28" s="5">
        <f ca="1">SUM(OFFSET(Demand!$H$43,ROW(C25)-1,(COLUMN(C25)-1)*5,1,1))*P$2</f>
        <v>0</v>
      </c>
      <c r="CZ28" s="5">
        <f ca="1">SUM(OFFSET(Demand!$H$43,ROW(D25)-1,(COLUMN(D25)-1)*5,1,1))*Q$2</f>
        <v>0</v>
      </c>
      <c r="DA28" s="5">
        <f ca="1">SUM(OFFSET(Demand!$H$43,ROW(E25)-1,(COLUMN(E25)-1)*5,1,1))*R$2</f>
        <v>0</v>
      </c>
      <c r="DB28" s="5">
        <f ca="1">SUM(OFFSET(Demand!$H$43,ROW(F25)-1,(COLUMN(F25)-1)*5,1,1))*S$2</f>
        <v>0</v>
      </c>
      <c r="DC28" s="5">
        <f ca="1">SUM(OFFSET(Demand!$H$43,ROW(G25)-1,(COLUMN(G25)-1)*5,1,1))*T$2</f>
        <v>0</v>
      </c>
      <c r="DD28" s="5">
        <f ca="1">SUM(OFFSET(Demand!$H$43,ROW(H25)-1,(COLUMN(H25)-1)*5,1,1))*U$2</f>
        <v>0</v>
      </c>
      <c r="DE28" s="5">
        <f ca="1">SUM(OFFSET(Demand!$H$43,ROW(I25)-1,(COLUMN(I25)-1)*5,1,1))*V$2</f>
        <v>0</v>
      </c>
      <c r="DF28" s="5">
        <f ca="1">SUM(OFFSET(Demand!$H$43,ROW(J25)-1,(COLUMN(J25)-1)*5,1,1))*W$2</f>
        <v>0</v>
      </c>
      <c r="DG28" s="5">
        <f t="shared" ca="1" si="9"/>
        <v>0</v>
      </c>
    </row>
    <row r="29" spans="1:114" s="5" customFormat="1" x14ac:dyDescent="0.2">
      <c r="A29" s="5">
        <f t="shared" ca="1" si="3"/>
        <v>0</v>
      </c>
      <c r="B29" s="5">
        <f ca="1">COUNTBLANK(OFFSET(Demand!$I38,0,(COLUMN(A26)-1)*5,1,1))</f>
        <v>0</v>
      </c>
      <c r="C29" s="5">
        <f ca="1">COUNTBLANK(OFFSET(Demand!$I38,0,(COLUMN(B26)-1)*5,1,1))</f>
        <v>0</v>
      </c>
      <c r="D29" s="5">
        <f ca="1">COUNTBLANK(OFFSET(Demand!$I38,0,(COLUMN(C26)-1)*5,1,1))</f>
        <v>1</v>
      </c>
      <c r="E29" s="5">
        <f ca="1">COUNTBLANK(OFFSET(Demand!$I38,0,(COLUMN(D26)-1)*5,1,1))</f>
        <v>1</v>
      </c>
      <c r="F29" s="5">
        <f ca="1">COUNTBLANK(OFFSET(Demand!$I38,0,(COLUMN(E26)-1)*5,1,1))</f>
        <v>1</v>
      </c>
      <c r="G29" s="5">
        <f ca="1">COUNTBLANK(OFFSET(Demand!$I38,0,(COLUMN(F26)-1)*5,1,1))</f>
        <v>1</v>
      </c>
      <c r="H29" s="5">
        <f ca="1">COUNTBLANK(OFFSET(Demand!$I38,0,(COLUMN(G26)-1)*5,1,1))</f>
        <v>1</v>
      </c>
      <c r="I29" s="5">
        <f ca="1">COUNTBLANK(OFFSET(Demand!$I38,0,(COLUMN(H26)-1)*5,1,1))</f>
        <v>1</v>
      </c>
      <c r="J29" s="5">
        <f ca="1">COUNTBLANK(OFFSET(Demand!$I38,0,(COLUMN(I26)-1)*5,1,1))</f>
        <v>1</v>
      </c>
      <c r="K29" s="5">
        <f ca="1">COUNTBLANK(OFFSET(Demand!$I38,0,(COLUMN(J26)-1)*5,1,1))</f>
        <v>1</v>
      </c>
      <c r="N29" s="5">
        <f ca="1">SUM(OFFSET(Demand!$E38,0,(COLUMN(A26)-1)*5,1,3))*N$2</f>
        <v>150</v>
      </c>
      <c r="O29" s="5">
        <f ca="1">SUM(OFFSET(Demand!$E38,0,(COLUMN(B26)-1)*5,1,3))*O$2</f>
        <v>520</v>
      </c>
      <c r="P29" s="5">
        <f ca="1">SUM(OFFSET(Demand!$E38,0,(COLUMN(C26)-1)*5,1,3))*P$2</f>
        <v>0</v>
      </c>
      <c r="Q29" s="5">
        <f ca="1">SUM(OFFSET(Demand!$E38,0,(COLUMN(D26)-1)*5,1,3))*Q$2</f>
        <v>0</v>
      </c>
      <c r="R29" s="5">
        <f ca="1">SUM(OFFSET(Demand!$E38,0,(COLUMN(E26)-1)*5,1,3))*R$2</f>
        <v>0</v>
      </c>
      <c r="S29" s="5">
        <f ca="1">SUM(OFFSET(Demand!$E38,0,(COLUMN(F26)-1)*5,1,3))*S$2</f>
        <v>0</v>
      </c>
      <c r="T29" s="5">
        <f ca="1">SUM(OFFSET(Demand!$E38,0,(COLUMN(G26)-1)*5,1,3))*T$2</f>
        <v>0</v>
      </c>
      <c r="U29" s="5">
        <f ca="1">SUM(OFFSET(Demand!$E38,0,(COLUMN(H26)-1)*5,1,3))*U$2</f>
        <v>0</v>
      </c>
      <c r="V29" s="5">
        <f ca="1">SUM(OFFSET(Demand!$E38,0,(COLUMN(I26)-1)*5,1,3))*V$2</f>
        <v>0</v>
      </c>
      <c r="W29" s="5">
        <f ca="1">SUM(OFFSET(Demand!$E38,0,(COLUMN(J26)-1)*5,1,3))*W$2</f>
        <v>0</v>
      </c>
      <c r="X29" s="5">
        <f t="shared" ca="1" si="4"/>
        <v>670</v>
      </c>
      <c r="Y29" s="5">
        <f t="shared" ca="1" si="5"/>
        <v>670</v>
      </c>
      <c r="Z29" s="5">
        <f ca="1">SUM(OFFSET(Demand!$H38,0,(COLUMN(A26)-1)*5,1,1))*N$2</f>
        <v>0</v>
      </c>
      <c r="AA29" s="5">
        <f ca="1">SUM(OFFSET(Demand!$H38,0,(COLUMN(B26)-1)*5,1,1))*O$2</f>
        <v>0</v>
      </c>
      <c r="AB29" s="5">
        <f ca="1">SUM(OFFSET(Demand!$H38,0,(COLUMN(C26)-1)*5,1,1))*P$2</f>
        <v>0</v>
      </c>
      <c r="AC29" s="5">
        <f ca="1">SUM(OFFSET(Demand!$H38,0,(COLUMN(D26)-1)*5,1,1))*Q$2</f>
        <v>0</v>
      </c>
      <c r="AD29" s="5">
        <f ca="1">SUM(OFFSET(Demand!$H38,0,(COLUMN(E26)-1)*5,1,1))*R$2</f>
        <v>0</v>
      </c>
      <c r="AE29" s="5">
        <f ca="1">SUM(OFFSET(Demand!$H38,0,(COLUMN(F26)-1)*5,1,1))*S$2</f>
        <v>0</v>
      </c>
      <c r="AF29" s="5">
        <f ca="1">SUM(OFFSET(Demand!$H38,0,(COLUMN(G26)-1)*5,1,1))*T$2</f>
        <v>0</v>
      </c>
      <c r="AG29" s="5">
        <f ca="1">SUM(OFFSET(Demand!$H38,0,(COLUMN(H26)-1)*5,1,1))*U$2</f>
        <v>0</v>
      </c>
      <c r="AH29" s="5">
        <f ca="1">SUM(OFFSET(Demand!$H38,0,(COLUMN(I26)-1)*5,1,1))*V$2</f>
        <v>0</v>
      </c>
      <c r="AI29" s="5">
        <f ca="1">SUM(OFFSET(Demand!$H38,0,(COLUMN(J26)-1)*5,1,1))*W$2</f>
        <v>0</v>
      </c>
      <c r="AJ29" s="5">
        <f t="shared" ca="1" si="6"/>
        <v>0</v>
      </c>
      <c r="AL29" s="5">
        <f t="shared" ca="1" si="7"/>
        <v>670</v>
      </c>
      <c r="AM29" s="5">
        <f t="shared" ca="1" si="8"/>
        <v>0</v>
      </c>
      <c r="AN29" s="5" t="str">
        <f>IF(Demand!BE38="Yes","Yes","")</f>
        <v/>
      </c>
      <c r="AP29" s="37" t="str">
        <f ca="1">Demand!B38</f>
        <v xml:space="preserve"> </v>
      </c>
      <c r="AQ29" s="5" t="str">
        <f ca="1">IF(TEXT(Demand!D38,"MMM")&lt;&gt;TEXT(Demand!D37,"MMM"),TEXT(Demand!D38,"MMM"),"")</f>
        <v/>
      </c>
      <c r="AT29" s="5">
        <f t="shared" ca="1" si="10"/>
        <v>60</v>
      </c>
      <c r="AV29" s="5" t="s">
        <v>140</v>
      </c>
      <c r="AW29" s="45" t="str">
        <f ca="1">IFERROR(PERCENTILE(OFFSET(AL$4,'SPC background (hide)'!$D$10-1,0,'SPC background (hide)'!$H$11,1),'Control sheet (hide)'!$I$10),"")</f>
        <v/>
      </c>
      <c r="AX29" s="5" t="str">
        <f ca="1">IFERROR(PERCENTILE(OFFSET(AM$4,'SPC background (hide)'!$C$10-1,0,'SPC background (hide)'!$H$11,1),'Control sheet (hide)'!$I$10),"")</f>
        <v/>
      </c>
      <c r="BQ29">
        <f ca="1">IF($AN29="",OFFSET(Demand!$A$13,ROW(A26)-1,4+((QUOTIENT(COLUMN(BQ$2)-69,3))*5)+MOD(COLUMN(BQ$2),3),1,1),"")</f>
        <v>0</v>
      </c>
      <c r="BR29">
        <f ca="1">IF($AN29="",OFFSET(Demand!$A$13,ROW(B26)-1,4+((QUOTIENT(COLUMN(BR$2)-69,3))*5)+MOD(COLUMN(BR$2),3),1,1),"")</f>
        <v>1</v>
      </c>
      <c r="BS29">
        <f ca="1">IF($AN29="",OFFSET(Demand!$A$13,ROW(C26)-1,4+((QUOTIENT(COLUMN(BS$2)-69,3))*5)+MOD(COLUMN(BS$2),3),1,1),"")</f>
        <v>4</v>
      </c>
      <c r="BT29">
        <f ca="1">IF($AN29="",OFFSET(Demand!$A$13,ROW(D26)-1,4+((QUOTIENT(COLUMN(BT$2)-69,3))*5)+MOD(COLUMN(BT$2),3),1,1),"")</f>
        <v>0</v>
      </c>
      <c r="BU29">
        <f ca="1">IF($AN29="",OFFSET(Demand!$A$13,ROW(E26)-1,4+((QUOTIENT(COLUMN(BU$2)-69,3))*5)+MOD(COLUMN(BU$2),3),1,1),"")</f>
        <v>2</v>
      </c>
      <c r="BV29">
        <f ca="1">IF($AN29="",OFFSET(Demand!$A$13,ROW(F26)-1,4+((QUOTIENT(COLUMN(BV$2)-69,3))*5)+MOD(COLUMN(BV$2),3),1,1),"")</f>
        <v>11</v>
      </c>
      <c r="BW29">
        <f ca="1">IF($AN29="",OFFSET(Demand!$A$13,ROW(G26)-1,4+((QUOTIENT(COLUMN(BW$2)-69,3))*5)+MOD(COLUMN(BW$2),3),1,1),"")</f>
        <v>0</v>
      </c>
      <c r="BX29">
        <f ca="1">IF($AN29="",OFFSET(Demand!$A$13,ROW(H26)-1,4+((QUOTIENT(COLUMN(BX$2)-69,3))*5)+MOD(COLUMN(BX$2),3),1,1),"")</f>
        <v>0</v>
      </c>
      <c r="BY29">
        <f ca="1">IF($AN29="",OFFSET(Demand!$A$13,ROW(I26)-1,4+((QUOTIENT(COLUMN(BY$2)-69,3))*5)+MOD(COLUMN(BY$2),3),1,1),"")</f>
        <v>0</v>
      </c>
      <c r="BZ29">
        <f ca="1">IF($AN29="",OFFSET(Demand!$A$13,ROW(J26)-1,4+((QUOTIENT(COLUMN(BZ$2)-69,3))*5)+MOD(COLUMN(BZ$2),3),1,1),"")</f>
        <v>0</v>
      </c>
      <c r="CA29">
        <f ca="1">IF($AN29="",OFFSET(Demand!$A$13,ROW(K26)-1,4+((QUOTIENT(COLUMN(CA$2)-69,3))*5)+MOD(COLUMN(CA$2),3),1,1),"")</f>
        <v>0</v>
      </c>
      <c r="CB29">
        <f ca="1">IF($AN29="",OFFSET(Demand!$A$13,ROW(L26)-1,4+((QUOTIENT(COLUMN(CB$2)-69,3))*5)+MOD(COLUMN(CB$2),3),1,1),"")</f>
        <v>0</v>
      </c>
      <c r="CC29">
        <f ca="1">IF($AN29="",OFFSET(Demand!$A$13,ROW(M26)-1,4+((QUOTIENT(COLUMN(CC$2)-69,3))*5)+MOD(COLUMN(CC$2),3),1,1),"")</f>
        <v>0</v>
      </c>
      <c r="CD29">
        <f ca="1">IF($AN29="",OFFSET(Demand!$A$13,ROW(N26)-1,4+((QUOTIENT(COLUMN(CD$2)-69,3))*5)+MOD(COLUMN(CD$2),3),1,1),"")</f>
        <v>0</v>
      </c>
      <c r="CE29">
        <f ca="1">IF($AN29="",OFFSET(Demand!$A$13,ROW(O26)-1,4+((QUOTIENT(COLUMN(CE$2)-69,3))*5)+MOD(COLUMN(CE$2),3),1,1),"")</f>
        <v>0</v>
      </c>
      <c r="CF29">
        <f ca="1">IF($AN29="",OFFSET(Demand!$A$13,ROW(P26)-1,4+((QUOTIENT(COLUMN(CF$2)-69,3))*5)+MOD(COLUMN(CF$2),3),1,1),"")</f>
        <v>0</v>
      </c>
      <c r="CG29">
        <f ca="1">IF($AN29="",OFFSET(Demand!$A$13,ROW(Q26)-1,4+((QUOTIENT(COLUMN(CG$2)-69,3))*5)+MOD(COLUMN(CG$2),3),1,1),"")</f>
        <v>0</v>
      </c>
      <c r="CH29">
        <f ca="1">IF($AN29="",OFFSET(Demand!$A$13,ROW(R26)-1,4+((QUOTIENT(COLUMN(CH$2)-69,3))*5)+MOD(COLUMN(CH$2),3),1,1),"")</f>
        <v>0</v>
      </c>
      <c r="CI29">
        <f ca="1">IF($AN29="",OFFSET(Demand!$A$13,ROW(S26)-1,4+((QUOTIENT(COLUMN(CI$2)-69,3))*5)+MOD(COLUMN(CI$2),3),1,1),"")</f>
        <v>0</v>
      </c>
      <c r="CJ29">
        <f ca="1">IF($AN29="",OFFSET(Demand!$A$13,ROW(T26)-1,4+((QUOTIENT(COLUMN(CJ$2)-69,3))*5)+MOD(COLUMN(CJ$2),3),1,1),"")</f>
        <v>0</v>
      </c>
      <c r="CK29">
        <f ca="1">IF($AN29="",OFFSET(Demand!$A$13,ROW(U26)-1,4+((QUOTIENT(COLUMN(CK$2)-69,3))*5)+MOD(COLUMN(CK$2),3),1,1),"")</f>
        <v>0</v>
      </c>
      <c r="CL29">
        <f ca="1">IF($AN29="",OFFSET(Demand!$A$13,ROW(V26)-1,4+((QUOTIENT(COLUMN(CL$2)-69,3))*5)+MOD(COLUMN(CL$2),3),1,1),"")</f>
        <v>0</v>
      </c>
      <c r="CM29">
        <f ca="1">IF($AN29="",OFFSET(Demand!$A$13,ROW(W26)-1,4+((QUOTIENT(COLUMN(CM$2)-69,3))*5)+MOD(COLUMN(CM$2),3),1,1),"")</f>
        <v>0</v>
      </c>
      <c r="CN29">
        <f ca="1">IF($AN29="",OFFSET(Demand!$A$13,ROW(X26)-1,4+((QUOTIENT(COLUMN(CN$2)-69,3))*5)+MOD(COLUMN(CN$2),3),1,1),"")</f>
        <v>0</v>
      </c>
      <c r="CO29">
        <f ca="1">IF($AN29="",OFFSET(Demand!$A$13,ROW(Y26)-1,4+((QUOTIENT(COLUMN(CO$2)-69,3))*5)+MOD(COLUMN(CO$2),3),1,1),"")</f>
        <v>0</v>
      </c>
      <c r="CP29">
        <f ca="1">IF($AN29="",OFFSET(Demand!$A$13,ROW(Z26)-1,4+((QUOTIENT(COLUMN(CP$2)-69,3))*5)+MOD(COLUMN(CP$2),3),1,1),"")</f>
        <v>0</v>
      </c>
      <c r="CQ29">
        <f ca="1">IF($AN29="",OFFSET(Demand!$A$13,ROW(AA26)-1,4+((QUOTIENT(COLUMN(CQ$2)-69,3))*5)+MOD(COLUMN(CQ$2),3),1,1),"")</f>
        <v>0</v>
      </c>
      <c r="CR29">
        <f ca="1">IF($AN29="",OFFSET(Demand!$A$13,ROW(AB26)-1,4+((QUOTIENT(COLUMN(CR$2)-69,3))*5)+MOD(COLUMN(CR$2),3),1,1),"")</f>
        <v>0</v>
      </c>
      <c r="CS29">
        <f ca="1">IF($AN29="",OFFSET(Demand!$A$13,ROW(AC26)-1,4+((QUOTIENT(COLUMN(CS$2)-69,3))*5)+MOD(COLUMN(CS$2),3),1,1),"")</f>
        <v>0</v>
      </c>
      <c r="CT29">
        <f ca="1">IF($AN29="",OFFSET(Demand!$A$13,ROW(AD26)-1,4+((QUOTIENT(COLUMN(CT$2)-69,3))*5)+MOD(COLUMN(CT$2),3),1,1),"")</f>
        <v>0</v>
      </c>
      <c r="CW29" s="5">
        <f ca="1">SUM(OFFSET(Demand!$H$43,ROW(A26)-1,(COLUMN(A26)-1)*5,1,1))*N$2</f>
        <v>0</v>
      </c>
      <c r="CX29" s="5">
        <f ca="1">SUM(OFFSET(Demand!$H$43,ROW(B26)-1,(COLUMN(B26)-1)*5,1,1))*O$2</f>
        <v>0</v>
      </c>
      <c r="CY29" s="5">
        <f ca="1">SUM(OFFSET(Demand!$H$43,ROW(C26)-1,(COLUMN(C26)-1)*5,1,1))*P$2</f>
        <v>0</v>
      </c>
      <c r="CZ29" s="5">
        <f ca="1">SUM(OFFSET(Demand!$H$43,ROW(D26)-1,(COLUMN(D26)-1)*5,1,1))*Q$2</f>
        <v>0</v>
      </c>
      <c r="DA29" s="5">
        <f ca="1">SUM(OFFSET(Demand!$H$43,ROW(E26)-1,(COLUMN(E26)-1)*5,1,1))*R$2</f>
        <v>0</v>
      </c>
      <c r="DB29" s="5">
        <f ca="1">SUM(OFFSET(Demand!$H$43,ROW(F26)-1,(COLUMN(F26)-1)*5,1,1))*S$2</f>
        <v>0</v>
      </c>
      <c r="DC29" s="5">
        <f ca="1">SUM(OFFSET(Demand!$H$43,ROW(G26)-1,(COLUMN(G26)-1)*5,1,1))*T$2</f>
        <v>0</v>
      </c>
      <c r="DD29" s="5">
        <f ca="1">SUM(OFFSET(Demand!$H$43,ROW(H26)-1,(COLUMN(H26)-1)*5,1,1))*U$2</f>
        <v>0</v>
      </c>
      <c r="DE29" s="5">
        <f ca="1">SUM(OFFSET(Demand!$H$43,ROW(I26)-1,(COLUMN(I26)-1)*5,1,1))*V$2</f>
        <v>0</v>
      </c>
      <c r="DF29" s="5">
        <f ca="1">SUM(OFFSET(Demand!$H$43,ROW(J26)-1,(COLUMN(J26)-1)*5,1,1))*W$2</f>
        <v>0</v>
      </c>
      <c r="DG29" s="5">
        <f t="shared" ca="1" si="9"/>
        <v>0</v>
      </c>
    </row>
    <row r="30" spans="1:114" s="5" customFormat="1" x14ac:dyDescent="0.2">
      <c r="A30" s="5">
        <f t="shared" ca="1" si="3"/>
        <v>0</v>
      </c>
      <c r="B30" s="5">
        <f ca="1">COUNTBLANK(OFFSET(Demand!$I39,0,(COLUMN(A27)-1)*5,1,1))</f>
        <v>0</v>
      </c>
      <c r="C30" s="5">
        <f ca="1">COUNTBLANK(OFFSET(Demand!$I39,0,(COLUMN(B27)-1)*5,1,1))</f>
        <v>0</v>
      </c>
      <c r="D30" s="5">
        <f ca="1">COUNTBLANK(OFFSET(Demand!$I39,0,(COLUMN(C27)-1)*5,1,1))</f>
        <v>1</v>
      </c>
      <c r="E30" s="5">
        <f ca="1">COUNTBLANK(OFFSET(Demand!$I39,0,(COLUMN(D27)-1)*5,1,1))</f>
        <v>1</v>
      </c>
      <c r="F30" s="5">
        <f ca="1">COUNTBLANK(OFFSET(Demand!$I39,0,(COLUMN(E27)-1)*5,1,1))</f>
        <v>1</v>
      </c>
      <c r="G30" s="5">
        <f ca="1">COUNTBLANK(OFFSET(Demand!$I39,0,(COLUMN(F27)-1)*5,1,1))</f>
        <v>1</v>
      </c>
      <c r="H30" s="5">
        <f ca="1">COUNTBLANK(OFFSET(Demand!$I39,0,(COLUMN(G27)-1)*5,1,1))</f>
        <v>1</v>
      </c>
      <c r="I30" s="5">
        <f ca="1">COUNTBLANK(OFFSET(Demand!$I39,0,(COLUMN(H27)-1)*5,1,1))</f>
        <v>1</v>
      </c>
      <c r="J30" s="5">
        <f ca="1">COUNTBLANK(OFFSET(Demand!$I39,0,(COLUMN(I27)-1)*5,1,1))</f>
        <v>1</v>
      </c>
      <c r="K30" s="5">
        <f ca="1">COUNTBLANK(OFFSET(Demand!$I39,0,(COLUMN(J27)-1)*5,1,1))</f>
        <v>1</v>
      </c>
      <c r="N30" s="5">
        <f ca="1">SUM(OFFSET(Demand!$E39,0,(COLUMN(A27)-1)*5,1,3))*N$2</f>
        <v>60</v>
      </c>
      <c r="O30" s="5">
        <f ca="1">SUM(OFFSET(Demand!$E39,0,(COLUMN(B27)-1)*5,1,3))*O$2</f>
        <v>520</v>
      </c>
      <c r="P30" s="5">
        <f ca="1">SUM(OFFSET(Demand!$E39,0,(COLUMN(C27)-1)*5,1,3))*P$2</f>
        <v>0</v>
      </c>
      <c r="Q30" s="5">
        <f ca="1">SUM(OFFSET(Demand!$E39,0,(COLUMN(D27)-1)*5,1,3))*Q$2</f>
        <v>0</v>
      </c>
      <c r="R30" s="5">
        <f ca="1">SUM(OFFSET(Demand!$E39,0,(COLUMN(E27)-1)*5,1,3))*R$2</f>
        <v>0</v>
      </c>
      <c r="S30" s="5">
        <f ca="1">SUM(OFFSET(Demand!$E39,0,(COLUMN(F27)-1)*5,1,3))*S$2</f>
        <v>0</v>
      </c>
      <c r="T30" s="5">
        <f ca="1">SUM(OFFSET(Demand!$E39,0,(COLUMN(G27)-1)*5,1,3))*T$2</f>
        <v>0</v>
      </c>
      <c r="U30" s="5">
        <f ca="1">SUM(OFFSET(Demand!$E39,0,(COLUMN(H27)-1)*5,1,3))*U$2</f>
        <v>0</v>
      </c>
      <c r="V30" s="5">
        <f ca="1">SUM(OFFSET(Demand!$E39,0,(COLUMN(I27)-1)*5,1,3))*V$2</f>
        <v>0</v>
      </c>
      <c r="W30" s="5">
        <f ca="1">SUM(OFFSET(Demand!$E39,0,(COLUMN(J27)-1)*5,1,3))*W$2</f>
        <v>0</v>
      </c>
      <c r="X30" s="5">
        <f t="shared" ca="1" si="4"/>
        <v>580</v>
      </c>
      <c r="Y30" s="5">
        <f t="shared" ca="1" si="5"/>
        <v>580</v>
      </c>
      <c r="Z30" s="5">
        <f ca="1">SUM(OFFSET(Demand!$H39,0,(COLUMN(A27)-1)*5,1,1))*N$2</f>
        <v>0</v>
      </c>
      <c r="AA30" s="5">
        <f ca="1">SUM(OFFSET(Demand!$H39,0,(COLUMN(B27)-1)*5,1,1))*O$2</f>
        <v>0</v>
      </c>
      <c r="AB30" s="5">
        <f ca="1">SUM(OFFSET(Demand!$H39,0,(COLUMN(C27)-1)*5,1,1))*P$2</f>
        <v>0</v>
      </c>
      <c r="AC30" s="5">
        <f ca="1">SUM(OFFSET(Demand!$H39,0,(COLUMN(D27)-1)*5,1,1))*Q$2</f>
        <v>0</v>
      </c>
      <c r="AD30" s="5">
        <f ca="1">SUM(OFFSET(Demand!$H39,0,(COLUMN(E27)-1)*5,1,1))*R$2</f>
        <v>0</v>
      </c>
      <c r="AE30" s="5">
        <f ca="1">SUM(OFFSET(Demand!$H39,0,(COLUMN(F27)-1)*5,1,1))*S$2</f>
        <v>0</v>
      </c>
      <c r="AF30" s="5">
        <f ca="1">SUM(OFFSET(Demand!$H39,0,(COLUMN(G27)-1)*5,1,1))*T$2</f>
        <v>0</v>
      </c>
      <c r="AG30" s="5">
        <f ca="1">SUM(OFFSET(Demand!$H39,0,(COLUMN(H27)-1)*5,1,1))*U$2</f>
        <v>0</v>
      </c>
      <c r="AH30" s="5">
        <f ca="1">SUM(OFFSET(Demand!$H39,0,(COLUMN(I27)-1)*5,1,1))*V$2</f>
        <v>0</v>
      </c>
      <c r="AI30" s="5">
        <f ca="1">SUM(OFFSET(Demand!$H39,0,(COLUMN(J27)-1)*5,1,1))*W$2</f>
        <v>0</v>
      </c>
      <c r="AJ30" s="5">
        <f t="shared" ca="1" si="6"/>
        <v>0</v>
      </c>
      <c r="AL30" s="5">
        <f t="shared" ca="1" si="7"/>
        <v>580</v>
      </c>
      <c r="AM30" s="5">
        <f t="shared" ca="1" si="8"/>
        <v>0</v>
      </c>
      <c r="AN30" s="5" t="str">
        <f>IF(Demand!BE39="Yes","Yes","")</f>
        <v/>
      </c>
      <c r="AP30" s="37" t="str">
        <f ca="1">Demand!B39</f>
        <v xml:space="preserve"> </v>
      </c>
      <c r="AQ30" s="5" t="str">
        <f ca="1">IF(TEXT(Demand!D39,"MMM")&lt;&gt;TEXT(Demand!D38,"MMM"),TEXT(Demand!D39,"MMM"),"")</f>
        <v/>
      </c>
      <c r="AT30" s="5">
        <f t="shared" ca="1" si="10"/>
        <v>90</v>
      </c>
      <c r="BQ30">
        <f ca="1">IF($AN30="",OFFSET(Demand!$A$13,ROW(A27)-1,4+((QUOTIENT(COLUMN(BQ$2)-69,3))*5)+MOD(COLUMN(BQ$2),3),1,1),"")</f>
        <v>0</v>
      </c>
      <c r="BR30">
        <f ca="1">IF($AN30="",OFFSET(Demand!$A$13,ROW(B27)-1,4+((QUOTIENT(COLUMN(BR$2)-69,3))*5)+MOD(COLUMN(BR$2),3),1,1),"")</f>
        <v>0</v>
      </c>
      <c r="BS30">
        <f ca="1">IF($AN30="",OFFSET(Demand!$A$13,ROW(C27)-1,4+((QUOTIENT(COLUMN(BS$2)-69,3))*5)+MOD(COLUMN(BS$2),3),1,1),"")</f>
        <v>2</v>
      </c>
      <c r="BT30">
        <f ca="1">IF($AN30="",OFFSET(Demand!$A$13,ROW(D27)-1,4+((QUOTIENT(COLUMN(BT$2)-69,3))*5)+MOD(COLUMN(BT$2),3),1,1),"")</f>
        <v>0</v>
      </c>
      <c r="BU30">
        <f ca="1">IF($AN30="",OFFSET(Demand!$A$13,ROW(E27)-1,4+((QUOTIENT(COLUMN(BU$2)-69,3))*5)+MOD(COLUMN(BU$2),3),1,1),"")</f>
        <v>4</v>
      </c>
      <c r="BV30">
        <f ca="1">IF($AN30="",OFFSET(Demand!$A$13,ROW(F27)-1,4+((QUOTIENT(COLUMN(BV$2)-69,3))*5)+MOD(COLUMN(BV$2),3),1,1),"")</f>
        <v>9</v>
      </c>
      <c r="BW30">
        <f ca="1">IF($AN30="",OFFSET(Demand!$A$13,ROW(G27)-1,4+((QUOTIENT(COLUMN(BW$2)-69,3))*5)+MOD(COLUMN(BW$2),3),1,1),"")</f>
        <v>0</v>
      </c>
      <c r="BX30">
        <f ca="1">IF($AN30="",OFFSET(Demand!$A$13,ROW(H27)-1,4+((QUOTIENT(COLUMN(BX$2)-69,3))*5)+MOD(COLUMN(BX$2),3),1,1),"")</f>
        <v>0</v>
      </c>
      <c r="BY30">
        <f ca="1">IF($AN30="",OFFSET(Demand!$A$13,ROW(I27)-1,4+((QUOTIENT(COLUMN(BY$2)-69,3))*5)+MOD(COLUMN(BY$2),3),1,1),"")</f>
        <v>0</v>
      </c>
      <c r="BZ30">
        <f ca="1">IF($AN30="",OFFSET(Demand!$A$13,ROW(J27)-1,4+((QUOTIENT(COLUMN(BZ$2)-69,3))*5)+MOD(COLUMN(BZ$2),3),1,1),"")</f>
        <v>0</v>
      </c>
      <c r="CA30">
        <f ca="1">IF($AN30="",OFFSET(Demand!$A$13,ROW(K27)-1,4+((QUOTIENT(COLUMN(CA$2)-69,3))*5)+MOD(COLUMN(CA$2),3),1,1),"")</f>
        <v>0</v>
      </c>
      <c r="CB30">
        <f ca="1">IF($AN30="",OFFSET(Demand!$A$13,ROW(L27)-1,4+((QUOTIENT(COLUMN(CB$2)-69,3))*5)+MOD(COLUMN(CB$2),3),1,1),"")</f>
        <v>0</v>
      </c>
      <c r="CC30">
        <f ca="1">IF($AN30="",OFFSET(Demand!$A$13,ROW(M27)-1,4+((QUOTIENT(COLUMN(CC$2)-69,3))*5)+MOD(COLUMN(CC$2),3),1,1),"")</f>
        <v>0</v>
      </c>
      <c r="CD30">
        <f ca="1">IF($AN30="",OFFSET(Demand!$A$13,ROW(N27)-1,4+((QUOTIENT(COLUMN(CD$2)-69,3))*5)+MOD(COLUMN(CD$2),3),1,1),"")</f>
        <v>0</v>
      </c>
      <c r="CE30">
        <f ca="1">IF($AN30="",OFFSET(Demand!$A$13,ROW(O27)-1,4+((QUOTIENT(COLUMN(CE$2)-69,3))*5)+MOD(COLUMN(CE$2),3),1,1),"")</f>
        <v>0</v>
      </c>
      <c r="CF30">
        <f ca="1">IF($AN30="",OFFSET(Demand!$A$13,ROW(P27)-1,4+((QUOTIENT(COLUMN(CF$2)-69,3))*5)+MOD(COLUMN(CF$2),3),1,1),"")</f>
        <v>0</v>
      </c>
      <c r="CG30">
        <f ca="1">IF($AN30="",OFFSET(Demand!$A$13,ROW(Q27)-1,4+((QUOTIENT(COLUMN(CG$2)-69,3))*5)+MOD(COLUMN(CG$2),3),1,1),"")</f>
        <v>0</v>
      </c>
      <c r="CH30">
        <f ca="1">IF($AN30="",OFFSET(Demand!$A$13,ROW(R27)-1,4+((QUOTIENT(COLUMN(CH$2)-69,3))*5)+MOD(COLUMN(CH$2),3),1,1),"")</f>
        <v>0</v>
      </c>
      <c r="CI30">
        <f ca="1">IF($AN30="",OFFSET(Demand!$A$13,ROW(S27)-1,4+((QUOTIENT(COLUMN(CI$2)-69,3))*5)+MOD(COLUMN(CI$2),3),1,1),"")</f>
        <v>0</v>
      </c>
      <c r="CJ30">
        <f ca="1">IF($AN30="",OFFSET(Demand!$A$13,ROW(T27)-1,4+((QUOTIENT(COLUMN(CJ$2)-69,3))*5)+MOD(COLUMN(CJ$2),3),1,1),"")</f>
        <v>0</v>
      </c>
      <c r="CK30">
        <f ca="1">IF($AN30="",OFFSET(Demand!$A$13,ROW(U27)-1,4+((QUOTIENT(COLUMN(CK$2)-69,3))*5)+MOD(COLUMN(CK$2),3),1,1),"")</f>
        <v>0</v>
      </c>
      <c r="CL30">
        <f ca="1">IF($AN30="",OFFSET(Demand!$A$13,ROW(V27)-1,4+((QUOTIENT(COLUMN(CL$2)-69,3))*5)+MOD(COLUMN(CL$2),3),1,1),"")</f>
        <v>0</v>
      </c>
      <c r="CM30">
        <f ca="1">IF($AN30="",OFFSET(Demand!$A$13,ROW(W27)-1,4+((QUOTIENT(COLUMN(CM$2)-69,3))*5)+MOD(COLUMN(CM$2),3),1,1),"")</f>
        <v>0</v>
      </c>
      <c r="CN30">
        <f ca="1">IF($AN30="",OFFSET(Demand!$A$13,ROW(X27)-1,4+((QUOTIENT(COLUMN(CN$2)-69,3))*5)+MOD(COLUMN(CN$2),3),1,1),"")</f>
        <v>0</v>
      </c>
      <c r="CO30">
        <f ca="1">IF($AN30="",OFFSET(Demand!$A$13,ROW(Y27)-1,4+((QUOTIENT(COLUMN(CO$2)-69,3))*5)+MOD(COLUMN(CO$2),3),1,1),"")</f>
        <v>0</v>
      </c>
      <c r="CP30">
        <f ca="1">IF($AN30="",OFFSET(Demand!$A$13,ROW(Z27)-1,4+((QUOTIENT(COLUMN(CP$2)-69,3))*5)+MOD(COLUMN(CP$2),3),1,1),"")</f>
        <v>0</v>
      </c>
      <c r="CQ30">
        <f ca="1">IF($AN30="",OFFSET(Demand!$A$13,ROW(AA27)-1,4+((QUOTIENT(COLUMN(CQ$2)-69,3))*5)+MOD(COLUMN(CQ$2),3),1,1),"")</f>
        <v>0</v>
      </c>
      <c r="CR30">
        <f ca="1">IF($AN30="",OFFSET(Demand!$A$13,ROW(AB27)-1,4+((QUOTIENT(COLUMN(CR$2)-69,3))*5)+MOD(COLUMN(CR$2),3),1,1),"")</f>
        <v>0</v>
      </c>
      <c r="CS30">
        <f ca="1">IF($AN30="",OFFSET(Demand!$A$13,ROW(AC27)-1,4+((QUOTIENT(COLUMN(CS$2)-69,3))*5)+MOD(COLUMN(CS$2),3),1,1),"")</f>
        <v>0</v>
      </c>
      <c r="CT30">
        <f ca="1">IF($AN30="",OFFSET(Demand!$A$13,ROW(AD27)-1,4+((QUOTIENT(COLUMN(CT$2)-69,3))*5)+MOD(COLUMN(CT$2),3),1,1),"")</f>
        <v>0</v>
      </c>
      <c r="CW30" s="5">
        <f ca="1">SUM(OFFSET(Demand!$H$43,ROW(A27)-1,(COLUMN(A27)-1)*5,1,1))*N$2</f>
        <v>0</v>
      </c>
      <c r="CX30" s="5">
        <f ca="1">SUM(OFFSET(Demand!$H$43,ROW(B27)-1,(COLUMN(B27)-1)*5,1,1))*O$2</f>
        <v>0</v>
      </c>
      <c r="CY30" s="5">
        <f ca="1">SUM(OFFSET(Demand!$H$43,ROW(C27)-1,(COLUMN(C27)-1)*5,1,1))*P$2</f>
        <v>0</v>
      </c>
      <c r="CZ30" s="5">
        <f ca="1">SUM(OFFSET(Demand!$H$43,ROW(D27)-1,(COLUMN(D27)-1)*5,1,1))*Q$2</f>
        <v>0</v>
      </c>
      <c r="DA30" s="5">
        <f ca="1">SUM(OFFSET(Demand!$H$43,ROW(E27)-1,(COLUMN(E27)-1)*5,1,1))*R$2</f>
        <v>0</v>
      </c>
      <c r="DB30" s="5">
        <f ca="1">SUM(OFFSET(Demand!$H$43,ROW(F27)-1,(COLUMN(F27)-1)*5,1,1))*S$2</f>
        <v>0</v>
      </c>
      <c r="DC30" s="5">
        <f ca="1">SUM(OFFSET(Demand!$H$43,ROW(G27)-1,(COLUMN(G27)-1)*5,1,1))*T$2</f>
        <v>0</v>
      </c>
      <c r="DD30" s="5">
        <f ca="1">SUM(OFFSET(Demand!$H$43,ROW(H27)-1,(COLUMN(H27)-1)*5,1,1))*U$2</f>
        <v>0</v>
      </c>
      <c r="DE30" s="5">
        <f ca="1">SUM(OFFSET(Demand!$H$43,ROW(I27)-1,(COLUMN(I27)-1)*5,1,1))*V$2</f>
        <v>0</v>
      </c>
      <c r="DF30" s="5">
        <f ca="1">SUM(OFFSET(Demand!$H$43,ROW(J27)-1,(COLUMN(J27)-1)*5,1,1))*W$2</f>
        <v>0</v>
      </c>
      <c r="DG30" s="5">
        <f t="shared" ca="1" si="9"/>
        <v>0</v>
      </c>
    </row>
    <row r="31" spans="1:114" s="5" customFormat="1" x14ac:dyDescent="0.2">
      <c r="A31" s="5">
        <f t="shared" ca="1" si="3"/>
        <v>0</v>
      </c>
      <c r="B31" s="5">
        <f ca="1">COUNTBLANK(OFFSET(Demand!$I40,0,(COLUMN(A28)-1)*5,1,1))</f>
        <v>0</v>
      </c>
      <c r="C31" s="5">
        <f ca="1">COUNTBLANK(OFFSET(Demand!$I40,0,(COLUMN(B28)-1)*5,1,1))</f>
        <v>0</v>
      </c>
      <c r="D31" s="5">
        <f ca="1">COUNTBLANK(OFFSET(Demand!$I40,0,(COLUMN(C28)-1)*5,1,1))</f>
        <v>1</v>
      </c>
      <c r="E31" s="5">
        <f ca="1">COUNTBLANK(OFFSET(Demand!$I40,0,(COLUMN(D28)-1)*5,1,1))</f>
        <v>1</v>
      </c>
      <c r="F31" s="5">
        <f ca="1">COUNTBLANK(OFFSET(Demand!$I40,0,(COLUMN(E28)-1)*5,1,1))</f>
        <v>1</v>
      </c>
      <c r="G31" s="5">
        <f ca="1">COUNTBLANK(OFFSET(Demand!$I40,0,(COLUMN(F28)-1)*5,1,1))</f>
        <v>1</v>
      </c>
      <c r="H31" s="5">
        <f ca="1">COUNTBLANK(OFFSET(Demand!$I40,0,(COLUMN(G28)-1)*5,1,1))</f>
        <v>1</v>
      </c>
      <c r="I31" s="5">
        <f ca="1">COUNTBLANK(OFFSET(Demand!$I40,0,(COLUMN(H28)-1)*5,1,1))</f>
        <v>1</v>
      </c>
      <c r="J31" s="5">
        <f ca="1">COUNTBLANK(OFFSET(Demand!$I40,0,(COLUMN(I28)-1)*5,1,1))</f>
        <v>1</v>
      </c>
      <c r="K31" s="5">
        <f ca="1">COUNTBLANK(OFFSET(Demand!$I40,0,(COLUMN(J28)-1)*5,1,1))</f>
        <v>1</v>
      </c>
      <c r="N31" s="5">
        <f ca="1">SUM(OFFSET(Demand!$E40,0,(COLUMN(A28)-1)*5,1,3))*N$2</f>
        <v>90</v>
      </c>
      <c r="O31" s="5">
        <f ca="1">SUM(OFFSET(Demand!$E40,0,(COLUMN(B28)-1)*5,1,3))*O$2</f>
        <v>200</v>
      </c>
      <c r="P31" s="5">
        <f ca="1">SUM(OFFSET(Demand!$E40,0,(COLUMN(C28)-1)*5,1,3))*P$2</f>
        <v>0</v>
      </c>
      <c r="Q31" s="5">
        <f ca="1">SUM(OFFSET(Demand!$E40,0,(COLUMN(D28)-1)*5,1,3))*Q$2</f>
        <v>0</v>
      </c>
      <c r="R31" s="5">
        <f ca="1">SUM(OFFSET(Demand!$E40,0,(COLUMN(E28)-1)*5,1,3))*R$2</f>
        <v>0</v>
      </c>
      <c r="S31" s="5">
        <f ca="1">SUM(OFFSET(Demand!$E40,0,(COLUMN(F28)-1)*5,1,3))*S$2</f>
        <v>0</v>
      </c>
      <c r="T31" s="5">
        <f ca="1">SUM(OFFSET(Demand!$E40,0,(COLUMN(G28)-1)*5,1,3))*T$2</f>
        <v>0</v>
      </c>
      <c r="U31" s="5">
        <f ca="1">SUM(OFFSET(Demand!$E40,0,(COLUMN(H28)-1)*5,1,3))*U$2</f>
        <v>0</v>
      </c>
      <c r="V31" s="5">
        <f ca="1">SUM(OFFSET(Demand!$E40,0,(COLUMN(I28)-1)*5,1,3))*V$2</f>
        <v>0</v>
      </c>
      <c r="W31" s="5">
        <f ca="1">SUM(OFFSET(Demand!$E40,0,(COLUMN(J28)-1)*5,1,3))*W$2</f>
        <v>0</v>
      </c>
      <c r="X31" s="5">
        <f t="shared" ca="1" si="4"/>
        <v>290</v>
      </c>
      <c r="Y31" s="5">
        <f t="shared" ca="1" si="5"/>
        <v>290</v>
      </c>
      <c r="Z31" s="5">
        <f ca="1">SUM(OFFSET(Demand!$H40,0,(COLUMN(A28)-1)*5,1,1))*N$2</f>
        <v>0</v>
      </c>
      <c r="AA31" s="5">
        <f ca="1">SUM(OFFSET(Demand!$H40,0,(COLUMN(B28)-1)*5,1,1))*O$2</f>
        <v>0</v>
      </c>
      <c r="AB31" s="5">
        <f ca="1">SUM(OFFSET(Demand!$H40,0,(COLUMN(C28)-1)*5,1,1))*P$2</f>
        <v>0</v>
      </c>
      <c r="AC31" s="5">
        <f ca="1">SUM(OFFSET(Demand!$H40,0,(COLUMN(D28)-1)*5,1,1))*Q$2</f>
        <v>0</v>
      </c>
      <c r="AD31" s="5">
        <f ca="1">SUM(OFFSET(Demand!$H40,0,(COLUMN(E28)-1)*5,1,1))*R$2</f>
        <v>0</v>
      </c>
      <c r="AE31" s="5">
        <f ca="1">SUM(OFFSET(Demand!$H40,0,(COLUMN(F28)-1)*5,1,1))*S$2</f>
        <v>0</v>
      </c>
      <c r="AF31" s="5">
        <f ca="1">SUM(OFFSET(Demand!$H40,0,(COLUMN(G28)-1)*5,1,1))*T$2</f>
        <v>0</v>
      </c>
      <c r="AG31" s="5">
        <f ca="1">SUM(OFFSET(Demand!$H40,0,(COLUMN(H28)-1)*5,1,1))*U$2</f>
        <v>0</v>
      </c>
      <c r="AH31" s="5">
        <f ca="1">SUM(OFFSET(Demand!$H40,0,(COLUMN(I28)-1)*5,1,1))*V$2</f>
        <v>0</v>
      </c>
      <c r="AI31" s="5">
        <f ca="1">SUM(OFFSET(Demand!$H40,0,(COLUMN(J28)-1)*5,1,1))*W$2</f>
        <v>0</v>
      </c>
      <c r="AJ31" s="5">
        <f t="shared" ca="1" si="6"/>
        <v>0</v>
      </c>
      <c r="AL31" s="5">
        <f t="shared" ca="1" si="7"/>
        <v>290</v>
      </c>
      <c r="AM31" s="5">
        <f t="shared" ca="1" si="8"/>
        <v>0</v>
      </c>
      <c r="AN31" s="5" t="str">
        <f>IF(Demand!BE40="Yes","Yes","")</f>
        <v/>
      </c>
      <c r="AP31" s="37" t="str">
        <f ca="1">Demand!B40</f>
        <v xml:space="preserve"> </v>
      </c>
      <c r="AQ31" s="5" t="str">
        <f ca="1">IF(TEXT(Demand!D40,"MMM")&lt;&gt;TEXT(Demand!D39,"MMM"),TEXT(Demand!D40,"MMM"),"")</f>
        <v>Oct</v>
      </c>
      <c r="AT31" s="5">
        <f t="shared" ca="1" si="10"/>
        <v>290</v>
      </c>
      <c r="BQ31">
        <f ca="1">IF($AN31="",OFFSET(Demand!$A$13,ROW(A28)-1,4+((QUOTIENT(COLUMN(BQ$2)-69,3))*5)+MOD(COLUMN(BQ$2),3),1,1),"")</f>
        <v>0</v>
      </c>
      <c r="BR31">
        <f ca="1">IF($AN31="",OFFSET(Demand!$A$13,ROW(B28)-1,4+((QUOTIENT(COLUMN(BR$2)-69,3))*5)+MOD(COLUMN(BR$2),3),1,1),"")</f>
        <v>0</v>
      </c>
      <c r="BS31">
        <f ca="1">IF($AN31="",OFFSET(Demand!$A$13,ROW(C28)-1,4+((QUOTIENT(COLUMN(BS$2)-69,3))*5)+MOD(COLUMN(BS$2),3),1,1),"")</f>
        <v>3</v>
      </c>
      <c r="BT31">
        <f ca="1">IF($AN31="",OFFSET(Demand!$A$13,ROW(D28)-1,4+((QUOTIENT(COLUMN(BT$2)-69,3))*5)+MOD(COLUMN(BT$2),3),1,1),"")</f>
        <v>0</v>
      </c>
      <c r="BU31">
        <f ca="1">IF($AN31="",OFFSET(Demand!$A$13,ROW(E28)-1,4+((QUOTIENT(COLUMN(BU$2)-69,3))*5)+MOD(COLUMN(BU$2),3),1,1),"")</f>
        <v>2</v>
      </c>
      <c r="BV31">
        <f ca="1">IF($AN31="",OFFSET(Demand!$A$13,ROW(F28)-1,4+((QUOTIENT(COLUMN(BV$2)-69,3))*5)+MOD(COLUMN(BV$2),3),1,1),"")</f>
        <v>3</v>
      </c>
      <c r="BW31">
        <f ca="1">IF($AN31="",OFFSET(Demand!$A$13,ROW(G28)-1,4+((QUOTIENT(COLUMN(BW$2)-69,3))*5)+MOD(COLUMN(BW$2),3),1,1),"")</f>
        <v>0</v>
      </c>
      <c r="BX31">
        <f ca="1">IF($AN31="",OFFSET(Demand!$A$13,ROW(H28)-1,4+((QUOTIENT(COLUMN(BX$2)-69,3))*5)+MOD(COLUMN(BX$2),3),1,1),"")</f>
        <v>0</v>
      </c>
      <c r="BY31">
        <f ca="1">IF($AN31="",OFFSET(Demand!$A$13,ROW(I28)-1,4+((QUOTIENT(COLUMN(BY$2)-69,3))*5)+MOD(COLUMN(BY$2),3),1,1),"")</f>
        <v>0</v>
      </c>
      <c r="BZ31">
        <f ca="1">IF($AN31="",OFFSET(Demand!$A$13,ROW(J28)-1,4+((QUOTIENT(COLUMN(BZ$2)-69,3))*5)+MOD(COLUMN(BZ$2),3),1,1),"")</f>
        <v>0</v>
      </c>
      <c r="CA31">
        <f ca="1">IF($AN31="",OFFSET(Demand!$A$13,ROW(K28)-1,4+((QUOTIENT(COLUMN(CA$2)-69,3))*5)+MOD(COLUMN(CA$2),3),1,1),"")</f>
        <v>0</v>
      </c>
      <c r="CB31">
        <f ca="1">IF($AN31="",OFFSET(Demand!$A$13,ROW(L28)-1,4+((QUOTIENT(COLUMN(CB$2)-69,3))*5)+MOD(COLUMN(CB$2),3),1,1),"")</f>
        <v>0</v>
      </c>
      <c r="CC31">
        <f ca="1">IF($AN31="",OFFSET(Demand!$A$13,ROW(M28)-1,4+((QUOTIENT(COLUMN(CC$2)-69,3))*5)+MOD(COLUMN(CC$2),3),1,1),"")</f>
        <v>0</v>
      </c>
      <c r="CD31">
        <f ca="1">IF($AN31="",OFFSET(Demand!$A$13,ROW(N28)-1,4+((QUOTIENT(COLUMN(CD$2)-69,3))*5)+MOD(COLUMN(CD$2),3),1,1),"")</f>
        <v>0</v>
      </c>
      <c r="CE31">
        <f ca="1">IF($AN31="",OFFSET(Demand!$A$13,ROW(O28)-1,4+((QUOTIENT(COLUMN(CE$2)-69,3))*5)+MOD(COLUMN(CE$2),3),1,1),"")</f>
        <v>0</v>
      </c>
      <c r="CF31">
        <f ca="1">IF($AN31="",OFFSET(Demand!$A$13,ROW(P28)-1,4+((QUOTIENT(COLUMN(CF$2)-69,3))*5)+MOD(COLUMN(CF$2),3),1,1),"")</f>
        <v>0</v>
      </c>
      <c r="CG31">
        <f ca="1">IF($AN31="",OFFSET(Demand!$A$13,ROW(Q28)-1,4+((QUOTIENT(COLUMN(CG$2)-69,3))*5)+MOD(COLUMN(CG$2),3),1,1),"")</f>
        <v>0</v>
      </c>
      <c r="CH31">
        <f ca="1">IF($AN31="",OFFSET(Demand!$A$13,ROW(R28)-1,4+((QUOTIENT(COLUMN(CH$2)-69,3))*5)+MOD(COLUMN(CH$2),3),1,1),"")</f>
        <v>0</v>
      </c>
      <c r="CI31">
        <f ca="1">IF($AN31="",OFFSET(Demand!$A$13,ROW(S28)-1,4+((QUOTIENT(COLUMN(CI$2)-69,3))*5)+MOD(COLUMN(CI$2),3),1,1),"")</f>
        <v>0</v>
      </c>
      <c r="CJ31">
        <f ca="1">IF($AN31="",OFFSET(Demand!$A$13,ROW(T28)-1,4+((QUOTIENT(COLUMN(CJ$2)-69,3))*5)+MOD(COLUMN(CJ$2),3),1,1),"")</f>
        <v>0</v>
      </c>
      <c r="CK31">
        <f ca="1">IF($AN31="",OFFSET(Demand!$A$13,ROW(U28)-1,4+((QUOTIENT(COLUMN(CK$2)-69,3))*5)+MOD(COLUMN(CK$2),3),1,1),"")</f>
        <v>0</v>
      </c>
      <c r="CL31">
        <f ca="1">IF($AN31="",OFFSET(Demand!$A$13,ROW(V28)-1,4+((QUOTIENT(COLUMN(CL$2)-69,3))*5)+MOD(COLUMN(CL$2),3),1,1),"")</f>
        <v>0</v>
      </c>
      <c r="CM31">
        <f ca="1">IF($AN31="",OFFSET(Demand!$A$13,ROW(W28)-1,4+((QUOTIENT(COLUMN(CM$2)-69,3))*5)+MOD(COLUMN(CM$2),3),1,1),"")</f>
        <v>0</v>
      </c>
      <c r="CN31">
        <f ca="1">IF($AN31="",OFFSET(Demand!$A$13,ROW(X28)-1,4+((QUOTIENT(COLUMN(CN$2)-69,3))*5)+MOD(COLUMN(CN$2),3),1,1),"")</f>
        <v>0</v>
      </c>
      <c r="CO31">
        <f ca="1">IF($AN31="",OFFSET(Demand!$A$13,ROW(Y28)-1,4+((QUOTIENT(COLUMN(CO$2)-69,3))*5)+MOD(COLUMN(CO$2),3),1,1),"")</f>
        <v>0</v>
      </c>
      <c r="CP31">
        <f ca="1">IF($AN31="",OFFSET(Demand!$A$13,ROW(Z28)-1,4+((QUOTIENT(COLUMN(CP$2)-69,3))*5)+MOD(COLUMN(CP$2),3),1,1),"")</f>
        <v>0</v>
      </c>
      <c r="CQ31">
        <f ca="1">IF($AN31="",OFFSET(Demand!$A$13,ROW(AA28)-1,4+((QUOTIENT(COLUMN(CQ$2)-69,3))*5)+MOD(COLUMN(CQ$2),3),1,1),"")</f>
        <v>0</v>
      </c>
      <c r="CR31">
        <f ca="1">IF($AN31="",OFFSET(Demand!$A$13,ROW(AB28)-1,4+((QUOTIENT(COLUMN(CR$2)-69,3))*5)+MOD(COLUMN(CR$2),3),1,1),"")</f>
        <v>0</v>
      </c>
      <c r="CS31">
        <f ca="1">IF($AN31="",OFFSET(Demand!$A$13,ROW(AC28)-1,4+((QUOTIENT(COLUMN(CS$2)-69,3))*5)+MOD(COLUMN(CS$2),3),1,1),"")</f>
        <v>0</v>
      </c>
      <c r="CT31">
        <f ca="1">IF($AN31="",OFFSET(Demand!$A$13,ROW(AD28)-1,4+((QUOTIENT(COLUMN(CT$2)-69,3))*5)+MOD(COLUMN(CT$2),3),1,1),"")</f>
        <v>0</v>
      </c>
      <c r="CW31" s="5">
        <f ca="1">SUM(OFFSET(Demand!$H$43,ROW(A28)-1,(COLUMN(A28)-1)*5,1,1))*N$2</f>
        <v>0</v>
      </c>
      <c r="CX31" s="5">
        <f ca="1">SUM(OFFSET(Demand!$H$43,ROW(B28)-1,(COLUMN(B28)-1)*5,1,1))*O$2</f>
        <v>0</v>
      </c>
      <c r="CY31" s="5">
        <f ca="1">SUM(OFFSET(Demand!$H$43,ROW(C28)-1,(COLUMN(C28)-1)*5,1,1))*P$2</f>
        <v>0</v>
      </c>
      <c r="CZ31" s="5">
        <f ca="1">SUM(OFFSET(Demand!$H$43,ROW(D28)-1,(COLUMN(D28)-1)*5,1,1))*Q$2</f>
        <v>0</v>
      </c>
      <c r="DA31" s="5">
        <f ca="1">SUM(OFFSET(Demand!$H$43,ROW(E28)-1,(COLUMN(E28)-1)*5,1,1))*R$2</f>
        <v>0</v>
      </c>
      <c r="DB31" s="5">
        <f ca="1">SUM(OFFSET(Demand!$H$43,ROW(F28)-1,(COLUMN(F28)-1)*5,1,1))*S$2</f>
        <v>0</v>
      </c>
      <c r="DC31" s="5">
        <f ca="1">SUM(OFFSET(Demand!$H$43,ROW(G28)-1,(COLUMN(G28)-1)*5,1,1))*T$2</f>
        <v>0</v>
      </c>
      <c r="DD31" s="5">
        <f ca="1">SUM(OFFSET(Demand!$H$43,ROW(H28)-1,(COLUMN(H28)-1)*5,1,1))*U$2</f>
        <v>0</v>
      </c>
      <c r="DE31" s="5">
        <f ca="1">SUM(OFFSET(Demand!$H$43,ROW(I28)-1,(COLUMN(I28)-1)*5,1,1))*V$2</f>
        <v>0</v>
      </c>
      <c r="DF31" s="5">
        <f ca="1">SUM(OFFSET(Demand!$H$43,ROW(J28)-1,(COLUMN(J28)-1)*5,1,1))*W$2</f>
        <v>0</v>
      </c>
      <c r="DG31" s="5">
        <f t="shared" ca="1" si="9"/>
        <v>0</v>
      </c>
    </row>
    <row r="32" spans="1:114" s="5" customFormat="1" x14ac:dyDescent="0.2">
      <c r="A32" s="5">
        <f t="shared" ca="1" si="3"/>
        <v>0</v>
      </c>
      <c r="B32" s="5">
        <f ca="1">COUNTBLANK(OFFSET(Demand!$I41,0,(COLUMN(A29)-1)*5,1,1))</f>
        <v>0</v>
      </c>
      <c r="C32" s="5">
        <f ca="1">COUNTBLANK(OFFSET(Demand!$I41,0,(COLUMN(B29)-1)*5,1,1))</f>
        <v>0</v>
      </c>
      <c r="D32" s="5">
        <f ca="1">COUNTBLANK(OFFSET(Demand!$I41,0,(COLUMN(C29)-1)*5,1,1))</f>
        <v>1</v>
      </c>
      <c r="E32" s="5">
        <f ca="1">COUNTBLANK(OFFSET(Demand!$I41,0,(COLUMN(D29)-1)*5,1,1))</f>
        <v>1</v>
      </c>
      <c r="F32" s="5">
        <f ca="1">COUNTBLANK(OFFSET(Demand!$I41,0,(COLUMN(E29)-1)*5,1,1))</f>
        <v>1</v>
      </c>
      <c r="G32" s="5">
        <f ca="1">COUNTBLANK(OFFSET(Demand!$I41,0,(COLUMN(F29)-1)*5,1,1))</f>
        <v>1</v>
      </c>
      <c r="H32" s="5">
        <f ca="1">COUNTBLANK(OFFSET(Demand!$I41,0,(COLUMN(G29)-1)*5,1,1))</f>
        <v>1</v>
      </c>
      <c r="I32" s="5">
        <f ca="1">COUNTBLANK(OFFSET(Demand!$I41,0,(COLUMN(H29)-1)*5,1,1))</f>
        <v>1</v>
      </c>
      <c r="J32" s="5">
        <f ca="1">COUNTBLANK(OFFSET(Demand!$I41,0,(COLUMN(I29)-1)*5,1,1))</f>
        <v>1</v>
      </c>
      <c r="K32" s="5">
        <f ca="1">COUNTBLANK(OFFSET(Demand!$I41,0,(COLUMN(J29)-1)*5,1,1))</f>
        <v>1</v>
      </c>
      <c r="N32" s="5">
        <f ca="1">SUM(OFFSET(Demand!$E41,0,(COLUMN(A29)-1)*5,1,3))*N$2</f>
        <v>90</v>
      </c>
      <c r="O32" s="5">
        <f ca="1">SUM(OFFSET(Demand!$E41,0,(COLUMN(B29)-1)*5,1,3))*O$2</f>
        <v>440</v>
      </c>
      <c r="P32" s="5">
        <f ca="1">SUM(OFFSET(Demand!$E41,0,(COLUMN(C29)-1)*5,1,3))*P$2</f>
        <v>0</v>
      </c>
      <c r="Q32" s="5">
        <f ca="1">SUM(OFFSET(Demand!$E41,0,(COLUMN(D29)-1)*5,1,3))*Q$2</f>
        <v>0</v>
      </c>
      <c r="R32" s="5">
        <f ca="1">SUM(OFFSET(Demand!$E41,0,(COLUMN(E29)-1)*5,1,3))*R$2</f>
        <v>0</v>
      </c>
      <c r="S32" s="5">
        <f ca="1">SUM(OFFSET(Demand!$E41,0,(COLUMN(F29)-1)*5,1,3))*S$2</f>
        <v>0</v>
      </c>
      <c r="T32" s="5">
        <f ca="1">SUM(OFFSET(Demand!$E41,0,(COLUMN(G29)-1)*5,1,3))*T$2</f>
        <v>0</v>
      </c>
      <c r="U32" s="5">
        <f ca="1">SUM(OFFSET(Demand!$E41,0,(COLUMN(H29)-1)*5,1,3))*U$2</f>
        <v>0</v>
      </c>
      <c r="V32" s="5">
        <f ca="1">SUM(OFFSET(Demand!$E41,0,(COLUMN(I29)-1)*5,1,3))*V$2</f>
        <v>0</v>
      </c>
      <c r="W32" s="5">
        <f ca="1">SUM(OFFSET(Demand!$E41,0,(COLUMN(J29)-1)*5,1,3))*W$2</f>
        <v>0</v>
      </c>
      <c r="X32" s="5">
        <f t="shared" ca="1" si="4"/>
        <v>530</v>
      </c>
      <c r="Y32" s="5">
        <f t="shared" ca="1" si="5"/>
        <v>530</v>
      </c>
      <c r="Z32" s="5">
        <f ca="1">SUM(OFFSET(Demand!$H41,0,(COLUMN(A29)-1)*5,1,1))*N$2</f>
        <v>0</v>
      </c>
      <c r="AA32" s="5">
        <f ca="1">SUM(OFFSET(Demand!$H41,0,(COLUMN(B29)-1)*5,1,1))*O$2</f>
        <v>0</v>
      </c>
      <c r="AB32" s="5">
        <f ca="1">SUM(OFFSET(Demand!$H41,0,(COLUMN(C29)-1)*5,1,1))*P$2</f>
        <v>0</v>
      </c>
      <c r="AC32" s="5">
        <f ca="1">SUM(OFFSET(Demand!$H41,0,(COLUMN(D29)-1)*5,1,1))*Q$2</f>
        <v>0</v>
      </c>
      <c r="AD32" s="5">
        <f ca="1">SUM(OFFSET(Demand!$H41,0,(COLUMN(E29)-1)*5,1,1))*R$2</f>
        <v>0</v>
      </c>
      <c r="AE32" s="5">
        <f ca="1">SUM(OFFSET(Demand!$H41,0,(COLUMN(F29)-1)*5,1,1))*S$2</f>
        <v>0</v>
      </c>
      <c r="AF32" s="5">
        <f ca="1">SUM(OFFSET(Demand!$H41,0,(COLUMN(G29)-1)*5,1,1))*T$2</f>
        <v>0</v>
      </c>
      <c r="AG32" s="5">
        <f ca="1">SUM(OFFSET(Demand!$H41,0,(COLUMN(H29)-1)*5,1,1))*U$2</f>
        <v>0</v>
      </c>
      <c r="AH32" s="5">
        <f ca="1">SUM(OFFSET(Demand!$H41,0,(COLUMN(I29)-1)*5,1,1))*V$2</f>
        <v>0</v>
      </c>
      <c r="AI32" s="5">
        <f ca="1">SUM(OFFSET(Demand!$H41,0,(COLUMN(J29)-1)*5,1,1))*W$2</f>
        <v>0</v>
      </c>
      <c r="AJ32" s="5">
        <f t="shared" ca="1" si="6"/>
        <v>0</v>
      </c>
      <c r="AL32" s="5">
        <f t="shared" ca="1" si="7"/>
        <v>530</v>
      </c>
      <c r="AM32" s="5">
        <f t="shared" ca="1" si="8"/>
        <v>0</v>
      </c>
      <c r="AN32" s="5" t="str">
        <f>IF(Demand!BE41="Yes","Yes","")</f>
        <v/>
      </c>
      <c r="AP32" s="37" t="str">
        <f ca="1">Demand!B41</f>
        <v xml:space="preserve"> </v>
      </c>
      <c r="AQ32" s="5" t="str">
        <f ca="1">IF(TEXT(Demand!D41,"MMM")&lt;&gt;TEXT(Demand!D40,"MMM"),TEXT(Demand!D41,"MMM"),"")</f>
        <v/>
      </c>
      <c r="AT32" s="5">
        <f t="shared" ca="1" si="10"/>
        <v>240</v>
      </c>
      <c r="BQ32">
        <f ca="1">IF($AN32="",OFFSET(Demand!$A$13,ROW(A29)-1,4+((QUOTIENT(COLUMN(BQ$2)-69,3))*5)+MOD(COLUMN(BQ$2),3),1,1),"")</f>
        <v>0</v>
      </c>
      <c r="BR32">
        <f ca="1">IF($AN32="",OFFSET(Demand!$A$13,ROW(B29)-1,4+((QUOTIENT(COLUMN(BR$2)-69,3))*5)+MOD(COLUMN(BR$2),3),1,1),"")</f>
        <v>0</v>
      </c>
      <c r="BS32">
        <f ca="1">IF($AN32="",OFFSET(Demand!$A$13,ROW(C29)-1,4+((QUOTIENT(COLUMN(BS$2)-69,3))*5)+MOD(COLUMN(BS$2),3),1,1),"")</f>
        <v>3</v>
      </c>
      <c r="BT32">
        <f ca="1">IF($AN32="",OFFSET(Demand!$A$13,ROW(D29)-1,4+((QUOTIENT(COLUMN(BT$2)-69,3))*5)+MOD(COLUMN(BT$2),3),1,1),"")</f>
        <v>0</v>
      </c>
      <c r="BU32">
        <f ca="1">IF($AN32="",OFFSET(Demand!$A$13,ROW(E29)-1,4+((QUOTIENT(COLUMN(BU$2)-69,3))*5)+MOD(COLUMN(BU$2),3),1,1),"")</f>
        <v>0</v>
      </c>
      <c r="BV32">
        <f ca="1">IF($AN32="",OFFSET(Demand!$A$13,ROW(F29)-1,4+((QUOTIENT(COLUMN(BV$2)-69,3))*5)+MOD(COLUMN(BV$2),3),1,1),"")</f>
        <v>11</v>
      </c>
      <c r="BW32">
        <f ca="1">IF($AN32="",OFFSET(Demand!$A$13,ROW(G29)-1,4+((QUOTIENT(COLUMN(BW$2)-69,3))*5)+MOD(COLUMN(BW$2),3),1,1),"")</f>
        <v>0</v>
      </c>
      <c r="BX32">
        <f ca="1">IF($AN32="",OFFSET(Demand!$A$13,ROW(H29)-1,4+((QUOTIENT(COLUMN(BX$2)-69,3))*5)+MOD(COLUMN(BX$2),3),1,1),"")</f>
        <v>0</v>
      </c>
      <c r="BY32">
        <f ca="1">IF($AN32="",OFFSET(Demand!$A$13,ROW(I29)-1,4+((QUOTIENT(COLUMN(BY$2)-69,3))*5)+MOD(COLUMN(BY$2),3),1,1),"")</f>
        <v>0</v>
      </c>
      <c r="BZ32">
        <f ca="1">IF($AN32="",OFFSET(Demand!$A$13,ROW(J29)-1,4+((QUOTIENT(COLUMN(BZ$2)-69,3))*5)+MOD(COLUMN(BZ$2),3),1,1),"")</f>
        <v>0</v>
      </c>
      <c r="CA32">
        <f ca="1">IF($AN32="",OFFSET(Demand!$A$13,ROW(K29)-1,4+((QUOTIENT(COLUMN(CA$2)-69,3))*5)+MOD(COLUMN(CA$2),3),1,1),"")</f>
        <v>0</v>
      </c>
      <c r="CB32">
        <f ca="1">IF($AN32="",OFFSET(Demand!$A$13,ROW(L29)-1,4+((QUOTIENT(COLUMN(CB$2)-69,3))*5)+MOD(COLUMN(CB$2),3),1,1),"")</f>
        <v>0</v>
      </c>
      <c r="CC32">
        <f ca="1">IF($AN32="",OFFSET(Demand!$A$13,ROW(M29)-1,4+((QUOTIENT(COLUMN(CC$2)-69,3))*5)+MOD(COLUMN(CC$2),3),1,1),"")</f>
        <v>0</v>
      </c>
      <c r="CD32">
        <f ca="1">IF($AN32="",OFFSET(Demand!$A$13,ROW(N29)-1,4+((QUOTIENT(COLUMN(CD$2)-69,3))*5)+MOD(COLUMN(CD$2),3),1,1),"")</f>
        <v>0</v>
      </c>
      <c r="CE32">
        <f ca="1">IF($AN32="",OFFSET(Demand!$A$13,ROW(O29)-1,4+((QUOTIENT(COLUMN(CE$2)-69,3))*5)+MOD(COLUMN(CE$2),3),1,1),"")</f>
        <v>0</v>
      </c>
      <c r="CF32">
        <f ca="1">IF($AN32="",OFFSET(Demand!$A$13,ROW(P29)-1,4+((QUOTIENT(COLUMN(CF$2)-69,3))*5)+MOD(COLUMN(CF$2),3),1,1),"")</f>
        <v>0</v>
      </c>
      <c r="CG32">
        <f ca="1">IF($AN32="",OFFSET(Demand!$A$13,ROW(Q29)-1,4+((QUOTIENT(COLUMN(CG$2)-69,3))*5)+MOD(COLUMN(CG$2),3),1,1),"")</f>
        <v>0</v>
      </c>
      <c r="CH32">
        <f ca="1">IF($AN32="",OFFSET(Demand!$A$13,ROW(R29)-1,4+((QUOTIENT(COLUMN(CH$2)-69,3))*5)+MOD(COLUMN(CH$2),3),1,1),"")</f>
        <v>0</v>
      </c>
      <c r="CI32">
        <f ca="1">IF($AN32="",OFFSET(Demand!$A$13,ROW(S29)-1,4+((QUOTIENT(COLUMN(CI$2)-69,3))*5)+MOD(COLUMN(CI$2),3),1,1),"")</f>
        <v>0</v>
      </c>
      <c r="CJ32">
        <f ca="1">IF($AN32="",OFFSET(Demand!$A$13,ROW(T29)-1,4+((QUOTIENT(COLUMN(CJ$2)-69,3))*5)+MOD(COLUMN(CJ$2),3),1,1),"")</f>
        <v>0</v>
      </c>
      <c r="CK32">
        <f ca="1">IF($AN32="",OFFSET(Demand!$A$13,ROW(U29)-1,4+((QUOTIENT(COLUMN(CK$2)-69,3))*5)+MOD(COLUMN(CK$2),3),1,1),"")</f>
        <v>0</v>
      </c>
      <c r="CL32">
        <f ca="1">IF($AN32="",OFFSET(Demand!$A$13,ROW(V29)-1,4+((QUOTIENT(COLUMN(CL$2)-69,3))*5)+MOD(COLUMN(CL$2),3),1,1),"")</f>
        <v>0</v>
      </c>
      <c r="CM32">
        <f ca="1">IF($AN32="",OFFSET(Demand!$A$13,ROW(W29)-1,4+((QUOTIENT(COLUMN(CM$2)-69,3))*5)+MOD(COLUMN(CM$2),3),1,1),"")</f>
        <v>0</v>
      </c>
      <c r="CN32">
        <f ca="1">IF($AN32="",OFFSET(Demand!$A$13,ROW(X29)-1,4+((QUOTIENT(COLUMN(CN$2)-69,3))*5)+MOD(COLUMN(CN$2),3),1,1),"")</f>
        <v>0</v>
      </c>
      <c r="CO32">
        <f ca="1">IF($AN32="",OFFSET(Demand!$A$13,ROW(Y29)-1,4+((QUOTIENT(COLUMN(CO$2)-69,3))*5)+MOD(COLUMN(CO$2),3),1,1),"")</f>
        <v>0</v>
      </c>
      <c r="CP32">
        <f ca="1">IF($AN32="",OFFSET(Demand!$A$13,ROW(Z29)-1,4+((QUOTIENT(COLUMN(CP$2)-69,3))*5)+MOD(COLUMN(CP$2),3),1,1),"")</f>
        <v>0</v>
      </c>
      <c r="CQ32">
        <f ca="1">IF($AN32="",OFFSET(Demand!$A$13,ROW(AA29)-1,4+((QUOTIENT(COLUMN(CQ$2)-69,3))*5)+MOD(COLUMN(CQ$2),3),1,1),"")</f>
        <v>0</v>
      </c>
      <c r="CR32">
        <f ca="1">IF($AN32="",OFFSET(Demand!$A$13,ROW(AB29)-1,4+((QUOTIENT(COLUMN(CR$2)-69,3))*5)+MOD(COLUMN(CR$2),3),1,1),"")</f>
        <v>0</v>
      </c>
      <c r="CS32">
        <f ca="1">IF($AN32="",OFFSET(Demand!$A$13,ROW(AC29)-1,4+((QUOTIENT(COLUMN(CS$2)-69,3))*5)+MOD(COLUMN(CS$2),3),1,1),"")</f>
        <v>0</v>
      </c>
      <c r="CT32">
        <f ca="1">IF($AN32="",OFFSET(Demand!$A$13,ROW(AD29)-1,4+((QUOTIENT(COLUMN(CT$2)-69,3))*5)+MOD(COLUMN(CT$2),3),1,1),"")</f>
        <v>0</v>
      </c>
      <c r="CW32" s="5">
        <f ca="1">SUM(OFFSET(Demand!$H$43,ROW(A29)-1,(COLUMN(A29)-1)*5,1,1))*N$2</f>
        <v>0</v>
      </c>
      <c r="CX32" s="5">
        <f ca="1">SUM(OFFSET(Demand!$H$43,ROW(B29)-1,(COLUMN(B29)-1)*5,1,1))*O$2</f>
        <v>0</v>
      </c>
      <c r="CY32" s="5">
        <f ca="1">SUM(OFFSET(Demand!$H$43,ROW(C29)-1,(COLUMN(C29)-1)*5,1,1))*P$2</f>
        <v>0</v>
      </c>
      <c r="CZ32" s="5">
        <f ca="1">SUM(OFFSET(Demand!$H$43,ROW(D29)-1,(COLUMN(D29)-1)*5,1,1))*Q$2</f>
        <v>0</v>
      </c>
      <c r="DA32" s="5">
        <f ca="1">SUM(OFFSET(Demand!$H$43,ROW(E29)-1,(COLUMN(E29)-1)*5,1,1))*R$2</f>
        <v>0</v>
      </c>
      <c r="DB32" s="5">
        <f ca="1">SUM(OFFSET(Demand!$H$43,ROW(F29)-1,(COLUMN(F29)-1)*5,1,1))*S$2</f>
        <v>0</v>
      </c>
      <c r="DC32" s="5">
        <f ca="1">SUM(OFFSET(Demand!$H$43,ROW(G29)-1,(COLUMN(G29)-1)*5,1,1))*T$2</f>
        <v>0</v>
      </c>
      <c r="DD32" s="5">
        <f ca="1">SUM(OFFSET(Demand!$H$43,ROW(H29)-1,(COLUMN(H29)-1)*5,1,1))*U$2</f>
        <v>0</v>
      </c>
      <c r="DE32" s="5">
        <f ca="1">SUM(OFFSET(Demand!$H$43,ROW(I29)-1,(COLUMN(I29)-1)*5,1,1))*V$2</f>
        <v>0</v>
      </c>
      <c r="DF32" s="5">
        <f ca="1">SUM(OFFSET(Demand!$H$43,ROW(J29)-1,(COLUMN(J29)-1)*5,1,1))*W$2</f>
        <v>0</v>
      </c>
      <c r="DG32" s="5">
        <f t="shared" ca="1" si="9"/>
        <v>0</v>
      </c>
    </row>
    <row r="33" spans="1:111" s="5" customFormat="1" x14ac:dyDescent="0.2">
      <c r="A33" s="5">
        <f t="shared" ca="1" si="3"/>
        <v>0</v>
      </c>
      <c r="B33" s="5">
        <f ca="1">COUNTBLANK(OFFSET(Demand!$I42,0,(COLUMN(A30)-1)*5,1,1))</f>
        <v>0</v>
      </c>
      <c r="C33" s="5">
        <f ca="1">COUNTBLANK(OFFSET(Demand!$I42,0,(COLUMN(B30)-1)*5,1,1))</f>
        <v>0</v>
      </c>
      <c r="D33" s="5">
        <f ca="1">COUNTBLANK(OFFSET(Demand!$I42,0,(COLUMN(C30)-1)*5,1,1))</f>
        <v>1</v>
      </c>
      <c r="E33" s="5">
        <f ca="1">COUNTBLANK(OFFSET(Demand!$I42,0,(COLUMN(D30)-1)*5,1,1))</f>
        <v>1</v>
      </c>
      <c r="F33" s="5">
        <f ca="1">COUNTBLANK(OFFSET(Demand!$I42,0,(COLUMN(E30)-1)*5,1,1))</f>
        <v>1</v>
      </c>
      <c r="G33" s="5">
        <f ca="1">COUNTBLANK(OFFSET(Demand!$I42,0,(COLUMN(F30)-1)*5,1,1))</f>
        <v>1</v>
      </c>
      <c r="H33" s="5">
        <f ca="1">COUNTBLANK(OFFSET(Demand!$I42,0,(COLUMN(G30)-1)*5,1,1))</f>
        <v>1</v>
      </c>
      <c r="I33" s="5">
        <f ca="1">COUNTBLANK(OFFSET(Demand!$I42,0,(COLUMN(H30)-1)*5,1,1))</f>
        <v>1</v>
      </c>
      <c r="J33" s="5">
        <f ca="1">COUNTBLANK(OFFSET(Demand!$I42,0,(COLUMN(I30)-1)*5,1,1))</f>
        <v>1</v>
      </c>
      <c r="K33" s="5">
        <f ca="1">COUNTBLANK(OFFSET(Demand!$I42,0,(COLUMN(J30)-1)*5,1,1))</f>
        <v>1</v>
      </c>
      <c r="N33" s="5">
        <f ca="1">SUM(OFFSET(Demand!$E42,0,(COLUMN(A30)-1)*5,1,3))*N$2</f>
        <v>120</v>
      </c>
      <c r="O33" s="5">
        <f ca="1">SUM(OFFSET(Demand!$E42,0,(COLUMN(B30)-1)*5,1,3))*O$2</f>
        <v>200</v>
      </c>
      <c r="P33" s="5">
        <f ca="1">SUM(OFFSET(Demand!$E42,0,(COLUMN(C30)-1)*5,1,3))*P$2</f>
        <v>0</v>
      </c>
      <c r="Q33" s="5">
        <f ca="1">SUM(OFFSET(Demand!$E42,0,(COLUMN(D30)-1)*5,1,3))*Q$2</f>
        <v>0</v>
      </c>
      <c r="R33" s="5">
        <f ca="1">SUM(OFFSET(Demand!$E42,0,(COLUMN(E30)-1)*5,1,3))*R$2</f>
        <v>0</v>
      </c>
      <c r="S33" s="5">
        <f ca="1">SUM(OFFSET(Demand!$E42,0,(COLUMN(F30)-1)*5,1,3))*S$2</f>
        <v>0</v>
      </c>
      <c r="T33" s="5">
        <f ca="1">SUM(OFFSET(Demand!$E42,0,(COLUMN(G30)-1)*5,1,3))*T$2</f>
        <v>0</v>
      </c>
      <c r="U33" s="5">
        <f ca="1">SUM(OFFSET(Demand!$E42,0,(COLUMN(H30)-1)*5,1,3))*U$2</f>
        <v>0</v>
      </c>
      <c r="V33" s="5">
        <f ca="1">SUM(OFFSET(Demand!$E42,0,(COLUMN(I30)-1)*5,1,3))*V$2</f>
        <v>0</v>
      </c>
      <c r="W33" s="5">
        <f ca="1">SUM(OFFSET(Demand!$E42,0,(COLUMN(J30)-1)*5,1,3))*W$2</f>
        <v>0</v>
      </c>
      <c r="X33" s="5">
        <f t="shared" ca="1" si="4"/>
        <v>320</v>
      </c>
      <c r="Y33" s="5">
        <f t="shared" ca="1" si="5"/>
        <v>320</v>
      </c>
      <c r="Z33" s="5">
        <f ca="1">SUM(OFFSET(Demand!$H42,0,(COLUMN(A30)-1)*5,1,1))*N$2</f>
        <v>0</v>
      </c>
      <c r="AA33" s="5">
        <f ca="1">SUM(OFFSET(Demand!$H42,0,(COLUMN(B30)-1)*5,1,1))*O$2</f>
        <v>0</v>
      </c>
      <c r="AB33" s="5">
        <f ca="1">SUM(OFFSET(Demand!$H42,0,(COLUMN(C30)-1)*5,1,1))*P$2</f>
        <v>0</v>
      </c>
      <c r="AC33" s="5">
        <f ca="1">SUM(OFFSET(Demand!$H42,0,(COLUMN(D30)-1)*5,1,1))*Q$2</f>
        <v>0</v>
      </c>
      <c r="AD33" s="5">
        <f ca="1">SUM(OFFSET(Demand!$H42,0,(COLUMN(E30)-1)*5,1,1))*R$2</f>
        <v>0</v>
      </c>
      <c r="AE33" s="5">
        <f ca="1">SUM(OFFSET(Demand!$H42,0,(COLUMN(F30)-1)*5,1,1))*S$2</f>
        <v>0</v>
      </c>
      <c r="AF33" s="5">
        <f ca="1">SUM(OFFSET(Demand!$H42,0,(COLUMN(G30)-1)*5,1,1))*T$2</f>
        <v>0</v>
      </c>
      <c r="AG33" s="5">
        <f ca="1">SUM(OFFSET(Demand!$H42,0,(COLUMN(H30)-1)*5,1,1))*U$2</f>
        <v>0</v>
      </c>
      <c r="AH33" s="5">
        <f ca="1">SUM(OFFSET(Demand!$H42,0,(COLUMN(I30)-1)*5,1,1))*V$2</f>
        <v>0</v>
      </c>
      <c r="AI33" s="5">
        <f ca="1">SUM(OFFSET(Demand!$H42,0,(COLUMN(J30)-1)*5,1,1))*W$2</f>
        <v>0</v>
      </c>
      <c r="AJ33" s="5">
        <f t="shared" ca="1" si="6"/>
        <v>0</v>
      </c>
      <c r="AL33" s="5">
        <f t="shared" ca="1" si="7"/>
        <v>320</v>
      </c>
      <c r="AM33" s="5">
        <f t="shared" ca="1" si="8"/>
        <v>0</v>
      </c>
      <c r="AN33" s="5" t="str">
        <f>IF(Demand!BE42="Yes","Yes","")</f>
        <v/>
      </c>
      <c r="AP33" s="37" t="str">
        <f ca="1">Demand!B42</f>
        <v xml:space="preserve"> </v>
      </c>
      <c r="AQ33" s="5" t="str">
        <f ca="1">IF(TEXT(Demand!D42,"MMM")&lt;&gt;TEXT(Demand!D41,"MMM"),TEXT(Demand!D42,"MMM"),"")</f>
        <v/>
      </c>
      <c r="AT33" s="5">
        <f t="shared" ca="1" si="10"/>
        <v>210</v>
      </c>
      <c r="BQ33">
        <f ca="1">IF($AN33="",OFFSET(Demand!$A$13,ROW(A30)-1,4+((QUOTIENT(COLUMN(BQ$2)-69,3))*5)+MOD(COLUMN(BQ$2),3),1,1),"")</f>
        <v>0</v>
      </c>
      <c r="BR33">
        <f ca="1">IF($AN33="",OFFSET(Demand!$A$13,ROW(B30)-1,4+((QUOTIENT(COLUMN(BR$2)-69,3))*5)+MOD(COLUMN(BR$2),3),1,1),"")</f>
        <v>2</v>
      </c>
      <c r="BS33">
        <f ca="1">IF($AN33="",OFFSET(Demand!$A$13,ROW(C30)-1,4+((QUOTIENT(COLUMN(BS$2)-69,3))*5)+MOD(COLUMN(BS$2),3),1,1),"")</f>
        <v>2</v>
      </c>
      <c r="BT33">
        <f ca="1">IF($AN33="",OFFSET(Demand!$A$13,ROW(D30)-1,4+((QUOTIENT(COLUMN(BT$2)-69,3))*5)+MOD(COLUMN(BT$2),3),1,1),"")</f>
        <v>0</v>
      </c>
      <c r="BU33">
        <f ca="1">IF($AN33="",OFFSET(Demand!$A$13,ROW(E30)-1,4+((QUOTIENT(COLUMN(BU$2)-69,3))*5)+MOD(COLUMN(BU$2),3),1,1),"")</f>
        <v>0</v>
      </c>
      <c r="BV33">
        <f ca="1">IF($AN33="",OFFSET(Demand!$A$13,ROW(F30)-1,4+((QUOTIENT(COLUMN(BV$2)-69,3))*5)+MOD(COLUMN(BV$2),3),1,1),"")</f>
        <v>5</v>
      </c>
      <c r="BW33">
        <f ca="1">IF($AN33="",OFFSET(Demand!$A$13,ROW(G30)-1,4+((QUOTIENT(COLUMN(BW$2)-69,3))*5)+MOD(COLUMN(BW$2),3),1,1),"")</f>
        <v>0</v>
      </c>
      <c r="BX33">
        <f ca="1">IF($AN33="",OFFSET(Demand!$A$13,ROW(H30)-1,4+((QUOTIENT(COLUMN(BX$2)-69,3))*5)+MOD(COLUMN(BX$2),3),1,1),"")</f>
        <v>0</v>
      </c>
      <c r="BY33">
        <f ca="1">IF($AN33="",OFFSET(Demand!$A$13,ROW(I30)-1,4+((QUOTIENT(COLUMN(BY$2)-69,3))*5)+MOD(COLUMN(BY$2),3),1,1),"")</f>
        <v>0</v>
      </c>
      <c r="BZ33">
        <f ca="1">IF($AN33="",OFFSET(Demand!$A$13,ROW(J30)-1,4+((QUOTIENT(COLUMN(BZ$2)-69,3))*5)+MOD(COLUMN(BZ$2),3),1,1),"")</f>
        <v>0</v>
      </c>
      <c r="CA33">
        <f ca="1">IF($AN33="",OFFSET(Demand!$A$13,ROW(K30)-1,4+((QUOTIENT(COLUMN(CA$2)-69,3))*5)+MOD(COLUMN(CA$2),3),1,1),"")</f>
        <v>0</v>
      </c>
      <c r="CB33">
        <f ca="1">IF($AN33="",OFFSET(Demand!$A$13,ROW(L30)-1,4+((QUOTIENT(COLUMN(CB$2)-69,3))*5)+MOD(COLUMN(CB$2),3),1,1),"")</f>
        <v>0</v>
      </c>
      <c r="CC33">
        <f ca="1">IF($AN33="",OFFSET(Demand!$A$13,ROW(M30)-1,4+((QUOTIENT(COLUMN(CC$2)-69,3))*5)+MOD(COLUMN(CC$2),3),1,1),"")</f>
        <v>0</v>
      </c>
      <c r="CD33">
        <f ca="1">IF($AN33="",OFFSET(Demand!$A$13,ROW(N30)-1,4+((QUOTIENT(COLUMN(CD$2)-69,3))*5)+MOD(COLUMN(CD$2),3),1,1),"")</f>
        <v>0</v>
      </c>
      <c r="CE33">
        <f ca="1">IF($AN33="",OFFSET(Demand!$A$13,ROW(O30)-1,4+((QUOTIENT(COLUMN(CE$2)-69,3))*5)+MOD(COLUMN(CE$2),3),1,1),"")</f>
        <v>0</v>
      </c>
      <c r="CF33">
        <f ca="1">IF($AN33="",OFFSET(Demand!$A$13,ROW(P30)-1,4+((QUOTIENT(COLUMN(CF$2)-69,3))*5)+MOD(COLUMN(CF$2),3),1,1),"")</f>
        <v>0</v>
      </c>
      <c r="CG33">
        <f ca="1">IF($AN33="",OFFSET(Demand!$A$13,ROW(Q30)-1,4+((QUOTIENT(COLUMN(CG$2)-69,3))*5)+MOD(COLUMN(CG$2),3),1,1),"")</f>
        <v>0</v>
      </c>
      <c r="CH33">
        <f ca="1">IF($AN33="",OFFSET(Demand!$A$13,ROW(R30)-1,4+((QUOTIENT(COLUMN(CH$2)-69,3))*5)+MOD(COLUMN(CH$2),3),1,1),"")</f>
        <v>0</v>
      </c>
      <c r="CI33">
        <f ca="1">IF($AN33="",OFFSET(Demand!$A$13,ROW(S30)-1,4+((QUOTIENT(COLUMN(CI$2)-69,3))*5)+MOD(COLUMN(CI$2),3),1,1),"")</f>
        <v>0</v>
      </c>
      <c r="CJ33">
        <f ca="1">IF($AN33="",OFFSET(Demand!$A$13,ROW(T30)-1,4+((QUOTIENT(COLUMN(CJ$2)-69,3))*5)+MOD(COLUMN(CJ$2),3),1,1),"")</f>
        <v>0</v>
      </c>
      <c r="CK33">
        <f ca="1">IF($AN33="",OFFSET(Demand!$A$13,ROW(U30)-1,4+((QUOTIENT(COLUMN(CK$2)-69,3))*5)+MOD(COLUMN(CK$2),3),1,1),"")</f>
        <v>0</v>
      </c>
      <c r="CL33">
        <f ca="1">IF($AN33="",OFFSET(Demand!$A$13,ROW(V30)-1,4+((QUOTIENT(COLUMN(CL$2)-69,3))*5)+MOD(COLUMN(CL$2),3),1,1),"")</f>
        <v>0</v>
      </c>
      <c r="CM33">
        <f ca="1">IF($AN33="",OFFSET(Demand!$A$13,ROW(W30)-1,4+((QUOTIENT(COLUMN(CM$2)-69,3))*5)+MOD(COLUMN(CM$2),3),1,1),"")</f>
        <v>0</v>
      </c>
      <c r="CN33">
        <f ca="1">IF($AN33="",OFFSET(Demand!$A$13,ROW(X30)-1,4+((QUOTIENT(COLUMN(CN$2)-69,3))*5)+MOD(COLUMN(CN$2),3),1,1),"")</f>
        <v>0</v>
      </c>
      <c r="CO33">
        <f ca="1">IF($AN33="",OFFSET(Demand!$A$13,ROW(Y30)-1,4+((QUOTIENT(COLUMN(CO$2)-69,3))*5)+MOD(COLUMN(CO$2),3),1,1),"")</f>
        <v>0</v>
      </c>
      <c r="CP33">
        <f ca="1">IF($AN33="",OFFSET(Demand!$A$13,ROW(Z30)-1,4+((QUOTIENT(COLUMN(CP$2)-69,3))*5)+MOD(COLUMN(CP$2),3),1,1),"")</f>
        <v>0</v>
      </c>
      <c r="CQ33">
        <f ca="1">IF($AN33="",OFFSET(Demand!$A$13,ROW(AA30)-1,4+((QUOTIENT(COLUMN(CQ$2)-69,3))*5)+MOD(COLUMN(CQ$2),3),1,1),"")</f>
        <v>0</v>
      </c>
      <c r="CR33">
        <f ca="1">IF($AN33="",OFFSET(Demand!$A$13,ROW(AB30)-1,4+((QUOTIENT(COLUMN(CR$2)-69,3))*5)+MOD(COLUMN(CR$2),3),1,1),"")</f>
        <v>0</v>
      </c>
      <c r="CS33">
        <f ca="1">IF($AN33="",OFFSET(Demand!$A$13,ROW(AC30)-1,4+((QUOTIENT(COLUMN(CS$2)-69,3))*5)+MOD(COLUMN(CS$2),3),1,1),"")</f>
        <v>0</v>
      </c>
      <c r="CT33">
        <f ca="1">IF($AN33="",OFFSET(Demand!$A$13,ROW(AD30)-1,4+((QUOTIENT(COLUMN(CT$2)-69,3))*5)+MOD(COLUMN(CT$2),3),1,1),"")</f>
        <v>0</v>
      </c>
      <c r="CW33" s="5">
        <f ca="1">SUM(OFFSET(Demand!$H$43,ROW(A30)-1,(COLUMN(A30)-1)*5,1,1))*N$2</f>
        <v>0</v>
      </c>
      <c r="CX33" s="5">
        <f ca="1">SUM(OFFSET(Demand!$H$43,ROW(B30)-1,(COLUMN(B30)-1)*5,1,1))*O$2</f>
        <v>0</v>
      </c>
      <c r="CY33" s="5">
        <f ca="1">SUM(OFFSET(Demand!$H$43,ROW(C30)-1,(COLUMN(C30)-1)*5,1,1))*P$2</f>
        <v>0</v>
      </c>
      <c r="CZ33" s="5">
        <f ca="1">SUM(OFFSET(Demand!$H$43,ROW(D30)-1,(COLUMN(D30)-1)*5,1,1))*Q$2</f>
        <v>0</v>
      </c>
      <c r="DA33" s="5">
        <f ca="1">SUM(OFFSET(Demand!$H$43,ROW(E30)-1,(COLUMN(E30)-1)*5,1,1))*R$2</f>
        <v>0</v>
      </c>
      <c r="DB33" s="5">
        <f ca="1">SUM(OFFSET(Demand!$H$43,ROW(F30)-1,(COLUMN(F30)-1)*5,1,1))*S$2</f>
        <v>0</v>
      </c>
      <c r="DC33" s="5">
        <f ca="1">SUM(OFFSET(Demand!$H$43,ROW(G30)-1,(COLUMN(G30)-1)*5,1,1))*T$2</f>
        <v>0</v>
      </c>
      <c r="DD33" s="5">
        <f ca="1">SUM(OFFSET(Demand!$H$43,ROW(H30)-1,(COLUMN(H30)-1)*5,1,1))*U$2</f>
        <v>0</v>
      </c>
      <c r="DE33" s="5">
        <f ca="1">SUM(OFFSET(Demand!$H$43,ROW(I30)-1,(COLUMN(I30)-1)*5,1,1))*V$2</f>
        <v>0</v>
      </c>
      <c r="DF33" s="5">
        <f ca="1">SUM(OFFSET(Demand!$H$43,ROW(J30)-1,(COLUMN(J30)-1)*5,1,1))*W$2</f>
        <v>0</v>
      </c>
      <c r="DG33" s="5">
        <f t="shared" ca="1" si="9"/>
        <v>0</v>
      </c>
    </row>
    <row r="34" spans="1:111" s="5" customFormat="1" x14ac:dyDescent="0.2">
      <c r="A34" s="5">
        <f t="shared" ca="1" si="3"/>
        <v>0</v>
      </c>
      <c r="B34" s="5">
        <f ca="1">COUNTBLANK(OFFSET(Demand!$I43,0,(COLUMN(A31)-1)*5,1,1))</f>
        <v>0</v>
      </c>
      <c r="C34" s="5">
        <f ca="1">COUNTBLANK(OFFSET(Demand!$I43,0,(COLUMN(B31)-1)*5,1,1))</f>
        <v>0</v>
      </c>
      <c r="D34" s="5">
        <f ca="1">COUNTBLANK(OFFSET(Demand!$I43,0,(COLUMN(C31)-1)*5,1,1))</f>
        <v>1</v>
      </c>
      <c r="E34" s="5">
        <f ca="1">COUNTBLANK(OFFSET(Demand!$I43,0,(COLUMN(D31)-1)*5,1,1))</f>
        <v>1</v>
      </c>
      <c r="F34" s="5">
        <f ca="1">COUNTBLANK(OFFSET(Demand!$I43,0,(COLUMN(E31)-1)*5,1,1))</f>
        <v>1</v>
      </c>
      <c r="G34" s="5">
        <f ca="1">COUNTBLANK(OFFSET(Demand!$I43,0,(COLUMN(F31)-1)*5,1,1))</f>
        <v>1</v>
      </c>
      <c r="H34" s="5">
        <f ca="1">COUNTBLANK(OFFSET(Demand!$I43,0,(COLUMN(G31)-1)*5,1,1))</f>
        <v>1</v>
      </c>
      <c r="I34" s="5">
        <f ca="1">COUNTBLANK(OFFSET(Demand!$I43,0,(COLUMN(H31)-1)*5,1,1))</f>
        <v>1</v>
      </c>
      <c r="J34" s="5">
        <f ca="1">COUNTBLANK(OFFSET(Demand!$I43,0,(COLUMN(I31)-1)*5,1,1))</f>
        <v>1</v>
      </c>
      <c r="K34" s="5">
        <f ca="1">COUNTBLANK(OFFSET(Demand!$I43,0,(COLUMN(J31)-1)*5,1,1))</f>
        <v>1</v>
      </c>
      <c r="N34" s="5">
        <f ca="1">SUM(OFFSET(Demand!$E43,0,(COLUMN(A31)-1)*5,1,3))*N$2</f>
        <v>90</v>
      </c>
      <c r="O34" s="5">
        <f ca="1">SUM(OFFSET(Demand!$E43,0,(COLUMN(B31)-1)*5,1,3))*O$2</f>
        <v>640</v>
      </c>
      <c r="P34" s="5">
        <f ca="1">SUM(OFFSET(Demand!$E43,0,(COLUMN(C31)-1)*5,1,3))*P$2</f>
        <v>0</v>
      </c>
      <c r="Q34" s="5">
        <f ca="1">SUM(OFFSET(Demand!$E43,0,(COLUMN(D31)-1)*5,1,3))*Q$2</f>
        <v>0</v>
      </c>
      <c r="R34" s="5">
        <f ca="1">SUM(OFFSET(Demand!$E43,0,(COLUMN(E31)-1)*5,1,3))*R$2</f>
        <v>0</v>
      </c>
      <c r="S34" s="5">
        <f ca="1">SUM(OFFSET(Demand!$E43,0,(COLUMN(F31)-1)*5,1,3))*S$2</f>
        <v>0</v>
      </c>
      <c r="T34" s="5">
        <f ca="1">SUM(OFFSET(Demand!$E43,0,(COLUMN(G31)-1)*5,1,3))*T$2</f>
        <v>0</v>
      </c>
      <c r="U34" s="5">
        <f ca="1">SUM(OFFSET(Demand!$E43,0,(COLUMN(H31)-1)*5,1,3))*U$2</f>
        <v>0</v>
      </c>
      <c r="V34" s="5">
        <f ca="1">SUM(OFFSET(Demand!$E43,0,(COLUMN(I31)-1)*5,1,3))*V$2</f>
        <v>0</v>
      </c>
      <c r="W34" s="5">
        <f ca="1">SUM(OFFSET(Demand!$E43,0,(COLUMN(J31)-1)*5,1,3))*W$2</f>
        <v>0</v>
      </c>
      <c r="X34" s="5">
        <f t="shared" ca="1" si="4"/>
        <v>730</v>
      </c>
      <c r="Y34" s="5">
        <f t="shared" ca="1" si="5"/>
        <v>730</v>
      </c>
      <c r="Z34" s="5">
        <f ca="1">SUM(OFFSET(Demand!$H43,0,(COLUMN(A31)-1)*5,1,1))*N$2</f>
        <v>0</v>
      </c>
      <c r="AA34" s="5">
        <f ca="1">SUM(OFFSET(Demand!$H43,0,(COLUMN(B31)-1)*5,1,1))*O$2</f>
        <v>0</v>
      </c>
      <c r="AB34" s="5">
        <f ca="1">SUM(OFFSET(Demand!$H43,0,(COLUMN(C31)-1)*5,1,1))*P$2</f>
        <v>0</v>
      </c>
      <c r="AC34" s="5">
        <f ca="1">SUM(OFFSET(Demand!$H43,0,(COLUMN(D31)-1)*5,1,1))*Q$2</f>
        <v>0</v>
      </c>
      <c r="AD34" s="5">
        <f ca="1">SUM(OFFSET(Demand!$H43,0,(COLUMN(E31)-1)*5,1,1))*R$2</f>
        <v>0</v>
      </c>
      <c r="AE34" s="5">
        <f ca="1">SUM(OFFSET(Demand!$H43,0,(COLUMN(F31)-1)*5,1,1))*S$2</f>
        <v>0</v>
      </c>
      <c r="AF34" s="5">
        <f ca="1">SUM(OFFSET(Demand!$H43,0,(COLUMN(G31)-1)*5,1,1))*T$2</f>
        <v>0</v>
      </c>
      <c r="AG34" s="5">
        <f ca="1">SUM(OFFSET(Demand!$H43,0,(COLUMN(H31)-1)*5,1,1))*U$2</f>
        <v>0</v>
      </c>
      <c r="AH34" s="5">
        <f ca="1">SUM(OFFSET(Demand!$H43,0,(COLUMN(I31)-1)*5,1,1))*V$2</f>
        <v>0</v>
      </c>
      <c r="AI34" s="5">
        <f ca="1">SUM(OFFSET(Demand!$H43,0,(COLUMN(J31)-1)*5,1,1))*W$2</f>
        <v>0</v>
      </c>
      <c r="AJ34" s="5">
        <f t="shared" ca="1" si="6"/>
        <v>0</v>
      </c>
      <c r="AL34" s="5">
        <f t="shared" ca="1" si="7"/>
        <v>730</v>
      </c>
      <c r="AM34" s="5">
        <f t="shared" ca="1" si="8"/>
        <v>0</v>
      </c>
      <c r="AN34" s="5" t="str">
        <f>IF(Demand!BE43="Yes","Yes","")</f>
        <v/>
      </c>
      <c r="AP34" s="37" t="str">
        <f ca="1">Demand!B43</f>
        <v xml:space="preserve"> </v>
      </c>
      <c r="AQ34" s="5" t="str">
        <f ca="1">IF(TEXT(Demand!D43,"MMM")&lt;&gt;TEXT(Demand!D42,"MMM"),TEXT(Demand!D43,"MMM"),"")</f>
        <v/>
      </c>
      <c r="AT34" s="5">
        <f t="shared" ca="1" si="10"/>
        <v>410</v>
      </c>
      <c r="BQ34">
        <f ca="1">IF($AN34="",OFFSET(Demand!$A$13,ROW(A31)-1,4+((QUOTIENT(COLUMN(BQ$2)-69,3))*5)+MOD(COLUMN(BQ$2),3),1,1),"")</f>
        <v>0</v>
      </c>
      <c r="BR34">
        <f ca="1">IF($AN34="",OFFSET(Demand!$A$13,ROW(B31)-1,4+((QUOTIENT(COLUMN(BR$2)-69,3))*5)+MOD(COLUMN(BR$2),3),1,1),"")</f>
        <v>1</v>
      </c>
      <c r="BS34">
        <f ca="1">IF($AN34="",OFFSET(Demand!$A$13,ROW(C31)-1,4+((QUOTIENT(COLUMN(BS$2)-69,3))*5)+MOD(COLUMN(BS$2),3),1,1),"")</f>
        <v>2</v>
      </c>
      <c r="BT34">
        <f ca="1">IF($AN34="",OFFSET(Demand!$A$13,ROW(D31)-1,4+((QUOTIENT(COLUMN(BT$2)-69,3))*5)+MOD(COLUMN(BT$2),3),1,1),"")</f>
        <v>0</v>
      </c>
      <c r="BU34">
        <f ca="1">IF($AN34="",OFFSET(Demand!$A$13,ROW(E31)-1,4+((QUOTIENT(COLUMN(BU$2)-69,3))*5)+MOD(COLUMN(BU$2),3),1,1),"")</f>
        <v>2</v>
      </c>
      <c r="BV34">
        <f ca="1">IF($AN34="",OFFSET(Demand!$A$13,ROW(F31)-1,4+((QUOTIENT(COLUMN(BV$2)-69,3))*5)+MOD(COLUMN(BV$2),3),1,1),"")</f>
        <v>14</v>
      </c>
      <c r="BW34">
        <f ca="1">IF($AN34="",OFFSET(Demand!$A$13,ROW(G31)-1,4+((QUOTIENT(COLUMN(BW$2)-69,3))*5)+MOD(COLUMN(BW$2),3),1,1),"")</f>
        <v>0</v>
      </c>
      <c r="BX34">
        <f ca="1">IF($AN34="",OFFSET(Demand!$A$13,ROW(H31)-1,4+((QUOTIENT(COLUMN(BX$2)-69,3))*5)+MOD(COLUMN(BX$2),3),1,1),"")</f>
        <v>0</v>
      </c>
      <c r="BY34">
        <f ca="1">IF($AN34="",OFFSET(Demand!$A$13,ROW(I31)-1,4+((QUOTIENT(COLUMN(BY$2)-69,3))*5)+MOD(COLUMN(BY$2),3),1,1),"")</f>
        <v>0</v>
      </c>
      <c r="BZ34">
        <f ca="1">IF($AN34="",OFFSET(Demand!$A$13,ROW(J31)-1,4+((QUOTIENT(COLUMN(BZ$2)-69,3))*5)+MOD(COLUMN(BZ$2),3),1,1),"")</f>
        <v>0</v>
      </c>
      <c r="CA34">
        <f ca="1">IF($AN34="",OFFSET(Demand!$A$13,ROW(K31)-1,4+((QUOTIENT(COLUMN(CA$2)-69,3))*5)+MOD(COLUMN(CA$2),3),1,1),"")</f>
        <v>0</v>
      </c>
      <c r="CB34">
        <f ca="1">IF($AN34="",OFFSET(Demand!$A$13,ROW(L31)-1,4+((QUOTIENT(COLUMN(CB$2)-69,3))*5)+MOD(COLUMN(CB$2),3),1,1),"")</f>
        <v>0</v>
      </c>
      <c r="CC34">
        <f ca="1">IF($AN34="",OFFSET(Demand!$A$13,ROW(M31)-1,4+((QUOTIENT(COLUMN(CC$2)-69,3))*5)+MOD(COLUMN(CC$2),3),1,1),"")</f>
        <v>0</v>
      </c>
      <c r="CD34">
        <f ca="1">IF($AN34="",OFFSET(Demand!$A$13,ROW(N31)-1,4+((QUOTIENT(COLUMN(CD$2)-69,3))*5)+MOD(COLUMN(CD$2),3),1,1),"")</f>
        <v>0</v>
      </c>
      <c r="CE34">
        <f ca="1">IF($AN34="",OFFSET(Demand!$A$13,ROW(O31)-1,4+((QUOTIENT(COLUMN(CE$2)-69,3))*5)+MOD(COLUMN(CE$2),3),1,1),"")</f>
        <v>0</v>
      </c>
      <c r="CF34">
        <f ca="1">IF($AN34="",OFFSET(Demand!$A$13,ROW(P31)-1,4+((QUOTIENT(COLUMN(CF$2)-69,3))*5)+MOD(COLUMN(CF$2),3),1,1),"")</f>
        <v>0</v>
      </c>
      <c r="CG34">
        <f ca="1">IF($AN34="",OFFSET(Demand!$A$13,ROW(Q31)-1,4+((QUOTIENT(COLUMN(CG$2)-69,3))*5)+MOD(COLUMN(CG$2),3),1,1),"")</f>
        <v>0</v>
      </c>
      <c r="CH34">
        <f ca="1">IF($AN34="",OFFSET(Demand!$A$13,ROW(R31)-1,4+((QUOTIENT(COLUMN(CH$2)-69,3))*5)+MOD(COLUMN(CH$2),3),1,1),"")</f>
        <v>0</v>
      </c>
      <c r="CI34">
        <f ca="1">IF($AN34="",OFFSET(Demand!$A$13,ROW(S31)-1,4+((QUOTIENT(COLUMN(CI$2)-69,3))*5)+MOD(COLUMN(CI$2),3),1,1),"")</f>
        <v>0</v>
      </c>
      <c r="CJ34">
        <f ca="1">IF($AN34="",OFFSET(Demand!$A$13,ROW(T31)-1,4+((QUOTIENT(COLUMN(CJ$2)-69,3))*5)+MOD(COLUMN(CJ$2),3),1,1),"")</f>
        <v>0</v>
      </c>
      <c r="CK34">
        <f ca="1">IF($AN34="",OFFSET(Demand!$A$13,ROW(U31)-1,4+((QUOTIENT(COLUMN(CK$2)-69,3))*5)+MOD(COLUMN(CK$2),3),1,1),"")</f>
        <v>0</v>
      </c>
      <c r="CL34">
        <f ca="1">IF($AN34="",OFFSET(Demand!$A$13,ROW(V31)-1,4+((QUOTIENT(COLUMN(CL$2)-69,3))*5)+MOD(COLUMN(CL$2),3),1,1),"")</f>
        <v>0</v>
      </c>
      <c r="CM34">
        <f ca="1">IF($AN34="",OFFSET(Demand!$A$13,ROW(W31)-1,4+((QUOTIENT(COLUMN(CM$2)-69,3))*5)+MOD(COLUMN(CM$2),3),1,1),"")</f>
        <v>0</v>
      </c>
      <c r="CN34">
        <f ca="1">IF($AN34="",OFFSET(Demand!$A$13,ROW(X31)-1,4+((QUOTIENT(COLUMN(CN$2)-69,3))*5)+MOD(COLUMN(CN$2),3),1,1),"")</f>
        <v>0</v>
      </c>
      <c r="CO34">
        <f ca="1">IF($AN34="",OFFSET(Demand!$A$13,ROW(Y31)-1,4+((QUOTIENT(COLUMN(CO$2)-69,3))*5)+MOD(COLUMN(CO$2),3),1,1),"")</f>
        <v>0</v>
      </c>
      <c r="CP34">
        <f ca="1">IF($AN34="",OFFSET(Demand!$A$13,ROW(Z31)-1,4+((QUOTIENT(COLUMN(CP$2)-69,3))*5)+MOD(COLUMN(CP$2),3),1,1),"")</f>
        <v>0</v>
      </c>
      <c r="CQ34">
        <f ca="1">IF($AN34="",OFFSET(Demand!$A$13,ROW(AA31)-1,4+((QUOTIENT(COLUMN(CQ$2)-69,3))*5)+MOD(COLUMN(CQ$2),3),1,1),"")</f>
        <v>0</v>
      </c>
      <c r="CR34">
        <f ca="1">IF($AN34="",OFFSET(Demand!$A$13,ROW(AB31)-1,4+((QUOTIENT(COLUMN(CR$2)-69,3))*5)+MOD(COLUMN(CR$2),3),1,1),"")</f>
        <v>0</v>
      </c>
      <c r="CS34">
        <f ca="1">IF($AN34="",OFFSET(Demand!$A$13,ROW(AC31)-1,4+((QUOTIENT(COLUMN(CS$2)-69,3))*5)+MOD(COLUMN(CS$2),3),1,1),"")</f>
        <v>0</v>
      </c>
      <c r="CT34">
        <f ca="1">IF($AN34="",OFFSET(Demand!$A$13,ROW(AD31)-1,4+((QUOTIENT(COLUMN(CT$2)-69,3))*5)+MOD(COLUMN(CT$2),3),1,1),"")</f>
        <v>0</v>
      </c>
      <c r="CW34" s="5">
        <f ca="1">SUM(OFFSET(Demand!$H$43,ROW(A31)-1,(COLUMN(A31)-1)*5,1,1))*N$2</f>
        <v>0</v>
      </c>
      <c r="CX34" s="5">
        <f ca="1">SUM(OFFSET(Demand!$H$43,ROW(B31)-1,(COLUMN(B31)-1)*5,1,1))*O$2</f>
        <v>0</v>
      </c>
      <c r="CY34" s="5">
        <f ca="1">SUM(OFFSET(Demand!$H$43,ROW(C31)-1,(COLUMN(C31)-1)*5,1,1))*P$2</f>
        <v>0</v>
      </c>
      <c r="CZ34" s="5">
        <f ca="1">SUM(OFFSET(Demand!$H$43,ROW(D31)-1,(COLUMN(D31)-1)*5,1,1))*Q$2</f>
        <v>0</v>
      </c>
      <c r="DA34" s="5">
        <f ca="1">SUM(OFFSET(Demand!$H$43,ROW(E31)-1,(COLUMN(E31)-1)*5,1,1))*R$2</f>
        <v>0</v>
      </c>
      <c r="DB34" s="5">
        <f ca="1">SUM(OFFSET(Demand!$H$43,ROW(F31)-1,(COLUMN(F31)-1)*5,1,1))*S$2</f>
        <v>0</v>
      </c>
      <c r="DC34" s="5">
        <f ca="1">SUM(OFFSET(Demand!$H$43,ROW(G31)-1,(COLUMN(G31)-1)*5,1,1))*T$2</f>
        <v>0</v>
      </c>
      <c r="DD34" s="5">
        <f ca="1">SUM(OFFSET(Demand!$H$43,ROW(H31)-1,(COLUMN(H31)-1)*5,1,1))*U$2</f>
        <v>0</v>
      </c>
      <c r="DE34" s="5">
        <f ca="1">SUM(OFFSET(Demand!$H$43,ROW(I31)-1,(COLUMN(I31)-1)*5,1,1))*V$2</f>
        <v>0</v>
      </c>
      <c r="DF34" s="5">
        <f ca="1">SUM(OFFSET(Demand!$H$43,ROW(J31)-1,(COLUMN(J31)-1)*5,1,1))*W$2</f>
        <v>0</v>
      </c>
      <c r="DG34" s="5">
        <f t="shared" ca="1" si="9"/>
        <v>0</v>
      </c>
    </row>
    <row r="35" spans="1:111" s="5" customFormat="1" x14ac:dyDescent="0.2">
      <c r="A35" s="5">
        <f t="shared" ca="1" si="3"/>
        <v>0</v>
      </c>
      <c r="B35" s="5">
        <f ca="1">COUNTBLANK(OFFSET(Demand!$I44,0,(COLUMN(A32)-1)*5,1,1))</f>
        <v>0</v>
      </c>
      <c r="C35" s="5">
        <f ca="1">COUNTBLANK(OFFSET(Demand!$I44,0,(COLUMN(B32)-1)*5,1,1))</f>
        <v>0</v>
      </c>
      <c r="D35" s="5">
        <f ca="1">COUNTBLANK(OFFSET(Demand!$I44,0,(COLUMN(C32)-1)*5,1,1))</f>
        <v>1</v>
      </c>
      <c r="E35" s="5">
        <f ca="1">COUNTBLANK(OFFSET(Demand!$I44,0,(COLUMN(D32)-1)*5,1,1))</f>
        <v>1</v>
      </c>
      <c r="F35" s="5">
        <f ca="1">COUNTBLANK(OFFSET(Demand!$I44,0,(COLUMN(E32)-1)*5,1,1))</f>
        <v>1</v>
      </c>
      <c r="G35" s="5">
        <f ca="1">COUNTBLANK(OFFSET(Demand!$I44,0,(COLUMN(F32)-1)*5,1,1))</f>
        <v>1</v>
      </c>
      <c r="H35" s="5">
        <f ca="1">COUNTBLANK(OFFSET(Demand!$I44,0,(COLUMN(G32)-1)*5,1,1))</f>
        <v>1</v>
      </c>
      <c r="I35" s="5">
        <f ca="1">COUNTBLANK(OFFSET(Demand!$I44,0,(COLUMN(H32)-1)*5,1,1))</f>
        <v>1</v>
      </c>
      <c r="J35" s="5">
        <f ca="1">COUNTBLANK(OFFSET(Demand!$I44,0,(COLUMN(I32)-1)*5,1,1))</f>
        <v>1</v>
      </c>
      <c r="K35" s="5">
        <f ca="1">COUNTBLANK(OFFSET(Demand!$I44,0,(COLUMN(J32)-1)*5,1,1))</f>
        <v>1</v>
      </c>
      <c r="N35" s="5">
        <f ca="1">SUM(OFFSET(Demand!$E44,0,(COLUMN(A32)-1)*5,1,3))*N$2</f>
        <v>180</v>
      </c>
      <c r="O35" s="5">
        <f ca="1">SUM(OFFSET(Demand!$E44,0,(COLUMN(B32)-1)*5,1,3))*O$2</f>
        <v>400</v>
      </c>
      <c r="P35" s="5">
        <f ca="1">SUM(OFFSET(Demand!$E44,0,(COLUMN(C32)-1)*5,1,3))*P$2</f>
        <v>0</v>
      </c>
      <c r="Q35" s="5">
        <f ca="1">SUM(OFFSET(Demand!$E44,0,(COLUMN(D32)-1)*5,1,3))*Q$2</f>
        <v>0</v>
      </c>
      <c r="R35" s="5">
        <f ca="1">SUM(OFFSET(Demand!$E44,0,(COLUMN(E32)-1)*5,1,3))*R$2</f>
        <v>0</v>
      </c>
      <c r="S35" s="5">
        <f ca="1">SUM(OFFSET(Demand!$E44,0,(COLUMN(F32)-1)*5,1,3))*S$2</f>
        <v>0</v>
      </c>
      <c r="T35" s="5">
        <f ca="1">SUM(OFFSET(Demand!$E44,0,(COLUMN(G32)-1)*5,1,3))*T$2</f>
        <v>0</v>
      </c>
      <c r="U35" s="5">
        <f ca="1">SUM(OFFSET(Demand!$E44,0,(COLUMN(H32)-1)*5,1,3))*U$2</f>
        <v>0</v>
      </c>
      <c r="V35" s="5">
        <f ca="1">SUM(OFFSET(Demand!$E44,0,(COLUMN(I32)-1)*5,1,3))*V$2</f>
        <v>0</v>
      </c>
      <c r="W35" s="5">
        <f ca="1">SUM(OFFSET(Demand!$E44,0,(COLUMN(J32)-1)*5,1,3))*W$2</f>
        <v>0</v>
      </c>
      <c r="X35" s="5">
        <f t="shared" ca="1" si="4"/>
        <v>580</v>
      </c>
      <c r="Y35" s="5">
        <f t="shared" ca="1" si="5"/>
        <v>580</v>
      </c>
      <c r="Z35" s="5">
        <f ca="1">SUM(OFFSET(Demand!$H44,0,(COLUMN(A32)-1)*5,1,1))*N$2</f>
        <v>0</v>
      </c>
      <c r="AA35" s="5">
        <f ca="1">SUM(OFFSET(Demand!$H44,0,(COLUMN(B32)-1)*5,1,1))*O$2</f>
        <v>0</v>
      </c>
      <c r="AB35" s="5">
        <f ca="1">SUM(OFFSET(Demand!$H44,0,(COLUMN(C32)-1)*5,1,1))*P$2</f>
        <v>0</v>
      </c>
      <c r="AC35" s="5">
        <f ca="1">SUM(OFFSET(Demand!$H44,0,(COLUMN(D32)-1)*5,1,1))*Q$2</f>
        <v>0</v>
      </c>
      <c r="AD35" s="5">
        <f ca="1">SUM(OFFSET(Demand!$H44,0,(COLUMN(E32)-1)*5,1,1))*R$2</f>
        <v>0</v>
      </c>
      <c r="AE35" s="5">
        <f ca="1">SUM(OFFSET(Demand!$H44,0,(COLUMN(F32)-1)*5,1,1))*S$2</f>
        <v>0</v>
      </c>
      <c r="AF35" s="5">
        <f ca="1">SUM(OFFSET(Demand!$H44,0,(COLUMN(G32)-1)*5,1,1))*T$2</f>
        <v>0</v>
      </c>
      <c r="AG35" s="5">
        <f ca="1">SUM(OFFSET(Demand!$H44,0,(COLUMN(H32)-1)*5,1,1))*U$2</f>
        <v>0</v>
      </c>
      <c r="AH35" s="5">
        <f ca="1">SUM(OFFSET(Demand!$H44,0,(COLUMN(I32)-1)*5,1,1))*V$2</f>
        <v>0</v>
      </c>
      <c r="AI35" s="5">
        <f ca="1">SUM(OFFSET(Demand!$H44,0,(COLUMN(J32)-1)*5,1,1))*W$2</f>
        <v>0</v>
      </c>
      <c r="AJ35" s="5">
        <f t="shared" ca="1" si="6"/>
        <v>0</v>
      </c>
      <c r="AL35" s="5">
        <f t="shared" ca="1" si="7"/>
        <v>580</v>
      </c>
      <c r="AM35" s="5">
        <f t="shared" ca="1" si="8"/>
        <v>0</v>
      </c>
      <c r="AN35" s="5" t="str">
        <f>IF(Demand!BE44="Yes","Yes","")</f>
        <v/>
      </c>
      <c r="AP35" s="37" t="str">
        <f ca="1">Demand!B44</f>
        <v xml:space="preserve"> </v>
      </c>
      <c r="AQ35" s="5" t="str">
        <f ca="1">IF(TEXT(Demand!D44,"MMM")&lt;&gt;TEXT(Demand!D43,"MMM"),TEXT(Demand!D44,"MMM"),"")</f>
        <v>Nov</v>
      </c>
      <c r="AT35" s="5">
        <f t="shared" ca="1" si="10"/>
        <v>150</v>
      </c>
      <c r="BQ35">
        <f ca="1">IF($AN35="",OFFSET(Demand!$A$13,ROW(A32)-1,4+((QUOTIENT(COLUMN(BQ$2)-69,3))*5)+MOD(COLUMN(BQ$2),3),1,1),"")</f>
        <v>0</v>
      </c>
      <c r="BR35">
        <f ca="1">IF($AN35="",OFFSET(Demand!$A$13,ROW(B32)-1,4+((QUOTIENT(COLUMN(BR$2)-69,3))*5)+MOD(COLUMN(BR$2),3),1,1),"")</f>
        <v>0</v>
      </c>
      <c r="BS35">
        <f ca="1">IF($AN35="",OFFSET(Demand!$A$13,ROW(C32)-1,4+((QUOTIENT(COLUMN(BS$2)-69,3))*5)+MOD(COLUMN(BS$2),3),1,1),"")</f>
        <v>6</v>
      </c>
      <c r="BT35">
        <f ca="1">IF($AN35="",OFFSET(Demand!$A$13,ROW(D32)-1,4+((QUOTIENT(COLUMN(BT$2)-69,3))*5)+MOD(COLUMN(BT$2),3),1,1),"")</f>
        <v>0</v>
      </c>
      <c r="BU35">
        <f ca="1">IF($AN35="",OFFSET(Demand!$A$13,ROW(E32)-1,4+((QUOTIENT(COLUMN(BU$2)-69,3))*5)+MOD(COLUMN(BU$2),3),1,1),"")</f>
        <v>2</v>
      </c>
      <c r="BV35">
        <f ca="1">IF($AN35="",OFFSET(Demand!$A$13,ROW(F32)-1,4+((QUOTIENT(COLUMN(BV$2)-69,3))*5)+MOD(COLUMN(BV$2),3),1,1),"")</f>
        <v>8</v>
      </c>
      <c r="BW35">
        <f ca="1">IF($AN35="",OFFSET(Demand!$A$13,ROW(G32)-1,4+((QUOTIENT(COLUMN(BW$2)-69,3))*5)+MOD(COLUMN(BW$2),3),1,1),"")</f>
        <v>0</v>
      </c>
      <c r="BX35">
        <f ca="1">IF($AN35="",OFFSET(Demand!$A$13,ROW(H32)-1,4+((QUOTIENT(COLUMN(BX$2)-69,3))*5)+MOD(COLUMN(BX$2),3),1,1),"")</f>
        <v>0</v>
      </c>
      <c r="BY35">
        <f ca="1">IF($AN35="",OFFSET(Demand!$A$13,ROW(I32)-1,4+((QUOTIENT(COLUMN(BY$2)-69,3))*5)+MOD(COLUMN(BY$2),3),1,1),"")</f>
        <v>0</v>
      </c>
      <c r="BZ35">
        <f ca="1">IF($AN35="",OFFSET(Demand!$A$13,ROW(J32)-1,4+((QUOTIENT(COLUMN(BZ$2)-69,3))*5)+MOD(COLUMN(BZ$2),3),1,1),"")</f>
        <v>0</v>
      </c>
      <c r="CA35">
        <f ca="1">IF($AN35="",OFFSET(Demand!$A$13,ROW(K32)-1,4+((QUOTIENT(COLUMN(CA$2)-69,3))*5)+MOD(COLUMN(CA$2),3),1,1),"")</f>
        <v>0</v>
      </c>
      <c r="CB35">
        <f ca="1">IF($AN35="",OFFSET(Demand!$A$13,ROW(L32)-1,4+((QUOTIENT(COLUMN(CB$2)-69,3))*5)+MOD(COLUMN(CB$2),3),1,1),"")</f>
        <v>0</v>
      </c>
      <c r="CC35">
        <f ca="1">IF($AN35="",OFFSET(Demand!$A$13,ROW(M32)-1,4+((QUOTIENT(COLUMN(CC$2)-69,3))*5)+MOD(COLUMN(CC$2),3),1,1),"")</f>
        <v>0</v>
      </c>
      <c r="CD35">
        <f ca="1">IF($AN35="",OFFSET(Demand!$A$13,ROW(N32)-1,4+((QUOTIENT(COLUMN(CD$2)-69,3))*5)+MOD(COLUMN(CD$2),3),1,1),"")</f>
        <v>0</v>
      </c>
      <c r="CE35">
        <f ca="1">IF($AN35="",OFFSET(Demand!$A$13,ROW(O32)-1,4+((QUOTIENT(COLUMN(CE$2)-69,3))*5)+MOD(COLUMN(CE$2),3),1,1),"")</f>
        <v>0</v>
      </c>
      <c r="CF35">
        <f ca="1">IF($AN35="",OFFSET(Demand!$A$13,ROW(P32)-1,4+((QUOTIENT(COLUMN(CF$2)-69,3))*5)+MOD(COLUMN(CF$2),3),1,1),"")</f>
        <v>0</v>
      </c>
      <c r="CG35">
        <f ca="1">IF($AN35="",OFFSET(Demand!$A$13,ROW(Q32)-1,4+((QUOTIENT(COLUMN(CG$2)-69,3))*5)+MOD(COLUMN(CG$2),3),1,1),"")</f>
        <v>0</v>
      </c>
      <c r="CH35">
        <f ca="1">IF($AN35="",OFFSET(Demand!$A$13,ROW(R32)-1,4+((QUOTIENT(COLUMN(CH$2)-69,3))*5)+MOD(COLUMN(CH$2),3),1,1),"")</f>
        <v>0</v>
      </c>
      <c r="CI35">
        <f ca="1">IF($AN35="",OFFSET(Demand!$A$13,ROW(S32)-1,4+((QUOTIENT(COLUMN(CI$2)-69,3))*5)+MOD(COLUMN(CI$2),3),1,1),"")</f>
        <v>0</v>
      </c>
      <c r="CJ35">
        <f ca="1">IF($AN35="",OFFSET(Demand!$A$13,ROW(T32)-1,4+((QUOTIENT(COLUMN(CJ$2)-69,3))*5)+MOD(COLUMN(CJ$2),3),1,1),"")</f>
        <v>0</v>
      </c>
      <c r="CK35">
        <f ca="1">IF($AN35="",OFFSET(Demand!$A$13,ROW(U32)-1,4+((QUOTIENT(COLUMN(CK$2)-69,3))*5)+MOD(COLUMN(CK$2),3),1,1),"")</f>
        <v>0</v>
      </c>
      <c r="CL35">
        <f ca="1">IF($AN35="",OFFSET(Demand!$A$13,ROW(V32)-1,4+((QUOTIENT(COLUMN(CL$2)-69,3))*5)+MOD(COLUMN(CL$2),3),1,1),"")</f>
        <v>0</v>
      </c>
      <c r="CM35">
        <f ca="1">IF($AN35="",OFFSET(Demand!$A$13,ROW(W32)-1,4+((QUOTIENT(COLUMN(CM$2)-69,3))*5)+MOD(COLUMN(CM$2),3),1,1),"")</f>
        <v>0</v>
      </c>
      <c r="CN35">
        <f ca="1">IF($AN35="",OFFSET(Demand!$A$13,ROW(X32)-1,4+((QUOTIENT(COLUMN(CN$2)-69,3))*5)+MOD(COLUMN(CN$2),3),1,1),"")</f>
        <v>0</v>
      </c>
      <c r="CO35">
        <f ca="1">IF($AN35="",OFFSET(Demand!$A$13,ROW(Y32)-1,4+((QUOTIENT(COLUMN(CO$2)-69,3))*5)+MOD(COLUMN(CO$2),3),1,1),"")</f>
        <v>0</v>
      </c>
      <c r="CP35">
        <f ca="1">IF($AN35="",OFFSET(Demand!$A$13,ROW(Z32)-1,4+((QUOTIENT(COLUMN(CP$2)-69,3))*5)+MOD(COLUMN(CP$2),3),1,1),"")</f>
        <v>0</v>
      </c>
      <c r="CQ35">
        <f ca="1">IF($AN35="",OFFSET(Demand!$A$13,ROW(AA32)-1,4+((QUOTIENT(COLUMN(CQ$2)-69,3))*5)+MOD(COLUMN(CQ$2),3),1,1),"")</f>
        <v>0</v>
      </c>
      <c r="CR35">
        <f ca="1">IF($AN35="",OFFSET(Demand!$A$13,ROW(AB32)-1,4+((QUOTIENT(COLUMN(CR$2)-69,3))*5)+MOD(COLUMN(CR$2),3),1,1),"")</f>
        <v>0</v>
      </c>
      <c r="CS35">
        <f ca="1">IF($AN35="",OFFSET(Demand!$A$13,ROW(AC32)-1,4+((QUOTIENT(COLUMN(CS$2)-69,3))*5)+MOD(COLUMN(CS$2),3),1,1),"")</f>
        <v>0</v>
      </c>
      <c r="CT35">
        <f ca="1">IF($AN35="",OFFSET(Demand!$A$13,ROW(AD32)-1,4+((QUOTIENT(COLUMN(CT$2)-69,3))*5)+MOD(COLUMN(CT$2),3),1,1),"")</f>
        <v>0</v>
      </c>
      <c r="CW35" s="5">
        <f ca="1">SUM(OFFSET(Demand!$H$43,ROW(A32)-1,(COLUMN(A32)-1)*5,1,1))*N$2</f>
        <v>0</v>
      </c>
      <c r="CX35" s="5">
        <f ca="1">SUM(OFFSET(Demand!$H$43,ROW(B32)-1,(COLUMN(B32)-1)*5,1,1))*O$2</f>
        <v>0</v>
      </c>
      <c r="CY35" s="5">
        <f ca="1">SUM(OFFSET(Demand!$H$43,ROW(C32)-1,(COLUMN(C32)-1)*5,1,1))*P$2</f>
        <v>0</v>
      </c>
      <c r="CZ35" s="5">
        <f ca="1">SUM(OFFSET(Demand!$H$43,ROW(D32)-1,(COLUMN(D32)-1)*5,1,1))*Q$2</f>
        <v>0</v>
      </c>
      <c r="DA35" s="5">
        <f ca="1">SUM(OFFSET(Demand!$H$43,ROW(E32)-1,(COLUMN(E32)-1)*5,1,1))*R$2</f>
        <v>0</v>
      </c>
      <c r="DB35" s="5">
        <f ca="1">SUM(OFFSET(Demand!$H$43,ROW(F32)-1,(COLUMN(F32)-1)*5,1,1))*S$2</f>
        <v>0</v>
      </c>
      <c r="DC35" s="5">
        <f ca="1">SUM(OFFSET(Demand!$H$43,ROW(G32)-1,(COLUMN(G32)-1)*5,1,1))*T$2</f>
        <v>0</v>
      </c>
      <c r="DD35" s="5">
        <f ca="1">SUM(OFFSET(Demand!$H$43,ROW(H32)-1,(COLUMN(H32)-1)*5,1,1))*U$2</f>
        <v>0</v>
      </c>
      <c r="DE35" s="5">
        <f ca="1">SUM(OFFSET(Demand!$H$43,ROW(I32)-1,(COLUMN(I32)-1)*5,1,1))*V$2</f>
        <v>0</v>
      </c>
      <c r="DF35" s="5">
        <f ca="1">SUM(OFFSET(Demand!$H$43,ROW(J32)-1,(COLUMN(J32)-1)*5,1,1))*W$2</f>
        <v>0</v>
      </c>
      <c r="DG35" s="5">
        <f t="shared" ca="1" si="9"/>
        <v>0</v>
      </c>
    </row>
    <row r="36" spans="1:111" s="5" customFormat="1" x14ac:dyDescent="0.2">
      <c r="A36" s="5">
        <f t="shared" ref="A36:A55" ca="1" si="29">SUM(OFFSET(B36,0,0,1,Num_Modalities))</f>
        <v>0</v>
      </c>
      <c r="B36" s="5">
        <f ca="1">COUNTBLANK(OFFSET(Demand!$I45,0,(COLUMN(A33)-1)*5,1,1))</f>
        <v>0</v>
      </c>
      <c r="C36" s="5">
        <f ca="1">COUNTBLANK(OFFSET(Demand!$I45,0,(COLUMN(B33)-1)*5,1,1))</f>
        <v>0</v>
      </c>
      <c r="D36" s="5">
        <f ca="1">COUNTBLANK(OFFSET(Demand!$I45,0,(COLUMN(C33)-1)*5,1,1))</f>
        <v>1</v>
      </c>
      <c r="E36" s="5">
        <f ca="1">COUNTBLANK(OFFSET(Demand!$I45,0,(COLUMN(D33)-1)*5,1,1))</f>
        <v>1</v>
      </c>
      <c r="F36" s="5">
        <f ca="1">COUNTBLANK(OFFSET(Demand!$I45,0,(COLUMN(E33)-1)*5,1,1))</f>
        <v>1</v>
      </c>
      <c r="G36" s="5">
        <f ca="1">COUNTBLANK(OFFSET(Demand!$I45,0,(COLUMN(F33)-1)*5,1,1))</f>
        <v>1</v>
      </c>
      <c r="H36" s="5">
        <f ca="1">COUNTBLANK(OFFSET(Demand!$I45,0,(COLUMN(G33)-1)*5,1,1))</f>
        <v>1</v>
      </c>
      <c r="I36" s="5">
        <f ca="1">COUNTBLANK(OFFSET(Demand!$I45,0,(COLUMN(H33)-1)*5,1,1))</f>
        <v>1</v>
      </c>
      <c r="J36" s="5">
        <f ca="1">COUNTBLANK(OFFSET(Demand!$I45,0,(COLUMN(I33)-1)*5,1,1))</f>
        <v>1</v>
      </c>
      <c r="K36" s="5">
        <f ca="1">COUNTBLANK(OFFSET(Demand!$I45,0,(COLUMN(J33)-1)*5,1,1))</f>
        <v>1</v>
      </c>
      <c r="N36" s="5">
        <f ca="1">SUM(OFFSET(Demand!$E45,0,(COLUMN(A33)-1)*5,1,3))*N$2</f>
        <v>210</v>
      </c>
      <c r="O36" s="5">
        <f ca="1">SUM(OFFSET(Demand!$E45,0,(COLUMN(B33)-1)*5,1,3))*O$2</f>
        <v>240</v>
      </c>
      <c r="P36" s="5">
        <f ca="1">SUM(OFFSET(Demand!$E45,0,(COLUMN(C33)-1)*5,1,3))*P$2</f>
        <v>0</v>
      </c>
      <c r="Q36" s="5">
        <f ca="1">SUM(OFFSET(Demand!$E45,0,(COLUMN(D33)-1)*5,1,3))*Q$2</f>
        <v>0</v>
      </c>
      <c r="R36" s="5">
        <f ca="1">SUM(OFFSET(Demand!$E45,0,(COLUMN(E33)-1)*5,1,3))*R$2</f>
        <v>0</v>
      </c>
      <c r="S36" s="5">
        <f ca="1">SUM(OFFSET(Demand!$E45,0,(COLUMN(F33)-1)*5,1,3))*S$2</f>
        <v>0</v>
      </c>
      <c r="T36" s="5">
        <f ca="1">SUM(OFFSET(Demand!$E45,0,(COLUMN(G33)-1)*5,1,3))*T$2</f>
        <v>0</v>
      </c>
      <c r="U36" s="5">
        <f ca="1">SUM(OFFSET(Demand!$E45,0,(COLUMN(H33)-1)*5,1,3))*U$2</f>
        <v>0</v>
      </c>
      <c r="V36" s="5">
        <f ca="1">SUM(OFFSET(Demand!$E45,0,(COLUMN(I33)-1)*5,1,3))*V$2</f>
        <v>0</v>
      </c>
      <c r="W36" s="5">
        <f ca="1">SUM(OFFSET(Demand!$E45,0,(COLUMN(J33)-1)*5,1,3))*W$2</f>
        <v>0</v>
      </c>
      <c r="X36" s="5">
        <f t="shared" ca="1" si="4"/>
        <v>450</v>
      </c>
      <c r="Y36" s="5">
        <f t="shared" ca="1" si="5"/>
        <v>450</v>
      </c>
      <c r="Z36" s="5">
        <f ca="1">SUM(OFFSET(Demand!$H45,0,(COLUMN(A33)-1)*5,1,1))*N$2</f>
        <v>0</v>
      </c>
      <c r="AA36" s="5">
        <f ca="1">SUM(OFFSET(Demand!$H45,0,(COLUMN(B33)-1)*5,1,1))*O$2</f>
        <v>0</v>
      </c>
      <c r="AB36" s="5">
        <f ca="1">SUM(OFFSET(Demand!$H45,0,(COLUMN(C33)-1)*5,1,1))*P$2</f>
        <v>0</v>
      </c>
      <c r="AC36" s="5">
        <f ca="1">SUM(OFFSET(Demand!$H45,0,(COLUMN(D33)-1)*5,1,1))*Q$2</f>
        <v>0</v>
      </c>
      <c r="AD36" s="5">
        <f ca="1">SUM(OFFSET(Demand!$H45,0,(COLUMN(E33)-1)*5,1,1))*R$2</f>
        <v>0</v>
      </c>
      <c r="AE36" s="5">
        <f ca="1">SUM(OFFSET(Demand!$H45,0,(COLUMN(F33)-1)*5,1,1))*S$2</f>
        <v>0</v>
      </c>
      <c r="AF36" s="5">
        <f ca="1">SUM(OFFSET(Demand!$H45,0,(COLUMN(G33)-1)*5,1,1))*T$2</f>
        <v>0</v>
      </c>
      <c r="AG36" s="5">
        <f ca="1">SUM(OFFSET(Demand!$H45,0,(COLUMN(H33)-1)*5,1,1))*U$2</f>
        <v>0</v>
      </c>
      <c r="AH36" s="5">
        <f ca="1">SUM(OFFSET(Demand!$H45,0,(COLUMN(I33)-1)*5,1,1))*V$2</f>
        <v>0</v>
      </c>
      <c r="AI36" s="5">
        <f ca="1">SUM(OFFSET(Demand!$H45,0,(COLUMN(J33)-1)*5,1,1))*W$2</f>
        <v>0</v>
      </c>
      <c r="AJ36" s="5">
        <f t="shared" ca="1" si="6"/>
        <v>0</v>
      </c>
      <c r="AL36" s="5">
        <f t="shared" ca="1" si="7"/>
        <v>450</v>
      </c>
      <c r="AM36" s="5">
        <f t="shared" ca="1" si="8"/>
        <v>0</v>
      </c>
      <c r="AN36" s="5" t="str">
        <f>IF(Demand!BE45="Yes","Yes","")</f>
        <v/>
      </c>
      <c r="AP36" s="37" t="str">
        <f ca="1">Demand!B45</f>
        <v xml:space="preserve"> </v>
      </c>
      <c r="AQ36" s="5" t="str">
        <f ca="1">IF(TEXT(Demand!D45,"MMM")&lt;&gt;TEXT(Demand!D44,"MMM"),TEXT(Demand!D45,"MMM"),"")</f>
        <v/>
      </c>
      <c r="AT36" s="5">
        <f t="shared" ca="1" si="10"/>
        <v>130</v>
      </c>
      <c r="BQ36">
        <f ca="1">IF($AN36="",OFFSET(Demand!$A$13,ROW(A33)-1,4+((QUOTIENT(COLUMN(BQ$2)-69,3))*5)+MOD(COLUMN(BQ$2),3),1,1),"")</f>
        <v>0</v>
      </c>
      <c r="BR36">
        <f ca="1">IF($AN36="",OFFSET(Demand!$A$13,ROW(B33)-1,4+((QUOTIENT(COLUMN(BR$2)-69,3))*5)+MOD(COLUMN(BR$2),3),1,1),"")</f>
        <v>0</v>
      </c>
      <c r="BS36">
        <f ca="1">IF($AN36="",OFFSET(Demand!$A$13,ROW(C33)-1,4+((QUOTIENT(COLUMN(BS$2)-69,3))*5)+MOD(COLUMN(BS$2),3),1,1),"")</f>
        <v>7</v>
      </c>
      <c r="BT36">
        <f ca="1">IF($AN36="",OFFSET(Demand!$A$13,ROW(D33)-1,4+((QUOTIENT(COLUMN(BT$2)-69,3))*5)+MOD(COLUMN(BT$2),3),1,1),"")</f>
        <v>0</v>
      </c>
      <c r="BU36">
        <f ca="1">IF($AN36="",OFFSET(Demand!$A$13,ROW(E33)-1,4+((QUOTIENT(COLUMN(BU$2)-69,3))*5)+MOD(COLUMN(BU$2),3),1,1),"")</f>
        <v>3</v>
      </c>
      <c r="BV36">
        <f ca="1">IF($AN36="",OFFSET(Demand!$A$13,ROW(F33)-1,4+((QUOTIENT(COLUMN(BV$2)-69,3))*5)+MOD(COLUMN(BV$2),3),1,1),"")</f>
        <v>3</v>
      </c>
      <c r="BW36">
        <f ca="1">IF($AN36="",OFFSET(Demand!$A$13,ROW(G33)-1,4+((QUOTIENT(COLUMN(BW$2)-69,3))*5)+MOD(COLUMN(BW$2),3),1,1),"")</f>
        <v>0</v>
      </c>
      <c r="BX36">
        <f ca="1">IF($AN36="",OFFSET(Demand!$A$13,ROW(H33)-1,4+((QUOTIENT(COLUMN(BX$2)-69,3))*5)+MOD(COLUMN(BX$2),3),1,1),"")</f>
        <v>0</v>
      </c>
      <c r="BY36">
        <f ca="1">IF($AN36="",OFFSET(Demand!$A$13,ROW(I33)-1,4+((QUOTIENT(COLUMN(BY$2)-69,3))*5)+MOD(COLUMN(BY$2),3),1,1),"")</f>
        <v>0</v>
      </c>
      <c r="BZ36">
        <f ca="1">IF($AN36="",OFFSET(Demand!$A$13,ROW(J33)-1,4+((QUOTIENT(COLUMN(BZ$2)-69,3))*5)+MOD(COLUMN(BZ$2),3),1,1),"")</f>
        <v>0</v>
      </c>
      <c r="CA36">
        <f ca="1">IF($AN36="",OFFSET(Demand!$A$13,ROW(K33)-1,4+((QUOTIENT(COLUMN(CA$2)-69,3))*5)+MOD(COLUMN(CA$2),3),1,1),"")</f>
        <v>0</v>
      </c>
      <c r="CB36">
        <f ca="1">IF($AN36="",OFFSET(Demand!$A$13,ROW(L33)-1,4+((QUOTIENT(COLUMN(CB$2)-69,3))*5)+MOD(COLUMN(CB$2),3),1,1),"")</f>
        <v>0</v>
      </c>
      <c r="CC36">
        <f ca="1">IF($AN36="",OFFSET(Demand!$A$13,ROW(M33)-1,4+((QUOTIENT(COLUMN(CC$2)-69,3))*5)+MOD(COLUMN(CC$2),3),1,1),"")</f>
        <v>0</v>
      </c>
      <c r="CD36">
        <f ca="1">IF($AN36="",OFFSET(Demand!$A$13,ROW(N33)-1,4+((QUOTIENT(COLUMN(CD$2)-69,3))*5)+MOD(COLUMN(CD$2),3),1,1),"")</f>
        <v>0</v>
      </c>
      <c r="CE36">
        <f ca="1">IF($AN36="",OFFSET(Demand!$A$13,ROW(O33)-1,4+((QUOTIENT(COLUMN(CE$2)-69,3))*5)+MOD(COLUMN(CE$2),3),1,1),"")</f>
        <v>0</v>
      </c>
      <c r="CF36">
        <f ca="1">IF($AN36="",OFFSET(Demand!$A$13,ROW(P33)-1,4+((QUOTIENT(COLUMN(CF$2)-69,3))*5)+MOD(COLUMN(CF$2),3),1,1),"")</f>
        <v>0</v>
      </c>
      <c r="CG36">
        <f ca="1">IF($AN36="",OFFSET(Demand!$A$13,ROW(Q33)-1,4+((QUOTIENT(COLUMN(CG$2)-69,3))*5)+MOD(COLUMN(CG$2),3),1,1),"")</f>
        <v>0</v>
      </c>
      <c r="CH36">
        <f ca="1">IF($AN36="",OFFSET(Demand!$A$13,ROW(R33)-1,4+((QUOTIENT(COLUMN(CH$2)-69,3))*5)+MOD(COLUMN(CH$2),3),1,1),"")</f>
        <v>0</v>
      </c>
      <c r="CI36">
        <f ca="1">IF($AN36="",OFFSET(Demand!$A$13,ROW(S33)-1,4+((QUOTIENT(COLUMN(CI$2)-69,3))*5)+MOD(COLUMN(CI$2),3),1,1),"")</f>
        <v>0</v>
      </c>
      <c r="CJ36">
        <f ca="1">IF($AN36="",OFFSET(Demand!$A$13,ROW(T33)-1,4+((QUOTIENT(COLUMN(CJ$2)-69,3))*5)+MOD(COLUMN(CJ$2),3),1,1),"")</f>
        <v>0</v>
      </c>
      <c r="CK36">
        <f ca="1">IF($AN36="",OFFSET(Demand!$A$13,ROW(U33)-1,4+((QUOTIENT(COLUMN(CK$2)-69,3))*5)+MOD(COLUMN(CK$2),3),1,1),"")</f>
        <v>0</v>
      </c>
      <c r="CL36">
        <f ca="1">IF($AN36="",OFFSET(Demand!$A$13,ROW(V33)-1,4+((QUOTIENT(COLUMN(CL$2)-69,3))*5)+MOD(COLUMN(CL$2),3),1,1),"")</f>
        <v>0</v>
      </c>
      <c r="CM36">
        <f ca="1">IF($AN36="",OFFSET(Demand!$A$13,ROW(W33)-1,4+((QUOTIENT(COLUMN(CM$2)-69,3))*5)+MOD(COLUMN(CM$2),3),1,1),"")</f>
        <v>0</v>
      </c>
      <c r="CN36">
        <f ca="1">IF($AN36="",OFFSET(Demand!$A$13,ROW(X33)-1,4+((QUOTIENT(COLUMN(CN$2)-69,3))*5)+MOD(COLUMN(CN$2),3),1,1),"")</f>
        <v>0</v>
      </c>
      <c r="CO36">
        <f ca="1">IF($AN36="",OFFSET(Demand!$A$13,ROW(Y33)-1,4+((QUOTIENT(COLUMN(CO$2)-69,3))*5)+MOD(COLUMN(CO$2),3),1,1),"")</f>
        <v>0</v>
      </c>
      <c r="CP36">
        <f ca="1">IF($AN36="",OFFSET(Demand!$A$13,ROW(Z33)-1,4+((QUOTIENT(COLUMN(CP$2)-69,3))*5)+MOD(COLUMN(CP$2),3),1,1),"")</f>
        <v>0</v>
      </c>
      <c r="CQ36">
        <f ca="1">IF($AN36="",OFFSET(Demand!$A$13,ROW(AA33)-1,4+((QUOTIENT(COLUMN(CQ$2)-69,3))*5)+MOD(COLUMN(CQ$2),3),1,1),"")</f>
        <v>0</v>
      </c>
      <c r="CR36">
        <f ca="1">IF($AN36="",OFFSET(Demand!$A$13,ROW(AB33)-1,4+((QUOTIENT(COLUMN(CR$2)-69,3))*5)+MOD(COLUMN(CR$2),3),1,1),"")</f>
        <v>0</v>
      </c>
      <c r="CS36">
        <f ca="1">IF($AN36="",OFFSET(Demand!$A$13,ROW(AC33)-1,4+((QUOTIENT(COLUMN(CS$2)-69,3))*5)+MOD(COLUMN(CS$2),3),1,1),"")</f>
        <v>0</v>
      </c>
      <c r="CT36">
        <f ca="1">IF($AN36="",OFFSET(Demand!$A$13,ROW(AD33)-1,4+((QUOTIENT(COLUMN(CT$2)-69,3))*5)+MOD(COLUMN(CT$2),3),1,1),"")</f>
        <v>0</v>
      </c>
      <c r="CW36" s="5">
        <f ca="1">SUM(OFFSET(Demand!$H$43,ROW(A33)-1,(COLUMN(A33)-1)*5,1,1))*N$2</f>
        <v>0</v>
      </c>
      <c r="CX36" s="5">
        <f ca="1">SUM(OFFSET(Demand!$H$43,ROW(B33)-1,(COLUMN(B33)-1)*5,1,1))*O$2</f>
        <v>0</v>
      </c>
      <c r="CY36" s="5">
        <f ca="1">SUM(OFFSET(Demand!$H$43,ROW(C33)-1,(COLUMN(C33)-1)*5,1,1))*P$2</f>
        <v>0</v>
      </c>
      <c r="CZ36" s="5">
        <f ca="1">SUM(OFFSET(Demand!$H$43,ROW(D33)-1,(COLUMN(D33)-1)*5,1,1))*Q$2</f>
        <v>0</v>
      </c>
      <c r="DA36" s="5">
        <f ca="1">SUM(OFFSET(Demand!$H$43,ROW(E33)-1,(COLUMN(E33)-1)*5,1,1))*R$2</f>
        <v>0</v>
      </c>
      <c r="DB36" s="5">
        <f ca="1">SUM(OFFSET(Demand!$H$43,ROW(F33)-1,(COLUMN(F33)-1)*5,1,1))*S$2</f>
        <v>0</v>
      </c>
      <c r="DC36" s="5">
        <f ca="1">SUM(OFFSET(Demand!$H$43,ROW(G33)-1,(COLUMN(G33)-1)*5,1,1))*T$2</f>
        <v>0</v>
      </c>
      <c r="DD36" s="5">
        <f ca="1">SUM(OFFSET(Demand!$H$43,ROW(H33)-1,(COLUMN(H33)-1)*5,1,1))*U$2</f>
        <v>0</v>
      </c>
      <c r="DE36" s="5">
        <f ca="1">SUM(OFFSET(Demand!$H$43,ROW(I33)-1,(COLUMN(I33)-1)*5,1,1))*V$2</f>
        <v>0</v>
      </c>
      <c r="DF36" s="5">
        <f ca="1">SUM(OFFSET(Demand!$H$43,ROW(J33)-1,(COLUMN(J33)-1)*5,1,1))*W$2</f>
        <v>0</v>
      </c>
      <c r="DG36" s="5">
        <f t="shared" ca="1" si="9"/>
        <v>0</v>
      </c>
    </row>
    <row r="37" spans="1:111" s="5" customFormat="1" x14ac:dyDescent="0.2">
      <c r="A37" s="5">
        <f t="shared" ca="1" si="29"/>
        <v>0</v>
      </c>
      <c r="B37" s="5">
        <f ca="1">COUNTBLANK(OFFSET(Demand!$I46,0,(COLUMN(A34)-1)*5,1,1))</f>
        <v>0</v>
      </c>
      <c r="C37" s="5">
        <f ca="1">COUNTBLANK(OFFSET(Demand!$I46,0,(COLUMN(B34)-1)*5,1,1))</f>
        <v>0</v>
      </c>
      <c r="D37" s="5">
        <f ca="1">COUNTBLANK(OFFSET(Demand!$I46,0,(COLUMN(C34)-1)*5,1,1))</f>
        <v>1</v>
      </c>
      <c r="E37" s="5">
        <f ca="1">COUNTBLANK(OFFSET(Demand!$I46,0,(COLUMN(D34)-1)*5,1,1))</f>
        <v>1</v>
      </c>
      <c r="F37" s="5">
        <f ca="1">COUNTBLANK(OFFSET(Demand!$I46,0,(COLUMN(E34)-1)*5,1,1))</f>
        <v>1</v>
      </c>
      <c r="G37" s="5">
        <f ca="1">COUNTBLANK(OFFSET(Demand!$I46,0,(COLUMN(F34)-1)*5,1,1))</f>
        <v>1</v>
      </c>
      <c r="H37" s="5">
        <f ca="1">COUNTBLANK(OFFSET(Demand!$I46,0,(COLUMN(G34)-1)*5,1,1))</f>
        <v>1</v>
      </c>
      <c r="I37" s="5">
        <f ca="1">COUNTBLANK(OFFSET(Demand!$I46,0,(COLUMN(H34)-1)*5,1,1))</f>
        <v>1</v>
      </c>
      <c r="J37" s="5">
        <f ca="1">COUNTBLANK(OFFSET(Demand!$I46,0,(COLUMN(I34)-1)*5,1,1))</f>
        <v>1</v>
      </c>
      <c r="K37" s="5">
        <f ca="1">COUNTBLANK(OFFSET(Demand!$I46,0,(COLUMN(J34)-1)*5,1,1))</f>
        <v>1</v>
      </c>
      <c r="N37" s="5">
        <f ca="1">SUM(OFFSET(Demand!$E46,0,(COLUMN(A34)-1)*5,1,3))*N$2</f>
        <v>180</v>
      </c>
      <c r="O37" s="5">
        <f ca="1">SUM(OFFSET(Demand!$E46,0,(COLUMN(B34)-1)*5,1,3))*O$2</f>
        <v>280</v>
      </c>
      <c r="P37" s="5">
        <f ca="1">SUM(OFFSET(Demand!$E46,0,(COLUMN(C34)-1)*5,1,3))*P$2</f>
        <v>0</v>
      </c>
      <c r="Q37" s="5">
        <f ca="1">SUM(OFFSET(Demand!$E46,0,(COLUMN(D34)-1)*5,1,3))*Q$2</f>
        <v>0</v>
      </c>
      <c r="R37" s="5">
        <f ca="1">SUM(OFFSET(Demand!$E46,0,(COLUMN(E34)-1)*5,1,3))*R$2</f>
        <v>0</v>
      </c>
      <c r="S37" s="5">
        <f ca="1">SUM(OFFSET(Demand!$E46,0,(COLUMN(F34)-1)*5,1,3))*S$2</f>
        <v>0</v>
      </c>
      <c r="T37" s="5">
        <f ca="1">SUM(OFFSET(Demand!$E46,0,(COLUMN(G34)-1)*5,1,3))*T$2</f>
        <v>0</v>
      </c>
      <c r="U37" s="5">
        <f ca="1">SUM(OFFSET(Demand!$E46,0,(COLUMN(H34)-1)*5,1,3))*U$2</f>
        <v>0</v>
      </c>
      <c r="V37" s="5">
        <f ca="1">SUM(OFFSET(Demand!$E46,0,(COLUMN(I34)-1)*5,1,3))*V$2</f>
        <v>0</v>
      </c>
      <c r="W37" s="5">
        <f ca="1">SUM(OFFSET(Demand!$E46,0,(COLUMN(J34)-1)*5,1,3))*W$2</f>
        <v>0</v>
      </c>
      <c r="X37" s="5">
        <f t="shared" ca="1" si="4"/>
        <v>460</v>
      </c>
      <c r="Y37" s="5">
        <f t="shared" ca="1" si="5"/>
        <v>460</v>
      </c>
      <c r="Z37" s="5">
        <f ca="1">SUM(OFFSET(Demand!$H46,0,(COLUMN(A34)-1)*5,1,1))*N$2</f>
        <v>0</v>
      </c>
      <c r="AA37" s="5">
        <f ca="1">SUM(OFFSET(Demand!$H46,0,(COLUMN(B34)-1)*5,1,1))*O$2</f>
        <v>0</v>
      </c>
      <c r="AB37" s="5">
        <f ca="1">SUM(OFFSET(Demand!$H46,0,(COLUMN(C34)-1)*5,1,1))*P$2</f>
        <v>0</v>
      </c>
      <c r="AC37" s="5">
        <f ca="1">SUM(OFFSET(Demand!$H46,0,(COLUMN(D34)-1)*5,1,1))*Q$2</f>
        <v>0</v>
      </c>
      <c r="AD37" s="5">
        <f ca="1">SUM(OFFSET(Demand!$H46,0,(COLUMN(E34)-1)*5,1,1))*R$2</f>
        <v>0</v>
      </c>
      <c r="AE37" s="5">
        <f ca="1">SUM(OFFSET(Demand!$H46,0,(COLUMN(F34)-1)*5,1,1))*S$2</f>
        <v>0</v>
      </c>
      <c r="AF37" s="5">
        <f ca="1">SUM(OFFSET(Demand!$H46,0,(COLUMN(G34)-1)*5,1,1))*T$2</f>
        <v>0</v>
      </c>
      <c r="AG37" s="5">
        <f ca="1">SUM(OFFSET(Demand!$H46,0,(COLUMN(H34)-1)*5,1,1))*U$2</f>
        <v>0</v>
      </c>
      <c r="AH37" s="5">
        <f ca="1">SUM(OFFSET(Demand!$H46,0,(COLUMN(I34)-1)*5,1,1))*V$2</f>
        <v>0</v>
      </c>
      <c r="AI37" s="5">
        <f ca="1">SUM(OFFSET(Demand!$H46,0,(COLUMN(J34)-1)*5,1,1))*W$2</f>
        <v>0</v>
      </c>
      <c r="AJ37" s="5">
        <f t="shared" ca="1" si="6"/>
        <v>0</v>
      </c>
      <c r="AL37" s="5">
        <f t="shared" ca="1" si="7"/>
        <v>460</v>
      </c>
      <c r="AM37" s="5">
        <f t="shared" ca="1" si="8"/>
        <v>0</v>
      </c>
      <c r="AN37" s="5" t="str">
        <f>IF(Demand!BE46="Yes","Yes","")</f>
        <v/>
      </c>
      <c r="AP37" s="37" t="str">
        <f ca="1">Demand!B46</f>
        <v xml:space="preserve"> </v>
      </c>
      <c r="AQ37" s="5" t="str">
        <f ca="1">IF(TEXT(Demand!D46,"MMM")&lt;&gt;TEXT(Demand!D45,"MMM"),TEXT(Demand!D46,"MMM"),"")</f>
        <v/>
      </c>
      <c r="AT37" s="5">
        <f t="shared" ca="1" si="10"/>
        <v>10</v>
      </c>
      <c r="BQ37">
        <f ca="1">IF($AN37="",OFFSET(Demand!$A$13,ROW(A34)-1,4+((QUOTIENT(COLUMN(BQ$2)-69,3))*5)+MOD(COLUMN(BQ$2),3),1,1),"")</f>
        <v>0</v>
      </c>
      <c r="BR37">
        <f ca="1">IF($AN37="",OFFSET(Demand!$A$13,ROW(B34)-1,4+((QUOTIENT(COLUMN(BR$2)-69,3))*5)+MOD(COLUMN(BR$2),3),1,1),"")</f>
        <v>3</v>
      </c>
      <c r="BS37">
        <f ca="1">IF($AN37="",OFFSET(Demand!$A$13,ROW(C34)-1,4+((QUOTIENT(COLUMN(BS$2)-69,3))*5)+MOD(COLUMN(BS$2),3),1,1),"")</f>
        <v>3</v>
      </c>
      <c r="BT37">
        <f ca="1">IF($AN37="",OFFSET(Demand!$A$13,ROW(D34)-1,4+((QUOTIENT(COLUMN(BT$2)-69,3))*5)+MOD(COLUMN(BT$2),3),1,1),"")</f>
        <v>0</v>
      </c>
      <c r="BU37">
        <f ca="1">IF($AN37="",OFFSET(Demand!$A$13,ROW(E34)-1,4+((QUOTIENT(COLUMN(BU$2)-69,3))*5)+MOD(COLUMN(BU$2),3),1,1),"")</f>
        <v>0</v>
      </c>
      <c r="BV37">
        <f ca="1">IF($AN37="",OFFSET(Demand!$A$13,ROW(F34)-1,4+((QUOTIENT(COLUMN(BV$2)-69,3))*5)+MOD(COLUMN(BV$2),3),1,1),"")</f>
        <v>7</v>
      </c>
      <c r="BW37">
        <f ca="1">IF($AN37="",OFFSET(Demand!$A$13,ROW(G34)-1,4+((QUOTIENT(COLUMN(BW$2)-69,3))*5)+MOD(COLUMN(BW$2),3),1,1),"")</f>
        <v>0</v>
      </c>
      <c r="BX37">
        <f ca="1">IF($AN37="",OFFSET(Demand!$A$13,ROW(H34)-1,4+((QUOTIENT(COLUMN(BX$2)-69,3))*5)+MOD(COLUMN(BX$2),3),1,1),"")</f>
        <v>0</v>
      </c>
      <c r="BY37">
        <f ca="1">IF($AN37="",OFFSET(Demand!$A$13,ROW(I34)-1,4+((QUOTIENT(COLUMN(BY$2)-69,3))*5)+MOD(COLUMN(BY$2),3),1,1),"")</f>
        <v>0</v>
      </c>
      <c r="BZ37">
        <f ca="1">IF($AN37="",OFFSET(Demand!$A$13,ROW(J34)-1,4+((QUOTIENT(COLUMN(BZ$2)-69,3))*5)+MOD(COLUMN(BZ$2),3),1,1),"")</f>
        <v>0</v>
      </c>
      <c r="CA37">
        <f ca="1">IF($AN37="",OFFSET(Demand!$A$13,ROW(K34)-1,4+((QUOTIENT(COLUMN(CA$2)-69,3))*5)+MOD(COLUMN(CA$2),3),1,1),"")</f>
        <v>0</v>
      </c>
      <c r="CB37">
        <f ca="1">IF($AN37="",OFFSET(Demand!$A$13,ROW(L34)-1,4+((QUOTIENT(COLUMN(CB$2)-69,3))*5)+MOD(COLUMN(CB$2),3),1,1),"")</f>
        <v>0</v>
      </c>
      <c r="CC37">
        <f ca="1">IF($AN37="",OFFSET(Demand!$A$13,ROW(M34)-1,4+((QUOTIENT(COLUMN(CC$2)-69,3))*5)+MOD(COLUMN(CC$2),3),1,1),"")</f>
        <v>0</v>
      </c>
      <c r="CD37">
        <f ca="1">IF($AN37="",OFFSET(Demand!$A$13,ROW(N34)-1,4+((QUOTIENT(COLUMN(CD$2)-69,3))*5)+MOD(COLUMN(CD$2),3),1,1),"")</f>
        <v>0</v>
      </c>
      <c r="CE37">
        <f ca="1">IF($AN37="",OFFSET(Demand!$A$13,ROW(O34)-1,4+((QUOTIENT(COLUMN(CE$2)-69,3))*5)+MOD(COLUMN(CE$2),3),1,1),"")</f>
        <v>0</v>
      </c>
      <c r="CF37">
        <f ca="1">IF($AN37="",OFFSET(Demand!$A$13,ROW(P34)-1,4+((QUOTIENT(COLUMN(CF$2)-69,3))*5)+MOD(COLUMN(CF$2),3),1,1),"")</f>
        <v>0</v>
      </c>
      <c r="CG37">
        <f ca="1">IF($AN37="",OFFSET(Demand!$A$13,ROW(Q34)-1,4+((QUOTIENT(COLUMN(CG$2)-69,3))*5)+MOD(COLUMN(CG$2),3),1,1),"")</f>
        <v>0</v>
      </c>
      <c r="CH37">
        <f ca="1">IF($AN37="",OFFSET(Demand!$A$13,ROW(R34)-1,4+((QUOTIENT(COLUMN(CH$2)-69,3))*5)+MOD(COLUMN(CH$2),3),1,1),"")</f>
        <v>0</v>
      </c>
      <c r="CI37">
        <f ca="1">IF($AN37="",OFFSET(Demand!$A$13,ROW(S34)-1,4+((QUOTIENT(COLUMN(CI$2)-69,3))*5)+MOD(COLUMN(CI$2),3),1,1),"")</f>
        <v>0</v>
      </c>
      <c r="CJ37">
        <f ca="1">IF($AN37="",OFFSET(Demand!$A$13,ROW(T34)-1,4+((QUOTIENT(COLUMN(CJ$2)-69,3))*5)+MOD(COLUMN(CJ$2),3),1,1),"")</f>
        <v>0</v>
      </c>
      <c r="CK37">
        <f ca="1">IF($AN37="",OFFSET(Demand!$A$13,ROW(U34)-1,4+((QUOTIENT(COLUMN(CK$2)-69,3))*5)+MOD(COLUMN(CK$2),3),1,1),"")</f>
        <v>0</v>
      </c>
      <c r="CL37">
        <f ca="1">IF($AN37="",OFFSET(Demand!$A$13,ROW(V34)-1,4+((QUOTIENT(COLUMN(CL$2)-69,3))*5)+MOD(COLUMN(CL$2),3),1,1),"")</f>
        <v>0</v>
      </c>
      <c r="CM37">
        <f ca="1">IF($AN37="",OFFSET(Demand!$A$13,ROW(W34)-1,4+((QUOTIENT(COLUMN(CM$2)-69,3))*5)+MOD(COLUMN(CM$2),3),1,1),"")</f>
        <v>0</v>
      </c>
      <c r="CN37">
        <f ca="1">IF($AN37="",OFFSET(Demand!$A$13,ROW(X34)-1,4+((QUOTIENT(COLUMN(CN$2)-69,3))*5)+MOD(COLUMN(CN$2),3),1,1),"")</f>
        <v>0</v>
      </c>
      <c r="CO37">
        <f ca="1">IF($AN37="",OFFSET(Demand!$A$13,ROW(Y34)-1,4+((QUOTIENT(COLUMN(CO$2)-69,3))*5)+MOD(COLUMN(CO$2),3),1,1),"")</f>
        <v>0</v>
      </c>
      <c r="CP37">
        <f ca="1">IF($AN37="",OFFSET(Demand!$A$13,ROW(Z34)-1,4+((QUOTIENT(COLUMN(CP$2)-69,3))*5)+MOD(COLUMN(CP$2),3),1,1),"")</f>
        <v>0</v>
      </c>
      <c r="CQ37">
        <f ca="1">IF($AN37="",OFFSET(Demand!$A$13,ROW(AA34)-1,4+((QUOTIENT(COLUMN(CQ$2)-69,3))*5)+MOD(COLUMN(CQ$2),3),1,1),"")</f>
        <v>0</v>
      </c>
      <c r="CR37">
        <f ca="1">IF($AN37="",OFFSET(Demand!$A$13,ROW(AB34)-1,4+((QUOTIENT(COLUMN(CR$2)-69,3))*5)+MOD(COLUMN(CR$2),3),1,1),"")</f>
        <v>0</v>
      </c>
      <c r="CS37">
        <f ca="1">IF($AN37="",OFFSET(Demand!$A$13,ROW(AC34)-1,4+((QUOTIENT(COLUMN(CS$2)-69,3))*5)+MOD(COLUMN(CS$2),3),1,1),"")</f>
        <v>0</v>
      </c>
      <c r="CT37">
        <f ca="1">IF($AN37="",OFFSET(Demand!$A$13,ROW(AD34)-1,4+((QUOTIENT(COLUMN(CT$2)-69,3))*5)+MOD(COLUMN(CT$2),3),1,1),"")</f>
        <v>0</v>
      </c>
      <c r="CW37" s="5">
        <f ca="1">SUM(OFFSET(Demand!$H$43,ROW(A34)-1,(COLUMN(A34)-1)*5,1,1))*N$2</f>
        <v>0</v>
      </c>
      <c r="CX37" s="5">
        <f ca="1">SUM(OFFSET(Demand!$H$43,ROW(B34)-1,(COLUMN(B34)-1)*5,1,1))*O$2</f>
        <v>0</v>
      </c>
      <c r="CY37" s="5">
        <f ca="1">SUM(OFFSET(Demand!$H$43,ROW(C34)-1,(COLUMN(C34)-1)*5,1,1))*P$2</f>
        <v>0</v>
      </c>
      <c r="CZ37" s="5">
        <f ca="1">SUM(OFFSET(Demand!$H$43,ROW(D34)-1,(COLUMN(D34)-1)*5,1,1))*Q$2</f>
        <v>0</v>
      </c>
      <c r="DA37" s="5">
        <f ca="1">SUM(OFFSET(Demand!$H$43,ROW(E34)-1,(COLUMN(E34)-1)*5,1,1))*R$2</f>
        <v>0</v>
      </c>
      <c r="DB37" s="5">
        <f ca="1">SUM(OFFSET(Demand!$H$43,ROW(F34)-1,(COLUMN(F34)-1)*5,1,1))*S$2</f>
        <v>0</v>
      </c>
      <c r="DC37" s="5">
        <f ca="1">SUM(OFFSET(Demand!$H$43,ROW(G34)-1,(COLUMN(G34)-1)*5,1,1))*T$2</f>
        <v>0</v>
      </c>
      <c r="DD37" s="5">
        <f ca="1">SUM(OFFSET(Demand!$H$43,ROW(H34)-1,(COLUMN(H34)-1)*5,1,1))*U$2</f>
        <v>0</v>
      </c>
      <c r="DE37" s="5">
        <f ca="1">SUM(OFFSET(Demand!$H$43,ROW(I34)-1,(COLUMN(I34)-1)*5,1,1))*V$2</f>
        <v>0</v>
      </c>
      <c r="DF37" s="5">
        <f ca="1">SUM(OFFSET(Demand!$H$43,ROW(J34)-1,(COLUMN(J34)-1)*5,1,1))*W$2</f>
        <v>0</v>
      </c>
      <c r="DG37" s="5">
        <f t="shared" ca="1" si="9"/>
        <v>0</v>
      </c>
    </row>
    <row r="38" spans="1:111" s="5" customFormat="1" x14ac:dyDescent="0.2">
      <c r="A38" s="5">
        <f t="shared" ca="1" si="29"/>
        <v>0</v>
      </c>
      <c r="B38" s="5">
        <f ca="1">COUNTBLANK(OFFSET(Demand!$I47,0,(COLUMN(A35)-1)*5,1,1))</f>
        <v>0</v>
      </c>
      <c r="C38" s="5">
        <f ca="1">COUNTBLANK(OFFSET(Demand!$I47,0,(COLUMN(B35)-1)*5,1,1))</f>
        <v>0</v>
      </c>
      <c r="D38" s="5">
        <f ca="1">COUNTBLANK(OFFSET(Demand!$I47,0,(COLUMN(C35)-1)*5,1,1))</f>
        <v>1</v>
      </c>
      <c r="E38" s="5">
        <f ca="1">COUNTBLANK(OFFSET(Demand!$I47,0,(COLUMN(D35)-1)*5,1,1))</f>
        <v>1</v>
      </c>
      <c r="F38" s="5">
        <f ca="1">COUNTBLANK(OFFSET(Demand!$I47,0,(COLUMN(E35)-1)*5,1,1))</f>
        <v>1</v>
      </c>
      <c r="G38" s="5">
        <f ca="1">COUNTBLANK(OFFSET(Demand!$I47,0,(COLUMN(F35)-1)*5,1,1))</f>
        <v>1</v>
      </c>
      <c r="H38" s="5">
        <f ca="1">COUNTBLANK(OFFSET(Demand!$I47,0,(COLUMN(G35)-1)*5,1,1))</f>
        <v>1</v>
      </c>
      <c r="I38" s="5">
        <f ca="1">COUNTBLANK(OFFSET(Demand!$I47,0,(COLUMN(H35)-1)*5,1,1))</f>
        <v>1</v>
      </c>
      <c r="J38" s="5">
        <f ca="1">COUNTBLANK(OFFSET(Demand!$I47,0,(COLUMN(I35)-1)*5,1,1))</f>
        <v>1</v>
      </c>
      <c r="K38" s="5">
        <f ca="1">COUNTBLANK(OFFSET(Demand!$I47,0,(COLUMN(J35)-1)*5,1,1))</f>
        <v>1</v>
      </c>
      <c r="N38" s="5">
        <f ca="1">SUM(OFFSET(Demand!$E47,0,(COLUMN(A35)-1)*5,1,3))*N$2</f>
        <v>180</v>
      </c>
      <c r="O38" s="5">
        <f ca="1">SUM(OFFSET(Demand!$E47,0,(COLUMN(B35)-1)*5,1,3))*O$2</f>
        <v>520</v>
      </c>
      <c r="P38" s="5">
        <f ca="1">SUM(OFFSET(Demand!$E47,0,(COLUMN(C35)-1)*5,1,3))*P$2</f>
        <v>0</v>
      </c>
      <c r="Q38" s="5">
        <f ca="1">SUM(OFFSET(Demand!$E47,0,(COLUMN(D35)-1)*5,1,3))*Q$2</f>
        <v>0</v>
      </c>
      <c r="R38" s="5">
        <f ca="1">SUM(OFFSET(Demand!$E47,0,(COLUMN(E35)-1)*5,1,3))*R$2</f>
        <v>0</v>
      </c>
      <c r="S38" s="5">
        <f ca="1">SUM(OFFSET(Demand!$E47,0,(COLUMN(F35)-1)*5,1,3))*S$2</f>
        <v>0</v>
      </c>
      <c r="T38" s="5">
        <f ca="1">SUM(OFFSET(Demand!$E47,0,(COLUMN(G35)-1)*5,1,3))*T$2</f>
        <v>0</v>
      </c>
      <c r="U38" s="5">
        <f ca="1">SUM(OFFSET(Demand!$E47,0,(COLUMN(H35)-1)*5,1,3))*U$2</f>
        <v>0</v>
      </c>
      <c r="V38" s="5">
        <f ca="1">SUM(OFFSET(Demand!$E47,0,(COLUMN(I35)-1)*5,1,3))*V$2</f>
        <v>0</v>
      </c>
      <c r="W38" s="5">
        <f ca="1">SUM(OFFSET(Demand!$E47,0,(COLUMN(J35)-1)*5,1,3))*W$2</f>
        <v>0</v>
      </c>
      <c r="X38" s="5">
        <f t="shared" ca="1" si="4"/>
        <v>700</v>
      </c>
      <c r="Y38" s="5">
        <f t="shared" ca="1" si="5"/>
        <v>700</v>
      </c>
      <c r="Z38" s="5">
        <f ca="1">SUM(OFFSET(Demand!$H47,0,(COLUMN(A35)-1)*5,1,1))*N$2</f>
        <v>0</v>
      </c>
      <c r="AA38" s="5">
        <f ca="1">SUM(OFFSET(Demand!$H47,0,(COLUMN(B35)-1)*5,1,1))*O$2</f>
        <v>0</v>
      </c>
      <c r="AB38" s="5">
        <f ca="1">SUM(OFFSET(Demand!$H47,0,(COLUMN(C35)-1)*5,1,1))*P$2</f>
        <v>0</v>
      </c>
      <c r="AC38" s="5">
        <f ca="1">SUM(OFFSET(Demand!$H47,0,(COLUMN(D35)-1)*5,1,1))*Q$2</f>
        <v>0</v>
      </c>
      <c r="AD38" s="5">
        <f ca="1">SUM(OFFSET(Demand!$H47,0,(COLUMN(E35)-1)*5,1,1))*R$2</f>
        <v>0</v>
      </c>
      <c r="AE38" s="5">
        <f ca="1">SUM(OFFSET(Demand!$H47,0,(COLUMN(F35)-1)*5,1,1))*S$2</f>
        <v>0</v>
      </c>
      <c r="AF38" s="5">
        <f ca="1">SUM(OFFSET(Demand!$H47,0,(COLUMN(G35)-1)*5,1,1))*T$2</f>
        <v>0</v>
      </c>
      <c r="AG38" s="5">
        <f ca="1">SUM(OFFSET(Demand!$H47,0,(COLUMN(H35)-1)*5,1,1))*U$2</f>
        <v>0</v>
      </c>
      <c r="AH38" s="5">
        <f ca="1">SUM(OFFSET(Demand!$H47,0,(COLUMN(I35)-1)*5,1,1))*V$2</f>
        <v>0</v>
      </c>
      <c r="AI38" s="5">
        <f ca="1">SUM(OFFSET(Demand!$H47,0,(COLUMN(J35)-1)*5,1,1))*W$2</f>
        <v>0</v>
      </c>
      <c r="AJ38" s="5">
        <f t="shared" ca="1" si="6"/>
        <v>0</v>
      </c>
      <c r="AL38" s="5">
        <f t="shared" ca="1" si="7"/>
        <v>700</v>
      </c>
      <c r="AM38" s="5">
        <f t="shared" ca="1" si="8"/>
        <v>0</v>
      </c>
      <c r="AN38" s="5" t="str">
        <f>IF(Demand!BE47="Yes","Yes","")</f>
        <v/>
      </c>
      <c r="AP38" s="37" t="str">
        <f ca="1">Demand!B47</f>
        <v xml:space="preserve"> </v>
      </c>
      <c r="AQ38" s="5" t="str">
        <f ca="1">IF(TEXT(Demand!D47,"MMM")&lt;&gt;TEXT(Demand!D46,"MMM"),TEXT(Demand!D47,"MMM"),"")</f>
        <v/>
      </c>
      <c r="AT38" s="5">
        <f t="shared" ca="1" si="10"/>
        <v>240</v>
      </c>
      <c r="BQ38">
        <f ca="1">IF($AN38="",OFFSET(Demand!$A$13,ROW(A35)-1,4+((QUOTIENT(COLUMN(BQ$2)-69,3))*5)+MOD(COLUMN(BQ$2),3),1,1),"")</f>
        <v>0</v>
      </c>
      <c r="BR38">
        <f ca="1">IF($AN38="",OFFSET(Demand!$A$13,ROW(B35)-1,4+((QUOTIENT(COLUMN(BR$2)-69,3))*5)+MOD(COLUMN(BR$2),3),1,1),"")</f>
        <v>1</v>
      </c>
      <c r="BS38">
        <f ca="1">IF($AN38="",OFFSET(Demand!$A$13,ROW(C35)-1,4+((QUOTIENT(COLUMN(BS$2)-69,3))*5)+MOD(COLUMN(BS$2),3),1,1),"")</f>
        <v>5</v>
      </c>
      <c r="BT38">
        <f ca="1">IF($AN38="",OFFSET(Demand!$A$13,ROW(D35)-1,4+((QUOTIENT(COLUMN(BT$2)-69,3))*5)+MOD(COLUMN(BT$2),3),1,1),"")</f>
        <v>0</v>
      </c>
      <c r="BU38">
        <f ca="1">IF($AN38="",OFFSET(Demand!$A$13,ROW(E35)-1,4+((QUOTIENT(COLUMN(BU$2)-69,3))*5)+MOD(COLUMN(BU$2),3),1,1),"")</f>
        <v>2</v>
      </c>
      <c r="BV38">
        <f ca="1">IF($AN38="",OFFSET(Demand!$A$13,ROW(F35)-1,4+((QUOTIENT(COLUMN(BV$2)-69,3))*5)+MOD(COLUMN(BV$2),3),1,1),"")</f>
        <v>11</v>
      </c>
      <c r="BW38">
        <f ca="1">IF($AN38="",OFFSET(Demand!$A$13,ROW(G35)-1,4+((QUOTIENT(COLUMN(BW$2)-69,3))*5)+MOD(COLUMN(BW$2),3),1,1),"")</f>
        <v>0</v>
      </c>
      <c r="BX38">
        <f ca="1">IF($AN38="",OFFSET(Demand!$A$13,ROW(H35)-1,4+((QUOTIENT(COLUMN(BX$2)-69,3))*5)+MOD(COLUMN(BX$2),3),1,1),"")</f>
        <v>0</v>
      </c>
      <c r="BY38">
        <f ca="1">IF($AN38="",OFFSET(Demand!$A$13,ROW(I35)-1,4+((QUOTIENT(COLUMN(BY$2)-69,3))*5)+MOD(COLUMN(BY$2),3),1,1),"")</f>
        <v>0</v>
      </c>
      <c r="BZ38">
        <f ca="1">IF($AN38="",OFFSET(Demand!$A$13,ROW(J35)-1,4+((QUOTIENT(COLUMN(BZ$2)-69,3))*5)+MOD(COLUMN(BZ$2),3),1,1),"")</f>
        <v>0</v>
      </c>
      <c r="CA38">
        <f ca="1">IF($AN38="",OFFSET(Demand!$A$13,ROW(K35)-1,4+((QUOTIENT(COLUMN(CA$2)-69,3))*5)+MOD(COLUMN(CA$2),3),1,1),"")</f>
        <v>0</v>
      </c>
      <c r="CB38">
        <f ca="1">IF($AN38="",OFFSET(Demand!$A$13,ROW(L35)-1,4+((QUOTIENT(COLUMN(CB$2)-69,3))*5)+MOD(COLUMN(CB$2),3),1,1),"")</f>
        <v>0</v>
      </c>
      <c r="CC38">
        <f ca="1">IF($AN38="",OFFSET(Demand!$A$13,ROW(M35)-1,4+((QUOTIENT(COLUMN(CC$2)-69,3))*5)+MOD(COLUMN(CC$2),3),1,1),"")</f>
        <v>0</v>
      </c>
      <c r="CD38">
        <f ca="1">IF($AN38="",OFFSET(Demand!$A$13,ROW(N35)-1,4+((QUOTIENT(COLUMN(CD$2)-69,3))*5)+MOD(COLUMN(CD$2),3),1,1),"")</f>
        <v>0</v>
      </c>
      <c r="CE38">
        <f ca="1">IF($AN38="",OFFSET(Demand!$A$13,ROW(O35)-1,4+((QUOTIENT(COLUMN(CE$2)-69,3))*5)+MOD(COLUMN(CE$2),3),1,1),"")</f>
        <v>0</v>
      </c>
      <c r="CF38">
        <f ca="1">IF($AN38="",OFFSET(Demand!$A$13,ROW(P35)-1,4+((QUOTIENT(COLUMN(CF$2)-69,3))*5)+MOD(COLUMN(CF$2),3),1,1),"")</f>
        <v>0</v>
      </c>
      <c r="CG38">
        <f ca="1">IF($AN38="",OFFSET(Demand!$A$13,ROW(Q35)-1,4+((QUOTIENT(COLUMN(CG$2)-69,3))*5)+MOD(COLUMN(CG$2),3),1,1),"")</f>
        <v>0</v>
      </c>
      <c r="CH38">
        <f ca="1">IF($AN38="",OFFSET(Demand!$A$13,ROW(R35)-1,4+((QUOTIENT(COLUMN(CH$2)-69,3))*5)+MOD(COLUMN(CH$2),3),1,1),"")</f>
        <v>0</v>
      </c>
      <c r="CI38">
        <f ca="1">IF($AN38="",OFFSET(Demand!$A$13,ROW(S35)-1,4+((QUOTIENT(COLUMN(CI$2)-69,3))*5)+MOD(COLUMN(CI$2),3),1,1),"")</f>
        <v>0</v>
      </c>
      <c r="CJ38">
        <f ca="1">IF($AN38="",OFFSET(Demand!$A$13,ROW(T35)-1,4+((QUOTIENT(COLUMN(CJ$2)-69,3))*5)+MOD(COLUMN(CJ$2),3),1,1),"")</f>
        <v>0</v>
      </c>
      <c r="CK38">
        <f ca="1">IF($AN38="",OFFSET(Demand!$A$13,ROW(U35)-1,4+((QUOTIENT(COLUMN(CK$2)-69,3))*5)+MOD(COLUMN(CK$2),3),1,1),"")</f>
        <v>0</v>
      </c>
      <c r="CL38">
        <f ca="1">IF($AN38="",OFFSET(Demand!$A$13,ROW(V35)-1,4+((QUOTIENT(COLUMN(CL$2)-69,3))*5)+MOD(COLUMN(CL$2),3),1,1),"")</f>
        <v>0</v>
      </c>
      <c r="CM38">
        <f ca="1">IF($AN38="",OFFSET(Demand!$A$13,ROW(W35)-1,4+((QUOTIENT(COLUMN(CM$2)-69,3))*5)+MOD(COLUMN(CM$2),3),1,1),"")</f>
        <v>0</v>
      </c>
      <c r="CN38">
        <f ca="1">IF($AN38="",OFFSET(Demand!$A$13,ROW(X35)-1,4+((QUOTIENT(COLUMN(CN$2)-69,3))*5)+MOD(COLUMN(CN$2),3),1,1),"")</f>
        <v>0</v>
      </c>
      <c r="CO38">
        <f ca="1">IF($AN38="",OFFSET(Demand!$A$13,ROW(Y35)-1,4+((QUOTIENT(COLUMN(CO$2)-69,3))*5)+MOD(COLUMN(CO$2),3),1,1),"")</f>
        <v>0</v>
      </c>
      <c r="CP38">
        <f ca="1">IF($AN38="",OFFSET(Demand!$A$13,ROW(Z35)-1,4+((QUOTIENT(COLUMN(CP$2)-69,3))*5)+MOD(COLUMN(CP$2),3),1,1),"")</f>
        <v>0</v>
      </c>
      <c r="CQ38">
        <f ca="1">IF($AN38="",OFFSET(Demand!$A$13,ROW(AA35)-1,4+((QUOTIENT(COLUMN(CQ$2)-69,3))*5)+MOD(COLUMN(CQ$2),3),1,1),"")</f>
        <v>0</v>
      </c>
      <c r="CR38">
        <f ca="1">IF($AN38="",OFFSET(Demand!$A$13,ROW(AB35)-1,4+((QUOTIENT(COLUMN(CR$2)-69,3))*5)+MOD(COLUMN(CR$2),3),1,1),"")</f>
        <v>0</v>
      </c>
      <c r="CS38">
        <f ca="1">IF($AN38="",OFFSET(Demand!$A$13,ROW(AC35)-1,4+((QUOTIENT(COLUMN(CS$2)-69,3))*5)+MOD(COLUMN(CS$2),3),1,1),"")</f>
        <v>0</v>
      </c>
      <c r="CT38">
        <f ca="1">IF($AN38="",OFFSET(Demand!$A$13,ROW(AD35)-1,4+((QUOTIENT(COLUMN(CT$2)-69,3))*5)+MOD(COLUMN(CT$2),3),1,1),"")</f>
        <v>0</v>
      </c>
      <c r="CW38" s="5">
        <f ca="1">SUM(OFFSET(Demand!$H$43,ROW(A35)-1,(COLUMN(A35)-1)*5,1,1))*N$2</f>
        <v>0</v>
      </c>
      <c r="CX38" s="5">
        <f ca="1">SUM(OFFSET(Demand!$H$43,ROW(B35)-1,(COLUMN(B35)-1)*5,1,1))*O$2</f>
        <v>0</v>
      </c>
      <c r="CY38" s="5">
        <f ca="1">SUM(OFFSET(Demand!$H$43,ROW(C35)-1,(COLUMN(C35)-1)*5,1,1))*P$2</f>
        <v>0</v>
      </c>
      <c r="CZ38" s="5">
        <f ca="1">SUM(OFFSET(Demand!$H$43,ROW(D35)-1,(COLUMN(D35)-1)*5,1,1))*Q$2</f>
        <v>0</v>
      </c>
      <c r="DA38" s="5">
        <f ca="1">SUM(OFFSET(Demand!$H$43,ROW(E35)-1,(COLUMN(E35)-1)*5,1,1))*R$2</f>
        <v>0</v>
      </c>
      <c r="DB38" s="5">
        <f ca="1">SUM(OFFSET(Demand!$H$43,ROW(F35)-1,(COLUMN(F35)-1)*5,1,1))*S$2</f>
        <v>0</v>
      </c>
      <c r="DC38" s="5">
        <f ca="1">SUM(OFFSET(Demand!$H$43,ROW(G35)-1,(COLUMN(G35)-1)*5,1,1))*T$2</f>
        <v>0</v>
      </c>
      <c r="DD38" s="5">
        <f ca="1">SUM(OFFSET(Demand!$H$43,ROW(H35)-1,(COLUMN(H35)-1)*5,1,1))*U$2</f>
        <v>0</v>
      </c>
      <c r="DE38" s="5">
        <f ca="1">SUM(OFFSET(Demand!$H$43,ROW(I35)-1,(COLUMN(I35)-1)*5,1,1))*V$2</f>
        <v>0</v>
      </c>
      <c r="DF38" s="5">
        <f ca="1">SUM(OFFSET(Demand!$H$43,ROW(J35)-1,(COLUMN(J35)-1)*5,1,1))*W$2</f>
        <v>0</v>
      </c>
      <c r="DG38" s="5">
        <f t="shared" ca="1" si="9"/>
        <v>0</v>
      </c>
    </row>
    <row r="39" spans="1:111" s="5" customFormat="1" x14ac:dyDescent="0.2">
      <c r="A39" s="5">
        <f t="shared" ca="1" si="29"/>
        <v>0</v>
      </c>
      <c r="B39" s="5">
        <f ca="1">COUNTBLANK(OFFSET(Demand!$I48,0,(COLUMN(A36)-1)*5,1,1))</f>
        <v>0</v>
      </c>
      <c r="C39" s="5">
        <f ca="1">COUNTBLANK(OFFSET(Demand!$I48,0,(COLUMN(B36)-1)*5,1,1))</f>
        <v>0</v>
      </c>
      <c r="D39" s="5">
        <f ca="1">COUNTBLANK(OFFSET(Demand!$I48,0,(COLUMN(C36)-1)*5,1,1))</f>
        <v>1</v>
      </c>
      <c r="E39" s="5">
        <f ca="1">COUNTBLANK(OFFSET(Demand!$I48,0,(COLUMN(D36)-1)*5,1,1))</f>
        <v>1</v>
      </c>
      <c r="F39" s="5">
        <f ca="1">COUNTBLANK(OFFSET(Demand!$I48,0,(COLUMN(E36)-1)*5,1,1))</f>
        <v>1</v>
      </c>
      <c r="G39" s="5">
        <f ca="1">COUNTBLANK(OFFSET(Demand!$I48,0,(COLUMN(F36)-1)*5,1,1))</f>
        <v>1</v>
      </c>
      <c r="H39" s="5">
        <f ca="1">COUNTBLANK(OFFSET(Demand!$I48,0,(COLUMN(G36)-1)*5,1,1))</f>
        <v>1</v>
      </c>
      <c r="I39" s="5">
        <f ca="1">COUNTBLANK(OFFSET(Demand!$I48,0,(COLUMN(H36)-1)*5,1,1))</f>
        <v>1</v>
      </c>
      <c r="J39" s="5">
        <f ca="1">COUNTBLANK(OFFSET(Demand!$I48,0,(COLUMN(I36)-1)*5,1,1))</f>
        <v>1</v>
      </c>
      <c r="K39" s="5">
        <f ca="1">COUNTBLANK(OFFSET(Demand!$I48,0,(COLUMN(J36)-1)*5,1,1))</f>
        <v>1</v>
      </c>
      <c r="N39" s="5">
        <f ca="1">SUM(OFFSET(Demand!$E48,0,(COLUMN(A36)-1)*5,1,3))*N$2</f>
        <v>90</v>
      </c>
      <c r="O39" s="5">
        <f ca="1">SUM(OFFSET(Demand!$E48,0,(COLUMN(B36)-1)*5,1,3))*O$2</f>
        <v>480</v>
      </c>
      <c r="P39" s="5">
        <f ca="1">SUM(OFFSET(Demand!$E48,0,(COLUMN(C36)-1)*5,1,3))*P$2</f>
        <v>0</v>
      </c>
      <c r="Q39" s="5">
        <f ca="1">SUM(OFFSET(Demand!$E48,0,(COLUMN(D36)-1)*5,1,3))*Q$2</f>
        <v>0</v>
      </c>
      <c r="R39" s="5">
        <f ca="1">SUM(OFFSET(Demand!$E48,0,(COLUMN(E36)-1)*5,1,3))*R$2</f>
        <v>0</v>
      </c>
      <c r="S39" s="5">
        <f ca="1">SUM(OFFSET(Demand!$E48,0,(COLUMN(F36)-1)*5,1,3))*S$2</f>
        <v>0</v>
      </c>
      <c r="T39" s="5">
        <f ca="1">SUM(OFFSET(Demand!$E48,0,(COLUMN(G36)-1)*5,1,3))*T$2</f>
        <v>0</v>
      </c>
      <c r="U39" s="5">
        <f ca="1">SUM(OFFSET(Demand!$E48,0,(COLUMN(H36)-1)*5,1,3))*U$2</f>
        <v>0</v>
      </c>
      <c r="V39" s="5">
        <f ca="1">SUM(OFFSET(Demand!$E48,0,(COLUMN(I36)-1)*5,1,3))*V$2</f>
        <v>0</v>
      </c>
      <c r="W39" s="5">
        <f ca="1">SUM(OFFSET(Demand!$E48,0,(COLUMN(J36)-1)*5,1,3))*W$2</f>
        <v>0</v>
      </c>
      <c r="X39" s="5">
        <f t="shared" ca="1" si="4"/>
        <v>570</v>
      </c>
      <c r="Y39" s="5">
        <f t="shared" ca="1" si="5"/>
        <v>570</v>
      </c>
      <c r="Z39" s="5">
        <f ca="1">SUM(OFFSET(Demand!$H48,0,(COLUMN(A36)-1)*5,1,1))*N$2</f>
        <v>0</v>
      </c>
      <c r="AA39" s="5">
        <f ca="1">SUM(OFFSET(Demand!$H48,0,(COLUMN(B36)-1)*5,1,1))*O$2</f>
        <v>0</v>
      </c>
      <c r="AB39" s="5">
        <f ca="1">SUM(OFFSET(Demand!$H48,0,(COLUMN(C36)-1)*5,1,1))*P$2</f>
        <v>0</v>
      </c>
      <c r="AC39" s="5">
        <f ca="1">SUM(OFFSET(Demand!$H48,0,(COLUMN(D36)-1)*5,1,1))*Q$2</f>
        <v>0</v>
      </c>
      <c r="AD39" s="5">
        <f ca="1">SUM(OFFSET(Demand!$H48,0,(COLUMN(E36)-1)*5,1,1))*R$2</f>
        <v>0</v>
      </c>
      <c r="AE39" s="5">
        <f ca="1">SUM(OFFSET(Demand!$H48,0,(COLUMN(F36)-1)*5,1,1))*S$2</f>
        <v>0</v>
      </c>
      <c r="AF39" s="5">
        <f ca="1">SUM(OFFSET(Demand!$H48,0,(COLUMN(G36)-1)*5,1,1))*T$2</f>
        <v>0</v>
      </c>
      <c r="AG39" s="5">
        <f ca="1">SUM(OFFSET(Demand!$H48,0,(COLUMN(H36)-1)*5,1,1))*U$2</f>
        <v>0</v>
      </c>
      <c r="AH39" s="5">
        <f ca="1">SUM(OFFSET(Demand!$H48,0,(COLUMN(I36)-1)*5,1,1))*V$2</f>
        <v>0</v>
      </c>
      <c r="AI39" s="5">
        <f ca="1">SUM(OFFSET(Demand!$H48,0,(COLUMN(J36)-1)*5,1,1))*W$2</f>
        <v>0</v>
      </c>
      <c r="AJ39" s="5">
        <f t="shared" ca="1" si="6"/>
        <v>0</v>
      </c>
      <c r="AL39" s="5">
        <f t="shared" ca="1" si="7"/>
        <v>570</v>
      </c>
      <c r="AM39" s="5">
        <f t="shared" ca="1" si="8"/>
        <v>0</v>
      </c>
      <c r="AN39" s="5" t="str">
        <f>IF(Demand!BE48="Yes","Yes","")</f>
        <v/>
      </c>
      <c r="AP39" s="37" t="str">
        <f ca="1">Demand!B48</f>
        <v xml:space="preserve"> </v>
      </c>
      <c r="AQ39" s="5" t="str">
        <f ca="1">IF(TEXT(Demand!D48,"MMM")&lt;&gt;TEXT(Demand!D47,"MMM"),TEXT(Demand!D48,"MMM"),"")</f>
        <v>Dec</v>
      </c>
      <c r="AT39" s="5">
        <f t="shared" ca="1" si="10"/>
        <v>130</v>
      </c>
      <c r="BQ39">
        <f ca="1">IF($AN39="",OFFSET(Demand!$A$13,ROW(A36)-1,4+((QUOTIENT(COLUMN(BQ$2)-69,3))*5)+MOD(COLUMN(BQ$2),3),1,1),"")</f>
        <v>0</v>
      </c>
      <c r="BR39">
        <f ca="1">IF($AN39="",OFFSET(Demand!$A$13,ROW(B36)-1,4+((QUOTIENT(COLUMN(BR$2)-69,3))*5)+MOD(COLUMN(BR$2),3),1,1),"")</f>
        <v>0</v>
      </c>
      <c r="BS39">
        <f ca="1">IF($AN39="",OFFSET(Demand!$A$13,ROW(C36)-1,4+((QUOTIENT(COLUMN(BS$2)-69,3))*5)+MOD(COLUMN(BS$2),3),1,1),"")</f>
        <v>3</v>
      </c>
      <c r="BT39">
        <f ca="1">IF($AN39="",OFFSET(Demand!$A$13,ROW(D36)-1,4+((QUOTIENT(COLUMN(BT$2)-69,3))*5)+MOD(COLUMN(BT$2),3),1,1),"")</f>
        <v>0</v>
      </c>
      <c r="BU39">
        <f ca="1">IF($AN39="",OFFSET(Demand!$A$13,ROW(E36)-1,4+((QUOTIENT(COLUMN(BU$2)-69,3))*5)+MOD(COLUMN(BU$2),3),1,1),"")</f>
        <v>3</v>
      </c>
      <c r="BV39">
        <f ca="1">IF($AN39="",OFFSET(Demand!$A$13,ROW(F36)-1,4+((QUOTIENT(COLUMN(BV$2)-69,3))*5)+MOD(COLUMN(BV$2),3),1,1),"")</f>
        <v>9</v>
      </c>
      <c r="BW39">
        <f ca="1">IF($AN39="",OFFSET(Demand!$A$13,ROW(G36)-1,4+((QUOTIENT(COLUMN(BW$2)-69,3))*5)+MOD(COLUMN(BW$2),3),1,1),"")</f>
        <v>0</v>
      </c>
      <c r="BX39">
        <f ca="1">IF($AN39="",OFFSET(Demand!$A$13,ROW(H36)-1,4+((QUOTIENT(COLUMN(BX$2)-69,3))*5)+MOD(COLUMN(BX$2),3),1,1),"")</f>
        <v>0</v>
      </c>
      <c r="BY39">
        <f ca="1">IF($AN39="",OFFSET(Demand!$A$13,ROW(I36)-1,4+((QUOTIENT(COLUMN(BY$2)-69,3))*5)+MOD(COLUMN(BY$2),3),1,1),"")</f>
        <v>0</v>
      </c>
      <c r="BZ39">
        <f ca="1">IF($AN39="",OFFSET(Demand!$A$13,ROW(J36)-1,4+((QUOTIENT(COLUMN(BZ$2)-69,3))*5)+MOD(COLUMN(BZ$2),3),1,1),"")</f>
        <v>0</v>
      </c>
      <c r="CA39">
        <f ca="1">IF($AN39="",OFFSET(Demand!$A$13,ROW(K36)-1,4+((QUOTIENT(COLUMN(CA$2)-69,3))*5)+MOD(COLUMN(CA$2),3),1,1),"")</f>
        <v>0</v>
      </c>
      <c r="CB39">
        <f ca="1">IF($AN39="",OFFSET(Demand!$A$13,ROW(L36)-1,4+((QUOTIENT(COLUMN(CB$2)-69,3))*5)+MOD(COLUMN(CB$2),3),1,1),"")</f>
        <v>0</v>
      </c>
      <c r="CC39">
        <f ca="1">IF($AN39="",OFFSET(Demand!$A$13,ROW(M36)-1,4+((QUOTIENT(COLUMN(CC$2)-69,3))*5)+MOD(COLUMN(CC$2),3),1,1),"")</f>
        <v>0</v>
      </c>
      <c r="CD39">
        <f ca="1">IF($AN39="",OFFSET(Demand!$A$13,ROW(N36)-1,4+((QUOTIENT(COLUMN(CD$2)-69,3))*5)+MOD(COLUMN(CD$2),3),1,1),"")</f>
        <v>0</v>
      </c>
      <c r="CE39">
        <f ca="1">IF($AN39="",OFFSET(Demand!$A$13,ROW(O36)-1,4+((QUOTIENT(COLUMN(CE$2)-69,3))*5)+MOD(COLUMN(CE$2),3),1,1),"")</f>
        <v>0</v>
      </c>
      <c r="CF39">
        <f ca="1">IF($AN39="",OFFSET(Demand!$A$13,ROW(P36)-1,4+((QUOTIENT(COLUMN(CF$2)-69,3))*5)+MOD(COLUMN(CF$2),3),1,1),"")</f>
        <v>0</v>
      </c>
      <c r="CG39">
        <f ca="1">IF($AN39="",OFFSET(Demand!$A$13,ROW(Q36)-1,4+((QUOTIENT(COLUMN(CG$2)-69,3))*5)+MOD(COLUMN(CG$2),3),1,1),"")</f>
        <v>0</v>
      </c>
      <c r="CH39">
        <f ca="1">IF($AN39="",OFFSET(Demand!$A$13,ROW(R36)-1,4+((QUOTIENT(COLUMN(CH$2)-69,3))*5)+MOD(COLUMN(CH$2),3),1,1),"")</f>
        <v>0</v>
      </c>
      <c r="CI39">
        <f ca="1">IF($AN39="",OFFSET(Demand!$A$13,ROW(S36)-1,4+((QUOTIENT(COLUMN(CI$2)-69,3))*5)+MOD(COLUMN(CI$2),3),1,1),"")</f>
        <v>0</v>
      </c>
      <c r="CJ39">
        <f ca="1">IF($AN39="",OFFSET(Demand!$A$13,ROW(T36)-1,4+((QUOTIENT(COLUMN(CJ$2)-69,3))*5)+MOD(COLUMN(CJ$2),3),1,1),"")</f>
        <v>0</v>
      </c>
      <c r="CK39">
        <f ca="1">IF($AN39="",OFFSET(Demand!$A$13,ROW(U36)-1,4+((QUOTIENT(COLUMN(CK$2)-69,3))*5)+MOD(COLUMN(CK$2),3),1,1),"")</f>
        <v>0</v>
      </c>
      <c r="CL39">
        <f ca="1">IF($AN39="",OFFSET(Demand!$A$13,ROW(V36)-1,4+((QUOTIENT(COLUMN(CL$2)-69,3))*5)+MOD(COLUMN(CL$2),3),1,1),"")</f>
        <v>0</v>
      </c>
      <c r="CM39">
        <f ca="1">IF($AN39="",OFFSET(Demand!$A$13,ROW(W36)-1,4+((QUOTIENT(COLUMN(CM$2)-69,3))*5)+MOD(COLUMN(CM$2),3),1,1),"")</f>
        <v>0</v>
      </c>
      <c r="CN39">
        <f ca="1">IF($AN39="",OFFSET(Demand!$A$13,ROW(X36)-1,4+((QUOTIENT(COLUMN(CN$2)-69,3))*5)+MOD(COLUMN(CN$2),3),1,1),"")</f>
        <v>0</v>
      </c>
      <c r="CO39">
        <f ca="1">IF($AN39="",OFFSET(Demand!$A$13,ROW(Y36)-1,4+((QUOTIENT(COLUMN(CO$2)-69,3))*5)+MOD(COLUMN(CO$2),3),1,1),"")</f>
        <v>0</v>
      </c>
      <c r="CP39">
        <f ca="1">IF($AN39="",OFFSET(Demand!$A$13,ROW(Z36)-1,4+((QUOTIENT(COLUMN(CP$2)-69,3))*5)+MOD(COLUMN(CP$2),3),1,1),"")</f>
        <v>0</v>
      </c>
      <c r="CQ39">
        <f ca="1">IF($AN39="",OFFSET(Demand!$A$13,ROW(AA36)-1,4+((QUOTIENT(COLUMN(CQ$2)-69,3))*5)+MOD(COLUMN(CQ$2),3),1,1),"")</f>
        <v>0</v>
      </c>
      <c r="CR39">
        <f ca="1">IF($AN39="",OFFSET(Demand!$A$13,ROW(AB36)-1,4+((QUOTIENT(COLUMN(CR$2)-69,3))*5)+MOD(COLUMN(CR$2),3),1,1),"")</f>
        <v>0</v>
      </c>
      <c r="CS39">
        <f ca="1">IF($AN39="",OFFSET(Demand!$A$13,ROW(AC36)-1,4+((QUOTIENT(COLUMN(CS$2)-69,3))*5)+MOD(COLUMN(CS$2),3),1,1),"")</f>
        <v>0</v>
      </c>
      <c r="CT39">
        <f ca="1">IF($AN39="",OFFSET(Demand!$A$13,ROW(AD36)-1,4+((QUOTIENT(COLUMN(CT$2)-69,3))*5)+MOD(COLUMN(CT$2),3),1,1),"")</f>
        <v>0</v>
      </c>
      <c r="CW39" s="5">
        <f ca="1">SUM(OFFSET(Demand!$H$43,ROW(A36)-1,(COLUMN(A36)-1)*5,1,1))*N$2</f>
        <v>0</v>
      </c>
      <c r="CX39" s="5">
        <f ca="1">SUM(OFFSET(Demand!$H$43,ROW(B36)-1,(COLUMN(B36)-1)*5,1,1))*O$2</f>
        <v>0</v>
      </c>
      <c r="CY39" s="5">
        <f ca="1">SUM(OFFSET(Demand!$H$43,ROW(C36)-1,(COLUMN(C36)-1)*5,1,1))*P$2</f>
        <v>0</v>
      </c>
      <c r="CZ39" s="5">
        <f ca="1">SUM(OFFSET(Demand!$H$43,ROW(D36)-1,(COLUMN(D36)-1)*5,1,1))*Q$2</f>
        <v>0</v>
      </c>
      <c r="DA39" s="5">
        <f ca="1">SUM(OFFSET(Demand!$H$43,ROW(E36)-1,(COLUMN(E36)-1)*5,1,1))*R$2</f>
        <v>0</v>
      </c>
      <c r="DB39" s="5">
        <f ca="1">SUM(OFFSET(Demand!$H$43,ROW(F36)-1,(COLUMN(F36)-1)*5,1,1))*S$2</f>
        <v>0</v>
      </c>
      <c r="DC39" s="5">
        <f ca="1">SUM(OFFSET(Demand!$H$43,ROW(G36)-1,(COLUMN(G36)-1)*5,1,1))*T$2</f>
        <v>0</v>
      </c>
      <c r="DD39" s="5">
        <f ca="1">SUM(OFFSET(Demand!$H$43,ROW(H36)-1,(COLUMN(H36)-1)*5,1,1))*U$2</f>
        <v>0</v>
      </c>
      <c r="DE39" s="5">
        <f ca="1">SUM(OFFSET(Demand!$H$43,ROW(I36)-1,(COLUMN(I36)-1)*5,1,1))*V$2</f>
        <v>0</v>
      </c>
      <c r="DF39" s="5">
        <f ca="1">SUM(OFFSET(Demand!$H$43,ROW(J36)-1,(COLUMN(J36)-1)*5,1,1))*W$2</f>
        <v>0</v>
      </c>
      <c r="DG39" s="5">
        <f t="shared" ca="1" si="9"/>
        <v>0</v>
      </c>
    </row>
    <row r="40" spans="1:111" s="5" customFormat="1" x14ac:dyDescent="0.2">
      <c r="A40" s="5">
        <f t="shared" ca="1" si="29"/>
        <v>0</v>
      </c>
      <c r="B40" s="5">
        <f ca="1">COUNTBLANK(OFFSET(Demand!$I49,0,(COLUMN(A37)-1)*5,1,1))</f>
        <v>0</v>
      </c>
      <c r="C40" s="5">
        <f ca="1">COUNTBLANK(OFFSET(Demand!$I49,0,(COLUMN(B37)-1)*5,1,1))</f>
        <v>0</v>
      </c>
      <c r="D40" s="5">
        <f ca="1">COUNTBLANK(OFFSET(Demand!$I49,0,(COLUMN(C37)-1)*5,1,1))</f>
        <v>1</v>
      </c>
      <c r="E40" s="5">
        <f ca="1">COUNTBLANK(OFFSET(Demand!$I49,0,(COLUMN(D37)-1)*5,1,1))</f>
        <v>1</v>
      </c>
      <c r="F40" s="5">
        <f ca="1">COUNTBLANK(OFFSET(Demand!$I49,0,(COLUMN(E37)-1)*5,1,1))</f>
        <v>1</v>
      </c>
      <c r="G40" s="5">
        <f ca="1">COUNTBLANK(OFFSET(Demand!$I49,0,(COLUMN(F37)-1)*5,1,1))</f>
        <v>1</v>
      </c>
      <c r="H40" s="5">
        <f ca="1">COUNTBLANK(OFFSET(Demand!$I49,0,(COLUMN(G37)-1)*5,1,1))</f>
        <v>1</v>
      </c>
      <c r="I40" s="5">
        <f ca="1">COUNTBLANK(OFFSET(Demand!$I49,0,(COLUMN(H37)-1)*5,1,1))</f>
        <v>1</v>
      </c>
      <c r="J40" s="5">
        <f ca="1">COUNTBLANK(OFFSET(Demand!$I49,0,(COLUMN(I37)-1)*5,1,1))</f>
        <v>1</v>
      </c>
      <c r="K40" s="5">
        <f ca="1">COUNTBLANK(OFFSET(Demand!$I49,0,(COLUMN(J37)-1)*5,1,1))</f>
        <v>1</v>
      </c>
      <c r="N40" s="5">
        <f ca="1">SUM(OFFSET(Demand!$E49,0,(COLUMN(A37)-1)*5,1,3))*N$2</f>
        <v>120</v>
      </c>
      <c r="O40" s="5">
        <f ca="1">SUM(OFFSET(Demand!$E49,0,(COLUMN(B37)-1)*5,1,3))*O$2</f>
        <v>480</v>
      </c>
      <c r="P40" s="5">
        <f ca="1">SUM(OFFSET(Demand!$E49,0,(COLUMN(C37)-1)*5,1,3))*P$2</f>
        <v>0</v>
      </c>
      <c r="Q40" s="5">
        <f ca="1">SUM(OFFSET(Demand!$E49,0,(COLUMN(D37)-1)*5,1,3))*Q$2</f>
        <v>0</v>
      </c>
      <c r="R40" s="5">
        <f ca="1">SUM(OFFSET(Demand!$E49,0,(COLUMN(E37)-1)*5,1,3))*R$2</f>
        <v>0</v>
      </c>
      <c r="S40" s="5">
        <f ca="1">SUM(OFFSET(Demand!$E49,0,(COLUMN(F37)-1)*5,1,3))*S$2</f>
        <v>0</v>
      </c>
      <c r="T40" s="5">
        <f ca="1">SUM(OFFSET(Demand!$E49,0,(COLUMN(G37)-1)*5,1,3))*T$2</f>
        <v>0</v>
      </c>
      <c r="U40" s="5">
        <f ca="1">SUM(OFFSET(Demand!$E49,0,(COLUMN(H37)-1)*5,1,3))*U$2</f>
        <v>0</v>
      </c>
      <c r="V40" s="5">
        <f ca="1">SUM(OFFSET(Demand!$E49,0,(COLUMN(I37)-1)*5,1,3))*V$2</f>
        <v>0</v>
      </c>
      <c r="W40" s="5">
        <f ca="1">SUM(OFFSET(Demand!$E49,0,(COLUMN(J37)-1)*5,1,3))*W$2</f>
        <v>0</v>
      </c>
      <c r="X40" s="5">
        <f t="shared" ca="1" si="4"/>
        <v>600</v>
      </c>
      <c r="Y40" s="5">
        <f t="shared" ca="1" si="5"/>
        <v>600</v>
      </c>
      <c r="Z40" s="5">
        <f ca="1">SUM(OFFSET(Demand!$H49,0,(COLUMN(A37)-1)*5,1,1))*N$2</f>
        <v>0</v>
      </c>
      <c r="AA40" s="5">
        <f ca="1">SUM(OFFSET(Demand!$H49,0,(COLUMN(B37)-1)*5,1,1))*O$2</f>
        <v>0</v>
      </c>
      <c r="AB40" s="5">
        <f ca="1">SUM(OFFSET(Demand!$H49,0,(COLUMN(C37)-1)*5,1,1))*P$2</f>
        <v>0</v>
      </c>
      <c r="AC40" s="5">
        <f ca="1">SUM(OFFSET(Demand!$H49,0,(COLUMN(D37)-1)*5,1,1))*Q$2</f>
        <v>0</v>
      </c>
      <c r="AD40" s="5">
        <f ca="1">SUM(OFFSET(Demand!$H49,0,(COLUMN(E37)-1)*5,1,1))*R$2</f>
        <v>0</v>
      </c>
      <c r="AE40" s="5">
        <f ca="1">SUM(OFFSET(Demand!$H49,0,(COLUMN(F37)-1)*5,1,1))*S$2</f>
        <v>0</v>
      </c>
      <c r="AF40" s="5">
        <f ca="1">SUM(OFFSET(Demand!$H49,0,(COLUMN(G37)-1)*5,1,1))*T$2</f>
        <v>0</v>
      </c>
      <c r="AG40" s="5">
        <f ca="1">SUM(OFFSET(Demand!$H49,0,(COLUMN(H37)-1)*5,1,1))*U$2</f>
        <v>0</v>
      </c>
      <c r="AH40" s="5">
        <f ca="1">SUM(OFFSET(Demand!$H49,0,(COLUMN(I37)-1)*5,1,1))*V$2</f>
        <v>0</v>
      </c>
      <c r="AI40" s="5">
        <f ca="1">SUM(OFFSET(Demand!$H49,0,(COLUMN(J37)-1)*5,1,1))*W$2</f>
        <v>0</v>
      </c>
      <c r="AJ40" s="5">
        <f t="shared" ca="1" si="6"/>
        <v>0</v>
      </c>
      <c r="AL40" s="5">
        <f t="shared" ca="1" si="7"/>
        <v>600</v>
      </c>
      <c r="AM40" s="5">
        <f t="shared" ca="1" si="8"/>
        <v>0</v>
      </c>
      <c r="AN40" s="5" t="str">
        <f>IF(Demand!BE49="Yes","Yes","")</f>
        <v/>
      </c>
      <c r="AP40" s="37" t="str">
        <f ca="1">Demand!B49</f>
        <v xml:space="preserve"> </v>
      </c>
      <c r="AQ40" s="5" t="str">
        <f ca="1">IF(TEXT(Demand!D49,"MMM")&lt;&gt;TEXT(Demand!D48,"MMM"),TEXT(Demand!D49,"MMM"),"")</f>
        <v/>
      </c>
      <c r="AT40" s="5">
        <f t="shared" ca="1" si="10"/>
        <v>30</v>
      </c>
      <c r="BQ40">
        <f ca="1">IF($AN40="",OFFSET(Demand!$A$13,ROW(A37)-1,4+((QUOTIENT(COLUMN(BQ$2)-69,3))*5)+MOD(COLUMN(BQ$2),3),1,1),"")</f>
        <v>0</v>
      </c>
      <c r="BR40">
        <f ca="1">IF($AN40="",OFFSET(Demand!$A$13,ROW(B37)-1,4+((QUOTIENT(COLUMN(BR$2)-69,3))*5)+MOD(COLUMN(BR$2),3),1,1),"")</f>
        <v>1</v>
      </c>
      <c r="BS40">
        <f ca="1">IF($AN40="",OFFSET(Demand!$A$13,ROW(C37)-1,4+((QUOTIENT(COLUMN(BS$2)-69,3))*5)+MOD(COLUMN(BS$2),3),1,1),"")</f>
        <v>3</v>
      </c>
      <c r="BT40">
        <f ca="1">IF($AN40="",OFFSET(Demand!$A$13,ROW(D37)-1,4+((QUOTIENT(COLUMN(BT$2)-69,3))*5)+MOD(COLUMN(BT$2),3),1,1),"")</f>
        <v>0</v>
      </c>
      <c r="BU40">
        <f ca="1">IF($AN40="",OFFSET(Demand!$A$13,ROW(E37)-1,4+((QUOTIENT(COLUMN(BU$2)-69,3))*5)+MOD(COLUMN(BU$2),3),1,1),"")</f>
        <v>1</v>
      </c>
      <c r="BV40">
        <f ca="1">IF($AN40="",OFFSET(Demand!$A$13,ROW(F37)-1,4+((QUOTIENT(COLUMN(BV$2)-69,3))*5)+MOD(COLUMN(BV$2),3),1,1),"")</f>
        <v>11</v>
      </c>
      <c r="BW40">
        <f ca="1">IF($AN40="",OFFSET(Demand!$A$13,ROW(G37)-1,4+((QUOTIENT(COLUMN(BW$2)-69,3))*5)+MOD(COLUMN(BW$2),3),1,1),"")</f>
        <v>0</v>
      </c>
      <c r="BX40">
        <f ca="1">IF($AN40="",OFFSET(Demand!$A$13,ROW(H37)-1,4+((QUOTIENT(COLUMN(BX$2)-69,3))*5)+MOD(COLUMN(BX$2),3),1,1),"")</f>
        <v>0</v>
      </c>
      <c r="BY40">
        <f ca="1">IF($AN40="",OFFSET(Demand!$A$13,ROW(I37)-1,4+((QUOTIENT(COLUMN(BY$2)-69,3))*5)+MOD(COLUMN(BY$2),3),1,1),"")</f>
        <v>0</v>
      </c>
      <c r="BZ40">
        <f ca="1">IF($AN40="",OFFSET(Demand!$A$13,ROW(J37)-1,4+((QUOTIENT(COLUMN(BZ$2)-69,3))*5)+MOD(COLUMN(BZ$2),3),1,1),"")</f>
        <v>0</v>
      </c>
      <c r="CA40">
        <f ca="1">IF($AN40="",OFFSET(Demand!$A$13,ROW(K37)-1,4+((QUOTIENT(COLUMN(CA$2)-69,3))*5)+MOD(COLUMN(CA$2),3),1,1),"")</f>
        <v>0</v>
      </c>
      <c r="CB40">
        <f ca="1">IF($AN40="",OFFSET(Demand!$A$13,ROW(L37)-1,4+((QUOTIENT(COLUMN(CB$2)-69,3))*5)+MOD(COLUMN(CB$2),3),1,1),"")</f>
        <v>0</v>
      </c>
      <c r="CC40">
        <f ca="1">IF($AN40="",OFFSET(Demand!$A$13,ROW(M37)-1,4+((QUOTIENT(COLUMN(CC$2)-69,3))*5)+MOD(COLUMN(CC$2),3),1,1),"")</f>
        <v>0</v>
      </c>
      <c r="CD40">
        <f ca="1">IF($AN40="",OFFSET(Demand!$A$13,ROW(N37)-1,4+((QUOTIENT(COLUMN(CD$2)-69,3))*5)+MOD(COLUMN(CD$2),3),1,1),"")</f>
        <v>0</v>
      </c>
      <c r="CE40">
        <f ca="1">IF($AN40="",OFFSET(Demand!$A$13,ROW(O37)-1,4+((QUOTIENT(COLUMN(CE$2)-69,3))*5)+MOD(COLUMN(CE$2),3),1,1),"")</f>
        <v>0</v>
      </c>
      <c r="CF40">
        <f ca="1">IF($AN40="",OFFSET(Demand!$A$13,ROW(P37)-1,4+((QUOTIENT(COLUMN(CF$2)-69,3))*5)+MOD(COLUMN(CF$2),3),1,1),"")</f>
        <v>0</v>
      </c>
      <c r="CG40">
        <f ca="1">IF($AN40="",OFFSET(Demand!$A$13,ROW(Q37)-1,4+((QUOTIENT(COLUMN(CG$2)-69,3))*5)+MOD(COLUMN(CG$2),3),1,1),"")</f>
        <v>0</v>
      </c>
      <c r="CH40">
        <f ca="1">IF($AN40="",OFFSET(Demand!$A$13,ROW(R37)-1,4+((QUOTIENT(COLUMN(CH$2)-69,3))*5)+MOD(COLUMN(CH$2),3),1,1),"")</f>
        <v>0</v>
      </c>
      <c r="CI40">
        <f ca="1">IF($AN40="",OFFSET(Demand!$A$13,ROW(S37)-1,4+((QUOTIENT(COLUMN(CI$2)-69,3))*5)+MOD(COLUMN(CI$2),3),1,1),"")</f>
        <v>0</v>
      </c>
      <c r="CJ40">
        <f ca="1">IF($AN40="",OFFSET(Demand!$A$13,ROW(T37)-1,4+((QUOTIENT(COLUMN(CJ$2)-69,3))*5)+MOD(COLUMN(CJ$2),3),1,1),"")</f>
        <v>0</v>
      </c>
      <c r="CK40">
        <f ca="1">IF($AN40="",OFFSET(Demand!$A$13,ROW(U37)-1,4+((QUOTIENT(COLUMN(CK$2)-69,3))*5)+MOD(COLUMN(CK$2),3),1,1),"")</f>
        <v>0</v>
      </c>
      <c r="CL40">
        <f ca="1">IF($AN40="",OFFSET(Demand!$A$13,ROW(V37)-1,4+((QUOTIENT(COLUMN(CL$2)-69,3))*5)+MOD(COLUMN(CL$2),3),1,1),"")</f>
        <v>0</v>
      </c>
      <c r="CM40">
        <f ca="1">IF($AN40="",OFFSET(Demand!$A$13,ROW(W37)-1,4+((QUOTIENT(COLUMN(CM$2)-69,3))*5)+MOD(COLUMN(CM$2),3),1,1),"")</f>
        <v>0</v>
      </c>
      <c r="CN40">
        <f ca="1">IF($AN40="",OFFSET(Demand!$A$13,ROW(X37)-1,4+((QUOTIENT(COLUMN(CN$2)-69,3))*5)+MOD(COLUMN(CN$2),3),1,1),"")</f>
        <v>0</v>
      </c>
      <c r="CO40">
        <f ca="1">IF($AN40="",OFFSET(Demand!$A$13,ROW(Y37)-1,4+((QUOTIENT(COLUMN(CO$2)-69,3))*5)+MOD(COLUMN(CO$2),3),1,1),"")</f>
        <v>0</v>
      </c>
      <c r="CP40">
        <f ca="1">IF($AN40="",OFFSET(Demand!$A$13,ROW(Z37)-1,4+((QUOTIENT(COLUMN(CP$2)-69,3))*5)+MOD(COLUMN(CP$2),3),1,1),"")</f>
        <v>0</v>
      </c>
      <c r="CQ40">
        <f ca="1">IF($AN40="",OFFSET(Demand!$A$13,ROW(AA37)-1,4+((QUOTIENT(COLUMN(CQ$2)-69,3))*5)+MOD(COLUMN(CQ$2),3),1,1),"")</f>
        <v>0</v>
      </c>
      <c r="CR40">
        <f ca="1">IF($AN40="",OFFSET(Demand!$A$13,ROW(AB37)-1,4+((QUOTIENT(COLUMN(CR$2)-69,3))*5)+MOD(COLUMN(CR$2),3),1,1),"")</f>
        <v>0</v>
      </c>
      <c r="CS40">
        <f ca="1">IF($AN40="",OFFSET(Demand!$A$13,ROW(AC37)-1,4+((QUOTIENT(COLUMN(CS$2)-69,3))*5)+MOD(COLUMN(CS$2),3),1,1),"")</f>
        <v>0</v>
      </c>
      <c r="CT40">
        <f ca="1">IF($AN40="",OFFSET(Demand!$A$13,ROW(AD37)-1,4+((QUOTIENT(COLUMN(CT$2)-69,3))*5)+MOD(COLUMN(CT$2),3),1,1),"")</f>
        <v>0</v>
      </c>
      <c r="CW40" s="5">
        <f ca="1">SUM(OFFSET(Demand!$H$43,ROW(A37)-1,(COLUMN(A37)-1)*5,1,1))*N$2</f>
        <v>0</v>
      </c>
      <c r="CX40" s="5">
        <f ca="1">SUM(OFFSET(Demand!$H$43,ROW(B37)-1,(COLUMN(B37)-1)*5,1,1))*O$2</f>
        <v>0</v>
      </c>
      <c r="CY40" s="5">
        <f ca="1">SUM(OFFSET(Demand!$H$43,ROW(C37)-1,(COLUMN(C37)-1)*5,1,1))*P$2</f>
        <v>0</v>
      </c>
      <c r="CZ40" s="5">
        <f ca="1">SUM(OFFSET(Demand!$H$43,ROW(D37)-1,(COLUMN(D37)-1)*5,1,1))*Q$2</f>
        <v>0</v>
      </c>
      <c r="DA40" s="5">
        <f ca="1">SUM(OFFSET(Demand!$H$43,ROW(E37)-1,(COLUMN(E37)-1)*5,1,1))*R$2</f>
        <v>0</v>
      </c>
      <c r="DB40" s="5">
        <f ca="1">SUM(OFFSET(Demand!$H$43,ROW(F37)-1,(COLUMN(F37)-1)*5,1,1))*S$2</f>
        <v>0</v>
      </c>
      <c r="DC40" s="5">
        <f ca="1">SUM(OFFSET(Demand!$H$43,ROW(G37)-1,(COLUMN(G37)-1)*5,1,1))*T$2</f>
        <v>0</v>
      </c>
      <c r="DD40" s="5">
        <f ca="1">SUM(OFFSET(Demand!$H$43,ROW(H37)-1,(COLUMN(H37)-1)*5,1,1))*U$2</f>
        <v>0</v>
      </c>
      <c r="DE40" s="5">
        <f ca="1">SUM(OFFSET(Demand!$H$43,ROW(I37)-1,(COLUMN(I37)-1)*5,1,1))*V$2</f>
        <v>0</v>
      </c>
      <c r="DF40" s="5">
        <f ca="1">SUM(OFFSET(Demand!$H$43,ROW(J37)-1,(COLUMN(J37)-1)*5,1,1))*W$2</f>
        <v>0</v>
      </c>
      <c r="DG40" s="5">
        <f t="shared" ca="1" si="9"/>
        <v>0</v>
      </c>
    </row>
    <row r="41" spans="1:111" s="5" customFormat="1" x14ac:dyDescent="0.2">
      <c r="A41" s="5">
        <f t="shared" ca="1" si="29"/>
        <v>0</v>
      </c>
      <c r="B41" s="5">
        <f ca="1">COUNTBLANK(OFFSET(Demand!$I50,0,(COLUMN(A38)-1)*5,1,1))</f>
        <v>0</v>
      </c>
      <c r="C41" s="5">
        <f ca="1">COUNTBLANK(OFFSET(Demand!$I50,0,(COLUMN(B38)-1)*5,1,1))</f>
        <v>0</v>
      </c>
      <c r="D41" s="5">
        <f ca="1">COUNTBLANK(OFFSET(Demand!$I50,0,(COLUMN(C38)-1)*5,1,1))</f>
        <v>1</v>
      </c>
      <c r="E41" s="5">
        <f ca="1">COUNTBLANK(OFFSET(Demand!$I50,0,(COLUMN(D38)-1)*5,1,1))</f>
        <v>1</v>
      </c>
      <c r="F41" s="5">
        <f ca="1">COUNTBLANK(OFFSET(Demand!$I50,0,(COLUMN(E38)-1)*5,1,1))</f>
        <v>1</v>
      </c>
      <c r="G41" s="5">
        <f ca="1">COUNTBLANK(OFFSET(Demand!$I50,0,(COLUMN(F38)-1)*5,1,1))</f>
        <v>1</v>
      </c>
      <c r="H41" s="5">
        <f ca="1">COUNTBLANK(OFFSET(Demand!$I50,0,(COLUMN(G38)-1)*5,1,1))</f>
        <v>1</v>
      </c>
      <c r="I41" s="5">
        <f ca="1">COUNTBLANK(OFFSET(Demand!$I50,0,(COLUMN(H38)-1)*5,1,1))</f>
        <v>1</v>
      </c>
      <c r="J41" s="5">
        <f ca="1">COUNTBLANK(OFFSET(Demand!$I50,0,(COLUMN(I38)-1)*5,1,1))</f>
        <v>1</v>
      </c>
      <c r="K41" s="5">
        <f ca="1">COUNTBLANK(OFFSET(Demand!$I50,0,(COLUMN(J38)-1)*5,1,1))</f>
        <v>1</v>
      </c>
      <c r="N41" s="5">
        <f ca="1">SUM(OFFSET(Demand!$E50,0,(COLUMN(A38)-1)*5,1,3))*N$2</f>
        <v>30</v>
      </c>
      <c r="O41" s="5">
        <f ca="1">SUM(OFFSET(Demand!$E50,0,(COLUMN(B38)-1)*5,1,3))*O$2</f>
        <v>480</v>
      </c>
      <c r="P41" s="5">
        <f ca="1">SUM(OFFSET(Demand!$E50,0,(COLUMN(C38)-1)*5,1,3))*P$2</f>
        <v>0</v>
      </c>
      <c r="Q41" s="5">
        <f ca="1">SUM(OFFSET(Demand!$E50,0,(COLUMN(D38)-1)*5,1,3))*Q$2</f>
        <v>0</v>
      </c>
      <c r="R41" s="5">
        <f ca="1">SUM(OFFSET(Demand!$E50,0,(COLUMN(E38)-1)*5,1,3))*R$2</f>
        <v>0</v>
      </c>
      <c r="S41" s="5">
        <f ca="1">SUM(OFFSET(Demand!$E50,0,(COLUMN(F38)-1)*5,1,3))*S$2</f>
        <v>0</v>
      </c>
      <c r="T41" s="5">
        <f ca="1">SUM(OFFSET(Demand!$E50,0,(COLUMN(G38)-1)*5,1,3))*T$2</f>
        <v>0</v>
      </c>
      <c r="U41" s="5">
        <f ca="1">SUM(OFFSET(Demand!$E50,0,(COLUMN(H38)-1)*5,1,3))*U$2</f>
        <v>0</v>
      </c>
      <c r="V41" s="5">
        <f ca="1">SUM(OFFSET(Demand!$E50,0,(COLUMN(I38)-1)*5,1,3))*V$2</f>
        <v>0</v>
      </c>
      <c r="W41" s="5">
        <f ca="1">SUM(OFFSET(Demand!$E50,0,(COLUMN(J38)-1)*5,1,3))*W$2</f>
        <v>0</v>
      </c>
      <c r="X41" s="5">
        <f t="shared" ca="1" si="4"/>
        <v>510</v>
      </c>
      <c r="Y41" s="5">
        <f t="shared" ca="1" si="5"/>
        <v>510</v>
      </c>
      <c r="Z41" s="5">
        <f ca="1">SUM(OFFSET(Demand!$H50,0,(COLUMN(A38)-1)*5,1,1))*N$2</f>
        <v>0</v>
      </c>
      <c r="AA41" s="5">
        <f ca="1">SUM(OFFSET(Demand!$H50,0,(COLUMN(B38)-1)*5,1,1))*O$2</f>
        <v>0</v>
      </c>
      <c r="AB41" s="5">
        <f ca="1">SUM(OFFSET(Demand!$H50,0,(COLUMN(C38)-1)*5,1,1))*P$2</f>
        <v>0</v>
      </c>
      <c r="AC41" s="5">
        <f ca="1">SUM(OFFSET(Demand!$H50,0,(COLUMN(D38)-1)*5,1,1))*Q$2</f>
        <v>0</v>
      </c>
      <c r="AD41" s="5">
        <f ca="1">SUM(OFFSET(Demand!$H50,0,(COLUMN(E38)-1)*5,1,1))*R$2</f>
        <v>0</v>
      </c>
      <c r="AE41" s="5">
        <f ca="1">SUM(OFFSET(Demand!$H50,0,(COLUMN(F38)-1)*5,1,1))*S$2</f>
        <v>0</v>
      </c>
      <c r="AF41" s="5">
        <f ca="1">SUM(OFFSET(Demand!$H50,0,(COLUMN(G38)-1)*5,1,1))*T$2</f>
        <v>0</v>
      </c>
      <c r="AG41" s="5">
        <f ca="1">SUM(OFFSET(Demand!$H50,0,(COLUMN(H38)-1)*5,1,1))*U$2</f>
        <v>0</v>
      </c>
      <c r="AH41" s="5">
        <f ca="1">SUM(OFFSET(Demand!$H50,0,(COLUMN(I38)-1)*5,1,1))*V$2</f>
        <v>0</v>
      </c>
      <c r="AI41" s="5">
        <f ca="1">SUM(OFFSET(Demand!$H50,0,(COLUMN(J38)-1)*5,1,1))*W$2</f>
        <v>0</v>
      </c>
      <c r="AJ41" s="5">
        <f t="shared" ca="1" si="6"/>
        <v>0</v>
      </c>
      <c r="AL41" s="5">
        <f t="shared" ca="1" si="7"/>
        <v>510</v>
      </c>
      <c r="AM41" s="5">
        <f t="shared" ca="1" si="8"/>
        <v>0</v>
      </c>
      <c r="AN41" s="5" t="str">
        <f>IF(Demand!BE50="Yes","Yes","")</f>
        <v/>
      </c>
      <c r="AP41" s="37" t="str">
        <f ca="1">Demand!B50</f>
        <v xml:space="preserve"> </v>
      </c>
      <c r="AQ41" s="5" t="str">
        <f ca="1">IF(TEXT(Demand!D50,"MMM")&lt;&gt;TEXT(Demand!D49,"MMM"),TEXT(Demand!D50,"MMM"),"")</f>
        <v/>
      </c>
      <c r="AT41" s="5">
        <f t="shared" ca="1" si="10"/>
        <v>90</v>
      </c>
      <c r="BQ41">
        <f ca="1">IF($AN41="",OFFSET(Demand!$A$13,ROW(A38)-1,4+((QUOTIENT(COLUMN(BQ$2)-69,3))*5)+MOD(COLUMN(BQ$2),3),1,1),"")</f>
        <v>0</v>
      </c>
      <c r="BR41">
        <f ca="1">IF($AN41="",OFFSET(Demand!$A$13,ROW(B38)-1,4+((QUOTIENT(COLUMN(BR$2)-69,3))*5)+MOD(COLUMN(BR$2),3),1,1),"")</f>
        <v>0</v>
      </c>
      <c r="BS41">
        <f ca="1">IF($AN41="",OFFSET(Demand!$A$13,ROW(C38)-1,4+((QUOTIENT(COLUMN(BS$2)-69,3))*5)+MOD(COLUMN(BS$2),3),1,1),"")</f>
        <v>1</v>
      </c>
      <c r="BT41">
        <f ca="1">IF($AN41="",OFFSET(Demand!$A$13,ROW(D38)-1,4+((QUOTIENT(COLUMN(BT$2)-69,3))*5)+MOD(COLUMN(BT$2),3),1,1),"")</f>
        <v>0</v>
      </c>
      <c r="BU41">
        <f ca="1">IF($AN41="",OFFSET(Demand!$A$13,ROW(E38)-1,4+((QUOTIENT(COLUMN(BU$2)-69,3))*5)+MOD(COLUMN(BU$2),3),1,1),"")</f>
        <v>5</v>
      </c>
      <c r="BV41">
        <f ca="1">IF($AN41="",OFFSET(Demand!$A$13,ROW(F38)-1,4+((QUOTIENT(COLUMN(BV$2)-69,3))*5)+MOD(COLUMN(BV$2),3),1,1),"")</f>
        <v>7</v>
      </c>
      <c r="BW41">
        <f ca="1">IF($AN41="",OFFSET(Demand!$A$13,ROW(G38)-1,4+((QUOTIENT(COLUMN(BW$2)-69,3))*5)+MOD(COLUMN(BW$2),3),1,1),"")</f>
        <v>0</v>
      </c>
      <c r="BX41">
        <f ca="1">IF($AN41="",OFFSET(Demand!$A$13,ROW(H38)-1,4+((QUOTIENT(COLUMN(BX$2)-69,3))*5)+MOD(COLUMN(BX$2),3),1,1),"")</f>
        <v>0</v>
      </c>
      <c r="BY41">
        <f ca="1">IF($AN41="",OFFSET(Demand!$A$13,ROW(I38)-1,4+((QUOTIENT(COLUMN(BY$2)-69,3))*5)+MOD(COLUMN(BY$2),3),1,1),"")</f>
        <v>0</v>
      </c>
      <c r="BZ41">
        <f ca="1">IF($AN41="",OFFSET(Demand!$A$13,ROW(J38)-1,4+((QUOTIENT(COLUMN(BZ$2)-69,3))*5)+MOD(COLUMN(BZ$2),3),1,1),"")</f>
        <v>0</v>
      </c>
      <c r="CA41">
        <f ca="1">IF($AN41="",OFFSET(Demand!$A$13,ROW(K38)-1,4+((QUOTIENT(COLUMN(CA$2)-69,3))*5)+MOD(COLUMN(CA$2),3),1,1),"")</f>
        <v>0</v>
      </c>
      <c r="CB41">
        <f ca="1">IF($AN41="",OFFSET(Demand!$A$13,ROW(L38)-1,4+((QUOTIENT(COLUMN(CB$2)-69,3))*5)+MOD(COLUMN(CB$2),3),1,1),"")</f>
        <v>0</v>
      </c>
      <c r="CC41">
        <f ca="1">IF($AN41="",OFFSET(Demand!$A$13,ROW(M38)-1,4+((QUOTIENT(COLUMN(CC$2)-69,3))*5)+MOD(COLUMN(CC$2),3),1,1),"")</f>
        <v>0</v>
      </c>
      <c r="CD41">
        <f ca="1">IF($AN41="",OFFSET(Demand!$A$13,ROW(N38)-1,4+((QUOTIENT(COLUMN(CD$2)-69,3))*5)+MOD(COLUMN(CD$2),3),1,1),"")</f>
        <v>0</v>
      </c>
      <c r="CE41">
        <f ca="1">IF($AN41="",OFFSET(Demand!$A$13,ROW(O38)-1,4+((QUOTIENT(COLUMN(CE$2)-69,3))*5)+MOD(COLUMN(CE$2),3),1,1),"")</f>
        <v>0</v>
      </c>
      <c r="CF41">
        <f ca="1">IF($AN41="",OFFSET(Demand!$A$13,ROW(P38)-1,4+((QUOTIENT(COLUMN(CF$2)-69,3))*5)+MOD(COLUMN(CF$2),3),1,1),"")</f>
        <v>0</v>
      </c>
      <c r="CG41">
        <f ca="1">IF($AN41="",OFFSET(Demand!$A$13,ROW(Q38)-1,4+((QUOTIENT(COLUMN(CG$2)-69,3))*5)+MOD(COLUMN(CG$2),3),1,1),"")</f>
        <v>0</v>
      </c>
      <c r="CH41">
        <f ca="1">IF($AN41="",OFFSET(Demand!$A$13,ROW(R38)-1,4+((QUOTIENT(COLUMN(CH$2)-69,3))*5)+MOD(COLUMN(CH$2),3),1,1),"")</f>
        <v>0</v>
      </c>
      <c r="CI41">
        <f ca="1">IF($AN41="",OFFSET(Demand!$A$13,ROW(S38)-1,4+((QUOTIENT(COLUMN(CI$2)-69,3))*5)+MOD(COLUMN(CI$2),3),1,1),"")</f>
        <v>0</v>
      </c>
      <c r="CJ41">
        <f ca="1">IF($AN41="",OFFSET(Demand!$A$13,ROW(T38)-1,4+((QUOTIENT(COLUMN(CJ$2)-69,3))*5)+MOD(COLUMN(CJ$2),3),1,1),"")</f>
        <v>0</v>
      </c>
      <c r="CK41">
        <f ca="1">IF($AN41="",OFFSET(Demand!$A$13,ROW(U38)-1,4+((QUOTIENT(COLUMN(CK$2)-69,3))*5)+MOD(COLUMN(CK$2),3),1,1),"")</f>
        <v>0</v>
      </c>
      <c r="CL41">
        <f ca="1">IF($AN41="",OFFSET(Demand!$A$13,ROW(V38)-1,4+((QUOTIENT(COLUMN(CL$2)-69,3))*5)+MOD(COLUMN(CL$2),3),1,1),"")</f>
        <v>0</v>
      </c>
      <c r="CM41">
        <f ca="1">IF($AN41="",OFFSET(Demand!$A$13,ROW(W38)-1,4+((QUOTIENT(COLUMN(CM$2)-69,3))*5)+MOD(COLUMN(CM$2),3),1,1),"")</f>
        <v>0</v>
      </c>
      <c r="CN41">
        <f ca="1">IF($AN41="",OFFSET(Demand!$A$13,ROW(X38)-1,4+((QUOTIENT(COLUMN(CN$2)-69,3))*5)+MOD(COLUMN(CN$2),3),1,1),"")</f>
        <v>0</v>
      </c>
      <c r="CO41">
        <f ca="1">IF($AN41="",OFFSET(Demand!$A$13,ROW(Y38)-1,4+((QUOTIENT(COLUMN(CO$2)-69,3))*5)+MOD(COLUMN(CO$2),3),1,1),"")</f>
        <v>0</v>
      </c>
      <c r="CP41">
        <f ca="1">IF($AN41="",OFFSET(Demand!$A$13,ROW(Z38)-1,4+((QUOTIENT(COLUMN(CP$2)-69,3))*5)+MOD(COLUMN(CP$2),3),1,1),"")</f>
        <v>0</v>
      </c>
      <c r="CQ41">
        <f ca="1">IF($AN41="",OFFSET(Demand!$A$13,ROW(AA38)-1,4+((QUOTIENT(COLUMN(CQ$2)-69,3))*5)+MOD(COLUMN(CQ$2),3),1,1),"")</f>
        <v>0</v>
      </c>
      <c r="CR41">
        <f ca="1">IF($AN41="",OFFSET(Demand!$A$13,ROW(AB38)-1,4+((QUOTIENT(COLUMN(CR$2)-69,3))*5)+MOD(COLUMN(CR$2),3),1,1),"")</f>
        <v>0</v>
      </c>
      <c r="CS41">
        <f ca="1">IF($AN41="",OFFSET(Demand!$A$13,ROW(AC38)-1,4+((QUOTIENT(COLUMN(CS$2)-69,3))*5)+MOD(COLUMN(CS$2),3),1,1),"")</f>
        <v>0</v>
      </c>
      <c r="CT41">
        <f ca="1">IF($AN41="",OFFSET(Demand!$A$13,ROW(AD38)-1,4+((QUOTIENT(COLUMN(CT$2)-69,3))*5)+MOD(COLUMN(CT$2),3),1,1),"")</f>
        <v>0</v>
      </c>
      <c r="CW41" s="5">
        <f ca="1">SUM(OFFSET(Demand!$H$43,ROW(A38)-1,(COLUMN(A38)-1)*5,1,1))*N$2</f>
        <v>0</v>
      </c>
      <c r="CX41" s="5">
        <f ca="1">SUM(OFFSET(Demand!$H$43,ROW(B38)-1,(COLUMN(B38)-1)*5,1,1))*O$2</f>
        <v>0</v>
      </c>
      <c r="CY41" s="5">
        <f ca="1">SUM(OFFSET(Demand!$H$43,ROW(C38)-1,(COLUMN(C38)-1)*5,1,1))*P$2</f>
        <v>0</v>
      </c>
      <c r="CZ41" s="5">
        <f ca="1">SUM(OFFSET(Demand!$H$43,ROW(D38)-1,(COLUMN(D38)-1)*5,1,1))*Q$2</f>
        <v>0</v>
      </c>
      <c r="DA41" s="5">
        <f ca="1">SUM(OFFSET(Demand!$H$43,ROW(E38)-1,(COLUMN(E38)-1)*5,1,1))*R$2</f>
        <v>0</v>
      </c>
      <c r="DB41" s="5">
        <f ca="1">SUM(OFFSET(Demand!$H$43,ROW(F38)-1,(COLUMN(F38)-1)*5,1,1))*S$2</f>
        <v>0</v>
      </c>
      <c r="DC41" s="5">
        <f ca="1">SUM(OFFSET(Demand!$H$43,ROW(G38)-1,(COLUMN(G38)-1)*5,1,1))*T$2</f>
        <v>0</v>
      </c>
      <c r="DD41" s="5">
        <f ca="1">SUM(OFFSET(Demand!$H$43,ROW(H38)-1,(COLUMN(H38)-1)*5,1,1))*U$2</f>
        <v>0</v>
      </c>
      <c r="DE41" s="5">
        <f ca="1">SUM(OFFSET(Demand!$H$43,ROW(I38)-1,(COLUMN(I38)-1)*5,1,1))*V$2</f>
        <v>0</v>
      </c>
      <c r="DF41" s="5">
        <f ca="1">SUM(OFFSET(Demand!$H$43,ROW(J38)-1,(COLUMN(J38)-1)*5,1,1))*W$2</f>
        <v>0</v>
      </c>
      <c r="DG41" s="5">
        <f t="shared" ca="1" si="9"/>
        <v>0</v>
      </c>
    </row>
    <row r="42" spans="1:111" s="5" customFormat="1" x14ac:dyDescent="0.2">
      <c r="A42" s="5">
        <f t="shared" ca="1" si="29"/>
        <v>0</v>
      </c>
      <c r="B42" s="5">
        <f ca="1">COUNTBLANK(OFFSET(Demand!$I51,0,(COLUMN(A39)-1)*5,1,1))</f>
        <v>0</v>
      </c>
      <c r="C42" s="5">
        <f ca="1">COUNTBLANK(OFFSET(Demand!$I51,0,(COLUMN(B39)-1)*5,1,1))</f>
        <v>0</v>
      </c>
      <c r="D42" s="5">
        <f ca="1">COUNTBLANK(OFFSET(Demand!$I51,0,(COLUMN(C39)-1)*5,1,1))</f>
        <v>1</v>
      </c>
      <c r="E42" s="5">
        <f ca="1">COUNTBLANK(OFFSET(Demand!$I51,0,(COLUMN(D39)-1)*5,1,1))</f>
        <v>1</v>
      </c>
      <c r="F42" s="5">
        <f ca="1">COUNTBLANK(OFFSET(Demand!$I51,0,(COLUMN(E39)-1)*5,1,1))</f>
        <v>1</v>
      </c>
      <c r="G42" s="5">
        <f ca="1">COUNTBLANK(OFFSET(Demand!$I51,0,(COLUMN(F39)-1)*5,1,1))</f>
        <v>1</v>
      </c>
      <c r="H42" s="5">
        <f ca="1">COUNTBLANK(OFFSET(Demand!$I51,0,(COLUMN(G39)-1)*5,1,1))</f>
        <v>1</v>
      </c>
      <c r="I42" s="5">
        <f ca="1">COUNTBLANK(OFFSET(Demand!$I51,0,(COLUMN(H39)-1)*5,1,1))</f>
        <v>1</v>
      </c>
      <c r="J42" s="5">
        <f ca="1">COUNTBLANK(OFFSET(Demand!$I51,0,(COLUMN(I39)-1)*5,1,1))</f>
        <v>1</v>
      </c>
      <c r="K42" s="5">
        <f ca="1">COUNTBLANK(OFFSET(Demand!$I51,0,(COLUMN(J39)-1)*5,1,1))</f>
        <v>1</v>
      </c>
      <c r="N42" s="5">
        <f ca="1">SUM(OFFSET(Demand!$E51,0,(COLUMN(A39)-1)*5,1,3))*N$2</f>
        <v>60</v>
      </c>
      <c r="O42" s="5">
        <f ca="1">SUM(OFFSET(Demand!$E51,0,(COLUMN(B39)-1)*5,1,3))*O$2</f>
        <v>240</v>
      </c>
      <c r="P42" s="5">
        <f ca="1">SUM(OFFSET(Demand!$E51,0,(COLUMN(C39)-1)*5,1,3))*P$2</f>
        <v>0</v>
      </c>
      <c r="Q42" s="5">
        <f ca="1">SUM(OFFSET(Demand!$E51,0,(COLUMN(D39)-1)*5,1,3))*Q$2</f>
        <v>0</v>
      </c>
      <c r="R42" s="5">
        <f ca="1">SUM(OFFSET(Demand!$E51,0,(COLUMN(E39)-1)*5,1,3))*R$2</f>
        <v>0</v>
      </c>
      <c r="S42" s="5">
        <f ca="1">SUM(OFFSET(Demand!$E51,0,(COLUMN(F39)-1)*5,1,3))*S$2</f>
        <v>0</v>
      </c>
      <c r="T42" s="5">
        <f ca="1">SUM(OFFSET(Demand!$E51,0,(COLUMN(G39)-1)*5,1,3))*T$2</f>
        <v>0</v>
      </c>
      <c r="U42" s="5">
        <f ca="1">SUM(OFFSET(Demand!$E51,0,(COLUMN(H39)-1)*5,1,3))*U$2</f>
        <v>0</v>
      </c>
      <c r="V42" s="5">
        <f ca="1">SUM(OFFSET(Demand!$E51,0,(COLUMN(I39)-1)*5,1,3))*V$2</f>
        <v>0</v>
      </c>
      <c r="W42" s="5">
        <f ca="1">SUM(OFFSET(Demand!$E51,0,(COLUMN(J39)-1)*5,1,3))*W$2</f>
        <v>0</v>
      </c>
      <c r="X42" s="5">
        <f t="shared" ca="1" si="4"/>
        <v>300</v>
      </c>
      <c r="Y42" s="5">
        <f t="shared" ca="1" si="5"/>
        <v>300</v>
      </c>
      <c r="Z42" s="5">
        <f ca="1">SUM(OFFSET(Demand!$H51,0,(COLUMN(A39)-1)*5,1,1))*N$2</f>
        <v>0</v>
      </c>
      <c r="AA42" s="5">
        <f ca="1">SUM(OFFSET(Demand!$H51,0,(COLUMN(B39)-1)*5,1,1))*O$2</f>
        <v>0</v>
      </c>
      <c r="AB42" s="5">
        <f ca="1">SUM(OFFSET(Demand!$H51,0,(COLUMN(C39)-1)*5,1,1))*P$2</f>
        <v>0</v>
      </c>
      <c r="AC42" s="5">
        <f ca="1">SUM(OFFSET(Demand!$H51,0,(COLUMN(D39)-1)*5,1,1))*Q$2</f>
        <v>0</v>
      </c>
      <c r="AD42" s="5">
        <f ca="1">SUM(OFFSET(Demand!$H51,0,(COLUMN(E39)-1)*5,1,1))*R$2</f>
        <v>0</v>
      </c>
      <c r="AE42" s="5">
        <f ca="1">SUM(OFFSET(Demand!$H51,0,(COLUMN(F39)-1)*5,1,1))*S$2</f>
        <v>0</v>
      </c>
      <c r="AF42" s="5">
        <f ca="1">SUM(OFFSET(Demand!$H51,0,(COLUMN(G39)-1)*5,1,1))*T$2</f>
        <v>0</v>
      </c>
      <c r="AG42" s="5">
        <f ca="1">SUM(OFFSET(Demand!$H51,0,(COLUMN(H39)-1)*5,1,1))*U$2</f>
        <v>0</v>
      </c>
      <c r="AH42" s="5">
        <f ca="1">SUM(OFFSET(Demand!$H51,0,(COLUMN(I39)-1)*5,1,1))*V$2</f>
        <v>0</v>
      </c>
      <c r="AI42" s="5">
        <f ca="1">SUM(OFFSET(Demand!$H51,0,(COLUMN(J39)-1)*5,1,1))*W$2</f>
        <v>0</v>
      </c>
      <c r="AJ42" s="5">
        <f t="shared" ca="1" si="6"/>
        <v>0</v>
      </c>
      <c r="AL42" s="5">
        <f t="shared" ca="1" si="7"/>
        <v>300</v>
      </c>
      <c r="AM42" s="5">
        <f t="shared" ca="1" si="8"/>
        <v>0</v>
      </c>
      <c r="AN42" s="5" t="str">
        <f>IF(Demand!BE51="Yes","Yes","")</f>
        <v/>
      </c>
      <c r="AP42" s="37" t="str">
        <f ca="1">Demand!B51</f>
        <v xml:space="preserve"> </v>
      </c>
      <c r="AQ42" s="5" t="str">
        <f ca="1">IF(TEXT(Demand!D51,"MMM")&lt;&gt;TEXT(Demand!D50,"MMM"),TEXT(Demand!D51,"MMM"),"")</f>
        <v/>
      </c>
      <c r="AT42" s="5">
        <f t="shared" ca="1" si="10"/>
        <v>210</v>
      </c>
      <c r="BQ42">
        <f ca="1">IF($AN42="",OFFSET(Demand!$A$13,ROW(A39)-1,4+((QUOTIENT(COLUMN(BQ$2)-69,3))*5)+MOD(COLUMN(BQ$2),3),1,1),"")</f>
        <v>0</v>
      </c>
      <c r="BR42">
        <f ca="1">IF($AN42="",OFFSET(Demand!$A$13,ROW(B39)-1,4+((QUOTIENT(COLUMN(BR$2)-69,3))*5)+MOD(COLUMN(BR$2),3),1,1),"")</f>
        <v>0</v>
      </c>
      <c r="BS42">
        <f ca="1">IF($AN42="",OFFSET(Demand!$A$13,ROW(C39)-1,4+((QUOTIENT(COLUMN(BS$2)-69,3))*5)+MOD(COLUMN(BS$2),3),1,1),"")</f>
        <v>2</v>
      </c>
      <c r="BT42">
        <f ca="1">IF($AN42="",OFFSET(Demand!$A$13,ROW(D39)-1,4+((QUOTIENT(COLUMN(BT$2)-69,3))*5)+MOD(COLUMN(BT$2),3),1,1),"")</f>
        <v>0</v>
      </c>
      <c r="BU42">
        <f ca="1">IF($AN42="",OFFSET(Demand!$A$13,ROW(E39)-1,4+((QUOTIENT(COLUMN(BU$2)-69,3))*5)+MOD(COLUMN(BU$2),3),1,1),"")</f>
        <v>2</v>
      </c>
      <c r="BV42">
        <f ca="1">IF($AN42="",OFFSET(Demand!$A$13,ROW(F39)-1,4+((QUOTIENT(COLUMN(BV$2)-69,3))*5)+MOD(COLUMN(BV$2),3),1,1),"")</f>
        <v>4</v>
      </c>
      <c r="BW42">
        <f ca="1">IF($AN42="",OFFSET(Demand!$A$13,ROW(G39)-1,4+((QUOTIENT(COLUMN(BW$2)-69,3))*5)+MOD(COLUMN(BW$2),3),1,1),"")</f>
        <v>0</v>
      </c>
      <c r="BX42">
        <f ca="1">IF($AN42="",OFFSET(Demand!$A$13,ROW(H39)-1,4+((QUOTIENT(COLUMN(BX$2)-69,3))*5)+MOD(COLUMN(BX$2),3),1,1),"")</f>
        <v>0</v>
      </c>
      <c r="BY42">
        <f ca="1">IF($AN42="",OFFSET(Demand!$A$13,ROW(I39)-1,4+((QUOTIENT(COLUMN(BY$2)-69,3))*5)+MOD(COLUMN(BY$2),3),1,1),"")</f>
        <v>0</v>
      </c>
      <c r="BZ42">
        <f ca="1">IF($AN42="",OFFSET(Demand!$A$13,ROW(J39)-1,4+((QUOTIENT(COLUMN(BZ$2)-69,3))*5)+MOD(COLUMN(BZ$2),3),1,1),"")</f>
        <v>0</v>
      </c>
      <c r="CA42">
        <f ca="1">IF($AN42="",OFFSET(Demand!$A$13,ROW(K39)-1,4+((QUOTIENT(COLUMN(CA$2)-69,3))*5)+MOD(COLUMN(CA$2),3),1,1),"")</f>
        <v>0</v>
      </c>
      <c r="CB42">
        <f ca="1">IF($AN42="",OFFSET(Demand!$A$13,ROW(L39)-1,4+((QUOTIENT(COLUMN(CB$2)-69,3))*5)+MOD(COLUMN(CB$2),3),1,1),"")</f>
        <v>0</v>
      </c>
      <c r="CC42">
        <f ca="1">IF($AN42="",OFFSET(Demand!$A$13,ROW(M39)-1,4+((QUOTIENT(COLUMN(CC$2)-69,3))*5)+MOD(COLUMN(CC$2),3),1,1),"")</f>
        <v>0</v>
      </c>
      <c r="CD42">
        <f ca="1">IF($AN42="",OFFSET(Demand!$A$13,ROW(N39)-1,4+((QUOTIENT(COLUMN(CD$2)-69,3))*5)+MOD(COLUMN(CD$2),3),1,1),"")</f>
        <v>0</v>
      </c>
      <c r="CE42">
        <f ca="1">IF($AN42="",OFFSET(Demand!$A$13,ROW(O39)-1,4+((QUOTIENT(COLUMN(CE$2)-69,3))*5)+MOD(COLUMN(CE$2),3),1,1),"")</f>
        <v>0</v>
      </c>
      <c r="CF42">
        <f ca="1">IF($AN42="",OFFSET(Demand!$A$13,ROW(P39)-1,4+((QUOTIENT(COLUMN(CF$2)-69,3))*5)+MOD(COLUMN(CF$2),3),1,1),"")</f>
        <v>0</v>
      </c>
      <c r="CG42">
        <f ca="1">IF($AN42="",OFFSET(Demand!$A$13,ROW(Q39)-1,4+((QUOTIENT(COLUMN(CG$2)-69,3))*5)+MOD(COLUMN(CG$2),3),1,1),"")</f>
        <v>0</v>
      </c>
      <c r="CH42">
        <f ca="1">IF($AN42="",OFFSET(Demand!$A$13,ROW(R39)-1,4+((QUOTIENT(COLUMN(CH$2)-69,3))*5)+MOD(COLUMN(CH$2),3),1,1),"")</f>
        <v>0</v>
      </c>
      <c r="CI42">
        <f ca="1">IF($AN42="",OFFSET(Demand!$A$13,ROW(S39)-1,4+((QUOTIENT(COLUMN(CI$2)-69,3))*5)+MOD(COLUMN(CI$2),3),1,1),"")</f>
        <v>0</v>
      </c>
      <c r="CJ42">
        <f ca="1">IF($AN42="",OFFSET(Demand!$A$13,ROW(T39)-1,4+((QUOTIENT(COLUMN(CJ$2)-69,3))*5)+MOD(COLUMN(CJ$2),3),1,1),"")</f>
        <v>0</v>
      </c>
      <c r="CK42">
        <f ca="1">IF($AN42="",OFFSET(Demand!$A$13,ROW(U39)-1,4+((QUOTIENT(COLUMN(CK$2)-69,3))*5)+MOD(COLUMN(CK$2),3),1,1),"")</f>
        <v>0</v>
      </c>
      <c r="CL42">
        <f ca="1">IF($AN42="",OFFSET(Demand!$A$13,ROW(V39)-1,4+((QUOTIENT(COLUMN(CL$2)-69,3))*5)+MOD(COLUMN(CL$2),3),1,1),"")</f>
        <v>0</v>
      </c>
      <c r="CM42">
        <f ca="1">IF($AN42="",OFFSET(Demand!$A$13,ROW(W39)-1,4+((QUOTIENT(COLUMN(CM$2)-69,3))*5)+MOD(COLUMN(CM$2),3),1,1),"")</f>
        <v>0</v>
      </c>
      <c r="CN42">
        <f ca="1">IF($AN42="",OFFSET(Demand!$A$13,ROW(X39)-1,4+((QUOTIENT(COLUMN(CN$2)-69,3))*5)+MOD(COLUMN(CN$2),3),1,1),"")</f>
        <v>0</v>
      </c>
      <c r="CO42">
        <f ca="1">IF($AN42="",OFFSET(Demand!$A$13,ROW(Y39)-1,4+((QUOTIENT(COLUMN(CO$2)-69,3))*5)+MOD(COLUMN(CO$2),3),1,1),"")</f>
        <v>0</v>
      </c>
      <c r="CP42">
        <f ca="1">IF($AN42="",OFFSET(Demand!$A$13,ROW(Z39)-1,4+((QUOTIENT(COLUMN(CP$2)-69,3))*5)+MOD(COLUMN(CP$2),3),1,1),"")</f>
        <v>0</v>
      </c>
      <c r="CQ42">
        <f ca="1">IF($AN42="",OFFSET(Demand!$A$13,ROW(AA39)-1,4+((QUOTIENT(COLUMN(CQ$2)-69,3))*5)+MOD(COLUMN(CQ$2),3),1,1),"")</f>
        <v>0</v>
      </c>
      <c r="CR42">
        <f ca="1">IF($AN42="",OFFSET(Demand!$A$13,ROW(AB39)-1,4+((QUOTIENT(COLUMN(CR$2)-69,3))*5)+MOD(COLUMN(CR$2),3),1,1),"")</f>
        <v>0</v>
      </c>
      <c r="CS42">
        <f ca="1">IF($AN42="",OFFSET(Demand!$A$13,ROW(AC39)-1,4+((QUOTIENT(COLUMN(CS$2)-69,3))*5)+MOD(COLUMN(CS$2),3),1,1),"")</f>
        <v>0</v>
      </c>
      <c r="CT42">
        <f ca="1">IF($AN42="",OFFSET(Demand!$A$13,ROW(AD39)-1,4+((QUOTIENT(COLUMN(CT$2)-69,3))*5)+MOD(COLUMN(CT$2),3),1,1),"")</f>
        <v>0</v>
      </c>
      <c r="CW42" s="5">
        <f ca="1">SUM(OFFSET(Demand!$H$43,ROW(A39)-1,(COLUMN(A39)-1)*5,1,1))*N$2</f>
        <v>0</v>
      </c>
      <c r="CX42" s="5">
        <f ca="1">SUM(OFFSET(Demand!$H$43,ROW(B39)-1,(COLUMN(B39)-1)*5,1,1))*O$2</f>
        <v>0</v>
      </c>
      <c r="CY42" s="5">
        <f ca="1">SUM(OFFSET(Demand!$H$43,ROW(C39)-1,(COLUMN(C39)-1)*5,1,1))*P$2</f>
        <v>0</v>
      </c>
      <c r="CZ42" s="5">
        <f ca="1">SUM(OFFSET(Demand!$H$43,ROW(D39)-1,(COLUMN(D39)-1)*5,1,1))*Q$2</f>
        <v>0</v>
      </c>
      <c r="DA42" s="5">
        <f ca="1">SUM(OFFSET(Demand!$H$43,ROW(E39)-1,(COLUMN(E39)-1)*5,1,1))*R$2</f>
        <v>0</v>
      </c>
      <c r="DB42" s="5">
        <f ca="1">SUM(OFFSET(Demand!$H$43,ROW(F39)-1,(COLUMN(F39)-1)*5,1,1))*S$2</f>
        <v>0</v>
      </c>
      <c r="DC42" s="5">
        <f ca="1">SUM(OFFSET(Demand!$H$43,ROW(G39)-1,(COLUMN(G39)-1)*5,1,1))*T$2</f>
        <v>0</v>
      </c>
      <c r="DD42" s="5">
        <f ca="1">SUM(OFFSET(Demand!$H$43,ROW(H39)-1,(COLUMN(H39)-1)*5,1,1))*U$2</f>
        <v>0</v>
      </c>
      <c r="DE42" s="5">
        <f ca="1">SUM(OFFSET(Demand!$H$43,ROW(I39)-1,(COLUMN(I39)-1)*5,1,1))*V$2</f>
        <v>0</v>
      </c>
      <c r="DF42" s="5">
        <f ca="1">SUM(OFFSET(Demand!$H$43,ROW(J39)-1,(COLUMN(J39)-1)*5,1,1))*W$2</f>
        <v>0</v>
      </c>
      <c r="DG42" s="5">
        <f t="shared" ca="1" si="9"/>
        <v>0</v>
      </c>
    </row>
    <row r="43" spans="1:111" s="5" customFormat="1" x14ac:dyDescent="0.2">
      <c r="A43" s="5">
        <f t="shared" ca="1" si="29"/>
        <v>0</v>
      </c>
      <c r="B43" s="5">
        <f ca="1">COUNTBLANK(OFFSET(Demand!$I52,0,(COLUMN(A40)-1)*5,1,1))</f>
        <v>0</v>
      </c>
      <c r="C43" s="5">
        <f ca="1">COUNTBLANK(OFFSET(Demand!$I52,0,(COLUMN(B40)-1)*5,1,1))</f>
        <v>0</v>
      </c>
      <c r="D43" s="5">
        <f ca="1">COUNTBLANK(OFFSET(Demand!$I52,0,(COLUMN(C40)-1)*5,1,1))</f>
        <v>1</v>
      </c>
      <c r="E43" s="5">
        <f ca="1">COUNTBLANK(OFFSET(Demand!$I52,0,(COLUMN(D40)-1)*5,1,1))</f>
        <v>1</v>
      </c>
      <c r="F43" s="5">
        <f ca="1">COUNTBLANK(OFFSET(Demand!$I52,0,(COLUMN(E40)-1)*5,1,1))</f>
        <v>1</v>
      </c>
      <c r="G43" s="5">
        <f ca="1">COUNTBLANK(OFFSET(Demand!$I52,0,(COLUMN(F40)-1)*5,1,1))</f>
        <v>1</v>
      </c>
      <c r="H43" s="5">
        <f ca="1">COUNTBLANK(OFFSET(Demand!$I52,0,(COLUMN(G40)-1)*5,1,1))</f>
        <v>1</v>
      </c>
      <c r="I43" s="5">
        <f ca="1">COUNTBLANK(OFFSET(Demand!$I52,0,(COLUMN(H40)-1)*5,1,1))</f>
        <v>1</v>
      </c>
      <c r="J43" s="5">
        <f ca="1">COUNTBLANK(OFFSET(Demand!$I52,0,(COLUMN(I40)-1)*5,1,1))</f>
        <v>1</v>
      </c>
      <c r="K43" s="5">
        <f ca="1">COUNTBLANK(OFFSET(Demand!$I52,0,(COLUMN(J40)-1)*5,1,1))</f>
        <v>1</v>
      </c>
      <c r="N43" s="5">
        <f ca="1">SUM(OFFSET(Demand!$E52,0,(COLUMN(A40)-1)*5,1,3))*N$2</f>
        <v>210</v>
      </c>
      <c r="O43" s="5">
        <f ca="1">SUM(OFFSET(Demand!$E52,0,(COLUMN(B40)-1)*5,1,3))*O$2</f>
        <v>560</v>
      </c>
      <c r="P43" s="5">
        <f ca="1">SUM(OFFSET(Demand!$E52,0,(COLUMN(C40)-1)*5,1,3))*P$2</f>
        <v>0</v>
      </c>
      <c r="Q43" s="5">
        <f ca="1">SUM(OFFSET(Demand!$E52,0,(COLUMN(D40)-1)*5,1,3))*Q$2</f>
        <v>0</v>
      </c>
      <c r="R43" s="5">
        <f ca="1">SUM(OFFSET(Demand!$E52,0,(COLUMN(E40)-1)*5,1,3))*R$2</f>
        <v>0</v>
      </c>
      <c r="S43" s="5">
        <f ca="1">SUM(OFFSET(Demand!$E52,0,(COLUMN(F40)-1)*5,1,3))*S$2</f>
        <v>0</v>
      </c>
      <c r="T43" s="5">
        <f ca="1">SUM(OFFSET(Demand!$E52,0,(COLUMN(G40)-1)*5,1,3))*T$2</f>
        <v>0</v>
      </c>
      <c r="U43" s="5">
        <f ca="1">SUM(OFFSET(Demand!$E52,0,(COLUMN(H40)-1)*5,1,3))*U$2</f>
        <v>0</v>
      </c>
      <c r="V43" s="5">
        <f ca="1">SUM(OFFSET(Demand!$E52,0,(COLUMN(I40)-1)*5,1,3))*V$2</f>
        <v>0</v>
      </c>
      <c r="W43" s="5">
        <f ca="1">SUM(OFFSET(Demand!$E52,0,(COLUMN(J40)-1)*5,1,3))*W$2</f>
        <v>0</v>
      </c>
      <c r="X43" s="5">
        <f t="shared" ca="1" si="4"/>
        <v>770</v>
      </c>
      <c r="Y43" s="5">
        <f t="shared" ca="1" si="5"/>
        <v>770</v>
      </c>
      <c r="Z43" s="5">
        <f ca="1">SUM(OFFSET(Demand!$H52,0,(COLUMN(A40)-1)*5,1,1))*N$2</f>
        <v>0</v>
      </c>
      <c r="AA43" s="5">
        <f ca="1">SUM(OFFSET(Demand!$H52,0,(COLUMN(B40)-1)*5,1,1))*O$2</f>
        <v>0</v>
      </c>
      <c r="AB43" s="5">
        <f ca="1">SUM(OFFSET(Demand!$H52,0,(COLUMN(C40)-1)*5,1,1))*P$2</f>
        <v>0</v>
      </c>
      <c r="AC43" s="5">
        <f ca="1">SUM(OFFSET(Demand!$H52,0,(COLUMN(D40)-1)*5,1,1))*Q$2</f>
        <v>0</v>
      </c>
      <c r="AD43" s="5">
        <f ca="1">SUM(OFFSET(Demand!$H52,0,(COLUMN(E40)-1)*5,1,1))*R$2</f>
        <v>0</v>
      </c>
      <c r="AE43" s="5">
        <f ca="1">SUM(OFFSET(Demand!$H52,0,(COLUMN(F40)-1)*5,1,1))*S$2</f>
        <v>0</v>
      </c>
      <c r="AF43" s="5">
        <f ca="1">SUM(OFFSET(Demand!$H52,0,(COLUMN(G40)-1)*5,1,1))*T$2</f>
        <v>0</v>
      </c>
      <c r="AG43" s="5">
        <f ca="1">SUM(OFFSET(Demand!$H52,0,(COLUMN(H40)-1)*5,1,1))*U$2</f>
        <v>0</v>
      </c>
      <c r="AH43" s="5">
        <f ca="1">SUM(OFFSET(Demand!$H52,0,(COLUMN(I40)-1)*5,1,1))*V$2</f>
        <v>0</v>
      </c>
      <c r="AI43" s="5">
        <f ca="1">SUM(OFFSET(Demand!$H52,0,(COLUMN(J40)-1)*5,1,1))*W$2</f>
        <v>0</v>
      </c>
      <c r="AJ43" s="5">
        <f t="shared" ca="1" si="6"/>
        <v>0</v>
      </c>
      <c r="AL43" s="5">
        <f t="shared" ca="1" si="7"/>
        <v>770</v>
      </c>
      <c r="AM43" s="5">
        <f t="shared" ca="1" si="8"/>
        <v>0</v>
      </c>
      <c r="AN43" s="5" t="str">
        <f>IF(Demand!BE52="Yes","Yes","")</f>
        <v/>
      </c>
      <c r="AP43" s="37" t="str">
        <f ca="1">Demand!B52</f>
        <v xml:space="preserve"> </v>
      </c>
      <c r="AQ43" s="5" t="str">
        <f ca="1">IF(TEXT(Demand!D52,"MMM")&lt;&gt;TEXT(Demand!D51,"MMM"),TEXT(Demand!D52,"MMM"),"")</f>
        <v/>
      </c>
      <c r="AT43" s="5">
        <f t="shared" ca="1" si="10"/>
        <v>470</v>
      </c>
      <c r="BQ43">
        <f ca="1">IF($AN43="",OFFSET(Demand!$A$13,ROW(A40)-1,4+((QUOTIENT(COLUMN(BQ$2)-69,3))*5)+MOD(COLUMN(BQ$2),3),1,1),"")</f>
        <v>0</v>
      </c>
      <c r="BR43">
        <f ca="1">IF($AN43="",OFFSET(Demand!$A$13,ROW(B40)-1,4+((QUOTIENT(COLUMN(BR$2)-69,3))*5)+MOD(COLUMN(BR$2),3),1,1),"")</f>
        <v>0</v>
      </c>
      <c r="BS43">
        <f ca="1">IF($AN43="",OFFSET(Demand!$A$13,ROW(C40)-1,4+((QUOTIENT(COLUMN(BS$2)-69,3))*5)+MOD(COLUMN(BS$2),3),1,1),"")</f>
        <v>7</v>
      </c>
      <c r="BT43">
        <f ca="1">IF($AN43="",OFFSET(Demand!$A$13,ROW(D40)-1,4+((QUOTIENT(COLUMN(BT$2)-69,3))*5)+MOD(COLUMN(BT$2),3),1,1),"")</f>
        <v>0</v>
      </c>
      <c r="BU43">
        <f ca="1">IF($AN43="",OFFSET(Demand!$A$13,ROW(E40)-1,4+((QUOTIENT(COLUMN(BU$2)-69,3))*5)+MOD(COLUMN(BU$2),3),1,1),"")</f>
        <v>1</v>
      </c>
      <c r="BV43">
        <f ca="1">IF($AN43="",OFFSET(Demand!$A$13,ROW(F40)-1,4+((QUOTIENT(COLUMN(BV$2)-69,3))*5)+MOD(COLUMN(BV$2),3),1,1),"")</f>
        <v>13</v>
      </c>
      <c r="BW43">
        <f ca="1">IF($AN43="",OFFSET(Demand!$A$13,ROW(G40)-1,4+((QUOTIENT(COLUMN(BW$2)-69,3))*5)+MOD(COLUMN(BW$2),3),1,1),"")</f>
        <v>0</v>
      </c>
      <c r="BX43">
        <f ca="1">IF($AN43="",OFFSET(Demand!$A$13,ROW(H40)-1,4+((QUOTIENT(COLUMN(BX$2)-69,3))*5)+MOD(COLUMN(BX$2),3),1,1),"")</f>
        <v>0</v>
      </c>
      <c r="BY43">
        <f ca="1">IF($AN43="",OFFSET(Demand!$A$13,ROW(I40)-1,4+((QUOTIENT(COLUMN(BY$2)-69,3))*5)+MOD(COLUMN(BY$2),3),1,1),"")</f>
        <v>0</v>
      </c>
      <c r="BZ43">
        <f ca="1">IF($AN43="",OFFSET(Demand!$A$13,ROW(J40)-1,4+((QUOTIENT(COLUMN(BZ$2)-69,3))*5)+MOD(COLUMN(BZ$2),3),1,1),"")</f>
        <v>0</v>
      </c>
      <c r="CA43">
        <f ca="1">IF($AN43="",OFFSET(Demand!$A$13,ROW(K40)-1,4+((QUOTIENT(COLUMN(CA$2)-69,3))*5)+MOD(COLUMN(CA$2),3),1,1),"")</f>
        <v>0</v>
      </c>
      <c r="CB43">
        <f ca="1">IF($AN43="",OFFSET(Demand!$A$13,ROW(L40)-1,4+((QUOTIENT(COLUMN(CB$2)-69,3))*5)+MOD(COLUMN(CB$2),3),1,1),"")</f>
        <v>0</v>
      </c>
      <c r="CC43">
        <f ca="1">IF($AN43="",OFFSET(Demand!$A$13,ROW(M40)-1,4+((QUOTIENT(COLUMN(CC$2)-69,3))*5)+MOD(COLUMN(CC$2),3),1,1),"")</f>
        <v>0</v>
      </c>
      <c r="CD43">
        <f ca="1">IF($AN43="",OFFSET(Demand!$A$13,ROW(N40)-1,4+((QUOTIENT(COLUMN(CD$2)-69,3))*5)+MOD(COLUMN(CD$2),3),1,1),"")</f>
        <v>0</v>
      </c>
      <c r="CE43">
        <f ca="1">IF($AN43="",OFFSET(Demand!$A$13,ROW(O40)-1,4+((QUOTIENT(COLUMN(CE$2)-69,3))*5)+MOD(COLUMN(CE$2),3),1,1),"")</f>
        <v>0</v>
      </c>
      <c r="CF43">
        <f ca="1">IF($AN43="",OFFSET(Demand!$A$13,ROW(P40)-1,4+((QUOTIENT(COLUMN(CF$2)-69,3))*5)+MOD(COLUMN(CF$2),3),1,1),"")</f>
        <v>0</v>
      </c>
      <c r="CG43">
        <f ca="1">IF($AN43="",OFFSET(Demand!$A$13,ROW(Q40)-1,4+((QUOTIENT(COLUMN(CG$2)-69,3))*5)+MOD(COLUMN(CG$2),3),1,1),"")</f>
        <v>0</v>
      </c>
      <c r="CH43">
        <f ca="1">IF($AN43="",OFFSET(Demand!$A$13,ROW(R40)-1,4+((QUOTIENT(COLUMN(CH$2)-69,3))*5)+MOD(COLUMN(CH$2),3),1,1),"")</f>
        <v>0</v>
      </c>
      <c r="CI43">
        <f ca="1">IF($AN43="",OFFSET(Demand!$A$13,ROW(S40)-1,4+((QUOTIENT(COLUMN(CI$2)-69,3))*5)+MOD(COLUMN(CI$2),3),1,1),"")</f>
        <v>0</v>
      </c>
      <c r="CJ43">
        <f ca="1">IF($AN43="",OFFSET(Demand!$A$13,ROW(T40)-1,4+((QUOTIENT(COLUMN(CJ$2)-69,3))*5)+MOD(COLUMN(CJ$2),3),1,1),"")</f>
        <v>0</v>
      </c>
      <c r="CK43">
        <f ca="1">IF($AN43="",OFFSET(Demand!$A$13,ROW(U40)-1,4+((QUOTIENT(COLUMN(CK$2)-69,3))*5)+MOD(COLUMN(CK$2),3),1,1),"")</f>
        <v>0</v>
      </c>
      <c r="CL43">
        <f ca="1">IF($AN43="",OFFSET(Demand!$A$13,ROW(V40)-1,4+((QUOTIENT(COLUMN(CL$2)-69,3))*5)+MOD(COLUMN(CL$2),3),1,1),"")</f>
        <v>0</v>
      </c>
      <c r="CM43">
        <f ca="1">IF($AN43="",OFFSET(Demand!$A$13,ROW(W40)-1,4+((QUOTIENT(COLUMN(CM$2)-69,3))*5)+MOD(COLUMN(CM$2),3),1,1),"")</f>
        <v>0</v>
      </c>
      <c r="CN43">
        <f ca="1">IF($AN43="",OFFSET(Demand!$A$13,ROW(X40)-1,4+((QUOTIENT(COLUMN(CN$2)-69,3))*5)+MOD(COLUMN(CN$2),3),1,1),"")</f>
        <v>0</v>
      </c>
      <c r="CO43">
        <f ca="1">IF($AN43="",OFFSET(Demand!$A$13,ROW(Y40)-1,4+((QUOTIENT(COLUMN(CO$2)-69,3))*5)+MOD(COLUMN(CO$2),3),1,1),"")</f>
        <v>0</v>
      </c>
      <c r="CP43">
        <f ca="1">IF($AN43="",OFFSET(Demand!$A$13,ROW(Z40)-1,4+((QUOTIENT(COLUMN(CP$2)-69,3))*5)+MOD(COLUMN(CP$2),3),1,1),"")</f>
        <v>0</v>
      </c>
      <c r="CQ43">
        <f ca="1">IF($AN43="",OFFSET(Demand!$A$13,ROW(AA40)-1,4+((QUOTIENT(COLUMN(CQ$2)-69,3))*5)+MOD(COLUMN(CQ$2),3),1,1),"")</f>
        <v>0</v>
      </c>
      <c r="CR43">
        <f ca="1">IF($AN43="",OFFSET(Demand!$A$13,ROW(AB40)-1,4+((QUOTIENT(COLUMN(CR$2)-69,3))*5)+MOD(COLUMN(CR$2),3),1,1),"")</f>
        <v>0</v>
      </c>
      <c r="CS43">
        <f ca="1">IF($AN43="",OFFSET(Demand!$A$13,ROW(AC40)-1,4+((QUOTIENT(COLUMN(CS$2)-69,3))*5)+MOD(COLUMN(CS$2),3),1,1),"")</f>
        <v>0</v>
      </c>
      <c r="CT43">
        <f ca="1">IF($AN43="",OFFSET(Demand!$A$13,ROW(AD40)-1,4+((QUOTIENT(COLUMN(CT$2)-69,3))*5)+MOD(COLUMN(CT$2),3),1,1),"")</f>
        <v>0</v>
      </c>
      <c r="CW43" s="5">
        <f ca="1">SUM(OFFSET(Demand!$H$43,ROW(A40)-1,(COLUMN(A40)-1)*5,1,1))*N$2</f>
        <v>0</v>
      </c>
      <c r="CX43" s="5">
        <f ca="1">SUM(OFFSET(Demand!$H$43,ROW(B40)-1,(COLUMN(B40)-1)*5,1,1))*O$2</f>
        <v>0</v>
      </c>
      <c r="CY43" s="5">
        <f ca="1">SUM(OFFSET(Demand!$H$43,ROW(C40)-1,(COLUMN(C40)-1)*5,1,1))*P$2</f>
        <v>0</v>
      </c>
      <c r="CZ43" s="5">
        <f ca="1">SUM(OFFSET(Demand!$H$43,ROW(D40)-1,(COLUMN(D40)-1)*5,1,1))*Q$2</f>
        <v>0</v>
      </c>
      <c r="DA43" s="5">
        <f ca="1">SUM(OFFSET(Demand!$H$43,ROW(E40)-1,(COLUMN(E40)-1)*5,1,1))*R$2</f>
        <v>0</v>
      </c>
      <c r="DB43" s="5">
        <f ca="1">SUM(OFFSET(Demand!$H$43,ROW(F40)-1,(COLUMN(F40)-1)*5,1,1))*S$2</f>
        <v>0</v>
      </c>
      <c r="DC43" s="5">
        <f ca="1">SUM(OFFSET(Demand!$H$43,ROW(G40)-1,(COLUMN(G40)-1)*5,1,1))*T$2</f>
        <v>0</v>
      </c>
      <c r="DD43" s="5">
        <f ca="1">SUM(OFFSET(Demand!$H$43,ROW(H40)-1,(COLUMN(H40)-1)*5,1,1))*U$2</f>
        <v>0</v>
      </c>
      <c r="DE43" s="5">
        <f ca="1">SUM(OFFSET(Demand!$H$43,ROW(I40)-1,(COLUMN(I40)-1)*5,1,1))*V$2</f>
        <v>0</v>
      </c>
      <c r="DF43" s="5">
        <f ca="1">SUM(OFFSET(Demand!$H$43,ROW(J40)-1,(COLUMN(J40)-1)*5,1,1))*W$2</f>
        <v>0</v>
      </c>
      <c r="DG43" s="5">
        <f t="shared" ca="1" si="9"/>
        <v>0</v>
      </c>
    </row>
    <row r="44" spans="1:111" s="5" customFormat="1" x14ac:dyDescent="0.2">
      <c r="A44" s="5">
        <f t="shared" ca="1" si="29"/>
        <v>0</v>
      </c>
      <c r="B44" s="5">
        <f ca="1">COUNTBLANK(OFFSET(Demand!$I53,0,(COLUMN(A41)-1)*5,1,1))</f>
        <v>0</v>
      </c>
      <c r="C44" s="5">
        <f ca="1">COUNTBLANK(OFFSET(Demand!$I53,0,(COLUMN(B41)-1)*5,1,1))</f>
        <v>0</v>
      </c>
      <c r="D44" s="5">
        <f ca="1">COUNTBLANK(OFFSET(Demand!$I53,0,(COLUMN(C41)-1)*5,1,1))</f>
        <v>1</v>
      </c>
      <c r="E44" s="5">
        <f ca="1">COUNTBLANK(OFFSET(Demand!$I53,0,(COLUMN(D41)-1)*5,1,1))</f>
        <v>1</v>
      </c>
      <c r="F44" s="5">
        <f ca="1">COUNTBLANK(OFFSET(Demand!$I53,0,(COLUMN(E41)-1)*5,1,1))</f>
        <v>1</v>
      </c>
      <c r="G44" s="5">
        <f ca="1">COUNTBLANK(OFFSET(Demand!$I53,0,(COLUMN(F41)-1)*5,1,1))</f>
        <v>1</v>
      </c>
      <c r="H44" s="5">
        <f ca="1">COUNTBLANK(OFFSET(Demand!$I53,0,(COLUMN(G41)-1)*5,1,1))</f>
        <v>1</v>
      </c>
      <c r="I44" s="5">
        <f ca="1">COUNTBLANK(OFFSET(Demand!$I53,0,(COLUMN(H41)-1)*5,1,1))</f>
        <v>1</v>
      </c>
      <c r="J44" s="5">
        <f ca="1">COUNTBLANK(OFFSET(Demand!$I53,0,(COLUMN(I41)-1)*5,1,1))</f>
        <v>1</v>
      </c>
      <c r="K44" s="5">
        <f ca="1">COUNTBLANK(OFFSET(Demand!$I53,0,(COLUMN(J41)-1)*5,1,1))</f>
        <v>1</v>
      </c>
      <c r="N44" s="5">
        <f ca="1">SUM(OFFSET(Demand!$E53,0,(COLUMN(A41)-1)*5,1,3))*N$2</f>
        <v>30</v>
      </c>
      <c r="O44" s="5">
        <f ca="1">SUM(OFFSET(Demand!$E53,0,(COLUMN(B41)-1)*5,1,3))*O$2</f>
        <v>480</v>
      </c>
      <c r="P44" s="5">
        <f ca="1">SUM(OFFSET(Demand!$E53,0,(COLUMN(C41)-1)*5,1,3))*P$2</f>
        <v>0</v>
      </c>
      <c r="Q44" s="5">
        <f ca="1">SUM(OFFSET(Demand!$E53,0,(COLUMN(D41)-1)*5,1,3))*Q$2</f>
        <v>0</v>
      </c>
      <c r="R44" s="5">
        <f ca="1">SUM(OFFSET(Demand!$E53,0,(COLUMN(E41)-1)*5,1,3))*R$2</f>
        <v>0</v>
      </c>
      <c r="S44" s="5">
        <f ca="1">SUM(OFFSET(Demand!$E53,0,(COLUMN(F41)-1)*5,1,3))*S$2</f>
        <v>0</v>
      </c>
      <c r="T44" s="5">
        <f ca="1">SUM(OFFSET(Demand!$E53,0,(COLUMN(G41)-1)*5,1,3))*T$2</f>
        <v>0</v>
      </c>
      <c r="U44" s="5">
        <f ca="1">SUM(OFFSET(Demand!$E53,0,(COLUMN(H41)-1)*5,1,3))*U$2</f>
        <v>0</v>
      </c>
      <c r="V44" s="5">
        <f ca="1">SUM(OFFSET(Demand!$E53,0,(COLUMN(I41)-1)*5,1,3))*V$2</f>
        <v>0</v>
      </c>
      <c r="W44" s="5">
        <f ca="1">SUM(OFFSET(Demand!$E53,0,(COLUMN(J41)-1)*5,1,3))*W$2</f>
        <v>0</v>
      </c>
      <c r="X44" s="5">
        <f t="shared" ca="1" si="4"/>
        <v>510</v>
      </c>
      <c r="Y44" s="5">
        <f t="shared" ca="1" si="5"/>
        <v>510</v>
      </c>
      <c r="Z44" s="5">
        <f ca="1">SUM(OFFSET(Demand!$H53,0,(COLUMN(A41)-1)*5,1,1))*N$2</f>
        <v>0</v>
      </c>
      <c r="AA44" s="5">
        <f ca="1">SUM(OFFSET(Demand!$H53,0,(COLUMN(B41)-1)*5,1,1))*O$2</f>
        <v>0</v>
      </c>
      <c r="AB44" s="5">
        <f ca="1">SUM(OFFSET(Demand!$H53,0,(COLUMN(C41)-1)*5,1,1))*P$2</f>
        <v>0</v>
      </c>
      <c r="AC44" s="5">
        <f ca="1">SUM(OFFSET(Demand!$H53,0,(COLUMN(D41)-1)*5,1,1))*Q$2</f>
        <v>0</v>
      </c>
      <c r="AD44" s="5">
        <f ca="1">SUM(OFFSET(Demand!$H53,0,(COLUMN(E41)-1)*5,1,1))*R$2</f>
        <v>0</v>
      </c>
      <c r="AE44" s="5">
        <f ca="1">SUM(OFFSET(Demand!$H53,0,(COLUMN(F41)-1)*5,1,1))*S$2</f>
        <v>0</v>
      </c>
      <c r="AF44" s="5">
        <f ca="1">SUM(OFFSET(Demand!$H53,0,(COLUMN(G41)-1)*5,1,1))*T$2</f>
        <v>0</v>
      </c>
      <c r="AG44" s="5">
        <f ca="1">SUM(OFFSET(Demand!$H53,0,(COLUMN(H41)-1)*5,1,1))*U$2</f>
        <v>0</v>
      </c>
      <c r="AH44" s="5">
        <f ca="1">SUM(OFFSET(Demand!$H53,0,(COLUMN(I41)-1)*5,1,1))*V$2</f>
        <v>0</v>
      </c>
      <c r="AI44" s="5">
        <f ca="1">SUM(OFFSET(Demand!$H53,0,(COLUMN(J41)-1)*5,1,1))*W$2</f>
        <v>0</v>
      </c>
      <c r="AJ44" s="5">
        <f t="shared" ca="1" si="6"/>
        <v>0</v>
      </c>
      <c r="AL44" s="5">
        <f t="shared" ca="1" si="7"/>
        <v>510</v>
      </c>
      <c r="AM44" s="5">
        <f t="shared" ca="1" si="8"/>
        <v>0</v>
      </c>
      <c r="AN44" s="5" t="str">
        <f>IF(Demand!BE53="Yes","Yes","")</f>
        <v/>
      </c>
      <c r="AP44" s="37">
        <f ca="1">Demand!B53</f>
        <v>2017</v>
      </c>
      <c r="AQ44" s="5" t="str">
        <f ca="1">IF(TEXT(Demand!D53,"MMM")&lt;&gt;TEXT(Demand!D52,"MMM"),TEXT(Demand!D53,"MMM"),"")</f>
        <v>Jan</v>
      </c>
      <c r="AT44" s="5">
        <f t="shared" ca="1" si="10"/>
        <v>260</v>
      </c>
      <c r="BQ44">
        <f ca="1">IF($AN44="",OFFSET(Demand!$A$13,ROW(A41)-1,4+((QUOTIENT(COLUMN(BQ$2)-69,3))*5)+MOD(COLUMN(BQ$2),3),1,1),"")</f>
        <v>0</v>
      </c>
      <c r="BR44">
        <f ca="1">IF($AN44="",OFFSET(Demand!$A$13,ROW(B41)-1,4+((QUOTIENT(COLUMN(BR$2)-69,3))*5)+MOD(COLUMN(BR$2),3),1,1),"")</f>
        <v>0</v>
      </c>
      <c r="BS44">
        <f ca="1">IF($AN44="",OFFSET(Demand!$A$13,ROW(C41)-1,4+((QUOTIENT(COLUMN(BS$2)-69,3))*5)+MOD(COLUMN(BS$2),3),1,1),"")</f>
        <v>1</v>
      </c>
      <c r="BT44">
        <f ca="1">IF($AN44="",OFFSET(Demand!$A$13,ROW(D41)-1,4+((QUOTIENT(COLUMN(BT$2)-69,3))*5)+MOD(COLUMN(BT$2),3),1,1),"")</f>
        <v>0</v>
      </c>
      <c r="BU44">
        <f ca="1">IF($AN44="",OFFSET(Demand!$A$13,ROW(E41)-1,4+((QUOTIENT(COLUMN(BU$2)-69,3))*5)+MOD(COLUMN(BU$2),3),1,1),"")</f>
        <v>4</v>
      </c>
      <c r="BV44">
        <f ca="1">IF($AN44="",OFFSET(Demand!$A$13,ROW(F41)-1,4+((QUOTIENT(COLUMN(BV$2)-69,3))*5)+MOD(COLUMN(BV$2),3),1,1),"")</f>
        <v>8</v>
      </c>
      <c r="BW44">
        <f ca="1">IF($AN44="",OFFSET(Demand!$A$13,ROW(G41)-1,4+((QUOTIENT(COLUMN(BW$2)-69,3))*5)+MOD(COLUMN(BW$2),3),1,1),"")</f>
        <v>0</v>
      </c>
      <c r="BX44">
        <f ca="1">IF($AN44="",OFFSET(Demand!$A$13,ROW(H41)-1,4+((QUOTIENT(COLUMN(BX$2)-69,3))*5)+MOD(COLUMN(BX$2),3),1,1),"")</f>
        <v>0</v>
      </c>
      <c r="BY44">
        <f ca="1">IF($AN44="",OFFSET(Demand!$A$13,ROW(I41)-1,4+((QUOTIENT(COLUMN(BY$2)-69,3))*5)+MOD(COLUMN(BY$2),3),1,1),"")</f>
        <v>0</v>
      </c>
      <c r="BZ44">
        <f ca="1">IF($AN44="",OFFSET(Demand!$A$13,ROW(J41)-1,4+((QUOTIENT(COLUMN(BZ$2)-69,3))*5)+MOD(COLUMN(BZ$2),3),1,1),"")</f>
        <v>0</v>
      </c>
      <c r="CA44">
        <f ca="1">IF($AN44="",OFFSET(Demand!$A$13,ROW(K41)-1,4+((QUOTIENT(COLUMN(CA$2)-69,3))*5)+MOD(COLUMN(CA$2),3),1,1),"")</f>
        <v>0</v>
      </c>
      <c r="CB44">
        <f ca="1">IF($AN44="",OFFSET(Demand!$A$13,ROW(L41)-1,4+((QUOTIENT(COLUMN(CB$2)-69,3))*5)+MOD(COLUMN(CB$2),3),1,1),"")</f>
        <v>0</v>
      </c>
      <c r="CC44">
        <f ca="1">IF($AN44="",OFFSET(Demand!$A$13,ROW(M41)-1,4+((QUOTIENT(COLUMN(CC$2)-69,3))*5)+MOD(COLUMN(CC$2),3),1,1),"")</f>
        <v>0</v>
      </c>
      <c r="CD44">
        <f ca="1">IF($AN44="",OFFSET(Demand!$A$13,ROW(N41)-1,4+((QUOTIENT(COLUMN(CD$2)-69,3))*5)+MOD(COLUMN(CD$2),3),1,1),"")</f>
        <v>0</v>
      </c>
      <c r="CE44">
        <f ca="1">IF($AN44="",OFFSET(Demand!$A$13,ROW(O41)-1,4+((QUOTIENT(COLUMN(CE$2)-69,3))*5)+MOD(COLUMN(CE$2),3),1,1),"")</f>
        <v>0</v>
      </c>
      <c r="CF44">
        <f ca="1">IF($AN44="",OFFSET(Demand!$A$13,ROW(P41)-1,4+((QUOTIENT(COLUMN(CF$2)-69,3))*5)+MOD(COLUMN(CF$2),3),1,1),"")</f>
        <v>0</v>
      </c>
      <c r="CG44">
        <f ca="1">IF($AN44="",OFFSET(Demand!$A$13,ROW(Q41)-1,4+((QUOTIENT(COLUMN(CG$2)-69,3))*5)+MOD(COLUMN(CG$2),3),1,1),"")</f>
        <v>0</v>
      </c>
      <c r="CH44">
        <f ca="1">IF($AN44="",OFFSET(Demand!$A$13,ROW(R41)-1,4+((QUOTIENT(COLUMN(CH$2)-69,3))*5)+MOD(COLUMN(CH$2),3),1,1),"")</f>
        <v>0</v>
      </c>
      <c r="CI44">
        <f ca="1">IF($AN44="",OFFSET(Demand!$A$13,ROW(S41)-1,4+((QUOTIENT(COLUMN(CI$2)-69,3))*5)+MOD(COLUMN(CI$2),3),1,1),"")</f>
        <v>0</v>
      </c>
      <c r="CJ44">
        <f ca="1">IF($AN44="",OFFSET(Demand!$A$13,ROW(T41)-1,4+((QUOTIENT(COLUMN(CJ$2)-69,3))*5)+MOD(COLUMN(CJ$2),3),1,1),"")</f>
        <v>0</v>
      </c>
      <c r="CK44">
        <f ca="1">IF($AN44="",OFFSET(Demand!$A$13,ROW(U41)-1,4+((QUOTIENT(COLUMN(CK$2)-69,3))*5)+MOD(COLUMN(CK$2),3),1,1),"")</f>
        <v>0</v>
      </c>
      <c r="CL44">
        <f ca="1">IF($AN44="",OFFSET(Demand!$A$13,ROW(V41)-1,4+((QUOTIENT(COLUMN(CL$2)-69,3))*5)+MOD(COLUMN(CL$2),3),1,1),"")</f>
        <v>0</v>
      </c>
      <c r="CM44">
        <f ca="1">IF($AN44="",OFFSET(Demand!$A$13,ROW(W41)-1,4+((QUOTIENT(COLUMN(CM$2)-69,3))*5)+MOD(COLUMN(CM$2),3),1,1),"")</f>
        <v>0</v>
      </c>
      <c r="CN44">
        <f ca="1">IF($AN44="",OFFSET(Demand!$A$13,ROW(X41)-1,4+((QUOTIENT(COLUMN(CN$2)-69,3))*5)+MOD(COLUMN(CN$2),3),1,1),"")</f>
        <v>0</v>
      </c>
      <c r="CO44">
        <f ca="1">IF($AN44="",OFFSET(Demand!$A$13,ROW(Y41)-1,4+((QUOTIENT(COLUMN(CO$2)-69,3))*5)+MOD(COLUMN(CO$2),3),1,1),"")</f>
        <v>0</v>
      </c>
      <c r="CP44">
        <f ca="1">IF($AN44="",OFFSET(Demand!$A$13,ROW(Z41)-1,4+((QUOTIENT(COLUMN(CP$2)-69,3))*5)+MOD(COLUMN(CP$2),3),1,1),"")</f>
        <v>0</v>
      </c>
      <c r="CQ44">
        <f ca="1">IF($AN44="",OFFSET(Demand!$A$13,ROW(AA41)-1,4+((QUOTIENT(COLUMN(CQ$2)-69,3))*5)+MOD(COLUMN(CQ$2),3),1,1),"")</f>
        <v>0</v>
      </c>
      <c r="CR44">
        <f ca="1">IF($AN44="",OFFSET(Demand!$A$13,ROW(AB41)-1,4+((QUOTIENT(COLUMN(CR$2)-69,3))*5)+MOD(COLUMN(CR$2),3),1,1),"")</f>
        <v>0</v>
      </c>
      <c r="CS44">
        <f ca="1">IF($AN44="",OFFSET(Demand!$A$13,ROW(AC41)-1,4+((QUOTIENT(COLUMN(CS$2)-69,3))*5)+MOD(COLUMN(CS$2),3),1,1),"")</f>
        <v>0</v>
      </c>
      <c r="CT44">
        <f ca="1">IF($AN44="",OFFSET(Demand!$A$13,ROW(AD41)-1,4+((QUOTIENT(COLUMN(CT$2)-69,3))*5)+MOD(COLUMN(CT$2),3),1,1),"")</f>
        <v>0</v>
      </c>
      <c r="CW44" s="5">
        <f ca="1">SUM(OFFSET(Demand!$H$43,ROW(A41)-1,(COLUMN(A41)-1)*5,1,1))*N$2</f>
        <v>0</v>
      </c>
      <c r="CX44" s="5">
        <f ca="1">SUM(OFFSET(Demand!$H$43,ROW(B41)-1,(COLUMN(B41)-1)*5,1,1))*O$2</f>
        <v>0</v>
      </c>
      <c r="CY44" s="5">
        <f ca="1">SUM(OFFSET(Demand!$H$43,ROW(C41)-1,(COLUMN(C41)-1)*5,1,1))*P$2</f>
        <v>0</v>
      </c>
      <c r="CZ44" s="5">
        <f ca="1">SUM(OFFSET(Demand!$H$43,ROW(D41)-1,(COLUMN(D41)-1)*5,1,1))*Q$2</f>
        <v>0</v>
      </c>
      <c r="DA44" s="5">
        <f ca="1">SUM(OFFSET(Demand!$H$43,ROW(E41)-1,(COLUMN(E41)-1)*5,1,1))*R$2</f>
        <v>0</v>
      </c>
      <c r="DB44" s="5">
        <f ca="1">SUM(OFFSET(Demand!$H$43,ROW(F41)-1,(COLUMN(F41)-1)*5,1,1))*S$2</f>
        <v>0</v>
      </c>
      <c r="DC44" s="5">
        <f ca="1">SUM(OFFSET(Demand!$H$43,ROW(G41)-1,(COLUMN(G41)-1)*5,1,1))*T$2</f>
        <v>0</v>
      </c>
      <c r="DD44" s="5">
        <f ca="1">SUM(OFFSET(Demand!$H$43,ROW(H41)-1,(COLUMN(H41)-1)*5,1,1))*U$2</f>
        <v>0</v>
      </c>
      <c r="DE44" s="5">
        <f ca="1">SUM(OFFSET(Demand!$H$43,ROW(I41)-1,(COLUMN(I41)-1)*5,1,1))*V$2</f>
        <v>0</v>
      </c>
      <c r="DF44" s="5">
        <f ca="1">SUM(OFFSET(Demand!$H$43,ROW(J41)-1,(COLUMN(J41)-1)*5,1,1))*W$2</f>
        <v>0</v>
      </c>
      <c r="DG44" s="5">
        <f t="shared" ca="1" si="9"/>
        <v>0</v>
      </c>
    </row>
    <row r="45" spans="1:111" s="5" customFormat="1" x14ac:dyDescent="0.2">
      <c r="A45" s="5">
        <f t="shared" ca="1" si="29"/>
        <v>0</v>
      </c>
      <c r="B45" s="5">
        <f ca="1">COUNTBLANK(OFFSET(Demand!$I54,0,(COLUMN(A42)-1)*5,1,1))</f>
        <v>0</v>
      </c>
      <c r="C45" s="5">
        <f ca="1">COUNTBLANK(OFFSET(Demand!$I54,0,(COLUMN(B42)-1)*5,1,1))</f>
        <v>0</v>
      </c>
      <c r="D45" s="5">
        <f ca="1">COUNTBLANK(OFFSET(Demand!$I54,0,(COLUMN(C42)-1)*5,1,1))</f>
        <v>1</v>
      </c>
      <c r="E45" s="5">
        <f ca="1">COUNTBLANK(OFFSET(Demand!$I54,0,(COLUMN(D42)-1)*5,1,1))</f>
        <v>1</v>
      </c>
      <c r="F45" s="5">
        <f ca="1">COUNTBLANK(OFFSET(Demand!$I54,0,(COLUMN(E42)-1)*5,1,1))</f>
        <v>1</v>
      </c>
      <c r="G45" s="5">
        <f ca="1">COUNTBLANK(OFFSET(Demand!$I54,0,(COLUMN(F42)-1)*5,1,1))</f>
        <v>1</v>
      </c>
      <c r="H45" s="5">
        <f ca="1">COUNTBLANK(OFFSET(Demand!$I54,0,(COLUMN(G42)-1)*5,1,1))</f>
        <v>1</v>
      </c>
      <c r="I45" s="5">
        <f ca="1">COUNTBLANK(OFFSET(Demand!$I54,0,(COLUMN(H42)-1)*5,1,1))</f>
        <v>1</v>
      </c>
      <c r="J45" s="5">
        <f ca="1">COUNTBLANK(OFFSET(Demand!$I54,0,(COLUMN(I42)-1)*5,1,1))</f>
        <v>1</v>
      </c>
      <c r="K45" s="5">
        <f ca="1">COUNTBLANK(OFFSET(Demand!$I54,0,(COLUMN(J42)-1)*5,1,1))</f>
        <v>1</v>
      </c>
      <c r="N45" s="5">
        <f ca="1">SUM(OFFSET(Demand!$E54,0,(COLUMN(A42)-1)*5,1,3))*N$2</f>
        <v>120</v>
      </c>
      <c r="O45" s="5">
        <f ca="1">SUM(OFFSET(Demand!$E54,0,(COLUMN(B42)-1)*5,1,3))*O$2</f>
        <v>320</v>
      </c>
      <c r="P45" s="5">
        <f ca="1">SUM(OFFSET(Demand!$E54,0,(COLUMN(C42)-1)*5,1,3))*P$2</f>
        <v>0</v>
      </c>
      <c r="Q45" s="5">
        <f ca="1">SUM(OFFSET(Demand!$E54,0,(COLUMN(D42)-1)*5,1,3))*Q$2</f>
        <v>0</v>
      </c>
      <c r="R45" s="5">
        <f ca="1">SUM(OFFSET(Demand!$E54,0,(COLUMN(E42)-1)*5,1,3))*R$2</f>
        <v>0</v>
      </c>
      <c r="S45" s="5">
        <f ca="1">SUM(OFFSET(Demand!$E54,0,(COLUMN(F42)-1)*5,1,3))*S$2</f>
        <v>0</v>
      </c>
      <c r="T45" s="5">
        <f ca="1">SUM(OFFSET(Demand!$E54,0,(COLUMN(G42)-1)*5,1,3))*T$2</f>
        <v>0</v>
      </c>
      <c r="U45" s="5">
        <f ca="1">SUM(OFFSET(Demand!$E54,0,(COLUMN(H42)-1)*5,1,3))*U$2</f>
        <v>0</v>
      </c>
      <c r="V45" s="5">
        <f ca="1">SUM(OFFSET(Demand!$E54,0,(COLUMN(I42)-1)*5,1,3))*V$2</f>
        <v>0</v>
      </c>
      <c r="W45" s="5">
        <f ca="1">SUM(OFFSET(Demand!$E54,0,(COLUMN(J42)-1)*5,1,3))*W$2</f>
        <v>0</v>
      </c>
      <c r="X45" s="5">
        <f t="shared" ca="1" si="4"/>
        <v>440</v>
      </c>
      <c r="Y45" s="5">
        <f t="shared" ca="1" si="5"/>
        <v>440</v>
      </c>
      <c r="Z45" s="5">
        <f ca="1">SUM(OFFSET(Demand!$H54,0,(COLUMN(A42)-1)*5,1,1))*N$2</f>
        <v>0</v>
      </c>
      <c r="AA45" s="5">
        <f ca="1">SUM(OFFSET(Demand!$H54,0,(COLUMN(B42)-1)*5,1,1))*O$2</f>
        <v>0</v>
      </c>
      <c r="AB45" s="5">
        <f ca="1">SUM(OFFSET(Demand!$H54,0,(COLUMN(C42)-1)*5,1,1))*P$2</f>
        <v>0</v>
      </c>
      <c r="AC45" s="5">
        <f ca="1">SUM(OFFSET(Demand!$H54,0,(COLUMN(D42)-1)*5,1,1))*Q$2</f>
        <v>0</v>
      </c>
      <c r="AD45" s="5">
        <f ca="1">SUM(OFFSET(Demand!$H54,0,(COLUMN(E42)-1)*5,1,1))*R$2</f>
        <v>0</v>
      </c>
      <c r="AE45" s="5">
        <f ca="1">SUM(OFFSET(Demand!$H54,0,(COLUMN(F42)-1)*5,1,1))*S$2</f>
        <v>0</v>
      </c>
      <c r="AF45" s="5">
        <f ca="1">SUM(OFFSET(Demand!$H54,0,(COLUMN(G42)-1)*5,1,1))*T$2</f>
        <v>0</v>
      </c>
      <c r="AG45" s="5">
        <f ca="1">SUM(OFFSET(Demand!$H54,0,(COLUMN(H42)-1)*5,1,1))*U$2</f>
        <v>0</v>
      </c>
      <c r="AH45" s="5">
        <f ca="1">SUM(OFFSET(Demand!$H54,0,(COLUMN(I42)-1)*5,1,1))*V$2</f>
        <v>0</v>
      </c>
      <c r="AI45" s="5">
        <f ca="1">SUM(OFFSET(Demand!$H54,0,(COLUMN(J42)-1)*5,1,1))*W$2</f>
        <v>0</v>
      </c>
      <c r="AJ45" s="5">
        <f t="shared" ca="1" si="6"/>
        <v>0</v>
      </c>
      <c r="AL45" s="5">
        <f t="shared" ca="1" si="7"/>
        <v>440</v>
      </c>
      <c r="AM45" s="5">
        <f t="shared" ca="1" si="8"/>
        <v>0</v>
      </c>
      <c r="AN45" s="5" t="str">
        <f>IF(Demand!BE54="Yes","Yes","")</f>
        <v/>
      </c>
      <c r="AP45" s="37" t="str">
        <f ca="1">Demand!B54</f>
        <v xml:space="preserve"> </v>
      </c>
      <c r="AQ45" s="5" t="str">
        <f ca="1">IF(TEXT(Demand!D54,"MMM")&lt;&gt;TEXT(Demand!D53,"MMM"),TEXT(Demand!D54,"MMM"),"")</f>
        <v/>
      </c>
      <c r="AT45" s="5">
        <f t="shared" ca="1" si="10"/>
        <v>70</v>
      </c>
      <c r="BQ45">
        <f ca="1">IF($AN45="",OFFSET(Demand!$A$13,ROW(A42)-1,4+((QUOTIENT(COLUMN(BQ$2)-69,3))*5)+MOD(COLUMN(BQ$2),3),1,1),"")</f>
        <v>0</v>
      </c>
      <c r="BR45">
        <f ca="1">IF($AN45="",OFFSET(Demand!$A$13,ROW(B42)-1,4+((QUOTIENT(COLUMN(BR$2)-69,3))*5)+MOD(COLUMN(BR$2),3),1,1),"")</f>
        <v>0</v>
      </c>
      <c r="BS45">
        <f ca="1">IF($AN45="",OFFSET(Demand!$A$13,ROW(C42)-1,4+((QUOTIENT(COLUMN(BS$2)-69,3))*5)+MOD(COLUMN(BS$2),3),1,1),"")</f>
        <v>4</v>
      </c>
      <c r="BT45">
        <f ca="1">IF($AN45="",OFFSET(Demand!$A$13,ROW(D42)-1,4+((QUOTIENT(COLUMN(BT$2)-69,3))*5)+MOD(COLUMN(BT$2),3),1,1),"")</f>
        <v>0</v>
      </c>
      <c r="BU45">
        <f ca="1">IF($AN45="",OFFSET(Demand!$A$13,ROW(E42)-1,4+((QUOTIENT(COLUMN(BU$2)-69,3))*5)+MOD(COLUMN(BU$2),3),1,1),"")</f>
        <v>2</v>
      </c>
      <c r="BV45">
        <f ca="1">IF($AN45="",OFFSET(Demand!$A$13,ROW(F42)-1,4+((QUOTIENT(COLUMN(BV$2)-69,3))*5)+MOD(COLUMN(BV$2),3),1,1),"")</f>
        <v>6</v>
      </c>
      <c r="BW45">
        <f ca="1">IF($AN45="",OFFSET(Demand!$A$13,ROW(G42)-1,4+((QUOTIENT(COLUMN(BW$2)-69,3))*5)+MOD(COLUMN(BW$2),3),1,1),"")</f>
        <v>0</v>
      </c>
      <c r="BX45">
        <f ca="1">IF($AN45="",OFFSET(Demand!$A$13,ROW(H42)-1,4+((QUOTIENT(COLUMN(BX$2)-69,3))*5)+MOD(COLUMN(BX$2),3),1,1),"")</f>
        <v>0</v>
      </c>
      <c r="BY45">
        <f ca="1">IF($AN45="",OFFSET(Demand!$A$13,ROW(I42)-1,4+((QUOTIENT(COLUMN(BY$2)-69,3))*5)+MOD(COLUMN(BY$2),3),1,1),"")</f>
        <v>0</v>
      </c>
      <c r="BZ45">
        <f ca="1">IF($AN45="",OFFSET(Demand!$A$13,ROW(J42)-1,4+((QUOTIENT(COLUMN(BZ$2)-69,3))*5)+MOD(COLUMN(BZ$2),3),1,1),"")</f>
        <v>0</v>
      </c>
      <c r="CA45">
        <f ca="1">IF($AN45="",OFFSET(Demand!$A$13,ROW(K42)-1,4+((QUOTIENT(COLUMN(CA$2)-69,3))*5)+MOD(COLUMN(CA$2),3),1,1),"")</f>
        <v>0</v>
      </c>
      <c r="CB45">
        <f ca="1">IF($AN45="",OFFSET(Demand!$A$13,ROW(L42)-1,4+((QUOTIENT(COLUMN(CB$2)-69,3))*5)+MOD(COLUMN(CB$2),3),1,1),"")</f>
        <v>0</v>
      </c>
      <c r="CC45">
        <f ca="1">IF($AN45="",OFFSET(Demand!$A$13,ROW(M42)-1,4+((QUOTIENT(COLUMN(CC$2)-69,3))*5)+MOD(COLUMN(CC$2),3),1,1),"")</f>
        <v>0</v>
      </c>
      <c r="CD45">
        <f ca="1">IF($AN45="",OFFSET(Demand!$A$13,ROW(N42)-1,4+((QUOTIENT(COLUMN(CD$2)-69,3))*5)+MOD(COLUMN(CD$2),3),1,1),"")</f>
        <v>0</v>
      </c>
      <c r="CE45">
        <f ca="1">IF($AN45="",OFFSET(Demand!$A$13,ROW(O42)-1,4+((QUOTIENT(COLUMN(CE$2)-69,3))*5)+MOD(COLUMN(CE$2),3),1,1),"")</f>
        <v>0</v>
      </c>
      <c r="CF45">
        <f ca="1">IF($AN45="",OFFSET(Demand!$A$13,ROW(P42)-1,4+((QUOTIENT(COLUMN(CF$2)-69,3))*5)+MOD(COLUMN(CF$2),3),1,1),"")</f>
        <v>0</v>
      </c>
      <c r="CG45">
        <f ca="1">IF($AN45="",OFFSET(Demand!$A$13,ROW(Q42)-1,4+((QUOTIENT(COLUMN(CG$2)-69,3))*5)+MOD(COLUMN(CG$2),3),1,1),"")</f>
        <v>0</v>
      </c>
      <c r="CH45">
        <f ca="1">IF($AN45="",OFFSET(Demand!$A$13,ROW(R42)-1,4+((QUOTIENT(COLUMN(CH$2)-69,3))*5)+MOD(COLUMN(CH$2),3),1,1),"")</f>
        <v>0</v>
      </c>
      <c r="CI45">
        <f ca="1">IF($AN45="",OFFSET(Demand!$A$13,ROW(S42)-1,4+((QUOTIENT(COLUMN(CI$2)-69,3))*5)+MOD(COLUMN(CI$2),3),1,1),"")</f>
        <v>0</v>
      </c>
      <c r="CJ45">
        <f ca="1">IF($AN45="",OFFSET(Demand!$A$13,ROW(T42)-1,4+((QUOTIENT(COLUMN(CJ$2)-69,3))*5)+MOD(COLUMN(CJ$2),3),1,1),"")</f>
        <v>0</v>
      </c>
      <c r="CK45">
        <f ca="1">IF($AN45="",OFFSET(Demand!$A$13,ROW(U42)-1,4+((QUOTIENT(COLUMN(CK$2)-69,3))*5)+MOD(COLUMN(CK$2),3),1,1),"")</f>
        <v>0</v>
      </c>
      <c r="CL45">
        <f ca="1">IF($AN45="",OFFSET(Demand!$A$13,ROW(V42)-1,4+((QUOTIENT(COLUMN(CL$2)-69,3))*5)+MOD(COLUMN(CL$2),3),1,1),"")</f>
        <v>0</v>
      </c>
      <c r="CM45">
        <f ca="1">IF($AN45="",OFFSET(Demand!$A$13,ROW(W42)-1,4+((QUOTIENT(COLUMN(CM$2)-69,3))*5)+MOD(COLUMN(CM$2),3),1,1),"")</f>
        <v>0</v>
      </c>
      <c r="CN45">
        <f ca="1">IF($AN45="",OFFSET(Demand!$A$13,ROW(X42)-1,4+((QUOTIENT(COLUMN(CN$2)-69,3))*5)+MOD(COLUMN(CN$2),3),1,1),"")</f>
        <v>0</v>
      </c>
      <c r="CO45">
        <f ca="1">IF($AN45="",OFFSET(Demand!$A$13,ROW(Y42)-1,4+((QUOTIENT(COLUMN(CO$2)-69,3))*5)+MOD(COLUMN(CO$2),3),1,1),"")</f>
        <v>0</v>
      </c>
      <c r="CP45">
        <f ca="1">IF($AN45="",OFFSET(Demand!$A$13,ROW(Z42)-1,4+((QUOTIENT(COLUMN(CP$2)-69,3))*5)+MOD(COLUMN(CP$2),3),1,1),"")</f>
        <v>0</v>
      </c>
      <c r="CQ45">
        <f ca="1">IF($AN45="",OFFSET(Demand!$A$13,ROW(AA42)-1,4+((QUOTIENT(COLUMN(CQ$2)-69,3))*5)+MOD(COLUMN(CQ$2),3),1,1),"")</f>
        <v>0</v>
      </c>
      <c r="CR45">
        <f ca="1">IF($AN45="",OFFSET(Demand!$A$13,ROW(AB42)-1,4+((QUOTIENT(COLUMN(CR$2)-69,3))*5)+MOD(COLUMN(CR$2),3),1,1),"")</f>
        <v>0</v>
      </c>
      <c r="CS45">
        <f ca="1">IF($AN45="",OFFSET(Demand!$A$13,ROW(AC42)-1,4+((QUOTIENT(COLUMN(CS$2)-69,3))*5)+MOD(COLUMN(CS$2),3),1,1),"")</f>
        <v>0</v>
      </c>
      <c r="CT45">
        <f ca="1">IF($AN45="",OFFSET(Demand!$A$13,ROW(AD42)-1,4+((QUOTIENT(COLUMN(CT$2)-69,3))*5)+MOD(COLUMN(CT$2),3),1,1),"")</f>
        <v>0</v>
      </c>
      <c r="CW45" s="5">
        <f ca="1">SUM(OFFSET(Demand!$H$43,ROW(A42)-1,(COLUMN(A42)-1)*5,1,1))*N$2</f>
        <v>0</v>
      </c>
      <c r="CX45" s="5">
        <f ca="1">SUM(OFFSET(Demand!$H$43,ROW(B42)-1,(COLUMN(B42)-1)*5,1,1))*O$2</f>
        <v>0</v>
      </c>
      <c r="CY45" s="5">
        <f ca="1">SUM(OFFSET(Demand!$H$43,ROW(C42)-1,(COLUMN(C42)-1)*5,1,1))*P$2</f>
        <v>0</v>
      </c>
      <c r="CZ45" s="5">
        <f ca="1">SUM(OFFSET(Demand!$H$43,ROW(D42)-1,(COLUMN(D42)-1)*5,1,1))*Q$2</f>
        <v>0</v>
      </c>
      <c r="DA45" s="5">
        <f ca="1">SUM(OFFSET(Demand!$H$43,ROW(E42)-1,(COLUMN(E42)-1)*5,1,1))*R$2</f>
        <v>0</v>
      </c>
      <c r="DB45" s="5">
        <f ca="1">SUM(OFFSET(Demand!$H$43,ROW(F42)-1,(COLUMN(F42)-1)*5,1,1))*S$2</f>
        <v>0</v>
      </c>
      <c r="DC45" s="5">
        <f ca="1">SUM(OFFSET(Demand!$H$43,ROW(G42)-1,(COLUMN(G42)-1)*5,1,1))*T$2</f>
        <v>0</v>
      </c>
      <c r="DD45" s="5">
        <f ca="1">SUM(OFFSET(Demand!$H$43,ROW(H42)-1,(COLUMN(H42)-1)*5,1,1))*U$2</f>
        <v>0</v>
      </c>
      <c r="DE45" s="5">
        <f ca="1">SUM(OFFSET(Demand!$H$43,ROW(I42)-1,(COLUMN(I42)-1)*5,1,1))*V$2</f>
        <v>0</v>
      </c>
      <c r="DF45" s="5">
        <f ca="1">SUM(OFFSET(Demand!$H$43,ROW(J42)-1,(COLUMN(J42)-1)*5,1,1))*W$2</f>
        <v>0</v>
      </c>
      <c r="DG45" s="5">
        <f t="shared" ca="1" si="9"/>
        <v>0</v>
      </c>
    </row>
    <row r="46" spans="1:111" s="5" customFormat="1" x14ac:dyDescent="0.2">
      <c r="A46" s="5">
        <f t="shared" ca="1" si="29"/>
        <v>0</v>
      </c>
      <c r="B46" s="5">
        <f ca="1">COUNTBLANK(OFFSET(Demand!$I55,0,(COLUMN(A43)-1)*5,1,1))</f>
        <v>0</v>
      </c>
      <c r="C46" s="5">
        <f ca="1">COUNTBLANK(OFFSET(Demand!$I55,0,(COLUMN(B43)-1)*5,1,1))</f>
        <v>0</v>
      </c>
      <c r="D46" s="5">
        <f ca="1">COUNTBLANK(OFFSET(Demand!$I55,0,(COLUMN(C43)-1)*5,1,1))</f>
        <v>1</v>
      </c>
      <c r="E46" s="5">
        <f ca="1">COUNTBLANK(OFFSET(Demand!$I55,0,(COLUMN(D43)-1)*5,1,1))</f>
        <v>1</v>
      </c>
      <c r="F46" s="5">
        <f ca="1">COUNTBLANK(OFFSET(Demand!$I55,0,(COLUMN(E43)-1)*5,1,1))</f>
        <v>1</v>
      </c>
      <c r="G46" s="5">
        <f ca="1">COUNTBLANK(OFFSET(Demand!$I55,0,(COLUMN(F43)-1)*5,1,1))</f>
        <v>1</v>
      </c>
      <c r="H46" s="5">
        <f ca="1">COUNTBLANK(OFFSET(Demand!$I55,0,(COLUMN(G43)-1)*5,1,1))</f>
        <v>1</v>
      </c>
      <c r="I46" s="5">
        <f ca="1">COUNTBLANK(OFFSET(Demand!$I55,0,(COLUMN(H43)-1)*5,1,1))</f>
        <v>1</v>
      </c>
      <c r="J46" s="5">
        <f ca="1">COUNTBLANK(OFFSET(Demand!$I55,0,(COLUMN(I43)-1)*5,1,1))</f>
        <v>1</v>
      </c>
      <c r="K46" s="5">
        <f ca="1">COUNTBLANK(OFFSET(Demand!$I55,0,(COLUMN(J43)-1)*5,1,1))</f>
        <v>1</v>
      </c>
      <c r="N46" s="5">
        <f ca="1">SUM(OFFSET(Demand!$E55,0,(COLUMN(A43)-1)*5,1,3))*N$2</f>
        <v>330</v>
      </c>
      <c r="O46" s="5">
        <f ca="1">SUM(OFFSET(Demand!$E55,0,(COLUMN(B43)-1)*5,1,3))*O$2</f>
        <v>320</v>
      </c>
      <c r="P46" s="5">
        <f ca="1">SUM(OFFSET(Demand!$E55,0,(COLUMN(C43)-1)*5,1,3))*P$2</f>
        <v>0</v>
      </c>
      <c r="Q46" s="5">
        <f ca="1">SUM(OFFSET(Demand!$E55,0,(COLUMN(D43)-1)*5,1,3))*Q$2</f>
        <v>0</v>
      </c>
      <c r="R46" s="5">
        <f ca="1">SUM(OFFSET(Demand!$E55,0,(COLUMN(E43)-1)*5,1,3))*R$2</f>
        <v>0</v>
      </c>
      <c r="S46" s="5">
        <f ca="1">SUM(OFFSET(Demand!$E55,0,(COLUMN(F43)-1)*5,1,3))*S$2</f>
        <v>0</v>
      </c>
      <c r="T46" s="5">
        <f ca="1">SUM(OFFSET(Demand!$E55,0,(COLUMN(G43)-1)*5,1,3))*T$2</f>
        <v>0</v>
      </c>
      <c r="U46" s="5">
        <f ca="1">SUM(OFFSET(Demand!$E55,0,(COLUMN(H43)-1)*5,1,3))*U$2</f>
        <v>0</v>
      </c>
      <c r="V46" s="5">
        <f ca="1">SUM(OFFSET(Demand!$E55,0,(COLUMN(I43)-1)*5,1,3))*V$2</f>
        <v>0</v>
      </c>
      <c r="W46" s="5">
        <f ca="1">SUM(OFFSET(Demand!$E55,0,(COLUMN(J43)-1)*5,1,3))*W$2</f>
        <v>0</v>
      </c>
      <c r="X46" s="5">
        <f t="shared" ca="1" si="4"/>
        <v>650</v>
      </c>
      <c r="Y46" s="5">
        <f t="shared" ca="1" si="5"/>
        <v>650</v>
      </c>
      <c r="Z46" s="5">
        <f ca="1">SUM(OFFSET(Demand!$H55,0,(COLUMN(A43)-1)*5,1,1))*N$2</f>
        <v>0</v>
      </c>
      <c r="AA46" s="5">
        <f ca="1">SUM(OFFSET(Demand!$H55,0,(COLUMN(B43)-1)*5,1,1))*O$2</f>
        <v>0</v>
      </c>
      <c r="AB46" s="5">
        <f ca="1">SUM(OFFSET(Demand!$H55,0,(COLUMN(C43)-1)*5,1,1))*P$2</f>
        <v>0</v>
      </c>
      <c r="AC46" s="5">
        <f ca="1">SUM(OFFSET(Demand!$H55,0,(COLUMN(D43)-1)*5,1,1))*Q$2</f>
        <v>0</v>
      </c>
      <c r="AD46" s="5">
        <f ca="1">SUM(OFFSET(Demand!$H55,0,(COLUMN(E43)-1)*5,1,1))*R$2</f>
        <v>0</v>
      </c>
      <c r="AE46" s="5">
        <f ca="1">SUM(OFFSET(Demand!$H55,0,(COLUMN(F43)-1)*5,1,1))*S$2</f>
        <v>0</v>
      </c>
      <c r="AF46" s="5">
        <f ca="1">SUM(OFFSET(Demand!$H55,0,(COLUMN(G43)-1)*5,1,1))*T$2</f>
        <v>0</v>
      </c>
      <c r="AG46" s="5">
        <f ca="1">SUM(OFFSET(Demand!$H55,0,(COLUMN(H43)-1)*5,1,1))*U$2</f>
        <v>0</v>
      </c>
      <c r="AH46" s="5">
        <f ca="1">SUM(OFFSET(Demand!$H55,0,(COLUMN(I43)-1)*5,1,1))*V$2</f>
        <v>0</v>
      </c>
      <c r="AI46" s="5">
        <f ca="1">SUM(OFFSET(Demand!$H55,0,(COLUMN(J43)-1)*5,1,1))*W$2</f>
        <v>0</v>
      </c>
      <c r="AJ46" s="5">
        <f t="shared" ca="1" si="6"/>
        <v>0</v>
      </c>
      <c r="AL46" s="5">
        <f t="shared" ca="1" si="7"/>
        <v>650</v>
      </c>
      <c r="AM46" s="5">
        <f t="shared" ca="1" si="8"/>
        <v>0</v>
      </c>
      <c r="AN46" s="5" t="str">
        <f>IF(Demand!BE55="Yes","Yes","")</f>
        <v/>
      </c>
      <c r="AP46" s="37" t="str">
        <f ca="1">Demand!B55</f>
        <v xml:space="preserve"> </v>
      </c>
      <c r="AQ46" s="5" t="str">
        <f ca="1">IF(TEXT(Demand!D55,"MMM")&lt;&gt;TEXT(Demand!D54,"MMM"),TEXT(Demand!D55,"MMM"),"")</f>
        <v/>
      </c>
      <c r="AT46" s="5">
        <f t="shared" ca="1" si="10"/>
        <v>210</v>
      </c>
      <c r="BQ46">
        <f ca="1">IF($AN46="",OFFSET(Demand!$A$13,ROW(A43)-1,4+((QUOTIENT(COLUMN(BQ$2)-69,3))*5)+MOD(COLUMN(BQ$2),3),1,1),"")</f>
        <v>0</v>
      </c>
      <c r="BR46">
        <f ca="1">IF($AN46="",OFFSET(Demand!$A$13,ROW(B43)-1,4+((QUOTIENT(COLUMN(BR$2)-69,3))*5)+MOD(COLUMN(BR$2),3),1,1),"")</f>
        <v>2</v>
      </c>
      <c r="BS46">
        <f ca="1">IF($AN46="",OFFSET(Demand!$A$13,ROW(C43)-1,4+((QUOTIENT(COLUMN(BS$2)-69,3))*5)+MOD(COLUMN(BS$2),3),1,1),"")</f>
        <v>9</v>
      </c>
      <c r="BT46">
        <f ca="1">IF($AN46="",OFFSET(Demand!$A$13,ROW(D43)-1,4+((QUOTIENT(COLUMN(BT$2)-69,3))*5)+MOD(COLUMN(BT$2),3),1,1),"")</f>
        <v>0</v>
      </c>
      <c r="BU46">
        <f ca="1">IF($AN46="",OFFSET(Demand!$A$13,ROW(E43)-1,4+((QUOTIENT(COLUMN(BU$2)-69,3))*5)+MOD(COLUMN(BU$2),3),1,1),"")</f>
        <v>2</v>
      </c>
      <c r="BV46">
        <f ca="1">IF($AN46="",OFFSET(Demand!$A$13,ROW(F43)-1,4+((QUOTIENT(COLUMN(BV$2)-69,3))*5)+MOD(COLUMN(BV$2),3),1,1),"")</f>
        <v>6</v>
      </c>
      <c r="BW46">
        <f ca="1">IF($AN46="",OFFSET(Demand!$A$13,ROW(G43)-1,4+((QUOTIENT(COLUMN(BW$2)-69,3))*5)+MOD(COLUMN(BW$2),3),1,1),"")</f>
        <v>0</v>
      </c>
      <c r="BX46">
        <f ca="1">IF($AN46="",OFFSET(Demand!$A$13,ROW(H43)-1,4+((QUOTIENT(COLUMN(BX$2)-69,3))*5)+MOD(COLUMN(BX$2),3),1,1),"")</f>
        <v>0</v>
      </c>
      <c r="BY46">
        <f ca="1">IF($AN46="",OFFSET(Demand!$A$13,ROW(I43)-1,4+((QUOTIENT(COLUMN(BY$2)-69,3))*5)+MOD(COLUMN(BY$2),3),1,1),"")</f>
        <v>0</v>
      </c>
      <c r="BZ46">
        <f ca="1">IF($AN46="",OFFSET(Demand!$A$13,ROW(J43)-1,4+((QUOTIENT(COLUMN(BZ$2)-69,3))*5)+MOD(COLUMN(BZ$2),3),1,1),"")</f>
        <v>0</v>
      </c>
      <c r="CA46">
        <f ca="1">IF($AN46="",OFFSET(Demand!$A$13,ROW(K43)-1,4+((QUOTIENT(COLUMN(CA$2)-69,3))*5)+MOD(COLUMN(CA$2),3),1,1),"")</f>
        <v>0</v>
      </c>
      <c r="CB46">
        <f ca="1">IF($AN46="",OFFSET(Demand!$A$13,ROW(L43)-1,4+((QUOTIENT(COLUMN(CB$2)-69,3))*5)+MOD(COLUMN(CB$2),3),1,1),"")</f>
        <v>0</v>
      </c>
      <c r="CC46">
        <f ca="1">IF($AN46="",OFFSET(Demand!$A$13,ROW(M43)-1,4+((QUOTIENT(COLUMN(CC$2)-69,3))*5)+MOD(COLUMN(CC$2),3),1,1),"")</f>
        <v>0</v>
      </c>
      <c r="CD46">
        <f ca="1">IF($AN46="",OFFSET(Demand!$A$13,ROW(N43)-1,4+((QUOTIENT(COLUMN(CD$2)-69,3))*5)+MOD(COLUMN(CD$2),3),1,1),"")</f>
        <v>0</v>
      </c>
      <c r="CE46">
        <f ca="1">IF($AN46="",OFFSET(Demand!$A$13,ROW(O43)-1,4+((QUOTIENT(COLUMN(CE$2)-69,3))*5)+MOD(COLUMN(CE$2),3),1,1),"")</f>
        <v>0</v>
      </c>
      <c r="CF46">
        <f ca="1">IF($AN46="",OFFSET(Demand!$A$13,ROW(P43)-1,4+((QUOTIENT(COLUMN(CF$2)-69,3))*5)+MOD(COLUMN(CF$2),3),1,1),"")</f>
        <v>0</v>
      </c>
      <c r="CG46">
        <f ca="1">IF($AN46="",OFFSET(Demand!$A$13,ROW(Q43)-1,4+((QUOTIENT(COLUMN(CG$2)-69,3))*5)+MOD(COLUMN(CG$2),3),1,1),"")</f>
        <v>0</v>
      </c>
      <c r="CH46">
        <f ca="1">IF($AN46="",OFFSET(Demand!$A$13,ROW(R43)-1,4+((QUOTIENT(COLUMN(CH$2)-69,3))*5)+MOD(COLUMN(CH$2),3),1,1),"")</f>
        <v>0</v>
      </c>
      <c r="CI46">
        <f ca="1">IF($AN46="",OFFSET(Demand!$A$13,ROW(S43)-1,4+((QUOTIENT(COLUMN(CI$2)-69,3))*5)+MOD(COLUMN(CI$2),3),1,1),"")</f>
        <v>0</v>
      </c>
      <c r="CJ46">
        <f ca="1">IF($AN46="",OFFSET(Demand!$A$13,ROW(T43)-1,4+((QUOTIENT(COLUMN(CJ$2)-69,3))*5)+MOD(COLUMN(CJ$2),3),1,1),"")</f>
        <v>0</v>
      </c>
      <c r="CK46">
        <f ca="1">IF($AN46="",OFFSET(Demand!$A$13,ROW(U43)-1,4+((QUOTIENT(COLUMN(CK$2)-69,3))*5)+MOD(COLUMN(CK$2),3),1,1),"")</f>
        <v>0</v>
      </c>
      <c r="CL46">
        <f ca="1">IF($AN46="",OFFSET(Demand!$A$13,ROW(V43)-1,4+((QUOTIENT(COLUMN(CL$2)-69,3))*5)+MOD(COLUMN(CL$2),3),1,1),"")</f>
        <v>0</v>
      </c>
      <c r="CM46">
        <f ca="1">IF($AN46="",OFFSET(Demand!$A$13,ROW(W43)-1,4+((QUOTIENT(COLUMN(CM$2)-69,3))*5)+MOD(COLUMN(CM$2),3),1,1),"")</f>
        <v>0</v>
      </c>
      <c r="CN46">
        <f ca="1">IF($AN46="",OFFSET(Demand!$A$13,ROW(X43)-1,4+((QUOTIENT(COLUMN(CN$2)-69,3))*5)+MOD(COLUMN(CN$2),3),1,1),"")</f>
        <v>0</v>
      </c>
      <c r="CO46">
        <f ca="1">IF($AN46="",OFFSET(Demand!$A$13,ROW(Y43)-1,4+((QUOTIENT(COLUMN(CO$2)-69,3))*5)+MOD(COLUMN(CO$2),3),1,1),"")</f>
        <v>0</v>
      </c>
      <c r="CP46">
        <f ca="1">IF($AN46="",OFFSET(Demand!$A$13,ROW(Z43)-1,4+((QUOTIENT(COLUMN(CP$2)-69,3))*5)+MOD(COLUMN(CP$2),3),1,1),"")</f>
        <v>0</v>
      </c>
      <c r="CQ46">
        <f ca="1">IF($AN46="",OFFSET(Demand!$A$13,ROW(AA43)-1,4+((QUOTIENT(COLUMN(CQ$2)-69,3))*5)+MOD(COLUMN(CQ$2),3),1,1),"")</f>
        <v>0</v>
      </c>
      <c r="CR46">
        <f ca="1">IF($AN46="",OFFSET(Demand!$A$13,ROW(AB43)-1,4+((QUOTIENT(COLUMN(CR$2)-69,3))*5)+MOD(COLUMN(CR$2),3),1,1),"")</f>
        <v>0</v>
      </c>
      <c r="CS46">
        <f ca="1">IF($AN46="",OFFSET(Demand!$A$13,ROW(AC43)-1,4+((QUOTIENT(COLUMN(CS$2)-69,3))*5)+MOD(COLUMN(CS$2),3),1,1),"")</f>
        <v>0</v>
      </c>
      <c r="CT46">
        <f ca="1">IF($AN46="",OFFSET(Demand!$A$13,ROW(AD43)-1,4+((QUOTIENT(COLUMN(CT$2)-69,3))*5)+MOD(COLUMN(CT$2),3),1,1),"")</f>
        <v>0</v>
      </c>
      <c r="CW46" s="5">
        <f ca="1">SUM(OFFSET(Demand!$H$43,ROW(A43)-1,(COLUMN(A43)-1)*5,1,1))*N$2</f>
        <v>0</v>
      </c>
      <c r="CX46" s="5">
        <f ca="1">SUM(OFFSET(Demand!$H$43,ROW(B43)-1,(COLUMN(B43)-1)*5,1,1))*O$2</f>
        <v>0</v>
      </c>
      <c r="CY46" s="5">
        <f ca="1">SUM(OFFSET(Demand!$H$43,ROW(C43)-1,(COLUMN(C43)-1)*5,1,1))*P$2</f>
        <v>0</v>
      </c>
      <c r="CZ46" s="5">
        <f ca="1">SUM(OFFSET(Demand!$H$43,ROW(D43)-1,(COLUMN(D43)-1)*5,1,1))*Q$2</f>
        <v>0</v>
      </c>
      <c r="DA46" s="5">
        <f ca="1">SUM(OFFSET(Demand!$H$43,ROW(E43)-1,(COLUMN(E43)-1)*5,1,1))*R$2</f>
        <v>0</v>
      </c>
      <c r="DB46" s="5">
        <f ca="1">SUM(OFFSET(Demand!$H$43,ROW(F43)-1,(COLUMN(F43)-1)*5,1,1))*S$2</f>
        <v>0</v>
      </c>
      <c r="DC46" s="5">
        <f ca="1">SUM(OFFSET(Demand!$H$43,ROW(G43)-1,(COLUMN(G43)-1)*5,1,1))*T$2</f>
        <v>0</v>
      </c>
      <c r="DD46" s="5">
        <f ca="1">SUM(OFFSET(Demand!$H$43,ROW(H43)-1,(COLUMN(H43)-1)*5,1,1))*U$2</f>
        <v>0</v>
      </c>
      <c r="DE46" s="5">
        <f ca="1">SUM(OFFSET(Demand!$H$43,ROW(I43)-1,(COLUMN(I43)-1)*5,1,1))*V$2</f>
        <v>0</v>
      </c>
      <c r="DF46" s="5">
        <f ca="1">SUM(OFFSET(Demand!$H$43,ROW(J43)-1,(COLUMN(J43)-1)*5,1,1))*W$2</f>
        <v>0</v>
      </c>
      <c r="DG46" s="5">
        <f t="shared" ca="1" si="9"/>
        <v>0</v>
      </c>
    </row>
    <row r="47" spans="1:111" s="5" customFormat="1" x14ac:dyDescent="0.2">
      <c r="A47" s="5">
        <f t="shared" ca="1" si="29"/>
        <v>0</v>
      </c>
      <c r="B47" s="5">
        <f ca="1">COUNTBLANK(OFFSET(Demand!$I56,0,(COLUMN(A44)-1)*5,1,1))</f>
        <v>0</v>
      </c>
      <c r="C47" s="5">
        <f ca="1">COUNTBLANK(OFFSET(Demand!$I56,0,(COLUMN(B44)-1)*5,1,1))</f>
        <v>0</v>
      </c>
      <c r="D47" s="5">
        <f ca="1">COUNTBLANK(OFFSET(Demand!$I56,0,(COLUMN(C44)-1)*5,1,1))</f>
        <v>1</v>
      </c>
      <c r="E47" s="5">
        <f ca="1">COUNTBLANK(OFFSET(Demand!$I56,0,(COLUMN(D44)-1)*5,1,1))</f>
        <v>1</v>
      </c>
      <c r="F47" s="5">
        <f ca="1">COUNTBLANK(OFFSET(Demand!$I56,0,(COLUMN(E44)-1)*5,1,1))</f>
        <v>1</v>
      </c>
      <c r="G47" s="5">
        <f ca="1">COUNTBLANK(OFFSET(Demand!$I56,0,(COLUMN(F44)-1)*5,1,1))</f>
        <v>1</v>
      </c>
      <c r="H47" s="5">
        <f ca="1">COUNTBLANK(OFFSET(Demand!$I56,0,(COLUMN(G44)-1)*5,1,1))</f>
        <v>1</v>
      </c>
      <c r="I47" s="5">
        <f ca="1">COUNTBLANK(OFFSET(Demand!$I56,0,(COLUMN(H44)-1)*5,1,1))</f>
        <v>1</v>
      </c>
      <c r="J47" s="5">
        <f ca="1">COUNTBLANK(OFFSET(Demand!$I56,0,(COLUMN(I44)-1)*5,1,1))</f>
        <v>1</v>
      </c>
      <c r="K47" s="5">
        <f ca="1">COUNTBLANK(OFFSET(Demand!$I56,0,(COLUMN(J44)-1)*5,1,1))</f>
        <v>1</v>
      </c>
      <c r="N47" s="5">
        <f ca="1">SUM(OFFSET(Demand!$E56,0,(COLUMN(A44)-1)*5,1,3))*N$2</f>
        <v>60</v>
      </c>
      <c r="O47" s="5">
        <f ca="1">SUM(OFFSET(Demand!$E56,0,(COLUMN(B44)-1)*5,1,3))*O$2</f>
        <v>560</v>
      </c>
      <c r="P47" s="5">
        <f ca="1">SUM(OFFSET(Demand!$E56,0,(COLUMN(C44)-1)*5,1,3))*P$2</f>
        <v>0</v>
      </c>
      <c r="Q47" s="5">
        <f ca="1">SUM(OFFSET(Demand!$E56,0,(COLUMN(D44)-1)*5,1,3))*Q$2</f>
        <v>0</v>
      </c>
      <c r="R47" s="5">
        <f ca="1">SUM(OFFSET(Demand!$E56,0,(COLUMN(E44)-1)*5,1,3))*R$2</f>
        <v>0</v>
      </c>
      <c r="S47" s="5">
        <f ca="1">SUM(OFFSET(Demand!$E56,0,(COLUMN(F44)-1)*5,1,3))*S$2</f>
        <v>0</v>
      </c>
      <c r="T47" s="5">
        <f ca="1">SUM(OFFSET(Demand!$E56,0,(COLUMN(G44)-1)*5,1,3))*T$2</f>
        <v>0</v>
      </c>
      <c r="U47" s="5">
        <f ca="1">SUM(OFFSET(Demand!$E56,0,(COLUMN(H44)-1)*5,1,3))*U$2</f>
        <v>0</v>
      </c>
      <c r="V47" s="5">
        <f ca="1">SUM(OFFSET(Demand!$E56,0,(COLUMN(I44)-1)*5,1,3))*V$2</f>
        <v>0</v>
      </c>
      <c r="W47" s="5">
        <f ca="1">SUM(OFFSET(Demand!$E56,0,(COLUMN(J44)-1)*5,1,3))*W$2</f>
        <v>0</v>
      </c>
      <c r="X47" s="5">
        <f t="shared" ca="1" si="4"/>
        <v>620</v>
      </c>
      <c r="Y47" s="5">
        <f t="shared" ca="1" si="5"/>
        <v>620</v>
      </c>
      <c r="Z47" s="5">
        <f ca="1">SUM(OFFSET(Demand!$H56,0,(COLUMN(A44)-1)*5,1,1))*N$2</f>
        <v>0</v>
      </c>
      <c r="AA47" s="5">
        <f ca="1">SUM(OFFSET(Demand!$H56,0,(COLUMN(B44)-1)*5,1,1))*O$2</f>
        <v>0</v>
      </c>
      <c r="AB47" s="5">
        <f ca="1">SUM(OFFSET(Demand!$H56,0,(COLUMN(C44)-1)*5,1,1))*P$2</f>
        <v>0</v>
      </c>
      <c r="AC47" s="5">
        <f ca="1">SUM(OFFSET(Demand!$H56,0,(COLUMN(D44)-1)*5,1,1))*Q$2</f>
        <v>0</v>
      </c>
      <c r="AD47" s="5">
        <f ca="1">SUM(OFFSET(Demand!$H56,0,(COLUMN(E44)-1)*5,1,1))*R$2</f>
        <v>0</v>
      </c>
      <c r="AE47" s="5">
        <f ca="1">SUM(OFFSET(Demand!$H56,0,(COLUMN(F44)-1)*5,1,1))*S$2</f>
        <v>0</v>
      </c>
      <c r="AF47" s="5">
        <f ca="1">SUM(OFFSET(Demand!$H56,0,(COLUMN(G44)-1)*5,1,1))*T$2</f>
        <v>0</v>
      </c>
      <c r="AG47" s="5">
        <f ca="1">SUM(OFFSET(Demand!$H56,0,(COLUMN(H44)-1)*5,1,1))*U$2</f>
        <v>0</v>
      </c>
      <c r="AH47" s="5">
        <f ca="1">SUM(OFFSET(Demand!$H56,0,(COLUMN(I44)-1)*5,1,1))*V$2</f>
        <v>0</v>
      </c>
      <c r="AI47" s="5">
        <f ca="1">SUM(OFFSET(Demand!$H56,0,(COLUMN(J44)-1)*5,1,1))*W$2</f>
        <v>0</v>
      </c>
      <c r="AJ47" s="5">
        <f t="shared" ca="1" si="6"/>
        <v>0</v>
      </c>
      <c r="AL47" s="5">
        <f t="shared" ca="1" si="7"/>
        <v>620</v>
      </c>
      <c r="AM47" s="5">
        <f t="shared" ca="1" si="8"/>
        <v>0</v>
      </c>
      <c r="AN47" s="5" t="str">
        <f>IF(Demand!BE56="Yes","Yes","")</f>
        <v/>
      </c>
      <c r="AP47" s="37" t="str">
        <f ca="1">Demand!B56</f>
        <v xml:space="preserve"> </v>
      </c>
      <c r="AQ47" s="5" t="str">
        <f ca="1">IF(TEXT(Demand!D56,"MMM")&lt;&gt;TEXT(Demand!D55,"MMM"),TEXT(Demand!D56,"MMM"),"")</f>
        <v/>
      </c>
      <c r="AT47" s="5">
        <f t="shared" ca="1" si="10"/>
        <v>30</v>
      </c>
      <c r="BQ47">
        <f ca="1">IF($AN47="",OFFSET(Demand!$A$13,ROW(A44)-1,4+((QUOTIENT(COLUMN(BQ$2)-69,3))*5)+MOD(COLUMN(BQ$2),3),1,1),"")</f>
        <v>0</v>
      </c>
      <c r="BR47">
        <f ca="1">IF($AN47="",OFFSET(Demand!$A$13,ROW(B44)-1,4+((QUOTIENT(COLUMN(BR$2)-69,3))*5)+MOD(COLUMN(BR$2),3),1,1),"")</f>
        <v>0</v>
      </c>
      <c r="BS47">
        <f ca="1">IF($AN47="",OFFSET(Demand!$A$13,ROW(C44)-1,4+((QUOTIENT(COLUMN(BS$2)-69,3))*5)+MOD(COLUMN(BS$2),3),1,1),"")</f>
        <v>2</v>
      </c>
      <c r="BT47">
        <f ca="1">IF($AN47="",OFFSET(Demand!$A$13,ROW(D44)-1,4+((QUOTIENT(COLUMN(BT$2)-69,3))*5)+MOD(COLUMN(BT$2),3),1,1),"")</f>
        <v>0</v>
      </c>
      <c r="BU47">
        <f ca="1">IF($AN47="",OFFSET(Demand!$A$13,ROW(E44)-1,4+((QUOTIENT(COLUMN(BU$2)-69,3))*5)+MOD(COLUMN(BU$2),3),1,1),"")</f>
        <v>5</v>
      </c>
      <c r="BV47">
        <f ca="1">IF($AN47="",OFFSET(Demand!$A$13,ROW(F44)-1,4+((QUOTIENT(COLUMN(BV$2)-69,3))*5)+MOD(COLUMN(BV$2),3),1,1),"")</f>
        <v>9</v>
      </c>
      <c r="BW47">
        <f ca="1">IF($AN47="",OFFSET(Demand!$A$13,ROW(G44)-1,4+((QUOTIENT(COLUMN(BW$2)-69,3))*5)+MOD(COLUMN(BW$2),3),1,1),"")</f>
        <v>0</v>
      </c>
      <c r="BX47">
        <f ca="1">IF($AN47="",OFFSET(Demand!$A$13,ROW(H44)-1,4+((QUOTIENT(COLUMN(BX$2)-69,3))*5)+MOD(COLUMN(BX$2),3),1,1),"")</f>
        <v>0</v>
      </c>
      <c r="BY47">
        <f ca="1">IF($AN47="",OFFSET(Demand!$A$13,ROW(I44)-1,4+((QUOTIENT(COLUMN(BY$2)-69,3))*5)+MOD(COLUMN(BY$2),3),1,1),"")</f>
        <v>0</v>
      </c>
      <c r="BZ47">
        <f ca="1">IF($AN47="",OFFSET(Demand!$A$13,ROW(J44)-1,4+((QUOTIENT(COLUMN(BZ$2)-69,3))*5)+MOD(COLUMN(BZ$2),3),1,1),"")</f>
        <v>0</v>
      </c>
      <c r="CA47">
        <f ca="1">IF($AN47="",OFFSET(Demand!$A$13,ROW(K44)-1,4+((QUOTIENT(COLUMN(CA$2)-69,3))*5)+MOD(COLUMN(CA$2),3),1,1),"")</f>
        <v>0</v>
      </c>
      <c r="CB47">
        <f ca="1">IF($AN47="",OFFSET(Demand!$A$13,ROW(L44)-1,4+((QUOTIENT(COLUMN(CB$2)-69,3))*5)+MOD(COLUMN(CB$2),3),1,1),"")</f>
        <v>0</v>
      </c>
      <c r="CC47">
        <f ca="1">IF($AN47="",OFFSET(Demand!$A$13,ROW(M44)-1,4+((QUOTIENT(COLUMN(CC$2)-69,3))*5)+MOD(COLUMN(CC$2),3),1,1),"")</f>
        <v>0</v>
      </c>
      <c r="CD47">
        <f ca="1">IF($AN47="",OFFSET(Demand!$A$13,ROW(N44)-1,4+((QUOTIENT(COLUMN(CD$2)-69,3))*5)+MOD(COLUMN(CD$2),3),1,1),"")</f>
        <v>0</v>
      </c>
      <c r="CE47">
        <f ca="1">IF($AN47="",OFFSET(Demand!$A$13,ROW(O44)-1,4+((QUOTIENT(COLUMN(CE$2)-69,3))*5)+MOD(COLUMN(CE$2),3),1,1),"")</f>
        <v>0</v>
      </c>
      <c r="CF47">
        <f ca="1">IF($AN47="",OFFSET(Demand!$A$13,ROW(P44)-1,4+((QUOTIENT(COLUMN(CF$2)-69,3))*5)+MOD(COLUMN(CF$2),3),1,1),"")</f>
        <v>0</v>
      </c>
      <c r="CG47">
        <f ca="1">IF($AN47="",OFFSET(Demand!$A$13,ROW(Q44)-1,4+((QUOTIENT(COLUMN(CG$2)-69,3))*5)+MOD(COLUMN(CG$2),3),1,1),"")</f>
        <v>0</v>
      </c>
      <c r="CH47">
        <f ca="1">IF($AN47="",OFFSET(Demand!$A$13,ROW(R44)-1,4+((QUOTIENT(COLUMN(CH$2)-69,3))*5)+MOD(COLUMN(CH$2),3),1,1),"")</f>
        <v>0</v>
      </c>
      <c r="CI47">
        <f ca="1">IF($AN47="",OFFSET(Demand!$A$13,ROW(S44)-1,4+((QUOTIENT(COLUMN(CI$2)-69,3))*5)+MOD(COLUMN(CI$2),3),1,1),"")</f>
        <v>0</v>
      </c>
      <c r="CJ47">
        <f ca="1">IF($AN47="",OFFSET(Demand!$A$13,ROW(T44)-1,4+((QUOTIENT(COLUMN(CJ$2)-69,3))*5)+MOD(COLUMN(CJ$2),3),1,1),"")</f>
        <v>0</v>
      </c>
      <c r="CK47">
        <f ca="1">IF($AN47="",OFFSET(Demand!$A$13,ROW(U44)-1,4+((QUOTIENT(COLUMN(CK$2)-69,3))*5)+MOD(COLUMN(CK$2),3),1,1),"")</f>
        <v>0</v>
      </c>
      <c r="CL47">
        <f ca="1">IF($AN47="",OFFSET(Demand!$A$13,ROW(V44)-1,4+((QUOTIENT(COLUMN(CL$2)-69,3))*5)+MOD(COLUMN(CL$2),3),1,1),"")</f>
        <v>0</v>
      </c>
      <c r="CM47">
        <f ca="1">IF($AN47="",OFFSET(Demand!$A$13,ROW(W44)-1,4+((QUOTIENT(COLUMN(CM$2)-69,3))*5)+MOD(COLUMN(CM$2),3),1,1),"")</f>
        <v>0</v>
      </c>
      <c r="CN47">
        <f ca="1">IF($AN47="",OFFSET(Demand!$A$13,ROW(X44)-1,4+((QUOTIENT(COLUMN(CN$2)-69,3))*5)+MOD(COLUMN(CN$2),3),1,1),"")</f>
        <v>0</v>
      </c>
      <c r="CO47">
        <f ca="1">IF($AN47="",OFFSET(Demand!$A$13,ROW(Y44)-1,4+((QUOTIENT(COLUMN(CO$2)-69,3))*5)+MOD(COLUMN(CO$2),3),1,1),"")</f>
        <v>0</v>
      </c>
      <c r="CP47">
        <f ca="1">IF($AN47="",OFFSET(Demand!$A$13,ROW(Z44)-1,4+((QUOTIENT(COLUMN(CP$2)-69,3))*5)+MOD(COLUMN(CP$2),3),1,1),"")</f>
        <v>0</v>
      </c>
      <c r="CQ47">
        <f ca="1">IF($AN47="",OFFSET(Demand!$A$13,ROW(AA44)-1,4+((QUOTIENT(COLUMN(CQ$2)-69,3))*5)+MOD(COLUMN(CQ$2),3),1,1),"")</f>
        <v>0</v>
      </c>
      <c r="CR47">
        <f ca="1">IF($AN47="",OFFSET(Demand!$A$13,ROW(AB44)-1,4+((QUOTIENT(COLUMN(CR$2)-69,3))*5)+MOD(COLUMN(CR$2),3),1,1),"")</f>
        <v>0</v>
      </c>
      <c r="CS47">
        <f ca="1">IF($AN47="",OFFSET(Demand!$A$13,ROW(AC44)-1,4+((QUOTIENT(COLUMN(CS$2)-69,3))*5)+MOD(COLUMN(CS$2),3),1,1),"")</f>
        <v>0</v>
      </c>
      <c r="CT47">
        <f ca="1">IF($AN47="",OFFSET(Demand!$A$13,ROW(AD44)-1,4+((QUOTIENT(COLUMN(CT$2)-69,3))*5)+MOD(COLUMN(CT$2),3),1,1),"")</f>
        <v>0</v>
      </c>
      <c r="CW47" s="5">
        <f ca="1">SUM(OFFSET(Demand!$H$43,ROW(A44)-1,(COLUMN(A44)-1)*5,1,1))*N$2</f>
        <v>0</v>
      </c>
      <c r="CX47" s="5">
        <f ca="1">SUM(OFFSET(Demand!$H$43,ROW(B44)-1,(COLUMN(B44)-1)*5,1,1))*O$2</f>
        <v>0</v>
      </c>
      <c r="CY47" s="5">
        <f ca="1">SUM(OFFSET(Demand!$H$43,ROW(C44)-1,(COLUMN(C44)-1)*5,1,1))*P$2</f>
        <v>0</v>
      </c>
      <c r="CZ47" s="5">
        <f ca="1">SUM(OFFSET(Demand!$H$43,ROW(D44)-1,(COLUMN(D44)-1)*5,1,1))*Q$2</f>
        <v>0</v>
      </c>
      <c r="DA47" s="5">
        <f ca="1">SUM(OFFSET(Demand!$H$43,ROW(E44)-1,(COLUMN(E44)-1)*5,1,1))*R$2</f>
        <v>0</v>
      </c>
      <c r="DB47" s="5">
        <f ca="1">SUM(OFFSET(Demand!$H$43,ROW(F44)-1,(COLUMN(F44)-1)*5,1,1))*S$2</f>
        <v>0</v>
      </c>
      <c r="DC47" s="5">
        <f ca="1">SUM(OFFSET(Demand!$H$43,ROW(G44)-1,(COLUMN(G44)-1)*5,1,1))*T$2</f>
        <v>0</v>
      </c>
      <c r="DD47" s="5">
        <f ca="1">SUM(OFFSET(Demand!$H$43,ROW(H44)-1,(COLUMN(H44)-1)*5,1,1))*U$2</f>
        <v>0</v>
      </c>
      <c r="DE47" s="5">
        <f ca="1">SUM(OFFSET(Demand!$H$43,ROW(I44)-1,(COLUMN(I44)-1)*5,1,1))*V$2</f>
        <v>0</v>
      </c>
      <c r="DF47" s="5">
        <f ca="1">SUM(OFFSET(Demand!$H$43,ROW(J44)-1,(COLUMN(J44)-1)*5,1,1))*W$2</f>
        <v>0</v>
      </c>
      <c r="DG47" s="5">
        <f t="shared" ca="1" si="9"/>
        <v>0</v>
      </c>
    </row>
    <row r="48" spans="1:111" s="5" customFormat="1" x14ac:dyDescent="0.2">
      <c r="A48" s="5">
        <f t="shared" ca="1" si="29"/>
        <v>0</v>
      </c>
      <c r="B48" s="5">
        <f ca="1">COUNTBLANK(OFFSET(Demand!$I57,0,(COLUMN(A45)-1)*5,1,1))</f>
        <v>0</v>
      </c>
      <c r="C48" s="5">
        <f ca="1">COUNTBLANK(OFFSET(Demand!$I57,0,(COLUMN(B45)-1)*5,1,1))</f>
        <v>0</v>
      </c>
      <c r="D48" s="5">
        <f ca="1">COUNTBLANK(OFFSET(Demand!$I57,0,(COLUMN(C45)-1)*5,1,1))</f>
        <v>1</v>
      </c>
      <c r="E48" s="5">
        <f ca="1">COUNTBLANK(OFFSET(Demand!$I57,0,(COLUMN(D45)-1)*5,1,1))</f>
        <v>1</v>
      </c>
      <c r="F48" s="5">
        <f ca="1">COUNTBLANK(OFFSET(Demand!$I57,0,(COLUMN(E45)-1)*5,1,1))</f>
        <v>1</v>
      </c>
      <c r="G48" s="5">
        <f ca="1">COUNTBLANK(OFFSET(Demand!$I57,0,(COLUMN(F45)-1)*5,1,1))</f>
        <v>1</v>
      </c>
      <c r="H48" s="5">
        <f ca="1">COUNTBLANK(OFFSET(Demand!$I57,0,(COLUMN(G45)-1)*5,1,1))</f>
        <v>1</v>
      </c>
      <c r="I48" s="5">
        <f ca="1">COUNTBLANK(OFFSET(Demand!$I57,0,(COLUMN(H45)-1)*5,1,1))</f>
        <v>1</v>
      </c>
      <c r="J48" s="5">
        <f ca="1">COUNTBLANK(OFFSET(Demand!$I57,0,(COLUMN(I45)-1)*5,1,1))</f>
        <v>1</v>
      </c>
      <c r="K48" s="5">
        <f ca="1">COUNTBLANK(OFFSET(Demand!$I57,0,(COLUMN(J45)-1)*5,1,1))</f>
        <v>1</v>
      </c>
      <c r="N48" s="5">
        <f ca="1">SUM(OFFSET(Demand!$E57,0,(COLUMN(A45)-1)*5,1,3))*N$2</f>
        <v>120</v>
      </c>
      <c r="O48" s="5">
        <f ca="1">SUM(OFFSET(Demand!$E57,0,(COLUMN(B45)-1)*5,1,3))*O$2</f>
        <v>200</v>
      </c>
      <c r="P48" s="5">
        <f ca="1">SUM(OFFSET(Demand!$E57,0,(COLUMN(C45)-1)*5,1,3))*P$2</f>
        <v>0</v>
      </c>
      <c r="Q48" s="5">
        <f ca="1">SUM(OFFSET(Demand!$E57,0,(COLUMN(D45)-1)*5,1,3))*Q$2</f>
        <v>0</v>
      </c>
      <c r="R48" s="5">
        <f ca="1">SUM(OFFSET(Demand!$E57,0,(COLUMN(E45)-1)*5,1,3))*R$2</f>
        <v>0</v>
      </c>
      <c r="S48" s="5">
        <f ca="1">SUM(OFFSET(Demand!$E57,0,(COLUMN(F45)-1)*5,1,3))*S$2</f>
        <v>0</v>
      </c>
      <c r="T48" s="5">
        <f ca="1">SUM(OFFSET(Demand!$E57,0,(COLUMN(G45)-1)*5,1,3))*T$2</f>
        <v>0</v>
      </c>
      <c r="U48" s="5">
        <f ca="1">SUM(OFFSET(Demand!$E57,0,(COLUMN(H45)-1)*5,1,3))*U$2</f>
        <v>0</v>
      </c>
      <c r="V48" s="5">
        <f ca="1">SUM(OFFSET(Demand!$E57,0,(COLUMN(I45)-1)*5,1,3))*V$2</f>
        <v>0</v>
      </c>
      <c r="W48" s="5">
        <f ca="1">SUM(OFFSET(Demand!$E57,0,(COLUMN(J45)-1)*5,1,3))*W$2</f>
        <v>0</v>
      </c>
      <c r="X48" s="5">
        <f t="shared" ca="1" si="4"/>
        <v>320</v>
      </c>
      <c r="Y48" s="5">
        <f t="shared" ca="1" si="5"/>
        <v>320</v>
      </c>
      <c r="Z48" s="5">
        <f ca="1">SUM(OFFSET(Demand!$H57,0,(COLUMN(A45)-1)*5,1,1))*N$2</f>
        <v>0</v>
      </c>
      <c r="AA48" s="5">
        <f ca="1">SUM(OFFSET(Demand!$H57,0,(COLUMN(B45)-1)*5,1,1))*O$2</f>
        <v>0</v>
      </c>
      <c r="AB48" s="5">
        <f ca="1">SUM(OFFSET(Demand!$H57,0,(COLUMN(C45)-1)*5,1,1))*P$2</f>
        <v>0</v>
      </c>
      <c r="AC48" s="5">
        <f ca="1">SUM(OFFSET(Demand!$H57,0,(COLUMN(D45)-1)*5,1,1))*Q$2</f>
        <v>0</v>
      </c>
      <c r="AD48" s="5">
        <f ca="1">SUM(OFFSET(Demand!$H57,0,(COLUMN(E45)-1)*5,1,1))*R$2</f>
        <v>0</v>
      </c>
      <c r="AE48" s="5">
        <f ca="1">SUM(OFFSET(Demand!$H57,0,(COLUMN(F45)-1)*5,1,1))*S$2</f>
        <v>0</v>
      </c>
      <c r="AF48" s="5">
        <f ca="1">SUM(OFFSET(Demand!$H57,0,(COLUMN(G45)-1)*5,1,1))*T$2</f>
        <v>0</v>
      </c>
      <c r="AG48" s="5">
        <f ca="1">SUM(OFFSET(Demand!$H57,0,(COLUMN(H45)-1)*5,1,1))*U$2</f>
        <v>0</v>
      </c>
      <c r="AH48" s="5">
        <f ca="1">SUM(OFFSET(Demand!$H57,0,(COLUMN(I45)-1)*5,1,1))*V$2</f>
        <v>0</v>
      </c>
      <c r="AI48" s="5">
        <f ca="1">SUM(OFFSET(Demand!$H57,0,(COLUMN(J45)-1)*5,1,1))*W$2</f>
        <v>0</v>
      </c>
      <c r="AJ48" s="5">
        <f t="shared" ca="1" si="6"/>
        <v>0</v>
      </c>
      <c r="AL48" s="5">
        <f t="shared" ca="1" si="7"/>
        <v>320</v>
      </c>
      <c r="AM48" s="5">
        <f t="shared" ca="1" si="8"/>
        <v>0</v>
      </c>
      <c r="AN48" s="5" t="str">
        <f>IF(Demand!BE57="Yes","Yes","")</f>
        <v/>
      </c>
      <c r="AP48" s="37" t="str">
        <f ca="1">Demand!B57</f>
        <v xml:space="preserve"> </v>
      </c>
      <c r="AQ48" s="5" t="str">
        <f ca="1">IF(TEXT(Demand!D57,"MMM")&lt;&gt;TEXT(Demand!D56,"MMM"),TEXT(Demand!D57,"MMM"),"")</f>
        <v>Feb</v>
      </c>
      <c r="AT48" s="5">
        <f t="shared" ca="1" si="10"/>
        <v>300</v>
      </c>
      <c r="BQ48">
        <f ca="1">IF($AN48="",OFFSET(Demand!$A$13,ROW(A45)-1,4+((QUOTIENT(COLUMN(BQ$2)-69,3))*5)+MOD(COLUMN(BQ$2),3),1,1),"")</f>
        <v>0</v>
      </c>
      <c r="BR48">
        <f ca="1">IF($AN48="",OFFSET(Demand!$A$13,ROW(B45)-1,4+((QUOTIENT(COLUMN(BR$2)-69,3))*5)+MOD(COLUMN(BR$2),3),1,1),"")</f>
        <v>2</v>
      </c>
      <c r="BS48">
        <f ca="1">IF($AN48="",OFFSET(Demand!$A$13,ROW(C45)-1,4+((QUOTIENT(COLUMN(BS$2)-69,3))*5)+MOD(COLUMN(BS$2),3),1,1),"")</f>
        <v>2</v>
      </c>
      <c r="BT48">
        <f ca="1">IF($AN48="",OFFSET(Demand!$A$13,ROW(D45)-1,4+((QUOTIENT(COLUMN(BT$2)-69,3))*5)+MOD(COLUMN(BT$2),3),1,1),"")</f>
        <v>0</v>
      </c>
      <c r="BU48">
        <f ca="1">IF($AN48="",OFFSET(Demand!$A$13,ROW(E45)-1,4+((QUOTIENT(COLUMN(BU$2)-69,3))*5)+MOD(COLUMN(BU$2),3),1,1),"")</f>
        <v>0</v>
      </c>
      <c r="BV48">
        <f ca="1">IF($AN48="",OFFSET(Demand!$A$13,ROW(F45)-1,4+((QUOTIENT(COLUMN(BV$2)-69,3))*5)+MOD(COLUMN(BV$2),3),1,1),"")</f>
        <v>5</v>
      </c>
      <c r="BW48">
        <f ca="1">IF($AN48="",OFFSET(Demand!$A$13,ROW(G45)-1,4+((QUOTIENT(COLUMN(BW$2)-69,3))*5)+MOD(COLUMN(BW$2),3),1,1),"")</f>
        <v>0</v>
      </c>
      <c r="BX48">
        <f ca="1">IF($AN48="",OFFSET(Demand!$A$13,ROW(H45)-1,4+((QUOTIENT(COLUMN(BX$2)-69,3))*5)+MOD(COLUMN(BX$2),3),1,1),"")</f>
        <v>0</v>
      </c>
      <c r="BY48">
        <f ca="1">IF($AN48="",OFFSET(Demand!$A$13,ROW(I45)-1,4+((QUOTIENT(COLUMN(BY$2)-69,3))*5)+MOD(COLUMN(BY$2),3),1,1),"")</f>
        <v>0</v>
      </c>
      <c r="BZ48">
        <f ca="1">IF($AN48="",OFFSET(Demand!$A$13,ROW(J45)-1,4+((QUOTIENT(COLUMN(BZ$2)-69,3))*5)+MOD(COLUMN(BZ$2),3),1,1),"")</f>
        <v>0</v>
      </c>
      <c r="CA48">
        <f ca="1">IF($AN48="",OFFSET(Demand!$A$13,ROW(K45)-1,4+((QUOTIENT(COLUMN(CA$2)-69,3))*5)+MOD(COLUMN(CA$2),3),1,1),"")</f>
        <v>0</v>
      </c>
      <c r="CB48">
        <f ca="1">IF($AN48="",OFFSET(Demand!$A$13,ROW(L45)-1,4+((QUOTIENT(COLUMN(CB$2)-69,3))*5)+MOD(COLUMN(CB$2),3),1,1),"")</f>
        <v>0</v>
      </c>
      <c r="CC48">
        <f ca="1">IF($AN48="",OFFSET(Demand!$A$13,ROW(M45)-1,4+((QUOTIENT(COLUMN(CC$2)-69,3))*5)+MOD(COLUMN(CC$2),3),1,1),"")</f>
        <v>0</v>
      </c>
      <c r="CD48">
        <f ca="1">IF($AN48="",OFFSET(Demand!$A$13,ROW(N45)-1,4+((QUOTIENT(COLUMN(CD$2)-69,3))*5)+MOD(COLUMN(CD$2),3),1,1),"")</f>
        <v>0</v>
      </c>
      <c r="CE48">
        <f ca="1">IF($AN48="",OFFSET(Demand!$A$13,ROW(O45)-1,4+((QUOTIENT(COLUMN(CE$2)-69,3))*5)+MOD(COLUMN(CE$2),3),1,1),"")</f>
        <v>0</v>
      </c>
      <c r="CF48">
        <f ca="1">IF($AN48="",OFFSET(Demand!$A$13,ROW(P45)-1,4+((QUOTIENT(COLUMN(CF$2)-69,3))*5)+MOD(COLUMN(CF$2),3),1,1),"")</f>
        <v>0</v>
      </c>
      <c r="CG48">
        <f ca="1">IF($AN48="",OFFSET(Demand!$A$13,ROW(Q45)-1,4+((QUOTIENT(COLUMN(CG$2)-69,3))*5)+MOD(COLUMN(CG$2),3),1,1),"")</f>
        <v>0</v>
      </c>
      <c r="CH48">
        <f ca="1">IF($AN48="",OFFSET(Demand!$A$13,ROW(R45)-1,4+((QUOTIENT(COLUMN(CH$2)-69,3))*5)+MOD(COLUMN(CH$2),3),1,1),"")</f>
        <v>0</v>
      </c>
      <c r="CI48">
        <f ca="1">IF($AN48="",OFFSET(Demand!$A$13,ROW(S45)-1,4+((QUOTIENT(COLUMN(CI$2)-69,3))*5)+MOD(COLUMN(CI$2),3),1,1),"")</f>
        <v>0</v>
      </c>
      <c r="CJ48">
        <f ca="1">IF($AN48="",OFFSET(Demand!$A$13,ROW(T45)-1,4+((QUOTIENT(COLUMN(CJ$2)-69,3))*5)+MOD(COLUMN(CJ$2),3),1,1),"")</f>
        <v>0</v>
      </c>
      <c r="CK48">
        <f ca="1">IF($AN48="",OFFSET(Demand!$A$13,ROW(U45)-1,4+((QUOTIENT(COLUMN(CK$2)-69,3))*5)+MOD(COLUMN(CK$2),3),1,1),"")</f>
        <v>0</v>
      </c>
      <c r="CL48">
        <f ca="1">IF($AN48="",OFFSET(Demand!$A$13,ROW(V45)-1,4+((QUOTIENT(COLUMN(CL$2)-69,3))*5)+MOD(COLUMN(CL$2),3),1,1),"")</f>
        <v>0</v>
      </c>
      <c r="CM48">
        <f ca="1">IF($AN48="",OFFSET(Demand!$A$13,ROW(W45)-1,4+((QUOTIENT(COLUMN(CM$2)-69,3))*5)+MOD(COLUMN(CM$2),3),1,1),"")</f>
        <v>0</v>
      </c>
      <c r="CN48">
        <f ca="1">IF($AN48="",OFFSET(Demand!$A$13,ROW(X45)-1,4+((QUOTIENT(COLUMN(CN$2)-69,3))*5)+MOD(COLUMN(CN$2),3),1,1),"")</f>
        <v>0</v>
      </c>
      <c r="CO48">
        <f ca="1">IF($AN48="",OFFSET(Demand!$A$13,ROW(Y45)-1,4+((QUOTIENT(COLUMN(CO$2)-69,3))*5)+MOD(COLUMN(CO$2),3),1,1),"")</f>
        <v>0</v>
      </c>
      <c r="CP48">
        <f ca="1">IF($AN48="",OFFSET(Demand!$A$13,ROW(Z45)-1,4+((QUOTIENT(COLUMN(CP$2)-69,3))*5)+MOD(COLUMN(CP$2),3),1,1),"")</f>
        <v>0</v>
      </c>
      <c r="CQ48">
        <f ca="1">IF($AN48="",OFFSET(Demand!$A$13,ROW(AA45)-1,4+((QUOTIENT(COLUMN(CQ$2)-69,3))*5)+MOD(COLUMN(CQ$2),3),1,1),"")</f>
        <v>0</v>
      </c>
      <c r="CR48">
        <f ca="1">IF($AN48="",OFFSET(Demand!$A$13,ROW(AB45)-1,4+((QUOTIENT(COLUMN(CR$2)-69,3))*5)+MOD(COLUMN(CR$2),3),1,1),"")</f>
        <v>0</v>
      </c>
      <c r="CS48">
        <f ca="1">IF($AN48="",OFFSET(Demand!$A$13,ROW(AC45)-1,4+((QUOTIENT(COLUMN(CS$2)-69,3))*5)+MOD(COLUMN(CS$2),3),1,1),"")</f>
        <v>0</v>
      </c>
      <c r="CT48">
        <f ca="1">IF($AN48="",OFFSET(Demand!$A$13,ROW(AD45)-1,4+((QUOTIENT(COLUMN(CT$2)-69,3))*5)+MOD(COLUMN(CT$2),3),1,1),"")</f>
        <v>0</v>
      </c>
      <c r="CW48" s="5">
        <f ca="1">SUM(OFFSET(Demand!$H$43,ROW(A45)-1,(COLUMN(A45)-1)*5,1,1))*N$2</f>
        <v>0</v>
      </c>
      <c r="CX48" s="5">
        <f ca="1">SUM(OFFSET(Demand!$H$43,ROW(B45)-1,(COLUMN(B45)-1)*5,1,1))*O$2</f>
        <v>0</v>
      </c>
      <c r="CY48" s="5">
        <f ca="1">SUM(OFFSET(Demand!$H$43,ROW(C45)-1,(COLUMN(C45)-1)*5,1,1))*P$2</f>
        <v>0</v>
      </c>
      <c r="CZ48" s="5">
        <f ca="1">SUM(OFFSET(Demand!$H$43,ROW(D45)-1,(COLUMN(D45)-1)*5,1,1))*Q$2</f>
        <v>0</v>
      </c>
      <c r="DA48" s="5">
        <f ca="1">SUM(OFFSET(Demand!$H$43,ROW(E45)-1,(COLUMN(E45)-1)*5,1,1))*R$2</f>
        <v>0</v>
      </c>
      <c r="DB48" s="5">
        <f ca="1">SUM(OFFSET(Demand!$H$43,ROW(F45)-1,(COLUMN(F45)-1)*5,1,1))*S$2</f>
        <v>0</v>
      </c>
      <c r="DC48" s="5">
        <f ca="1">SUM(OFFSET(Demand!$H$43,ROW(G45)-1,(COLUMN(G45)-1)*5,1,1))*T$2</f>
        <v>0</v>
      </c>
      <c r="DD48" s="5">
        <f ca="1">SUM(OFFSET(Demand!$H$43,ROW(H45)-1,(COLUMN(H45)-1)*5,1,1))*U$2</f>
        <v>0</v>
      </c>
      <c r="DE48" s="5">
        <f ca="1">SUM(OFFSET(Demand!$H$43,ROW(I45)-1,(COLUMN(I45)-1)*5,1,1))*V$2</f>
        <v>0</v>
      </c>
      <c r="DF48" s="5">
        <f ca="1">SUM(OFFSET(Demand!$H$43,ROW(J45)-1,(COLUMN(J45)-1)*5,1,1))*W$2</f>
        <v>0</v>
      </c>
      <c r="DG48" s="5">
        <f t="shared" ca="1" si="9"/>
        <v>0</v>
      </c>
    </row>
    <row r="49" spans="1:111" s="5" customFormat="1" x14ac:dyDescent="0.2">
      <c r="A49" s="5">
        <f t="shared" ca="1" si="29"/>
        <v>0</v>
      </c>
      <c r="B49" s="5">
        <f ca="1">COUNTBLANK(OFFSET(Demand!$I58,0,(COLUMN(A46)-1)*5,1,1))</f>
        <v>0</v>
      </c>
      <c r="C49" s="5">
        <f ca="1">COUNTBLANK(OFFSET(Demand!$I58,0,(COLUMN(B46)-1)*5,1,1))</f>
        <v>0</v>
      </c>
      <c r="D49" s="5">
        <f ca="1">COUNTBLANK(OFFSET(Demand!$I58,0,(COLUMN(C46)-1)*5,1,1))</f>
        <v>1</v>
      </c>
      <c r="E49" s="5">
        <f ca="1">COUNTBLANK(OFFSET(Demand!$I58,0,(COLUMN(D46)-1)*5,1,1))</f>
        <v>1</v>
      </c>
      <c r="F49" s="5">
        <f ca="1">COUNTBLANK(OFFSET(Demand!$I58,0,(COLUMN(E46)-1)*5,1,1))</f>
        <v>1</v>
      </c>
      <c r="G49" s="5">
        <f ca="1">COUNTBLANK(OFFSET(Demand!$I58,0,(COLUMN(F46)-1)*5,1,1))</f>
        <v>1</v>
      </c>
      <c r="H49" s="5">
        <f ca="1">COUNTBLANK(OFFSET(Demand!$I58,0,(COLUMN(G46)-1)*5,1,1))</f>
        <v>1</v>
      </c>
      <c r="I49" s="5">
        <f ca="1">COUNTBLANK(OFFSET(Demand!$I58,0,(COLUMN(H46)-1)*5,1,1))</f>
        <v>1</v>
      </c>
      <c r="J49" s="5">
        <f ca="1">COUNTBLANK(OFFSET(Demand!$I58,0,(COLUMN(I46)-1)*5,1,1))</f>
        <v>1</v>
      </c>
      <c r="K49" s="5">
        <f ca="1">COUNTBLANK(OFFSET(Demand!$I58,0,(COLUMN(J46)-1)*5,1,1))</f>
        <v>1</v>
      </c>
      <c r="N49" s="5">
        <f ca="1">SUM(OFFSET(Demand!$E58,0,(COLUMN(A46)-1)*5,1,3))*N$2</f>
        <v>90</v>
      </c>
      <c r="O49" s="5">
        <f ca="1">SUM(OFFSET(Demand!$E58,0,(COLUMN(B46)-1)*5,1,3))*O$2</f>
        <v>360</v>
      </c>
      <c r="P49" s="5">
        <f ca="1">SUM(OFFSET(Demand!$E58,0,(COLUMN(C46)-1)*5,1,3))*P$2</f>
        <v>0</v>
      </c>
      <c r="Q49" s="5">
        <f ca="1">SUM(OFFSET(Demand!$E58,0,(COLUMN(D46)-1)*5,1,3))*Q$2</f>
        <v>0</v>
      </c>
      <c r="R49" s="5">
        <f ca="1">SUM(OFFSET(Demand!$E58,0,(COLUMN(E46)-1)*5,1,3))*R$2</f>
        <v>0</v>
      </c>
      <c r="S49" s="5">
        <f ca="1">SUM(OFFSET(Demand!$E58,0,(COLUMN(F46)-1)*5,1,3))*S$2</f>
        <v>0</v>
      </c>
      <c r="T49" s="5">
        <f ca="1">SUM(OFFSET(Demand!$E58,0,(COLUMN(G46)-1)*5,1,3))*T$2</f>
        <v>0</v>
      </c>
      <c r="U49" s="5">
        <f ca="1">SUM(OFFSET(Demand!$E58,0,(COLUMN(H46)-1)*5,1,3))*U$2</f>
        <v>0</v>
      </c>
      <c r="V49" s="5">
        <f ca="1">SUM(OFFSET(Demand!$E58,0,(COLUMN(I46)-1)*5,1,3))*V$2</f>
        <v>0</v>
      </c>
      <c r="W49" s="5">
        <f ca="1">SUM(OFFSET(Demand!$E58,0,(COLUMN(J46)-1)*5,1,3))*W$2</f>
        <v>0</v>
      </c>
      <c r="X49" s="5">
        <f t="shared" ca="1" si="4"/>
        <v>450</v>
      </c>
      <c r="Y49" s="5">
        <f t="shared" ca="1" si="5"/>
        <v>450</v>
      </c>
      <c r="Z49" s="5">
        <f ca="1">SUM(OFFSET(Demand!$H58,0,(COLUMN(A46)-1)*5,1,1))*N$2</f>
        <v>0</v>
      </c>
      <c r="AA49" s="5">
        <f ca="1">SUM(OFFSET(Demand!$H58,0,(COLUMN(B46)-1)*5,1,1))*O$2</f>
        <v>0</v>
      </c>
      <c r="AB49" s="5">
        <f ca="1">SUM(OFFSET(Demand!$H58,0,(COLUMN(C46)-1)*5,1,1))*P$2</f>
        <v>0</v>
      </c>
      <c r="AC49" s="5">
        <f ca="1">SUM(OFFSET(Demand!$H58,0,(COLUMN(D46)-1)*5,1,1))*Q$2</f>
        <v>0</v>
      </c>
      <c r="AD49" s="5">
        <f ca="1">SUM(OFFSET(Demand!$H58,0,(COLUMN(E46)-1)*5,1,1))*R$2</f>
        <v>0</v>
      </c>
      <c r="AE49" s="5">
        <f ca="1">SUM(OFFSET(Demand!$H58,0,(COLUMN(F46)-1)*5,1,1))*S$2</f>
        <v>0</v>
      </c>
      <c r="AF49" s="5">
        <f ca="1">SUM(OFFSET(Demand!$H58,0,(COLUMN(G46)-1)*5,1,1))*T$2</f>
        <v>0</v>
      </c>
      <c r="AG49" s="5">
        <f ca="1">SUM(OFFSET(Demand!$H58,0,(COLUMN(H46)-1)*5,1,1))*U$2</f>
        <v>0</v>
      </c>
      <c r="AH49" s="5">
        <f ca="1">SUM(OFFSET(Demand!$H58,0,(COLUMN(I46)-1)*5,1,1))*V$2</f>
        <v>0</v>
      </c>
      <c r="AI49" s="5">
        <f ca="1">SUM(OFFSET(Demand!$H58,0,(COLUMN(J46)-1)*5,1,1))*W$2</f>
        <v>0</v>
      </c>
      <c r="AJ49" s="5">
        <f t="shared" ca="1" si="6"/>
        <v>0</v>
      </c>
      <c r="AL49" s="5">
        <f t="shared" ca="1" si="7"/>
        <v>450</v>
      </c>
      <c r="AM49" s="5">
        <f t="shared" ca="1" si="8"/>
        <v>0</v>
      </c>
      <c r="AN49" s="5" t="str">
        <f>IF(Demand!BE58="Yes","Yes","")</f>
        <v/>
      </c>
      <c r="AP49" s="37" t="str">
        <f ca="1">Demand!B58</f>
        <v xml:space="preserve"> </v>
      </c>
      <c r="AQ49" s="5" t="str">
        <f ca="1">IF(TEXT(Demand!D58,"MMM")&lt;&gt;TEXT(Demand!D57,"MMM"),TEXT(Demand!D58,"MMM"),"")</f>
        <v/>
      </c>
      <c r="AT49" s="5">
        <f t="shared" ca="1" si="10"/>
        <v>130</v>
      </c>
      <c r="BQ49">
        <f ca="1">IF($AN49="",OFFSET(Demand!$A$13,ROW(A46)-1,4+((QUOTIENT(COLUMN(BQ$2)-69,3))*5)+MOD(COLUMN(BQ$2),3),1,1),"")</f>
        <v>0</v>
      </c>
      <c r="BR49">
        <f ca="1">IF($AN49="",OFFSET(Demand!$A$13,ROW(B46)-1,4+((QUOTIENT(COLUMN(BR$2)-69,3))*5)+MOD(COLUMN(BR$2),3),1,1),"")</f>
        <v>1</v>
      </c>
      <c r="BS49">
        <f ca="1">IF($AN49="",OFFSET(Demand!$A$13,ROW(C46)-1,4+((QUOTIENT(COLUMN(BS$2)-69,3))*5)+MOD(COLUMN(BS$2),3),1,1),"")</f>
        <v>2</v>
      </c>
      <c r="BT49">
        <f ca="1">IF($AN49="",OFFSET(Demand!$A$13,ROW(D46)-1,4+((QUOTIENT(COLUMN(BT$2)-69,3))*5)+MOD(COLUMN(BT$2),3),1,1),"")</f>
        <v>0</v>
      </c>
      <c r="BU49">
        <f ca="1">IF($AN49="",OFFSET(Demand!$A$13,ROW(E46)-1,4+((QUOTIENT(COLUMN(BU$2)-69,3))*5)+MOD(COLUMN(BU$2),3),1,1),"")</f>
        <v>2</v>
      </c>
      <c r="BV49">
        <f ca="1">IF($AN49="",OFFSET(Demand!$A$13,ROW(F46)-1,4+((QUOTIENT(COLUMN(BV$2)-69,3))*5)+MOD(COLUMN(BV$2),3),1,1),"")</f>
        <v>7</v>
      </c>
      <c r="BW49">
        <f ca="1">IF($AN49="",OFFSET(Demand!$A$13,ROW(G46)-1,4+((QUOTIENT(COLUMN(BW$2)-69,3))*5)+MOD(COLUMN(BW$2),3),1,1),"")</f>
        <v>0</v>
      </c>
      <c r="BX49">
        <f ca="1">IF($AN49="",OFFSET(Demand!$A$13,ROW(H46)-1,4+((QUOTIENT(COLUMN(BX$2)-69,3))*5)+MOD(COLUMN(BX$2),3),1,1),"")</f>
        <v>0</v>
      </c>
      <c r="BY49">
        <f ca="1">IF($AN49="",OFFSET(Demand!$A$13,ROW(I46)-1,4+((QUOTIENT(COLUMN(BY$2)-69,3))*5)+MOD(COLUMN(BY$2),3),1,1),"")</f>
        <v>0</v>
      </c>
      <c r="BZ49">
        <f ca="1">IF($AN49="",OFFSET(Demand!$A$13,ROW(J46)-1,4+((QUOTIENT(COLUMN(BZ$2)-69,3))*5)+MOD(COLUMN(BZ$2),3),1,1),"")</f>
        <v>0</v>
      </c>
      <c r="CA49">
        <f ca="1">IF($AN49="",OFFSET(Demand!$A$13,ROW(K46)-1,4+((QUOTIENT(COLUMN(CA$2)-69,3))*5)+MOD(COLUMN(CA$2),3),1,1),"")</f>
        <v>0</v>
      </c>
      <c r="CB49">
        <f ca="1">IF($AN49="",OFFSET(Demand!$A$13,ROW(L46)-1,4+((QUOTIENT(COLUMN(CB$2)-69,3))*5)+MOD(COLUMN(CB$2),3),1,1),"")</f>
        <v>0</v>
      </c>
      <c r="CC49">
        <f ca="1">IF($AN49="",OFFSET(Demand!$A$13,ROW(M46)-1,4+((QUOTIENT(COLUMN(CC$2)-69,3))*5)+MOD(COLUMN(CC$2),3),1,1),"")</f>
        <v>0</v>
      </c>
      <c r="CD49">
        <f ca="1">IF($AN49="",OFFSET(Demand!$A$13,ROW(N46)-1,4+((QUOTIENT(COLUMN(CD$2)-69,3))*5)+MOD(COLUMN(CD$2),3),1,1),"")</f>
        <v>0</v>
      </c>
      <c r="CE49">
        <f ca="1">IF($AN49="",OFFSET(Demand!$A$13,ROW(O46)-1,4+((QUOTIENT(COLUMN(CE$2)-69,3))*5)+MOD(COLUMN(CE$2),3),1,1),"")</f>
        <v>0</v>
      </c>
      <c r="CF49">
        <f ca="1">IF($AN49="",OFFSET(Demand!$A$13,ROW(P46)-1,4+((QUOTIENT(COLUMN(CF$2)-69,3))*5)+MOD(COLUMN(CF$2),3),1,1),"")</f>
        <v>0</v>
      </c>
      <c r="CG49">
        <f ca="1">IF($AN49="",OFFSET(Demand!$A$13,ROW(Q46)-1,4+((QUOTIENT(COLUMN(CG$2)-69,3))*5)+MOD(COLUMN(CG$2),3),1,1),"")</f>
        <v>0</v>
      </c>
      <c r="CH49">
        <f ca="1">IF($AN49="",OFFSET(Demand!$A$13,ROW(R46)-1,4+((QUOTIENT(COLUMN(CH$2)-69,3))*5)+MOD(COLUMN(CH$2),3),1,1),"")</f>
        <v>0</v>
      </c>
      <c r="CI49">
        <f ca="1">IF($AN49="",OFFSET(Demand!$A$13,ROW(S46)-1,4+((QUOTIENT(COLUMN(CI$2)-69,3))*5)+MOD(COLUMN(CI$2),3),1,1),"")</f>
        <v>0</v>
      </c>
      <c r="CJ49">
        <f ca="1">IF($AN49="",OFFSET(Demand!$A$13,ROW(T46)-1,4+((QUOTIENT(COLUMN(CJ$2)-69,3))*5)+MOD(COLUMN(CJ$2),3),1,1),"")</f>
        <v>0</v>
      </c>
      <c r="CK49">
        <f ca="1">IF($AN49="",OFFSET(Demand!$A$13,ROW(U46)-1,4+((QUOTIENT(COLUMN(CK$2)-69,3))*5)+MOD(COLUMN(CK$2),3),1,1),"")</f>
        <v>0</v>
      </c>
      <c r="CL49">
        <f ca="1">IF($AN49="",OFFSET(Demand!$A$13,ROW(V46)-1,4+((QUOTIENT(COLUMN(CL$2)-69,3))*5)+MOD(COLUMN(CL$2),3),1,1),"")</f>
        <v>0</v>
      </c>
      <c r="CM49">
        <f ca="1">IF($AN49="",OFFSET(Demand!$A$13,ROW(W46)-1,4+((QUOTIENT(COLUMN(CM$2)-69,3))*5)+MOD(COLUMN(CM$2),3),1,1),"")</f>
        <v>0</v>
      </c>
      <c r="CN49">
        <f ca="1">IF($AN49="",OFFSET(Demand!$A$13,ROW(X46)-1,4+((QUOTIENT(COLUMN(CN$2)-69,3))*5)+MOD(COLUMN(CN$2),3),1,1),"")</f>
        <v>0</v>
      </c>
      <c r="CO49">
        <f ca="1">IF($AN49="",OFFSET(Demand!$A$13,ROW(Y46)-1,4+((QUOTIENT(COLUMN(CO$2)-69,3))*5)+MOD(COLUMN(CO$2),3),1,1),"")</f>
        <v>0</v>
      </c>
      <c r="CP49">
        <f ca="1">IF($AN49="",OFFSET(Demand!$A$13,ROW(Z46)-1,4+((QUOTIENT(COLUMN(CP$2)-69,3))*5)+MOD(COLUMN(CP$2),3),1,1),"")</f>
        <v>0</v>
      </c>
      <c r="CQ49">
        <f ca="1">IF($AN49="",OFFSET(Demand!$A$13,ROW(AA46)-1,4+((QUOTIENT(COLUMN(CQ$2)-69,3))*5)+MOD(COLUMN(CQ$2),3),1,1),"")</f>
        <v>0</v>
      </c>
      <c r="CR49">
        <f ca="1">IF($AN49="",OFFSET(Demand!$A$13,ROW(AB46)-1,4+((QUOTIENT(COLUMN(CR$2)-69,3))*5)+MOD(COLUMN(CR$2),3),1,1),"")</f>
        <v>0</v>
      </c>
      <c r="CS49">
        <f ca="1">IF($AN49="",OFFSET(Demand!$A$13,ROW(AC46)-1,4+((QUOTIENT(COLUMN(CS$2)-69,3))*5)+MOD(COLUMN(CS$2),3),1,1),"")</f>
        <v>0</v>
      </c>
      <c r="CT49">
        <f ca="1">IF($AN49="",OFFSET(Demand!$A$13,ROW(AD46)-1,4+((QUOTIENT(COLUMN(CT$2)-69,3))*5)+MOD(COLUMN(CT$2),3),1,1),"")</f>
        <v>0</v>
      </c>
      <c r="CW49" s="5">
        <f ca="1">SUM(OFFSET(Demand!$H$43,ROW(A46)-1,(COLUMN(A46)-1)*5,1,1))*N$2</f>
        <v>0</v>
      </c>
      <c r="CX49" s="5">
        <f ca="1">SUM(OFFSET(Demand!$H$43,ROW(B46)-1,(COLUMN(B46)-1)*5,1,1))*O$2</f>
        <v>0</v>
      </c>
      <c r="CY49" s="5">
        <f ca="1">SUM(OFFSET(Demand!$H$43,ROW(C46)-1,(COLUMN(C46)-1)*5,1,1))*P$2</f>
        <v>0</v>
      </c>
      <c r="CZ49" s="5">
        <f ca="1">SUM(OFFSET(Demand!$H$43,ROW(D46)-1,(COLUMN(D46)-1)*5,1,1))*Q$2</f>
        <v>0</v>
      </c>
      <c r="DA49" s="5">
        <f ca="1">SUM(OFFSET(Demand!$H$43,ROW(E46)-1,(COLUMN(E46)-1)*5,1,1))*R$2</f>
        <v>0</v>
      </c>
      <c r="DB49" s="5">
        <f ca="1">SUM(OFFSET(Demand!$H$43,ROW(F46)-1,(COLUMN(F46)-1)*5,1,1))*S$2</f>
        <v>0</v>
      </c>
      <c r="DC49" s="5">
        <f ca="1">SUM(OFFSET(Demand!$H$43,ROW(G46)-1,(COLUMN(G46)-1)*5,1,1))*T$2</f>
        <v>0</v>
      </c>
      <c r="DD49" s="5">
        <f ca="1">SUM(OFFSET(Demand!$H$43,ROW(H46)-1,(COLUMN(H46)-1)*5,1,1))*U$2</f>
        <v>0</v>
      </c>
      <c r="DE49" s="5">
        <f ca="1">SUM(OFFSET(Demand!$H$43,ROW(I46)-1,(COLUMN(I46)-1)*5,1,1))*V$2</f>
        <v>0</v>
      </c>
      <c r="DF49" s="5">
        <f ca="1">SUM(OFFSET(Demand!$H$43,ROW(J46)-1,(COLUMN(J46)-1)*5,1,1))*W$2</f>
        <v>0</v>
      </c>
      <c r="DG49" s="5">
        <f t="shared" ca="1" si="9"/>
        <v>0</v>
      </c>
    </row>
    <row r="50" spans="1:111" s="5" customFormat="1" x14ac:dyDescent="0.2">
      <c r="A50" s="5">
        <f t="shared" ca="1" si="29"/>
        <v>0</v>
      </c>
      <c r="B50" s="5">
        <f ca="1">COUNTBLANK(OFFSET(Demand!$I59,0,(COLUMN(A47)-1)*5,1,1))</f>
        <v>0</v>
      </c>
      <c r="C50" s="5">
        <f ca="1">COUNTBLANK(OFFSET(Demand!$I59,0,(COLUMN(B47)-1)*5,1,1))</f>
        <v>0</v>
      </c>
      <c r="D50" s="5">
        <f ca="1">COUNTBLANK(OFFSET(Demand!$I59,0,(COLUMN(C47)-1)*5,1,1))</f>
        <v>1</v>
      </c>
      <c r="E50" s="5">
        <f ca="1">COUNTBLANK(OFFSET(Demand!$I59,0,(COLUMN(D47)-1)*5,1,1))</f>
        <v>1</v>
      </c>
      <c r="F50" s="5">
        <f ca="1">COUNTBLANK(OFFSET(Demand!$I59,0,(COLUMN(E47)-1)*5,1,1))</f>
        <v>1</v>
      </c>
      <c r="G50" s="5">
        <f ca="1">COUNTBLANK(OFFSET(Demand!$I59,0,(COLUMN(F47)-1)*5,1,1))</f>
        <v>1</v>
      </c>
      <c r="H50" s="5">
        <f ca="1">COUNTBLANK(OFFSET(Demand!$I59,0,(COLUMN(G47)-1)*5,1,1))</f>
        <v>1</v>
      </c>
      <c r="I50" s="5">
        <f ca="1">COUNTBLANK(OFFSET(Demand!$I59,0,(COLUMN(H47)-1)*5,1,1))</f>
        <v>1</v>
      </c>
      <c r="J50" s="5">
        <f ca="1">COUNTBLANK(OFFSET(Demand!$I59,0,(COLUMN(I47)-1)*5,1,1))</f>
        <v>1</v>
      </c>
      <c r="K50" s="5">
        <f ca="1">COUNTBLANK(OFFSET(Demand!$I59,0,(COLUMN(J47)-1)*5,1,1))</f>
        <v>1</v>
      </c>
      <c r="N50" s="5">
        <f ca="1">SUM(OFFSET(Demand!$E59,0,(COLUMN(A47)-1)*5,1,3))*N$2</f>
        <v>120</v>
      </c>
      <c r="O50" s="5">
        <f ca="1">SUM(OFFSET(Demand!$E59,0,(COLUMN(B47)-1)*5,1,3))*O$2</f>
        <v>360</v>
      </c>
      <c r="P50" s="5">
        <f ca="1">SUM(OFFSET(Demand!$E59,0,(COLUMN(C47)-1)*5,1,3))*P$2</f>
        <v>0</v>
      </c>
      <c r="Q50" s="5">
        <f ca="1">SUM(OFFSET(Demand!$E59,0,(COLUMN(D47)-1)*5,1,3))*Q$2</f>
        <v>0</v>
      </c>
      <c r="R50" s="5">
        <f ca="1">SUM(OFFSET(Demand!$E59,0,(COLUMN(E47)-1)*5,1,3))*R$2</f>
        <v>0</v>
      </c>
      <c r="S50" s="5">
        <f ca="1">SUM(OFFSET(Demand!$E59,0,(COLUMN(F47)-1)*5,1,3))*S$2</f>
        <v>0</v>
      </c>
      <c r="T50" s="5">
        <f ca="1">SUM(OFFSET(Demand!$E59,0,(COLUMN(G47)-1)*5,1,3))*T$2</f>
        <v>0</v>
      </c>
      <c r="U50" s="5">
        <f ca="1">SUM(OFFSET(Demand!$E59,0,(COLUMN(H47)-1)*5,1,3))*U$2</f>
        <v>0</v>
      </c>
      <c r="V50" s="5">
        <f ca="1">SUM(OFFSET(Demand!$E59,0,(COLUMN(I47)-1)*5,1,3))*V$2</f>
        <v>0</v>
      </c>
      <c r="W50" s="5">
        <f ca="1">SUM(OFFSET(Demand!$E59,0,(COLUMN(J47)-1)*5,1,3))*W$2</f>
        <v>0</v>
      </c>
      <c r="X50" s="5">
        <f t="shared" ca="1" si="4"/>
        <v>480</v>
      </c>
      <c r="Y50" s="5">
        <f t="shared" ca="1" si="5"/>
        <v>480</v>
      </c>
      <c r="Z50" s="5">
        <f ca="1">SUM(OFFSET(Demand!$H59,0,(COLUMN(A47)-1)*5,1,1))*N$2</f>
        <v>0</v>
      </c>
      <c r="AA50" s="5">
        <f ca="1">SUM(OFFSET(Demand!$H59,0,(COLUMN(B47)-1)*5,1,1))*O$2</f>
        <v>0</v>
      </c>
      <c r="AB50" s="5">
        <f ca="1">SUM(OFFSET(Demand!$H59,0,(COLUMN(C47)-1)*5,1,1))*P$2</f>
        <v>0</v>
      </c>
      <c r="AC50" s="5">
        <f ca="1">SUM(OFFSET(Demand!$H59,0,(COLUMN(D47)-1)*5,1,1))*Q$2</f>
        <v>0</v>
      </c>
      <c r="AD50" s="5">
        <f ca="1">SUM(OFFSET(Demand!$H59,0,(COLUMN(E47)-1)*5,1,1))*R$2</f>
        <v>0</v>
      </c>
      <c r="AE50" s="5">
        <f ca="1">SUM(OFFSET(Demand!$H59,0,(COLUMN(F47)-1)*5,1,1))*S$2</f>
        <v>0</v>
      </c>
      <c r="AF50" s="5">
        <f ca="1">SUM(OFFSET(Demand!$H59,0,(COLUMN(G47)-1)*5,1,1))*T$2</f>
        <v>0</v>
      </c>
      <c r="AG50" s="5">
        <f ca="1">SUM(OFFSET(Demand!$H59,0,(COLUMN(H47)-1)*5,1,1))*U$2</f>
        <v>0</v>
      </c>
      <c r="AH50" s="5">
        <f ca="1">SUM(OFFSET(Demand!$H59,0,(COLUMN(I47)-1)*5,1,1))*V$2</f>
        <v>0</v>
      </c>
      <c r="AI50" s="5">
        <f ca="1">SUM(OFFSET(Demand!$H59,0,(COLUMN(J47)-1)*5,1,1))*W$2</f>
        <v>0</v>
      </c>
      <c r="AJ50" s="5">
        <f t="shared" ca="1" si="6"/>
        <v>0</v>
      </c>
      <c r="AL50" s="5">
        <f t="shared" ca="1" si="7"/>
        <v>480</v>
      </c>
      <c r="AM50" s="5">
        <f t="shared" ca="1" si="8"/>
        <v>0</v>
      </c>
      <c r="AN50" s="5" t="str">
        <f>IF(Demand!BE59="Yes","Yes","")</f>
        <v/>
      </c>
      <c r="AP50" s="37" t="str">
        <f ca="1">Demand!B59</f>
        <v xml:space="preserve"> </v>
      </c>
      <c r="AQ50" s="5" t="str">
        <f ca="1">IF(TEXT(Demand!D59,"MMM")&lt;&gt;TEXT(Demand!D58,"MMM"),TEXT(Demand!D59,"MMM"),"")</f>
        <v/>
      </c>
      <c r="AT50" s="5">
        <f t="shared" ca="1" si="10"/>
        <v>30</v>
      </c>
      <c r="BQ50">
        <f ca="1">IF($AN50="",OFFSET(Demand!$A$13,ROW(A47)-1,4+((QUOTIENT(COLUMN(BQ$2)-69,3))*5)+MOD(COLUMN(BQ$2),3),1,1),"")</f>
        <v>0</v>
      </c>
      <c r="BR50">
        <f ca="1">IF($AN50="",OFFSET(Demand!$A$13,ROW(B47)-1,4+((QUOTIENT(COLUMN(BR$2)-69,3))*5)+MOD(COLUMN(BR$2),3),1,1),"")</f>
        <v>0</v>
      </c>
      <c r="BS50">
        <f ca="1">IF($AN50="",OFFSET(Demand!$A$13,ROW(C47)-1,4+((QUOTIENT(COLUMN(BS$2)-69,3))*5)+MOD(COLUMN(BS$2),3),1,1),"")</f>
        <v>4</v>
      </c>
      <c r="BT50">
        <f ca="1">IF($AN50="",OFFSET(Demand!$A$13,ROW(D47)-1,4+((QUOTIENT(COLUMN(BT$2)-69,3))*5)+MOD(COLUMN(BT$2),3),1,1),"")</f>
        <v>0</v>
      </c>
      <c r="BU50">
        <f ca="1">IF($AN50="",OFFSET(Demand!$A$13,ROW(E47)-1,4+((QUOTIENT(COLUMN(BU$2)-69,3))*5)+MOD(COLUMN(BU$2),3),1,1),"")</f>
        <v>2</v>
      </c>
      <c r="BV50">
        <f ca="1">IF($AN50="",OFFSET(Demand!$A$13,ROW(F47)-1,4+((QUOTIENT(COLUMN(BV$2)-69,3))*5)+MOD(COLUMN(BV$2),3),1,1),"")</f>
        <v>7</v>
      </c>
      <c r="BW50">
        <f ca="1">IF($AN50="",OFFSET(Demand!$A$13,ROW(G47)-1,4+((QUOTIENT(COLUMN(BW$2)-69,3))*5)+MOD(COLUMN(BW$2),3),1,1),"")</f>
        <v>0</v>
      </c>
      <c r="BX50">
        <f ca="1">IF($AN50="",OFFSET(Demand!$A$13,ROW(H47)-1,4+((QUOTIENT(COLUMN(BX$2)-69,3))*5)+MOD(COLUMN(BX$2),3),1,1),"")</f>
        <v>0</v>
      </c>
      <c r="BY50">
        <f ca="1">IF($AN50="",OFFSET(Demand!$A$13,ROW(I47)-1,4+((QUOTIENT(COLUMN(BY$2)-69,3))*5)+MOD(COLUMN(BY$2),3),1,1),"")</f>
        <v>0</v>
      </c>
      <c r="BZ50">
        <f ca="1">IF($AN50="",OFFSET(Demand!$A$13,ROW(J47)-1,4+((QUOTIENT(COLUMN(BZ$2)-69,3))*5)+MOD(COLUMN(BZ$2),3),1,1),"")</f>
        <v>0</v>
      </c>
      <c r="CA50">
        <f ca="1">IF($AN50="",OFFSET(Demand!$A$13,ROW(K47)-1,4+((QUOTIENT(COLUMN(CA$2)-69,3))*5)+MOD(COLUMN(CA$2),3),1,1),"")</f>
        <v>0</v>
      </c>
      <c r="CB50">
        <f ca="1">IF($AN50="",OFFSET(Demand!$A$13,ROW(L47)-1,4+((QUOTIENT(COLUMN(CB$2)-69,3))*5)+MOD(COLUMN(CB$2),3),1,1),"")</f>
        <v>0</v>
      </c>
      <c r="CC50">
        <f ca="1">IF($AN50="",OFFSET(Demand!$A$13,ROW(M47)-1,4+((QUOTIENT(COLUMN(CC$2)-69,3))*5)+MOD(COLUMN(CC$2),3),1,1),"")</f>
        <v>0</v>
      </c>
      <c r="CD50">
        <f ca="1">IF($AN50="",OFFSET(Demand!$A$13,ROW(N47)-1,4+((QUOTIENT(COLUMN(CD$2)-69,3))*5)+MOD(COLUMN(CD$2),3),1,1),"")</f>
        <v>0</v>
      </c>
      <c r="CE50">
        <f ca="1">IF($AN50="",OFFSET(Demand!$A$13,ROW(O47)-1,4+((QUOTIENT(COLUMN(CE$2)-69,3))*5)+MOD(COLUMN(CE$2),3),1,1),"")</f>
        <v>0</v>
      </c>
      <c r="CF50">
        <f ca="1">IF($AN50="",OFFSET(Demand!$A$13,ROW(P47)-1,4+((QUOTIENT(COLUMN(CF$2)-69,3))*5)+MOD(COLUMN(CF$2),3),1,1),"")</f>
        <v>0</v>
      </c>
      <c r="CG50">
        <f ca="1">IF($AN50="",OFFSET(Demand!$A$13,ROW(Q47)-1,4+((QUOTIENT(COLUMN(CG$2)-69,3))*5)+MOD(COLUMN(CG$2),3),1,1),"")</f>
        <v>0</v>
      </c>
      <c r="CH50">
        <f ca="1">IF($AN50="",OFFSET(Demand!$A$13,ROW(R47)-1,4+((QUOTIENT(COLUMN(CH$2)-69,3))*5)+MOD(COLUMN(CH$2),3),1,1),"")</f>
        <v>0</v>
      </c>
      <c r="CI50">
        <f ca="1">IF($AN50="",OFFSET(Demand!$A$13,ROW(S47)-1,4+((QUOTIENT(COLUMN(CI$2)-69,3))*5)+MOD(COLUMN(CI$2),3),1,1),"")</f>
        <v>0</v>
      </c>
      <c r="CJ50">
        <f ca="1">IF($AN50="",OFFSET(Demand!$A$13,ROW(T47)-1,4+((QUOTIENT(COLUMN(CJ$2)-69,3))*5)+MOD(COLUMN(CJ$2),3),1,1),"")</f>
        <v>0</v>
      </c>
      <c r="CK50">
        <f ca="1">IF($AN50="",OFFSET(Demand!$A$13,ROW(U47)-1,4+((QUOTIENT(COLUMN(CK$2)-69,3))*5)+MOD(COLUMN(CK$2),3),1,1),"")</f>
        <v>0</v>
      </c>
      <c r="CL50">
        <f ca="1">IF($AN50="",OFFSET(Demand!$A$13,ROW(V47)-1,4+((QUOTIENT(COLUMN(CL$2)-69,3))*5)+MOD(COLUMN(CL$2),3),1,1),"")</f>
        <v>0</v>
      </c>
      <c r="CM50">
        <f ca="1">IF($AN50="",OFFSET(Demand!$A$13,ROW(W47)-1,4+((QUOTIENT(COLUMN(CM$2)-69,3))*5)+MOD(COLUMN(CM$2),3),1,1),"")</f>
        <v>0</v>
      </c>
      <c r="CN50">
        <f ca="1">IF($AN50="",OFFSET(Demand!$A$13,ROW(X47)-1,4+((QUOTIENT(COLUMN(CN$2)-69,3))*5)+MOD(COLUMN(CN$2),3),1,1),"")</f>
        <v>0</v>
      </c>
      <c r="CO50">
        <f ca="1">IF($AN50="",OFFSET(Demand!$A$13,ROW(Y47)-1,4+((QUOTIENT(COLUMN(CO$2)-69,3))*5)+MOD(COLUMN(CO$2),3),1,1),"")</f>
        <v>0</v>
      </c>
      <c r="CP50">
        <f ca="1">IF($AN50="",OFFSET(Demand!$A$13,ROW(Z47)-1,4+((QUOTIENT(COLUMN(CP$2)-69,3))*5)+MOD(COLUMN(CP$2),3),1,1),"")</f>
        <v>0</v>
      </c>
      <c r="CQ50">
        <f ca="1">IF($AN50="",OFFSET(Demand!$A$13,ROW(AA47)-1,4+((QUOTIENT(COLUMN(CQ$2)-69,3))*5)+MOD(COLUMN(CQ$2),3),1,1),"")</f>
        <v>0</v>
      </c>
      <c r="CR50">
        <f ca="1">IF($AN50="",OFFSET(Demand!$A$13,ROW(AB47)-1,4+((QUOTIENT(COLUMN(CR$2)-69,3))*5)+MOD(COLUMN(CR$2),3),1,1),"")</f>
        <v>0</v>
      </c>
      <c r="CS50">
        <f ca="1">IF($AN50="",OFFSET(Demand!$A$13,ROW(AC47)-1,4+((QUOTIENT(COLUMN(CS$2)-69,3))*5)+MOD(COLUMN(CS$2),3),1,1),"")</f>
        <v>0</v>
      </c>
      <c r="CT50">
        <f ca="1">IF($AN50="",OFFSET(Demand!$A$13,ROW(AD47)-1,4+((QUOTIENT(COLUMN(CT$2)-69,3))*5)+MOD(COLUMN(CT$2),3),1,1),"")</f>
        <v>0</v>
      </c>
      <c r="CW50" s="5">
        <f ca="1">SUM(OFFSET(Demand!$H$43,ROW(A47)-1,(COLUMN(A47)-1)*5,1,1))*N$2</f>
        <v>0</v>
      </c>
      <c r="CX50" s="5">
        <f ca="1">SUM(OFFSET(Demand!$H$43,ROW(B47)-1,(COLUMN(B47)-1)*5,1,1))*O$2</f>
        <v>0</v>
      </c>
      <c r="CY50" s="5">
        <f ca="1">SUM(OFFSET(Demand!$H$43,ROW(C47)-1,(COLUMN(C47)-1)*5,1,1))*P$2</f>
        <v>0</v>
      </c>
      <c r="CZ50" s="5">
        <f ca="1">SUM(OFFSET(Demand!$H$43,ROW(D47)-1,(COLUMN(D47)-1)*5,1,1))*Q$2</f>
        <v>0</v>
      </c>
      <c r="DA50" s="5">
        <f ca="1">SUM(OFFSET(Demand!$H$43,ROW(E47)-1,(COLUMN(E47)-1)*5,1,1))*R$2</f>
        <v>0</v>
      </c>
      <c r="DB50" s="5">
        <f ca="1">SUM(OFFSET(Demand!$H$43,ROW(F47)-1,(COLUMN(F47)-1)*5,1,1))*S$2</f>
        <v>0</v>
      </c>
      <c r="DC50" s="5">
        <f ca="1">SUM(OFFSET(Demand!$H$43,ROW(G47)-1,(COLUMN(G47)-1)*5,1,1))*T$2</f>
        <v>0</v>
      </c>
      <c r="DD50" s="5">
        <f ca="1">SUM(OFFSET(Demand!$H$43,ROW(H47)-1,(COLUMN(H47)-1)*5,1,1))*U$2</f>
        <v>0</v>
      </c>
      <c r="DE50" s="5">
        <f ca="1">SUM(OFFSET(Demand!$H$43,ROW(I47)-1,(COLUMN(I47)-1)*5,1,1))*V$2</f>
        <v>0</v>
      </c>
      <c r="DF50" s="5">
        <f ca="1">SUM(OFFSET(Demand!$H$43,ROW(J47)-1,(COLUMN(J47)-1)*5,1,1))*W$2</f>
        <v>0</v>
      </c>
      <c r="DG50" s="5">
        <f t="shared" ca="1" si="9"/>
        <v>0</v>
      </c>
    </row>
    <row r="51" spans="1:111" s="5" customFormat="1" x14ac:dyDescent="0.2">
      <c r="A51" s="5">
        <f t="shared" ca="1" si="29"/>
        <v>0</v>
      </c>
      <c r="B51" s="5">
        <f ca="1">COUNTBLANK(OFFSET(Demand!$I60,0,(COLUMN(A48)-1)*5,1,1))</f>
        <v>0</v>
      </c>
      <c r="C51" s="5">
        <f ca="1">COUNTBLANK(OFFSET(Demand!$I60,0,(COLUMN(B48)-1)*5,1,1))</f>
        <v>0</v>
      </c>
      <c r="D51" s="5">
        <f ca="1">COUNTBLANK(OFFSET(Demand!$I60,0,(COLUMN(C48)-1)*5,1,1))</f>
        <v>1</v>
      </c>
      <c r="E51" s="5">
        <f ca="1">COUNTBLANK(OFFSET(Demand!$I60,0,(COLUMN(D48)-1)*5,1,1))</f>
        <v>1</v>
      </c>
      <c r="F51" s="5">
        <f ca="1">COUNTBLANK(OFFSET(Demand!$I60,0,(COLUMN(E48)-1)*5,1,1))</f>
        <v>1</v>
      </c>
      <c r="G51" s="5">
        <f ca="1">COUNTBLANK(OFFSET(Demand!$I60,0,(COLUMN(F48)-1)*5,1,1))</f>
        <v>1</v>
      </c>
      <c r="H51" s="5">
        <f ca="1">COUNTBLANK(OFFSET(Demand!$I60,0,(COLUMN(G48)-1)*5,1,1))</f>
        <v>1</v>
      </c>
      <c r="I51" s="5">
        <f ca="1">COUNTBLANK(OFFSET(Demand!$I60,0,(COLUMN(H48)-1)*5,1,1))</f>
        <v>1</v>
      </c>
      <c r="J51" s="5">
        <f ca="1">COUNTBLANK(OFFSET(Demand!$I60,0,(COLUMN(I48)-1)*5,1,1))</f>
        <v>1</v>
      </c>
      <c r="K51" s="5">
        <f ca="1">COUNTBLANK(OFFSET(Demand!$I60,0,(COLUMN(J48)-1)*5,1,1))</f>
        <v>1</v>
      </c>
      <c r="N51" s="5">
        <f ca="1">SUM(OFFSET(Demand!$E60,0,(COLUMN(A48)-1)*5,1,3))*N$2</f>
        <v>150</v>
      </c>
      <c r="O51" s="5">
        <f ca="1">SUM(OFFSET(Demand!$E60,0,(COLUMN(B48)-1)*5,1,3))*O$2</f>
        <v>640</v>
      </c>
      <c r="P51" s="5">
        <f ca="1">SUM(OFFSET(Demand!$E60,0,(COLUMN(C48)-1)*5,1,3))*P$2</f>
        <v>0</v>
      </c>
      <c r="Q51" s="5">
        <f ca="1">SUM(OFFSET(Demand!$E60,0,(COLUMN(D48)-1)*5,1,3))*Q$2</f>
        <v>0</v>
      </c>
      <c r="R51" s="5">
        <f ca="1">SUM(OFFSET(Demand!$E60,0,(COLUMN(E48)-1)*5,1,3))*R$2</f>
        <v>0</v>
      </c>
      <c r="S51" s="5">
        <f ca="1">SUM(OFFSET(Demand!$E60,0,(COLUMN(F48)-1)*5,1,3))*S$2</f>
        <v>0</v>
      </c>
      <c r="T51" s="5">
        <f ca="1">SUM(OFFSET(Demand!$E60,0,(COLUMN(G48)-1)*5,1,3))*T$2</f>
        <v>0</v>
      </c>
      <c r="U51" s="5">
        <f ca="1">SUM(OFFSET(Demand!$E60,0,(COLUMN(H48)-1)*5,1,3))*U$2</f>
        <v>0</v>
      </c>
      <c r="V51" s="5">
        <f ca="1">SUM(OFFSET(Demand!$E60,0,(COLUMN(I48)-1)*5,1,3))*V$2</f>
        <v>0</v>
      </c>
      <c r="W51" s="5">
        <f ca="1">SUM(OFFSET(Demand!$E60,0,(COLUMN(J48)-1)*5,1,3))*W$2</f>
        <v>0</v>
      </c>
      <c r="X51" s="5">
        <f t="shared" ca="1" si="4"/>
        <v>790</v>
      </c>
      <c r="Y51" s="5">
        <f t="shared" ca="1" si="5"/>
        <v>790</v>
      </c>
      <c r="Z51" s="5">
        <f ca="1">SUM(OFFSET(Demand!$H60,0,(COLUMN(A48)-1)*5,1,1))*N$2</f>
        <v>0</v>
      </c>
      <c r="AA51" s="5">
        <f ca="1">SUM(OFFSET(Demand!$H60,0,(COLUMN(B48)-1)*5,1,1))*O$2</f>
        <v>0</v>
      </c>
      <c r="AB51" s="5">
        <f ca="1">SUM(OFFSET(Demand!$H60,0,(COLUMN(C48)-1)*5,1,1))*P$2</f>
        <v>0</v>
      </c>
      <c r="AC51" s="5">
        <f ca="1">SUM(OFFSET(Demand!$H60,0,(COLUMN(D48)-1)*5,1,1))*Q$2</f>
        <v>0</v>
      </c>
      <c r="AD51" s="5">
        <f ca="1">SUM(OFFSET(Demand!$H60,0,(COLUMN(E48)-1)*5,1,1))*R$2</f>
        <v>0</v>
      </c>
      <c r="AE51" s="5">
        <f ca="1">SUM(OFFSET(Demand!$H60,0,(COLUMN(F48)-1)*5,1,1))*S$2</f>
        <v>0</v>
      </c>
      <c r="AF51" s="5">
        <f ca="1">SUM(OFFSET(Demand!$H60,0,(COLUMN(G48)-1)*5,1,1))*T$2</f>
        <v>0</v>
      </c>
      <c r="AG51" s="5">
        <f ca="1">SUM(OFFSET(Demand!$H60,0,(COLUMN(H48)-1)*5,1,1))*U$2</f>
        <v>0</v>
      </c>
      <c r="AH51" s="5">
        <f ca="1">SUM(OFFSET(Demand!$H60,0,(COLUMN(I48)-1)*5,1,1))*V$2</f>
        <v>0</v>
      </c>
      <c r="AI51" s="5">
        <f ca="1">SUM(OFFSET(Demand!$H60,0,(COLUMN(J48)-1)*5,1,1))*W$2</f>
        <v>0</v>
      </c>
      <c r="AJ51" s="5">
        <f t="shared" ca="1" si="6"/>
        <v>0</v>
      </c>
      <c r="AL51" s="5">
        <f t="shared" ca="1" si="7"/>
        <v>790</v>
      </c>
      <c r="AM51" s="5">
        <f t="shared" ca="1" si="8"/>
        <v>0</v>
      </c>
      <c r="AN51" s="5" t="str">
        <f>IF(Demand!BE60="Yes","Yes","")</f>
        <v/>
      </c>
      <c r="AP51" s="37" t="str">
        <f ca="1">Demand!B60</f>
        <v xml:space="preserve"> </v>
      </c>
      <c r="AQ51" s="5" t="str">
        <f ca="1">IF(TEXT(Demand!D60,"MMM")&lt;&gt;TEXT(Demand!D59,"MMM"),TEXT(Demand!D60,"MMM"),"")</f>
        <v/>
      </c>
      <c r="AT51" s="5">
        <f t="shared" ca="1" si="10"/>
        <v>310</v>
      </c>
      <c r="BQ51">
        <f ca="1">IF($AN51="",OFFSET(Demand!$A$13,ROW(A48)-1,4+((QUOTIENT(COLUMN(BQ$2)-69,3))*5)+MOD(COLUMN(BQ$2),3),1,1),"")</f>
        <v>0</v>
      </c>
      <c r="BR51">
        <f ca="1">IF($AN51="",OFFSET(Demand!$A$13,ROW(B48)-1,4+((QUOTIENT(COLUMN(BR$2)-69,3))*5)+MOD(COLUMN(BR$2),3),1,1),"")</f>
        <v>3</v>
      </c>
      <c r="BS51">
        <f ca="1">IF($AN51="",OFFSET(Demand!$A$13,ROW(C48)-1,4+((QUOTIENT(COLUMN(BS$2)-69,3))*5)+MOD(COLUMN(BS$2),3),1,1),"")</f>
        <v>2</v>
      </c>
      <c r="BT51">
        <f ca="1">IF($AN51="",OFFSET(Demand!$A$13,ROW(D48)-1,4+((QUOTIENT(COLUMN(BT$2)-69,3))*5)+MOD(COLUMN(BT$2),3),1,1),"")</f>
        <v>0</v>
      </c>
      <c r="BU51">
        <f ca="1">IF($AN51="",OFFSET(Demand!$A$13,ROW(E48)-1,4+((QUOTIENT(COLUMN(BU$2)-69,3))*5)+MOD(COLUMN(BU$2),3),1,1),"")</f>
        <v>4</v>
      </c>
      <c r="BV51">
        <f ca="1">IF($AN51="",OFFSET(Demand!$A$13,ROW(F48)-1,4+((QUOTIENT(COLUMN(BV$2)-69,3))*5)+MOD(COLUMN(BV$2),3),1,1),"")</f>
        <v>12</v>
      </c>
      <c r="BW51">
        <f ca="1">IF($AN51="",OFFSET(Demand!$A$13,ROW(G48)-1,4+((QUOTIENT(COLUMN(BW$2)-69,3))*5)+MOD(COLUMN(BW$2),3),1,1),"")</f>
        <v>0</v>
      </c>
      <c r="BX51">
        <f ca="1">IF($AN51="",OFFSET(Demand!$A$13,ROW(H48)-1,4+((QUOTIENT(COLUMN(BX$2)-69,3))*5)+MOD(COLUMN(BX$2),3),1,1),"")</f>
        <v>0</v>
      </c>
      <c r="BY51">
        <f ca="1">IF($AN51="",OFFSET(Demand!$A$13,ROW(I48)-1,4+((QUOTIENT(COLUMN(BY$2)-69,3))*5)+MOD(COLUMN(BY$2),3),1,1),"")</f>
        <v>0</v>
      </c>
      <c r="BZ51">
        <f ca="1">IF($AN51="",OFFSET(Demand!$A$13,ROW(J48)-1,4+((QUOTIENT(COLUMN(BZ$2)-69,3))*5)+MOD(COLUMN(BZ$2),3),1,1),"")</f>
        <v>0</v>
      </c>
      <c r="CA51">
        <f ca="1">IF($AN51="",OFFSET(Demand!$A$13,ROW(K48)-1,4+((QUOTIENT(COLUMN(CA$2)-69,3))*5)+MOD(COLUMN(CA$2),3),1,1),"")</f>
        <v>0</v>
      </c>
      <c r="CB51">
        <f ca="1">IF($AN51="",OFFSET(Demand!$A$13,ROW(L48)-1,4+((QUOTIENT(COLUMN(CB$2)-69,3))*5)+MOD(COLUMN(CB$2),3),1,1),"")</f>
        <v>0</v>
      </c>
      <c r="CC51">
        <f ca="1">IF($AN51="",OFFSET(Demand!$A$13,ROW(M48)-1,4+((QUOTIENT(COLUMN(CC$2)-69,3))*5)+MOD(COLUMN(CC$2),3),1,1),"")</f>
        <v>0</v>
      </c>
      <c r="CD51">
        <f ca="1">IF($AN51="",OFFSET(Demand!$A$13,ROW(N48)-1,4+((QUOTIENT(COLUMN(CD$2)-69,3))*5)+MOD(COLUMN(CD$2),3),1,1),"")</f>
        <v>0</v>
      </c>
      <c r="CE51">
        <f ca="1">IF($AN51="",OFFSET(Demand!$A$13,ROW(O48)-1,4+((QUOTIENT(COLUMN(CE$2)-69,3))*5)+MOD(COLUMN(CE$2),3),1,1),"")</f>
        <v>0</v>
      </c>
      <c r="CF51">
        <f ca="1">IF($AN51="",OFFSET(Demand!$A$13,ROW(P48)-1,4+((QUOTIENT(COLUMN(CF$2)-69,3))*5)+MOD(COLUMN(CF$2),3),1,1),"")</f>
        <v>0</v>
      </c>
      <c r="CG51">
        <f ca="1">IF($AN51="",OFFSET(Demand!$A$13,ROW(Q48)-1,4+((QUOTIENT(COLUMN(CG$2)-69,3))*5)+MOD(COLUMN(CG$2),3),1,1),"")</f>
        <v>0</v>
      </c>
      <c r="CH51">
        <f ca="1">IF($AN51="",OFFSET(Demand!$A$13,ROW(R48)-1,4+((QUOTIENT(COLUMN(CH$2)-69,3))*5)+MOD(COLUMN(CH$2),3),1,1),"")</f>
        <v>0</v>
      </c>
      <c r="CI51">
        <f ca="1">IF($AN51="",OFFSET(Demand!$A$13,ROW(S48)-1,4+((QUOTIENT(COLUMN(CI$2)-69,3))*5)+MOD(COLUMN(CI$2),3),1,1),"")</f>
        <v>0</v>
      </c>
      <c r="CJ51">
        <f ca="1">IF($AN51="",OFFSET(Demand!$A$13,ROW(T48)-1,4+((QUOTIENT(COLUMN(CJ$2)-69,3))*5)+MOD(COLUMN(CJ$2),3),1,1),"")</f>
        <v>0</v>
      </c>
      <c r="CK51">
        <f ca="1">IF($AN51="",OFFSET(Demand!$A$13,ROW(U48)-1,4+((QUOTIENT(COLUMN(CK$2)-69,3))*5)+MOD(COLUMN(CK$2),3),1,1),"")</f>
        <v>0</v>
      </c>
      <c r="CL51">
        <f ca="1">IF($AN51="",OFFSET(Demand!$A$13,ROW(V48)-1,4+((QUOTIENT(COLUMN(CL$2)-69,3))*5)+MOD(COLUMN(CL$2),3),1,1),"")</f>
        <v>0</v>
      </c>
      <c r="CM51">
        <f ca="1">IF($AN51="",OFFSET(Demand!$A$13,ROW(W48)-1,4+((QUOTIENT(COLUMN(CM$2)-69,3))*5)+MOD(COLUMN(CM$2),3),1,1),"")</f>
        <v>0</v>
      </c>
      <c r="CN51">
        <f ca="1">IF($AN51="",OFFSET(Demand!$A$13,ROW(X48)-1,4+((QUOTIENT(COLUMN(CN$2)-69,3))*5)+MOD(COLUMN(CN$2),3),1,1),"")</f>
        <v>0</v>
      </c>
      <c r="CO51">
        <f ca="1">IF($AN51="",OFFSET(Demand!$A$13,ROW(Y48)-1,4+((QUOTIENT(COLUMN(CO$2)-69,3))*5)+MOD(COLUMN(CO$2),3),1,1),"")</f>
        <v>0</v>
      </c>
      <c r="CP51">
        <f ca="1">IF($AN51="",OFFSET(Demand!$A$13,ROW(Z48)-1,4+((QUOTIENT(COLUMN(CP$2)-69,3))*5)+MOD(COLUMN(CP$2),3),1,1),"")</f>
        <v>0</v>
      </c>
      <c r="CQ51">
        <f ca="1">IF($AN51="",OFFSET(Demand!$A$13,ROW(AA48)-1,4+((QUOTIENT(COLUMN(CQ$2)-69,3))*5)+MOD(COLUMN(CQ$2),3),1,1),"")</f>
        <v>0</v>
      </c>
      <c r="CR51">
        <f ca="1">IF($AN51="",OFFSET(Demand!$A$13,ROW(AB48)-1,4+((QUOTIENT(COLUMN(CR$2)-69,3))*5)+MOD(COLUMN(CR$2),3),1,1),"")</f>
        <v>0</v>
      </c>
      <c r="CS51">
        <f ca="1">IF($AN51="",OFFSET(Demand!$A$13,ROW(AC48)-1,4+((QUOTIENT(COLUMN(CS$2)-69,3))*5)+MOD(COLUMN(CS$2),3),1,1),"")</f>
        <v>0</v>
      </c>
      <c r="CT51">
        <f ca="1">IF($AN51="",OFFSET(Demand!$A$13,ROW(AD48)-1,4+((QUOTIENT(COLUMN(CT$2)-69,3))*5)+MOD(COLUMN(CT$2),3),1,1),"")</f>
        <v>0</v>
      </c>
      <c r="CW51" s="5">
        <f ca="1">SUM(OFFSET(Demand!$H$43,ROW(A48)-1,(COLUMN(A48)-1)*5,1,1))*N$2</f>
        <v>0</v>
      </c>
      <c r="CX51" s="5">
        <f ca="1">SUM(OFFSET(Demand!$H$43,ROW(B48)-1,(COLUMN(B48)-1)*5,1,1))*O$2</f>
        <v>0</v>
      </c>
      <c r="CY51" s="5">
        <f ca="1">SUM(OFFSET(Demand!$H$43,ROW(C48)-1,(COLUMN(C48)-1)*5,1,1))*P$2</f>
        <v>0</v>
      </c>
      <c r="CZ51" s="5">
        <f ca="1">SUM(OFFSET(Demand!$H$43,ROW(D48)-1,(COLUMN(D48)-1)*5,1,1))*Q$2</f>
        <v>0</v>
      </c>
      <c r="DA51" s="5">
        <f ca="1">SUM(OFFSET(Demand!$H$43,ROW(E48)-1,(COLUMN(E48)-1)*5,1,1))*R$2</f>
        <v>0</v>
      </c>
      <c r="DB51" s="5">
        <f ca="1">SUM(OFFSET(Demand!$H$43,ROW(F48)-1,(COLUMN(F48)-1)*5,1,1))*S$2</f>
        <v>0</v>
      </c>
      <c r="DC51" s="5">
        <f ca="1">SUM(OFFSET(Demand!$H$43,ROW(G48)-1,(COLUMN(G48)-1)*5,1,1))*T$2</f>
        <v>0</v>
      </c>
      <c r="DD51" s="5">
        <f ca="1">SUM(OFFSET(Demand!$H$43,ROW(H48)-1,(COLUMN(H48)-1)*5,1,1))*U$2</f>
        <v>0</v>
      </c>
      <c r="DE51" s="5">
        <f ca="1">SUM(OFFSET(Demand!$H$43,ROW(I48)-1,(COLUMN(I48)-1)*5,1,1))*V$2</f>
        <v>0</v>
      </c>
      <c r="DF51" s="5">
        <f ca="1">SUM(OFFSET(Demand!$H$43,ROW(J48)-1,(COLUMN(J48)-1)*5,1,1))*W$2</f>
        <v>0</v>
      </c>
      <c r="DG51" s="5">
        <f t="shared" ca="1" si="9"/>
        <v>0</v>
      </c>
    </row>
    <row r="52" spans="1:111" s="5" customFormat="1" x14ac:dyDescent="0.2">
      <c r="A52" s="5">
        <f t="shared" ca="1" si="29"/>
        <v>0</v>
      </c>
      <c r="B52" s="5">
        <f ca="1">COUNTBLANK(OFFSET(Demand!$I61,0,(COLUMN(A49)-1)*5,1,1))</f>
        <v>0</v>
      </c>
      <c r="C52" s="5">
        <f ca="1">COUNTBLANK(OFFSET(Demand!$I61,0,(COLUMN(B49)-1)*5,1,1))</f>
        <v>0</v>
      </c>
      <c r="D52" s="5">
        <f ca="1">COUNTBLANK(OFFSET(Demand!$I61,0,(COLUMN(C49)-1)*5,1,1))</f>
        <v>1</v>
      </c>
      <c r="E52" s="5">
        <f ca="1">COUNTBLANK(OFFSET(Demand!$I61,0,(COLUMN(D49)-1)*5,1,1))</f>
        <v>1</v>
      </c>
      <c r="F52" s="5">
        <f ca="1">COUNTBLANK(OFFSET(Demand!$I61,0,(COLUMN(E49)-1)*5,1,1))</f>
        <v>1</v>
      </c>
      <c r="G52" s="5">
        <f ca="1">COUNTBLANK(OFFSET(Demand!$I61,0,(COLUMN(F49)-1)*5,1,1))</f>
        <v>1</v>
      </c>
      <c r="H52" s="5">
        <f ca="1">COUNTBLANK(OFFSET(Demand!$I61,0,(COLUMN(G49)-1)*5,1,1))</f>
        <v>1</v>
      </c>
      <c r="I52" s="5">
        <f ca="1">COUNTBLANK(OFFSET(Demand!$I61,0,(COLUMN(H49)-1)*5,1,1))</f>
        <v>1</v>
      </c>
      <c r="J52" s="5">
        <f ca="1">COUNTBLANK(OFFSET(Demand!$I61,0,(COLUMN(I49)-1)*5,1,1))</f>
        <v>1</v>
      </c>
      <c r="K52" s="5">
        <f ca="1">COUNTBLANK(OFFSET(Demand!$I61,0,(COLUMN(J49)-1)*5,1,1))</f>
        <v>1</v>
      </c>
      <c r="N52" s="5">
        <f ca="1">SUM(OFFSET(Demand!$E61,0,(COLUMN(A49)-1)*5,1,3))*N$2</f>
        <v>90</v>
      </c>
      <c r="O52" s="5">
        <f ca="1">SUM(OFFSET(Demand!$E61,0,(COLUMN(B49)-1)*5,1,3))*O$2</f>
        <v>240</v>
      </c>
      <c r="P52" s="5">
        <f ca="1">SUM(OFFSET(Demand!$E61,0,(COLUMN(C49)-1)*5,1,3))*P$2</f>
        <v>0</v>
      </c>
      <c r="Q52" s="5">
        <f ca="1">SUM(OFFSET(Demand!$E61,0,(COLUMN(D49)-1)*5,1,3))*Q$2</f>
        <v>0</v>
      </c>
      <c r="R52" s="5">
        <f ca="1">SUM(OFFSET(Demand!$E61,0,(COLUMN(E49)-1)*5,1,3))*R$2</f>
        <v>0</v>
      </c>
      <c r="S52" s="5">
        <f ca="1">SUM(OFFSET(Demand!$E61,0,(COLUMN(F49)-1)*5,1,3))*S$2</f>
        <v>0</v>
      </c>
      <c r="T52" s="5">
        <f ca="1">SUM(OFFSET(Demand!$E61,0,(COLUMN(G49)-1)*5,1,3))*T$2</f>
        <v>0</v>
      </c>
      <c r="U52" s="5">
        <f ca="1">SUM(OFFSET(Demand!$E61,0,(COLUMN(H49)-1)*5,1,3))*U$2</f>
        <v>0</v>
      </c>
      <c r="V52" s="5">
        <f ca="1">SUM(OFFSET(Demand!$E61,0,(COLUMN(I49)-1)*5,1,3))*V$2</f>
        <v>0</v>
      </c>
      <c r="W52" s="5">
        <f ca="1">SUM(OFFSET(Demand!$E61,0,(COLUMN(J49)-1)*5,1,3))*W$2</f>
        <v>0</v>
      </c>
      <c r="X52" s="5">
        <f t="shared" ca="1" si="4"/>
        <v>330</v>
      </c>
      <c r="Y52" s="5">
        <f t="shared" ca="1" si="5"/>
        <v>330</v>
      </c>
      <c r="Z52" s="5">
        <f ca="1">SUM(OFFSET(Demand!$H61,0,(COLUMN(A49)-1)*5,1,1))*N$2</f>
        <v>0</v>
      </c>
      <c r="AA52" s="5">
        <f ca="1">SUM(OFFSET(Demand!$H61,0,(COLUMN(B49)-1)*5,1,1))*O$2</f>
        <v>0</v>
      </c>
      <c r="AB52" s="5">
        <f ca="1">SUM(OFFSET(Demand!$H61,0,(COLUMN(C49)-1)*5,1,1))*P$2</f>
        <v>0</v>
      </c>
      <c r="AC52" s="5">
        <f ca="1">SUM(OFFSET(Demand!$H61,0,(COLUMN(D49)-1)*5,1,1))*Q$2</f>
        <v>0</v>
      </c>
      <c r="AD52" s="5">
        <f ca="1">SUM(OFFSET(Demand!$H61,0,(COLUMN(E49)-1)*5,1,1))*R$2</f>
        <v>0</v>
      </c>
      <c r="AE52" s="5">
        <f ca="1">SUM(OFFSET(Demand!$H61,0,(COLUMN(F49)-1)*5,1,1))*S$2</f>
        <v>0</v>
      </c>
      <c r="AF52" s="5">
        <f ca="1">SUM(OFFSET(Demand!$H61,0,(COLUMN(G49)-1)*5,1,1))*T$2</f>
        <v>0</v>
      </c>
      <c r="AG52" s="5">
        <f ca="1">SUM(OFFSET(Demand!$H61,0,(COLUMN(H49)-1)*5,1,1))*U$2</f>
        <v>0</v>
      </c>
      <c r="AH52" s="5">
        <f ca="1">SUM(OFFSET(Demand!$H61,0,(COLUMN(I49)-1)*5,1,1))*V$2</f>
        <v>0</v>
      </c>
      <c r="AI52" s="5">
        <f ca="1">SUM(OFFSET(Demand!$H61,0,(COLUMN(J49)-1)*5,1,1))*W$2</f>
        <v>0</v>
      </c>
      <c r="AJ52" s="5">
        <f t="shared" ca="1" si="6"/>
        <v>0</v>
      </c>
      <c r="AL52" s="5">
        <f t="shared" ca="1" si="7"/>
        <v>330</v>
      </c>
      <c r="AM52" s="5">
        <f t="shared" ca="1" si="8"/>
        <v>0</v>
      </c>
      <c r="AN52" s="5" t="str">
        <f>IF(Demand!BE61="Yes","Yes","")</f>
        <v/>
      </c>
      <c r="AP52" s="37" t="str">
        <f ca="1">Demand!B61</f>
        <v xml:space="preserve"> </v>
      </c>
      <c r="AQ52" s="5" t="str">
        <f ca="1">IF(TEXT(Demand!D61,"MMM")&lt;&gt;TEXT(Demand!D60,"MMM"),TEXT(Demand!D61,"MMM"),"")</f>
        <v>Mar</v>
      </c>
      <c r="AT52" s="5">
        <f t="shared" ca="1" si="10"/>
        <v>460</v>
      </c>
      <c r="BQ52">
        <f ca="1">IF($AN52="",OFFSET(Demand!$A$13,ROW(A49)-1,4+((QUOTIENT(COLUMN(BQ$2)-69,3))*5)+MOD(COLUMN(BQ$2),3),1,1),"")</f>
        <v>0</v>
      </c>
      <c r="BR52">
        <f ca="1">IF($AN52="",OFFSET(Demand!$A$13,ROW(B49)-1,4+((QUOTIENT(COLUMN(BR$2)-69,3))*5)+MOD(COLUMN(BR$2),3),1,1),"")</f>
        <v>0</v>
      </c>
      <c r="BS52">
        <f ca="1">IF($AN52="",OFFSET(Demand!$A$13,ROW(C49)-1,4+((QUOTIENT(COLUMN(BS$2)-69,3))*5)+MOD(COLUMN(BS$2),3),1,1),"")</f>
        <v>3</v>
      </c>
      <c r="BT52">
        <f ca="1">IF($AN52="",OFFSET(Demand!$A$13,ROW(D49)-1,4+((QUOTIENT(COLUMN(BT$2)-69,3))*5)+MOD(COLUMN(BT$2),3),1,1),"")</f>
        <v>0</v>
      </c>
      <c r="BU52">
        <f ca="1">IF($AN52="",OFFSET(Demand!$A$13,ROW(E49)-1,4+((QUOTIENT(COLUMN(BU$2)-69,3))*5)+MOD(COLUMN(BU$2),3),1,1),"")</f>
        <v>1</v>
      </c>
      <c r="BV52">
        <f ca="1">IF($AN52="",OFFSET(Demand!$A$13,ROW(F49)-1,4+((QUOTIENT(COLUMN(BV$2)-69,3))*5)+MOD(COLUMN(BV$2),3),1,1),"")</f>
        <v>5</v>
      </c>
      <c r="BW52">
        <f ca="1">IF($AN52="",OFFSET(Demand!$A$13,ROW(G49)-1,4+((QUOTIENT(COLUMN(BW$2)-69,3))*5)+MOD(COLUMN(BW$2),3),1,1),"")</f>
        <v>0</v>
      </c>
      <c r="BX52">
        <f ca="1">IF($AN52="",OFFSET(Demand!$A$13,ROW(H49)-1,4+((QUOTIENT(COLUMN(BX$2)-69,3))*5)+MOD(COLUMN(BX$2),3),1,1),"")</f>
        <v>0</v>
      </c>
      <c r="BY52">
        <f ca="1">IF($AN52="",OFFSET(Demand!$A$13,ROW(I49)-1,4+((QUOTIENT(COLUMN(BY$2)-69,3))*5)+MOD(COLUMN(BY$2),3),1,1),"")</f>
        <v>0</v>
      </c>
      <c r="BZ52">
        <f ca="1">IF($AN52="",OFFSET(Demand!$A$13,ROW(J49)-1,4+((QUOTIENT(COLUMN(BZ$2)-69,3))*5)+MOD(COLUMN(BZ$2),3),1,1),"")</f>
        <v>0</v>
      </c>
      <c r="CA52">
        <f ca="1">IF($AN52="",OFFSET(Demand!$A$13,ROW(K49)-1,4+((QUOTIENT(COLUMN(CA$2)-69,3))*5)+MOD(COLUMN(CA$2),3),1,1),"")</f>
        <v>0</v>
      </c>
      <c r="CB52">
        <f ca="1">IF($AN52="",OFFSET(Demand!$A$13,ROW(L49)-1,4+((QUOTIENT(COLUMN(CB$2)-69,3))*5)+MOD(COLUMN(CB$2),3),1,1),"")</f>
        <v>0</v>
      </c>
      <c r="CC52">
        <f ca="1">IF($AN52="",OFFSET(Demand!$A$13,ROW(M49)-1,4+((QUOTIENT(COLUMN(CC$2)-69,3))*5)+MOD(COLUMN(CC$2),3),1,1),"")</f>
        <v>0</v>
      </c>
      <c r="CD52">
        <f ca="1">IF($AN52="",OFFSET(Demand!$A$13,ROW(N49)-1,4+((QUOTIENT(COLUMN(CD$2)-69,3))*5)+MOD(COLUMN(CD$2),3),1,1),"")</f>
        <v>0</v>
      </c>
      <c r="CE52">
        <f ca="1">IF($AN52="",OFFSET(Demand!$A$13,ROW(O49)-1,4+((QUOTIENT(COLUMN(CE$2)-69,3))*5)+MOD(COLUMN(CE$2),3),1,1),"")</f>
        <v>0</v>
      </c>
      <c r="CF52">
        <f ca="1">IF($AN52="",OFFSET(Demand!$A$13,ROW(P49)-1,4+((QUOTIENT(COLUMN(CF$2)-69,3))*5)+MOD(COLUMN(CF$2),3),1,1),"")</f>
        <v>0</v>
      </c>
      <c r="CG52">
        <f ca="1">IF($AN52="",OFFSET(Demand!$A$13,ROW(Q49)-1,4+((QUOTIENT(COLUMN(CG$2)-69,3))*5)+MOD(COLUMN(CG$2),3),1,1),"")</f>
        <v>0</v>
      </c>
      <c r="CH52">
        <f ca="1">IF($AN52="",OFFSET(Demand!$A$13,ROW(R49)-1,4+((QUOTIENT(COLUMN(CH$2)-69,3))*5)+MOD(COLUMN(CH$2),3),1,1),"")</f>
        <v>0</v>
      </c>
      <c r="CI52">
        <f ca="1">IF($AN52="",OFFSET(Demand!$A$13,ROW(S49)-1,4+((QUOTIENT(COLUMN(CI$2)-69,3))*5)+MOD(COLUMN(CI$2),3),1,1),"")</f>
        <v>0</v>
      </c>
      <c r="CJ52">
        <f ca="1">IF($AN52="",OFFSET(Demand!$A$13,ROW(T49)-1,4+((QUOTIENT(COLUMN(CJ$2)-69,3))*5)+MOD(COLUMN(CJ$2),3),1,1),"")</f>
        <v>0</v>
      </c>
      <c r="CK52">
        <f ca="1">IF($AN52="",OFFSET(Demand!$A$13,ROW(U49)-1,4+((QUOTIENT(COLUMN(CK$2)-69,3))*5)+MOD(COLUMN(CK$2),3),1,1),"")</f>
        <v>0</v>
      </c>
      <c r="CL52">
        <f ca="1">IF($AN52="",OFFSET(Demand!$A$13,ROW(V49)-1,4+((QUOTIENT(COLUMN(CL$2)-69,3))*5)+MOD(COLUMN(CL$2),3),1,1),"")</f>
        <v>0</v>
      </c>
      <c r="CM52">
        <f ca="1">IF($AN52="",OFFSET(Demand!$A$13,ROW(W49)-1,4+((QUOTIENT(COLUMN(CM$2)-69,3))*5)+MOD(COLUMN(CM$2),3),1,1),"")</f>
        <v>0</v>
      </c>
      <c r="CN52">
        <f ca="1">IF($AN52="",OFFSET(Demand!$A$13,ROW(X49)-1,4+((QUOTIENT(COLUMN(CN$2)-69,3))*5)+MOD(COLUMN(CN$2),3),1,1),"")</f>
        <v>0</v>
      </c>
      <c r="CO52">
        <f ca="1">IF($AN52="",OFFSET(Demand!$A$13,ROW(Y49)-1,4+((QUOTIENT(COLUMN(CO$2)-69,3))*5)+MOD(COLUMN(CO$2),3),1,1),"")</f>
        <v>0</v>
      </c>
      <c r="CP52">
        <f ca="1">IF($AN52="",OFFSET(Demand!$A$13,ROW(Z49)-1,4+((QUOTIENT(COLUMN(CP$2)-69,3))*5)+MOD(COLUMN(CP$2),3),1,1),"")</f>
        <v>0</v>
      </c>
      <c r="CQ52">
        <f ca="1">IF($AN52="",OFFSET(Demand!$A$13,ROW(AA49)-1,4+((QUOTIENT(COLUMN(CQ$2)-69,3))*5)+MOD(COLUMN(CQ$2),3),1,1),"")</f>
        <v>0</v>
      </c>
      <c r="CR52">
        <f ca="1">IF($AN52="",OFFSET(Demand!$A$13,ROW(AB49)-1,4+((QUOTIENT(COLUMN(CR$2)-69,3))*5)+MOD(COLUMN(CR$2),3),1,1),"")</f>
        <v>0</v>
      </c>
      <c r="CS52">
        <f ca="1">IF($AN52="",OFFSET(Demand!$A$13,ROW(AC49)-1,4+((QUOTIENT(COLUMN(CS$2)-69,3))*5)+MOD(COLUMN(CS$2),3),1,1),"")</f>
        <v>0</v>
      </c>
      <c r="CT52">
        <f ca="1">IF($AN52="",OFFSET(Demand!$A$13,ROW(AD49)-1,4+((QUOTIENT(COLUMN(CT$2)-69,3))*5)+MOD(COLUMN(CT$2),3),1,1),"")</f>
        <v>0</v>
      </c>
      <c r="CW52" s="5">
        <f ca="1">SUM(OFFSET(Demand!$H$43,ROW(A49)-1,(COLUMN(A49)-1)*5,1,1))*N$2</f>
        <v>0</v>
      </c>
      <c r="CX52" s="5">
        <f ca="1">SUM(OFFSET(Demand!$H$43,ROW(B49)-1,(COLUMN(B49)-1)*5,1,1))*O$2</f>
        <v>0</v>
      </c>
      <c r="CY52" s="5">
        <f ca="1">SUM(OFFSET(Demand!$H$43,ROW(C49)-1,(COLUMN(C49)-1)*5,1,1))*P$2</f>
        <v>0</v>
      </c>
      <c r="CZ52" s="5">
        <f ca="1">SUM(OFFSET(Demand!$H$43,ROW(D49)-1,(COLUMN(D49)-1)*5,1,1))*Q$2</f>
        <v>0</v>
      </c>
      <c r="DA52" s="5">
        <f ca="1">SUM(OFFSET(Demand!$H$43,ROW(E49)-1,(COLUMN(E49)-1)*5,1,1))*R$2</f>
        <v>0</v>
      </c>
      <c r="DB52" s="5">
        <f ca="1">SUM(OFFSET(Demand!$H$43,ROW(F49)-1,(COLUMN(F49)-1)*5,1,1))*S$2</f>
        <v>0</v>
      </c>
      <c r="DC52" s="5">
        <f ca="1">SUM(OFFSET(Demand!$H$43,ROW(G49)-1,(COLUMN(G49)-1)*5,1,1))*T$2</f>
        <v>0</v>
      </c>
      <c r="DD52" s="5">
        <f ca="1">SUM(OFFSET(Demand!$H$43,ROW(H49)-1,(COLUMN(H49)-1)*5,1,1))*U$2</f>
        <v>0</v>
      </c>
      <c r="DE52" s="5">
        <f ca="1">SUM(OFFSET(Demand!$H$43,ROW(I49)-1,(COLUMN(I49)-1)*5,1,1))*V$2</f>
        <v>0</v>
      </c>
      <c r="DF52" s="5">
        <f ca="1">SUM(OFFSET(Demand!$H$43,ROW(J49)-1,(COLUMN(J49)-1)*5,1,1))*W$2</f>
        <v>0</v>
      </c>
      <c r="DG52" s="5">
        <f t="shared" ca="1" si="9"/>
        <v>0</v>
      </c>
    </row>
    <row r="53" spans="1:111" s="5" customFormat="1" x14ac:dyDescent="0.2">
      <c r="A53" s="5">
        <f t="shared" ca="1" si="29"/>
        <v>0</v>
      </c>
      <c r="B53" s="5">
        <f ca="1">COUNTBLANK(OFFSET(Demand!$I62,0,(COLUMN(A50)-1)*5,1,1))</f>
        <v>0</v>
      </c>
      <c r="C53" s="5">
        <f ca="1">COUNTBLANK(OFFSET(Demand!$I62,0,(COLUMN(B50)-1)*5,1,1))</f>
        <v>0</v>
      </c>
      <c r="D53" s="5">
        <f ca="1">COUNTBLANK(OFFSET(Demand!$I62,0,(COLUMN(C50)-1)*5,1,1))</f>
        <v>1</v>
      </c>
      <c r="E53" s="5">
        <f ca="1">COUNTBLANK(OFFSET(Demand!$I62,0,(COLUMN(D50)-1)*5,1,1))</f>
        <v>1</v>
      </c>
      <c r="F53" s="5">
        <f ca="1">COUNTBLANK(OFFSET(Demand!$I62,0,(COLUMN(E50)-1)*5,1,1))</f>
        <v>1</v>
      </c>
      <c r="G53" s="5">
        <f ca="1">COUNTBLANK(OFFSET(Demand!$I62,0,(COLUMN(F50)-1)*5,1,1))</f>
        <v>1</v>
      </c>
      <c r="H53" s="5">
        <f ca="1">COUNTBLANK(OFFSET(Demand!$I62,0,(COLUMN(G50)-1)*5,1,1))</f>
        <v>1</v>
      </c>
      <c r="I53" s="5">
        <f ca="1">COUNTBLANK(OFFSET(Demand!$I62,0,(COLUMN(H50)-1)*5,1,1))</f>
        <v>1</v>
      </c>
      <c r="J53" s="5">
        <f ca="1">COUNTBLANK(OFFSET(Demand!$I62,0,(COLUMN(I50)-1)*5,1,1))</f>
        <v>1</v>
      </c>
      <c r="K53" s="5">
        <f ca="1">COUNTBLANK(OFFSET(Demand!$I62,0,(COLUMN(J50)-1)*5,1,1))</f>
        <v>1</v>
      </c>
      <c r="N53" s="5">
        <f ca="1">SUM(OFFSET(Demand!$E62,0,(COLUMN(A50)-1)*5,1,3))*N$2</f>
        <v>150</v>
      </c>
      <c r="O53" s="5">
        <f ca="1">SUM(OFFSET(Demand!$E62,0,(COLUMN(B50)-1)*5,1,3))*O$2</f>
        <v>440</v>
      </c>
      <c r="P53" s="5">
        <f ca="1">SUM(OFFSET(Demand!$E62,0,(COLUMN(C50)-1)*5,1,3))*P$2</f>
        <v>0</v>
      </c>
      <c r="Q53" s="5">
        <f ca="1">SUM(OFFSET(Demand!$E62,0,(COLUMN(D50)-1)*5,1,3))*Q$2</f>
        <v>0</v>
      </c>
      <c r="R53" s="5">
        <f ca="1">SUM(OFFSET(Demand!$E62,0,(COLUMN(E50)-1)*5,1,3))*R$2</f>
        <v>0</v>
      </c>
      <c r="S53" s="5">
        <f ca="1">SUM(OFFSET(Demand!$E62,0,(COLUMN(F50)-1)*5,1,3))*S$2</f>
        <v>0</v>
      </c>
      <c r="T53" s="5">
        <f ca="1">SUM(OFFSET(Demand!$E62,0,(COLUMN(G50)-1)*5,1,3))*T$2</f>
        <v>0</v>
      </c>
      <c r="U53" s="5">
        <f ca="1">SUM(OFFSET(Demand!$E62,0,(COLUMN(H50)-1)*5,1,3))*U$2</f>
        <v>0</v>
      </c>
      <c r="V53" s="5">
        <f ca="1">SUM(OFFSET(Demand!$E62,0,(COLUMN(I50)-1)*5,1,3))*V$2</f>
        <v>0</v>
      </c>
      <c r="W53" s="5">
        <f ca="1">SUM(OFFSET(Demand!$E62,0,(COLUMN(J50)-1)*5,1,3))*W$2</f>
        <v>0</v>
      </c>
      <c r="X53" s="5">
        <f t="shared" ca="1" si="4"/>
        <v>590</v>
      </c>
      <c r="Y53" s="5">
        <f t="shared" ca="1" si="5"/>
        <v>590</v>
      </c>
      <c r="Z53" s="5">
        <f ca="1">SUM(OFFSET(Demand!$H62,0,(COLUMN(A50)-1)*5,1,1))*N$2</f>
        <v>0</v>
      </c>
      <c r="AA53" s="5">
        <f ca="1">SUM(OFFSET(Demand!$H62,0,(COLUMN(B50)-1)*5,1,1))*O$2</f>
        <v>0</v>
      </c>
      <c r="AB53" s="5">
        <f ca="1">SUM(OFFSET(Demand!$H62,0,(COLUMN(C50)-1)*5,1,1))*P$2</f>
        <v>0</v>
      </c>
      <c r="AC53" s="5">
        <f ca="1">SUM(OFFSET(Demand!$H62,0,(COLUMN(D50)-1)*5,1,1))*Q$2</f>
        <v>0</v>
      </c>
      <c r="AD53" s="5">
        <f ca="1">SUM(OFFSET(Demand!$H62,0,(COLUMN(E50)-1)*5,1,1))*R$2</f>
        <v>0</v>
      </c>
      <c r="AE53" s="5">
        <f ca="1">SUM(OFFSET(Demand!$H62,0,(COLUMN(F50)-1)*5,1,1))*S$2</f>
        <v>0</v>
      </c>
      <c r="AF53" s="5">
        <f ca="1">SUM(OFFSET(Demand!$H62,0,(COLUMN(G50)-1)*5,1,1))*T$2</f>
        <v>0</v>
      </c>
      <c r="AG53" s="5">
        <f ca="1">SUM(OFFSET(Demand!$H62,0,(COLUMN(H50)-1)*5,1,1))*U$2</f>
        <v>0</v>
      </c>
      <c r="AH53" s="5">
        <f ca="1">SUM(OFFSET(Demand!$H62,0,(COLUMN(I50)-1)*5,1,1))*V$2</f>
        <v>0</v>
      </c>
      <c r="AI53" s="5">
        <f ca="1">SUM(OFFSET(Demand!$H62,0,(COLUMN(J50)-1)*5,1,1))*W$2</f>
        <v>0</v>
      </c>
      <c r="AJ53" s="5">
        <f t="shared" ca="1" si="6"/>
        <v>0</v>
      </c>
      <c r="AL53" s="5">
        <f t="shared" ca="1" si="7"/>
        <v>590</v>
      </c>
      <c r="AM53" s="5">
        <f t="shared" ca="1" si="8"/>
        <v>0</v>
      </c>
      <c r="AN53" s="5" t="str">
        <f>IF(Demand!BE62="Yes","Yes","")</f>
        <v/>
      </c>
      <c r="AP53" s="37" t="str">
        <f ca="1">Demand!B62</f>
        <v xml:space="preserve"> </v>
      </c>
      <c r="AQ53" s="5" t="str">
        <f ca="1">IF(TEXT(Demand!D62,"MMM")&lt;&gt;TEXT(Demand!D61,"MMM"),TEXT(Demand!D62,"MMM"),"")</f>
        <v/>
      </c>
      <c r="AT53" s="5">
        <f t="shared" ca="1" si="10"/>
        <v>260</v>
      </c>
      <c r="BQ53">
        <f ca="1">IF($AN53="",OFFSET(Demand!$A$13,ROW(A50)-1,4+((QUOTIENT(COLUMN(BQ$2)-69,3))*5)+MOD(COLUMN(BQ$2),3),1,1),"")</f>
        <v>0</v>
      </c>
      <c r="BR53">
        <f ca="1">IF($AN53="",OFFSET(Demand!$A$13,ROW(B50)-1,4+((QUOTIENT(COLUMN(BR$2)-69,3))*5)+MOD(COLUMN(BR$2),3),1,1),"")</f>
        <v>1</v>
      </c>
      <c r="BS53">
        <f ca="1">IF($AN53="",OFFSET(Demand!$A$13,ROW(C50)-1,4+((QUOTIENT(COLUMN(BS$2)-69,3))*5)+MOD(COLUMN(BS$2),3),1,1),"")</f>
        <v>4</v>
      </c>
      <c r="BT53">
        <f ca="1">IF($AN53="",OFFSET(Demand!$A$13,ROW(D50)-1,4+((QUOTIENT(COLUMN(BT$2)-69,3))*5)+MOD(COLUMN(BT$2),3),1,1),"")</f>
        <v>0</v>
      </c>
      <c r="BU53">
        <f ca="1">IF($AN53="",OFFSET(Demand!$A$13,ROW(E50)-1,4+((QUOTIENT(COLUMN(BU$2)-69,3))*5)+MOD(COLUMN(BU$2),3),1,1),"")</f>
        <v>3</v>
      </c>
      <c r="BV53">
        <f ca="1">IF($AN53="",OFFSET(Demand!$A$13,ROW(F50)-1,4+((QUOTIENT(COLUMN(BV$2)-69,3))*5)+MOD(COLUMN(BV$2),3),1,1),"")</f>
        <v>8</v>
      </c>
      <c r="BW53">
        <f ca="1">IF($AN53="",OFFSET(Demand!$A$13,ROW(G50)-1,4+((QUOTIENT(COLUMN(BW$2)-69,3))*5)+MOD(COLUMN(BW$2),3),1,1),"")</f>
        <v>0</v>
      </c>
      <c r="BX53">
        <f ca="1">IF($AN53="",OFFSET(Demand!$A$13,ROW(H50)-1,4+((QUOTIENT(COLUMN(BX$2)-69,3))*5)+MOD(COLUMN(BX$2),3),1,1),"")</f>
        <v>0</v>
      </c>
      <c r="BY53">
        <f ca="1">IF($AN53="",OFFSET(Demand!$A$13,ROW(I50)-1,4+((QUOTIENT(COLUMN(BY$2)-69,3))*5)+MOD(COLUMN(BY$2),3),1,1),"")</f>
        <v>0</v>
      </c>
      <c r="BZ53">
        <f ca="1">IF($AN53="",OFFSET(Demand!$A$13,ROW(J50)-1,4+((QUOTIENT(COLUMN(BZ$2)-69,3))*5)+MOD(COLUMN(BZ$2),3),1,1),"")</f>
        <v>0</v>
      </c>
      <c r="CA53">
        <f ca="1">IF($AN53="",OFFSET(Demand!$A$13,ROW(K50)-1,4+((QUOTIENT(COLUMN(CA$2)-69,3))*5)+MOD(COLUMN(CA$2),3),1,1),"")</f>
        <v>0</v>
      </c>
      <c r="CB53">
        <f ca="1">IF($AN53="",OFFSET(Demand!$A$13,ROW(L50)-1,4+((QUOTIENT(COLUMN(CB$2)-69,3))*5)+MOD(COLUMN(CB$2),3),1,1),"")</f>
        <v>0</v>
      </c>
      <c r="CC53">
        <f ca="1">IF($AN53="",OFFSET(Demand!$A$13,ROW(M50)-1,4+((QUOTIENT(COLUMN(CC$2)-69,3))*5)+MOD(COLUMN(CC$2),3),1,1),"")</f>
        <v>0</v>
      </c>
      <c r="CD53">
        <f ca="1">IF($AN53="",OFFSET(Demand!$A$13,ROW(N50)-1,4+((QUOTIENT(COLUMN(CD$2)-69,3))*5)+MOD(COLUMN(CD$2),3),1,1),"")</f>
        <v>0</v>
      </c>
      <c r="CE53">
        <f ca="1">IF($AN53="",OFFSET(Demand!$A$13,ROW(O50)-1,4+((QUOTIENT(COLUMN(CE$2)-69,3))*5)+MOD(COLUMN(CE$2),3),1,1),"")</f>
        <v>0</v>
      </c>
      <c r="CF53">
        <f ca="1">IF($AN53="",OFFSET(Demand!$A$13,ROW(P50)-1,4+((QUOTIENT(COLUMN(CF$2)-69,3))*5)+MOD(COLUMN(CF$2),3),1,1),"")</f>
        <v>0</v>
      </c>
      <c r="CG53">
        <f ca="1">IF($AN53="",OFFSET(Demand!$A$13,ROW(Q50)-1,4+((QUOTIENT(COLUMN(CG$2)-69,3))*5)+MOD(COLUMN(CG$2),3),1,1),"")</f>
        <v>0</v>
      </c>
      <c r="CH53">
        <f ca="1">IF($AN53="",OFFSET(Demand!$A$13,ROW(R50)-1,4+((QUOTIENT(COLUMN(CH$2)-69,3))*5)+MOD(COLUMN(CH$2),3),1,1),"")</f>
        <v>0</v>
      </c>
      <c r="CI53">
        <f ca="1">IF($AN53="",OFFSET(Demand!$A$13,ROW(S50)-1,4+((QUOTIENT(COLUMN(CI$2)-69,3))*5)+MOD(COLUMN(CI$2),3),1,1),"")</f>
        <v>0</v>
      </c>
      <c r="CJ53">
        <f ca="1">IF($AN53="",OFFSET(Demand!$A$13,ROW(T50)-1,4+((QUOTIENT(COLUMN(CJ$2)-69,3))*5)+MOD(COLUMN(CJ$2),3),1,1),"")</f>
        <v>0</v>
      </c>
      <c r="CK53">
        <f ca="1">IF($AN53="",OFFSET(Demand!$A$13,ROW(U50)-1,4+((QUOTIENT(COLUMN(CK$2)-69,3))*5)+MOD(COLUMN(CK$2),3),1,1),"")</f>
        <v>0</v>
      </c>
      <c r="CL53">
        <f ca="1">IF($AN53="",OFFSET(Demand!$A$13,ROW(V50)-1,4+((QUOTIENT(COLUMN(CL$2)-69,3))*5)+MOD(COLUMN(CL$2),3),1,1),"")</f>
        <v>0</v>
      </c>
      <c r="CM53">
        <f ca="1">IF($AN53="",OFFSET(Demand!$A$13,ROW(W50)-1,4+((QUOTIENT(COLUMN(CM$2)-69,3))*5)+MOD(COLUMN(CM$2),3),1,1),"")</f>
        <v>0</v>
      </c>
      <c r="CN53">
        <f ca="1">IF($AN53="",OFFSET(Demand!$A$13,ROW(X50)-1,4+((QUOTIENT(COLUMN(CN$2)-69,3))*5)+MOD(COLUMN(CN$2),3),1,1),"")</f>
        <v>0</v>
      </c>
      <c r="CO53">
        <f ca="1">IF($AN53="",OFFSET(Demand!$A$13,ROW(Y50)-1,4+((QUOTIENT(COLUMN(CO$2)-69,3))*5)+MOD(COLUMN(CO$2),3),1,1),"")</f>
        <v>0</v>
      </c>
      <c r="CP53">
        <f ca="1">IF($AN53="",OFFSET(Demand!$A$13,ROW(Z50)-1,4+((QUOTIENT(COLUMN(CP$2)-69,3))*5)+MOD(COLUMN(CP$2),3),1,1),"")</f>
        <v>0</v>
      </c>
      <c r="CQ53">
        <f ca="1">IF($AN53="",OFFSET(Demand!$A$13,ROW(AA50)-1,4+((QUOTIENT(COLUMN(CQ$2)-69,3))*5)+MOD(COLUMN(CQ$2),3),1,1),"")</f>
        <v>0</v>
      </c>
      <c r="CR53">
        <f ca="1">IF($AN53="",OFFSET(Demand!$A$13,ROW(AB50)-1,4+((QUOTIENT(COLUMN(CR$2)-69,3))*5)+MOD(COLUMN(CR$2),3),1,1),"")</f>
        <v>0</v>
      </c>
      <c r="CS53">
        <f ca="1">IF($AN53="",OFFSET(Demand!$A$13,ROW(AC50)-1,4+((QUOTIENT(COLUMN(CS$2)-69,3))*5)+MOD(COLUMN(CS$2),3),1,1),"")</f>
        <v>0</v>
      </c>
      <c r="CT53">
        <f ca="1">IF($AN53="",OFFSET(Demand!$A$13,ROW(AD50)-1,4+((QUOTIENT(COLUMN(CT$2)-69,3))*5)+MOD(COLUMN(CT$2),3),1,1),"")</f>
        <v>0</v>
      </c>
      <c r="CW53" s="5">
        <f ca="1">SUM(OFFSET(Demand!$H$43,ROW(A50)-1,(COLUMN(A50)-1)*5,1,1))*N$2</f>
        <v>0</v>
      </c>
      <c r="CX53" s="5">
        <f ca="1">SUM(OFFSET(Demand!$H$43,ROW(B50)-1,(COLUMN(B50)-1)*5,1,1))*O$2</f>
        <v>0</v>
      </c>
      <c r="CY53" s="5">
        <f ca="1">SUM(OFFSET(Demand!$H$43,ROW(C50)-1,(COLUMN(C50)-1)*5,1,1))*P$2</f>
        <v>0</v>
      </c>
      <c r="CZ53" s="5">
        <f ca="1">SUM(OFFSET(Demand!$H$43,ROW(D50)-1,(COLUMN(D50)-1)*5,1,1))*Q$2</f>
        <v>0</v>
      </c>
      <c r="DA53" s="5">
        <f ca="1">SUM(OFFSET(Demand!$H$43,ROW(E50)-1,(COLUMN(E50)-1)*5,1,1))*R$2</f>
        <v>0</v>
      </c>
      <c r="DB53" s="5">
        <f ca="1">SUM(OFFSET(Demand!$H$43,ROW(F50)-1,(COLUMN(F50)-1)*5,1,1))*S$2</f>
        <v>0</v>
      </c>
      <c r="DC53" s="5">
        <f ca="1">SUM(OFFSET(Demand!$H$43,ROW(G50)-1,(COLUMN(G50)-1)*5,1,1))*T$2</f>
        <v>0</v>
      </c>
      <c r="DD53" s="5">
        <f ca="1">SUM(OFFSET(Demand!$H$43,ROW(H50)-1,(COLUMN(H50)-1)*5,1,1))*U$2</f>
        <v>0</v>
      </c>
      <c r="DE53" s="5">
        <f ca="1">SUM(OFFSET(Demand!$H$43,ROW(I50)-1,(COLUMN(I50)-1)*5,1,1))*V$2</f>
        <v>0</v>
      </c>
      <c r="DF53" s="5">
        <f ca="1">SUM(OFFSET(Demand!$H$43,ROW(J50)-1,(COLUMN(J50)-1)*5,1,1))*W$2</f>
        <v>0</v>
      </c>
      <c r="DG53" s="5">
        <f t="shared" ca="1" si="9"/>
        <v>0</v>
      </c>
    </row>
    <row r="54" spans="1:111" s="5" customFormat="1" x14ac:dyDescent="0.2">
      <c r="A54" s="5">
        <f t="shared" ca="1" si="29"/>
        <v>0</v>
      </c>
      <c r="B54" s="5">
        <f ca="1">COUNTBLANK(OFFSET(Demand!$I63,0,(COLUMN(A51)-1)*5,1,1))</f>
        <v>0</v>
      </c>
      <c r="C54" s="5">
        <f ca="1">COUNTBLANK(OFFSET(Demand!$I63,0,(COLUMN(B51)-1)*5,1,1))</f>
        <v>0</v>
      </c>
      <c r="D54" s="5">
        <f ca="1">COUNTBLANK(OFFSET(Demand!$I63,0,(COLUMN(C51)-1)*5,1,1))</f>
        <v>1</v>
      </c>
      <c r="E54" s="5">
        <f ca="1">COUNTBLANK(OFFSET(Demand!$I63,0,(COLUMN(D51)-1)*5,1,1))</f>
        <v>1</v>
      </c>
      <c r="F54" s="5">
        <f ca="1">COUNTBLANK(OFFSET(Demand!$I63,0,(COLUMN(E51)-1)*5,1,1))</f>
        <v>1</v>
      </c>
      <c r="G54" s="5">
        <f ca="1">COUNTBLANK(OFFSET(Demand!$I63,0,(COLUMN(F51)-1)*5,1,1))</f>
        <v>1</v>
      </c>
      <c r="H54" s="5">
        <f ca="1">COUNTBLANK(OFFSET(Demand!$I63,0,(COLUMN(G51)-1)*5,1,1))</f>
        <v>1</v>
      </c>
      <c r="I54" s="5">
        <f ca="1">COUNTBLANK(OFFSET(Demand!$I63,0,(COLUMN(H51)-1)*5,1,1))</f>
        <v>1</v>
      </c>
      <c r="J54" s="5">
        <f ca="1">COUNTBLANK(OFFSET(Demand!$I63,0,(COLUMN(I51)-1)*5,1,1))</f>
        <v>1</v>
      </c>
      <c r="K54" s="5">
        <f ca="1">COUNTBLANK(OFFSET(Demand!$I63,0,(COLUMN(J51)-1)*5,1,1))</f>
        <v>1</v>
      </c>
      <c r="N54" s="5">
        <f ca="1">SUM(OFFSET(Demand!$E63,0,(COLUMN(A51)-1)*5,1,3))*N$2</f>
        <v>60</v>
      </c>
      <c r="O54" s="5">
        <f ca="1">SUM(OFFSET(Demand!$E63,0,(COLUMN(B51)-1)*5,1,3))*O$2</f>
        <v>360</v>
      </c>
      <c r="P54" s="5">
        <f ca="1">SUM(OFFSET(Demand!$E63,0,(COLUMN(C51)-1)*5,1,3))*P$2</f>
        <v>0</v>
      </c>
      <c r="Q54" s="5">
        <f ca="1">SUM(OFFSET(Demand!$E63,0,(COLUMN(D51)-1)*5,1,3))*Q$2</f>
        <v>0</v>
      </c>
      <c r="R54" s="5">
        <f ca="1">SUM(OFFSET(Demand!$E63,0,(COLUMN(E51)-1)*5,1,3))*R$2</f>
        <v>0</v>
      </c>
      <c r="S54" s="5">
        <f ca="1">SUM(OFFSET(Demand!$E63,0,(COLUMN(F51)-1)*5,1,3))*S$2</f>
        <v>0</v>
      </c>
      <c r="T54" s="5">
        <f ca="1">SUM(OFFSET(Demand!$E63,0,(COLUMN(G51)-1)*5,1,3))*T$2</f>
        <v>0</v>
      </c>
      <c r="U54" s="5">
        <f ca="1">SUM(OFFSET(Demand!$E63,0,(COLUMN(H51)-1)*5,1,3))*U$2</f>
        <v>0</v>
      </c>
      <c r="V54" s="5">
        <f ca="1">SUM(OFFSET(Demand!$E63,0,(COLUMN(I51)-1)*5,1,3))*V$2</f>
        <v>0</v>
      </c>
      <c r="W54" s="5">
        <f ca="1">SUM(OFFSET(Demand!$E63,0,(COLUMN(J51)-1)*5,1,3))*W$2</f>
        <v>0</v>
      </c>
      <c r="X54" s="5">
        <f t="shared" ca="1" si="4"/>
        <v>420</v>
      </c>
      <c r="Y54" s="5">
        <f t="shared" ca="1" si="5"/>
        <v>420</v>
      </c>
      <c r="Z54" s="5">
        <f ca="1">SUM(OFFSET(Demand!$H63,0,(COLUMN(A51)-1)*5,1,1))*N$2</f>
        <v>0</v>
      </c>
      <c r="AA54" s="5">
        <f ca="1">SUM(OFFSET(Demand!$H63,0,(COLUMN(B51)-1)*5,1,1))*O$2</f>
        <v>0</v>
      </c>
      <c r="AB54" s="5">
        <f ca="1">SUM(OFFSET(Demand!$H63,0,(COLUMN(C51)-1)*5,1,1))*P$2</f>
        <v>0</v>
      </c>
      <c r="AC54" s="5">
        <f ca="1">SUM(OFFSET(Demand!$H63,0,(COLUMN(D51)-1)*5,1,1))*Q$2</f>
        <v>0</v>
      </c>
      <c r="AD54" s="5">
        <f ca="1">SUM(OFFSET(Demand!$H63,0,(COLUMN(E51)-1)*5,1,1))*R$2</f>
        <v>0</v>
      </c>
      <c r="AE54" s="5">
        <f ca="1">SUM(OFFSET(Demand!$H63,0,(COLUMN(F51)-1)*5,1,1))*S$2</f>
        <v>0</v>
      </c>
      <c r="AF54" s="5">
        <f ca="1">SUM(OFFSET(Demand!$H63,0,(COLUMN(G51)-1)*5,1,1))*T$2</f>
        <v>0</v>
      </c>
      <c r="AG54" s="5">
        <f ca="1">SUM(OFFSET(Demand!$H63,0,(COLUMN(H51)-1)*5,1,1))*U$2</f>
        <v>0</v>
      </c>
      <c r="AH54" s="5">
        <f ca="1">SUM(OFFSET(Demand!$H63,0,(COLUMN(I51)-1)*5,1,1))*V$2</f>
        <v>0</v>
      </c>
      <c r="AI54" s="5">
        <f ca="1">SUM(OFFSET(Demand!$H63,0,(COLUMN(J51)-1)*5,1,1))*W$2</f>
        <v>0</v>
      </c>
      <c r="AJ54" s="5">
        <f t="shared" ca="1" si="6"/>
        <v>0</v>
      </c>
      <c r="AL54" s="5">
        <f t="shared" ca="1" si="7"/>
        <v>420</v>
      </c>
      <c r="AM54" s="5">
        <f t="shared" ca="1" si="8"/>
        <v>0</v>
      </c>
      <c r="AN54" s="5" t="str">
        <f>IF(Demand!BE63="Yes","Yes","")</f>
        <v/>
      </c>
      <c r="AP54" s="37" t="str">
        <f ca="1">Demand!B63</f>
        <v xml:space="preserve"> </v>
      </c>
      <c r="AQ54" s="5" t="str">
        <f ca="1">IF(TEXT(Demand!D63,"MMM")&lt;&gt;TEXT(Demand!D62,"MMM"),TEXT(Demand!D63,"MMM"),"")</f>
        <v/>
      </c>
      <c r="AT54" s="5">
        <f t="shared" ca="1" si="10"/>
        <v>170</v>
      </c>
      <c r="BQ54">
        <f ca="1">IF($AN54="",OFFSET(Demand!$A$13,ROW(A51)-1,4+((QUOTIENT(COLUMN(BQ$2)-69,3))*5)+MOD(COLUMN(BQ$2),3),1,1),"")</f>
        <v>0</v>
      </c>
      <c r="BR54">
        <f ca="1">IF($AN54="",OFFSET(Demand!$A$13,ROW(B51)-1,4+((QUOTIENT(COLUMN(BR$2)-69,3))*5)+MOD(COLUMN(BR$2),3),1,1),"")</f>
        <v>1</v>
      </c>
      <c r="BS54">
        <f ca="1">IF($AN54="",OFFSET(Demand!$A$13,ROW(C51)-1,4+((QUOTIENT(COLUMN(BS$2)-69,3))*5)+MOD(COLUMN(BS$2),3),1,1),"")</f>
        <v>1</v>
      </c>
      <c r="BT54">
        <f ca="1">IF($AN54="",OFFSET(Demand!$A$13,ROW(D51)-1,4+((QUOTIENT(COLUMN(BT$2)-69,3))*5)+MOD(COLUMN(BT$2),3),1,1),"")</f>
        <v>0</v>
      </c>
      <c r="BU54">
        <f ca="1">IF($AN54="",OFFSET(Demand!$A$13,ROW(E51)-1,4+((QUOTIENT(COLUMN(BU$2)-69,3))*5)+MOD(COLUMN(BU$2),3),1,1),"")</f>
        <v>1</v>
      </c>
      <c r="BV54">
        <f ca="1">IF($AN54="",OFFSET(Demand!$A$13,ROW(F51)-1,4+((QUOTIENT(COLUMN(BV$2)-69,3))*5)+MOD(COLUMN(BV$2),3),1,1),"")</f>
        <v>8</v>
      </c>
      <c r="BW54">
        <f ca="1">IF($AN54="",OFFSET(Demand!$A$13,ROW(G51)-1,4+((QUOTIENT(COLUMN(BW$2)-69,3))*5)+MOD(COLUMN(BW$2),3),1,1),"")</f>
        <v>0</v>
      </c>
      <c r="BX54">
        <f ca="1">IF($AN54="",OFFSET(Demand!$A$13,ROW(H51)-1,4+((QUOTIENT(COLUMN(BX$2)-69,3))*5)+MOD(COLUMN(BX$2),3),1,1),"")</f>
        <v>0</v>
      </c>
      <c r="BY54">
        <f ca="1">IF($AN54="",OFFSET(Demand!$A$13,ROW(I51)-1,4+((QUOTIENT(COLUMN(BY$2)-69,3))*5)+MOD(COLUMN(BY$2),3),1,1),"")</f>
        <v>0</v>
      </c>
      <c r="BZ54">
        <f ca="1">IF($AN54="",OFFSET(Demand!$A$13,ROW(J51)-1,4+((QUOTIENT(COLUMN(BZ$2)-69,3))*5)+MOD(COLUMN(BZ$2),3),1,1),"")</f>
        <v>0</v>
      </c>
      <c r="CA54">
        <f ca="1">IF($AN54="",OFFSET(Demand!$A$13,ROW(K51)-1,4+((QUOTIENT(COLUMN(CA$2)-69,3))*5)+MOD(COLUMN(CA$2),3),1,1),"")</f>
        <v>0</v>
      </c>
      <c r="CB54">
        <f ca="1">IF($AN54="",OFFSET(Demand!$A$13,ROW(L51)-1,4+((QUOTIENT(COLUMN(CB$2)-69,3))*5)+MOD(COLUMN(CB$2),3),1,1),"")</f>
        <v>0</v>
      </c>
      <c r="CC54">
        <f ca="1">IF($AN54="",OFFSET(Demand!$A$13,ROW(M51)-1,4+((QUOTIENT(COLUMN(CC$2)-69,3))*5)+MOD(COLUMN(CC$2),3),1,1),"")</f>
        <v>0</v>
      </c>
      <c r="CD54">
        <f ca="1">IF($AN54="",OFFSET(Demand!$A$13,ROW(N51)-1,4+((QUOTIENT(COLUMN(CD$2)-69,3))*5)+MOD(COLUMN(CD$2),3),1,1),"")</f>
        <v>0</v>
      </c>
      <c r="CE54">
        <f ca="1">IF($AN54="",OFFSET(Demand!$A$13,ROW(O51)-1,4+((QUOTIENT(COLUMN(CE$2)-69,3))*5)+MOD(COLUMN(CE$2),3),1,1),"")</f>
        <v>0</v>
      </c>
      <c r="CF54">
        <f ca="1">IF($AN54="",OFFSET(Demand!$A$13,ROW(P51)-1,4+((QUOTIENT(COLUMN(CF$2)-69,3))*5)+MOD(COLUMN(CF$2),3),1,1),"")</f>
        <v>0</v>
      </c>
      <c r="CG54">
        <f ca="1">IF($AN54="",OFFSET(Demand!$A$13,ROW(Q51)-1,4+((QUOTIENT(COLUMN(CG$2)-69,3))*5)+MOD(COLUMN(CG$2),3),1,1),"")</f>
        <v>0</v>
      </c>
      <c r="CH54">
        <f ca="1">IF($AN54="",OFFSET(Demand!$A$13,ROW(R51)-1,4+((QUOTIENT(COLUMN(CH$2)-69,3))*5)+MOD(COLUMN(CH$2),3),1,1),"")</f>
        <v>0</v>
      </c>
      <c r="CI54">
        <f ca="1">IF($AN54="",OFFSET(Demand!$A$13,ROW(S51)-1,4+((QUOTIENT(COLUMN(CI$2)-69,3))*5)+MOD(COLUMN(CI$2),3),1,1),"")</f>
        <v>0</v>
      </c>
      <c r="CJ54">
        <f ca="1">IF($AN54="",OFFSET(Demand!$A$13,ROW(T51)-1,4+((QUOTIENT(COLUMN(CJ$2)-69,3))*5)+MOD(COLUMN(CJ$2),3),1,1),"")</f>
        <v>0</v>
      </c>
      <c r="CK54">
        <f ca="1">IF($AN54="",OFFSET(Demand!$A$13,ROW(U51)-1,4+((QUOTIENT(COLUMN(CK$2)-69,3))*5)+MOD(COLUMN(CK$2),3),1,1),"")</f>
        <v>0</v>
      </c>
      <c r="CL54">
        <f ca="1">IF($AN54="",OFFSET(Demand!$A$13,ROW(V51)-1,4+((QUOTIENT(COLUMN(CL$2)-69,3))*5)+MOD(COLUMN(CL$2),3),1,1),"")</f>
        <v>0</v>
      </c>
      <c r="CM54">
        <f ca="1">IF($AN54="",OFFSET(Demand!$A$13,ROW(W51)-1,4+((QUOTIENT(COLUMN(CM$2)-69,3))*5)+MOD(COLUMN(CM$2),3),1,1),"")</f>
        <v>0</v>
      </c>
      <c r="CN54">
        <f ca="1">IF($AN54="",OFFSET(Demand!$A$13,ROW(X51)-1,4+((QUOTIENT(COLUMN(CN$2)-69,3))*5)+MOD(COLUMN(CN$2),3),1,1),"")</f>
        <v>0</v>
      </c>
      <c r="CO54">
        <f ca="1">IF($AN54="",OFFSET(Demand!$A$13,ROW(Y51)-1,4+((QUOTIENT(COLUMN(CO$2)-69,3))*5)+MOD(COLUMN(CO$2),3),1,1),"")</f>
        <v>0</v>
      </c>
      <c r="CP54">
        <f ca="1">IF($AN54="",OFFSET(Demand!$A$13,ROW(Z51)-1,4+((QUOTIENT(COLUMN(CP$2)-69,3))*5)+MOD(COLUMN(CP$2),3),1,1),"")</f>
        <v>0</v>
      </c>
      <c r="CQ54">
        <f ca="1">IF($AN54="",OFFSET(Demand!$A$13,ROW(AA51)-1,4+((QUOTIENT(COLUMN(CQ$2)-69,3))*5)+MOD(COLUMN(CQ$2),3),1,1),"")</f>
        <v>0</v>
      </c>
      <c r="CR54">
        <f ca="1">IF($AN54="",OFFSET(Demand!$A$13,ROW(AB51)-1,4+((QUOTIENT(COLUMN(CR$2)-69,3))*5)+MOD(COLUMN(CR$2),3),1,1),"")</f>
        <v>0</v>
      </c>
      <c r="CS54">
        <f ca="1">IF($AN54="",OFFSET(Demand!$A$13,ROW(AC51)-1,4+((QUOTIENT(COLUMN(CS$2)-69,3))*5)+MOD(COLUMN(CS$2),3),1,1),"")</f>
        <v>0</v>
      </c>
      <c r="CT54">
        <f ca="1">IF($AN54="",OFFSET(Demand!$A$13,ROW(AD51)-1,4+((QUOTIENT(COLUMN(CT$2)-69,3))*5)+MOD(COLUMN(CT$2),3),1,1),"")</f>
        <v>0</v>
      </c>
      <c r="CW54" s="5">
        <f ca="1">SUM(OFFSET(Demand!$H$43,ROW(A51)-1,(COLUMN(A51)-1)*5,1,1))*N$2</f>
        <v>0</v>
      </c>
      <c r="CX54" s="5">
        <f ca="1">SUM(OFFSET(Demand!$H$43,ROW(B51)-1,(COLUMN(B51)-1)*5,1,1))*O$2</f>
        <v>0</v>
      </c>
      <c r="CY54" s="5">
        <f ca="1">SUM(OFFSET(Demand!$H$43,ROW(C51)-1,(COLUMN(C51)-1)*5,1,1))*P$2</f>
        <v>0</v>
      </c>
      <c r="CZ54" s="5">
        <f ca="1">SUM(OFFSET(Demand!$H$43,ROW(D51)-1,(COLUMN(D51)-1)*5,1,1))*Q$2</f>
        <v>0</v>
      </c>
      <c r="DA54" s="5">
        <f ca="1">SUM(OFFSET(Demand!$H$43,ROW(E51)-1,(COLUMN(E51)-1)*5,1,1))*R$2</f>
        <v>0</v>
      </c>
      <c r="DB54" s="5">
        <f ca="1">SUM(OFFSET(Demand!$H$43,ROW(F51)-1,(COLUMN(F51)-1)*5,1,1))*S$2</f>
        <v>0</v>
      </c>
      <c r="DC54" s="5">
        <f ca="1">SUM(OFFSET(Demand!$H$43,ROW(G51)-1,(COLUMN(G51)-1)*5,1,1))*T$2</f>
        <v>0</v>
      </c>
      <c r="DD54" s="5">
        <f ca="1">SUM(OFFSET(Demand!$H$43,ROW(H51)-1,(COLUMN(H51)-1)*5,1,1))*U$2</f>
        <v>0</v>
      </c>
      <c r="DE54" s="5">
        <f ca="1">SUM(OFFSET(Demand!$H$43,ROW(I51)-1,(COLUMN(I51)-1)*5,1,1))*V$2</f>
        <v>0</v>
      </c>
      <c r="DF54" s="5">
        <f ca="1">SUM(OFFSET(Demand!$H$43,ROW(J51)-1,(COLUMN(J51)-1)*5,1,1))*W$2</f>
        <v>0</v>
      </c>
      <c r="DG54" s="5">
        <f t="shared" ca="1" si="9"/>
        <v>0</v>
      </c>
    </row>
    <row r="55" spans="1:111" s="5" customFormat="1" x14ac:dyDescent="0.2">
      <c r="A55" s="5">
        <f t="shared" ca="1" si="29"/>
        <v>0</v>
      </c>
      <c r="B55" s="5">
        <f ca="1">COUNTBLANK(OFFSET(Demand!$I64,0,(COLUMN(A52)-1)*5,1,1))</f>
        <v>0</v>
      </c>
      <c r="C55" s="5">
        <f ca="1">COUNTBLANK(OFFSET(Demand!$I64,0,(COLUMN(B52)-1)*5,1,1))</f>
        <v>0</v>
      </c>
      <c r="D55" s="5">
        <f ca="1">COUNTBLANK(OFFSET(Demand!$I64,0,(COLUMN(C52)-1)*5,1,1))</f>
        <v>1</v>
      </c>
      <c r="E55" s="5">
        <f ca="1">COUNTBLANK(OFFSET(Demand!$I64,0,(COLUMN(D52)-1)*5,1,1))</f>
        <v>1</v>
      </c>
      <c r="F55" s="5">
        <f ca="1">COUNTBLANK(OFFSET(Demand!$I64,0,(COLUMN(E52)-1)*5,1,1))</f>
        <v>1</v>
      </c>
      <c r="G55" s="5">
        <f ca="1">COUNTBLANK(OFFSET(Demand!$I64,0,(COLUMN(F52)-1)*5,1,1))</f>
        <v>1</v>
      </c>
      <c r="H55" s="5">
        <f ca="1">COUNTBLANK(OFFSET(Demand!$I64,0,(COLUMN(G52)-1)*5,1,1))</f>
        <v>1</v>
      </c>
      <c r="I55" s="5">
        <f ca="1">COUNTBLANK(OFFSET(Demand!$I64,0,(COLUMN(H52)-1)*5,1,1))</f>
        <v>1</v>
      </c>
      <c r="J55" s="5">
        <f ca="1">COUNTBLANK(OFFSET(Demand!$I64,0,(COLUMN(I52)-1)*5,1,1))</f>
        <v>1</v>
      </c>
      <c r="K55" s="5">
        <f ca="1">COUNTBLANK(OFFSET(Demand!$I64,0,(COLUMN(J52)-1)*5,1,1))</f>
        <v>1</v>
      </c>
      <c r="N55" s="5">
        <f ca="1">SUM(OFFSET(Demand!$E64,0,(COLUMN(A52)-1)*5,1,3))*N$2</f>
        <v>60</v>
      </c>
      <c r="O55" s="5">
        <f ca="1">SUM(OFFSET(Demand!$E64,0,(COLUMN(B52)-1)*5,1,3))*O$2</f>
        <v>720</v>
      </c>
      <c r="P55" s="5">
        <f ca="1">SUM(OFFSET(Demand!$E64,0,(COLUMN(C52)-1)*5,1,3))*P$2</f>
        <v>0</v>
      </c>
      <c r="Q55" s="5">
        <f ca="1">SUM(OFFSET(Demand!$E64,0,(COLUMN(D52)-1)*5,1,3))*Q$2</f>
        <v>0</v>
      </c>
      <c r="R55" s="5">
        <f ca="1">SUM(OFFSET(Demand!$E64,0,(COLUMN(E52)-1)*5,1,3))*R$2</f>
        <v>0</v>
      </c>
      <c r="S55" s="5">
        <f ca="1">SUM(OFFSET(Demand!$E64,0,(COLUMN(F52)-1)*5,1,3))*S$2</f>
        <v>0</v>
      </c>
      <c r="T55" s="5">
        <f ca="1">SUM(OFFSET(Demand!$E64,0,(COLUMN(G52)-1)*5,1,3))*T$2</f>
        <v>0</v>
      </c>
      <c r="U55" s="5">
        <f ca="1">SUM(OFFSET(Demand!$E64,0,(COLUMN(H52)-1)*5,1,3))*U$2</f>
        <v>0</v>
      </c>
      <c r="V55" s="5">
        <f ca="1">SUM(OFFSET(Demand!$E64,0,(COLUMN(I52)-1)*5,1,3))*V$2</f>
        <v>0</v>
      </c>
      <c r="W55" s="5">
        <f ca="1">SUM(OFFSET(Demand!$E64,0,(COLUMN(J52)-1)*5,1,3))*W$2</f>
        <v>0</v>
      </c>
      <c r="X55" s="5">
        <f t="shared" ca="1" si="4"/>
        <v>780</v>
      </c>
      <c r="Y55" s="5">
        <f t="shared" ca="1" si="5"/>
        <v>780</v>
      </c>
      <c r="Z55" s="5">
        <f ca="1">SUM(OFFSET(Demand!$H64,0,(COLUMN(A52)-1)*5,1,1))*N$2</f>
        <v>0</v>
      </c>
      <c r="AA55" s="5">
        <f ca="1">SUM(OFFSET(Demand!$H64,0,(COLUMN(B52)-1)*5,1,1))*O$2</f>
        <v>0</v>
      </c>
      <c r="AB55" s="5">
        <f ca="1">SUM(OFFSET(Demand!$H64,0,(COLUMN(C52)-1)*5,1,1))*P$2</f>
        <v>0</v>
      </c>
      <c r="AC55" s="5">
        <f ca="1">SUM(OFFSET(Demand!$H64,0,(COLUMN(D52)-1)*5,1,1))*Q$2</f>
        <v>0</v>
      </c>
      <c r="AD55" s="5">
        <f ca="1">SUM(OFFSET(Demand!$H64,0,(COLUMN(E52)-1)*5,1,1))*R$2</f>
        <v>0</v>
      </c>
      <c r="AE55" s="5">
        <f ca="1">SUM(OFFSET(Demand!$H64,0,(COLUMN(F52)-1)*5,1,1))*S$2</f>
        <v>0</v>
      </c>
      <c r="AF55" s="5">
        <f ca="1">SUM(OFFSET(Demand!$H64,0,(COLUMN(G52)-1)*5,1,1))*T$2</f>
        <v>0</v>
      </c>
      <c r="AG55" s="5">
        <f ca="1">SUM(OFFSET(Demand!$H64,0,(COLUMN(H52)-1)*5,1,1))*U$2</f>
        <v>0</v>
      </c>
      <c r="AH55" s="5">
        <f ca="1">SUM(OFFSET(Demand!$H64,0,(COLUMN(I52)-1)*5,1,1))*V$2</f>
        <v>0</v>
      </c>
      <c r="AI55" s="5">
        <f ca="1">SUM(OFFSET(Demand!$H64,0,(COLUMN(J52)-1)*5,1,1))*W$2</f>
        <v>0</v>
      </c>
      <c r="AJ55" s="5">
        <f t="shared" ca="1" si="6"/>
        <v>0</v>
      </c>
      <c r="AL55" s="5">
        <f t="shared" ca="1" si="7"/>
        <v>780</v>
      </c>
      <c r="AM55" s="5">
        <f t="shared" ca="1" si="8"/>
        <v>0</v>
      </c>
      <c r="AN55" s="5" t="str">
        <f>IF(Demand!BE64="Yes","Yes","")</f>
        <v/>
      </c>
      <c r="AP55" s="37" t="str">
        <f ca="1">Demand!B64</f>
        <v xml:space="preserve"> </v>
      </c>
      <c r="AQ55" s="5" t="str">
        <f ca="1">IF(TEXT(Demand!D64,"MMM")&lt;&gt;TEXT(Demand!D63,"MMM"),TEXT(Demand!D64,"MMM"),"")</f>
        <v/>
      </c>
      <c r="AT55" s="5">
        <f t="shared" ca="1" si="10"/>
        <v>360</v>
      </c>
      <c r="BQ55">
        <f ca="1">IF($AN55="",OFFSET(Demand!$A$13,ROW(A52)-1,4+((QUOTIENT(COLUMN(BQ$2)-69,3))*5)+MOD(COLUMN(BQ$2),3),1,1),"")</f>
        <v>0</v>
      </c>
      <c r="BR55">
        <f ca="1">IF($AN55="",OFFSET(Demand!$A$13,ROW(B52)-1,4+((QUOTIENT(COLUMN(BR$2)-69,3))*5)+MOD(COLUMN(BR$2),3),1,1),"")</f>
        <v>1</v>
      </c>
      <c r="BS55">
        <f ca="1">IF($AN55="",OFFSET(Demand!$A$13,ROW(C52)-1,4+((QUOTIENT(COLUMN(BS$2)-69,3))*5)+MOD(COLUMN(BS$2),3),1,1),"")</f>
        <v>1</v>
      </c>
      <c r="BT55">
        <f ca="1">IF($AN55="",OFFSET(Demand!$A$13,ROW(D52)-1,4+((QUOTIENT(COLUMN(BT$2)-69,3))*5)+MOD(COLUMN(BT$2),3),1,1),"")</f>
        <v>0</v>
      </c>
      <c r="BU55">
        <f ca="1">IF($AN55="",OFFSET(Demand!$A$13,ROW(E52)-1,4+((QUOTIENT(COLUMN(BU$2)-69,3))*5)+MOD(COLUMN(BU$2),3),1,1),"")</f>
        <v>3</v>
      </c>
      <c r="BV55">
        <f ca="1">IF($AN55="",OFFSET(Demand!$A$13,ROW(F52)-1,4+((QUOTIENT(COLUMN(BV$2)-69,3))*5)+MOD(COLUMN(BV$2),3),1,1),"")</f>
        <v>15</v>
      </c>
      <c r="BW55">
        <f ca="1">IF($AN55="",OFFSET(Demand!$A$13,ROW(G52)-1,4+((QUOTIENT(COLUMN(BW$2)-69,3))*5)+MOD(COLUMN(BW$2),3),1,1),"")</f>
        <v>0</v>
      </c>
      <c r="BX55">
        <f ca="1">IF($AN55="",OFFSET(Demand!$A$13,ROW(H52)-1,4+((QUOTIENT(COLUMN(BX$2)-69,3))*5)+MOD(COLUMN(BX$2),3),1,1),"")</f>
        <v>0</v>
      </c>
      <c r="BY55">
        <f ca="1">IF($AN55="",OFFSET(Demand!$A$13,ROW(I52)-1,4+((QUOTIENT(COLUMN(BY$2)-69,3))*5)+MOD(COLUMN(BY$2),3),1,1),"")</f>
        <v>0</v>
      </c>
      <c r="BZ55">
        <f ca="1">IF($AN55="",OFFSET(Demand!$A$13,ROW(J52)-1,4+((QUOTIENT(COLUMN(BZ$2)-69,3))*5)+MOD(COLUMN(BZ$2),3),1,1),"")</f>
        <v>0</v>
      </c>
      <c r="CA55">
        <f ca="1">IF($AN55="",OFFSET(Demand!$A$13,ROW(K52)-1,4+((QUOTIENT(COLUMN(CA$2)-69,3))*5)+MOD(COLUMN(CA$2),3),1,1),"")</f>
        <v>0</v>
      </c>
      <c r="CB55">
        <f ca="1">IF($AN55="",OFFSET(Demand!$A$13,ROW(L52)-1,4+((QUOTIENT(COLUMN(CB$2)-69,3))*5)+MOD(COLUMN(CB$2),3),1,1),"")</f>
        <v>0</v>
      </c>
      <c r="CC55">
        <f ca="1">IF($AN55="",OFFSET(Demand!$A$13,ROW(M52)-1,4+((QUOTIENT(COLUMN(CC$2)-69,3))*5)+MOD(COLUMN(CC$2),3),1,1),"")</f>
        <v>0</v>
      </c>
      <c r="CD55">
        <f ca="1">IF($AN55="",OFFSET(Demand!$A$13,ROW(N52)-1,4+((QUOTIENT(COLUMN(CD$2)-69,3))*5)+MOD(COLUMN(CD$2),3),1,1),"")</f>
        <v>0</v>
      </c>
      <c r="CE55">
        <f ca="1">IF($AN55="",OFFSET(Demand!$A$13,ROW(O52)-1,4+((QUOTIENT(COLUMN(CE$2)-69,3))*5)+MOD(COLUMN(CE$2),3),1,1),"")</f>
        <v>0</v>
      </c>
      <c r="CF55">
        <f ca="1">IF($AN55="",OFFSET(Demand!$A$13,ROW(P52)-1,4+((QUOTIENT(COLUMN(CF$2)-69,3))*5)+MOD(COLUMN(CF$2),3),1,1),"")</f>
        <v>0</v>
      </c>
      <c r="CG55">
        <f ca="1">IF($AN55="",OFFSET(Demand!$A$13,ROW(Q52)-1,4+((QUOTIENT(COLUMN(CG$2)-69,3))*5)+MOD(COLUMN(CG$2),3),1,1),"")</f>
        <v>0</v>
      </c>
      <c r="CH55">
        <f ca="1">IF($AN55="",OFFSET(Demand!$A$13,ROW(R52)-1,4+((QUOTIENT(COLUMN(CH$2)-69,3))*5)+MOD(COLUMN(CH$2),3),1,1),"")</f>
        <v>0</v>
      </c>
      <c r="CI55">
        <f ca="1">IF($AN55="",OFFSET(Demand!$A$13,ROW(S52)-1,4+((QUOTIENT(COLUMN(CI$2)-69,3))*5)+MOD(COLUMN(CI$2),3),1,1),"")</f>
        <v>0</v>
      </c>
      <c r="CJ55">
        <f ca="1">IF($AN55="",OFFSET(Demand!$A$13,ROW(T52)-1,4+((QUOTIENT(COLUMN(CJ$2)-69,3))*5)+MOD(COLUMN(CJ$2),3),1,1),"")</f>
        <v>0</v>
      </c>
      <c r="CK55">
        <f ca="1">IF($AN55="",OFFSET(Demand!$A$13,ROW(U52)-1,4+((QUOTIENT(COLUMN(CK$2)-69,3))*5)+MOD(COLUMN(CK$2),3),1,1),"")</f>
        <v>0</v>
      </c>
      <c r="CL55">
        <f ca="1">IF($AN55="",OFFSET(Demand!$A$13,ROW(V52)-1,4+((QUOTIENT(COLUMN(CL$2)-69,3))*5)+MOD(COLUMN(CL$2),3),1,1),"")</f>
        <v>0</v>
      </c>
      <c r="CM55">
        <f ca="1">IF($AN55="",OFFSET(Demand!$A$13,ROW(W52)-1,4+((QUOTIENT(COLUMN(CM$2)-69,3))*5)+MOD(COLUMN(CM$2),3),1,1),"")</f>
        <v>0</v>
      </c>
      <c r="CN55">
        <f ca="1">IF($AN55="",OFFSET(Demand!$A$13,ROW(X52)-1,4+((QUOTIENT(COLUMN(CN$2)-69,3))*5)+MOD(COLUMN(CN$2),3),1,1),"")</f>
        <v>0</v>
      </c>
      <c r="CO55">
        <f ca="1">IF($AN55="",OFFSET(Demand!$A$13,ROW(Y52)-1,4+((QUOTIENT(COLUMN(CO$2)-69,3))*5)+MOD(COLUMN(CO$2),3),1,1),"")</f>
        <v>0</v>
      </c>
      <c r="CP55">
        <f ca="1">IF($AN55="",OFFSET(Demand!$A$13,ROW(Z52)-1,4+((QUOTIENT(COLUMN(CP$2)-69,3))*5)+MOD(COLUMN(CP$2),3),1,1),"")</f>
        <v>0</v>
      </c>
      <c r="CQ55">
        <f ca="1">IF($AN55="",OFFSET(Demand!$A$13,ROW(AA52)-1,4+((QUOTIENT(COLUMN(CQ$2)-69,3))*5)+MOD(COLUMN(CQ$2),3),1,1),"")</f>
        <v>0</v>
      </c>
      <c r="CR55">
        <f ca="1">IF($AN55="",OFFSET(Demand!$A$13,ROW(AB52)-1,4+((QUOTIENT(COLUMN(CR$2)-69,3))*5)+MOD(COLUMN(CR$2),3),1,1),"")</f>
        <v>0</v>
      </c>
      <c r="CS55">
        <f ca="1">IF($AN55="",OFFSET(Demand!$A$13,ROW(AC52)-1,4+((QUOTIENT(COLUMN(CS$2)-69,3))*5)+MOD(COLUMN(CS$2),3),1,1),"")</f>
        <v>0</v>
      </c>
      <c r="CT55">
        <f ca="1">IF($AN55="",OFFSET(Demand!$A$13,ROW(AD52)-1,4+((QUOTIENT(COLUMN(CT$2)-69,3))*5)+MOD(COLUMN(CT$2),3),1,1),"")</f>
        <v>0</v>
      </c>
      <c r="CW55" s="5">
        <f ca="1">SUM(OFFSET(Demand!$H$43,ROW(A52)-1,(COLUMN(A52)-1)*5,1,1))*N$2</f>
        <v>0</v>
      </c>
      <c r="CX55" s="5">
        <f ca="1">SUM(OFFSET(Demand!$H$43,ROW(B52)-1,(COLUMN(B52)-1)*5,1,1))*O$2</f>
        <v>0</v>
      </c>
      <c r="CY55" s="5">
        <f ca="1">SUM(OFFSET(Demand!$H$43,ROW(C52)-1,(COLUMN(C52)-1)*5,1,1))*P$2</f>
        <v>0</v>
      </c>
      <c r="CZ55" s="5">
        <f ca="1">SUM(OFFSET(Demand!$H$43,ROW(D52)-1,(COLUMN(D52)-1)*5,1,1))*Q$2</f>
        <v>0</v>
      </c>
      <c r="DA55" s="5">
        <f ca="1">SUM(OFFSET(Demand!$H$43,ROW(E52)-1,(COLUMN(E52)-1)*5,1,1))*R$2</f>
        <v>0</v>
      </c>
      <c r="DB55" s="5">
        <f ca="1">SUM(OFFSET(Demand!$H$43,ROW(F52)-1,(COLUMN(F52)-1)*5,1,1))*S$2</f>
        <v>0</v>
      </c>
      <c r="DC55" s="5">
        <f ca="1">SUM(OFFSET(Demand!$H$43,ROW(G52)-1,(COLUMN(G52)-1)*5,1,1))*T$2</f>
        <v>0</v>
      </c>
      <c r="DD55" s="5">
        <f ca="1">SUM(OFFSET(Demand!$H$43,ROW(H52)-1,(COLUMN(H52)-1)*5,1,1))*U$2</f>
        <v>0</v>
      </c>
      <c r="DE55" s="5">
        <f ca="1">SUM(OFFSET(Demand!$H$43,ROW(I52)-1,(COLUMN(I52)-1)*5,1,1))*V$2</f>
        <v>0</v>
      </c>
      <c r="DF55" s="5">
        <f ca="1">SUM(OFFSET(Demand!$H$43,ROW(J52)-1,(COLUMN(J52)-1)*5,1,1))*W$2</f>
        <v>0</v>
      </c>
      <c r="DG55" s="5">
        <f t="shared" ca="1" si="9"/>
        <v>0</v>
      </c>
    </row>
    <row r="56" spans="1:111" x14ac:dyDescent="0.2">
      <c r="A56" s="5">
        <f t="shared" ref="A56:A119" ca="1" si="30">SUM(OFFSET(B56,0,0,1,Num_Modalities))</f>
        <v>0</v>
      </c>
      <c r="B56" s="5">
        <f ca="1">COUNTBLANK(OFFSET(Demand!$I65,0,(COLUMN(A53)-1)*5,1,1))</f>
        <v>0</v>
      </c>
      <c r="C56" s="5">
        <f ca="1">COUNTBLANK(OFFSET(Demand!$I65,0,(COLUMN(B53)-1)*5,1,1))</f>
        <v>0</v>
      </c>
      <c r="D56" s="5">
        <f ca="1">COUNTBLANK(OFFSET(Demand!$I65,0,(COLUMN(C53)-1)*5,1,1))</f>
        <v>1</v>
      </c>
      <c r="E56" s="5">
        <f ca="1">COUNTBLANK(OFFSET(Demand!$I65,0,(COLUMN(D53)-1)*5,1,1))</f>
        <v>1</v>
      </c>
      <c r="F56" s="5">
        <f ca="1">COUNTBLANK(OFFSET(Demand!$I65,0,(COLUMN(E53)-1)*5,1,1))</f>
        <v>1</v>
      </c>
      <c r="G56" s="5">
        <f ca="1">COUNTBLANK(OFFSET(Demand!$I65,0,(COLUMN(F53)-1)*5,1,1))</f>
        <v>1</v>
      </c>
      <c r="H56" s="5">
        <f ca="1">COUNTBLANK(OFFSET(Demand!$I65,0,(COLUMN(G53)-1)*5,1,1))</f>
        <v>1</v>
      </c>
      <c r="I56" s="5">
        <f ca="1">COUNTBLANK(OFFSET(Demand!$I65,0,(COLUMN(H53)-1)*5,1,1))</f>
        <v>1</v>
      </c>
      <c r="J56" s="5">
        <f ca="1">COUNTBLANK(OFFSET(Demand!$I65,0,(COLUMN(I53)-1)*5,1,1))</f>
        <v>1</v>
      </c>
      <c r="K56" s="5">
        <f ca="1">COUNTBLANK(OFFSET(Demand!$I65,0,(COLUMN(J53)-1)*5,1,1))</f>
        <v>1</v>
      </c>
      <c r="N56" s="5">
        <f ca="1">SUM(OFFSET(Demand!$E65,0,(COLUMN(A53)-1)*5,1,3))*N$2</f>
        <v>90</v>
      </c>
      <c r="O56" s="5">
        <f ca="1">SUM(OFFSET(Demand!$E65,0,(COLUMN(B53)-1)*5,1,3))*O$2</f>
        <v>280</v>
      </c>
      <c r="P56" s="5">
        <f ca="1">SUM(OFFSET(Demand!$E65,0,(COLUMN(C53)-1)*5,1,3))*P$2</f>
        <v>0</v>
      </c>
      <c r="Q56" s="5">
        <f ca="1">SUM(OFFSET(Demand!$E65,0,(COLUMN(D53)-1)*5,1,3))*Q$2</f>
        <v>0</v>
      </c>
      <c r="R56" s="5">
        <f ca="1">SUM(OFFSET(Demand!$E65,0,(COLUMN(E53)-1)*5,1,3))*R$2</f>
        <v>0</v>
      </c>
      <c r="S56" s="5">
        <f ca="1">SUM(OFFSET(Demand!$E65,0,(COLUMN(F53)-1)*5,1,3))*S$2</f>
        <v>0</v>
      </c>
      <c r="T56" s="5">
        <f ca="1">SUM(OFFSET(Demand!$E65,0,(COLUMN(G53)-1)*5,1,3))*T$2</f>
        <v>0</v>
      </c>
      <c r="U56" s="5">
        <f ca="1">SUM(OFFSET(Demand!$E65,0,(COLUMN(H53)-1)*5,1,3))*U$2</f>
        <v>0</v>
      </c>
      <c r="V56" s="5">
        <f ca="1">SUM(OFFSET(Demand!$E65,0,(COLUMN(I53)-1)*5,1,3))*V$2</f>
        <v>0</v>
      </c>
      <c r="W56" s="5">
        <f ca="1">SUM(OFFSET(Demand!$E65,0,(COLUMN(J53)-1)*5,1,3))*W$2</f>
        <v>0</v>
      </c>
      <c r="X56" s="5">
        <f t="shared" ca="1" si="4"/>
        <v>370</v>
      </c>
      <c r="Y56">
        <f t="shared" ca="1" si="5"/>
        <v>370</v>
      </c>
      <c r="Z56" s="5">
        <f ca="1">SUM(OFFSET(Demand!$H65,0,(COLUMN(A53)-1)*5,1,1))*N$2</f>
        <v>0</v>
      </c>
      <c r="AA56" s="5">
        <f ca="1">SUM(OFFSET(Demand!$H65,0,(COLUMN(B53)-1)*5,1,1))*O$2</f>
        <v>0</v>
      </c>
      <c r="AB56" s="5">
        <f ca="1">SUM(OFFSET(Demand!$H65,0,(COLUMN(C53)-1)*5,1,1))*P$2</f>
        <v>0</v>
      </c>
      <c r="AC56" s="5">
        <f ca="1">SUM(OFFSET(Demand!$H65,0,(COLUMN(D53)-1)*5,1,1))*Q$2</f>
        <v>0</v>
      </c>
      <c r="AD56" s="5">
        <f ca="1">SUM(OFFSET(Demand!$H65,0,(COLUMN(E53)-1)*5,1,1))*R$2</f>
        <v>0</v>
      </c>
      <c r="AE56" s="5">
        <f ca="1">SUM(OFFSET(Demand!$H65,0,(COLUMN(F53)-1)*5,1,1))*S$2</f>
        <v>0</v>
      </c>
      <c r="AF56" s="5">
        <f ca="1">SUM(OFFSET(Demand!$H65,0,(COLUMN(G53)-1)*5,1,1))*T$2</f>
        <v>0</v>
      </c>
      <c r="AG56" s="5">
        <f ca="1">SUM(OFFSET(Demand!$H65,0,(COLUMN(H53)-1)*5,1,1))*U$2</f>
        <v>0</v>
      </c>
      <c r="AH56" s="5">
        <f ca="1">SUM(OFFSET(Demand!$H65,0,(COLUMN(I53)-1)*5,1,1))*V$2</f>
        <v>0</v>
      </c>
      <c r="AI56" s="5">
        <f ca="1">SUM(OFFSET(Demand!$H65,0,(COLUMN(J53)-1)*5,1,1))*W$2</f>
        <v>0</v>
      </c>
      <c r="AJ56" s="5">
        <f t="shared" ca="1" si="6"/>
        <v>0</v>
      </c>
      <c r="AL56" s="5">
        <f t="shared" ca="1" si="7"/>
        <v>370</v>
      </c>
      <c r="AM56" s="5">
        <f t="shared" ca="1" si="8"/>
        <v>0</v>
      </c>
      <c r="AN56" s="5" t="str">
        <f>IF(Demand!BE65="Yes","Yes","")</f>
        <v/>
      </c>
      <c r="AP56" s="37" t="str">
        <f ca="1">Demand!B65</f>
        <v xml:space="preserve"> </v>
      </c>
      <c r="AQ56" t="str">
        <f ca="1">IF(TEXT(Demand!D65,"MMM")&lt;&gt;TEXT(Demand!D64,"MMM"),TEXT(Demand!D65,"MMM"),"")</f>
        <v/>
      </c>
      <c r="AT56" s="5">
        <f t="shared" ca="1" si="10"/>
        <v>410</v>
      </c>
      <c r="BQ56">
        <f ca="1">IF($AN56="",OFFSET(Demand!$A$13,ROW(A53)-1,4+((QUOTIENT(COLUMN(BQ$2)-69,3))*5)+MOD(COLUMN(BQ$2),3),1,1),"")</f>
        <v>0</v>
      </c>
      <c r="BR56">
        <f ca="1">IF($AN56="",OFFSET(Demand!$A$13,ROW(B53)-1,4+((QUOTIENT(COLUMN(BR$2)-69,3))*5)+MOD(COLUMN(BR$2),3),1,1),"")</f>
        <v>1</v>
      </c>
      <c r="BS56">
        <f ca="1">IF($AN56="",OFFSET(Demand!$A$13,ROW(C53)-1,4+((QUOTIENT(COLUMN(BS$2)-69,3))*5)+MOD(COLUMN(BS$2),3),1,1),"")</f>
        <v>2</v>
      </c>
      <c r="BT56">
        <f ca="1">IF($AN56="",OFFSET(Demand!$A$13,ROW(D53)-1,4+((QUOTIENT(COLUMN(BT$2)-69,3))*5)+MOD(COLUMN(BT$2),3),1,1),"")</f>
        <v>0</v>
      </c>
      <c r="BU56">
        <f ca="1">IF($AN56="",OFFSET(Demand!$A$13,ROW(E53)-1,4+((QUOTIENT(COLUMN(BU$2)-69,3))*5)+MOD(COLUMN(BU$2),3),1,1),"")</f>
        <v>0</v>
      </c>
      <c r="BV56">
        <f ca="1">IF($AN56="",OFFSET(Demand!$A$13,ROW(F53)-1,4+((QUOTIENT(COLUMN(BV$2)-69,3))*5)+MOD(COLUMN(BV$2),3),1,1),"")</f>
        <v>7</v>
      </c>
      <c r="BW56">
        <f ca="1">IF($AN56="",OFFSET(Demand!$A$13,ROW(G53)-1,4+((QUOTIENT(COLUMN(BW$2)-69,3))*5)+MOD(COLUMN(BW$2),3),1,1),"")</f>
        <v>0</v>
      </c>
      <c r="BX56">
        <f ca="1">IF($AN56="",OFFSET(Demand!$A$13,ROW(H53)-1,4+((QUOTIENT(COLUMN(BX$2)-69,3))*5)+MOD(COLUMN(BX$2),3),1,1),"")</f>
        <v>0</v>
      </c>
      <c r="BY56">
        <f ca="1">IF($AN56="",OFFSET(Demand!$A$13,ROW(I53)-1,4+((QUOTIENT(COLUMN(BY$2)-69,3))*5)+MOD(COLUMN(BY$2),3),1,1),"")</f>
        <v>0</v>
      </c>
      <c r="BZ56">
        <f ca="1">IF($AN56="",OFFSET(Demand!$A$13,ROW(J53)-1,4+((QUOTIENT(COLUMN(BZ$2)-69,3))*5)+MOD(COLUMN(BZ$2),3),1,1),"")</f>
        <v>0</v>
      </c>
      <c r="CA56">
        <f ca="1">IF($AN56="",OFFSET(Demand!$A$13,ROW(K53)-1,4+((QUOTIENT(COLUMN(CA$2)-69,3))*5)+MOD(COLUMN(CA$2),3),1,1),"")</f>
        <v>0</v>
      </c>
      <c r="CB56">
        <f ca="1">IF($AN56="",OFFSET(Demand!$A$13,ROW(L53)-1,4+((QUOTIENT(COLUMN(CB$2)-69,3))*5)+MOD(COLUMN(CB$2),3),1,1),"")</f>
        <v>0</v>
      </c>
      <c r="CC56">
        <f ca="1">IF($AN56="",OFFSET(Demand!$A$13,ROW(M53)-1,4+((QUOTIENT(COLUMN(CC$2)-69,3))*5)+MOD(COLUMN(CC$2),3),1,1),"")</f>
        <v>0</v>
      </c>
      <c r="CD56">
        <f ca="1">IF($AN56="",OFFSET(Demand!$A$13,ROW(N53)-1,4+((QUOTIENT(COLUMN(CD$2)-69,3))*5)+MOD(COLUMN(CD$2),3),1,1),"")</f>
        <v>0</v>
      </c>
      <c r="CE56">
        <f ca="1">IF($AN56="",OFFSET(Demand!$A$13,ROW(O53)-1,4+((QUOTIENT(COLUMN(CE$2)-69,3))*5)+MOD(COLUMN(CE$2),3),1,1),"")</f>
        <v>0</v>
      </c>
      <c r="CF56">
        <f ca="1">IF($AN56="",OFFSET(Demand!$A$13,ROW(P53)-1,4+((QUOTIENT(COLUMN(CF$2)-69,3))*5)+MOD(COLUMN(CF$2),3),1,1),"")</f>
        <v>0</v>
      </c>
      <c r="CG56">
        <f ca="1">IF($AN56="",OFFSET(Demand!$A$13,ROW(Q53)-1,4+((QUOTIENT(COLUMN(CG$2)-69,3))*5)+MOD(COLUMN(CG$2),3),1,1),"")</f>
        <v>0</v>
      </c>
      <c r="CH56">
        <f ca="1">IF($AN56="",OFFSET(Demand!$A$13,ROW(R53)-1,4+((QUOTIENT(COLUMN(CH$2)-69,3))*5)+MOD(COLUMN(CH$2),3),1,1),"")</f>
        <v>0</v>
      </c>
      <c r="CI56">
        <f ca="1">IF($AN56="",OFFSET(Demand!$A$13,ROW(S53)-1,4+((QUOTIENT(COLUMN(CI$2)-69,3))*5)+MOD(COLUMN(CI$2),3),1,1),"")</f>
        <v>0</v>
      </c>
      <c r="CJ56">
        <f ca="1">IF($AN56="",OFFSET(Demand!$A$13,ROW(T53)-1,4+((QUOTIENT(COLUMN(CJ$2)-69,3))*5)+MOD(COLUMN(CJ$2),3),1,1),"")</f>
        <v>0</v>
      </c>
      <c r="CK56">
        <f ca="1">IF($AN56="",OFFSET(Demand!$A$13,ROW(U53)-1,4+((QUOTIENT(COLUMN(CK$2)-69,3))*5)+MOD(COLUMN(CK$2),3),1,1),"")</f>
        <v>0</v>
      </c>
      <c r="CL56">
        <f ca="1">IF($AN56="",OFFSET(Demand!$A$13,ROW(V53)-1,4+((QUOTIENT(COLUMN(CL$2)-69,3))*5)+MOD(COLUMN(CL$2),3),1,1),"")</f>
        <v>0</v>
      </c>
      <c r="CM56">
        <f ca="1">IF($AN56="",OFFSET(Demand!$A$13,ROW(W53)-1,4+((QUOTIENT(COLUMN(CM$2)-69,3))*5)+MOD(COLUMN(CM$2),3),1,1),"")</f>
        <v>0</v>
      </c>
      <c r="CN56">
        <f ca="1">IF($AN56="",OFFSET(Demand!$A$13,ROW(X53)-1,4+((QUOTIENT(COLUMN(CN$2)-69,3))*5)+MOD(COLUMN(CN$2),3),1,1),"")</f>
        <v>0</v>
      </c>
      <c r="CO56">
        <f ca="1">IF($AN56="",OFFSET(Demand!$A$13,ROW(Y53)-1,4+((QUOTIENT(COLUMN(CO$2)-69,3))*5)+MOD(COLUMN(CO$2),3),1,1),"")</f>
        <v>0</v>
      </c>
      <c r="CP56">
        <f ca="1">IF($AN56="",OFFSET(Demand!$A$13,ROW(Z53)-1,4+((QUOTIENT(COLUMN(CP$2)-69,3))*5)+MOD(COLUMN(CP$2),3),1,1),"")</f>
        <v>0</v>
      </c>
      <c r="CQ56">
        <f ca="1">IF($AN56="",OFFSET(Demand!$A$13,ROW(AA53)-1,4+((QUOTIENT(COLUMN(CQ$2)-69,3))*5)+MOD(COLUMN(CQ$2),3),1,1),"")</f>
        <v>0</v>
      </c>
      <c r="CR56">
        <f ca="1">IF($AN56="",OFFSET(Demand!$A$13,ROW(AB53)-1,4+((QUOTIENT(COLUMN(CR$2)-69,3))*5)+MOD(COLUMN(CR$2),3),1,1),"")</f>
        <v>0</v>
      </c>
      <c r="CS56">
        <f ca="1">IF($AN56="",OFFSET(Demand!$A$13,ROW(AC53)-1,4+((QUOTIENT(COLUMN(CS$2)-69,3))*5)+MOD(COLUMN(CS$2),3),1,1),"")</f>
        <v>0</v>
      </c>
      <c r="CT56">
        <f ca="1">IF($AN56="",OFFSET(Demand!$A$13,ROW(AD53)-1,4+((QUOTIENT(COLUMN(CT$2)-69,3))*5)+MOD(COLUMN(CT$2),3),1,1),"")</f>
        <v>0</v>
      </c>
      <c r="CW56" s="5">
        <f ca="1">SUM(OFFSET(Demand!$H$43,ROW(A53)-1,(COLUMN(A53)-1)*5,1,1))*N$2</f>
        <v>0</v>
      </c>
      <c r="CX56" s="5">
        <f ca="1">SUM(OFFSET(Demand!$H$43,ROW(B53)-1,(COLUMN(B53)-1)*5,1,1))*O$2</f>
        <v>0</v>
      </c>
      <c r="CY56" s="5">
        <f ca="1">SUM(OFFSET(Demand!$H$43,ROW(C53)-1,(COLUMN(C53)-1)*5,1,1))*P$2</f>
        <v>0</v>
      </c>
      <c r="CZ56" s="5">
        <f ca="1">SUM(OFFSET(Demand!$H$43,ROW(D53)-1,(COLUMN(D53)-1)*5,1,1))*Q$2</f>
        <v>0</v>
      </c>
      <c r="DA56" s="5">
        <f ca="1">SUM(OFFSET(Demand!$H$43,ROW(E53)-1,(COLUMN(E53)-1)*5,1,1))*R$2</f>
        <v>0</v>
      </c>
      <c r="DB56" s="5">
        <f ca="1">SUM(OFFSET(Demand!$H$43,ROW(F53)-1,(COLUMN(F53)-1)*5,1,1))*S$2</f>
        <v>0</v>
      </c>
      <c r="DC56" s="5">
        <f ca="1">SUM(OFFSET(Demand!$H$43,ROW(G53)-1,(COLUMN(G53)-1)*5,1,1))*T$2</f>
        <v>0</v>
      </c>
      <c r="DD56" s="5">
        <f ca="1">SUM(OFFSET(Demand!$H$43,ROW(H53)-1,(COLUMN(H53)-1)*5,1,1))*U$2</f>
        <v>0</v>
      </c>
      <c r="DE56" s="5">
        <f ca="1">SUM(OFFSET(Demand!$H$43,ROW(I53)-1,(COLUMN(I53)-1)*5,1,1))*V$2</f>
        <v>0</v>
      </c>
      <c r="DF56" s="5">
        <f ca="1">SUM(OFFSET(Demand!$H$43,ROW(J53)-1,(COLUMN(J53)-1)*5,1,1))*W$2</f>
        <v>0</v>
      </c>
      <c r="DG56" s="5">
        <f t="shared" ca="1" si="9"/>
        <v>0</v>
      </c>
    </row>
    <row r="57" spans="1:111" x14ac:dyDescent="0.2">
      <c r="A57" s="5">
        <f t="shared" ca="1" si="30"/>
        <v>0</v>
      </c>
      <c r="B57" s="5">
        <f ca="1">COUNTBLANK(OFFSET(Demand!$I66,0,(COLUMN(A54)-1)*5,1,1))</f>
        <v>0</v>
      </c>
      <c r="C57" s="5">
        <f ca="1">COUNTBLANK(OFFSET(Demand!$I66,0,(COLUMN(B54)-1)*5,1,1))</f>
        <v>0</v>
      </c>
      <c r="D57" s="5">
        <f ca="1">COUNTBLANK(OFFSET(Demand!$I66,0,(COLUMN(C54)-1)*5,1,1))</f>
        <v>1</v>
      </c>
      <c r="E57" s="5">
        <f ca="1">COUNTBLANK(OFFSET(Demand!$I66,0,(COLUMN(D54)-1)*5,1,1))</f>
        <v>1</v>
      </c>
      <c r="F57" s="5">
        <f ca="1">COUNTBLANK(OFFSET(Demand!$I66,0,(COLUMN(E54)-1)*5,1,1))</f>
        <v>1</v>
      </c>
      <c r="G57" s="5">
        <f ca="1">COUNTBLANK(OFFSET(Demand!$I66,0,(COLUMN(F54)-1)*5,1,1))</f>
        <v>1</v>
      </c>
      <c r="H57" s="5">
        <f ca="1">COUNTBLANK(OFFSET(Demand!$I66,0,(COLUMN(G54)-1)*5,1,1))</f>
        <v>1</v>
      </c>
      <c r="I57" s="5">
        <f ca="1">COUNTBLANK(OFFSET(Demand!$I66,0,(COLUMN(H54)-1)*5,1,1))</f>
        <v>1</v>
      </c>
      <c r="J57" s="5">
        <f ca="1">COUNTBLANK(OFFSET(Demand!$I66,0,(COLUMN(I54)-1)*5,1,1))</f>
        <v>1</v>
      </c>
      <c r="K57" s="5">
        <f ca="1">COUNTBLANK(OFFSET(Demand!$I66,0,(COLUMN(J54)-1)*5,1,1))</f>
        <v>1</v>
      </c>
      <c r="N57" s="5">
        <f ca="1">SUM(OFFSET(Demand!$E66,0,(COLUMN(A54)-1)*5,1,3))*N$2</f>
        <v>90</v>
      </c>
      <c r="O57" s="5">
        <f ca="1">SUM(OFFSET(Demand!$E66,0,(COLUMN(B54)-1)*5,1,3))*O$2</f>
        <v>360</v>
      </c>
      <c r="P57" s="5">
        <f ca="1">SUM(OFFSET(Demand!$E66,0,(COLUMN(C54)-1)*5,1,3))*P$2</f>
        <v>0</v>
      </c>
      <c r="Q57" s="5">
        <f ca="1">SUM(OFFSET(Demand!$E66,0,(COLUMN(D54)-1)*5,1,3))*Q$2</f>
        <v>0</v>
      </c>
      <c r="R57" s="5">
        <f ca="1">SUM(OFFSET(Demand!$E66,0,(COLUMN(E54)-1)*5,1,3))*R$2</f>
        <v>0</v>
      </c>
      <c r="S57" s="5">
        <f ca="1">SUM(OFFSET(Demand!$E66,0,(COLUMN(F54)-1)*5,1,3))*S$2</f>
        <v>0</v>
      </c>
      <c r="T57" s="5">
        <f ca="1">SUM(OFFSET(Demand!$E66,0,(COLUMN(G54)-1)*5,1,3))*T$2</f>
        <v>0</v>
      </c>
      <c r="U57" s="5">
        <f ca="1">SUM(OFFSET(Demand!$E66,0,(COLUMN(H54)-1)*5,1,3))*U$2</f>
        <v>0</v>
      </c>
      <c r="V57" s="5">
        <f ca="1">SUM(OFFSET(Demand!$E66,0,(COLUMN(I54)-1)*5,1,3))*V$2</f>
        <v>0</v>
      </c>
      <c r="W57" s="5">
        <f ca="1">SUM(OFFSET(Demand!$E66,0,(COLUMN(J54)-1)*5,1,3))*W$2</f>
        <v>0</v>
      </c>
      <c r="X57" s="5">
        <f t="shared" ca="1" si="4"/>
        <v>450</v>
      </c>
      <c r="Y57">
        <f t="shared" ca="1" si="5"/>
        <v>450</v>
      </c>
      <c r="Z57" s="5">
        <f ca="1">SUM(OFFSET(Demand!$H66,0,(COLUMN(A54)-1)*5,1,1))*N$2</f>
        <v>0</v>
      </c>
      <c r="AA57" s="5">
        <f ca="1">SUM(OFFSET(Demand!$H66,0,(COLUMN(B54)-1)*5,1,1))*O$2</f>
        <v>0</v>
      </c>
      <c r="AB57" s="5">
        <f ca="1">SUM(OFFSET(Demand!$H66,0,(COLUMN(C54)-1)*5,1,1))*P$2</f>
        <v>0</v>
      </c>
      <c r="AC57" s="5">
        <f ca="1">SUM(OFFSET(Demand!$H66,0,(COLUMN(D54)-1)*5,1,1))*Q$2</f>
        <v>0</v>
      </c>
      <c r="AD57" s="5">
        <f ca="1">SUM(OFFSET(Demand!$H66,0,(COLUMN(E54)-1)*5,1,1))*R$2</f>
        <v>0</v>
      </c>
      <c r="AE57" s="5">
        <f ca="1">SUM(OFFSET(Demand!$H66,0,(COLUMN(F54)-1)*5,1,1))*S$2</f>
        <v>0</v>
      </c>
      <c r="AF57" s="5">
        <f ca="1">SUM(OFFSET(Demand!$H66,0,(COLUMN(G54)-1)*5,1,1))*T$2</f>
        <v>0</v>
      </c>
      <c r="AG57" s="5">
        <f ca="1">SUM(OFFSET(Demand!$H66,0,(COLUMN(H54)-1)*5,1,1))*U$2</f>
        <v>0</v>
      </c>
      <c r="AH57" s="5">
        <f ca="1">SUM(OFFSET(Demand!$H66,0,(COLUMN(I54)-1)*5,1,1))*V$2</f>
        <v>0</v>
      </c>
      <c r="AI57" s="5">
        <f ca="1">SUM(OFFSET(Demand!$H66,0,(COLUMN(J54)-1)*5,1,1))*W$2</f>
        <v>0</v>
      </c>
      <c r="AJ57" s="5">
        <f t="shared" ca="1" si="6"/>
        <v>0</v>
      </c>
      <c r="AL57" s="5">
        <f t="shared" ca="1" si="7"/>
        <v>450</v>
      </c>
      <c r="AM57" s="5">
        <f t="shared" ca="1" si="8"/>
        <v>0</v>
      </c>
      <c r="AN57" s="5" t="str">
        <f>IF(Demand!BE66="Yes","Yes","")</f>
        <v/>
      </c>
      <c r="AP57" s="37" t="str">
        <f ca="1">Demand!B66</f>
        <v xml:space="preserve"> </v>
      </c>
      <c r="AQ57" t="str">
        <f ca="1">IF(TEXT(Demand!D66,"MMM")&lt;&gt;TEXT(Demand!D65,"MMM"),TEXT(Demand!D66,"MMM"),"")</f>
        <v>Apr</v>
      </c>
      <c r="AT57" s="5">
        <f t="shared" ca="1" si="10"/>
        <v>80</v>
      </c>
      <c r="BQ57">
        <f ca="1">IF($AN57="",OFFSET(Demand!$A$13,ROW(A54)-1,4+((QUOTIENT(COLUMN(BQ$2)-69,3))*5)+MOD(COLUMN(BQ$2),3),1,1),"")</f>
        <v>0</v>
      </c>
      <c r="BR57">
        <f ca="1">IF($AN57="",OFFSET(Demand!$A$13,ROW(B54)-1,4+((QUOTIENT(COLUMN(BR$2)-69,3))*5)+MOD(COLUMN(BR$2),3),1,1),"")</f>
        <v>0</v>
      </c>
      <c r="BS57">
        <f ca="1">IF($AN57="",OFFSET(Demand!$A$13,ROW(C54)-1,4+((QUOTIENT(COLUMN(BS$2)-69,3))*5)+MOD(COLUMN(BS$2),3),1,1),"")</f>
        <v>3</v>
      </c>
      <c r="BT57">
        <f ca="1">IF($AN57="",OFFSET(Demand!$A$13,ROW(D54)-1,4+((QUOTIENT(COLUMN(BT$2)-69,3))*5)+MOD(COLUMN(BT$2),3),1,1),"")</f>
        <v>0</v>
      </c>
      <c r="BU57">
        <f ca="1">IF($AN57="",OFFSET(Demand!$A$13,ROW(E54)-1,4+((QUOTIENT(COLUMN(BU$2)-69,3))*5)+MOD(COLUMN(BU$2),3),1,1),"")</f>
        <v>2</v>
      </c>
      <c r="BV57">
        <f ca="1">IF($AN57="",OFFSET(Demand!$A$13,ROW(F54)-1,4+((QUOTIENT(COLUMN(BV$2)-69,3))*5)+MOD(COLUMN(BV$2),3),1,1),"")</f>
        <v>7</v>
      </c>
      <c r="BW57">
        <f ca="1">IF($AN57="",OFFSET(Demand!$A$13,ROW(G54)-1,4+((QUOTIENT(COLUMN(BW$2)-69,3))*5)+MOD(COLUMN(BW$2),3),1,1),"")</f>
        <v>0</v>
      </c>
      <c r="BX57">
        <f ca="1">IF($AN57="",OFFSET(Demand!$A$13,ROW(H54)-1,4+((QUOTIENT(COLUMN(BX$2)-69,3))*5)+MOD(COLUMN(BX$2),3),1,1),"")</f>
        <v>0</v>
      </c>
      <c r="BY57">
        <f ca="1">IF($AN57="",OFFSET(Demand!$A$13,ROW(I54)-1,4+((QUOTIENT(COLUMN(BY$2)-69,3))*5)+MOD(COLUMN(BY$2),3),1,1),"")</f>
        <v>0</v>
      </c>
      <c r="BZ57">
        <f ca="1">IF($AN57="",OFFSET(Demand!$A$13,ROW(J54)-1,4+((QUOTIENT(COLUMN(BZ$2)-69,3))*5)+MOD(COLUMN(BZ$2),3),1,1),"")</f>
        <v>0</v>
      </c>
      <c r="CA57">
        <f ca="1">IF($AN57="",OFFSET(Demand!$A$13,ROW(K54)-1,4+((QUOTIENT(COLUMN(CA$2)-69,3))*5)+MOD(COLUMN(CA$2),3),1,1),"")</f>
        <v>0</v>
      </c>
      <c r="CB57">
        <f ca="1">IF($AN57="",OFFSET(Demand!$A$13,ROW(L54)-1,4+((QUOTIENT(COLUMN(CB$2)-69,3))*5)+MOD(COLUMN(CB$2),3),1,1),"")</f>
        <v>0</v>
      </c>
      <c r="CC57">
        <f ca="1">IF($AN57="",OFFSET(Demand!$A$13,ROW(M54)-1,4+((QUOTIENT(COLUMN(CC$2)-69,3))*5)+MOD(COLUMN(CC$2),3),1,1),"")</f>
        <v>0</v>
      </c>
      <c r="CD57">
        <f ca="1">IF($AN57="",OFFSET(Demand!$A$13,ROW(N54)-1,4+((QUOTIENT(COLUMN(CD$2)-69,3))*5)+MOD(COLUMN(CD$2),3),1,1),"")</f>
        <v>0</v>
      </c>
      <c r="CE57">
        <f ca="1">IF($AN57="",OFFSET(Demand!$A$13,ROW(O54)-1,4+((QUOTIENT(COLUMN(CE$2)-69,3))*5)+MOD(COLUMN(CE$2),3),1,1),"")</f>
        <v>0</v>
      </c>
      <c r="CF57">
        <f ca="1">IF($AN57="",OFFSET(Demand!$A$13,ROW(P54)-1,4+((QUOTIENT(COLUMN(CF$2)-69,3))*5)+MOD(COLUMN(CF$2),3),1,1),"")</f>
        <v>0</v>
      </c>
      <c r="CG57">
        <f ca="1">IF($AN57="",OFFSET(Demand!$A$13,ROW(Q54)-1,4+((QUOTIENT(COLUMN(CG$2)-69,3))*5)+MOD(COLUMN(CG$2),3),1,1),"")</f>
        <v>0</v>
      </c>
      <c r="CH57">
        <f ca="1">IF($AN57="",OFFSET(Demand!$A$13,ROW(R54)-1,4+((QUOTIENT(COLUMN(CH$2)-69,3))*5)+MOD(COLUMN(CH$2),3),1,1),"")</f>
        <v>0</v>
      </c>
      <c r="CI57">
        <f ca="1">IF($AN57="",OFFSET(Demand!$A$13,ROW(S54)-1,4+((QUOTIENT(COLUMN(CI$2)-69,3))*5)+MOD(COLUMN(CI$2),3),1,1),"")</f>
        <v>0</v>
      </c>
      <c r="CJ57">
        <f ca="1">IF($AN57="",OFFSET(Demand!$A$13,ROW(T54)-1,4+((QUOTIENT(COLUMN(CJ$2)-69,3))*5)+MOD(COLUMN(CJ$2),3),1,1),"")</f>
        <v>0</v>
      </c>
      <c r="CK57">
        <f ca="1">IF($AN57="",OFFSET(Demand!$A$13,ROW(U54)-1,4+((QUOTIENT(COLUMN(CK$2)-69,3))*5)+MOD(COLUMN(CK$2),3),1,1),"")</f>
        <v>0</v>
      </c>
      <c r="CL57">
        <f ca="1">IF($AN57="",OFFSET(Demand!$A$13,ROW(V54)-1,4+((QUOTIENT(COLUMN(CL$2)-69,3))*5)+MOD(COLUMN(CL$2),3),1,1),"")</f>
        <v>0</v>
      </c>
      <c r="CM57">
        <f ca="1">IF($AN57="",OFFSET(Demand!$A$13,ROW(W54)-1,4+((QUOTIENT(COLUMN(CM$2)-69,3))*5)+MOD(COLUMN(CM$2),3),1,1),"")</f>
        <v>0</v>
      </c>
      <c r="CN57">
        <f ca="1">IF($AN57="",OFFSET(Demand!$A$13,ROW(X54)-1,4+((QUOTIENT(COLUMN(CN$2)-69,3))*5)+MOD(COLUMN(CN$2),3),1,1),"")</f>
        <v>0</v>
      </c>
      <c r="CO57">
        <f ca="1">IF($AN57="",OFFSET(Demand!$A$13,ROW(Y54)-1,4+((QUOTIENT(COLUMN(CO$2)-69,3))*5)+MOD(COLUMN(CO$2),3),1,1),"")</f>
        <v>0</v>
      </c>
      <c r="CP57">
        <f ca="1">IF($AN57="",OFFSET(Demand!$A$13,ROW(Z54)-1,4+((QUOTIENT(COLUMN(CP$2)-69,3))*5)+MOD(COLUMN(CP$2),3),1,1),"")</f>
        <v>0</v>
      </c>
      <c r="CQ57">
        <f ca="1">IF($AN57="",OFFSET(Demand!$A$13,ROW(AA54)-1,4+((QUOTIENT(COLUMN(CQ$2)-69,3))*5)+MOD(COLUMN(CQ$2),3),1,1),"")</f>
        <v>0</v>
      </c>
      <c r="CR57">
        <f ca="1">IF($AN57="",OFFSET(Demand!$A$13,ROW(AB54)-1,4+((QUOTIENT(COLUMN(CR$2)-69,3))*5)+MOD(COLUMN(CR$2),3),1,1),"")</f>
        <v>0</v>
      </c>
      <c r="CS57">
        <f ca="1">IF($AN57="",OFFSET(Demand!$A$13,ROW(AC54)-1,4+((QUOTIENT(COLUMN(CS$2)-69,3))*5)+MOD(COLUMN(CS$2),3),1,1),"")</f>
        <v>0</v>
      </c>
      <c r="CT57">
        <f ca="1">IF($AN57="",OFFSET(Demand!$A$13,ROW(AD54)-1,4+((QUOTIENT(COLUMN(CT$2)-69,3))*5)+MOD(COLUMN(CT$2),3),1,1),"")</f>
        <v>0</v>
      </c>
      <c r="CW57" s="5">
        <f ca="1">SUM(OFFSET(Demand!$H$43,ROW(A54)-1,(COLUMN(A54)-1)*5,1,1))*N$2</f>
        <v>0</v>
      </c>
      <c r="CX57" s="5">
        <f ca="1">SUM(OFFSET(Demand!$H$43,ROW(B54)-1,(COLUMN(B54)-1)*5,1,1))*O$2</f>
        <v>0</v>
      </c>
      <c r="CY57" s="5">
        <f ca="1">SUM(OFFSET(Demand!$H$43,ROW(C54)-1,(COLUMN(C54)-1)*5,1,1))*P$2</f>
        <v>0</v>
      </c>
      <c r="CZ57" s="5">
        <f ca="1">SUM(OFFSET(Demand!$H$43,ROW(D54)-1,(COLUMN(D54)-1)*5,1,1))*Q$2</f>
        <v>0</v>
      </c>
      <c r="DA57" s="5">
        <f ca="1">SUM(OFFSET(Demand!$H$43,ROW(E54)-1,(COLUMN(E54)-1)*5,1,1))*R$2</f>
        <v>0</v>
      </c>
      <c r="DB57" s="5">
        <f ca="1">SUM(OFFSET(Demand!$H$43,ROW(F54)-1,(COLUMN(F54)-1)*5,1,1))*S$2</f>
        <v>0</v>
      </c>
      <c r="DC57" s="5">
        <f ca="1">SUM(OFFSET(Demand!$H$43,ROW(G54)-1,(COLUMN(G54)-1)*5,1,1))*T$2</f>
        <v>0</v>
      </c>
      <c r="DD57" s="5">
        <f ca="1">SUM(OFFSET(Demand!$H$43,ROW(H54)-1,(COLUMN(H54)-1)*5,1,1))*U$2</f>
        <v>0</v>
      </c>
      <c r="DE57" s="5">
        <f ca="1">SUM(OFFSET(Demand!$H$43,ROW(I54)-1,(COLUMN(I54)-1)*5,1,1))*V$2</f>
        <v>0</v>
      </c>
      <c r="DF57" s="5">
        <f ca="1">SUM(OFFSET(Demand!$H$43,ROW(J54)-1,(COLUMN(J54)-1)*5,1,1))*W$2</f>
        <v>0</v>
      </c>
      <c r="DG57" s="5">
        <f t="shared" ca="1" si="9"/>
        <v>0</v>
      </c>
    </row>
    <row r="58" spans="1:111" x14ac:dyDescent="0.2">
      <c r="A58" s="5">
        <f t="shared" ca="1" si="30"/>
        <v>0</v>
      </c>
      <c r="B58" s="5">
        <f ca="1">COUNTBLANK(OFFSET(Demand!$I67,0,(COLUMN(A55)-1)*5,1,1))</f>
        <v>0</v>
      </c>
      <c r="C58" s="5">
        <f ca="1">COUNTBLANK(OFFSET(Demand!$I67,0,(COLUMN(B55)-1)*5,1,1))</f>
        <v>0</v>
      </c>
      <c r="D58" s="5">
        <f ca="1">COUNTBLANK(OFFSET(Demand!$I67,0,(COLUMN(C55)-1)*5,1,1))</f>
        <v>1</v>
      </c>
      <c r="E58" s="5">
        <f ca="1">COUNTBLANK(OFFSET(Demand!$I67,0,(COLUMN(D55)-1)*5,1,1))</f>
        <v>1</v>
      </c>
      <c r="F58" s="5">
        <f ca="1">COUNTBLANK(OFFSET(Demand!$I67,0,(COLUMN(E55)-1)*5,1,1))</f>
        <v>1</v>
      </c>
      <c r="G58" s="5">
        <f ca="1">COUNTBLANK(OFFSET(Demand!$I67,0,(COLUMN(F55)-1)*5,1,1))</f>
        <v>1</v>
      </c>
      <c r="H58" s="5">
        <f ca="1">COUNTBLANK(OFFSET(Demand!$I67,0,(COLUMN(G55)-1)*5,1,1))</f>
        <v>1</v>
      </c>
      <c r="I58" s="5">
        <f ca="1">COUNTBLANK(OFFSET(Demand!$I67,0,(COLUMN(H55)-1)*5,1,1))</f>
        <v>1</v>
      </c>
      <c r="J58" s="5">
        <f ca="1">COUNTBLANK(OFFSET(Demand!$I67,0,(COLUMN(I55)-1)*5,1,1))</f>
        <v>1</v>
      </c>
      <c r="K58" s="5">
        <f ca="1">COUNTBLANK(OFFSET(Demand!$I67,0,(COLUMN(J55)-1)*5,1,1))</f>
        <v>1</v>
      </c>
      <c r="N58" s="5">
        <f ca="1">SUM(OFFSET(Demand!$E67,0,(COLUMN(A55)-1)*5,1,3))*N$2</f>
        <v>150</v>
      </c>
      <c r="O58" s="5">
        <f ca="1">SUM(OFFSET(Demand!$E67,0,(COLUMN(B55)-1)*5,1,3))*O$2</f>
        <v>280</v>
      </c>
      <c r="P58" s="5">
        <f ca="1">SUM(OFFSET(Demand!$E67,0,(COLUMN(C55)-1)*5,1,3))*P$2</f>
        <v>0</v>
      </c>
      <c r="Q58" s="5">
        <f ca="1">SUM(OFFSET(Demand!$E67,0,(COLUMN(D55)-1)*5,1,3))*Q$2</f>
        <v>0</v>
      </c>
      <c r="R58" s="5">
        <f ca="1">SUM(OFFSET(Demand!$E67,0,(COLUMN(E55)-1)*5,1,3))*R$2</f>
        <v>0</v>
      </c>
      <c r="S58" s="5">
        <f ca="1">SUM(OFFSET(Demand!$E67,0,(COLUMN(F55)-1)*5,1,3))*S$2</f>
        <v>0</v>
      </c>
      <c r="T58" s="5">
        <f ca="1">SUM(OFFSET(Demand!$E67,0,(COLUMN(G55)-1)*5,1,3))*T$2</f>
        <v>0</v>
      </c>
      <c r="U58" s="5">
        <f ca="1">SUM(OFFSET(Demand!$E67,0,(COLUMN(H55)-1)*5,1,3))*U$2</f>
        <v>0</v>
      </c>
      <c r="V58" s="5">
        <f ca="1">SUM(OFFSET(Demand!$E67,0,(COLUMN(I55)-1)*5,1,3))*V$2</f>
        <v>0</v>
      </c>
      <c r="W58" s="5">
        <f ca="1">SUM(OFFSET(Demand!$E67,0,(COLUMN(J55)-1)*5,1,3))*W$2</f>
        <v>0</v>
      </c>
      <c r="X58" s="5">
        <f t="shared" ca="1" si="4"/>
        <v>430</v>
      </c>
      <c r="Y58">
        <f t="shared" ca="1" si="5"/>
        <v>430</v>
      </c>
      <c r="Z58" s="5">
        <f ca="1">SUM(OFFSET(Demand!$H67,0,(COLUMN(A55)-1)*5,1,1))*N$2</f>
        <v>0</v>
      </c>
      <c r="AA58" s="5">
        <f ca="1">SUM(OFFSET(Demand!$H67,0,(COLUMN(B55)-1)*5,1,1))*O$2</f>
        <v>0</v>
      </c>
      <c r="AB58" s="5">
        <f ca="1">SUM(OFFSET(Demand!$H67,0,(COLUMN(C55)-1)*5,1,1))*P$2</f>
        <v>0</v>
      </c>
      <c r="AC58" s="5">
        <f ca="1">SUM(OFFSET(Demand!$H67,0,(COLUMN(D55)-1)*5,1,1))*Q$2</f>
        <v>0</v>
      </c>
      <c r="AD58" s="5">
        <f ca="1">SUM(OFFSET(Demand!$H67,0,(COLUMN(E55)-1)*5,1,1))*R$2</f>
        <v>0</v>
      </c>
      <c r="AE58" s="5">
        <f ca="1">SUM(OFFSET(Demand!$H67,0,(COLUMN(F55)-1)*5,1,1))*S$2</f>
        <v>0</v>
      </c>
      <c r="AF58" s="5">
        <f ca="1">SUM(OFFSET(Demand!$H67,0,(COLUMN(G55)-1)*5,1,1))*T$2</f>
        <v>0</v>
      </c>
      <c r="AG58" s="5">
        <f ca="1">SUM(OFFSET(Demand!$H67,0,(COLUMN(H55)-1)*5,1,1))*U$2</f>
        <v>0</v>
      </c>
      <c r="AH58" s="5">
        <f ca="1">SUM(OFFSET(Demand!$H67,0,(COLUMN(I55)-1)*5,1,1))*V$2</f>
        <v>0</v>
      </c>
      <c r="AI58" s="5">
        <f ca="1">SUM(OFFSET(Demand!$H67,0,(COLUMN(J55)-1)*5,1,1))*W$2</f>
        <v>0</v>
      </c>
      <c r="AJ58" s="5">
        <f t="shared" ca="1" si="6"/>
        <v>0</v>
      </c>
      <c r="AL58" s="5">
        <f t="shared" ca="1" si="7"/>
        <v>430</v>
      </c>
      <c r="AM58" s="5">
        <f t="shared" ca="1" si="8"/>
        <v>0</v>
      </c>
      <c r="AN58" s="5" t="str">
        <f>IF(Demand!BE67="Yes","Yes","")</f>
        <v/>
      </c>
      <c r="AP58" s="37" t="str">
        <f ca="1">Demand!B67</f>
        <v xml:space="preserve"> </v>
      </c>
      <c r="AQ58" t="str">
        <f ca="1">IF(TEXT(Demand!D67,"MMM")&lt;&gt;TEXT(Demand!D66,"MMM"),TEXT(Demand!D67,"MMM"),"")</f>
        <v/>
      </c>
      <c r="AT58" s="5">
        <f t="shared" ca="1" si="10"/>
        <v>20</v>
      </c>
      <c r="BQ58">
        <f ca="1">IF($AN58="",OFFSET(Demand!$A$13,ROW(A55)-1,4+((QUOTIENT(COLUMN(BQ$2)-69,3))*5)+MOD(COLUMN(BQ$2),3),1,1),"")</f>
        <v>0</v>
      </c>
      <c r="BR58">
        <f ca="1">IF($AN58="",OFFSET(Demand!$A$13,ROW(B55)-1,4+((QUOTIENT(COLUMN(BR$2)-69,3))*5)+MOD(COLUMN(BR$2),3),1,1),"")</f>
        <v>2</v>
      </c>
      <c r="BS58">
        <f ca="1">IF($AN58="",OFFSET(Demand!$A$13,ROW(C55)-1,4+((QUOTIENT(COLUMN(BS$2)-69,3))*5)+MOD(COLUMN(BS$2),3),1,1),"")</f>
        <v>3</v>
      </c>
      <c r="BT58">
        <f ca="1">IF($AN58="",OFFSET(Demand!$A$13,ROW(D55)-1,4+((QUOTIENT(COLUMN(BT$2)-69,3))*5)+MOD(COLUMN(BT$2),3),1,1),"")</f>
        <v>0</v>
      </c>
      <c r="BU58">
        <f ca="1">IF($AN58="",OFFSET(Demand!$A$13,ROW(E55)-1,4+((QUOTIENT(COLUMN(BU$2)-69,3))*5)+MOD(COLUMN(BU$2),3),1,1),"")</f>
        <v>1</v>
      </c>
      <c r="BV58">
        <f ca="1">IF($AN58="",OFFSET(Demand!$A$13,ROW(F55)-1,4+((QUOTIENT(COLUMN(BV$2)-69,3))*5)+MOD(COLUMN(BV$2),3),1,1),"")</f>
        <v>6</v>
      </c>
      <c r="BW58">
        <f ca="1">IF($AN58="",OFFSET(Demand!$A$13,ROW(G55)-1,4+((QUOTIENT(COLUMN(BW$2)-69,3))*5)+MOD(COLUMN(BW$2),3),1,1),"")</f>
        <v>0</v>
      </c>
      <c r="BX58">
        <f ca="1">IF($AN58="",OFFSET(Demand!$A$13,ROW(H55)-1,4+((QUOTIENT(COLUMN(BX$2)-69,3))*5)+MOD(COLUMN(BX$2),3),1,1),"")</f>
        <v>0</v>
      </c>
      <c r="BY58">
        <f ca="1">IF($AN58="",OFFSET(Demand!$A$13,ROW(I55)-1,4+((QUOTIENT(COLUMN(BY$2)-69,3))*5)+MOD(COLUMN(BY$2),3),1,1),"")</f>
        <v>0</v>
      </c>
      <c r="BZ58">
        <f ca="1">IF($AN58="",OFFSET(Demand!$A$13,ROW(J55)-1,4+((QUOTIENT(COLUMN(BZ$2)-69,3))*5)+MOD(COLUMN(BZ$2),3),1,1),"")</f>
        <v>0</v>
      </c>
      <c r="CA58">
        <f ca="1">IF($AN58="",OFFSET(Demand!$A$13,ROW(K55)-1,4+((QUOTIENT(COLUMN(CA$2)-69,3))*5)+MOD(COLUMN(CA$2),3),1,1),"")</f>
        <v>0</v>
      </c>
      <c r="CB58">
        <f ca="1">IF($AN58="",OFFSET(Demand!$A$13,ROW(L55)-1,4+((QUOTIENT(COLUMN(CB$2)-69,3))*5)+MOD(COLUMN(CB$2),3),1,1),"")</f>
        <v>0</v>
      </c>
      <c r="CC58">
        <f ca="1">IF($AN58="",OFFSET(Demand!$A$13,ROW(M55)-1,4+((QUOTIENT(COLUMN(CC$2)-69,3))*5)+MOD(COLUMN(CC$2),3),1,1),"")</f>
        <v>0</v>
      </c>
      <c r="CD58">
        <f ca="1">IF($AN58="",OFFSET(Demand!$A$13,ROW(N55)-1,4+((QUOTIENT(COLUMN(CD$2)-69,3))*5)+MOD(COLUMN(CD$2),3),1,1),"")</f>
        <v>0</v>
      </c>
      <c r="CE58">
        <f ca="1">IF($AN58="",OFFSET(Demand!$A$13,ROW(O55)-1,4+((QUOTIENT(COLUMN(CE$2)-69,3))*5)+MOD(COLUMN(CE$2),3),1,1),"")</f>
        <v>0</v>
      </c>
      <c r="CF58">
        <f ca="1">IF($AN58="",OFFSET(Demand!$A$13,ROW(P55)-1,4+((QUOTIENT(COLUMN(CF$2)-69,3))*5)+MOD(COLUMN(CF$2),3),1,1),"")</f>
        <v>0</v>
      </c>
      <c r="CG58">
        <f ca="1">IF($AN58="",OFFSET(Demand!$A$13,ROW(Q55)-1,4+((QUOTIENT(COLUMN(CG$2)-69,3))*5)+MOD(COLUMN(CG$2),3),1,1),"")</f>
        <v>0</v>
      </c>
      <c r="CH58">
        <f ca="1">IF($AN58="",OFFSET(Demand!$A$13,ROW(R55)-1,4+((QUOTIENT(COLUMN(CH$2)-69,3))*5)+MOD(COLUMN(CH$2),3),1,1),"")</f>
        <v>0</v>
      </c>
      <c r="CI58">
        <f ca="1">IF($AN58="",OFFSET(Demand!$A$13,ROW(S55)-1,4+((QUOTIENT(COLUMN(CI$2)-69,3))*5)+MOD(COLUMN(CI$2),3),1,1),"")</f>
        <v>0</v>
      </c>
      <c r="CJ58">
        <f ca="1">IF($AN58="",OFFSET(Demand!$A$13,ROW(T55)-1,4+((QUOTIENT(COLUMN(CJ$2)-69,3))*5)+MOD(COLUMN(CJ$2),3),1,1),"")</f>
        <v>0</v>
      </c>
      <c r="CK58">
        <f ca="1">IF($AN58="",OFFSET(Demand!$A$13,ROW(U55)-1,4+((QUOTIENT(COLUMN(CK$2)-69,3))*5)+MOD(COLUMN(CK$2),3),1,1),"")</f>
        <v>0</v>
      </c>
      <c r="CL58">
        <f ca="1">IF($AN58="",OFFSET(Demand!$A$13,ROW(V55)-1,4+((QUOTIENT(COLUMN(CL$2)-69,3))*5)+MOD(COLUMN(CL$2),3),1,1),"")</f>
        <v>0</v>
      </c>
      <c r="CM58">
        <f ca="1">IF($AN58="",OFFSET(Demand!$A$13,ROW(W55)-1,4+((QUOTIENT(COLUMN(CM$2)-69,3))*5)+MOD(COLUMN(CM$2),3),1,1),"")</f>
        <v>0</v>
      </c>
      <c r="CN58">
        <f ca="1">IF($AN58="",OFFSET(Demand!$A$13,ROW(X55)-1,4+((QUOTIENT(COLUMN(CN$2)-69,3))*5)+MOD(COLUMN(CN$2),3),1,1),"")</f>
        <v>0</v>
      </c>
      <c r="CO58">
        <f ca="1">IF($AN58="",OFFSET(Demand!$A$13,ROW(Y55)-1,4+((QUOTIENT(COLUMN(CO$2)-69,3))*5)+MOD(COLUMN(CO$2),3),1,1),"")</f>
        <v>0</v>
      </c>
      <c r="CP58">
        <f ca="1">IF($AN58="",OFFSET(Demand!$A$13,ROW(Z55)-1,4+((QUOTIENT(COLUMN(CP$2)-69,3))*5)+MOD(COLUMN(CP$2),3),1,1),"")</f>
        <v>0</v>
      </c>
      <c r="CQ58">
        <f ca="1">IF($AN58="",OFFSET(Demand!$A$13,ROW(AA55)-1,4+((QUOTIENT(COLUMN(CQ$2)-69,3))*5)+MOD(COLUMN(CQ$2),3),1,1),"")</f>
        <v>0</v>
      </c>
      <c r="CR58">
        <f ca="1">IF($AN58="",OFFSET(Demand!$A$13,ROW(AB55)-1,4+((QUOTIENT(COLUMN(CR$2)-69,3))*5)+MOD(COLUMN(CR$2),3),1,1),"")</f>
        <v>0</v>
      </c>
      <c r="CS58">
        <f ca="1">IF($AN58="",OFFSET(Demand!$A$13,ROW(AC55)-1,4+((QUOTIENT(COLUMN(CS$2)-69,3))*5)+MOD(COLUMN(CS$2),3),1,1),"")</f>
        <v>0</v>
      </c>
      <c r="CT58">
        <f ca="1">IF($AN58="",OFFSET(Demand!$A$13,ROW(AD55)-1,4+((QUOTIENT(COLUMN(CT$2)-69,3))*5)+MOD(COLUMN(CT$2),3),1,1),"")</f>
        <v>0</v>
      </c>
      <c r="CW58" s="5">
        <f ca="1">SUM(OFFSET(Demand!$H$43,ROW(A55)-1,(COLUMN(A55)-1)*5,1,1))*N$2</f>
        <v>0</v>
      </c>
      <c r="CX58" s="5">
        <f ca="1">SUM(OFFSET(Demand!$H$43,ROW(B55)-1,(COLUMN(B55)-1)*5,1,1))*O$2</f>
        <v>0</v>
      </c>
      <c r="CY58" s="5">
        <f ca="1">SUM(OFFSET(Demand!$H$43,ROW(C55)-1,(COLUMN(C55)-1)*5,1,1))*P$2</f>
        <v>0</v>
      </c>
      <c r="CZ58" s="5">
        <f ca="1">SUM(OFFSET(Demand!$H$43,ROW(D55)-1,(COLUMN(D55)-1)*5,1,1))*Q$2</f>
        <v>0</v>
      </c>
      <c r="DA58" s="5">
        <f ca="1">SUM(OFFSET(Demand!$H$43,ROW(E55)-1,(COLUMN(E55)-1)*5,1,1))*R$2</f>
        <v>0</v>
      </c>
      <c r="DB58" s="5">
        <f ca="1">SUM(OFFSET(Demand!$H$43,ROW(F55)-1,(COLUMN(F55)-1)*5,1,1))*S$2</f>
        <v>0</v>
      </c>
      <c r="DC58" s="5">
        <f ca="1">SUM(OFFSET(Demand!$H$43,ROW(G55)-1,(COLUMN(G55)-1)*5,1,1))*T$2</f>
        <v>0</v>
      </c>
      <c r="DD58" s="5">
        <f ca="1">SUM(OFFSET(Demand!$H$43,ROW(H55)-1,(COLUMN(H55)-1)*5,1,1))*U$2</f>
        <v>0</v>
      </c>
      <c r="DE58" s="5">
        <f ca="1">SUM(OFFSET(Demand!$H$43,ROW(I55)-1,(COLUMN(I55)-1)*5,1,1))*V$2</f>
        <v>0</v>
      </c>
      <c r="DF58" s="5">
        <f ca="1">SUM(OFFSET(Demand!$H$43,ROW(J55)-1,(COLUMN(J55)-1)*5,1,1))*W$2</f>
        <v>0</v>
      </c>
      <c r="DG58" s="5">
        <f t="shared" ca="1" si="9"/>
        <v>0</v>
      </c>
    </row>
    <row r="59" spans="1:111" x14ac:dyDescent="0.2">
      <c r="A59" s="5">
        <f t="shared" ca="1" si="30"/>
        <v>0</v>
      </c>
      <c r="B59" s="5">
        <f ca="1">COUNTBLANK(OFFSET(Demand!$I68,0,(COLUMN(A56)-1)*5,1,1))</f>
        <v>0</v>
      </c>
      <c r="C59" s="5">
        <f ca="1">COUNTBLANK(OFFSET(Demand!$I68,0,(COLUMN(B56)-1)*5,1,1))</f>
        <v>0</v>
      </c>
      <c r="D59" s="5">
        <f ca="1">COUNTBLANK(OFFSET(Demand!$I68,0,(COLUMN(C56)-1)*5,1,1))</f>
        <v>1</v>
      </c>
      <c r="E59" s="5">
        <f ca="1">COUNTBLANK(OFFSET(Demand!$I68,0,(COLUMN(D56)-1)*5,1,1))</f>
        <v>1</v>
      </c>
      <c r="F59" s="5">
        <f ca="1">COUNTBLANK(OFFSET(Demand!$I68,0,(COLUMN(E56)-1)*5,1,1))</f>
        <v>1</v>
      </c>
      <c r="G59" s="5">
        <f ca="1">COUNTBLANK(OFFSET(Demand!$I68,0,(COLUMN(F56)-1)*5,1,1))</f>
        <v>1</v>
      </c>
      <c r="H59" s="5">
        <f ca="1">COUNTBLANK(OFFSET(Demand!$I68,0,(COLUMN(G56)-1)*5,1,1))</f>
        <v>1</v>
      </c>
      <c r="I59" s="5">
        <f ca="1">COUNTBLANK(OFFSET(Demand!$I68,0,(COLUMN(H56)-1)*5,1,1))</f>
        <v>1</v>
      </c>
      <c r="J59" s="5">
        <f ca="1">COUNTBLANK(OFFSET(Demand!$I68,0,(COLUMN(I56)-1)*5,1,1))</f>
        <v>1</v>
      </c>
      <c r="K59" s="5">
        <f ca="1">COUNTBLANK(OFFSET(Demand!$I68,0,(COLUMN(J56)-1)*5,1,1))</f>
        <v>1</v>
      </c>
      <c r="N59" s="5">
        <f ca="1">SUM(OFFSET(Demand!$E68,0,(COLUMN(A56)-1)*5,1,3))*N$2</f>
        <v>180</v>
      </c>
      <c r="O59" s="5">
        <f ca="1">SUM(OFFSET(Demand!$E68,0,(COLUMN(B56)-1)*5,1,3))*O$2</f>
        <v>440</v>
      </c>
      <c r="P59" s="5">
        <f ca="1">SUM(OFFSET(Demand!$E68,0,(COLUMN(C56)-1)*5,1,3))*P$2</f>
        <v>0</v>
      </c>
      <c r="Q59" s="5">
        <f ca="1">SUM(OFFSET(Demand!$E68,0,(COLUMN(D56)-1)*5,1,3))*Q$2</f>
        <v>0</v>
      </c>
      <c r="R59" s="5">
        <f ca="1">SUM(OFFSET(Demand!$E68,0,(COLUMN(E56)-1)*5,1,3))*R$2</f>
        <v>0</v>
      </c>
      <c r="S59" s="5">
        <f ca="1">SUM(OFFSET(Demand!$E68,0,(COLUMN(F56)-1)*5,1,3))*S$2</f>
        <v>0</v>
      </c>
      <c r="T59" s="5">
        <f ca="1">SUM(OFFSET(Demand!$E68,0,(COLUMN(G56)-1)*5,1,3))*T$2</f>
        <v>0</v>
      </c>
      <c r="U59" s="5">
        <f ca="1">SUM(OFFSET(Demand!$E68,0,(COLUMN(H56)-1)*5,1,3))*U$2</f>
        <v>0</v>
      </c>
      <c r="V59" s="5">
        <f ca="1">SUM(OFFSET(Demand!$E68,0,(COLUMN(I56)-1)*5,1,3))*V$2</f>
        <v>0</v>
      </c>
      <c r="W59" s="5">
        <f ca="1">SUM(OFFSET(Demand!$E68,0,(COLUMN(J56)-1)*5,1,3))*W$2</f>
        <v>0</v>
      </c>
      <c r="X59" s="5">
        <f t="shared" ca="1" si="4"/>
        <v>620</v>
      </c>
      <c r="Y59">
        <f t="shared" ca="1" si="5"/>
        <v>620</v>
      </c>
      <c r="Z59" s="5">
        <f ca="1">SUM(OFFSET(Demand!$H68,0,(COLUMN(A56)-1)*5,1,1))*N$2</f>
        <v>0</v>
      </c>
      <c r="AA59" s="5">
        <f ca="1">SUM(OFFSET(Demand!$H68,0,(COLUMN(B56)-1)*5,1,1))*O$2</f>
        <v>0</v>
      </c>
      <c r="AB59" s="5">
        <f ca="1">SUM(OFFSET(Demand!$H68,0,(COLUMN(C56)-1)*5,1,1))*P$2</f>
        <v>0</v>
      </c>
      <c r="AC59" s="5">
        <f ca="1">SUM(OFFSET(Demand!$H68,0,(COLUMN(D56)-1)*5,1,1))*Q$2</f>
        <v>0</v>
      </c>
      <c r="AD59" s="5">
        <f ca="1">SUM(OFFSET(Demand!$H68,0,(COLUMN(E56)-1)*5,1,1))*R$2</f>
        <v>0</v>
      </c>
      <c r="AE59" s="5">
        <f ca="1">SUM(OFFSET(Demand!$H68,0,(COLUMN(F56)-1)*5,1,1))*S$2</f>
        <v>0</v>
      </c>
      <c r="AF59" s="5">
        <f ca="1">SUM(OFFSET(Demand!$H68,0,(COLUMN(G56)-1)*5,1,1))*T$2</f>
        <v>0</v>
      </c>
      <c r="AG59" s="5">
        <f ca="1">SUM(OFFSET(Demand!$H68,0,(COLUMN(H56)-1)*5,1,1))*U$2</f>
        <v>0</v>
      </c>
      <c r="AH59" s="5">
        <f ca="1">SUM(OFFSET(Demand!$H68,0,(COLUMN(I56)-1)*5,1,1))*V$2</f>
        <v>0</v>
      </c>
      <c r="AI59" s="5">
        <f ca="1">SUM(OFFSET(Demand!$H68,0,(COLUMN(J56)-1)*5,1,1))*W$2</f>
        <v>0</v>
      </c>
      <c r="AJ59" s="5">
        <f t="shared" ca="1" si="6"/>
        <v>0</v>
      </c>
      <c r="AL59" s="5">
        <f t="shared" ca="1" si="7"/>
        <v>620</v>
      </c>
      <c r="AM59" s="5">
        <f t="shared" ca="1" si="8"/>
        <v>0</v>
      </c>
      <c r="AN59" s="5" t="str">
        <f>IF(Demand!BE68="Yes","Yes","")</f>
        <v/>
      </c>
      <c r="AP59" s="37" t="str">
        <f ca="1">Demand!B68</f>
        <v xml:space="preserve"> </v>
      </c>
      <c r="AQ59" t="str">
        <f ca="1">IF(TEXT(Demand!D68,"MMM")&lt;&gt;TEXT(Demand!D67,"MMM"),TEXT(Demand!D68,"MMM"),"")</f>
        <v/>
      </c>
      <c r="AT59" s="5">
        <f t="shared" ca="1" si="10"/>
        <v>190</v>
      </c>
      <c r="BQ59">
        <f ca="1">IF($AN59="",OFFSET(Demand!$A$13,ROW(A56)-1,4+((QUOTIENT(COLUMN(BQ$2)-69,3))*5)+MOD(COLUMN(BQ$2),3),1,1),"")</f>
        <v>0</v>
      </c>
      <c r="BR59">
        <f ca="1">IF($AN59="",OFFSET(Demand!$A$13,ROW(B56)-1,4+((QUOTIENT(COLUMN(BR$2)-69,3))*5)+MOD(COLUMN(BR$2),3),1,1),"")</f>
        <v>1</v>
      </c>
      <c r="BS59">
        <f ca="1">IF($AN59="",OFFSET(Demand!$A$13,ROW(C56)-1,4+((QUOTIENT(COLUMN(BS$2)-69,3))*5)+MOD(COLUMN(BS$2),3),1,1),"")</f>
        <v>5</v>
      </c>
      <c r="BT59">
        <f ca="1">IF($AN59="",OFFSET(Demand!$A$13,ROW(D56)-1,4+((QUOTIENT(COLUMN(BT$2)-69,3))*5)+MOD(COLUMN(BT$2),3),1,1),"")</f>
        <v>0</v>
      </c>
      <c r="BU59">
        <f ca="1">IF($AN59="",OFFSET(Demand!$A$13,ROW(E56)-1,4+((QUOTIENT(COLUMN(BU$2)-69,3))*5)+MOD(COLUMN(BU$2),3),1,1),"")</f>
        <v>0</v>
      </c>
      <c r="BV59">
        <f ca="1">IF($AN59="",OFFSET(Demand!$A$13,ROW(F56)-1,4+((QUOTIENT(COLUMN(BV$2)-69,3))*5)+MOD(COLUMN(BV$2),3),1,1),"")</f>
        <v>11</v>
      </c>
      <c r="BW59">
        <f ca="1">IF($AN59="",OFFSET(Demand!$A$13,ROW(G56)-1,4+((QUOTIENT(COLUMN(BW$2)-69,3))*5)+MOD(COLUMN(BW$2),3),1,1),"")</f>
        <v>0</v>
      </c>
      <c r="BX59">
        <f ca="1">IF($AN59="",OFFSET(Demand!$A$13,ROW(H56)-1,4+((QUOTIENT(COLUMN(BX$2)-69,3))*5)+MOD(COLUMN(BX$2),3),1,1),"")</f>
        <v>0</v>
      </c>
      <c r="BY59">
        <f ca="1">IF($AN59="",OFFSET(Demand!$A$13,ROW(I56)-1,4+((QUOTIENT(COLUMN(BY$2)-69,3))*5)+MOD(COLUMN(BY$2),3),1,1),"")</f>
        <v>0</v>
      </c>
      <c r="BZ59">
        <f ca="1">IF($AN59="",OFFSET(Demand!$A$13,ROW(J56)-1,4+((QUOTIENT(COLUMN(BZ$2)-69,3))*5)+MOD(COLUMN(BZ$2),3),1,1),"")</f>
        <v>0</v>
      </c>
      <c r="CA59">
        <f ca="1">IF($AN59="",OFFSET(Demand!$A$13,ROW(K56)-1,4+((QUOTIENT(COLUMN(CA$2)-69,3))*5)+MOD(COLUMN(CA$2),3),1,1),"")</f>
        <v>0</v>
      </c>
      <c r="CB59">
        <f ca="1">IF($AN59="",OFFSET(Demand!$A$13,ROW(L56)-1,4+((QUOTIENT(COLUMN(CB$2)-69,3))*5)+MOD(COLUMN(CB$2),3),1,1),"")</f>
        <v>0</v>
      </c>
      <c r="CC59">
        <f ca="1">IF($AN59="",OFFSET(Demand!$A$13,ROW(M56)-1,4+((QUOTIENT(COLUMN(CC$2)-69,3))*5)+MOD(COLUMN(CC$2),3),1,1),"")</f>
        <v>0</v>
      </c>
      <c r="CD59">
        <f ca="1">IF($AN59="",OFFSET(Demand!$A$13,ROW(N56)-1,4+((QUOTIENT(COLUMN(CD$2)-69,3))*5)+MOD(COLUMN(CD$2),3),1,1),"")</f>
        <v>0</v>
      </c>
      <c r="CE59">
        <f ca="1">IF($AN59="",OFFSET(Demand!$A$13,ROW(O56)-1,4+((QUOTIENT(COLUMN(CE$2)-69,3))*5)+MOD(COLUMN(CE$2),3),1,1),"")</f>
        <v>0</v>
      </c>
      <c r="CF59">
        <f ca="1">IF($AN59="",OFFSET(Demand!$A$13,ROW(P56)-1,4+((QUOTIENT(COLUMN(CF$2)-69,3))*5)+MOD(COLUMN(CF$2),3),1,1),"")</f>
        <v>0</v>
      </c>
      <c r="CG59">
        <f ca="1">IF($AN59="",OFFSET(Demand!$A$13,ROW(Q56)-1,4+((QUOTIENT(COLUMN(CG$2)-69,3))*5)+MOD(COLUMN(CG$2),3),1,1),"")</f>
        <v>0</v>
      </c>
      <c r="CH59">
        <f ca="1">IF($AN59="",OFFSET(Demand!$A$13,ROW(R56)-1,4+((QUOTIENT(COLUMN(CH$2)-69,3))*5)+MOD(COLUMN(CH$2),3),1,1),"")</f>
        <v>0</v>
      </c>
      <c r="CI59">
        <f ca="1">IF($AN59="",OFFSET(Demand!$A$13,ROW(S56)-1,4+((QUOTIENT(COLUMN(CI$2)-69,3))*5)+MOD(COLUMN(CI$2),3),1,1),"")</f>
        <v>0</v>
      </c>
      <c r="CJ59">
        <f ca="1">IF($AN59="",OFFSET(Demand!$A$13,ROW(T56)-1,4+((QUOTIENT(COLUMN(CJ$2)-69,3))*5)+MOD(COLUMN(CJ$2),3),1,1),"")</f>
        <v>0</v>
      </c>
      <c r="CK59">
        <f ca="1">IF($AN59="",OFFSET(Demand!$A$13,ROW(U56)-1,4+((QUOTIENT(COLUMN(CK$2)-69,3))*5)+MOD(COLUMN(CK$2),3),1,1),"")</f>
        <v>0</v>
      </c>
      <c r="CL59">
        <f ca="1">IF($AN59="",OFFSET(Demand!$A$13,ROW(V56)-1,4+((QUOTIENT(COLUMN(CL$2)-69,3))*5)+MOD(COLUMN(CL$2),3),1,1),"")</f>
        <v>0</v>
      </c>
      <c r="CM59">
        <f ca="1">IF($AN59="",OFFSET(Demand!$A$13,ROW(W56)-1,4+((QUOTIENT(COLUMN(CM$2)-69,3))*5)+MOD(COLUMN(CM$2),3),1,1),"")</f>
        <v>0</v>
      </c>
      <c r="CN59">
        <f ca="1">IF($AN59="",OFFSET(Demand!$A$13,ROW(X56)-1,4+((QUOTIENT(COLUMN(CN$2)-69,3))*5)+MOD(COLUMN(CN$2),3),1,1),"")</f>
        <v>0</v>
      </c>
      <c r="CO59">
        <f ca="1">IF($AN59="",OFFSET(Demand!$A$13,ROW(Y56)-1,4+((QUOTIENT(COLUMN(CO$2)-69,3))*5)+MOD(COLUMN(CO$2),3),1,1),"")</f>
        <v>0</v>
      </c>
      <c r="CP59">
        <f ca="1">IF($AN59="",OFFSET(Demand!$A$13,ROW(Z56)-1,4+((QUOTIENT(COLUMN(CP$2)-69,3))*5)+MOD(COLUMN(CP$2),3),1,1),"")</f>
        <v>0</v>
      </c>
      <c r="CQ59">
        <f ca="1">IF($AN59="",OFFSET(Demand!$A$13,ROW(AA56)-1,4+((QUOTIENT(COLUMN(CQ$2)-69,3))*5)+MOD(COLUMN(CQ$2),3),1,1),"")</f>
        <v>0</v>
      </c>
      <c r="CR59">
        <f ca="1">IF($AN59="",OFFSET(Demand!$A$13,ROW(AB56)-1,4+((QUOTIENT(COLUMN(CR$2)-69,3))*5)+MOD(COLUMN(CR$2),3),1,1),"")</f>
        <v>0</v>
      </c>
      <c r="CS59">
        <f ca="1">IF($AN59="",OFFSET(Demand!$A$13,ROW(AC56)-1,4+((QUOTIENT(COLUMN(CS$2)-69,3))*5)+MOD(COLUMN(CS$2),3),1,1),"")</f>
        <v>0</v>
      </c>
      <c r="CT59">
        <f ca="1">IF($AN59="",OFFSET(Demand!$A$13,ROW(AD56)-1,4+((QUOTIENT(COLUMN(CT$2)-69,3))*5)+MOD(COLUMN(CT$2),3),1,1),"")</f>
        <v>0</v>
      </c>
      <c r="CW59" s="5">
        <f ca="1">SUM(OFFSET(Demand!$H$43,ROW(A56)-1,(COLUMN(A56)-1)*5,1,1))*N$2</f>
        <v>0</v>
      </c>
      <c r="CX59" s="5">
        <f ca="1">SUM(OFFSET(Demand!$H$43,ROW(B56)-1,(COLUMN(B56)-1)*5,1,1))*O$2</f>
        <v>0</v>
      </c>
      <c r="CY59" s="5">
        <f ca="1">SUM(OFFSET(Demand!$H$43,ROW(C56)-1,(COLUMN(C56)-1)*5,1,1))*P$2</f>
        <v>0</v>
      </c>
      <c r="CZ59" s="5">
        <f ca="1">SUM(OFFSET(Demand!$H$43,ROW(D56)-1,(COLUMN(D56)-1)*5,1,1))*Q$2</f>
        <v>0</v>
      </c>
      <c r="DA59" s="5">
        <f ca="1">SUM(OFFSET(Demand!$H$43,ROW(E56)-1,(COLUMN(E56)-1)*5,1,1))*R$2</f>
        <v>0</v>
      </c>
      <c r="DB59" s="5">
        <f ca="1">SUM(OFFSET(Demand!$H$43,ROW(F56)-1,(COLUMN(F56)-1)*5,1,1))*S$2</f>
        <v>0</v>
      </c>
      <c r="DC59" s="5">
        <f ca="1">SUM(OFFSET(Demand!$H$43,ROW(G56)-1,(COLUMN(G56)-1)*5,1,1))*T$2</f>
        <v>0</v>
      </c>
      <c r="DD59" s="5">
        <f ca="1">SUM(OFFSET(Demand!$H$43,ROW(H56)-1,(COLUMN(H56)-1)*5,1,1))*U$2</f>
        <v>0</v>
      </c>
      <c r="DE59" s="5">
        <f ca="1">SUM(OFFSET(Demand!$H$43,ROW(I56)-1,(COLUMN(I56)-1)*5,1,1))*V$2</f>
        <v>0</v>
      </c>
      <c r="DF59" s="5">
        <f ca="1">SUM(OFFSET(Demand!$H$43,ROW(J56)-1,(COLUMN(J56)-1)*5,1,1))*W$2</f>
        <v>0</v>
      </c>
      <c r="DG59" s="5">
        <f t="shared" ca="1" si="9"/>
        <v>0</v>
      </c>
    </row>
    <row r="60" spans="1:111" x14ac:dyDescent="0.2">
      <c r="A60" s="5">
        <f t="shared" ca="1" si="30"/>
        <v>0</v>
      </c>
      <c r="B60" s="5">
        <f ca="1">COUNTBLANK(OFFSET(Demand!$I69,0,(COLUMN(A57)-1)*5,1,1))</f>
        <v>0</v>
      </c>
      <c r="C60" s="5">
        <f ca="1">COUNTBLANK(OFFSET(Demand!$I69,0,(COLUMN(B57)-1)*5,1,1))</f>
        <v>0</v>
      </c>
      <c r="D60" s="5">
        <f ca="1">COUNTBLANK(OFFSET(Demand!$I69,0,(COLUMN(C57)-1)*5,1,1))</f>
        <v>1</v>
      </c>
      <c r="E60" s="5">
        <f ca="1">COUNTBLANK(OFFSET(Demand!$I69,0,(COLUMN(D57)-1)*5,1,1))</f>
        <v>1</v>
      </c>
      <c r="F60" s="5">
        <f ca="1">COUNTBLANK(OFFSET(Demand!$I69,0,(COLUMN(E57)-1)*5,1,1))</f>
        <v>1</v>
      </c>
      <c r="G60" s="5">
        <f ca="1">COUNTBLANK(OFFSET(Demand!$I69,0,(COLUMN(F57)-1)*5,1,1))</f>
        <v>1</v>
      </c>
      <c r="H60" s="5">
        <f ca="1">COUNTBLANK(OFFSET(Demand!$I69,0,(COLUMN(G57)-1)*5,1,1))</f>
        <v>1</v>
      </c>
      <c r="I60" s="5">
        <f ca="1">COUNTBLANK(OFFSET(Demand!$I69,0,(COLUMN(H57)-1)*5,1,1))</f>
        <v>1</v>
      </c>
      <c r="J60" s="5">
        <f ca="1">COUNTBLANK(OFFSET(Demand!$I69,0,(COLUMN(I57)-1)*5,1,1))</f>
        <v>1</v>
      </c>
      <c r="K60" s="5">
        <f ca="1">COUNTBLANK(OFFSET(Demand!$I69,0,(COLUMN(J57)-1)*5,1,1))</f>
        <v>1</v>
      </c>
      <c r="N60" s="5">
        <f ca="1">SUM(OFFSET(Demand!$E69,0,(COLUMN(A57)-1)*5,1,3))*N$2</f>
        <v>150</v>
      </c>
      <c r="O60" s="5">
        <f ca="1">SUM(OFFSET(Demand!$E69,0,(COLUMN(B57)-1)*5,1,3))*O$2</f>
        <v>280</v>
      </c>
      <c r="P60" s="5">
        <f ca="1">SUM(OFFSET(Demand!$E69,0,(COLUMN(C57)-1)*5,1,3))*P$2</f>
        <v>0</v>
      </c>
      <c r="Q60" s="5">
        <f ca="1">SUM(OFFSET(Demand!$E69,0,(COLUMN(D57)-1)*5,1,3))*Q$2</f>
        <v>0</v>
      </c>
      <c r="R60" s="5">
        <f ca="1">SUM(OFFSET(Demand!$E69,0,(COLUMN(E57)-1)*5,1,3))*R$2</f>
        <v>0</v>
      </c>
      <c r="S60" s="5">
        <f ca="1">SUM(OFFSET(Demand!$E69,0,(COLUMN(F57)-1)*5,1,3))*S$2</f>
        <v>0</v>
      </c>
      <c r="T60" s="5">
        <f ca="1">SUM(OFFSET(Demand!$E69,0,(COLUMN(G57)-1)*5,1,3))*T$2</f>
        <v>0</v>
      </c>
      <c r="U60" s="5">
        <f ca="1">SUM(OFFSET(Demand!$E69,0,(COLUMN(H57)-1)*5,1,3))*U$2</f>
        <v>0</v>
      </c>
      <c r="V60" s="5">
        <f ca="1">SUM(OFFSET(Demand!$E69,0,(COLUMN(I57)-1)*5,1,3))*V$2</f>
        <v>0</v>
      </c>
      <c r="W60" s="5">
        <f ca="1">SUM(OFFSET(Demand!$E69,0,(COLUMN(J57)-1)*5,1,3))*W$2</f>
        <v>0</v>
      </c>
      <c r="X60" s="5">
        <f t="shared" ca="1" si="4"/>
        <v>430</v>
      </c>
      <c r="Y60">
        <f t="shared" ca="1" si="5"/>
        <v>430</v>
      </c>
      <c r="Z60" s="5">
        <f ca="1">SUM(OFFSET(Demand!$H69,0,(COLUMN(A57)-1)*5,1,1))*N$2</f>
        <v>0</v>
      </c>
      <c r="AA60" s="5">
        <f ca="1">SUM(OFFSET(Demand!$H69,0,(COLUMN(B57)-1)*5,1,1))*O$2</f>
        <v>0</v>
      </c>
      <c r="AB60" s="5">
        <f ca="1">SUM(OFFSET(Demand!$H69,0,(COLUMN(C57)-1)*5,1,1))*P$2</f>
        <v>0</v>
      </c>
      <c r="AC60" s="5">
        <f ca="1">SUM(OFFSET(Demand!$H69,0,(COLUMN(D57)-1)*5,1,1))*Q$2</f>
        <v>0</v>
      </c>
      <c r="AD60" s="5">
        <f ca="1">SUM(OFFSET(Demand!$H69,0,(COLUMN(E57)-1)*5,1,1))*R$2</f>
        <v>0</v>
      </c>
      <c r="AE60" s="5">
        <f ca="1">SUM(OFFSET(Demand!$H69,0,(COLUMN(F57)-1)*5,1,1))*S$2</f>
        <v>0</v>
      </c>
      <c r="AF60" s="5">
        <f ca="1">SUM(OFFSET(Demand!$H69,0,(COLUMN(G57)-1)*5,1,1))*T$2</f>
        <v>0</v>
      </c>
      <c r="AG60" s="5">
        <f ca="1">SUM(OFFSET(Demand!$H69,0,(COLUMN(H57)-1)*5,1,1))*U$2</f>
        <v>0</v>
      </c>
      <c r="AH60" s="5">
        <f ca="1">SUM(OFFSET(Demand!$H69,0,(COLUMN(I57)-1)*5,1,1))*V$2</f>
        <v>0</v>
      </c>
      <c r="AI60" s="5">
        <f ca="1">SUM(OFFSET(Demand!$H69,0,(COLUMN(J57)-1)*5,1,1))*W$2</f>
        <v>0</v>
      </c>
      <c r="AJ60" s="5">
        <f t="shared" ca="1" si="6"/>
        <v>0</v>
      </c>
      <c r="AL60" s="5">
        <f t="shared" ca="1" si="7"/>
        <v>430</v>
      </c>
      <c r="AM60" s="5">
        <f t="shared" ca="1" si="8"/>
        <v>0</v>
      </c>
      <c r="AN60" s="5" t="str">
        <f>IF(Demand!BE69="Yes","Yes","")</f>
        <v/>
      </c>
      <c r="AP60" s="37" t="str">
        <f ca="1">Demand!B69</f>
        <v xml:space="preserve"> </v>
      </c>
      <c r="AQ60" t="str">
        <f ca="1">IF(TEXT(Demand!D69,"MMM")&lt;&gt;TEXT(Demand!D68,"MMM"),TEXT(Demand!D69,"MMM"),"")</f>
        <v/>
      </c>
      <c r="AT60" s="5">
        <f t="shared" ca="1" si="10"/>
        <v>190</v>
      </c>
      <c r="BQ60">
        <f ca="1">IF($AN60="",OFFSET(Demand!$A$13,ROW(A57)-1,4+((QUOTIENT(COLUMN(BQ$2)-69,3))*5)+MOD(COLUMN(BQ$2),3),1,1),"")</f>
        <v>0</v>
      </c>
      <c r="BR60">
        <f ca="1">IF($AN60="",OFFSET(Demand!$A$13,ROW(B57)-1,4+((QUOTIENT(COLUMN(BR$2)-69,3))*5)+MOD(COLUMN(BR$2),3),1,1),"")</f>
        <v>2</v>
      </c>
      <c r="BS60">
        <f ca="1">IF($AN60="",OFFSET(Demand!$A$13,ROW(C57)-1,4+((QUOTIENT(COLUMN(BS$2)-69,3))*5)+MOD(COLUMN(BS$2),3),1,1),"")</f>
        <v>3</v>
      </c>
      <c r="BT60">
        <f ca="1">IF($AN60="",OFFSET(Demand!$A$13,ROW(D57)-1,4+((QUOTIENT(COLUMN(BT$2)-69,3))*5)+MOD(COLUMN(BT$2),3),1,1),"")</f>
        <v>0</v>
      </c>
      <c r="BU60">
        <f ca="1">IF($AN60="",OFFSET(Demand!$A$13,ROW(E57)-1,4+((QUOTIENT(COLUMN(BU$2)-69,3))*5)+MOD(COLUMN(BU$2),3),1,1),"")</f>
        <v>1</v>
      </c>
      <c r="BV60">
        <f ca="1">IF($AN60="",OFFSET(Demand!$A$13,ROW(F57)-1,4+((QUOTIENT(COLUMN(BV$2)-69,3))*5)+MOD(COLUMN(BV$2),3),1,1),"")</f>
        <v>6</v>
      </c>
      <c r="BW60">
        <f ca="1">IF($AN60="",OFFSET(Demand!$A$13,ROW(G57)-1,4+((QUOTIENT(COLUMN(BW$2)-69,3))*5)+MOD(COLUMN(BW$2),3),1,1),"")</f>
        <v>0</v>
      </c>
      <c r="BX60">
        <f ca="1">IF($AN60="",OFFSET(Demand!$A$13,ROW(H57)-1,4+((QUOTIENT(COLUMN(BX$2)-69,3))*5)+MOD(COLUMN(BX$2),3),1,1),"")</f>
        <v>0</v>
      </c>
      <c r="BY60">
        <f ca="1">IF($AN60="",OFFSET(Demand!$A$13,ROW(I57)-1,4+((QUOTIENT(COLUMN(BY$2)-69,3))*5)+MOD(COLUMN(BY$2),3),1,1),"")</f>
        <v>0</v>
      </c>
      <c r="BZ60">
        <f ca="1">IF($AN60="",OFFSET(Demand!$A$13,ROW(J57)-1,4+((QUOTIENT(COLUMN(BZ$2)-69,3))*5)+MOD(COLUMN(BZ$2),3),1,1),"")</f>
        <v>0</v>
      </c>
      <c r="CA60">
        <f ca="1">IF($AN60="",OFFSET(Demand!$A$13,ROW(K57)-1,4+((QUOTIENT(COLUMN(CA$2)-69,3))*5)+MOD(COLUMN(CA$2),3),1,1),"")</f>
        <v>0</v>
      </c>
      <c r="CB60">
        <f ca="1">IF($AN60="",OFFSET(Demand!$A$13,ROW(L57)-1,4+((QUOTIENT(COLUMN(CB$2)-69,3))*5)+MOD(COLUMN(CB$2),3),1,1),"")</f>
        <v>0</v>
      </c>
      <c r="CC60">
        <f ca="1">IF($AN60="",OFFSET(Demand!$A$13,ROW(M57)-1,4+((QUOTIENT(COLUMN(CC$2)-69,3))*5)+MOD(COLUMN(CC$2),3),1,1),"")</f>
        <v>0</v>
      </c>
      <c r="CD60">
        <f ca="1">IF($AN60="",OFFSET(Demand!$A$13,ROW(N57)-1,4+((QUOTIENT(COLUMN(CD$2)-69,3))*5)+MOD(COLUMN(CD$2),3),1,1),"")</f>
        <v>0</v>
      </c>
      <c r="CE60">
        <f ca="1">IF($AN60="",OFFSET(Demand!$A$13,ROW(O57)-1,4+((QUOTIENT(COLUMN(CE$2)-69,3))*5)+MOD(COLUMN(CE$2),3),1,1),"")</f>
        <v>0</v>
      </c>
      <c r="CF60">
        <f ca="1">IF($AN60="",OFFSET(Demand!$A$13,ROW(P57)-1,4+((QUOTIENT(COLUMN(CF$2)-69,3))*5)+MOD(COLUMN(CF$2),3),1,1),"")</f>
        <v>0</v>
      </c>
      <c r="CG60">
        <f ca="1">IF($AN60="",OFFSET(Demand!$A$13,ROW(Q57)-1,4+((QUOTIENT(COLUMN(CG$2)-69,3))*5)+MOD(COLUMN(CG$2),3),1,1),"")</f>
        <v>0</v>
      </c>
      <c r="CH60">
        <f ca="1">IF($AN60="",OFFSET(Demand!$A$13,ROW(R57)-1,4+((QUOTIENT(COLUMN(CH$2)-69,3))*5)+MOD(COLUMN(CH$2),3),1,1),"")</f>
        <v>0</v>
      </c>
      <c r="CI60">
        <f ca="1">IF($AN60="",OFFSET(Demand!$A$13,ROW(S57)-1,4+((QUOTIENT(COLUMN(CI$2)-69,3))*5)+MOD(COLUMN(CI$2),3),1,1),"")</f>
        <v>0</v>
      </c>
      <c r="CJ60">
        <f ca="1">IF($AN60="",OFFSET(Demand!$A$13,ROW(T57)-1,4+((QUOTIENT(COLUMN(CJ$2)-69,3))*5)+MOD(COLUMN(CJ$2),3),1,1),"")</f>
        <v>0</v>
      </c>
      <c r="CK60">
        <f ca="1">IF($AN60="",OFFSET(Demand!$A$13,ROW(U57)-1,4+((QUOTIENT(COLUMN(CK$2)-69,3))*5)+MOD(COLUMN(CK$2),3),1,1),"")</f>
        <v>0</v>
      </c>
      <c r="CL60">
        <f ca="1">IF($AN60="",OFFSET(Demand!$A$13,ROW(V57)-1,4+((QUOTIENT(COLUMN(CL$2)-69,3))*5)+MOD(COLUMN(CL$2),3),1,1),"")</f>
        <v>0</v>
      </c>
      <c r="CM60">
        <f ca="1">IF($AN60="",OFFSET(Demand!$A$13,ROW(W57)-1,4+((QUOTIENT(COLUMN(CM$2)-69,3))*5)+MOD(COLUMN(CM$2),3),1,1),"")</f>
        <v>0</v>
      </c>
      <c r="CN60">
        <f ca="1">IF($AN60="",OFFSET(Demand!$A$13,ROW(X57)-1,4+((QUOTIENT(COLUMN(CN$2)-69,3))*5)+MOD(COLUMN(CN$2),3),1,1),"")</f>
        <v>0</v>
      </c>
      <c r="CO60">
        <f ca="1">IF($AN60="",OFFSET(Demand!$A$13,ROW(Y57)-1,4+((QUOTIENT(COLUMN(CO$2)-69,3))*5)+MOD(COLUMN(CO$2),3),1,1),"")</f>
        <v>0</v>
      </c>
      <c r="CP60">
        <f ca="1">IF($AN60="",OFFSET(Demand!$A$13,ROW(Z57)-1,4+((QUOTIENT(COLUMN(CP$2)-69,3))*5)+MOD(COLUMN(CP$2),3),1,1),"")</f>
        <v>0</v>
      </c>
      <c r="CQ60">
        <f ca="1">IF($AN60="",OFFSET(Demand!$A$13,ROW(AA57)-1,4+((QUOTIENT(COLUMN(CQ$2)-69,3))*5)+MOD(COLUMN(CQ$2),3),1,1),"")</f>
        <v>0</v>
      </c>
      <c r="CR60">
        <f ca="1">IF($AN60="",OFFSET(Demand!$A$13,ROW(AB57)-1,4+((QUOTIENT(COLUMN(CR$2)-69,3))*5)+MOD(COLUMN(CR$2),3),1,1),"")</f>
        <v>0</v>
      </c>
      <c r="CS60">
        <f ca="1">IF($AN60="",OFFSET(Demand!$A$13,ROW(AC57)-1,4+((QUOTIENT(COLUMN(CS$2)-69,3))*5)+MOD(COLUMN(CS$2),3),1,1),"")</f>
        <v>0</v>
      </c>
      <c r="CT60">
        <f ca="1">IF($AN60="",OFFSET(Demand!$A$13,ROW(AD57)-1,4+((QUOTIENT(COLUMN(CT$2)-69,3))*5)+MOD(COLUMN(CT$2),3),1,1),"")</f>
        <v>0</v>
      </c>
      <c r="CW60" s="5">
        <f ca="1">SUM(OFFSET(Demand!$H$43,ROW(A57)-1,(COLUMN(A57)-1)*5,1,1))*N$2</f>
        <v>0</v>
      </c>
      <c r="CX60" s="5">
        <f ca="1">SUM(OFFSET(Demand!$H$43,ROW(B57)-1,(COLUMN(B57)-1)*5,1,1))*O$2</f>
        <v>0</v>
      </c>
      <c r="CY60" s="5">
        <f ca="1">SUM(OFFSET(Demand!$H$43,ROW(C57)-1,(COLUMN(C57)-1)*5,1,1))*P$2</f>
        <v>0</v>
      </c>
      <c r="CZ60" s="5">
        <f ca="1">SUM(OFFSET(Demand!$H$43,ROW(D57)-1,(COLUMN(D57)-1)*5,1,1))*Q$2</f>
        <v>0</v>
      </c>
      <c r="DA60" s="5">
        <f ca="1">SUM(OFFSET(Demand!$H$43,ROW(E57)-1,(COLUMN(E57)-1)*5,1,1))*R$2</f>
        <v>0</v>
      </c>
      <c r="DB60" s="5">
        <f ca="1">SUM(OFFSET(Demand!$H$43,ROW(F57)-1,(COLUMN(F57)-1)*5,1,1))*S$2</f>
        <v>0</v>
      </c>
      <c r="DC60" s="5">
        <f ca="1">SUM(OFFSET(Demand!$H$43,ROW(G57)-1,(COLUMN(G57)-1)*5,1,1))*T$2</f>
        <v>0</v>
      </c>
      <c r="DD60" s="5">
        <f ca="1">SUM(OFFSET(Demand!$H$43,ROW(H57)-1,(COLUMN(H57)-1)*5,1,1))*U$2</f>
        <v>0</v>
      </c>
      <c r="DE60" s="5">
        <f ca="1">SUM(OFFSET(Demand!$H$43,ROW(I57)-1,(COLUMN(I57)-1)*5,1,1))*V$2</f>
        <v>0</v>
      </c>
      <c r="DF60" s="5">
        <f ca="1">SUM(OFFSET(Demand!$H$43,ROW(J57)-1,(COLUMN(J57)-1)*5,1,1))*W$2</f>
        <v>0</v>
      </c>
      <c r="DG60" s="5">
        <f t="shared" ca="1" si="9"/>
        <v>0</v>
      </c>
    </row>
    <row r="61" spans="1:111" x14ac:dyDescent="0.2">
      <c r="A61" s="5">
        <f t="shared" ca="1" si="30"/>
        <v>0</v>
      </c>
      <c r="B61" s="5">
        <f ca="1">COUNTBLANK(OFFSET(Demand!$I70,0,(COLUMN(A58)-1)*5,1,1))</f>
        <v>0</v>
      </c>
      <c r="C61" s="5">
        <f ca="1">COUNTBLANK(OFFSET(Demand!$I70,0,(COLUMN(B58)-1)*5,1,1))</f>
        <v>0</v>
      </c>
      <c r="D61" s="5">
        <f ca="1">COUNTBLANK(OFFSET(Demand!$I70,0,(COLUMN(C58)-1)*5,1,1))</f>
        <v>1</v>
      </c>
      <c r="E61" s="5">
        <f ca="1">COUNTBLANK(OFFSET(Demand!$I70,0,(COLUMN(D58)-1)*5,1,1))</f>
        <v>1</v>
      </c>
      <c r="F61" s="5">
        <f ca="1">COUNTBLANK(OFFSET(Demand!$I70,0,(COLUMN(E58)-1)*5,1,1))</f>
        <v>1</v>
      </c>
      <c r="G61" s="5">
        <f ca="1">COUNTBLANK(OFFSET(Demand!$I70,0,(COLUMN(F58)-1)*5,1,1))</f>
        <v>1</v>
      </c>
      <c r="H61" s="5">
        <f ca="1">COUNTBLANK(OFFSET(Demand!$I70,0,(COLUMN(G58)-1)*5,1,1))</f>
        <v>1</v>
      </c>
      <c r="I61" s="5">
        <f ca="1">COUNTBLANK(OFFSET(Demand!$I70,0,(COLUMN(H58)-1)*5,1,1))</f>
        <v>1</v>
      </c>
      <c r="J61" s="5">
        <f ca="1">COUNTBLANK(OFFSET(Demand!$I70,0,(COLUMN(I58)-1)*5,1,1))</f>
        <v>1</v>
      </c>
      <c r="K61" s="5">
        <f ca="1">COUNTBLANK(OFFSET(Demand!$I70,0,(COLUMN(J58)-1)*5,1,1))</f>
        <v>1</v>
      </c>
      <c r="N61" s="5">
        <f ca="1">SUM(OFFSET(Demand!$E70,0,(COLUMN(A58)-1)*5,1,3))*N$2</f>
        <v>180</v>
      </c>
      <c r="O61" s="5">
        <f ca="1">SUM(OFFSET(Demand!$E70,0,(COLUMN(B58)-1)*5,1,3))*O$2</f>
        <v>440</v>
      </c>
      <c r="P61" s="5">
        <f ca="1">SUM(OFFSET(Demand!$E70,0,(COLUMN(C58)-1)*5,1,3))*P$2</f>
        <v>0</v>
      </c>
      <c r="Q61" s="5">
        <f ca="1">SUM(OFFSET(Demand!$E70,0,(COLUMN(D58)-1)*5,1,3))*Q$2</f>
        <v>0</v>
      </c>
      <c r="R61" s="5">
        <f ca="1">SUM(OFFSET(Demand!$E70,0,(COLUMN(E58)-1)*5,1,3))*R$2</f>
        <v>0</v>
      </c>
      <c r="S61" s="5">
        <f ca="1">SUM(OFFSET(Demand!$E70,0,(COLUMN(F58)-1)*5,1,3))*S$2</f>
        <v>0</v>
      </c>
      <c r="T61" s="5">
        <f ca="1">SUM(OFFSET(Demand!$E70,0,(COLUMN(G58)-1)*5,1,3))*T$2</f>
        <v>0</v>
      </c>
      <c r="U61" s="5">
        <f ca="1">SUM(OFFSET(Demand!$E70,0,(COLUMN(H58)-1)*5,1,3))*U$2</f>
        <v>0</v>
      </c>
      <c r="V61" s="5">
        <f ca="1">SUM(OFFSET(Demand!$E70,0,(COLUMN(I58)-1)*5,1,3))*V$2</f>
        <v>0</v>
      </c>
      <c r="W61" s="5">
        <f ca="1">SUM(OFFSET(Demand!$E70,0,(COLUMN(J58)-1)*5,1,3))*W$2</f>
        <v>0</v>
      </c>
      <c r="X61" s="5">
        <f t="shared" ca="1" si="4"/>
        <v>620</v>
      </c>
      <c r="Y61">
        <f t="shared" ca="1" si="5"/>
        <v>620</v>
      </c>
      <c r="Z61" s="5">
        <f ca="1">SUM(OFFSET(Demand!$H70,0,(COLUMN(A58)-1)*5,1,1))*N$2</f>
        <v>0</v>
      </c>
      <c r="AA61" s="5">
        <f ca="1">SUM(OFFSET(Demand!$H70,0,(COLUMN(B58)-1)*5,1,1))*O$2</f>
        <v>0</v>
      </c>
      <c r="AB61" s="5">
        <f ca="1">SUM(OFFSET(Demand!$H70,0,(COLUMN(C58)-1)*5,1,1))*P$2</f>
        <v>0</v>
      </c>
      <c r="AC61" s="5">
        <f ca="1">SUM(OFFSET(Demand!$H70,0,(COLUMN(D58)-1)*5,1,1))*Q$2</f>
        <v>0</v>
      </c>
      <c r="AD61" s="5">
        <f ca="1">SUM(OFFSET(Demand!$H70,0,(COLUMN(E58)-1)*5,1,1))*R$2</f>
        <v>0</v>
      </c>
      <c r="AE61" s="5">
        <f ca="1">SUM(OFFSET(Demand!$H70,0,(COLUMN(F58)-1)*5,1,1))*S$2</f>
        <v>0</v>
      </c>
      <c r="AF61" s="5">
        <f ca="1">SUM(OFFSET(Demand!$H70,0,(COLUMN(G58)-1)*5,1,1))*T$2</f>
        <v>0</v>
      </c>
      <c r="AG61" s="5">
        <f ca="1">SUM(OFFSET(Demand!$H70,0,(COLUMN(H58)-1)*5,1,1))*U$2</f>
        <v>0</v>
      </c>
      <c r="AH61" s="5">
        <f ca="1">SUM(OFFSET(Demand!$H70,0,(COLUMN(I58)-1)*5,1,1))*V$2</f>
        <v>0</v>
      </c>
      <c r="AI61" s="5">
        <f ca="1">SUM(OFFSET(Demand!$H70,0,(COLUMN(J58)-1)*5,1,1))*W$2</f>
        <v>0</v>
      </c>
      <c r="AJ61" s="5">
        <f t="shared" ca="1" si="6"/>
        <v>0</v>
      </c>
      <c r="AL61" s="5">
        <f t="shared" ca="1" si="7"/>
        <v>620</v>
      </c>
      <c r="AM61" s="5">
        <f t="shared" ca="1" si="8"/>
        <v>0</v>
      </c>
      <c r="AN61" s="5" t="str">
        <f>IF(Demand!BE70="Yes","Yes","")</f>
        <v/>
      </c>
      <c r="AP61" s="37" t="str">
        <f ca="1">Demand!B70</f>
        <v xml:space="preserve"> </v>
      </c>
      <c r="AQ61" t="str">
        <f ca="1">IF(TEXT(Demand!D70,"MMM")&lt;&gt;TEXT(Demand!D69,"MMM"),TEXT(Demand!D70,"MMM"),"")</f>
        <v>May</v>
      </c>
      <c r="AT61" s="5">
        <f t="shared" ca="1" si="10"/>
        <v>190</v>
      </c>
      <c r="BQ61">
        <f ca="1">IF($AN61="",OFFSET(Demand!$A$13,ROW(A58)-1,4+((QUOTIENT(COLUMN(BQ$2)-69,3))*5)+MOD(COLUMN(BQ$2),3),1,1),"")</f>
        <v>0</v>
      </c>
      <c r="BR61">
        <f ca="1">IF($AN61="",OFFSET(Demand!$A$13,ROW(B58)-1,4+((QUOTIENT(COLUMN(BR$2)-69,3))*5)+MOD(COLUMN(BR$2),3),1,1),"")</f>
        <v>0</v>
      </c>
      <c r="BS61">
        <f ca="1">IF($AN61="",OFFSET(Demand!$A$13,ROW(C58)-1,4+((QUOTIENT(COLUMN(BS$2)-69,3))*5)+MOD(COLUMN(BS$2),3),1,1),"")</f>
        <v>6</v>
      </c>
      <c r="BT61">
        <f ca="1">IF($AN61="",OFFSET(Demand!$A$13,ROW(D58)-1,4+((QUOTIENT(COLUMN(BT$2)-69,3))*5)+MOD(COLUMN(BT$2),3),1,1),"")</f>
        <v>0</v>
      </c>
      <c r="BU61">
        <f ca="1">IF($AN61="",OFFSET(Demand!$A$13,ROW(E58)-1,4+((QUOTIENT(COLUMN(BU$2)-69,3))*5)+MOD(COLUMN(BU$2),3),1,1),"")</f>
        <v>4</v>
      </c>
      <c r="BV61">
        <f ca="1">IF($AN61="",OFFSET(Demand!$A$13,ROW(F58)-1,4+((QUOTIENT(COLUMN(BV$2)-69,3))*5)+MOD(COLUMN(BV$2),3),1,1),"")</f>
        <v>7</v>
      </c>
      <c r="BW61">
        <f ca="1">IF($AN61="",OFFSET(Demand!$A$13,ROW(G58)-1,4+((QUOTIENT(COLUMN(BW$2)-69,3))*5)+MOD(COLUMN(BW$2),3),1,1),"")</f>
        <v>0</v>
      </c>
      <c r="BX61">
        <f ca="1">IF($AN61="",OFFSET(Demand!$A$13,ROW(H58)-1,4+((QUOTIENT(COLUMN(BX$2)-69,3))*5)+MOD(COLUMN(BX$2),3),1,1),"")</f>
        <v>0</v>
      </c>
      <c r="BY61">
        <f ca="1">IF($AN61="",OFFSET(Demand!$A$13,ROW(I58)-1,4+((QUOTIENT(COLUMN(BY$2)-69,3))*5)+MOD(COLUMN(BY$2),3),1,1),"")</f>
        <v>0</v>
      </c>
      <c r="BZ61">
        <f ca="1">IF($AN61="",OFFSET(Demand!$A$13,ROW(J58)-1,4+((QUOTIENT(COLUMN(BZ$2)-69,3))*5)+MOD(COLUMN(BZ$2),3),1,1),"")</f>
        <v>0</v>
      </c>
      <c r="CA61">
        <f ca="1">IF($AN61="",OFFSET(Demand!$A$13,ROW(K58)-1,4+((QUOTIENT(COLUMN(CA$2)-69,3))*5)+MOD(COLUMN(CA$2),3),1,1),"")</f>
        <v>0</v>
      </c>
      <c r="CB61">
        <f ca="1">IF($AN61="",OFFSET(Demand!$A$13,ROW(L58)-1,4+((QUOTIENT(COLUMN(CB$2)-69,3))*5)+MOD(COLUMN(CB$2),3),1,1),"")</f>
        <v>0</v>
      </c>
      <c r="CC61">
        <f ca="1">IF($AN61="",OFFSET(Demand!$A$13,ROW(M58)-1,4+((QUOTIENT(COLUMN(CC$2)-69,3))*5)+MOD(COLUMN(CC$2),3),1,1),"")</f>
        <v>0</v>
      </c>
      <c r="CD61">
        <f ca="1">IF($AN61="",OFFSET(Demand!$A$13,ROW(N58)-1,4+((QUOTIENT(COLUMN(CD$2)-69,3))*5)+MOD(COLUMN(CD$2),3),1,1),"")</f>
        <v>0</v>
      </c>
      <c r="CE61">
        <f ca="1">IF($AN61="",OFFSET(Demand!$A$13,ROW(O58)-1,4+((QUOTIENT(COLUMN(CE$2)-69,3))*5)+MOD(COLUMN(CE$2),3),1,1),"")</f>
        <v>0</v>
      </c>
      <c r="CF61">
        <f ca="1">IF($AN61="",OFFSET(Demand!$A$13,ROW(P58)-1,4+((QUOTIENT(COLUMN(CF$2)-69,3))*5)+MOD(COLUMN(CF$2),3),1,1),"")</f>
        <v>0</v>
      </c>
      <c r="CG61">
        <f ca="1">IF($AN61="",OFFSET(Demand!$A$13,ROW(Q58)-1,4+((QUOTIENT(COLUMN(CG$2)-69,3))*5)+MOD(COLUMN(CG$2),3),1,1),"")</f>
        <v>0</v>
      </c>
      <c r="CH61">
        <f ca="1">IF($AN61="",OFFSET(Demand!$A$13,ROW(R58)-1,4+((QUOTIENT(COLUMN(CH$2)-69,3))*5)+MOD(COLUMN(CH$2),3),1,1),"")</f>
        <v>0</v>
      </c>
      <c r="CI61">
        <f ca="1">IF($AN61="",OFFSET(Demand!$A$13,ROW(S58)-1,4+((QUOTIENT(COLUMN(CI$2)-69,3))*5)+MOD(COLUMN(CI$2),3),1,1),"")</f>
        <v>0</v>
      </c>
      <c r="CJ61">
        <f ca="1">IF($AN61="",OFFSET(Demand!$A$13,ROW(T58)-1,4+((QUOTIENT(COLUMN(CJ$2)-69,3))*5)+MOD(COLUMN(CJ$2),3),1,1),"")</f>
        <v>0</v>
      </c>
      <c r="CK61">
        <f ca="1">IF($AN61="",OFFSET(Demand!$A$13,ROW(U58)-1,4+((QUOTIENT(COLUMN(CK$2)-69,3))*5)+MOD(COLUMN(CK$2),3),1,1),"")</f>
        <v>0</v>
      </c>
      <c r="CL61">
        <f ca="1">IF($AN61="",OFFSET(Demand!$A$13,ROW(V58)-1,4+((QUOTIENT(COLUMN(CL$2)-69,3))*5)+MOD(COLUMN(CL$2),3),1,1),"")</f>
        <v>0</v>
      </c>
      <c r="CM61">
        <f ca="1">IF($AN61="",OFFSET(Demand!$A$13,ROW(W58)-1,4+((QUOTIENT(COLUMN(CM$2)-69,3))*5)+MOD(COLUMN(CM$2),3),1,1),"")</f>
        <v>0</v>
      </c>
      <c r="CN61">
        <f ca="1">IF($AN61="",OFFSET(Demand!$A$13,ROW(X58)-1,4+((QUOTIENT(COLUMN(CN$2)-69,3))*5)+MOD(COLUMN(CN$2),3),1,1),"")</f>
        <v>0</v>
      </c>
      <c r="CO61">
        <f ca="1">IF($AN61="",OFFSET(Demand!$A$13,ROW(Y58)-1,4+((QUOTIENT(COLUMN(CO$2)-69,3))*5)+MOD(COLUMN(CO$2),3),1,1),"")</f>
        <v>0</v>
      </c>
      <c r="CP61">
        <f ca="1">IF($AN61="",OFFSET(Demand!$A$13,ROW(Z58)-1,4+((QUOTIENT(COLUMN(CP$2)-69,3))*5)+MOD(COLUMN(CP$2),3),1,1),"")</f>
        <v>0</v>
      </c>
      <c r="CQ61">
        <f ca="1">IF($AN61="",OFFSET(Demand!$A$13,ROW(AA58)-1,4+((QUOTIENT(COLUMN(CQ$2)-69,3))*5)+MOD(COLUMN(CQ$2),3),1,1),"")</f>
        <v>0</v>
      </c>
      <c r="CR61">
        <f ca="1">IF($AN61="",OFFSET(Demand!$A$13,ROW(AB58)-1,4+((QUOTIENT(COLUMN(CR$2)-69,3))*5)+MOD(COLUMN(CR$2),3),1,1),"")</f>
        <v>0</v>
      </c>
      <c r="CS61">
        <f ca="1">IF($AN61="",OFFSET(Demand!$A$13,ROW(AC58)-1,4+((QUOTIENT(COLUMN(CS$2)-69,3))*5)+MOD(COLUMN(CS$2),3),1,1),"")</f>
        <v>0</v>
      </c>
      <c r="CT61">
        <f ca="1">IF($AN61="",OFFSET(Demand!$A$13,ROW(AD58)-1,4+((QUOTIENT(COLUMN(CT$2)-69,3))*5)+MOD(COLUMN(CT$2),3),1,1),"")</f>
        <v>0</v>
      </c>
      <c r="CW61" s="5">
        <f ca="1">SUM(OFFSET(Demand!$H$43,ROW(A58)-1,(COLUMN(A58)-1)*5,1,1))*N$2</f>
        <v>0</v>
      </c>
      <c r="CX61" s="5">
        <f ca="1">SUM(OFFSET(Demand!$H$43,ROW(B58)-1,(COLUMN(B58)-1)*5,1,1))*O$2</f>
        <v>0</v>
      </c>
      <c r="CY61" s="5">
        <f ca="1">SUM(OFFSET(Demand!$H$43,ROW(C58)-1,(COLUMN(C58)-1)*5,1,1))*P$2</f>
        <v>0</v>
      </c>
      <c r="CZ61" s="5">
        <f ca="1">SUM(OFFSET(Demand!$H$43,ROW(D58)-1,(COLUMN(D58)-1)*5,1,1))*Q$2</f>
        <v>0</v>
      </c>
      <c r="DA61" s="5">
        <f ca="1">SUM(OFFSET(Demand!$H$43,ROW(E58)-1,(COLUMN(E58)-1)*5,1,1))*R$2</f>
        <v>0</v>
      </c>
      <c r="DB61" s="5">
        <f ca="1">SUM(OFFSET(Demand!$H$43,ROW(F58)-1,(COLUMN(F58)-1)*5,1,1))*S$2</f>
        <v>0</v>
      </c>
      <c r="DC61" s="5">
        <f ca="1">SUM(OFFSET(Demand!$H$43,ROW(G58)-1,(COLUMN(G58)-1)*5,1,1))*T$2</f>
        <v>0</v>
      </c>
      <c r="DD61" s="5">
        <f ca="1">SUM(OFFSET(Demand!$H$43,ROW(H58)-1,(COLUMN(H58)-1)*5,1,1))*U$2</f>
        <v>0</v>
      </c>
      <c r="DE61" s="5">
        <f ca="1">SUM(OFFSET(Demand!$H$43,ROW(I58)-1,(COLUMN(I58)-1)*5,1,1))*V$2</f>
        <v>0</v>
      </c>
      <c r="DF61" s="5">
        <f ca="1">SUM(OFFSET(Demand!$H$43,ROW(J58)-1,(COLUMN(J58)-1)*5,1,1))*W$2</f>
        <v>0</v>
      </c>
      <c r="DG61" s="5">
        <f t="shared" ca="1" si="9"/>
        <v>0</v>
      </c>
    </row>
    <row r="62" spans="1:111" x14ac:dyDescent="0.2">
      <c r="A62" s="5">
        <f t="shared" ca="1" si="30"/>
        <v>0</v>
      </c>
      <c r="B62" s="5">
        <f ca="1">COUNTBLANK(OFFSET(Demand!$I71,0,(COLUMN(A59)-1)*5,1,1))</f>
        <v>0</v>
      </c>
      <c r="C62" s="5">
        <f ca="1">COUNTBLANK(OFFSET(Demand!$I71,0,(COLUMN(B59)-1)*5,1,1))</f>
        <v>0</v>
      </c>
      <c r="D62" s="5">
        <f ca="1">COUNTBLANK(OFFSET(Demand!$I71,0,(COLUMN(C59)-1)*5,1,1))</f>
        <v>1</v>
      </c>
      <c r="E62" s="5">
        <f ca="1">COUNTBLANK(OFFSET(Demand!$I71,0,(COLUMN(D59)-1)*5,1,1))</f>
        <v>1</v>
      </c>
      <c r="F62" s="5">
        <f ca="1">COUNTBLANK(OFFSET(Demand!$I71,0,(COLUMN(E59)-1)*5,1,1))</f>
        <v>1</v>
      </c>
      <c r="G62" s="5">
        <f ca="1">COUNTBLANK(OFFSET(Demand!$I71,0,(COLUMN(F59)-1)*5,1,1))</f>
        <v>1</v>
      </c>
      <c r="H62" s="5">
        <f ca="1">COUNTBLANK(OFFSET(Demand!$I71,0,(COLUMN(G59)-1)*5,1,1))</f>
        <v>1</v>
      </c>
      <c r="I62" s="5">
        <f ca="1">COUNTBLANK(OFFSET(Demand!$I71,0,(COLUMN(H59)-1)*5,1,1))</f>
        <v>1</v>
      </c>
      <c r="J62" s="5">
        <f ca="1">COUNTBLANK(OFFSET(Demand!$I71,0,(COLUMN(I59)-1)*5,1,1))</f>
        <v>1</v>
      </c>
      <c r="K62" s="5">
        <f ca="1">COUNTBLANK(OFFSET(Demand!$I71,0,(COLUMN(J59)-1)*5,1,1))</f>
        <v>1</v>
      </c>
      <c r="N62" s="5">
        <f ca="1">SUM(OFFSET(Demand!$E71,0,(COLUMN(A59)-1)*5,1,3))*N$2</f>
        <v>150</v>
      </c>
      <c r="O62" s="5">
        <f ca="1">SUM(OFFSET(Demand!$E71,0,(COLUMN(B59)-1)*5,1,3))*O$2</f>
        <v>120</v>
      </c>
      <c r="P62" s="5">
        <f ca="1">SUM(OFFSET(Demand!$E71,0,(COLUMN(C59)-1)*5,1,3))*P$2</f>
        <v>0</v>
      </c>
      <c r="Q62" s="5">
        <f ca="1">SUM(OFFSET(Demand!$E71,0,(COLUMN(D59)-1)*5,1,3))*Q$2</f>
        <v>0</v>
      </c>
      <c r="R62" s="5">
        <f ca="1">SUM(OFFSET(Demand!$E71,0,(COLUMN(E59)-1)*5,1,3))*R$2</f>
        <v>0</v>
      </c>
      <c r="S62" s="5">
        <f ca="1">SUM(OFFSET(Demand!$E71,0,(COLUMN(F59)-1)*5,1,3))*S$2</f>
        <v>0</v>
      </c>
      <c r="T62" s="5">
        <f ca="1">SUM(OFFSET(Demand!$E71,0,(COLUMN(G59)-1)*5,1,3))*T$2</f>
        <v>0</v>
      </c>
      <c r="U62" s="5">
        <f ca="1">SUM(OFFSET(Demand!$E71,0,(COLUMN(H59)-1)*5,1,3))*U$2</f>
        <v>0</v>
      </c>
      <c r="V62" s="5">
        <f ca="1">SUM(OFFSET(Demand!$E71,0,(COLUMN(I59)-1)*5,1,3))*V$2</f>
        <v>0</v>
      </c>
      <c r="W62" s="5">
        <f ca="1">SUM(OFFSET(Demand!$E71,0,(COLUMN(J59)-1)*5,1,3))*W$2</f>
        <v>0</v>
      </c>
      <c r="X62" s="5">
        <f t="shared" ca="1" si="4"/>
        <v>270</v>
      </c>
      <c r="Y62">
        <f t="shared" ca="1" si="5"/>
        <v>270</v>
      </c>
      <c r="Z62" s="5">
        <f ca="1">SUM(OFFSET(Demand!$H71,0,(COLUMN(A59)-1)*5,1,1))*N$2</f>
        <v>0</v>
      </c>
      <c r="AA62" s="5">
        <f ca="1">SUM(OFFSET(Demand!$H71,0,(COLUMN(B59)-1)*5,1,1))*O$2</f>
        <v>0</v>
      </c>
      <c r="AB62" s="5">
        <f ca="1">SUM(OFFSET(Demand!$H71,0,(COLUMN(C59)-1)*5,1,1))*P$2</f>
        <v>0</v>
      </c>
      <c r="AC62" s="5">
        <f ca="1">SUM(OFFSET(Demand!$H71,0,(COLUMN(D59)-1)*5,1,1))*Q$2</f>
        <v>0</v>
      </c>
      <c r="AD62" s="5">
        <f ca="1">SUM(OFFSET(Demand!$H71,0,(COLUMN(E59)-1)*5,1,1))*R$2</f>
        <v>0</v>
      </c>
      <c r="AE62" s="5">
        <f ca="1">SUM(OFFSET(Demand!$H71,0,(COLUMN(F59)-1)*5,1,1))*S$2</f>
        <v>0</v>
      </c>
      <c r="AF62" s="5">
        <f ca="1">SUM(OFFSET(Demand!$H71,0,(COLUMN(G59)-1)*5,1,1))*T$2</f>
        <v>0</v>
      </c>
      <c r="AG62" s="5">
        <f ca="1">SUM(OFFSET(Demand!$H71,0,(COLUMN(H59)-1)*5,1,1))*U$2</f>
        <v>0</v>
      </c>
      <c r="AH62" s="5">
        <f ca="1">SUM(OFFSET(Demand!$H71,0,(COLUMN(I59)-1)*5,1,1))*V$2</f>
        <v>0</v>
      </c>
      <c r="AI62" s="5">
        <f ca="1">SUM(OFFSET(Demand!$H71,0,(COLUMN(J59)-1)*5,1,1))*W$2</f>
        <v>0</v>
      </c>
      <c r="AJ62" s="5">
        <f t="shared" ca="1" si="6"/>
        <v>0</v>
      </c>
      <c r="AL62" s="5">
        <f t="shared" ca="1" si="7"/>
        <v>270</v>
      </c>
      <c r="AM62" s="5">
        <f t="shared" ca="1" si="8"/>
        <v>0</v>
      </c>
      <c r="AN62" s="5" t="str">
        <f>IF(Demand!BE71="Yes","Yes","")</f>
        <v/>
      </c>
      <c r="AP62" s="37" t="str">
        <f ca="1">Demand!B71</f>
        <v xml:space="preserve"> </v>
      </c>
      <c r="AQ62" t="str">
        <f ca="1">IF(TEXT(Demand!D71,"MMM")&lt;&gt;TEXT(Demand!D70,"MMM"),TEXT(Demand!D71,"MMM"),"")</f>
        <v/>
      </c>
      <c r="AT62" s="5">
        <f t="shared" ca="1" si="10"/>
        <v>350</v>
      </c>
      <c r="BQ62">
        <f ca="1">IF($AN62="",OFFSET(Demand!$A$13,ROW(A59)-1,4+((QUOTIENT(COLUMN(BQ$2)-69,3))*5)+MOD(COLUMN(BQ$2),3),1,1),"")</f>
        <v>0</v>
      </c>
      <c r="BR62">
        <f ca="1">IF($AN62="",OFFSET(Demand!$A$13,ROW(B59)-1,4+((QUOTIENT(COLUMN(BR$2)-69,3))*5)+MOD(COLUMN(BR$2),3),1,1),"")</f>
        <v>0</v>
      </c>
      <c r="BS62">
        <f ca="1">IF($AN62="",OFFSET(Demand!$A$13,ROW(C59)-1,4+((QUOTIENT(COLUMN(BS$2)-69,3))*5)+MOD(COLUMN(BS$2),3),1,1),"")</f>
        <v>5</v>
      </c>
      <c r="BT62">
        <f ca="1">IF($AN62="",OFFSET(Demand!$A$13,ROW(D59)-1,4+((QUOTIENT(COLUMN(BT$2)-69,3))*5)+MOD(COLUMN(BT$2),3),1,1),"")</f>
        <v>0</v>
      </c>
      <c r="BU62">
        <f ca="1">IF($AN62="",OFFSET(Demand!$A$13,ROW(E59)-1,4+((QUOTIENT(COLUMN(BU$2)-69,3))*5)+MOD(COLUMN(BU$2),3),1,1),"")</f>
        <v>1</v>
      </c>
      <c r="BV62">
        <f ca="1">IF($AN62="",OFFSET(Demand!$A$13,ROW(F59)-1,4+((QUOTIENT(COLUMN(BV$2)-69,3))*5)+MOD(COLUMN(BV$2),3),1,1),"")</f>
        <v>2</v>
      </c>
      <c r="BW62">
        <f ca="1">IF($AN62="",OFFSET(Demand!$A$13,ROW(G59)-1,4+((QUOTIENT(COLUMN(BW$2)-69,3))*5)+MOD(COLUMN(BW$2),3),1,1),"")</f>
        <v>0</v>
      </c>
      <c r="BX62">
        <f ca="1">IF($AN62="",OFFSET(Demand!$A$13,ROW(H59)-1,4+((QUOTIENT(COLUMN(BX$2)-69,3))*5)+MOD(COLUMN(BX$2),3),1,1),"")</f>
        <v>0</v>
      </c>
      <c r="BY62">
        <f ca="1">IF($AN62="",OFFSET(Demand!$A$13,ROW(I59)-1,4+((QUOTIENT(COLUMN(BY$2)-69,3))*5)+MOD(COLUMN(BY$2),3),1,1),"")</f>
        <v>0</v>
      </c>
      <c r="BZ62">
        <f ca="1">IF($AN62="",OFFSET(Demand!$A$13,ROW(J59)-1,4+((QUOTIENT(COLUMN(BZ$2)-69,3))*5)+MOD(COLUMN(BZ$2),3),1,1),"")</f>
        <v>0</v>
      </c>
      <c r="CA62">
        <f ca="1">IF($AN62="",OFFSET(Demand!$A$13,ROW(K59)-1,4+((QUOTIENT(COLUMN(CA$2)-69,3))*5)+MOD(COLUMN(CA$2),3),1,1),"")</f>
        <v>0</v>
      </c>
      <c r="CB62">
        <f ca="1">IF($AN62="",OFFSET(Demand!$A$13,ROW(L59)-1,4+((QUOTIENT(COLUMN(CB$2)-69,3))*5)+MOD(COLUMN(CB$2),3),1,1),"")</f>
        <v>0</v>
      </c>
      <c r="CC62">
        <f ca="1">IF($AN62="",OFFSET(Demand!$A$13,ROW(M59)-1,4+((QUOTIENT(COLUMN(CC$2)-69,3))*5)+MOD(COLUMN(CC$2),3),1,1),"")</f>
        <v>0</v>
      </c>
      <c r="CD62">
        <f ca="1">IF($AN62="",OFFSET(Demand!$A$13,ROW(N59)-1,4+((QUOTIENT(COLUMN(CD$2)-69,3))*5)+MOD(COLUMN(CD$2),3),1,1),"")</f>
        <v>0</v>
      </c>
      <c r="CE62">
        <f ca="1">IF($AN62="",OFFSET(Demand!$A$13,ROW(O59)-1,4+((QUOTIENT(COLUMN(CE$2)-69,3))*5)+MOD(COLUMN(CE$2),3),1,1),"")</f>
        <v>0</v>
      </c>
      <c r="CF62">
        <f ca="1">IF($AN62="",OFFSET(Demand!$A$13,ROW(P59)-1,4+((QUOTIENT(COLUMN(CF$2)-69,3))*5)+MOD(COLUMN(CF$2),3),1,1),"")</f>
        <v>0</v>
      </c>
      <c r="CG62">
        <f ca="1">IF($AN62="",OFFSET(Demand!$A$13,ROW(Q59)-1,4+((QUOTIENT(COLUMN(CG$2)-69,3))*5)+MOD(COLUMN(CG$2),3),1,1),"")</f>
        <v>0</v>
      </c>
      <c r="CH62">
        <f ca="1">IF($AN62="",OFFSET(Demand!$A$13,ROW(R59)-1,4+((QUOTIENT(COLUMN(CH$2)-69,3))*5)+MOD(COLUMN(CH$2),3),1,1),"")</f>
        <v>0</v>
      </c>
      <c r="CI62">
        <f ca="1">IF($AN62="",OFFSET(Demand!$A$13,ROW(S59)-1,4+((QUOTIENT(COLUMN(CI$2)-69,3))*5)+MOD(COLUMN(CI$2),3),1,1),"")</f>
        <v>0</v>
      </c>
      <c r="CJ62">
        <f ca="1">IF($AN62="",OFFSET(Demand!$A$13,ROW(T59)-1,4+((QUOTIENT(COLUMN(CJ$2)-69,3))*5)+MOD(COLUMN(CJ$2),3),1,1),"")</f>
        <v>0</v>
      </c>
      <c r="CK62">
        <f ca="1">IF($AN62="",OFFSET(Demand!$A$13,ROW(U59)-1,4+((QUOTIENT(COLUMN(CK$2)-69,3))*5)+MOD(COLUMN(CK$2),3),1,1),"")</f>
        <v>0</v>
      </c>
      <c r="CL62">
        <f ca="1">IF($AN62="",OFFSET(Demand!$A$13,ROW(V59)-1,4+((QUOTIENT(COLUMN(CL$2)-69,3))*5)+MOD(COLUMN(CL$2),3),1,1),"")</f>
        <v>0</v>
      </c>
      <c r="CM62">
        <f ca="1">IF($AN62="",OFFSET(Demand!$A$13,ROW(W59)-1,4+((QUOTIENT(COLUMN(CM$2)-69,3))*5)+MOD(COLUMN(CM$2),3),1,1),"")</f>
        <v>0</v>
      </c>
      <c r="CN62">
        <f ca="1">IF($AN62="",OFFSET(Demand!$A$13,ROW(X59)-1,4+((QUOTIENT(COLUMN(CN$2)-69,3))*5)+MOD(COLUMN(CN$2),3),1,1),"")</f>
        <v>0</v>
      </c>
      <c r="CO62">
        <f ca="1">IF($AN62="",OFFSET(Demand!$A$13,ROW(Y59)-1,4+((QUOTIENT(COLUMN(CO$2)-69,3))*5)+MOD(COLUMN(CO$2),3),1,1),"")</f>
        <v>0</v>
      </c>
      <c r="CP62">
        <f ca="1">IF($AN62="",OFFSET(Demand!$A$13,ROW(Z59)-1,4+((QUOTIENT(COLUMN(CP$2)-69,3))*5)+MOD(COLUMN(CP$2),3),1,1),"")</f>
        <v>0</v>
      </c>
      <c r="CQ62">
        <f ca="1">IF($AN62="",OFFSET(Demand!$A$13,ROW(AA59)-1,4+((QUOTIENT(COLUMN(CQ$2)-69,3))*5)+MOD(COLUMN(CQ$2),3),1,1),"")</f>
        <v>0</v>
      </c>
      <c r="CR62">
        <f ca="1">IF($AN62="",OFFSET(Demand!$A$13,ROW(AB59)-1,4+((QUOTIENT(COLUMN(CR$2)-69,3))*5)+MOD(COLUMN(CR$2),3),1,1),"")</f>
        <v>0</v>
      </c>
      <c r="CS62">
        <f ca="1">IF($AN62="",OFFSET(Demand!$A$13,ROW(AC59)-1,4+((QUOTIENT(COLUMN(CS$2)-69,3))*5)+MOD(COLUMN(CS$2),3),1,1),"")</f>
        <v>0</v>
      </c>
      <c r="CT62">
        <f ca="1">IF($AN62="",OFFSET(Demand!$A$13,ROW(AD59)-1,4+((QUOTIENT(COLUMN(CT$2)-69,3))*5)+MOD(COLUMN(CT$2),3),1,1),"")</f>
        <v>0</v>
      </c>
      <c r="CW62" s="5">
        <f ca="1">SUM(OFFSET(Demand!$H$43,ROW(A59)-1,(COLUMN(A59)-1)*5,1,1))*N$2</f>
        <v>0</v>
      </c>
      <c r="CX62" s="5">
        <f ca="1">SUM(OFFSET(Demand!$H$43,ROW(B59)-1,(COLUMN(B59)-1)*5,1,1))*O$2</f>
        <v>0</v>
      </c>
      <c r="CY62" s="5">
        <f ca="1">SUM(OFFSET(Demand!$H$43,ROW(C59)-1,(COLUMN(C59)-1)*5,1,1))*P$2</f>
        <v>0</v>
      </c>
      <c r="CZ62" s="5">
        <f ca="1">SUM(OFFSET(Demand!$H$43,ROW(D59)-1,(COLUMN(D59)-1)*5,1,1))*Q$2</f>
        <v>0</v>
      </c>
      <c r="DA62" s="5">
        <f ca="1">SUM(OFFSET(Demand!$H$43,ROW(E59)-1,(COLUMN(E59)-1)*5,1,1))*R$2</f>
        <v>0</v>
      </c>
      <c r="DB62" s="5">
        <f ca="1">SUM(OFFSET(Demand!$H$43,ROW(F59)-1,(COLUMN(F59)-1)*5,1,1))*S$2</f>
        <v>0</v>
      </c>
      <c r="DC62" s="5">
        <f ca="1">SUM(OFFSET(Demand!$H$43,ROW(G59)-1,(COLUMN(G59)-1)*5,1,1))*T$2</f>
        <v>0</v>
      </c>
      <c r="DD62" s="5">
        <f ca="1">SUM(OFFSET(Demand!$H$43,ROW(H59)-1,(COLUMN(H59)-1)*5,1,1))*U$2</f>
        <v>0</v>
      </c>
      <c r="DE62" s="5">
        <f ca="1">SUM(OFFSET(Demand!$H$43,ROW(I59)-1,(COLUMN(I59)-1)*5,1,1))*V$2</f>
        <v>0</v>
      </c>
      <c r="DF62" s="5">
        <f ca="1">SUM(OFFSET(Demand!$H$43,ROW(J59)-1,(COLUMN(J59)-1)*5,1,1))*W$2</f>
        <v>0</v>
      </c>
      <c r="DG62" s="5">
        <f t="shared" ca="1" si="9"/>
        <v>0</v>
      </c>
    </row>
    <row r="63" spans="1:111" x14ac:dyDescent="0.2">
      <c r="A63" s="5">
        <f t="shared" ca="1" si="30"/>
        <v>0</v>
      </c>
      <c r="B63" s="5">
        <f ca="1">COUNTBLANK(OFFSET(Demand!$I72,0,(COLUMN(A60)-1)*5,1,1))</f>
        <v>0</v>
      </c>
      <c r="C63" s="5">
        <f ca="1">COUNTBLANK(OFFSET(Demand!$I72,0,(COLUMN(B60)-1)*5,1,1))</f>
        <v>0</v>
      </c>
      <c r="D63" s="5">
        <f ca="1">COUNTBLANK(OFFSET(Demand!$I72,0,(COLUMN(C60)-1)*5,1,1))</f>
        <v>1</v>
      </c>
      <c r="E63" s="5">
        <f ca="1">COUNTBLANK(OFFSET(Demand!$I72,0,(COLUMN(D60)-1)*5,1,1))</f>
        <v>1</v>
      </c>
      <c r="F63" s="5">
        <f ca="1">COUNTBLANK(OFFSET(Demand!$I72,0,(COLUMN(E60)-1)*5,1,1))</f>
        <v>1</v>
      </c>
      <c r="G63" s="5">
        <f ca="1">COUNTBLANK(OFFSET(Demand!$I72,0,(COLUMN(F60)-1)*5,1,1))</f>
        <v>1</v>
      </c>
      <c r="H63" s="5">
        <f ca="1">COUNTBLANK(OFFSET(Demand!$I72,0,(COLUMN(G60)-1)*5,1,1))</f>
        <v>1</v>
      </c>
      <c r="I63" s="5">
        <f ca="1">COUNTBLANK(OFFSET(Demand!$I72,0,(COLUMN(H60)-1)*5,1,1))</f>
        <v>1</v>
      </c>
      <c r="J63" s="5">
        <f ca="1">COUNTBLANK(OFFSET(Demand!$I72,0,(COLUMN(I60)-1)*5,1,1))</f>
        <v>1</v>
      </c>
      <c r="K63" s="5">
        <f ca="1">COUNTBLANK(OFFSET(Demand!$I72,0,(COLUMN(J60)-1)*5,1,1))</f>
        <v>1</v>
      </c>
      <c r="N63" s="5">
        <f ca="1">SUM(OFFSET(Demand!$E72,0,(COLUMN(A60)-1)*5,1,3))*N$2</f>
        <v>30</v>
      </c>
      <c r="O63" s="5">
        <f ca="1">SUM(OFFSET(Demand!$E72,0,(COLUMN(B60)-1)*5,1,3))*O$2</f>
        <v>480</v>
      </c>
      <c r="P63" s="5">
        <f ca="1">SUM(OFFSET(Demand!$E72,0,(COLUMN(C60)-1)*5,1,3))*P$2</f>
        <v>0</v>
      </c>
      <c r="Q63" s="5">
        <f ca="1">SUM(OFFSET(Demand!$E72,0,(COLUMN(D60)-1)*5,1,3))*Q$2</f>
        <v>0</v>
      </c>
      <c r="R63" s="5">
        <f ca="1">SUM(OFFSET(Demand!$E72,0,(COLUMN(E60)-1)*5,1,3))*R$2</f>
        <v>0</v>
      </c>
      <c r="S63" s="5">
        <f ca="1">SUM(OFFSET(Demand!$E72,0,(COLUMN(F60)-1)*5,1,3))*S$2</f>
        <v>0</v>
      </c>
      <c r="T63" s="5">
        <f ca="1">SUM(OFFSET(Demand!$E72,0,(COLUMN(G60)-1)*5,1,3))*T$2</f>
        <v>0</v>
      </c>
      <c r="U63" s="5">
        <f ca="1">SUM(OFFSET(Demand!$E72,0,(COLUMN(H60)-1)*5,1,3))*U$2</f>
        <v>0</v>
      </c>
      <c r="V63" s="5">
        <f ca="1">SUM(OFFSET(Demand!$E72,0,(COLUMN(I60)-1)*5,1,3))*V$2</f>
        <v>0</v>
      </c>
      <c r="W63" s="5">
        <f ca="1">SUM(OFFSET(Demand!$E72,0,(COLUMN(J60)-1)*5,1,3))*W$2</f>
        <v>0</v>
      </c>
      <c r="X63" s="5">
        <f t="shared" ca="1" si="4"/>
        <v>510</v>
      </c>
      <c r="Y63">
        <f t="shared" ca="1" si="5"/>
        <v>510</v>
      </c>
      <c r="Z63" s="5">
        <f ca="1">SUM(OFFSET(Demand!$H72,0,(COLUMN(A60)-1)*5,1,1))*N$2</f>
        <v>0</v>
      </c>
      <c r="AA63" s="5">
        <f ca="1">SUM(OFFSET(Demand!$H72,0,(COLUMN(B60)-1)*5,1,1))*O$2</f>
        <v>0</v>
      </c>
      <c r="AB63" s="5">
        <f ca="1">SUM(OFFSET(Demand!$H72,0,(COLUMN(C60)-1)*5,1,1))*P$2</f>
        <v>0</v>
      </c>
      <c r="AC63" s="5">
        <f ca="1">SUM(OFFSET(Demand!$H72,0,(COLUMN(D60)-1)*5,1,1))*Q$2</f>
        <v>0</v>
      </c>
      <c r="AD63" s="5">
        <f ca="1">SUM(OFFSET(Demand!$H72,0,(COLUMN(E60)-1)*5,1,1))*R$2</f>
        <v>0</v>
      </c>
      <c r="AE63" s="5">
        <f ca="1">SUM(OFFSET(Demand!$H72,0,(COLUMN(F60)-1)*5,1,1))*S$2</f>
        <v>0</v>
      </c>
      <c r="AF63" s="5">
        <f ca="1">SUM(OFFSET(Demand!$H72,0,(COLUMN(G60)-1)*5,1,1))*T$2</f>
        <v>0</v>
      </c>
      <c r="AG63" s="5">
        <f ca="1">SUM(OFFSET(Demand!$H72,0,(COLUMN(H60)-1)*5,1,1))*U$2</f>
        <v>0</v>
      </c>
      <c r="AH63" s="5">
        <f ca="1">SUM(OFFSET(Demand!$H72,0,(COLUMN(I60)-1)*5,1,1))*V$2</f>
        <v>0</v>
      </c>
      <c r="AI63" s="5">
        <f ca="1">SUM(OFFSET(Demand!$H72,0,(COLUMN(J60)-1)*5,1,1))*W$2</f>
        <v>0</v>
      </c>
      <c r="AJ63" s="5">
        <f t="shared" ca="1" si="6"/>
        <v>0</v>
      </c>
      <c r="AL63" s="5">
        <f t="shared" ca="1" si="7"/>
        <v>510</v>
      </c>
      <c r="AM63" s="5">
        <f t="shared" ca="1" si="8"/>
        <v>0</v>
      </c>
      <c r="AN63" s="5" t="str">
        <f>IF(Demand!BE72="Yes","Yes","")</f>
        <v/>
      </c>
      <c r="AP63" s="37" t="str">
        <f ca="1">Demand!B72</f>
        <v xml:space="preserve"> </v>
      </c>
      <c r="AQ63" t="str">
        <f ca="1">IF(TEXT(Demand!D72,"MMM")&lt;&gt;TEXT(Demand!D71,"MMM"),TEXT(Demand!D72,"MMM"),"")</f>
        <v/>
      </c>
      <c r="AT63" s="5">
        <f t="shared" ca="1" si="10"/>
        <v>240</v>
      </c>
      <c r="BQ63">
        <f ca="1">IF($AN63="",OFFSET(Demand!$A$13,ROW(A60)-1,4+((QUOTIENT(COLUMN(BQ$2)-69,3))*5)+MOD(COLUMN(BQ$2),3),1,1),"")</f>
        <v>0</v>
      </c>
      <c r="BR63">
        <f ca="1">IF($AN63="",OFFSET(Demand!$A$13,ROW(B60)-1,4+((QUOTIENT(COLUMN(BR$2)-69,3))*5)+MOD(COLUMN(BR$2),3),1,1),"")</f>
        <v>0</v>
      </c>
      <c r="BS63">
        <f ca="1">IF($AN63="",OFFSET(Demand!$A$13,ROW(C60)-1,4+((QUOTIENT(COLUMN(BS$2)-69,3))*5)+MOD(COLUMN(BS$2),3),1,1),"")</f>
        <v>1</v>
      </c>
      <c r="BT63">
        <f ca="1">IF($AN63="",OFFSET(Demand!$A$13,ROW(D60)-1,4+((QUOTIENT(COLUMN(BT$2)-69,3))*5)+MOD(COLUMN(BT$2),3),1,1),"")</f>
        <v>0</v>
      </c>
      <c r="BU63">
        <f ca="1">IF($AN63="",OFFSET(Demand!$A$13,ROW(E60)-1,4+((QUOTIENT(COLUMN(BU$2)-69,3))*5)+MOD(COLUMN(BU$2),3),1,1),"")</f>
        <v>3</v>
      </c>
      <c r="BV63">
        <f ca="1">IF($AN63="",OFFSET(Demand!$A$13,ROW(F60)-1,4+((QUOTIENT(COLUMN(BV$2)-69,3))*5)+MOD(COLUMN(BV$2),3),1,1),"")</f>
        <v>9</v>
      </c>
      <c r="BW63">
        <f ca="1">IF($AN63="",OFFSET(Demand!$A$13,ROW(G60)-1,4+((QUOTIENT(COLUMN(BW$2)-69,3))*5)+MOD(COLUMN(BW$2),3),1,1),"")</f>
        <v>0</v>
      </c>
      <c r="BX63">
        <f ca="1">IF($AN63="",OFFSET(Demand!$A$13,ROW(H60)-1,4+((QUOTIENT(COLUMN(BX$2)-69,3))*5)+MOD(COLUMN(BX$2),3),1,1),"")</f>
        <v>0</v>
      </c>
      <c r="BY63">
        <f ca="1">IF($AN63="",OFFSET(Demand!$A$13,ROW(I60)-1,4+((QUOTIENT(COLUMN(BY$2)-69,3))*5)+MOD(COLUMN(BY$2),3),1,1),"")</f>
        <v>0</v>
      </c>
      <c r="BZ63">
        <f ca="1">IF($AN63="",OFFSET(Demand!$A$13,ROW(J60)-1,4+((QUOTIENT(COLUMN(BZ$2)-69,3))*5)+MOD(COLUMN(BZ$2),3),1,1),"")</f>
        <v>0</v>
      </c>
      <c r="CA63">
        <f ca="1">IF($AN63="",OFFSET(Demand!$A$13,ROW(K60)-1,4+((QUOTIENT(COLUMN(CA$2)-69,3))*5)+MOD(COLUMN(CA$2),3),1,1),"")</f>
        <v>0</v>
      </c>
      <c r="CB63">
        <f ca="1">IF($AN63="",OFFSET(Demand!$A$13,ROW(L60)-1,4+((QUOTIENT(COLUMN(CB$2)-69,3))*5)+MOD(COLUMN(CB$2),3),1,1),"")</f>
        <v>0</v>
      </c>
      <c r="CC63">
        <f ca="1">IF($AN63="",OFFSET(Demand!$A$13,ROW(M60)-1,4+((QUOTIENT(COLUMN(CC$2)-69,3))*5)+MOD(COLUMN(CC$2),3),1,1),"")</f>
        <v>0</v>
      </c>
      <c r="CD63">
        <f ca="1">IF($AN63="",OFFSET(Demand!$A$13,ROW(N60)-1,4+((QUOTIENT(COLUMN(CD$2)-69,3))*5)+MOD(COLUMN(CD$2),3),1,1),"")</f>
        <v>0</v>
      </c>
      <c r="CE63">
        <f ca="1">IF($AN63="",OFFSET(Demand!$A$13,ROW(O60)-1,4+((QUOTIENT(COLUMN(CE$2)-69,3))*5)+MOD(COLUMN(CE$2),3),1,1),"")</f>
        <v>0</v>
      </c>
      <c r="CF63">
        <f ca="1">IF($AN63="",OFFSET(Demand!$A$13,ROW(P60)-1,4+((QUOTIENT(COLUMN(CF$2)-69,3))*5)+MOD(COLUMN(CF$2),3),1,1),"")</f>
        <v>0</v>
      </c>
      <c r="CG63">
        <f ca="1">IF($AN63="",OFFSET(Demand!$A$13,ROW(Q60)-1,4+((QUOTIENT(COLUMN(CG$2)-69,3))*5)+MOD(COLUMN(CG$2),3),1,1),"")</f>
        <v>0</v>
      </c>
      <c r="CH63">
        <f ca="1">IF($AN63="",OFFSET(Demand!$A$13,ROW(R60)-1,4+((QUOTIENT(COLUMN(CH$2)-69,3))*5)+MOD(COLUMN(CH$2),3),1,1),"")</f>
        <v>0</v>
      </c>
      <c r="CI63">
        <f ca="1">IF($AN63="",OFFSET(Demand!$A$13,ROW(S60)-1,4+((QUOTIENT(COLUMN(CI$2)-69,3))*5)+MOD(COLUMN(CI$2),3),1,1),"")</f>
        <v>0</v>
      </c>
      <c r="CJ63">
        <f ca="1">IF($AN63="",OFFSET(Demand!$A$13,ROW(T60)-1,4+((QUOTIENT(COLUMN(CJ$2)-69,3))*5)+MOD(COLUMN(CJ$2),3),1,1),"")</f>
        <v>0</v>
      </c>
      <c r="CK63">
        <f ca="1">IF($AN63="",OFFSET(Demand!$A$13,ROW(U60)-1,4+((QUOTIENT(COLUMN(CK$2)-69,3))*5)+MOD(COLUMN(CK$2),3),1,1),"")</f>
        <v>0</v>
      </c>
      <c r="CL63">
        <f ca="1">IF($AN63="",OFFSET(Demand!$A$13,ROW(V60)-1,4+((QUOTIENT(COLUMN(CL$2)-69,3))*5)+MOD(COLUMN(CL$2),3),1,1),"")</f>
        <v>0</v>
      </c>
      <c r="CM63">
        <f ca="1">IF($AN63="",OFFSET(Demand!$A$13,ROW(W60)-1,4+((QUOTIENT(COLUMN(CM$2)-69,3))*5)+MOD(COLUMN(CM$2),3),1,1),"")</f>
        <v>0</v>
      </c>
      <c r="CN63">
        <f ca="1">IF($AN63="",OFFSET(Demand!$A$13,ROW(X60)-1,4+((QUOTIENT(COLUMN(CN$2)-69,3))*5)+MOD(COLUMN(CN$2),3),1,1),"")</f>
        <v>0</v>
      </c>
      <c r="CO63">
        <f ca="1">IF($AN63="",OFFSET(Demand!$A$13,ROW(Y60)-1,4+((QUOTIENT(COLUMN(CO$2)-69,3))*5)+MOD(COLUMN(CO$2),3),1,1),"")</f>
        <v>0</v>
      </c>
      <c r="CP63">
        <f ca="1">IF($AN63="",OFFSET(Demand!$A$13,ROW(Z60)-1,4+((QUOTIENT(COLUMN(CP$2)-69,3))*5)+MOD(COLUMN(CP$2),3),1,1),"")</f>
        <v>0</v>
      </c>
      <c r="CQ63">
        <f ca="1">IF($AN63="",OFFSET(Demand!$A$13,ROW(AA60)-1,4+((QUOTIENT(COLUMN(CQ$2)-69,3))*5)+MOD(COLUMN(CQ$2),3),1,1),"")</f>
        <v>0</v>
      </c>
      <c r="CR63">
        <f ca="1">IF($AN63="",OFFSET(Demand!$A$13,ROW(AB60)-1,4+((QUOTIENT(COLUMN(CR$2)-69,3))*5)+MOD(COLUMN(CR$2),3),1,1),"")</f>
        <v>0</v>
      </c>
      <c r="CS63">
        <f ca="1">IF($AN63="",OFFSET(Demand!$A$13,ROW(AC60)-1,4+((QUOTIENT(COLUMN(CS$2)-69,3))*5)+MOD(COLUMN(CS$2),3),1,1),"")</f>
        <v>0</v>
      </c>
      <c r="CT63">
        <f ca="1">IF($AN63="",OFFSET(Demand!$A$13,ROW(AD60)-1,4+((QUOTIENT(COLUMN(CT$2)-69,3))*5)+MOD(COLUMN(CT$2),3),1,1),"")</f>
        <v>0</v>
      </c>
      <c r="CW63" s="5">
        <f ca="1">SUM(OFFSET(Demand!$H$43,ROW(A60)-1,(COLUMN(A60)-1)*5,1,1))*N$2</f>
        <v>0</v>
      </c>
      <c r="CX63" s="5">
        <f ca="1">SUM(OFFSET(Demand!$H$43,ROW(B60)-1,(COLUMN(B60)-1)*5,1,1))*O$2</f>
        <v>0</v>
      </c>
      <c r="CY63" s="5">
        <f ca="1">SUM(OFFSET(Demand!$H$43,ROW(C60)-1,(COLUMN(C60)-1)*5,1,1))*P$2</f>
        <v>0</v>
      </c>
      <c r="CZ63" s="5">
        <f ca="1">SUM(OFFSET(Demand!$H$43,ROW(D60)-1,(COLUMN(D60)-1)*5,1,1))*Q$2</f>
        <v>0</v>
      </c>
      <c r="DA63" s="5">
        <f ca="1">SUM(OFFSET(Demand!$H$43,ROW(E60)-1,(COLUMN(E60)-1)*5,1,1))*R$2</f>
        <v>0</v>
      </c>
      <c r="DB63" s="5">
        <f ca="1">SUM(OFFSET(Demand!$H$43,ROW(F60)-1,(COLUMN(F60)-1)*5,1,1))*S$2</f>
        <v>0</v>
      </c>
      <c r="DC63" s="5">
        <f ca="1">SUM(OFFSET(Demand!$H$43,ROW(G60)-1,(COLUMN(G60)-1)*5,1,1))*T$2</f>
        <v>0</v>
      </c>
      <c r="DD63" s="5">
        <f ca="1">SUM(OFFSET(Demand!$H$43,ROW(H60)-1,(COLUMN(H60)-1)*5,1,1))*U$2</f>
        <v>0</v>
      </c>
      <c r="DE63" s="5">
        <f ca="1">SUM(OFFSET(Demand!$H$43,ROW(I60)-1,(COLUMN(I60)-1)*5,1,1))*V$2</f>
        <v>0</v>
      </c>
      <c r="DF63" s="5">
        <f ca="1">SUM(OFFSET(Demand!$H$43,ROW(J60)-1,(COLUMN(J60)-1)*5,1,1))*W$2</f>
        <v>0</v>
      </c>
      <c r="DG63" s="5">
        <f t="shared" ca="1" si="9"/>
        <v>0</v>
      </c>
    </row>
    <row r="64" spans="1:111" x14ac:dyDescent="0.2">
      <c r="A64" s="5">
        <f t="shared" ca="1" si="30"/>
        <v>0</v>
      </c>
      <c r="B64" s="5">
        <f ca="1">COUNTBLANK(OFFSET(Demand!$I73,0,(COLUMN(A61)-1)*5,1,1))</f>
        <v>0</v>
      </c>
      <c r="C64" s="5">
        <f ca="1">COUNTBLANK(OFFSET(Demand!$I73,0,(COLUMN(B61)-1)*5,1,1))</f>
        <v>0</v>
      </c>
      <c r="D64" s="5">
        <f ca="1">COUNTBLANK(OFFSET(Demand!$I73,0,(COLUMN(C61)-1)*5,1,1))</f>
        <v>1</v>
      </c>
      <c r="E64" s="5">
        <f ca="1">COUNTBLANK(OFFSET(Demand!$I73,0,(COLUMN(D61)-1)*5,1,1))</f>
        <v>1</v>
      </c>
      <c r="F64" s="5">
        <f ca="1">COUNTBLANK(OFFSET(Demand!$I73,0,(COLUMN(E61)-1)*5,1,1))</f>
        <v>1</v>
      </c>
      <c r="G64" s="5">
        <f ca="1">COUNTBLANK(OFFSET(Demand!$I73,0,(COLUMN(F61)-1)*5,1,1))</f>
        <v>1</v>
      </c>
      <c r="H64" s="5">
        <f ca="1">COUNTBLANK(OFFSET(Demand!$I73,0,(COLUMN(G61)-1)*5,1,1))</f>
        <v>1</v>
      </c>
      <c r="I64" s="5">
        <f ca="1">COUNTBLANK(OFFSET(Demand!$I73,0,(COLUMN(H61)-1)*5,1,1))</f>
        <v>1</v>
      </c>
      <c r="J64" s="5">
        <f ca="1">COUNTBLANK(OFFSET(Demand!$I73,0,(COLUMN(I61)-1)*5,1,1))</f>
        <v>1</v>
      </c>
      <c r="K64" s="5">
        <f ca="1">COUNTBLANK(OFFSET(Demand!$I73,0,(COLUMN(J61)-1)*5,1,1))</f>
        <v>1</v>
      </c>
      <c r="N64" s="5">
        <f ca="1">SUM(OFFSET(Demand!$E73,0,(COLUMN(A61)-1)*5,1,3))*N$2</f>
        <v>120</v>
      </c>
      <c r="O64" s="5">
        <f ca="1">SUM(OFFSET(Demand!$E73,0,(COLUMN(B61)-1)*5,1,3))*O$2</f>
        <v>160</v>
      </c>
      <c r="P64" s="5">
        <f ca="1">SUM(OFFSET(Demand!$E73,0,(COLUMN(C61)-1)*5,1,3))*P$2</f>
        <v>0</v>
      </c>
      <c r="Q64" s="5">
        <f ca="1">SUM(OFFSET(Demand!$E73,0,(COLUMN(D61)-1)*5,1,3))*Q$2</f>
        <v>0</v>
      </c>
      <c r="R64" s="5">
        <f ca="1">SUM(OFFSET(Demand!$E73,0,(COLUMN(E61)-1)*5,1,3))*R$2</f>
        <v>0</v>
      </c>
      <c r="S64" s="5">
        <f ca="1">SUM(OFFSET(Demand!$E73,0,(COLUMN(F61)-1)*5,1,3))*S$2</f>
        <v>0</v>
      </c>
      <c r="T64" s="5">
        <f ca="1">SUM(OFFSET(Demand!$E73,0,(COLUMN(G61)-1)*5,1,3))*T$2</f>
        <v>0</v>
      </c>
      <c r="U64" s="5">
        <f ca="1">SUM(OFFSET(Demand!$E73,0,(COLUMN(H61)-1)*5,1,3))*U$2</f>
        <v>0</v>
      </c>
      <c r="V64" s="5">
        <f ca="1">SUM(OFFSET(Demand!$E73,0,(COLUMN(I61)-1)*5,1,3))*V$2</f>
        <v>0</v>
      </c>
      <c r="W64" s="5">
        <f ca="1">SUM(OFFSET(Demand!$E73,0,(COLUMN(J61)-1)*5,1,3))*W$2</f>
        <v>0</v>
      </c>
      <c r="X64" s="5">
        <f t="shared" ca="1" si="4"/>
        <v>280</v>
      </c>
      <c r="Y64">
        <f t="shared" ca="1" si="5"/>
        <v>280</v>
      </c>
      <c r="Z64" s="5">
        <f ca="1">SUM(OFFSET(Demand!$H73,0,(COLUMN(A61)-1)*5,1,1))*N$2</f>
        <v>0</v>
      </c>
      <c r="AA64" s="5">
        <f ca="1">SUM(OFFSET(Demand!$H73,0,(COLUMN(B61)-1)*5,1,1))*O$2</f>
        <v>0</v>
      </c>
      <c r="AB64" s="5">
        <f ca="1">SUM(OFFSET(Demand!$H73,0,(COLUMN(C61)-1)*5,1,1))*P$2</f>
        <v>0</v>
      </c>
      <c r="AC64" s="5">
        <f ca="1">SUM(OFFSET(Demand!$H73,0,(COLUMN(D61)-1)*5,1,1))*Q$2</f>
        <v>0</v>
      </c>
      <c r="AD64" s="5">
        <f ca="1">SUM(OFFSET(Demand!$H73,0,(COLUMN(E61)-1)*5,1,1))*R$2</f>
        <v>0</v>
      </c>
      <c r="AE64" s="5">
        <f ca="1">SUM(OFFSET(Demand!$H73,0,(COLUMN(F61)-1)*5,1,1))*S$2</f>
        <v>0</v>
      </c>
      <c r="AF64" s="5">
        <f ca="1">SUM(OFFSET(Demand!$H73,0,(COLUMN(G61)-1)*5,1,1))*T$2</f>
        <v>0</v>
      </c>
      <c r="AG64" s="5">
        <f ca="1">SUM(OFFSET(Demand!$H73,0,(COLUMN(H61)-1)*5,1,1))*U$2</f>
        <v>0</v>
      </c>
      <c r="AH64" s="5">
        <f ca="1">SUM(OFFSET(Demand!$H73,0,(COLUMN(I61)-1)*5,1,1))*V$2</f>
        <v>0</v>
      </c>
      <c r="AI64" s="5">
        <f ca="1">SUM(OFFSET(Demand!$H73,0,(COLUMN(J61)-1)*5,1,1))*W$2</f>
        <v>0</v>
      </c>
      <c r="AJ64" s="5">
        <f t="shared" ca="1" si="6"/>
        <v>0</v>
      </c>
      <c r="AL64" s="5">
        <f t="shared" ca="1" si="7"/>
        <v>280</v>
      </c>
      <c r="AM64" s="5">
        <f t="shared" ca="1" si="8"/>
        <v>0</v>
      </c>
      <c r="AN64" s="5" t="str">
        <f>IF(Demand!BE73="Yes","Yes","")</f>
        <v/>
      </c>
      <c r="AP64" s="37" t="str">
        <f ca="1">Demand!B73</f>
        <v xml:space="preserve"> </v>
      </c>
      <c r="AQ64" t="str">
        <f ca="1">IF(TEXT(Demand!D73,"MMM")&lt;&gt;TEXT(Demand!D72,"MMM"),TEXT(Demand!D73,"MMM"),"")</f>
        <v/>
      </c>
      <c r="AT64" s="5">
        <f t="shared" ca="1" si="10"/>
        <v>230</v>
      </c>
      <c r="BQ64">
        <f ca="1">IF($AN64="",OFFSET(Demand!$A$13,ROW(A61)-1,4+((QUOTIENT(COLUMN(BQ$2)-69,3))*5)+MOD(COLUMN(BQ$2),3),1,1),"")</f>
        <v>0</v>
      </c>
      <c r="BR64">
        <f ca="1">IF($AN64="",OFFSET(Demand!$A$13,ROW(B61)-1,4+((QUOTIENT(COLUMN(BR$2)-69,3))*5)+MOD(COLUMN(BR$2),3),1,1),"")</f>
        <v>0</v>
      </c>
      <c r="BS64">
        <f ca="1">IF($AN64="",OFFSET(Demand!$A$13,ROW(C61)-1,4+((QUOTIENT(COLUMN(BS$2)-69,3))*5)+MOD(COLUMN(BS$2),3),1,1),"")</f>
        <v>4</v>
      </c>
      <c r="BT64">
        <f ca="1">IF($AN64="",OFFSET(Demand!$A$13,ROW(D61)-1,4+((QUOTIENT(COLUMN(BT$2)-69,3))*5)+MOD(COLUMN(BT$2),3),1,1),"")</f>
        <v>0</v>
      </c>
      <c r="BU64">
        <f ca="1">IF($AN64="",OFFSET(Demand!$A$13,ROW(E61)-1,4+((QUOTIENT(COLUMN(BU$2)-69,3))*5)+MOD(COLUMN(BU$2),3),1,1),"")</f>
        <v>2</v>
      </c>
      <c r="BV64">
        <f ca="1">IF($AN64="",OFFSET(Demand!$A$13,ROW(F61)-1,4+((QUOTIENT(COLUMN(BV$2)-69,3))*5)+MOD(COLUMN(BV$2),3),1,1),"")</f>
        <v>2</v>
      </c>
      <c r="BW64">
        <f ca="1">IF($AN64="",OFFSET(Demand!$A$13,ROW(G61)-1,4+((QUOTIENT(COLUMN(BW$2)-69,3))*5)+MOD(COLUMN(BW$2),3),1,1),"")</f>
        <v>0</v>
      </c>
      <c r="BX64">
        <f ca="1">IF($AN64="",OFFSET(Demand!$A$13,ROW(H61)-1,4+((QUOTIENT(COLUMN(BX$2)-69,3))*5)+MOD(COLUMN(BX$2),3),1,1),"")</f>
        <v>0</v>
      </c>
      <c r="BY64">
        <f ca="1">IF($AN64="",OFFSET(Demand!$A$13,ROW(I61)-1,4+((QUOTIENT(COLUMN(BY$2)-69,3))*5)+MOD(COLUMN(BY$2),3),1,1),"")</f>
        <v>0</v>
      </c>
      <c r="BZ64">
        <f ca="1">IF($AN64="",OFFSET(Demand!$A$13,ROW(J61)-1,4+((QUOTIENT(COLUMN(BZ$2)-69,3))*5)+MOD(COLUMN(BZ$2),3),1,1),"")</f>
        <v>0</v>
      </c>
      <c r="CA64">
        <f ca="1">IF($AN64="",OFFSET(Demand!$A$13,ROW(K61)-1,4+((QUOTIENT(COLUMN(CA$2)-69,3))*5)+MOD(COLUMN(CA$2),3),1,1),"")</f>
        <v>0</v>
      </c>
      <c r="CB64">
        <f ca="1">IF($AN64="",OFFSET(Demand!$A$13,ROW(L61)-1,4+((QUOTIENT(COLUMN(CB$2)-69,3))*5)+MOD(COLUMN(CB$2),3),1,1),"")</f>
        <v>0</v>
      </c>
      <c r="CC64">
        <f ca="1">IF($AN64="",OFFSET(Demand!$A$13,ROW(M61)-1,4+((QUOTIENT(COLUMN(CC$2)-69,3))*5)+MOD(COLUMN(CC$2),3),1,1),"")</f>
        <v>0</v>
      </c>
      <c r="CD64">
        <f ca="1">IF($AN64="",OFFSET(Demand!$A$13,ROW(N61)-1,4+((QUOTIENT(COLUMN(CD$2)-69,3))*5)+MOD(COLUMN(CD$2),3),1,1),"")</f>
        <v>0</v>
      </c>
      <c r="CE64">
        <f ca="1">IF($AN64="",OFFSET(Demand!$A$13,ROW(O61)-1,4+((QUOTIENT(COLUMN(CE$2)-69,3))*5)+MOD(COLUMN(CE$2),3),1,1),"")</f>
        <v>0</v>
      </c>
      <c r="CF64">
        <f ca="1">IF($AN64="",OFFSET(Demand!$A$13,ROW(P61)-1,4+((QUOTIENT(COLUMN(CF$2)-69,3))*5)+MOD(COLUMN(CF$2),3),1,1),"")</f>
        <v>0</v>
      </c>
      <c r="CG64">
        <f ca="1">IF($AN64="",OFFSET(Demand!$A$13,ROW(Q61)-1,4+((QUOTIENT(COLUMN(CG$2)-69,3))*5)+MOD(COLUMN(CG$2),3),1,1),"")</f>
        <v>0</v>
      </c>
      <c r="CH64">
        <f ca="1">IF($AN64="",OFFSET(Demand!$A$13,ROW(R61)-1,4+((QUOTIENT(COLUMN(CH$2)-69,3))*5)+MOD(COLUMN(CH$2),3),1,1),"")</f>
        <v>0</v>
      </c>
      <c r="CI64">
        <f ca="1">IF($AN64="",OFFSET(Demand!$A$13,ROW(S61)-1,4+((QUOTIENT(COLUMN(CI$2)-69,3))*5)+MOD(COLUMN(CI$2),3),1,1),"")</f>
        <v>0</v>
      </c>
      <c r="CJ64">
        <f ca="1">IF($AN64="",OFFSET(Demand!$A$13,ROW(T61)-1,4+((QUOTIENT(COLUMN(CJ$2)-69,3))*5)+MOD(COLUMN(CJ$2),3),1,1),"")</f>
        <v>0</v>
      </c>
      <c r="CK64">
        <f ca="1">IF($AN64="",OFFSET(Demand!$A$13,ROW(U61)-1,4+((QUOTIENT(COLUMN(CK$2)-69,3))*5)+MOD(COLUMN(CK$2),3),1,1),"")</f>
        <v>0</v>
      </c>
      <c r="CL64">
        <f ca="1">IF($AN64="",OFFSET(Demand!$A$13,ROW(V61)-1,4+((QUOTIENT(COLUMN(CL$2)-69,3))*5)+MOD(COLUMN(CL$2),3),1,1),"")</f>
        <v>0</v>
      </c>
      <c r="CM64">
        <f ca="1">IF($AN64="",OFFSET(Demand!$A$13,ROW(W61)-1,4+((QUOTIENT(COLUMN(CM$2)-69,3))*5)+MOD(COLUMN(CM$2),3),1,1),"")</f>
        <v>0</v>
      </c>
      <c r="CN64">
        <f ca="1">IF($AN64="",OFFSET(Demand!$A$13,ROW(X61)-1,4+((QUOTIENT(COLUMN(CN$2)-69,3))*5)+MOD(COLUMN(CN$2),3),1,1),"")</f>
        <v>0</v>
      </c>
      <c r="CO64">
        <f ca="1">IF($AN64="",OFFSET(Demand!$A$13,ROW(Y61)-1,4+((QUOTIENT(COLUMN(CO$2)-69,3))*5)+MOD(COLUMN(CO$2),3),1,1),"")</f>
        <v>0</v>
      </c>
      <c r="CP64">
        <f ca="1">IF($AN64="",OFFSET(Demand!$A$13,ROW(Z61)-1,4+((QUOTIENT(COLUMN(CP$2)-69,3))*5)+MOD(COLUMN(CP$2),3),1,1),"")</f>
        <v>0</v>
      </c>
      <c r="CQ64">
        <f ca="1">IF($AN64="",OFFSET(Demand!$A$13,ROW(AA61)-1,4+((QUOTIENT(COLUMN(CQ$2)-69,3))*5)+MOD(COLUMN(CQ$2),3),1,1),"")</f>
        <v>0</v>
      </c>
      <c r="CR64">
        <f ca="1">IF($AN64="",OFFSET(Demand!$A$13,ROW(AB61)-1,4+((QUOTIENT(COLUMN(CR$2)-69,3))*5)+MOD(COLUMN(CR$2),3),1,1),"")</f>
        <v>0</v>
      </c>
      <c r="CS64">
        <f ca="1">IF($AN64="",OFFSET(Demand!$A$13,ROW(AC61)-1,4+((QUOTIENT(COLUMN(CS$2)-69,3))*5)+MOD(COLUMN(CS$2),3),1,1),"")</f>
        <v>0</v>
      </c>
      <c r="CT64">
        <f ca="1">IF($AN64="",OFFSET(Demand!$A$13,ROW(AD61)-1,4+((QUOTIENT(COLUMN(CT$2)-69,3))*5)+MOD(COLUMN(CT$2),3),1,1),"")</f>
        <v>0</v>
      </c>
      <c r="CW64" s="5">
        <f ca="1">SUM(OFFSET(Demand!$H$43,ROW(A61)-1,(COLUMN(A61)-1)*5,1,1))*N$2</f>
        <v>0</v>
      </c>
      <c r="CX64" s="5">
        <f ca="1">SUM(OFFSET(Demand!$H$43,ROW(B61)-1,(COLUMN(B61)-1)*5,1,1))*O$2</f>
        <v>0</v>
      </c>
      <c r="CY64" s="5">
        <f ca="1">SUM(OFFSET(Demand!$H$43,ROW(C61)-1,(COLUMN(C61)-1)*5,1,1))*P$2</f>
        <v>0</v>
      </c>
      <c r="CZ64" s="5">
        <f ca="1">SUM(OFFSET(Demand!$H$43,ROW(D61)-1,(COLUMN(D61)-1)*5,1,1))*Q$2</f>
        <v>0</v>
      </c>
      <c r="DA64" s="5">
        <f ca="1">SUM(OFFSET(Demand!$H$43,ROW(E61)-1,(COLUMN(E61)-1)*5,1,1))*R$2</f>
        <v>0</v>
      </c>
      <c r="DB64" s="5">
        <f ca="1">SUM(OFFSET(Demand!$H$43,ROW(F61)-1,(COLUMN(F61)-1)*5,1,1))*S$2</f>
        <v>0</v>
      </c>
      <c r="DC64" s="5">
        <f ca="1">SUM(OFFSET(Demand!$H$43,ROW(G61)-1,(COLUMN(G61)-1)*5,1,1))*T$2</f>
        <v>0</v>
      </c>
      <c r="DD64" s="5">
        <f ca="1">SUM(OFFSET(Demand!$H$43,ROW(H61)-1,(COLUMN(H61)-1)*5,1,1))*U$2</f>
        <v>0</v>
      </c>
      <c r="DE64" s="5">
        <f ca="1">SUM(OFFSET(Demand!$H$43,ROW(I61)-1,(COLUMN(I61)-1)*5,1,1))*V$2</f>
        <v>0</v>
      </c>
      <c r="DF64" s="5">
        <f ca="1">SUM(OFFSET(Demand!$H$43,ROW(J61)-1,(COLUMN(J61)-1)*5,1,1))*W$2</f>
        <v>0</v>
      </c>
      <c r="DG64" s="5">
        <f t="shared" ca="1" si="9"/>
        <v>0</v>
      </c>
    </row>
    <row r="65" spans="1:111" x14ac:dyDescent="0.2">
      <c r="A65" s="5">
        <f t="shared" ca="1" si="30"/>
        <v>0</v>
      </c>
      <c r="B65" s="5">
        <f ca="1">COUNTBLANK(OFFSET(Demand!$I74,0,(COLUMN(A62)-1)*5,1,1))</f>
        <v>0</v>
      </c>
      <c r="C65" s="5">
        <f ca="1">COUNTBLANK(OFFSET(Demand!$I74,0,(COLUMN(B62)-1)*5,1,1))</f>
        <v>0</v>
      </c>
      <c r="D65" s="5">
        <f ca="1">COUNTBLANK(OFFSET(Demand!$I74,0,(COLUMN(C62)-1)*5,1,1))</f>
        <v>1</v>
      </c>
      <c r="E65" s="5">
        <f ca="1">COUNTBLANK(OFFSET(Demand!$I74,0,(COLUMN(D62)-1)*5,1,1))</f>
        <v>1</v>
      </c>
      <c r="F65" s="5">
        <f ca="1">COUNTBLANK(OFFSET(Demand!$I74,0,(COLUMN(E62)-1)*5,1,1))</f>
        <v>1</v>
      </c>
      <c r="G65" s="5">
        <f ca="1">COUNTBLANK(OFFSET(Demand!$I74,0,(COLUMN(F62)-1)*5,1,1))</f>
        <v>1</v>
      </c>
      <c r="H65" s="5">
        <f ca="1">COUNTBLANK(OFFSET(Demand!$I74,0,(COLUMN(G62)-1)*5,1,1))</f>
        <v>1</v>
      </c>
      <c r="I65" s="5">
        <f ca="1">COUNTBLANK(OFFSET(Demand!$I74,0,(COLUMN(H62)-1)*5,1,1))</f>
        <v>1</v>
      </c>
      <c r="J65" s="5">
        <f ca="1">COUNTBLANK(OFFSET(Demand!$I74,0,(COLUMN(I62)-1)*5,1,1))</f>
        <v>1</v>
      </c>
      <c r="K65" s="5">
        <f ca="1">COUNTBLANK(OFFSET(Demand!$I74,0,(COLUMN(J62)-1)*5,1,1))</f>
        <v>1</v>
      </c>
      <c r="N65" s="5">
        <f ca="1">SUM(OFFSET(Demand!$E74,0,(COLUMN(A62)-1)*5,1,3))*N$2</f>
        <v>120</v>
      </c>
      <c r="O65" s="5">
        <f ca="1">SUM(OFFSET(Demand!$E74,0,(COLUMN(B62)-1)*5,1,3))*O$2</f>
        <v>600</v>
      </c>
      <c r="P65" s="5">
        <f ca="1">SUM(OFFSET(Demand!$E74,0,(COLUMN(C62)-1)*5,1,3))*P$2</f>
        <v>0</v>
      </c>
      <c r="Q65" s="5">
        <f ca="1">SUM(OFFSET(Demand!$E74,0,(COLUMN(D62)-1)*5,1,3))*Q$2</f>
        <v>0</v>
      </c>
      <c r="R65" s="5">
        <f ca="1">SUM(OFFSET(Demand!$E74,0,(COLUMN(E62)-1)*5,1,3))*R$2</f>
        <v>0</v>
      </c>
      <c r="S65" s="5">
        <f ca="1">SUM(OFFSET(Demand!$E74,0,(COLUMN(F62)-1)*5,1,3))*S$2</f>
        <v>0</v>
      </c>
      <c r="T65" s="5">
        <f ca="1">SUM(OFFSET(Demand!$E74,0,(COLUMN(G62)-1)*5,1,3))*T$2</f>
        <v>0</v>
      </c>
      <c r="U65" s="5">
        <f ca="1">SUM(OFFSET(Demand!$E74,0,(COLUMN(H62)-1)*5,1,3))*U$2</f>
        <v>0</v>
      </c>
      <c r="V65" s="5">
        <f ca="1">SUM(OFFSET(Demand!$E74,0,(COLUMN(I62)-1)*5,1,3))*V$2</f>
        <v>0</v>
      </c>
      <c r="W65" s="5">
        <f ca="1">SUM(OFFSET(Demand!$E74,0,(COLUMN(J62)-1)*5,1,3))*W$2</f>
        <v>0</v>
      </c>
      <c r="X65" s="5">
        <f t="shared" ca="1" si="4"/>
        <v>720</v>
      </c>
      <c r="Y65">
        <f t="shared" ca="1" si="5"/>
        <v>720</v>
      </c>
      <c r="Z65" s="5">
        <f ca="1">SUM(OFFSET(Demand!$H74,0,(COLUMN(A62)-1)*5,1,1))*N$2</f>
        <v>0</v>
      </c>
      <c r="AA65" s="5">
        <f ca="1">SUM(OFFSET(Demand!$H74,0,(COLUMN(B62)-1)*5,1,1))*O$2</f>
        <v>0</v>
      </c>
      <c r="AB65" s="5">
        <f ca="1">SUM(OFFSET(Demand!$H74,0,(COLUMN(C62)-1)*5,1,1))*P$2</f>
        <v>0</v>
      </c>
      <c r="AC65" s="5">
        <f ca="1">SUM(OFFSET(Demand!$H74,0,(COLUMN(D62)-1)*5,1,1))*Q$2</f>
        <v>0</v>
      </c>
      <c r="AD65" s="5">
        <f ca="1">SUM(OFFSET(Demand!$H74,0,(COLUMN(E62)-1)*5,1,1))*R$2</f>
        <v>0</v>
      </c>
      <c r="AE65" s="5">
        <f ca="1">SUM(OFFSET(Demand!$H74,0,(COLUMN(F62)-1)*5,1,1))*S$2</f>
        <v>0</v>
      </c>
      <c r="AF65" s="5">
        <f ca="1">SUM(OFFSET(Demand!$H74,0,(COLUMN(G62)-1)*5,1,1))*T$2</f>
        <v>0</v>
      </c>
      <c r="AG65" s="5">
        <f ca="1">SUM(OFFSET(Demand!$H74,0,(COLUMN(H62)-1)*5,1,1))*U$2</f>
        <v>0</v>
      </c>
      <c r="AH65" s="5">
        <f ca="1">SUM(OFFSET(Demand!$H74,0,(COLUMN(I62)-1)*5,1,1))*V$2</f>
        <v>0</v>
      </c>
      <c r="AI65" s="5">
        <f ca="1">SUM(OFFSET(Demand!$H74,0,(COLUMN(J62)-1)*5,1,1))*W$2</f>
        <v>0</v>
      </c>
      <c r="AJ65" s="5">
        <f t="shared" ca="1" si="6"/>
        <v>0</v>
      </c>
      <c r="AL65" s="5">
        <f t="shared" ca="1" si="7"/>
        <v>720</v>
      </c>
      <c r="AM65" s="5">
        <f t="shared" ca="1" si="8"/>
        <v>0</v>
      </c>
      <c r="AN65" s="5" t="str">
        <f>IF(Demand!BE74="Yes","Yes","")</f>
        <v/>
      </c>
      <c r="AP65" s="37" t="str">
        <f ca="1">Demand!B74</f>
        <v xml:space="preserve"> </v>
      </c>
      <c r="AQ65" t="str">
        <f ca="1">IF(TEXT(Demand!D74,"MMM")&lt;&gt;TEXT(Demand!D73,"MMM"),TEXT(Demand!D74,"MMM"),"")</f>
        <v>Jun</v>
      </c>
      <c r="AT65" s="5">
        <f t="shared" ca="1" si="10"/>
        <v>440</v>
      </c>
      <c r="BQ65">
        <f ca="1">IF($AN65="",OFFSET(Demand!$A$13,ROW(A62)-1,4+((QUOTIENT(COLUMN(BQ$2)-69,3))*5)+MOD(COLUMN(BQ$2),3),1,1),"")</f>
        <v>0</v>
      </c>
      <c r="BR65">
        <f ca="1">IF($AN65="",OFFSET(Demand!$A$13,ROW(B62)-1,4+((QUOTIENT(COLUMN(BR$2)-69,3))*5)+MOD(COLUMN(BR$2),3),1,1),"")</f>
        <v>1</v>
      </c>
      <c r="BS65">
        <f ca="1">IF($AN65="",OFFSET(Demand!$A$13,ROW(C62)-1,4+((QUOTIENT(COLUMN(BS$2)-69,3))*5)+MOD(COLUMN(BS$2),3),1,1),"")</f>
        <v>3</v>
      </c>
      <c r="BT65">
        <f ca="1">IF($AN65="",OFFSET(Demand!$A$13,ROW(D62)-1,4+((QUOTIENT(COLUMN(BT$2)-69,3))*5)+MOD(COLUMN(BT$2),3),1,1),"")</f>
        <v>0</v>
      </c>
      <c r="BU65">
        <f ca="1">IF($AN65="",OFFSET(Demand!$A$13,ROW(E62)-1,4+((QUOTIENT(COLUMN(BU$2)-69,3))*5)+MOD(COLUMN(BU$2),3),1,1),"")</f>
        <v>5</v>
      </c>
      <c r="BV65">
        <f ca="1">IF($AN65="",OFFSET(Demand!$A$13,ROW(F62)-1,4+((QUOTIENT(COLUMN(BV$2)-69,3))*5)+MOD(COLUMN(BV$2),3),1,1),"")</f>
        <v>10</v>
      </c>
      <c r="BW65">
        <f ca="1">IF($AN65="",OFFSET(Demand!$A$13,ROW(G62)-1,4+((QUOTIENT(COLUMN(BW$2)-69,3))*5)+MOD(COLUMN(BW$2),3),1,1),"")</f>
        <v>0</v>
      </c>
      <c r="BX65">
        <f ca="1">IF($AN65="",OFFSET(Demand!$A$13,ROW(H62)-1,4+((QUOTIENT(COLUMN(BX$2)-69,3))*5)+MOD(COLUMN(BX$2),3),1,1),"")</f>
        <v>0</v>
      </c>
      <c r="BY65">
        <f ca="1">IF($AN65="",OFFSET(Demand!$A$13,ROW(I62)-1,4+((QUOTIENT(COLUMN(BY$2)-69,3))*5)+MOD(COLUMN(BY$2),3),1,1),"")</f>
        <v>0</v>
      </c>
      <c r="BZ65">
        <f ca="1">IF($AN65="",OFFSET(Demand!$A$13,ROW(J62)-1,4+((QUOTIENT(COLUMN(BZ$2)-69,3))*5)+MOD(COLUMN(BZ$2),3),1,1),"")</f>
        <v>0</v>
      </c>
      <c r="CA65">
        <f ca="1">IF($AN65="",OFFSET(Demand!$A$13,ROW(K62)-1,4+((QUOTIENT(COLUMN(CA$2)-69,3))*5)+MOD(COLUMN(CA$2),3),1,1),"")</f>
        <v>0</v>
      </c>
      <c r="CB65">
        <f ca="1">IF($AN65="",OFFSET(Demand!$A$13,ROW(L62)-1,4+((QUOTIENT(COLUMN(CB$2)-69,3))*5)+MOD(COLUMN(CB$2),3),1,1),"")</f>
        <v>0</v>
      </c>
      <c r="CC65">
        <f ca="1">IF($AN65="",OFFSET(Demand!$A$13,ROW(M62)-1,4+((QUOTIENT(COLUMN(CC$2)-69,3))*5)+MOD(COLUMN(CC$2),3),1,1),"")</f>
        <v>0</v>
      </c>
      <c r="CD65">
        <f ca="1">IF($AN65="",OFFSET(Demand!$A$13,ROW(N62)-1,4+((QUOTIENT(COLUMN(CD$2)-69,3))*5)+MOD(COLUMN(CD$2),3),1,1),"")</f>
        <v>0</v>
      </c>
      <c r="CE65">
        <f ca="1">IF($AN65="",OFFSET(Demand!$A$13,ROW(O62)-1,4+((QUOTIENT(COLUMN(CE$2)-69,3))*5)+MOD(COLUMN(CE$2),3),1,1),"")</f>
        <v>0</v>
      </c>
      <c r="CF65">
        <f ca="1">IF($AN65="",OFFSET(Demand!$A$13,ROW(P62)-1,4+((QUOTIENT(COLUMN(CF$2)-69,3))*5)+MOD(COLUMN(CF$2),3),1,1),"")</f>
        <v>0</v>
      </c>
      <c r="CG65">
        <f ca="1">IF($AN65="",OFFSET(Demand!$A$13,ROW(Q62)-1,4+((QUOTIENT(COLUMN(CG$2)-69,3))*5)+MOD(COLUMN(CG$2),3),1,1),"")</f>
        <v>0</v>
      </c>
      <c r="CH65">
        <f ca="1">IF($AN65="",OFFSET(Demand!$A$13,ROW(R62)-1,4+((QUOTIENT(COLUMN(CH$2)-69,3))*5)+MOD(COLUMN(CH$2),3),1,1),"")</f>
        <v>0</v>
      </c>
      <c r="CI65">
        <f ca="1">IF($AN65="",OFFSET(Demand!$A$13,ROW(S62)-1,4+((QUOTIENT(COLUMN(CI$2)-69,3))*5)+MOD(COLUMN(CI$2),3),1,1),"")</f>
        <v>0</v>
      </c>
      <c r="CJ65">
        <f ca="1">IF($AN65="",OFFSET(Demand!$A$13,ROW(T62)-1,4+((QUOTIENT(COLUMN(CJ$2)-69,3))*5)+MOD(COLUMN(CJ$2),3),1,1),"")</f>
        <v>0</v>
      </c>
      <c r="CK65">
        <f ca="1">IF($AN65="",OFFSET(Demand!$A$13,ROW(U62)-1,4+((QUOTIENT(COLUMN(CK$2)-69,3))*5)+MOD(COLUMN(CK$2),3),1,1),"")</f>
        <v>0</v>
      </c>
      <c r="CL65">
        <f ca="1">IF($AN65="",OFFSET(Demand!$A$13,ROW(V62)-1,4+((QUOTIENT(COLUMN(CL$2)-69,3))*5)+MOD(COLUMN(CL$2),3),1,1),"")</f>
        <v>0</v>
      </c>
      <c r="CM65">
        <f ca="1">IF($AN65="",OFFSET(Demand!$A$13,ROW(W62)-1,4+((QUOTIENT(COLUMN(CM$2)-69,3))*5)+MOD(COLUMN(CM$2),3),1,1),"")</f>
        <v>0</v>
      </c>
      <c r="CN65">
        <f ca="1">IF($AN65="",OFFSET(Demand!$A$13,ROW(X62)-1,4+((QUOTIENT(COLUMN(CN$2)-69,3))*5)+MOD(COLUMN(CN$2),3),1,1),"")</f>
        <v>0</v>
      </c>
      <c r="CO65">
        <f ca="1">IF($AN65="",OFFSET(Demand!$A$13,ROW(Y62)-1,4+((QUOTIENT(COLUMN(CO$2)-69,3))*5)+MOD(COLUMN(CO$2),3),1,1),"")</f>
        <v>0</v>
      </c>
      <c r="CP65">
        <f ca="1">IF($AN65="",OFFSET(Demand!$A$13,ROW(Z62)-1,4+((QUOTIENT(COLUMN(CP$2)-69,3))*5)+MOD(COLUMN(CP$2),3),1,1),"")</f>
        <v>0</v>
      </c>
      <c r="CQ65">
        <f ca="1">IF($AN65="",OFFSET(Demand!$A$13,ROW(AA62)-1,4+((QUOTIENT(COLUMN(CQ$2)-69,3))*5)+MOD(COLUMN(CQ$2),3),1,1),"")</f>
        <v>0</v>
      </c>
      <c r="CR65">
        <f ca="1">IF($AN65="",OFFSET(Demand!$A$13,ROW(AB62)-1,4+((QUOTIENT(COLUMN(CR$2)-69,3))*5)+MOD(COLUMN(CR$2),3),1,1),"")</f>
        <v>0</v>
      </c>
      <c r="CS65">
        <f ca="1">IF($AN65="",OFFSET(Demand!$A$13,ROW(AC62)-1,4+((QUOTIENT(COLUMN(CS$2)-69,3))*5)+MOD(COLUMN(CS$2),3),1,1),"")</f>
        <v>0</v>
      </c>
      <c r="CT65">
        <f ca="1">IF($AN65="",OFFSET(Demand!$A$13,ROW(AD62)-1,4+((QUOTIENT(COLUMN(CT$2)-69,3))*5)+MOD(COLUMN(CT$2),3),1,1),"")</f>
        <v>0</v>
      </c>
      <c r="CW65" s="5">
        <f ca="1">SUM(OFFSET(Demand!$H$43,ROW(A62)-1,(COLUMN(A62)-1)*5,1,1))*N$2</f>
        <v>0</v>
      </c>
      <c r="CX65" s="5">
        <f ca="1">SUM(OFFSET(Demand!$H$43,ROW(B62)-1,(COLUMN(B62)-1)*5,1,1))*O$2</f>
        <v>0</v>
      </c>
      <c r="CY65" s="5">
        <f ca="1">SUM(OFFSET(Demand!$H$43,ROW(C62)-1,(COLUMN(C62)-1)*5,1,1))*P$2</f>
        <v>0</v>
      </c>
      <c r="CZ65" s="5">
        <f ca="1">SUM(OFFSET(Demand!$H$43,ROW(D62)-1,(COLUMN(D62)-1)*5,1,1))*Q$2</f>
        <v>0</v>
      </c>
      <c r="DA65" s="5">
        <f ca="1">SUM(OFFSET(Demand!$H$43,ROW(E62)-1,(COLUMN(E62)-1)*5,1,1))*R$2</f>
        <v>0</v>
      </c>
      <c r="DB65" s="5">
        <f ca="1">SUM(OFFSET(Demand!$H$43,ROW(F62)-1,(COLUMN(F62)-1)*5,1,1))*S$2</f>
        <v>0</v>
      </c>
      <c r="DC65" s="5">
        <f ca="1">SUM(OFFSET(Demand!$H$43,ROW(G62)-1,(COLUMN(G62)-1)*5,1,1))*T$2</f>
        <v>0</v>
      </c>
      <c r="DD65" s="5">
        <f ca="1">SUM(OFFSET(Demand!$H$43,ROW(H62)-1,(COLUMN(H62)-1)*5,1,1))*U$2</f>
        <v>0</v>
      </c>
      <c r="DE65" s="5">
        <f ca="1">SUM(OFFSET(Demand!$H$43,ROW(I62)-1,(COLUMN(I62)-1)*5,1,1))*V$2</f>
        <v>0</v>
      </c>
      <c r="DF65" s="5">
        <f ca="1">SUM(OFFSET(Demand!$H$43,ROW(J62)-1,(COLUMN(J62)-1)*5,1,1))*W$2</f>
        <v>0</v>
      </c>
      <c r="DG65" s="5">
        <f t="shared" ca="1" si="9"/>
        <v>0</v>
      </c>
    </row>
    <row r="66" spans="1:111" x14ac:dyDescent="0.2">
      <c r="A66" s="5">
        <f t="shared" ca="1" si="30"/>
        <v>0</v>
      </c>
      <c r="B66" s="5">
        <f ca="1">COUNTBLANK(OFFSET(Demand!$I75,0,(COLUMN(A63)-1)*5,1,1))</f>
        <v>0</v>
      </c>
      <c r="C66" s="5">
        <f ca="1">COUNTBLANK(OFFSET(Demand!$I75,0,(COLUMN(B63)-1)*5,1,1))</f>
        <v>0</v>
      </c>
      <c r="D66" s="5">
        <f ca="1">COUNTBLANK(OFFSET(Demand!$I75,0,(COLUMN(C63)-1)*5,1,1))</f>
        <v>1</v>
      </c>
      <c r="E66" s="5">
        <f ca="1">COUNTBLANK(OFFSET(Demand!$I75,0,(COLUMN(D63)-1)*5,1,1))</f>
        <v>1</v>
      </c>
      <c r="F66" s="5">
        <f ca="1">COUNTBLANK(OFFSET(Demand!$I75,0,(COLUMN(E63)-1)*5,1,1))</f>
        <v>1</v>
      </c>
      <c r="G66" s="5">
        <f ca="1">COUNTBLANK(OFFSET(Demand!$I75,0,(COLUMN(F63)-1)*5,1,1))</f>
        <v>1</v>
      </c>
      <c r="H66" s="5">
        <f ca="1">COUNTBLANK(OFFSET(Demand!$I75,0,(COLUMN(G63)-1)*5,1,1))</f>
        <v>1</v>
      </c>
      <c r="I66" s="5">
        <f ca="1">COUNTBLANK(OFFSET(Demand!$I75,0,(COLUMN(H63)-1)*5,1,1))</f>
        <v>1</v>
      </c>
      <c r="J66" s="5">
        <f ca="1">COUNTBLANK(OFFSET(Demand!$I75,0,(COLUMN(I63)-1)*5,1,1))</f>
        <v>1</v>
      </c>
      <c r="K66" s="5">
        <f ca="1">COUNTBLANK(OFFSET(Demand!$I75,0,(COLUMN(J63)-1)*5,1,1))</f>
        <v>1</v>
      </c>
      <c r="N66" s="5">
        <f ca="1">SUM(OFFSET(Demand!$E75,0,(COLUMN(A63)-1)*5,1,3))*N$2</f>
        <v>150</v>
      </c>
      <c r="O66" s="5">
        <f ca="1">SUM(OFFSET(Demand!$E75,0,(COLUMN(B63)-1)*5,1,3))*O$2</f>
        <v>120</v>
      </c>
      <c r="P66" s="5">
        <f ca="1">SUM(OFFSET(Demand!$E75,0,(COLUMN(C63)-1)*5,1,3))*P$2</f>
        <v>0</v>
      </c>
      <c r="Q66" s="5">
        <f ca="1">SUM(OFFSET(Demand!$E75,0,(COLUMN(D63)-1)*5,1,3))*Q$2</f>
        <v>0</v>
      </c>
      <c r="R66" s="5">
        <f ca="1">SUM(OFFSET(Demand!$E75,0,(COLUMN(E63)-1)*5,1,3))*R$2</f>
        <v>0</v>
      </c>
      <c r="S66" s="5">
        <f ca="1">SUM(OFFSET(Demand!$E75,0,(COLUMN(F63)-1)*5,1,3))*S$2</f>
        <v>0</v>
      </c>
      <c r="T66" s="5">
        <f ca="1">SUM(OFFSET(Demand!$E75,0,(COLUMN(G63)-1)*5,1,3))*T$2</f>
        <v>0</v>
      </c>
      <c r="U66" s="5">
        <f ca="1">SUM(OFFSET(Demand!$E75,0,(COLUMN(H63)-1)*5,1,3))*U$2</f>
        <v>0</v>
      </c>
      <c r="V66" s="5">
        <f ca="1">SUM(OFFSET(Demand!$E75,0,(COLUMN(I63)-1)*5,1,3))*V$2</f>
        <v>0</v>
      </c>
      <c r="W66" s="5">
        <f ca="1">SUM(OFFSET(Demand!$E75,0,(COLUMN(J63)-1)*5,1,3))*W$2</f>
        <v>0</v>
      </c>
      <c r="X66" s="5">
        <f t="shared" ca="1" si="4"/>
        <v>270</v>
      </c>
      <c r="Y66">
        <f t="shared" ca="1" si="5"/>
        <v>270</v>
      </c>
      <c r="Z66" s="5">
        <f ca="1">SUM(OFFSET(Demand!$H75,0,(COLUMN(A63)-1)*5,1,1))*N$2</f>
        <v>0</v>
      </c>
      <c r="AA66" s="5">
        <f ca="1">SUM(OFFSET(Demand!$H75,0,(COLUMN(B63)-1)*5,1,1))*O$2</f>
        <v>0</v>
      </c>
      <c r="AB66" s="5">
        <f ca="1">SUM(OFFSET(Demand!$H75,0,(COLUMN(C63)-1)*5,1,1))*P$2</f>
        <v>0</v>
      </c>
      <c r="AC66" s="5">
        <f ca="1">SUM(OFFSET(Demand!$H75,0,(COLUMN(D63)-1)*5,1,1))*Q$2</f>
        <v>0</v>
      </c>
      <c r="AD66" s="5">
        <f ca="1">SUM(OFFSET(Demand!$H75,0,(COLUMN(E63)-1)*5,1,1))*R$2</f>
        <v>0</v>
      </c>
      <c r="AE66" s="5">
        <f ca="1">SUM(OFFSET(Demand!$H75,0,(COLUMN(F63)-1)*5,1,1))*S$2</f>
        <v>0</v>
      </c>
      <c r="AF66" s="5">
        <f ca="1">SUM(OFFSET(Demand!$H75,0,(COLUMN(G63)-1)*5,1,1))*T$2</f>
        <v>0</v>
      </c>
      <c r="AG66" s="5">
        <f ca="1">SUM(OFFSET(Demand!$H75,0,(COLUMN(H63)-1)*5,1,1))*U$2</f>
        <v>0</v>
      </c>
      <c r="AH66" s="5">
        <f ca="1">SUM(OFFSET(Demand!$H75,0,(COLUMN(I63)-1)*5,1,1))*V$2</f>
        <v>0</v>
      </c>
      <c r="AI66" s="5">
        <f ca="1">SUM(OFFSET(Demand!$H75,0,(COLUMN(J63)-1)*5,1,1))*W$2</f>
        <v>0</v>
      </c>
      <c r="AJ66" s="5">
        <f t="shared" ca="1" si="6"/>
        <v>0</v>
      </c>
      <c r="AL66" s="5">
        <f t="shared" ca="1" si="7"/>
        <v>270</v>
      </c>
      <c r="AM66" s="5">
        <f t="shared" ca="1" si="8"/>
        <v>0</v>
      </c>
      <c r="AN66" s="5" t="str">
        <f>IF(Demand!BE75="Yes","Yes","")</f>
        <v/>
      </c>
      <c r="AP66" s="37" t="str">
        <f ca="1">Demand!B75</f>
        <v xml:space="preserve"> </v>
      </c>
      <c r="AQ66" t="str">
        <f ca="1">IF(TEXT(Demand!D75,"MMM")&lt;&gt;TEXT(Demand!D74,"MMM"),TEXT(Demand!D75,"MMM"),"")</f>
        <v/>
      </c>
      <c r="AT66" s="5">
        <f t="shared" ca="1" si="10"/>
        <v>450</v>
      </c>
      <c r="BQ66">
        <f ca="1">IF($AN66="",OFFSET(Demand!$A$13,ROW(A63)-1,4+((QUOTIENT(COLUMN(BQ$2)-69,3))*5)+MOD(COLUMN(BQ$2),3),1,1),"")</f>
        <v>0</v>
      </c>
      <c r="BR66">
        <f ca="1">IF($AN66="",OFFSET(Demand!$A$13,ROW(B63)-1,4+((QUOTIENT(COLUMN(BR$2)-69,3))*5)+MOD(COLUMN(BR$2),3),1,1),"")</f>
        <v>0</v>
      </c>
      <c r="BS66">
        <f ca="1">IF($AN66="",OFFSET(Demand!$A$13,ROW(C63)-1,4+((QUOTIENT(COLUMN(BS$2)-69,3))*5)+MOD(COLUMN(BS$2),3),1,1),"")</f>
        <v>5</v>
      </c>
      <c r="BT66">
        <f ca="1">IF($AN66="",OFFSET(Demand!$A$13,ROW(D63)-1,4+((QUOTIENT(COLUMN(BT$2)-69,3))*5)+MOD(COLUMN(BT$2),3),1,1),"")</f>
        <v>0</v>
      </c>
      <c r="BU66">
        <f ca="1">IF($AN66="",OFFSET(Demand!$A$13,ROW(E63)-1,4+((QUOTIENT(COLUMN(BU$2)-69,3))*5)+MOD(COLUMN(BU$2),3),1,1),"")</f>
        <v>1</v>
      </c>
      <c r="BV66">
        <f ca="1">IF($AN66="",OFFSET(Demand!$A$13,ROW(F63)-1,4+((QUOTIENT(COLUMN(BV$2)-69,3))*5)+MOD(COLUMN(BV$2),3),1,1),"")</f>
        <v>2</v>
      </c>
      <c r="BW66">
        <f ca="1">IF($AN66="",OFFSET(Demand!$A$13,ROW(G63)-1,4+((QUOTIENT(COLUMN(BW$2)-69,3))*5)+MOD(COLUMN(BW$2),3),1,1),"")</f>
        <v>0</v>
      </c>
      <c r="BX66">
        <f ca="1">IF($AN66="",OFFSET(Demand!$A$13,ROW(H63)-1,4+((QUOTIENT(COLUMN(BX$2)-69,3))*5)+MOD(COLUMN(BX$2),3),1,1),"")</f>
        <v>0</v>
      </c>
      <c r="BY66">
        <f ca="1">IF($AN66="",OFFSET(Demand!$A$13,ROW(I63)-1,4+((QUOTIENT(COLUMN(BY$2)-69,3))*5)+MOD(COLUMN(BY$2),3),1,1),"")</f>
        <v>0</v>
      </c>
      <c r="BZ66">
        <f ca="1">IF($AN66="",OFFSET(Demand!$A$13,ROW(J63)-1,4+((QUOTIENT(COLUMN(BZ$2)-69,3))*5)+MOD(COLUMN(BZ$2),3),1,1),"")</f>
        <v>0</v>
      </c>
      <c r="CA66">
        <f ca="1">IF($AN66="",OFFSET(Demand!$A$13,ROW(K63)-1,4+((QUOTIENT(COLUMN(CA$2)-69,3))*5)+MOD(COLUMN(CA$2),3),1,1),"")</f>
        <v>0</v>
      </c>
      <c r="CB66">
        <f ca="1">IF($AN66="",OFFSET(Demand!$A$13,ROW(L63)-1,4+((QUOTIENT(COLUMN(CB$2)-69,3))*5)+MOD(COLUMN(CB$2),3),1,1),"")</f>
        <v>0</v>
      </c>
      <c r="CC66">
        <f ca="1">IF($AN66="",OFFSET(Demand!$A$13,ROW(M63)-1,4+((QUOTIENT(COLUMN(CC$2)-69,3))*5)+MOD(COLUMN(CC$2),3),1,1),"")</f>
        <v>0</v>
      </c>
      <c r="CD66">
        <f ca="1">IF($AN66="",OFFSET(Demand!$A$13,ROW(N63)-1,4+((QUOTIENT(COLUMN(CD$2)-69,3))*5)+MOD(COLUMN(CD$2),3),1,1),"")</f>
        <v>0</v>
      </c>
      <c r="CE66">
        <f ca="1">IF($AN66="",OFFSET(Demand!$A$13,ROW(O63)-1,4+((QUOTIENT(COLUMN(CE$2)-69,3))*5)+MOD(COLUMN(CE$2),3),1,1),"")</f>
        <v>0</v>
      </c>
      <c r="CF66">
        <f ca="1">IF($AN66="",OFFSET(Demand!$A$13,ROW(P63)-1,4+((QUOTIENT(COLUMN(CF$2)-69,3))*5)+MOD(COLUMN(CF$2),3),1,1),"")</f>
        <v>0</v>
      </c>
      <c r="CG66">
        <f ca="1">IF($AN66="",OFFSET(Demand!$A$13,ROW(Q63)-1,4+((QUOTIENT(COLUMN(CG$2)-69,3))*5)+MOD(COLUMN(CG$2),3),1,1),"")</f>
        <v>0</v>
      </c>
      <c r="CH66">
        <f ca="1">IF($AN66="",OFFSET(Demand!$A$13,ROW(R63)-1,4+((QUOTIENT(COLUMN(CH$2)-69,3))*5)+MOD(COLUMN(CH$2),3),1,1),"")</f>
        <v>0</v>
      </c>
      <c r="CI66">
        <f ca="1">IF($AN66="",OFFSET(Demand!$A$13,ROW(S63)-1,4+((QUOTIENT(COLUMN(CI$2)-69,3))*5)+MOD(COLUMN(CI$2),3),1,1),"")</f>
        <v>0</v>
      </c>
      <c r="CJ66">
        <f ca="1">IF($AN66="",OFFSET(Demand!$A$13,ROW(T63)-1,4+((QUOTIENT(COLUMN(CJ$2)-69,3))*5)+MOD(COLUMN(CJ$2),3),1,1),"")</f>
        <v>0</v>
      </c>
      <c r="CK66">
        <f ca="1">IF($AN66="",OFFSET(Demand!$A$13,ROW(U63)-1,4+((QUOTIENT(COLUMN(CK$2)-69,3))*5)+MOD(COLUMN(CK$2),3),1,1),"")</f>
        <v>0</v>
      </c>
      <c r="CL66">
        <f ca="1">IF($AN66="",OFFSET(Demand!$A$13,ROW(V63)-1,4+((QUOTIENT(COLUMN(CL$2)-69,3))*5)+MOD(COLUMN(CL$2),3),1,1),"")</f>
        <v>0</v>
      </c>
      <c r="CM66">
        <f ca="1">IF($AN66="",OFFSET(Demand!$A$13,ROW(W63)-1,4+((QUOTIENT(COLUMN(CM$2)-69,3))*5)+MOD(COLUMN(CM$2),3),1,1),"")</f>
        <v>0</v>
      </c>
      <c r="CN66">
        <f ca="1">IF($AN66="",OFFSET(Demand!$A$13,ROW(X63)-1,4+((QUOTIENT(COLUMN(CN$2)-69,3))*5)+MOD(COLUMN(CN$2),3),1,1),"")</f>
        <v>0</v>
      </c>
      <c r="CO66">
        <f ca="1">IF($AN66="",OFFSET(Demand!$A$13,ROW(Y63)-1,4+((QUOTIENT(COLUMN(CO$2)-69,3))*5)+MOD(COLUMN(CO$2),3),1,1),"")</f>
        <v>0</v>
      </c>
      <c r="CP66">
        <f ca="1">IF($AN66="",OFFSET(Demand!$A$13,ROW(Z63)-1,4+((QUOTIENT(COLUMN(CP$2)-69,3))*5)+MOD(COLUMN(CP$2),3),1,1),"")</f>
        <v>0</v>
      </c>
      <c r="CQ66">
        <f ca="1">IF($AN66="",OFFSET(Demand!$A$13,ROW(AA63)-1,4+((QUOTIENT(COLUMN(CQ$2)-69,3))*5)+MOD(COLUMN(CQ$2),3),1,1),"")</f>
        <v>0</v>
      </c>
      <c r="CR66">
        <f ca="1">IF($AN66="",OFFSET(Demand!$A$13,ROW(AB63)-1,4+((QUOTIENT(COLUMN(CR$2)-69,3))*5)+MOD(COLUMN(CR$2),3),1,1),"")</f>
        <v>0</v>
      </c>
      <c r="CS66">
        <f ca="1">IF($AN66="",OFFSET(Demand!$A$13,ROW(AC63)-1,4+((QUOTIENT(COLUMN(CS$2)-69,3))*5)+MOD(COLUMN(CS$2),3),1,1),"")</f>
        <v>0</v>
      </c>
      <c r="CT66">
        <f ca="1">IF($AN66="",OFFSET(Demand!$A$13,ROW(AD63)-1,4+((QUOTIENT(COLUMN(CT$2)-69,3))*5)+MOD(COLUMN(CT$2),3),1,1),"")</f>
        <v>0</v>
      </c>
      <c r="CW66" s="5">
        <f ca="1">SUM(OFFSET(Demand!$H$43,ROW(A63)-1,(COLUMN(A63)-1)*5,1,1))*N$2</f>
        <v>0</v>
      </c>
      <c r="CX66" s="5">
        <f ca="1">SUM(OFFSET(Demand!$H$43,ROW(B63)-1,(COLUMN(B63)-1)*5,1,1))*O$2</f>
        <v>0</v>
      </c>
      <c r="CY66" s="5">
        <f ca="1">SUM(OFFSET(Demand!$H$43,ROW(C63)-1,(COLUMN(C63)-1)*5,1,1))*P$2</f>
        <v>0</v>
      </c>
      <c r="CZ66" s="5">
        <f ca="1">SUM(OFFSET(Demand!$H$43,ROW(D63)-1,(COLUMN(D63)-1)*5,1,1))*Q$2</f>
        <v>0</v>
      </c>
      <c r="DA66" s="5">
        <f ca="1">SUM(OFFSET(Demand!$H$43,ROW(E63)-1,(COLUMN(E63)-1)*5,1,1))*R$2</f>
        <v>0</v>
      </c>
      <c r="DB66" s="5">
        <f ca="1">SUM(OFFSET(Demand!$H$43,ROW(F63)-1,(COLUMN(F63)-1)*5,1,1))*S$2</f>
        <v>0</v>
      </c>
      <c r="DC66" s="5">
        <f ca="1">SUM(OFFSET(Demand!$H$43,ROW(G63)-1,(COLUMN(G63)-1)*5,1,1))*T$2</f>
        <v>0</v>
      </c>
      <c r="DD66" s="5">
        <f ca="1">SUM(OFFSET(Demand!$H$43,ROW(H63)-1,(COLUMN(H63)-1)*5,1,1))*U$2</f>
        <v>0</v>
      </c>
      <c r="DE66" s="5">
        <f ca="1">SUM(OFFSET(Demand!$H$43,ROW(I63)-1,(COLUMN(I63)-1)*5,1,1))*V$2</f>
        <v>0</v>
      </c>
      <c r="DF66" s="5">
        <f ca="1">SUM(OFFSET(Demand!$H$43,ROW(J63)-1,(COLUMN(J63)-1)*5,1,1))*W$2</f>
        <v>0</v>
      </c>
      <c r="DG66" s="5">
        <f t="shared" ca="1" si="9"/>
        <v>0</v>
      </c>
    </row>
    <row r="67" spans="1:111" x14ac:dyDescent="0.2">
      <c r="A67" s="5">
        <f t="shared" ca="1" si="30"/>
        <v>0</v>
      </c>
      <c r="B67" s="5">
        <f ca="1">COUNTBLANK(OFFSET(Demand!$I76,0,(COLUMN(A64)-1)*5,1,1))</f>
        <v>0</v>
      </c>
      <c r="C67" s="5">
        <f ca="1">COUNTBLANK(OFFSET(Demand!$I76,0,(COLUMN(B64)-1)*5,1,1))</f>
        <v>0</v>
      </c>
      <c r="D67" s="5">
        <f ca="1">COUNTBLANK(OFFSET(Demand!$I76,0,(COLUMN(C64)-1)*5,1,1))</f>
        <v>1</v>
      </c>
      <c r="E67" s="5">
        <f ca="1">COUNTBLANK(OFFSET(Demand!$I76,0,(COLUMN(D64)-1)*5,1,1))</f>
        <v>1</v>
      </c>
      <c r="F67" s="5">
        <f ca="1">COUNTBLANK(OFFSET(Demand!$I76,0,(COLUMN(E64)-1)*5,1,1))</f>
        <v>1</v>
      </c>
      <c r="G67" s="5">
        <f ca="1">COUNTBLANK(OFFSET(Demand!$I76,0,(COLUMN(F64)-1)*5,1,1))</f>
        <v>1</v>
      </c>
      <c r="H67" s="5">
        <f ca="1">COUNTBLANK(OFFSET(Demand!$I76,0,(COLUMN(G64)-1)*5,1,1))</f>
        <v>1</v>
      </c>
      <c r="I67" s="5">
        <f ca="1">COUNTBLANK(OFFSET(Demand!$I76,0,(COLUMN(H64)-1)*5,1,1))</f>
        <v>1</v>
      </c>
      <c r="J67" s="5">
        <f ca="1">COUNTBLANK(OFFSET(Demand!$I76,0,(COLUMN(I64)-1)*5,1,1))</f>
        <v>1</v>
      </c>
      <c r="K67" s="5">
        <f ca="1">COUNTBLANK(OFFSET(Demand!$I76,0,(COLUMN(J64)-1)*5,1,1))</f>
        <v>1</v>
      </c>
      <c r="N67" s="5">
        <f ca="1">SUM(OFFSET(Demand!$E76,0,(COLUMN(A64)-1)*5,1,3))*N$2</f>
        <v>150</v>
      </c>
      <c r="O67" s="5">
        <f ca="1">SUM(OFFSET(Demand!$E76,0,(COLUMN(B64)-1)*5,1,3))*O$2</f>
        <v>240</v>
      </c>
      <c r="P67" s="5">
        <f ca="1">SUM(OFFSET(Demand!$E76,0,(COLUMN(C64)-1)*5,1,3))*P$2</f>
        <v>0</v>
      </c>
      <c r="Q67" s="5">
        <f ca="1">SUM(OFFSET(Demand!$E76,0,(COLUMN(D64)-1)*5,1,3))*Q$2</f>
        <v>0</v>
      </c>
      <c r="R67" s="5">
        <f ca="1">SUM(OFFSET(Demand!$E76,0,(COLUMN(E64)-1)*5,1,3))*R$2</f>
        <v>0</v>
      </c>
      <c r="S67" s="5">
        <f ca="1">SUM(OFFSET(Demand!$E76,0,(COLUMN(F64)-1)*5,1,3))*S$2</f>
        <v>0</v>
      </c>
      <c r="T67" s="5">
        <f ca="1">SUM(OFFSET(Demand!$E76,0,(COLUMN(G64)-1)*5,1,3))*T$2</f>
        <v>0</v>
      </c>
      <c r="U67" s="5">
        <f ca="1">SUM(OFFSET(Demand!$E76,0,(COLUMN(H64)-1)*5,1,3))*U$2</f>
        <v>0</v>
      </c>
      <c r="V67" s="5">
        <f ca="1">SUM(OFFSET(Demand!$E76,0,(COLUMN(I64)-1)*5,1,3))*V$2</f>
        <v>0</v>
      </c>
      <c r="W67" s="5">
        <f ca="1">SUM(OFFSET(Demand!$E76,0,(COLUMN(J64)-1)*5,1,3))*W$2</f>
        <v>0</v>
      </c>
      <c r="X67" s="5">
        <f t="shared" ca="1" si="4"/>
        <v>390</v>
      </c>
      <c r="Y67">
        <f t="shared" ca="1" si="5"/>
        <v>390</v>
      </c>
      <c r="Z67" s="5">
        <f ca="1">SUM(OFFSET(Demand!$H76,0,(COLUMN(A64)-1)*5,1,1))*N$2</f>
        <v>0</v>
      </c>
      <c r="AA67" s="5">
        <f ca="1">SUM(OFFSET(Demand!$H76,0,(COLUMN(B64)-1)*5,1,1))*O$2</f>
        <v>0</v>
      </c>
      <c r="AB67" s="5">
        <f ca="1">SUM(OFFSET(Demand!$H76,0,(COLUMN(C64)-1)*5,1,1))*P$2</f>
        <v>0</v>
      </c>
      <c r="AC67" s="5">
        <f ca="1">SUM(OFFSET(Demand!$H76,0,(COLUMN(D64)-1)*5,1,1))*Q$2</f>
        <v>0</v>
      </c>
      <c r="AD67" s="5">
        <f ca="1">SUM(OFFSET(Demand!$H76,0,(COLUMN(E64)-1)*5,1,1))*R$2</f>
        <v>0</v>
      </c>
      <c r="AE67" s="5">
        <f ca="1">SUM(OFFSET(Demand!$H76,0,(COLUMN(F64)-1)*5,1,1))*S$2</f>
        <v>0</v>
      </c>
      <c r="AF67" s="5">
        <f ca="1">SUM(OFFSET(Demand!$H76,0,(COLUMN(G64)-1)*5,1,1))*T$2</f>
        <v>0</v>
      </c>
      <c r="AG67" s="5">
        <f ca="1">SUM(OFFSET(Demand!$H76,0,(COLUMN(H64)-1)*5,1,1))*U$2</f>
        <v>0</v>
      </c>
      <c r="AH67" s="5">
        <f ca="1">SUM(OFFSET(Demand!$H76,0,(COLUMN(I64)-1)*5,1,1))*V$2</f>
        <v>0</v>
      </c>
      <c r="AI67" s="5">
        <f ca="1">SUM(OFFSET(Demand!$H76,0,(COLUMN(J64)-1)*5,1,1))*W$2</f>
        <v>0</v>
      </c>
      <c r="AJ67" s="5">
        <f t="shared" ca="1" si="6"/>
        <v>0</v>
      </c>
      <c r="AL67" s="5">
        <f t="shared" ca="1" si="7"/>
        <v>390</v>
      </c>
      <c r="AM67" s="5">
        <f t="shared" ca="1" si="8"/>
        <v>0</v>
      </c>
      <c r="AN67" s="5" t="str">
        <f>IF(Demand!BE76="Yes","Yes","")</f>
        <v/>
      </c>
      <c r="AP67" s="37" t="str">
        <f ca="1">Demand!B76</f>
        <v xml:space="preserve"> </v>
      </c>
      <c r="AQ67" t="str">
        <f ca="1">IF(TEXT(Demand!D76,"MMM")&lt;&gt;TEXT(Demand!D75,"MMM"),TEXT(Demand!D76,"MMM"),"")</f>
        <v/>
      </c>
      <c r="AT67" s="5">
        <f t="shared" ca="1" si="10"/>
        <v>120</v>
      </c>
      <c r="BQ67">
        <f ca="1">IF($AN67="",OFFSET(Demand!$A$13,ROW(A64)-1,4+((QUOTIENT(COLUMN(BQ$2)-69,3))*5)+MOD(COLUMN(BQ$2),3),1,1),"")</f>
        <v>0</v>
      </c>
      <c r="BR67">
        <f ca="1">IF($AN67="",OFFSET(Demand!$A$13,ROW(B64)-1,4+((QUOTIENT(COLUMN(BR$2)-69,3))*5)+MOD(COLUMN(BR$2),3),1,1),"")</f>
        <v>1</v>
      </c>
      <c r="BS67">
        <f ca="1">IF($AN67="",OFFSET(Demand!$A$13,ROW(C64)-1,4+((QUOTIENT(COLUMN(BS$2)-69,3))*5)+MOD(COLUMN(BS$2),3),1,1),"")</f>
        <v>4</v>
      </c>
      <c r="BT67">
        <f ca="1">IF($AN67="",OFFSET(Demand!$A$13,ROW(D64)-1,4+((QUOTIENT(COLUMN(BT$2)-69,3))*5)+MOD(COLUMN(BT$2),3),1,1),"")</f>
        <v>0</v>
      </c>
      <c r="BU67">
        <f ca="1">IF($AN67="",OFFSET(Demand!$A$13,ROW(E64)-1,4+((QUOTIENT(COLUMN(BU$2)-69,3))*5)+MOD(COLUMN(BU$2),3),1,1),"")</f>
        <v>4</v>
      </c>
      <c r="BV67">
        <f ca="1">IF($AN67="",OFFSET(Demand!$A$13,ROW(F64)-1,4+((QUOTIENT(COLUMN(BV$2)-69,3))*5)+MOD(COLUMN(BV$2),3),1,1),"")</f>
        <v>2</v>
      </c>
      <c r="BW67">
        <f ca="1">IF($AN67="",OFFSET(Demand!$A$13,ROW(G64)-1,4+((QUOTIENT(COLUMN(BW$2)-69,3))*5)+MOD(COLUMN(BW$2),3),1,1),"")</f>
        <v>0</v>
      </c>
      <c r="BX67">
        <f ca="1">IF($AN67="",OFFSET(Demand!$A$13,ROW(H64)-1,4+((QUOTIENT(COLUMN(BX$2)-69,3))*5)+MOD(COLUMN(BX$2),3),1,1),"")</f>
        <v>0</v>
      </c>
      <c r="BY67">
        <f ca="1">IF($AN67="",OFFSET(Demand!$A$13,ROW(I64)-1,4+((QUOTIENT(COLUMN(BY$2)-69,3))*5)+MOD(COLUMN(BY$2),3),1,1),"")</f>
        <v>0</v>
      </c>
      <c r="BZ67">
        <f ca="1">IF($AN67="",OFFSET(Demand!$A$13,ROW(J64)-1,4+((QUOTIENT(COLUMN(BZ$2)-69,3))*5)+MOD(COLUMN(BZ$2),3),1,1),"")</f>
        <v>0</v>
      </c>
      <c r="CA67">
        <f ca="1">IF($AN67="",OFFSET(Demand!$A$13,ROW(K64)-1,4+((QUOTIENT(COLUMN(CA$2)-69,3))*5)+MOD(COLUMN(CA$2),3),1,1),"")</f>
        <v>0</v>
      </c>
      <c r="CB67">
        <f ca="1">IF($AN67="",OFFSET(Demand!$A$13,ROW(L64)-1,4+((QUOTIENT(COLUMN(CB$2)-69,3))*5)+MOD(COLUMN(CB$2),3),1,1),"")</f>
        <v>0</v>
      </c>
      <c r="CC67">
        <f ca="1">IF($AN67="",OFFSET(Demand!$A$13,ROW(M64)-1,4+((QUOTIENT(COLUMN(CC$2)-69,3))*5)+MOD(COLUMN(CC$2),3),1,1),"")</f>
        <v>0</v>
      </c>
      <c r="CD67">
        <f ca="1">IF($AN67="",OFFSET(Demand!$A$13,ROW(N64)-1,4+((QUOTIENT(COLUMN(CD$2)-69,3))*5)+MOD(COLUMN(CD$2),3),1,1),"")</f>
        <v>0</v>
      </c>
      <c r="CE67">
        <f ca="1">IF($AN67="",OFFSET(Demand!$A$13,ROW(O64)-1,4+((QUOTIENT(COLUMN(CE$2)-69,3))*5)+MOD(COLUMN(CE$2),3),1,1),"")</f>
        <v>0</v>
      </c>
      <c r="CF67">
        <f ca="1">IF($AN67="",OFFSET(Demand!$A$13,ROW(P64)-1,4+((QUOTIENT(COLUMN(CF$2)-69,3))*5)+MOD(COLUMN(CF$2),3),1,1),"")</f>
        <v>0</v>
      </c>
      <c r="CG67">
        <f ca="1">IF($AN67="",OFFSET(Demand!$A$13,ROW(Q64)-1,4+((QUOTIENT(COLUMN(CG$2)-69,3))*5)+MOD(COLUMN(CG$2),3),1,1),"")</f>
        <v>0</v>
      </c>
      <c r="CH67">
        <f ca="1">IF($AN67="",OFFSET(Demand!$A$13,ROW(R64)-1,4+((QUOTIENT(COLUMN(CH$2)-69,3))*5)+MOD(COLUMN(CH$2),3),1,1),"")</f>
        <v>0</v>
      </c>
      <c r="CI67">
        <f ca="1">IF($AN67="",OFFSET(Demand!$A$13,ROW(S64)-1,4+((QUOTIENT(COLUMN(CI$2)-69,3))*5)+MOD(COLUMN(CI$2),3),1,1),"")</f>
        <v>0</v>
      </c>
      <c r="CJ67">
        <f ca="1">IF($AN67="",OFFSET(Demand!$A$13,ROW(T64)-1,4+((QUOTIENT(COLUMN(CJ$2)-69,3))*5)+MOD(COLUMN(CJ$2),3),1,1),"")</f>
        <v>0</v>
      </c>
      <c r="CK67">
        <f ca="1">IF($AN67="",OFFSET(Demand!$A$13,ROW(U64)-1,4+((QUOTIENT(COLUMN(CK$2)-69,3))*5)+MOD(COLUMN(CK$2),3),1,1),"")</f>
        <v>0</v>
      </c>
      <c r="CL67">
        <f ca="1">IF($AN67="",OFFSET(Demand!$A$13,ROW(V64)-1,4+((QUOTIENT(COLUMN(CL$2)-69,3))*5)+MOD(COLUMN(CL$2),3),1,1),"")</f>
        <v>0</v>
      </c>
      <c r="CM67">
        <f ca="1">IF($AN67="",OFFSET(Demand!$A$13,ROW(W64)-1,4+((QUOTIENT(COLUMN(CM$2)-69,3))*5)+MOD(COLUMN(CM$2),3),1,1),"")</f>
        <v>0</v>
      </c>
      <c r="CN67">
        <f ca="1">IF($AN67="",OFFSET(Demand!$A$13,ROW(X64)-1,4+((QUOTIENT(COLUMN(CN$2)-69,3))*5)+MOD(COLUMN(CN$2),3),1,1),"")</f>
        <v>0</v>
      </c>
      <c r="CO67">
        <f ca="1">IF($AN67="",OFFSET(Demand!$A$13,ROW(Y64)-1,4+((QUOTIENT(COLUMN(CO$2)-69,3))*5)+MOD(COLUMN(CO$2),3),1,1),"")</f>
        <v>0</v>
      </c>
      <c r="CP67">
        <f ca="1">IF($AN67="",OFFSET(Demand!$A$13,ROW(Z64)-1,4+((QUOTIENT(COLUMN(CP$2)-69,3))*5)+MOD(COLUMN(CP$2),3),1,1),"")</f>
        <v>0</v>
      </c>
      <c r="CQ67">
        <f ca="1">IF($AN67="",OFFSET(Demand!$A$13,ROW(AA64)-1,4+((QUOTIENT(COLUMN(CQ$2)-69,3))*5)+MOD(COLUMN(CQ$2),3),1,1),"")</f>
        <v>0</v>
      </c>
      <c r="CR67">
        <f ca="1">IF($AN67="",OFFSET(Demand!$A$13,ROW(AB64)-1,4+((QUOTIENT(COLUMN(CR$2)-69,3))*5)+MOD(COLUMN(CR$2),3),1,1),"")</f>
        <v>0</v>
      </c>
      <c r="CS67">
        <f ca="1">IF($AN67="",OFFSET(Demand!$A$13,ROW(AC64)-1,4+((QUOTIENT(COLUMN(CS$2)-69,3))*5)+MOD(COLUMN(CS$2),3),1,1),"")</f>
        <v>0</v>
      </c>
      <c r="CT67">
        <f ca="1">IF($AN67="",OFFSET(Demand!$A$13,ROW(AD64)-1,4+((QUOTIENT(COLUMN(CT$2)-69,3))*5)+MOD(COLUMN(CT$2),3),1,1),"")</f>
        <v>0</v>
      </c>
      <c r="CW67" s="5">
        <f ca="1">SUM(OFFSET(Demand!$H$43,ROW(A64)-1,(COLUMN(A64)-1)*5,1,1))*N$2</f>
        <v>0</v>
      </c>
      <c r="CX67" s="5">
        <f ca="1">SUM(OFFSET(Demand!$H$43,ROW(B64)-1,(COLUMN(B64)-1)*5,1,1))*O$2</f>
        <v>0</v>
      </c>
      <c r="CY67" s="5">
        <f ca="1">SUM(OFFSET(Demand!$H$43,ROW(C64)-1,(COLUMN(C64)-1)*5,1,1))*P$2</f>
        <v>0</v>
      </c>
      <c r="CZ67" s="5">
        <f ca="1">SUM(OFFSET(Demand!$H$43,ROW(D64)-1,(COLUMN(D64)-1)*5,1,1))*Q$2</f>
        <v>0</v>
      </c>
      <c r="DA67" s="5">
        <f ca="1">SUM(OFFSET(Demand!$H$43,ROW(E64)-1,(COLUMN(E64)-1)*5,1,1))*R$2</f>
        <v>0</v>
      </c>
      <c r="DB67" s="5">
        <f ca="1">SUM(OFFSET(Demand!$H$43,ROW(F64)-1,(COLUMN(F64)-1)*5,1,1))*S$2</f>
        <v>0</v>
      </c>
      <c r="DC67" s="5">
        <f ca="1">SUM(OFFSET(Demand!$H$43,ROW(G64)-1,(COLUMN(G64)-1)*5,1,1))*T$2</f>
        <v>0</v>
      </c>
      <c r="DD67" s="5">
        <f ca="1">SUM(OFFSET(Demand!$H$43,ROW(H64)-1,(COLUMN(H64)-1)*5,1,1))*U$2</f>
        <v>0</v>
      </c>
      <c r="DE67" s="5">
        <f ca="1">SUM(OFFSET(Demand!$H$43,ROW(I64)-1,(COLUMN(I64)-1)*5,1,1))*V$2</f>
        <v>0</v>
      </c>
      <c r="DF67" s="5">
        <f ca="1">SUM(OFFSET(Demand!$H$43,ROW(J64)-1,(COLUMN(J64)-1)*5,1,1))*W$2</f>
        <v>0</v>
      </c>
      <c r="DG67" s="5">
        <f t="shared" ca="1" si="9"/>
        <v>0</v>
      </c>
    </row>
    <row r="68" spans="1:111" x14ac:dyDescent="0.2">
      <c r="A68" s="5">
        <f t="shared" ca="1" si="30"/>
        <v>0</v>
      </c>
      <c r="B68" s="5">
        <f ca="1">COUNTBLANK(OFFSET(Demand!$I77,0,(COLUMN(A65)-1)*5,1,1))</f>
        <v>0</v>
      </c>
      <c r="C68" s="5">
        <f ca="1">COUNTBLANK(OFFSET(Demand!$I77,0,(COLUMN(B65)-1)*5,1,1))</f>
        <v>0</v>
      </c>
      <c r="D68" s="5">
        <f ca="1">COUNTBLANK(OFFSET(Demand!$I77,0,(COLUMN(C65)-1)*5,1,1))</f>
        <v>1</v>
      </c>
      <c r="E68" s="5">
        <f ca="1">COUNTBLANK(OFFSET(Demand!$I77,0,(COLUMN(D65)-1)*5,1,1))</f>
        <v>1</v>
      </c>
      <c r="F68" s="5">
        <f ca="1">COUNTBLANK(OFFSET(Demand!$I77,0,(COLUMN(E65)-1)*5,1,1))</f>
        <v>1</v>
      </c>
      <c r="G68" s="5">
        <f ca="1">COUNTBLANK(OFFSET(Demand!$I77,0,(COLUMN(F65)-1)*5,1,1))</f>
        <v>1</v>
      </c>
      <c r="H68" s="5">
        <f ca="1">COUNTBLANK(OFFSET(Demand!$I77,0,(COLUMN(G65)-1)*5,1,1))</f>
        <v>1</v>
      </c>
      <c r="I68" s="5">
        <f ca="1">COUNTBLANK(OFFSET(Demand!$I77,0,(COLUMN(H65)-1)*5,1,1))</f>
        <v>1</v>
      </c>
      <c r="J68" s="5">
        <f ca="1">COUNTBLANK(OFFSET(Demand!$I77,0,(COLUMN(I65)-1)*5,1,1))</f>
        <v>1</v>
      </c>
      <c r="K68" s="5">
        <f ca="1">COUNTBLANK(OFFSET(Demand!$I77,0,(COLUMN(J65)-1)*5,1,1))</f>
        <v>1</v>
      </c>
      <c r="N68" s="5">
        <f ca="1">SUM(OFFSET(Demand!$E77,0,(COLUMN(A65)-1)*5,1,3))*N$2</f>
        <v>180</v>
      </c>
      <c r="O68" s="5">
        <f ca="1">SUM(OFFSET(Demand!$E77,0,(COLUMN(B65)-1)*5,1,3))*O$2</f>
        <v>320</v>
      </c>
      <c r="P68" s="5">
        <f ca="1">SUM(OFFSET(Demand!$E77,0,(COLUMN(C65)-1)*5,1,3))*P$2</f>
        <v>0</v>
      </c>
      <c r="Q68" s="5">
        <f ca="1">SUM(OFFSET(Demand!$E77,0,(COLUMN(D65)-1)*5,1,3))*Q$2</f>
        <v>0</v>
      </c>
      <c r="R68" s="5">
        <f ca="1">SUM(OFFSET(Demand!$E77,0,(COLUMN(E65)-1)*5,1,3))*R$2</f>
        <v>0</v>
      </c>
      <c r="S68" s="5">
        <f ca="1">SUM(OFFSET(Demand!$E77,0,(COLUMN(F65)-1)*5,1,3))*S$2</f>
        <v>0</v>
      </c>
      <c r="T68" s="5">
        <f ca="1">SUM(OFFSET(Demand!$E77,0,(COLUMN(G65)-1)*5,1,3))*T$2</f>
        <v>0</v>
      </c>
      <c r="U68" s="5">
        <f ca="1">SUM(OFFSET(Demand!$E77,0,(COLUMN(H65)-1)*5,1,3))*U$2</f>
        <v>0</v>
      </c>
      <c r="V68" s="5">
        <f ca="1">SUM(OFFSET(Demand!$E77,0,(COLUMN(I65)-1)*5,1,3))*V$2</f>
        <v>0</v>
      </c>
      <c r="W68" s="5">
        <f ca="1">SUM(OFFSET(Demand!$E77,0,(COLUMN(J65)-1)*5,1,3))*W$2</f>
        <v>0</v>
      </c>
      <c r="X68" s="5">
        <f t="shared" ref="X68:X131" ca="1" si="31">IF(AN68="",SUM(OFFSET(N68,0,0,1,Num_Modalities)),"")</f>
        <v>500</v>
      </c>
      <c r="Y68">
        <f t="shared" ref="Y68:Y131" ca="1" si="32">SUM(OFFSET(N68,0,0,1,Num_Modalities))</f>
        <v>500</v>
      </c>
      <c r="Z68" s="5">
        <f ca="1">SUM(OFFSET(Demand!$H77,0,(COLUMN(A65)-1)*5,1,1))*N$2</f>
        <v>0</v>
      </c>
      <c r="AA68" s="5">
        <f ca="1">SUM(OFFSET(Demand!$H77,0,(COLUMN(B65)-1)*5,1,1))*O$2</f>
        <v>0</v>
      </c>
      <c r="AB68" s="5">
        <f ca="1">SUM(OFFSET(Demand!$H77,0,(COLUMN(C65)-1)*5,1,1))*P$2</f>
        <v>0</v>
      </c>
      <c r="AC68" s="5">
        <f ca="1">SUM(OFFSET(Demand!$H77,0,(COLUMN(D65)-1)*5,1,1))*Q$2</f>
        <v>0</v>
      </c>
      <c r="AD68" s="5">
        <f ca="1">SUM(OFFSET(Demand!$H77,0,(COLUMN(E65)-1)*5,1,1))*R$2</f>
        <v>0</v>
      </c>
      <c r="AE68" s="5">
        <f ca="1">SUM(OFFSET(Demand!$H77,0,(COLUMN(F65)-1)*5,1,1))*S$2</f>
        <v>0</v>
      </c>
      <c r="AF68" s="5">
        <f ca="1">SUM(OFFSET(Demand!$H77,0,(COLUMN(G65)-1)*5,1,1))*T$2</f>
        <v>0</v>
      </c>
      <c r="AG68" s="5">
        <f ca="1">SUM(OFFSET(Demand!$H77,0,(COLUMN(H65)-1)*5,1,1))*U$2</f>
        <v>0</v>
      </c>
      <c r="AH68" s="5">
        <f ca="1">SUM(OFFSET(Demand!$H77,0,(COLUMN(I65)-1)*5,1,1))*V$2</f>
        <v>0</v>
      </c>
      <c r="AI68" s="5">
        <f ca="1">SUM(OFFSET(Demand!$H77,0,(COLUMN(J65)-1)*5,1,1))*W$2</f>
        <v>0</v>
      </c>
      <c r="AJ68" s="5">
        <f t="shared" ref="AJ68:AJ131" ca="1" si="33">SUM(OFFSET(Z68,0,0,1,Num_Modalities))</f>
        <v>0</v>
      </c>
      <c r="AL68" s="5">
        <f t="shared" ca="1" si="7"/>
        <v>500</v>
      </c>
      <c r="AM68" s="5">
        <f t="shared" ca="1" si="8"/>
        <v>0</v>
      </c>
      <c r="AN68" s="5" t="str">
        <f>IF(Demand!BE77="Yes","Yes","")</f>
        <v/>
      </c>
      <c r="AP68" s="37" t="str">
        <f ca="1">Demand!B77</f>
        <v xml:space="preserve"> </v>
      </c>
      <c r="AQ68" t="str">
        <f ca="1">IF(TEXT(Demand!D77,"MMM")&lt;&gt;TEXT(Demand!D76,"MMM"),TEXT(Demand!D77,"MMM"),"")</f>
        <v/>
      </c>
      <c r="AT68" s="5">
        <f t="shared" ca="1" si="10"/>
        <v>110</v>
      </c>
      <c r="BQ68">
        <f ca="1">IF($AN68="",OFFSET(Demand!$A$13,ROW(A65)-1,4+((QUOTIENT(COLUMN(BQ$2)-69,3))*5)+MOD(COLUMN(BQ$2),3),1,1),"")</f>
        <v>0</v>
      </c>
      <c r="BR68">
        <f ca="1">IF($AN68="",OFFSET(Demand!$A$13,ROW(B65)-1,4+((QUOTIENT(COLUMN(BR$2)-69,3))*5)+MOD(COLUMN(BR$2),3),1,1),"")</f>
        <v>2</v>
      </c>
      <c r="BS68">
        <f ca="1">IF($AN68="",OFFSET(Demand!$A$13,ROW(C65)-1,4+((QUOTIENT(COLUMN(BS$2)-69,3))*5)+MOD(COLUMN(BS$2),3),1,1),"")</f>
        <v>4</v>
      </c>
      <c r="BT68">
        <f ca="1">IF($AN68="",OFFSET(Demand!$A$13,ROW(D65)-1,4+((QUOTIENT(COLUMN(BT$2)-69,3))*5)+MOD(COLUMN(BT$2),3),1,1),"")</f>
        <v>0</v>
      </c>
      <c r="BU68">
        <f ca="1">IF($AN68="",OFFSET(Demand!$A$13,ROW(E65)-1,4+((QUOTIENT(COLUMN(BU$2)-69,3))*5)+MOD(COLUMN(BU$2),3),1,1),"")</f>
        <v>3</v>
      </c>
      <c r="BV68">
        <f ca="1">IF($AN68="",OFFSET(Demand!$A$13,ROW(F65)-1,4+((QUOTIENT(COLUMN(BV$2)-69,3))*5)+MOD(COLUMN(BV$2),3),1,1),"")</f>
        <v>5</v>
      </c>
      <c r="BW68">
        <f ca="1">IF($AN68="",OFFSET(Demand!$A$13,ROW(G65)-1,4+((QUOTIENT(COLUMN(BW$2)-69,3))*5)+MOD(COLUMN(BW$2),3),1,1),"")</f>
        <v>0</v>
      </c>
      <c r="BX68">
        <f ca="1">IF($AN68="",OFFSET(Demand!$A$13,ROW(H65)-1,4+((QUOTIENT(COLUMN(BX$2)-69,3))*5)+MOD(COLUMN(BX$2),3),1,1),"")</f>
        <v>0</v>
      </c>
      <c r="BY68">
        <f ca="1">IF($AN68="",OFFSET(Demand!$A$13,ROW(I65)-1,4+((QUOTIENT(COLUMN(BY$2)-69,3))*5)+MOD(COLUMN(BY$2),3),1,1),"")</f>
        <v>0</v>
      </c>
      <c r="BZ68">
        <f ca="1">IF($AN68="",OFFSET(Demand!$A$13,ROW(J65)-1,4+((QUOTIENT(COLUMN(BZ$2)-69,3))*5)+MOD(COLUMN(BZ$2),3),1,1),"")</f>
        <v>0</v>
      </c>
      <c r="CA68">
        <f ca="1">IF($AN68="",OFFSET(Demand!$A$13,ROW(K65)-1,4+((QUOTIENT(COLUMN(CA$2)-69,3))*5)+MOD(COLUMN(CA$2),3),1,1),"")</f>
        <v>0</v>
      </c>
      <c r="CB68">
        <f ca="1">IF($AN68="",OFFSET(Demand!$A$13,ROW(L65)-1,4+((QUOTIENT(COLUMN(CB$2)-69,3))*5)+MOD(COLUMN(CB$2),3),1,1),"")</f>
        <v>0</v>
      </c>
      <c r="CC68">
        <f ca="1">IF($AN68="",OFFSET(Demand!$A$13,ROW(M65)-1,4+((QUOTIENT(COLUMN(CC$2)-69,3))*5)+MOD(COLUMN(CC$2),3),1,1),"")</f>
        <v>0</v>
      </c>
      <c r="CD68">
        <f ca="1">IF($AN68="",OFFSET(Demand!$A$13,ROW(N65)-1,4+((QUOTIENT(COLUMN(CD$2)-69,3))*5)+MOD(COLUMN(CD$2),3),1,1),"")</f>
        <v>0</v>
      </c>
      <c r="CE68">
        <f ca="1">IF($AN68="",OFFSET(Demand!$A$13,ROW(O65)-1,4+((QUOTIENT(COLUMN(CE$2)-69,3))*5)+MOD(COLUMN(CE$2),3),1,1),"")</f>
        <v>0</v>
      </c>
      <c r="CF68">
        <f ca="1">IF($AN68="",OFFSET(Demand!$A$13,ROW(P65)-1,4+((QUOTIENT(COLUMN(CF$2)-69,3))*5)+MOD(COLUMN(CF$2),3),1,1),"")</f>
        <v>0</v>
      </c>
      <c r="CG68">
        <f ca="1">IF($AN68="",OFFSET(Demand!$A$13,ROW(Q65)-1,4+((QUOTIENT(COLUMN(CG$2)-69,3))*5)+MOD(COLUMN(CG$2),3),1,1),"")</f>
        <v>0</v>
      </c>
      <c r="CH68">
        <f ca="1">IF($AN68="",OFFSET(Demand!$A$13,ROW(R65)-1,4+((QUOTIENT(COLUMN(CH$2)-69,3))*5)+MOD(COLUMN(CH$2),3),1,1),"")</f>
        <v>0</v>
      </c>
      <c r="CI68">
        <f ca="1">IF($AN68="",OFFSET(Demand!$A$13,ROW(S65)-1,4+((QUOTIENT(COLUMN(CI$2)-69,3))*5)+MOD(COLUMN(CI$2),3),1,1),"")</f>
        <v>0</v>
      </c>
      <c r="CJ68">
        <f ca="1">IF($AN68="",OFFSET(Demand!$A$13,ROW(T65)-1,4+((QUOTIENT(COLUMN(CJ$2)-69,3))*5)+MOD(COLUMN(CJ$2),3),1,1),"")</f>
        <v>0</v>
      </c>
      <c r="CK68">
        <f ca="1">IF($AN68="",OFFSET(Demand!$A$13,ROW(U65)-1,4+((QUOTIENT(COLUMN(CK$2)-69,3))*5)+MOD(COLUMN(CK$2),3),1,1),"")</f>
        <v>0</v>
      </c>
      <c r="CL68">
        <f ca="1">IF($AN68="",OFFSET(Demand!$A$13,ROW(V65)-1,4+((QUOTIENT(COLUMN(CL$2)-69,3))*5)+MOD(COLUMN(CL$2),3),1,1),"")</f>
        <v>0</v>
      </c>
      <c r="CM68">
        <f ca="1">IF($AN68="",OFFSET(Demand!$A$13,ROW(W65)-1,4+((QUOTIENT(COLUMN(CM$2)-69,3))*5)+MOD(COLUMN(CM$2),3),1,1),"")</f>
        <v>0</v>
      </c>
      <c r="CN68">
        <f ca="1">IF($AN68="",OFFSET(Demand!$A$13,ROW(X65)-1,4+((QUOTIENT(COLUMN(CN$2)-69,3))*5)+MOD(COLUMN(CN$2),3),1,1),"")</f>
        <v>0</v>
      </c>
      <c r="CO68">
        <f ca="1">IF($AN68="",OFFSET(Demand!$A$13,ROW(Y65)-1,4+((QUOTIENT(COLUMN(CO$2)-69,3))*5)+MOD(COLUMN(CO$2),3),1,1),"")</f>
        <v>0</v>
      </c>
      <c r="CP68">
        <f ca="1">IF($AN68="",OFFSET(Demand!$A$13,ROW(Z65)-1,4+((QUOTIENT(COLUMN(CP$2)-69,3))*5)+MOD(COLUMN(CP$2),3),1,1),"")</f>
        <v>0</v>
      </c>
      <c r="CQ68">
        <f ca="1">IF($AN68="",OFFSET(Demand!$A$13,ROW(AA65)-1,4+((QUOTIENT(COLUMN(CQ$2)-69,3))*5)+MOD(COLUMN(CQ$2),3),1,1),"")</f>
        <v>0</v>
      </c>
      <c r="CR68">
        <f ca="1">IF($AN68="",OFFSET(Demand!$A$13,ROW(AB65)-1,4+((QUOTIENT(COLUMN(CR$2)-69,3))*5)+MOD(COLUMN(CR$2),3),1,1),"")</f>
        <v>0</v>
      </c>
      <c r="CS68">
        <f ca="1">IF($AN68="",OFFSET(Demand!$A$13,ROW(AC65)-1,4+((QUOTIENT(COLUMN(CS$2)-69,3))*5)+MOD(COLUMN(CS$2),3),1,1),"")</f>
        <v>0</v>
      </c>
      <c r="CT68">
        <f ca="1">IF($AN68="",OFFSET(Demand!$A$13,ROW(AD65)-1,4+((QUOTIENT(COLUMN(CT$2)-69,3))*5)+MOD(COLUMN(CT$2),3),1,1),"")</f>
        <v>0</v>
      </c>
      <c r="CW68" s="5">
        <f ca="1">SUM(OFFSET(Demand!$H$43,ROW(A65)-1,(COLUMN(A65)-1)*5,1,1))*N$2</f>
        <v>0</v>
      </c>
      <c r="CX68" s="5">
        <f ca="1">SUM(OFFSET(Demand!$H$43,ROW(B65)-1,(COLUMN(B65)-1)*5,1,1))*O$2</f>
        <v>0</v>
      </c>
      <c r="CY68" s="5">
        <f ca="1">SUM(OFFSET(Demand!$H$43,ROW(C65)-1,(COLUMN(C65)-1)*5,1,1))*P$2</f>
        <v>0</v>
      </c>
      <c r="CZ68" s="5">
        <f ca="1">SUM(OFFSET(Demand!$H$43,ROW(D65)-1,(COLUMN(D65)-1)*5,1,1))*Q$2</f>
        <v>0</v>
      </c>
      <c r="DA68" s="5">
        <f ca="1">SUM(OFFSET(Demand!$H$43,ROW(E65)-1,(COLUMN(E65)-1)*5,1,1))*R$2</f>
        <v>0</v>
      </c>
      <c r="DB68" s="5">
        <f ca="1">SUM(OFFSET(Demand!$H$43,ROW(F65)-1,(COLUMN(F65)-1)*5,1,1))*S$2</f>
        <v>0</v>
      </c>
      <c r="DC68" s="5">
        <f ca="1">SUM(OFFSET(Demand!$H$43,ROW(G65)-1,(COLUMN(G65)-1)*5,1,1))*T$2</f>
        <v>0</v>
      </c>
      <c r="DD68" s="5">
        <f ca="1">SUM(OFFSET(Demand!$H$43,ROW(H65)-1,(COLUMN(H65)-1)*5,1,1))*U$2</f>
        <v>0</v>
      </c>
      <c r="DE68" s="5">
        <f ca="1">SUM(OFFSET(Demand!$H$43,ROW(I65)-1,(COLUMN(I65)-1)*5,1,1))*V$2</f>
        <v>0</v>
      </c>
      <c r="DF68" s="5">
        <f ca="1">SUM(OFFSET(Demand!$H$43,ROW(J65)-1,(COLUMN(J65)-1)*5,1,1))*W$2</f>
        <v>0</v>
      </c>
      <c r="DG68" s="5">
        <f t="shared" ca="1" si="9"/>
        <v>0</v>
      </c>
    </row>
    <row r="69" spans="1:111" x14ac:dyDescent="0.2">
      <c r="A69" s="5">
        <f t="shared" ca="1" si="30"/>
        <v>0</v>
      </c>
      <c r="B69" s="5">
        <f ca="1">COUNTBLANK(OFFSET(Demand!$I78,0,(COLUMN(A66)-1)*5,1,1))</f>
        <v>0</v>
      </c>
      <c r="C69" s="5">
        <f ca="1">COUNTBLANK(OFFSET(Demand!$I78,0,(COLUMN(B66)-1)*5,1,1))</f>
        <v>0</v>
      </c>
      <c r="D69" s="5">
        <f ca="1">COUNTBLANK(OFFSET(Demand!$I78,0,(COLUMN(C66)-1)*5,1,1))</f>
        <v>1</v>
      </c>
      <c r="E69" s="5">
        <f ca="1">COUNTBLANK(OFFSET(Demand!$I78,0,(COLUMN(D66)-1)*5,1,1))</f>
        <v>1</v>
      </c>
      <c r="F69" s="5">
        <f ca="1">COUNTBLANK(OFFSET(Demand!$I78,0,(COLUMN(E66)-1)*5,1,1))</f>
        <v>1</v>
      </c>
      <c r="G69" s="5">
        <f ca="1">COUNTBLANK(OFFSET(Demand!$I78,0,(COLUMN(F66)-1)*5,1,1))</f>
        <v>1</v>
      </c>
      <c r="H69" s="5">
        <f ca="1">COUNTBLANK(OFFSET(Demand!$I78,0,(COLUMN(G66)-1)*5,1,1))</f>
        <v>1</v>
      </c>
      <c r="I69" s="5">
        <f ca="1">COUNTBLANK(OFFSET(Demand!$I78,0,(COLUMN(H66)-1)*5,1,1))</f>
        <v>1</v>
      </c>
      <c r="J69" s="5">
        <f ca="1">COUNTBLANK(OFFSET(Demand!$I78,0,(COLUMN(I66)-1)*5,1,1))</f>
        <v>1</v>
      </c>
      <c r="K69" s="5">
        <f ca="1">COUNTBLANK(OFFSET(Demand!$I78,0,(COLUMN(J66)-1)*5,1,1))</f>
        <v>1</v>
      </c>
      <c r="N69" s="5">
        <f ca="1">SUM(OFFSET(Demand!$E78,0,(COLUMN(A66)-1)*5,1,3))*N$2</f>
        <v>30</v>
      </c>
      <c r="O69" s="5">
        <f ca="1">SUM(OFFSET(Demand!$E78,0,(COLUMN(B66)-1)*5,1,3))*O$2</f>
        <v>280</v>
      </c>
      <c r="P69" s="5">
        <f ca="1">SUM(OFFSET(Demand!$E78,0,(COLUMN(C66)-1)*5,1,3))*P$2</f>
        <v>0</v>
      </c>
      <c r="Q69" s="5">
        <f ca="1">SUM(OFFSET(Demand!$E78,0,(COLUMN(D66)-1)*5,1,3))*Q$2</f>
        <v>0</v>
      </c>
      <c r="R69" s="5">
        <f ca="1">SUM(OFFSET(Demand!$E78,0,(COLUMN(E66)-1)*5,1,3))*R$2</f>
        <v>0</v>
      </c>
      <c r="S69" s="5">
        <f ca="1">SUM(OFFSET(Demand!$E78,0,(COLUMN(F66)-1)*5,1,3))*S$2</f>
        <v>0</v>
      </c>
      <c r="T69" s="5">
        <f ca="1">SUM(OFFSET(Demand!$E78,0,(COLUMN(G66)-1)*5,1,3))*T$2</f>
        <v>0</v>
      </c>
      <c r="U69" s="5">
        <f ca="1">SUM(OFFSET(Demand!$E78,0,(COLUMN(H66)-1)*5,1,3))*U$2</f>
        <v>0</v>
      </c>
      <c r="V69" s="5">
        <f ca="1">SUM(OFFSET(Demand!$E78,0,(COLUMN(I66)-1)*5,1,3))*V$2</f>
        <v>0</v>
      </c>
      <c r="W69" s="5">
        <f ca="1">SUM(OFFSET(Demand!$E78,0,(COLUMN(J66)-1)*5,1,3))*W$2</f>
        <v>0</v>
      </c>
      <c r="X69" s="5">
        <f t="shared" ca="1" si="31"/>
        <v>310</v>
      </c>
      <c r="Y69">
        <f t="shared" ca="1" si="32"/>
        <v>310</v>
      </c>
      <c r="Z69" s="5">
        <f ca="1">SUM(OFFSET(Demand!$H78,0,(COLUMN(A66)-1)*5,1,1))*N$2</f>
        <v>0</v>
      </c>
      <c r="AA69" s="5">
        <f ca="1">SUM(OFFSET(Demand!$H78,0,(COLUMN(B66)-1)*5,1,1))*O$2</f>
        <v>0</v>
      </c>
      <c r="AB69" s="5">
        <f ca="1">SUM(OFFSET(Demand!$H78,0,(COLUMN(C66)-1)*5,1,1))*P$2</f>
        <v>0</v>
      </c>
      <c r="AC69" s="5">
        <f ca="1">SUM(OFFSET(Demand!$H78,0,(COLUMN(D66)-1)*5,1,1))*Q$2</f>
        <v>0</v>
      </c>
      <c r="AD69" s="5">
        <f ca="1">SUM(OFFSET(Demand!$H78,0,(COLUMN(E66)-1)*5,1,1))*R$2</f>
        <v>0</v>
      </c>
      <c r="AE69" s="5">
        <f ca="1">SUM(OFFSET(Demand!$H78,0,(COLUMN(F66)-1)*5,1,1))*S$2</f>
        <v>0</v>
      </c>
      <c r="AF69" s="5">
        <f ca="1">SUM(OFFSET(Demand!$H78,0,(COLUMN(G66)-1)*5,1,1))*T$2</f>
        <v>0</v>
      </c>
      <c r="AG69" s="5">
        <f ca="1">SUM(OFFSET(Demand!$H78,0,(COLUMN(H66)-1)*5,1,1))*U$2</f>
        <v>0</v>
      </c>
      <c r="AH69" s="5">
        <f ca="1">SUM(OFFSET(Demand!$H78,0,(COLUMN(I66)-1)*5,1,1))*V$2</f>
        <v>0</v>
      </c>
      <c r="AI69" s="5">
        <f ca="1">SUM(OFFSET(Demand!$H78,0,(COLUMN(J66)-1)*5,1,1))*W$2</f>
        <v>0</v>
      </c>
      <c r="AJ69" s="5">
        <f t="shared" ca="1" si="33"/>
        <v>0</v>
      </c>
      <c r="AL69" s="5">
        <f t="shared" ref="AL69:AL132" ca="1" si="34">X69</f>
        <v>310</v>
      </c>
      <c r="AM69" s="5">
        <f t="shared" ref="AM69:AM132" ca="1" si="35">IF(AN69&lt;&gt;"","",AJ69)</f>
        <v>0</v>
      </c>
      <c r="AN69" s="5" t="str">
        <f>IF(Demand!BE78="Yes","Yes","")</f>
        <v/>
      </c>
      <c r="AP69" s="37" t="str">
        <f ca="1">Demand!B78</f>
        <v xml:space="preserve"> </v>
      </c>
      <c r="AQ69" t="str">
        <f ca="1">IF(TEXT(Demand!D78,"MMM")&lt;&gt;TEXT(Demand!D77,"MMM"),TEXT(Demand!D78,"MMM"),"")</f>
        <v/>
      </c>
      <c r="AT69" s="5">
        <f t="shared" ca="1" si="10"/>
        <v>190</v>
      </c>
      <c r="BQ69">
        <f ca="1">IF($AN69="",OFFSET(Demand!$A$13,ROW(A66)-1,4+((QUOTIENT(COLUMN(BQ$2)-69,3))*5)+MOD(COLUMN(BQ$2),3),1,1),"")</f>
        <v>0</v>
      </c>
      <c r="BR69">
        <f ca="1">IF($AN69="",OFFSET(Demand!$A$13,ROW(B66)-1,4+((QUOTIENT(COLUMN(BR$2)-69,3))*5)+MOD(COLUMN(BR$2),3),1,1),"")</f>
        <v>1</v>
      </c>
      <c r="BS69">
        <f ca="1">IF($AN69="",OFFSET(Demand!$A$13,ROW(C66)-1,4+((QUOTIENT(COLUMN(BS$2)-69,3))*5)+MOD(COLUMN(BS$2),3),1,1),"")</f>
        <v>0</v>
      </c>
      <c r="BT69">
        <f ca="1">IF($AN69="",OFFSET(Demand!$A$13,ROW(D66)-1,4+((QUOTIENT(COLUMN(BT$2)-69,3))*5)+MOD(COLUMN(BT$2),3),1,1),"")</f>
        <v>0</v>
      </c>
      <c r="BU69">
        <f ca="1">IF($AN69="",OFFSET(Demand!$A$13,ROW(E66)-1,4+((QUOTIENT(COLUMN(BU$2)-69,3))*5)+MOD(COLUMN(BU$2),3),1,1),"")</f>
        <v>1</v>
      </c>
      <c r="BV69">
        <f ca="1">IF($AN69="",OFFSET(Demand!$A$13,ROW(F66)-1,4+((QUOTIENT(COLUMN(BV$2)-69,3))*5)+MOD(COLUMN(BV$2),3),1,1),"")</f>
        <v>6</v>
      </c>
      <c r="BW69">
        <f ca="1">IF($AN69="",OFFSET(Demand!$A$13,ROW(G66)-1,4+((QUOTIENT(COLUMN(BW$2)-69,3))*5)+MOD(COLUMN(BW$2),3),1,1),"")</f>
        <v>0</v>
      </c>
      <c r="BX69">
        <f ca="1">IF($AN69="",OFFSET(Demand!$A$13,ROW(H66)-1,4+((QUOTIENT(COLUMN(BX$2)-69,3))*5)+MOD(COLUMN(BX$2),3),1,1),"")</f>
        <v>0</v>
      </c>
      <c r="BY69">
        <f ca="1">IF($AN69="",OFFSET(Demand!$A$13,ROW(I66)-1,4+((QUOTIENT(COLUMN(BY$2)-69,3))*5)+MOD(COLUMN(BY$2),3),1,1),"")</f>
        <v>0</v>
      </c>
      <c r="BZ69">
        <f ca="1">IF($AN69="",OFFSET(Demand!$A$13,ROW(J66)-1,4+((QUOTIENT(COLUMN(BZ$2)-69,3))*5)+MOD(COLUMN(BZ$2),3),1,1),"")</f>
        <v>0</v>
      </c>
      <c r="CA69">
        <f ca="1">IF($AN69="",OFFSET(Demand!$A$13,ROW(K66)-1,4+((QUOTIENT(COLUMN(CA$2)-69,3))*5)+MOD(COLUMN(CA$2),3),1,1),"")</f>
        <v>0</v>
      </c>
      <c r="CB69">
        <f ca="1">IF($AN69="",OFFSET(Demand!$A$13,ROW(L66)-1,4+((QUOTIENT(COLUMN(CB$2)-69,3))*5)+MOD(COLUMN(CB$2),3),1,1),"")</f>
        <v>0</v>
      </c>
      <c r="CC69">
        <f ca="1">IF($AN69="",OFFSET(Demand!$A$13,ROW(M66)-1,4+((QUOTIENT(COLUMN(CC$2)-69,3))*5)+MOD(COLUMN(CC$2),3),1,1),"")</f>
        <v>0</v>
      </c>
      <c r="CD69">
        <f ca="1">IF($AN69="",OFFSET(Demand!$A$13,ROW(N66)-1,4+((QUOTIENT(COLUMN(CD$2)-69,3))*5)+MOD(COLUMN(CD$2),3),1,1),"")</f>
        <v>0</v>
      </c>
      <c r="CE69">
        <f ca="1">IF($AN69="",OFFSET(Demand!$A$13,ROW(O66)-1,4+((QUOTIENT(COLUMN(CE$2)-69,3))*5)+MOD(COLUMN(CE$2),3),1,1),"")</f>
        <v>0</v>
      </c>
      <c r="CF69">
        <f ca="1">IF($AN69="",OFFSET(Demand!$A$13,ROW(P66)-1,4+((QUOTIENT(COLUMN(CF$2)-69,3))*5)+MOD(COLUMN(CF$2),3),1,1),"")</f>
        <v>0</v>
      </c>
      <c r="CG69">
        <f ca="1">IF($AN69="",OFFSET(Demand!$A$13,ROW(Q66)-1,4+((QUOTIENT(COLUMN(CG$2)-69,3))*5)+MOD(COLUMN(CG$2),3),1,1),"")</f>
        <v>0</v>
      </c>
      <c r="CH69">
        <f ca="1">IF($AN69="",OFFSET(Demand!$A$13,ROW(R66)-1,4+((QUOTIENT(COLUMN(CH$2)-69,3))*5)+MOD(COLUMN(CH$2),3),1,1),"")</f>
        <v>0</v>
      </c>
      <c r="CI69">
        <f ca="1">IF($AN69="",OFFSET(Demand!$A$13,ROW(S66)-1,4+((QUOTIENT(COLUMN(CI$2)-69,3))*5)+MOD(COLUMN(CI$2),3),1,1),"")</f>
        <v>0</v>
      </c>
      <c r="CJ69">
        <f ca="1">IF($AN69="",OFFSET(Demand!$A$13,ROW(T66)-1,4+((QUOTIENT(COLUMN(CJ$2)-69,3))*5)+MOD(COLUMN(CJ$2),3),1,1),"")</f>
        <v>0</v>
      </c>
      <c r="CK69">
        <f ca="1">IF($AN69="",OFFSET(Demand!$A$13,ROW(U66)-1,4+((QUOTIENT(COLUMN(CK$2)-69,3))*5)+MOD(COLUMN(CK$2),3),1,1),"")</f>
        <v>0</v>
      </c>
      <c r="CL69">
        <f ca="1">IF($AN69="",OFFSET(Demand!$A$13,ROW(V66)-1,4+((QUOTIENT(COLUMN(CL$2)-69,3))*5)+MOD(COLUMN(CL$2),3),1,1),"")</f>
        <v>0</v>
      </c>
      <c r="CM69">
        <f ca="1">IF($AN69="",OFFSET(Demand!$A$13,ROW(W66)-1,4+((QUOTIENT(COLUMN(CM$2)-69,3))*5)+MOD(COLUMN(CM$2),3),1,1),"")</f>
        <v>0</v>
      </c>
      <c r="CN69">
        <f ca="1">IF($AN69="",OFFSET(Demand!$A$13,ROW(X66)-1,4+((QUOTIENT(COLUMN(CN$2)-69,3))*5)+MOD(COLUMN(CN$2),3),1,1),"")</f>
        <v>0</v>
      </c>
      <c r="CO69">
        <f ca="1">IF($AN69="",OFFSET(Demand!$A$13,ROW(Y66)-1,4+((QUOTIENT(COLUMN(CO$2)-69,3))*5)+MOD(COLUMN(CO$2),3),1,1),"")</f>
        <v>0</v>
      </c>
      <c r="CP69">
        <f ca="1">IF($AN69="",OFFSET(Demand!$A$13,ROW(Z66)-1,4+((QUOTIENT(COLUMN(CP$2)-69,3))*5)+MOD(COLUMN(CP$2),3),1,1),"")</f>
        <v>0</v>
      </c>
      <c r="CQ69">
        <f ca="1">IF($AN69="",OFFSET(Demand!$A$13,ROW(AA66)-1,4+((QUOTIENT(COLUMN(CQ$2)-69,3))*5)+MOD(COLUMN(CQ$2),3),1,1),"")</f>
        <v>0</v>
      </c>
      <c r="CR69">
        <f ca="1">IF($AN69="",OFFSET(Demand!$A$13,ROW(AB66)-1,4+((QUOTIENT(COLUMN(CR$2)-69,3))*5)+MOD(COLUMN(CR$2),3),1,1),"")</f>
        <v>0</v>
      </c>
      <c r="CS69">
        <f ca="1">IF($AN69="",OFFSET(Demand!$A$13,ROW(AC66)-1,4+((QUOTIENT(COLUMN(CS$2)-69,3))*5)+MOD(COLUMN(CS$2),3),1,1),"")</f>
        <v>0</v>
      </c>
      <c r="CT69">
        <f ca="1">IF($AN69="",OFFSET(Demand!$A$13,ROW(AD66)-1,4+((QUOTIENT(COLUMN(CT$2)-69,3))*5)+MOD(COLUMN(CT$2),3),1,1),"")</f>
        <v>0</v>
      </c>
      <c r="CW69" s="5">
        <f ca="1">SUM(OFFSET(Demand!$H$43,ROW(A66)-1,(COLUMN(A66)-1)*5,1,1))*N$2</f>
        <v>0</v>
      </c>
      <c r="CX69" s="5">
        <f ca="1">SUM(OFFSET(Demand!$H$43,ROW(B66)-1,(COLUMN(B66)-1)*5,1,1))*O$2</f>
        <v>0</v>
      </c>
      <c r="CY69" s="5">
        <f ca="1">SUM(OFFSET(Demand!$H$43,ROW(C66)-1,(COLUMN(C66)-1)*5,1,1))*P$2</f>
        <v>0</v>
      </c>
      <c r="CZ69" s="5">
        <f ca="1">SUM(OFFSET(Demand!$H$43,ROW(D66)-1,(COLUMN(D66)-1)*5,1,1))*Q$2</f>
        <v>0</v>
      </c>
      <c r="DA69" s="5">
        <f ca="1">SUM(OFFSET(Demand!$H$43,ROW(E66)-1,(COLUMN(E66)-1)*5,1,1))*R$2</f>
        <v>0</v>
      </c>
      <c r="DB69" s="5">
        <f ca="1">SUM(OFFSET(Demand!$H$43,ROW(F66)-1,(COLUMN(F66)-1)*5,1,1))*S$2</f>
        <v>0</v>
      </c>
      <c r="DC69" s="5">
        <f ca="1">SUM(OFFSET(Demand!$H$43,ROW(G66)-1,(COLUMN(G66)-1)*5,1,1))*T$2</f>
        <v>0</v>
      </c>
      <c r="DD69" s="5">
        <f ca="1">SUM(OFFSET(Demand!$H$43,ROW(H66)-1,(COLUMN(H66)-1)*5,1,1))*U$2</f>
        <v>0</v>
      </c>
      <c r="DE69" s="5">
        <f ca="1">SUM(OFFSET(Demand!$H$43,ROW(I66)-1,(COLUMN(I66)-1)*5,1,1))*V$2</f>
        <v>0</v>
      </c>
      <c r="DF69" s="5">
        <f ca="1">SUM(OFFSET(Demand!$H$43,ROW(J66)-1,(COLUMN(J66)-1)*5,1,1))*W$2</f>
        <v>0</v>
      </c>
      <c r="DG69" s="5">
        <f t="shared" ref="DG69:DG132" ca="1" si="36">IF(AN69="",SUM(CW69:DF69),"")</f>
        <v>0</v>
      </c>
    </row>
    <row r="70" spans="1:111" x14ac:dyDescent="0.2">
      <c r="A70" s="5">
        <f t="shared" ca="1" si="30"/>
        <v>0</v>
      </c>
      <c r="B70" s="5">
        <f ca="1">COUNTBLANK(OFFSET(Demand!$I79,0,(COLUMN(A67)-1)*5,1,1))</f>
        <v>0</v>
      </c>
      <c r="C70" s="5">
        <f ca="1">COUNTBLANK(OFFSET(Demand!$I79,0,(COLUMN(B67)-1)*5,1,1))</f>
        <v>0</v>
      </c>
      <c r="D70" s="5">
        <f ca="1">COUNTBLANK(OFFSET(Demand!$I79,0,(COLUMN(C67)-1)*5,1,1))</f>
        <v>1</v>
      </c>
      <c r="E70" s="5">
        <f ca="1">COUNTBLANK(OFFSET(Demand!$I79,0,(COLUMN(D67)-1)*5,1,1))</f>
        <v>1</v>
      </c>
      <c r="F70" s="5">
        <f ca="1">COUNTBLANK(OFFSET(Demand!$I79,0,(COLUMN(E67)-1)*5,1,1))</f>
        <v>1</v>
      </c>
      <c r="G70" s="5">
        <f ca="1">COUNTBLANK(OFFSET(Demand!$I79,0,(COLUMN(F67)-1)*5,1,1))</f>
        <v>1</v>
      </c>
      <c r="H70" s="5">
        <f ca="1">COUNTBLANK(OFFSET(Demand!$I79,0,(COLUMN(G67)-1)*5,1,1))</f>
        <v>1</v>
      </c>
      <c r="I70" s="5">
        <f ca="1">COUNTBLANK(OFFSET(Demand!$I79,0,(COLUMN(H67)-1)*5,1,1))</f>
        <v>1</v>
      </c>
      <c r="J70" s="5">
        <f ca="1">COUNTBLANK(OFFSET(Demand!$I79,0,(COLUMN(I67)-1)*5,1,1))</f>
        <v>1</v>
      </c>
      <c r="K70" s="5">
        <f ca="1">COUNTBLANK(OFFSET(Demand!$I79,0,(COLUMN(J67)-1)*5,1,1))</f>
        <v>1</v>
      </c>
      <c r="N70" s="5">
        <f ca="1">SUM(OFFSET(Demand!$E79,0,(COLUMN(A67)-1)*5,1,3))*N$2</f>
        <v>60</v>
      </c>
      <c r="O70" s="5">
        <f ca="1">SUM(OFFSET(Demand!$E79,0,(COLUMN(B67)-1)*5,1,3))*O$2</f>
        <v>760</v>
      </c>
      <c r="P70" s="5">
        <f ca="1">SUM(OFFSET(Demand!$E79,0,(COLUMN(C67)-1)*5,1,3))*P$2</f>
        <v>0</v>
      </c>
      <c r="Q70" s="5">
        <f ca="1">SUM(OFFSET(Demand!$E79,0,(COLUMN(D67)-1)*5,1,3))*Q$2</f>
        <v>0</v>
      </c>
      <c r="R70" s="5">
        <f ca="1">SUM(OFFSET(Demand!$E79,0,(COLUMN(E67)-1)*5,1,3))*R$2</f>
        <v>0</v>
      </c>
      <c r="S70" s="5">
        <f ca="1">SUM(OFFSET(Demand!$E79,0,(COLUMN(F67)-1)*5,1,3))*S$2</f>
        <v>0</v>
      </c>
      <c r="T70" s="5">
        <f ca="1">SUM(OFFSET(Demand!$E79,0,(COLUMN(G67)-1)*5,1,3))*T$2</f>
        <v>0</v>
      </c>
      <c r="U70" s="5">
        <f ca="1">SUM(OFFSET(Demand!$E79,0,(COLUMN(H67)-1)*5,1,3))*U$2</f>
        <v>0</v>
      </c>
      <c r="V70" s="5">
        <f ca="1">SUM(OFFSET(Demand!$E79,0,(COLUMN(I67)-1)*5,1,3))*V$2</f>
        <v>0</v>
      </c>
      <c r="W70" s="5">
        <f ca="1">SUM(OFFSET(Demand!$E79,0,(COLUMN(J67)-1)*5,1,3))*W$2</f>
        <v>0</v>
      </c>
      <c r="X70" s="5">
        <f t="shared" ca="1" si="31"/>
        <v>820</v>
      </c>
      <c r="Y70">
        <f t="shared" ca="1" si="32"/>
        <v>820</v>
      </c>
      <c r="Z70" s="5">
        <f ca="1">SUM(OFFSET(Demand!$H79,0,(COLUMN(A67)-1)*5,1,1))*N$2</f>
        <v>0</v>
      </c>
      <c r="AA70" s="5">
        <f ca="1">SUM(OFFSET(Demand!$H79,0,(COLUMN(B67)-1)*5,1,1))*O$2</f>
        <v>0</v>
      </c>
      <c r="AB70" s="5">
        <f ca="1">SUM(OFFSET(Demand!$H79,0,(COLUMN(C67)-1)*5,1,1))*P$2</f>
        <v>0</v>
      </c>
      <c r="AC70" s="5">
        <f ca="1">SUM(OFFSET(Demand!$H79,0,(COLUMN(D67)-1)*5,1,1))*Q$2</f>
        <v>0</v>
      </c>
      <c r="AD70" s="5">
        <f ca="1">SUM(OFFSET(Demand!$H79,0,(COLUMN(E67)-1)*5,1,1))*R$2</f>
        <v>0</v>
      </c>
      <c r="AE70" s="5">
        <f ca="1">SUM(OFFSET(Demand!$H79,0,(COLUMN(F67)-1)*5,1,1))*S$2</f>
        <v>0</v>
      </c>
      <c r="AF70" s="5">
        <f ca="1">SUM(OFFSET(Demand!$H79,0,(COLUMN(G67)-1)*5,1,1))*T$2</f>
        <v>0</v>
      </c>
      <c r="AG70" s="5">
        <f ca="1">SUM(OFFSET(Demand!$H79,0,(COLUMN(H67)-1)*5,1,1))*U$2</f>
        <v>0</v>
      </c>
      <c r="AH70" s="5">
        <f ca="1">SUM(OFFSET(Demand!$H79,0,(COLUMN(I67)-1)*5,1,1))*V$2</f>
        <v>0</v>
      </c>
      <c r="AI70" s="5">
        <f ca="1">SUM(OFFSET(Demand!$H79,0,(COLUMN(J67)-1)*5,1,1))*W$2</f>
        <v>0</v>
      </c>
      <c r="AJ70" s="5">
        <f t="shared" ca="1" si="33"/>
        <v>0</v>
      </c>
      <c r="AL70" s="5">
        <f t="shared" ca="1" si="34"/>
        <v>820</v>
      </c>
      <c r="AM70" s="5">
        <f t="shared" ca="1" si="35"/>
        <v>0</v>
      </c>
      <c r="AN70" s="5" t="str">
        <f>IF(Demand!BE79="Yes","Yes","")</f>
        <v/>
      </c>
      <c r="AP70" s="37" t="str">
        <f ca="1">Demand!B79</f>
        <v xml:space="preserve"> </v>
      </c>
      <c r="AQ70" t="str">
        <f ca="1">IF(TEXT(Demand!D79,"MMM")&lt;&gt;TEXT(Demand!D78,"MMM"),TEXT(Demand!D79,"MMM"),"")</f>
        <v>Jul</v>
      </c>
      <c r="AT70" s="5">
        <f t="shared" ref="AT70:AT133" ca="1" si="37">IF(OR(AL70="",AL69=""),"",ABS(AL70-AL69))</f>
        <v>510</v>
      </c>
      <c r="BQ70">
        <f ca="1">IF($AN70="",OFFSET(Demand!$A$13,ROW(A67)-1,4+((QUOTIENT(COLUMN(BQ$2)-69,3))*5)+MOD(COLUMN(BQ$2),3),1,1),"")</f>
        <v>0</v>
      </c>
      <c r="BR70">
        <f ca="1">IF($AN70="",OFFSET(Demand!$A$13,ROW(B67)-1,4+((QUOTIENT(COLUMN(BR$2)-69,3))*5)+MOD(COLUMN(BR$2),3),1,1),"")</f>
        <v>0</v>
      </c>
      <c r="BS70">
        <f ca="1">IF($AN70="",OFFSET(Demand!$A$13,ROW(C67)-1,4+((QUOTIENT(COLUMN(BS$2)-69,3))*5)+MOD(COLUMN(BS$2),3),1,1),"")</f>
        <v>2</v>
      </c>
      <c r="BT70">
        <f ca="1">IF($AN70="",OFFSET(Demand!$A$13,ROW(D67)-1,4+((QUOTIENT(COLUMN(BT$2)-69,3))*5)+MOD(COLUMN(BT$2),3),1,1),"")</f>
        <v>0</v>
      </c>
      <c r="BU70">
        <f ca="1">IF($AN70="",OFFSET(Demand!$A$13,ROW(E67)-1,4+((QUOTIENT(COLUMN(BU$2)-69,3))*5)+MOD(COLUMN(BU$2),3),1,1),"")</f>
        <v>4</v>
      </c>
      <c r="BV70">
        <f ca="1">IF($AN70="",OFFSET(Demand!$A$13,ROW(F67)-1,4+((QUOTIENT(COLUMN(BV$2)-69,3))*5)+MOD(COLUMN(BV$2),3),1,1),"")</f>
        <v>15</v>
      </c>
      <c r="BW70">
        <f ca="1">IF($AN70="",OFFSET(Demand!$A$13,ROW(G67)-1,4+((QUOTIENT(COLUMN(BW$2)-69,3))*5)+MOD(COLUMN(BW$2),3),1,1),"")</f>
        <v>0</v>
      </c>
      <c r="BX70">
        <f ca="1">IF($AN70="",OFFSET(Demand!$A$13,ROW(H67)-1,4+((QUOTIENT(COLUMN(BX$2)-69,3))*5)+MOD(COLUMN(BX$2),3),1,1),"")</f>
        <v>0</v>
      </c>
      <c r="BY70">
        <f ca="1">IF($AN70="",OFFSET(Demand!$A$13,ROW(I67)-1,4+((QUOTIENT(COLUMN(BY$2)-69,3))*5)+MOD(COLUMN(BY$2),3),1,1),"")</f>
        <v>0</v>
      </c>
      <c r="BZ70">
        <f ca="1">IF($AN70="",OFFSET(Demand!$A$13,ROW(J67)-1,4+((QUOTIENT(COLUMN(BZ$2)-69,3))*5)+MOD(COLUMN(BZ$2),3),1,1),"")</f>
        <v>0</v>
      </c>
      <c r="CA70">
        <f ca="1">IF($AN70="",OFFSET(Demand!$A$13,ROW(K67)-1,4+((QUOTIENT(COLUMN(CA$2)-69,3))*5)+MOD(COLUMN(CA$2),3),1,1),"")</f>
        <v>0</v>
      </c>
      <c r="CB70">
        <f ca="1">IF($AN70="",OFFSET(Demand!$A$13,ROW(L67)-1,4+((QUOTIENT(COLUMN(CB$2)-69,3))*5)+MOD(COLUMN(CB$2),3),1,1),"")</f>
        <v>0</v>
      </c>
      <c r="CC70">
        <f ca="1">IF($AN70="",OFFSET(Demand!$A$13,ROW(M67)-1,4+((QUOTIENT(COLUMN(CC$2)-69,3))*5)+MOD(COLUMN(CC$2),3),1,1),"")</f>
        <v>0</v>
      </c>
      <c r="CD70">
        <f ca="1">IF($AN70="",OFFSET(Demand!$A$13,ROW(N67)-1,4+((QUOTIENT(COLUMN(CD$2)-69,3))*5)+MOD(COLUMN(CD$2),3),1,1),"")</f>
        <v>0</v>
      </c>
      <c r="CE70">
        <f ca="1">IF($AN70="",OFFSET(Demand!$A$13,ROW(O67)-1,4+((QUOTIENT(COLUMN(CE$2)-69,3))*5)+MOD(COLUMN(CE$2),3),1,1),"")</f>
        <v>0</v>
      </c>
      <c r="CF70">
        <f ca="1">IF($AN70="",OFFSET(Demand!$A$13,ROW(P67)-1,4+((QUOTIENT(COLUMN(CF$2)-69,3))*5)+MOD(COLUMN(CF$2),3),1,1),"")</f>
        <v>0</v>
      </c>
      <c r="CG70">
        <f ca="1">IF($AN70="",OFFSET(Demand!$A$13,ROW(Q67)-1,4+((QUOTIENT(COLUMN(CG$2)-69,3))*5)+MOD(COLUMN(CG$2),3),1,1),"")</f>
        <v>0</v>
      </c>
      <c r="CH70">
        <f ca="1">IF($AN70="",OFFSET(Demand!$A$13,ROW(R67)-1,4+((QUOTIENT(COLUMN(CH$2)-69,3))*5)+MOD(COLUMN(CH$2),3),1,1),"")</f>
        <v>0</v>
      </c>
      <c r="CI70">
        <f ca="1">IF($AN70="",OFFSET(Demand!$A$13,ROW(S67)-1,4+((QUOTIENT(COLUMN(CI$2)-69,3))*5)+MOD(COLUMN(CI$2),3),1,1),"")</f>
        <v>0</v>
      </c>
      <c r="CJ70">
        <f ca="1">IF($AN70="",OFFSET(Demand!$A$13,ROW(T67)-1,4+((QUOTIENT(COLUMN(CJ$2)-69,3))*5)+MOD(COLUMN(CJ$2),3),1,1),"")</f>
        <v>0</v>
      </c>
      <c r="CK70">
        <f ca="1">IF($AN70="",OFFSET(Demand!$A$13,ROW(U67)-1,4+((QUOTIENT(COLUMN(CK$2)-69,3))*5)+MOD(COLUMN(CK$2),3),1,1),"")</f>
        <v>0</v>
      </c>
      <c r="CL70">
        <f ca="1">IF($AN70="",OFFSET(Demand!$A$13,ROW(V67)-1,4+((QUOTIENT(COLUMN(CL$2)-69,3))*5)+MOD(COLUMN(CL$2),3),1,1),"")</f>
        <v>0</v>
      </c>
      <c r="CM70">
        <f ca="1">IF($AN70="",OFFSET(Demand!$A$13,ROW(W67)-1,4+((QUOTIENT(COLUMN(CM$2)-69,3))*5)+MOD(COLUMN(CM$2),3),1,1),"")</f>
        <v>0</v>
      </c>
      <c r="CN70">
        <f ca="1">IF($AN70="",OFFSET(Demand!$A$13,ROW(X67)-1,4+((QUOTIENT(COLUMN(CN$2)-69,3))*5)+MOD(COLUMN(CN$2),3),1,1),"")</f>
        <v>0</v>
      </c>
      <c r="CO70">
        <f ca="1">IF($AN70="",OFFSET(Demand!$A$13,ROW(Y67)-1,4+((QUOTIENT(COLUMN(CO$2)-69,3))*5)+MOD(COLUMN(CO$2),3),1,1),"")</f>
        <v>0</v>
      </c>
      <c r="CP70">
        <f ca="1">IF($AN70="",OFFSET(Demand!$A$13,ROW(Z67)-1,4+((QUOTIENT(COLUMN(CP$2)-69,3))*5)+MOD(COLUMN(CP$2),3),1,1),"")</f>
        <v>0</v>
      </c>
      <c r="CQ70">
        <f ca="1">IF($AN70="",OFFSET(Demand!$A$13,ROW(AA67)-1,4+((QUOTIENT(COLUMN(CQ$2)-69,3))*5)+MOD(COLUMN(CQ$2),3),1,1),"")</f>
        <v>0</v>
      </c>
      <c r="CR70">
        <f ca="1">IF($AN70="",OFFSET(Demand!$A$13,ROW(AB67)-1,4+((QUOTIENT(COLUMN(CR$2)-69,3))*5)+MOD(COLUMN(CR$2),3),1,1),"")</f>
        <v>0</v>
      </c>
      <c r="CS70">
        <f ca="1">IF($AN70="",OFFSET(Demand!$A$13,ROW(AC67)-1,4+((QUOTIENT(COLUMN(CS$2)-69,3))*5)+MOD(COLUMN(CS$2),3),1,1),"")</f>
        <v>0</v>
      </c>
      <c r="CT70">
        <f ca="1">IF($AN70="",OFFSET(Demand!$A$13,ROW(AD67)-1,4+((QUOTIENT(COLUMN(CT$2)-69,3))*5)+MOD(COLUMN(CT$2),3),1,1),"")</f>
        <v>0</v>
      </c>
      <c r="CW70" s="5">
        <f ca="1">SUM(OFFSET(Demand!$H$43,ROW(A67)-1,(COLUMN(A67)-1)*5,1,1))*N$2</f>
        <v>0</v>
      </c>
      <c r="CX70" s="5">
        <f ca="1">SUM(OFFSET(Demand!$H$43,ROW(B67)-1,(COLUMN(B67)-1)*5,1,1))*O$2</f>
        <v>0</v>
      </c>
      <c r="CY70" s="5">
        <f ca="1">SUM(OFFSET(Demand!$H$43,ROW(C67)-1,(COLUMN(C67)-1)*5,1,1))*P$2</f>
        <v>0</v>
      </c>
      <c r="CZ70" s="5">
        <f ca="1">SUM(OFFSET(Demand!$H$43,ROW(D67)-1,(COLUMN(D67)-1)*5,1,1))*Q$2</f>
        <v>0</v>
      </c>
      <c r="DA70" s="5">
        <f ca="1">SUM(OFFSET(Demand!$H$43,ROW(E67)-1,(COLUMN(E67)-1)*5,1,1))*R$2</f>
        <v>0</v>
      </c>
      <c r="DB70" s="5">
        <f ca="1">SUM(OFFSET(Demand!$H$43,ROW(F67)-1,(COLUMN(F67)-1)*5,1,1))*S$2</f>
        <v>0</v>
      </c>
      <c r="DC70" s="5">
        <f ca="1">SUM(OFFSET(Demand!$H$43,ROW(G67)-1,(COLUMN(G67)-1)*5,1,1))*T$2</f>
        <v>0</v>
      </c>
      <c r="DD70" s="5">
        <f ca="1">SUM(OFFSET(Demand!$H$43,ROW(H67)-1,(COLUMN(H67)-1)*5,1,1))*U$2</f>
        <v>0</v>
      </c>
      <c r="DE70" s="5">
        <f ca="1">SUM(OFFSET(Demand!$H$43,ROW(I67)-1,(COLUMN(I67)-1)*5,1,1))*V$2</f>
        <v>0</v>
      </c>
      <c r="DF70" s="5">
        <f ca="1">SUM(OFFSET(Demand!$H$43,ROW(J67)-1,(COLUMN(J67)-1)*5,1,1))*W$2</f>
        <v>0</v>
      </c>
      <c r="DG70" s="5">
        <f t="shared" ca="1" si="36"/>
        <v>0</v>
      </c>
    </row>
    <row r="71" spans="1:111" x14ac:dyDescent="0.2">
      <c r="A71" s="5">
        <f t="shared" ca="1" si="30"/>
        <v>0</v>
      </c>
      <c r="B71" s="5">
        <f ca="1">COUNTBLANK(OFFSET(Demand!$I80,0,(COLUMN(A68)-1)*5,1,1))</f>
        <v>0</v>
      </c>
      <c r="C71" s="5">
        <f ca="1">COUNTBLANK(OFFSET(Demand!$I80,0,(COLUMN(B68)-1)*5,1,1))</f>
        <v>0</v>
      </c>
      <c r="D71" s="5">
        <f ca="1">COUNTBLANK(OFFSET(Demand!$I80,0,(COLUMN(C68)-1)*5,1,1))</f>
        <v>1</v>
      </c>
      <c r="E71" s="5">
        <f ca="1">COUNTBLANK(OFFSET(Demand!$I80,0,(COLUMN(D68)-1)*5,1,1))</f>
        <v>1</v>
      </c>
      <c r="F71" s="5">
        <f ca="1">COUNTBLANK(OFFSET(Demand!$I80,0,(COLUMN(E68)-1)*5,1,1))</f>
        <v>1</v>
      </c>
      <c r="G71" s="5">
        <f ca="1">COUNTBLANK(OFFSET(Demand!$I80,0,(COLUMN(F68)-1)*5,1,1))</f>
        <v>1</v>
      </c>
      <c r="H71" s="5">
        <f ca="1">COUNTBLANK(OFFSET(Demand!$I80,0,(COLUMN(G68)-1)*5,1,1))</f>
        <v>1</v>
      </c>
      <c r="I71" s="5">
        <f ca="1">COUNTBLANK(OFFSET(Demand!$I80,0,(COLUMN(H68)-1)*5,1,1))</f>
        <v>1</v>
      </c>
      <c r="J71" s="5">
        <f ca="1">COUNTBLANK(OFFSET(Demand!$I80,0,(COLUMN(I68)-1)*5,1,1))</f>
        <v>1</v>
      </c>
      <c r="K71" s="5">
        <f ca="1">COUNTBLANK(OFFSET(Demand!$I80,0,(COLUMN(J68)-1)*5,1,1))</f>
        <v>1</v>
      </c>
      <c r="N71" s="5">
        <f ca="1">SUM(OFFSET(Demand!$E80,0,(COLUMN(A68)-1)*5,1,3))*N$2</f>
        <v>120</v>
      </c>
      <c r="O71" s="5">
        <f ca="1">SUM(OFFSET(Demand!$E80,0,(COLUMN(B68)-1)*5,1,3))*O$2</f>
        <v>520</v>
      </c>
      <c r="P71" s="5">
        <f ca="1">SUM(OFFSET(Demand!$E80,0,(COLUMN(C68)-1)*5,1,3))*P$2</f>
        <v>0</v>
      </c>
      <c r="Q71" s="5">
        <f ca="1">SUM(OFFSET(Demand!$E80,0,(COLUMN(D68)-1)*5,1,3))*Q$2</f>
        <v>0</v>
      </c>
      <c r="R71" s="5">
        <f ca="1">SUM(OFFSET(Demand!$E80,0,(COLUMN(E68)-1)*5,1,3))*R$2</f>
        <v>0</v>
      </c>
      <c r="S71" s="5">
        <f ca="1">SUM(OFFSET(Demand!$E80,0,(COLUMN(F68)-1)*5,1,3))*S$2</f>
        <v>0</v>
      </c>
      <c r="T71" s="5">
        <f ca="1">SUM(OFFSET(Demand!$E80,0,(COLUMN(G68)-1)*5,1,3))*T$2</f>
        <v>0</v>
      </c>
      <c r="U71" s="5">
        <f ca="1">SUM(OFFSET(Demand!$E80,0,(COLUMN(H68)-1)*5,1,3))*U$2</f>
        <v>0</v>
      </c>
      <c r="V71" s="5">
        <f ca="1">SUM(OFFSET(Demand!$E80,0,(COLUMN(I68)-1)*5,1,3))*V$2</f>
        <v>0</v>
      </c>
      <c r="W71" s="5">
        <f ca="1">SUM(OFFSET(Demand!$E80,0,(COLUMN(J68)-1)*5,1,3))*W$2</f>
        <v>0</v>
      </c>
      <c r="X71" s="5">
        <f t="shared" ca="1" si="31"/>
        <v>640</v>
      </c>
      <c r="Y71">
        <f t="shared" ca="1" si="32"/>
        <v>640</v>
      </c>
      <c r="Z71" s="5">
        <f ca="1">SUM(OFFSET(Demand!$H80,0,(COLUMN(A68)-1)*5,1,1))*N$2</f>
        <v>0</v>
      </c>
      <c r="AA71" s="5">
        <f ca="1">SUM(OFFSET(Demand!$H80,0,(COLUMN(B68)-1)*5,1,1))*O$2</f>
        <v>0</v>
      </c>
      <c r="AB71" s="5">
        <f ca="1">SUM(OFFSET(Demand!$H80,0,(COLUMN(C68)-1)*5,1,1))*P$2</f>
        <v>0</v>
      </c>
      <c r="AC71" s="5">
        <f ca="1">SUM(OFFSET(Demand!$H80,0,(COLUMN(D68)-1)*5,1,1))*Q$2</f>
        <v>0</v>
      </c>
      <c r="AD71" s="5">
        <f ca="1">SUM(OFFSET(Demand!$H80,0,(COLUMN(E68)-1)*5,1,1))*R$2</f>
        <v>0</v>
      </c>
      <c r="AE71" s="5">
        <f ca="1">SUM(OFFSET(Demand!$H80,0,(COLUMN(F68)-1)*5,1,1))*S$2</f>
        <v>0</v>
      </c>
      <c r="AF71" s="5">
        <f ca="1">SUM(OFFSET(Demand!$H80,0,(COLUMN(G68)-1)*5,1,1))*T$2</f>
        <v>0</v>
      </c>
      <c r="AG71" s="5">
        <f ca="1">SUM(OFFSET(Demand!$H80,0,(COLUMN(H68)-1)*5,1,1))*U$2</f>
        <v>0</v>
      </c>
      <c r="AH71" s="5">
        <f ca="1">SUM(OFFSET(Demand!$H80,0,(COLUMN(I68)-1)*5,1,1))*V$2</f>
        <v>0</v>
      </c>
      <c r="AI71" s="5">
        <f ca="1">SUM(OFFSET(Demand!$H80,0,(COLUMN(J68)-1)*5,1,1))*W$2</f>
        <v>0</v>
      </c>
      <c r="AJ71" s="5">
        <f t="shared" ca="1" si="33"/>
        <v>0</v>
      </c>
      <c r="AL71" s="5">
        <f t="shared" ca="1" si="34"/>
        <v>640</v>
      </c>
      <c r="AM71" s="5">
        <f t="shared" ca="1" si="35"/>
        <v>0</v>
      </c>
      <c r="AN71" s="5" t="str">
        <f>IF(Demand!BE80="Yes","Yes","")</f>
        <v/>
      </c>
      <c r="AP71" s="37" t="str">
        <f ca="1">Demand!B80</f>
        <v xml:space="preserve"> </v>
      </c>
      <c r="AQ71" t="str">
        <f ca="1">IF(TEXT(Demand!D80,"MMM")&lt;&gt;TEXT(Demand!D79,"MMM"),TEXT(Demand!D80,"MMM"),"")</f>
        <v/>
      </c>
      <c r="AT71" s="5">
        <f t="shared" ca="1" si="37"/>
        <v>180</v>
      </c>
      <c r="BQ71">
        <f ca="1">IF($AN71="",OFFSET(Demand!$A$13,ROW(A68)-1,4+((QUOTIENT(COLUMN(BQ$2)-69,3))*5)+MOD(COLUMN(BQ$2),3),1,1),"")</f>
        <v>0</v>
      </c>
      <c r="BR71">
        <f ca="1">IF($AN71="",OFFSET(Demand!$A$13,ROW(B68)-1,4+((QUOTIENT(COLUMN(BR$2)-69,3))*5)+MOD(COLUMN(BR$2),3),1,1),"")</f>
        <v>0</v>
      </c>
      <c r="BS71">
        <f ca="1">IF($AN71="",OFFSET(Demand!$A$13,ROW(C68)-1,4+((QUOTIENT(COLUMN(BS$2)-69,3))*5)+MOD(COLUMN(BS$2),3),1,1),"")</f>
        <v>4</v>
      </c>
      <c r="BT71">
        <f ca="1">IF($AN71="",OFFSET(Demand!$A$13,ROW(D68)-1,4+((QUOTIENT(COLUMN(BT$2)-69,3))*5)+MOD(COLUMN(BT$2),3),1,1),"")</f>
        <v>0</v>
      </c>
      <c r="BU71">
        <f ca="1">IF($AN71="",OFFSET(Demand!$A$13,ROW(E68)-1,4+((QUOTIENT(COLUMN(BU$2)-69,3))*5)+MOD(COLUMN(BU$2),3),1,1),"")</f>
        <v>4</v>
      </c>
      <c r="BV71">
        <f ca="1">IF($AN71="",OFFSET(Demand!$A$13,ROW(F68)-1,4+((QUOTIENT(COLUMN(BV$2)-69,3))*5)+MOD(COLUMN(BV$2),3),1,1),"")</f>
        <v>9</v>
      </c>
      <c r="BW71">
        <f ca="1">IF($AN71="",OFFSET(Demand!$A$13,ROW(G68)-1,4+((QUOTIENT(COLUMN(BW$2)-69,3))*5)+MOD(COLUMN(BW$2),3),1,1),"")</f>
        <v>0</v>
      </c>
      <c r="BX71">
        <f ca="1">IF($AN71="",OFFSET(Demand!$A$13,ROW(H68)-1,4+((QUOTIENT(COLUMN(BX$2)-69,3))*5)+MOD(COLUMN(BX$2),3),1,1),"")</f>
        <v>0</v>
      </c>
      <c r="BY71">
        <f ca="1">IF($AN71="",OFFSET(Demand!$A$13,ROW(I68)-1,4+((QUOTIENT(COLUMN(BY$2)-69,3))*5)+MOD(COLUMN(BY$2),3),1,1),"")</f>
        <v>0</v>
      </c>
      <c r="BZ71">
        <f ca="1">IF($AN71="",OFFSET(Demand!$A$13,ROW(J68)-1,4+((QUOTIENT(COLUMN(BZ$2)-69,3))*5)+MOD(COLUMN(BZ$2),3),1,1),"")</f>
        <v>0</v>
      </c>
      <c r="CA71">
        <f ca="1">IF($AN71="",OFFSET(Demand!$A$13,ROW(K68)-1,4+((QUOTIENT(COLUMN(CA$2)-69,3))*5)+MOD(COLUMN(CA$2),3),1,1),"")</f>
        <v>0</v>
      </c>
      <c r="CB71">
        <f ca="1">IF($AN71="",OFFSET(Demand!$A$13,ROW(L68)-1,4+((QUOTIENT(COLUMN(CB$2)-69,3))*5)+MOD(COLUMN(CB$2),3),1,1),"")</f>
        <v>0</v>
      </c>
      <c r="CC71">
        <f ca="1">IF($AN71="",OFFSET(Demand!$A$13,ROW(M68)-1,4+((QUOTIENT(COLUMN(CC$2)-69,3))*5)+MOD(COLUMN(CC$2),3),1,1),"")</f>
        <v>0</v>
      </c>
      <c r="CD71">
        <f ca="1">IF($AN71="",OFFSET(Demand!$A$13,ROW(N68)-1,4+((QUOTIENT(COLUMN(CD$2)-69,3))*5)+MOD(COLUMN(CD$2),3),1,1),"")</f>
        <v>0</v>
      </c>
      <c r="CE71">
        <f ca="1">IF($AN71="",OFFSET(Demand!$A$13,ROW(O68)-1,4+((QUOTIENT(COLUMN(CE$2)-69,3))*5)+MOD(COLUMN(CE$2),3),1,1),"")</f>
        <v>0</v>
      </c>
      <c r="CF71">
        <f ca="1">IF($AN71="",OFFSET(Demand!$A$13,ROW(P68)-1,4+((QUOTIENT(COLUMN(CF$2)-69,3))*5)+MOD(COLUMN(CF$2),3),1,1),"")</f>
        <v>0</v>
      </c>
      <c r="CG71">
        <f ca="1">IF($AN71="",OFFSET(Demand!$A$13,ROW(Q68)-1,4+((QUOTIENT(COLUMN(CG$2)-69,3))*5)+MOD(COLUMN(CG$2),3),1,1),"")</f>
        <v>0</v>
      </c>
      <c r="CH71">
        <f ca="1">IF($AN71="",OFFSET(Demand!$A$13,ROW(R68)-1,4+((QUOTIENT(COLUMN(CH$2)-69,3))*5)+MOD(COLUMN(CH$2),3),1,1),"")</f>
        <v>0</v>
      </c>
      <c r="CI71">
        <f ca="1">IF($AN71="",OFFSET(Demand!$A$13,ROW(S68)-1,4+((QUOTIENT(COLUMN(CI$2)-69,3))*5)+MOD(COLUMN(CI$2),3),1,1),"")</f>
        <v>0</v>
      </c>
      <c r="CJ71">
        <f ca="1">IF($AN71="",OFFSET(Demand!$A$13,ROW(T68)-1,4+((QUOTIENT(COLUMN(CJ$2)-69,3))*5)+MOD(COLUMN(CJ$2),3),1,1),"")</f>
        <v>0</v>
      </c>
      <c r="CK71">
        <f ca="1">IF($AN71="",OFFSET(Demand!$A$13,ROW(U68)-1,4+((QUOTIENT(COLUMN(CK$2)-69,3))*5)+MOD(COLUMN(CK$2),3),1,1),"")</f>
        <v>0</v>
      </c>
      <c r="CL71">
        <f ca="1">IF($AN71="",OFFSET(Demand!$A$13,ROW(V68)-1,4+((QUOTIENT(COLUMN(CL$2)-69,3))*5)+MOD(COLUMN(CL$2),3),1,1),"")</f>
        <v>0</v>
      </c>
      <c r="CM71">
        <f ca="1">IF($AN71="",OFFSET(Demand!$A$13,ROW(W68)-1,4+((QUOTIENT(COLUMN(CM$2)-69,3))*5)+MOD(COLUMN(CM$2),3),1,1),"")</f>
        <v>0</v>
      </c>
      <c r="CN71">
        <f ca="1">IF($AN71="",OFFSET(Demand!$A$13,ROW(X68)-1,4+((QUOTIENT(COLUMN(CN$2)-69,3))*5)+MOD(COLUMN(CN$2),3),1,1),"")</f>
        <v>0</v>
      </c>
      <c r="CO71">
        <f ca="1">IF($AN71="",OFFSET(Demand!$A$13,ROW(Y68)-1,4+((QUOTIENT(COLUMN(CO$2)-69,3))*5)+MOD(COLUMN(CO$2),3),1,1),"")</f>
        <v>0</v>
      </c>
      <c r="CP71">
        <f ca="1">IF($AN71="",OFFSET(Demand!$A$13,ROW(Z68)-1,4+((QUOTIENT(COLUMN(CP$2)-69,3))*5)+MOD(COLUMN(CP$2),3),1,1),"")</f>
        <v>0</v>
      </c>
      <c r="CQ71">
        <f ca="1">IF($AN71="",OFFSET(Demand!$A$13,ROW(AA68)-1,4+((QUOTIENT(COLUMN(CQ$2)-69,3))*5)+MOD(COLUMN(CQ$2),3),1,1),"")</f>
        <v>0</v>
      </c>
      <c r="CR71">
        <f ca="1">IF($AN71="",OFFSET(Demand!$A$13,ROW(AB68)-1,4+((QUOTIENT(COLUMN(CR$2)-69,3))*5)+MOD(COLUMN(CR$2),3),1,1),"")</f>
        <v>0</v>
      </c>
      <c r="CS71">
        <f ca="1">IF($AN71="",OFFSET(Demand!$A$13,ROW(AC68)-1,4+((QUOTIENT(COLUMN(CS$2)-69,3))*5)+MOD(COLUMN(CS$2),3),1,1),"")</f>
        <v>0</v>
      </c>
      <c r="CT71">
        <f ca="1">IF($AN71="",OFFSET(Demand!$A$13,ROW(AD68)-1,4+((QUOTIENT(COLUMN(CT$2)-69,3))*5)+MOD(COLUMN(CT$2),3),1,1),"")</f>
        <v>0</v>
      </c>
      <c r="CW71" s="5">
        <f ca="1">SUM(OFFSET(Demand!$H$43,ROW(A68)-1,(COLUMN(A68)-1)*5,1,1))*N$2</f>
        <v>0</v>
      </c>
      <c r="CX71" s="5">
        <f ca="1">SUM(OFFSET(Demand!$H$43,ROW(B68)-1,(COLUMN(B68)-1)*5,1,1))*O$2</f>
        <v>0</v>
      </c>
      <c r="CY71" s="5">
        <f ca="1">SUM(OFFSET(Demand!$H$43,ROW(C68)-1,(COLUMN(C68)-1)*5,1,1))*P$2</f>
        <v>0</v>
      </c>
      <c r="CZ71" s="5">
        <f ca="1">SUM(OFFSET(Demand!$H$43,ROW(D68)-1,(COLUMN(D68)-1)*5,1,1))*Q$2</f>
        <v>0</v>
      </c>
      <c r="DA71" s="5">
        <f ca="1">SUM(OFFSET(Demand!$H$43,ROW(E68)-1,(COLUMN(E68)-1)*5,1,1))*R$2</f>
        <v>0</v>
      </c>
      <c r="DB71" s="5">
        <f ca="1">SUM(OFFSET(Demand!$H$43,ROW(F68)-1,(COLUMN(F68)-1)*5,1,1))*S$2</f>
        <v>0</v>
      </c>
      <c r="DC71" s="5">
        <f ca="1">SUM(OFFSET(Demand!$H$43,ROW(G68)-1,(COLUMN(G68)-1)*5,1,1))*T$2</f>
        <v>0</v>
      </c>
      <c r="DD71" s="5">
        <f ca="1">SUM(OFFSET(Demand!$H$43,ROW(H68)-1,(COLUMN(H68)-1)*5,1,1))*U$2</f>
        <v>0</v>
      </c>
      <c r="DE71" s="5">
        <f ca="1">SUM(OFFSET(Demand!$H$43,ROW(I68)-1,(COLUMN(I68)-1)*5,1,1))*V$2</f>
        <v>0</v>
      </c>
      <c r="DF71" s="5">
        <f ca="1">SUM(OFFSET(Demand!$H$43,ROW(J68)-1,(COLUMN(J68)-1)*5,1,1))*W$2</f>
        <v>0</v>
      </c>
      <c r="DG71" s="5">
        <f t="shared" ca="1" si="36"/>
        <v>0</v>
      </c>
    </row>
    <row r="72" spans="1:111" x14ac:dyDescent="0.2">
      <c r="A72" s="5">
        <f t="shared" ca="1" si="30"/>
        <v>0</v>
      </c>
      <c r="B72" s="5">
        <f ca="1">COUNTBLANK(OFFSET(Demand!$I81,0,(COLUMN(A69)-1)*5,1,1))</f>
        <v>0</v>
      </c>
      <c r="C72" s="5">
        <f ca="1">COUNTBLANK(OFFSET(Demand!$I81,0,(COLUMN(B69)-1)*5,1,1))</f>
        <v>0</v>
      </c>
      <c r="D72" s="5">
        <f ca="1">COUNTBLANK(OFFSET(Demand!$I81,0,(COLUMN(C69)-1)*5,1,1))</f>
        <v>1</v>
      </c>
      <c r="E72" s="5">
        <f ca="1">COUNTBLANK(OFFSET(Demand!$I81,0,(COLUMN(D69)-1)*5,1,1))</f>
        <v>1</v>
      </c>
      <c r="F72" s="5">
        <f ca="1">COUNTBLANK(OFFSET(Demand!$I81,0,(COLUMN(E69)-1)*5,1,1))</f>
        <v>1</v>
      </c>
      <c r="G72" s="5">
        <f ca="1">COUNTBLANK(OFFSET(Demand!$I81,0,(COLUMN(F69)-1)*5,1,1))</f>
        <v>1</v>
      </c>
      <c r="H72" s="5">
        <f ca="1">COUNTBLANK(OFFSET(Demand!$I81,0,(COLUMN(G69)-1)*5,1,1))</f>
        <v>1</v>
      </c>
      <c r="I72" s="5">
        <f ca="1">COUNTBLANK(OFFSET(Demand!$I81,0,(COLUMN(H69)-1)*5,1,1))</f>
        <v>1</v>
      </c>
      <c r="J72" s="5">
        <f ca="1">COUNTBLANK(OFFSET(Demand!$I81,0,(COLUMN(I69)-1)*5,1,1))</f>
        <v>1</v>
      </c>
      <c r="K72" s="5">
        <f ca="1">COUNTBLANK(OFFSET(Demand!$I81,0,(COLUMN(J69)-1)*5,1,1))</f>
        <v>1</v>
      </c>
      <c r="N72" s="5">
        <f ca="1">SUM(OFFSET(Demand!$E81,0,(COLUMN(A69)-1)*5,1,3))*N$2</f>
        <v>180</v>
      </c>
      <c r="O72" s="5">
        <f ca="1">SUM(OFFSET(Demand!$E81,0,(COLUMN(B69)-1)*5,1,3))*O$2</f>
        <v>280</v>
      </c>
      <c r="P72" s="5">
        <f ca="1">SUM(OFFSET(Demand!$E81,0,(COLUMN(C69)-1)*5,1,3))*P$2</f>
        <v>0</v>
      </c>
      <c r="Q72" s="5">
        <f ca="1">SUM(OFFSET(Demand!$E81,0,(COLUMN(D69)-1)*5,1,3))*Q$2</f>
        <v>0</v>
      </c>
      <c r="R72" s="5">
        <f ca="1">SUM(OFFSET(Demand!$E81,0,(COLUMN(E69)-1)*5,1,3))*R$2</f>
        <v>0</v>
      </c>
      <c r="S72" s="5">
        <f ca="1">SUM(OFFSET(Demand!$E81,0,(COLUMN(F69)-1)*5,1,3))*S$2</f>
        <v>0</v>
      </c>
      <c r="T72" s="5">
        <f ca="1">SUM(OFFSET(Demand!$E81,0,(COLUMN(G69)-1)*5,1,3))*T$2</f>
        <v>0</v>
      </c>
      <c r="U72" s="5">
        <f ca="1">SUM(OFFSET(Demand!$E81,0,(COLUMN(H69)-1)*5,1,3))*U$2</f>
        <v>0</v>
      </c>
      <c r="V72" s="5">
        <f ca="1">SUM(OFFSET(Demand!$E81,0,(COLUMN(I69)-1)*5,1,3))*V$2</f>
        <v>0</v>
      </c>
      <c r="W72" s="5">
        <f ca="1">SUM(OFFSET(Demand!$E81,0,(COLUMN(J69)-1)*5,1,3))*W$2</f>
        <v>0</v>
      </c>
      <c r="X72" s="5">
        <f t="shared" ca="1" si="31"/>
        <v>460</v>
      </c>
      <c r="Y72">
        <f t="shared" ca="1" si="32"/>
        <v>460</v>
      </c>
      <c r="Z72" s="5">
        <f ca="1">SUM(OFFSET(Demand!$H81,0,(COLUMN(A69)-1)*5,1,1))*N$2</f>
        <v>0</v>
      </c>
      <c r="AA72" s="5">
        <f ca="1">SUM(OFFSET(Demand!$H81,0,(COLUMN(B69)-1)*5,1,1))*O$2</f>
        <v>0</v>
      </c>
      <c r="AB72" s="5">
        <f ca="1">SUM(OFFSET(Demand!$H81,0,(COLUMN(C69)-1)*5,1,1))*P$2</f>
        <v>0</v>
      </c>
      <c r="AC72" s="5">
        <f ca="1">SUM(OFFSET(Demand!$H81,0,(COLUMN(D69)-1)*5,1,1))*Q$2</f>
        <v>0</v>
      </c>
      <c r="AD72" s="5">
        <f ca="1">SUM(OFFSET(Demand!$H81,0,(COLUMN(E69)-1)*5,1,1))*R$2</f>
        <v>0</v>
      </c>
      <c r="AE72" s="5">
        <f ca="1">SUM(OFFSET(Demand!$H81,0,(COLUMN(F69)-1)*5,1,1))*S$2</f>
        <v>0</v>
      </c>
      <c r="AF72" s="5">
        <f ca="1">SUM(OFFSET(Demand!$H81,0,(COLUMN(G69)-1)*5,1,1))*T$2</f>
        <v>0</v>
      </c>
      <c r="AG72" s="5">
        <f ca="1">SUM(OFFSET(Demand!$H81,0,(COLUMN(H69)-1)*5,1,1))*U$2</f>
        <v>0</v>
      </c>
      <c r="AH72" s="5">
        <f ca="1">SUM(OFFSET(Demand!$H81,0,(COLUMN(I69)-1)*5,1,1))*V$2</f>
        <v>0</v>
      </c>
      <c r="AI72" s="5">
        <f ca="1">SUM(OFFSET(Demand!$H81,0,(COLUMN(J69)-1)*5,1,1))*W$2</f>
        <v>0</v>
      </c>
      <c r="AJ72" s="5">
        <f t="shared" ca="1" si="33"/>
        <v>0</v>
      </c>
      <c r="AL72" s="5">
        <f t="shared" ca="1" si="34"/>
        <v>460</v>
      </c>
      <c r="AM72" s="5">
        <f t="shared" ca="1" si="35"/>
        <v>0</v>
      </c>
      <c r="AN72" s="5" t="str">
        <f>IF(Demand!BE81="Yes","Yes","")</f>
        <v/>
      </c>
      <c r="AP72" s="37" t="str">
        <f ca="1">Demand!B81</f>
        <v xml:space="preserve"> </v>
      </c>
      <c r="AQ72" t="str">
        <f ca="1">IF(TEXT(Demand!D81,"MMM")&lt;&gt;TEXT(Demand!D80,"MMM"),TEXT(Demand!D81,"MMM"),"")</f>
        <v/>
      </c>
      <c r="AT72" s="5">
        <f t="shared" ca="1" si="37"/>
        <v>180</v>
      </c>
      <c r="BQ72">
        <f ca="1">IF($AN72="",OFFSET(Demand!$A$13,ROW(A69)-1,4+((QUOTIENT(COLUMN(BQ$2)-69,3))*5)+MOD(COLUMN(BQ$2),3),1,1),"")</f>
        <v>0</v>
      </c>
      <c r="BR72">
        <f ca="1">IF($AN72="",OFFSET(Demand!$A$13,ROW(B69)-1,4+((QUOTIENT(COLUMN(BR$2)-69,3))*5)+MOD(COLUMN(BR$2),3),1,1),"")</f>
        <v>2</v>
      </c>
      <c r="BS72">
        <f ca="1">IF($AN72="",OFFSET(Demand!$A$13,ROW(C69)-1,4+((QUOTIENT(COLUMN(BS$2)-69,3))*5)+MOD(COLUMN(BS$2),3),1,1),"")</f>
        <v>4</v>
      </c>
      <c r="BT72">
        <f ca="1">IF($AN72="",OFFSET(Demand!$A$13,ROW(D69)-1,4+((QUOTIENT(COLUMN(BT$2)-69,3))*5)+MOD(COLUMN(BT$2),3),1,1),"")</f>
        <v>0</v>
      </c>
      <c r="BU72">
        <f ca="1">IF($AN72="",OFFSET(Demand!$A$13,ROW(E69)-1,4+((QUOTIENT(COLUMN(BU$2)-69,3))*5)+MOD(COLUMN(BU$2),3),1,1),"")</f>
        <v>0</v>
      </c>
      <c r="BV72">
        <f ca="1">IF($AN72="",OFFSET(Demand!$A$13,ROW(F69)-1,4+((QUOTIENT(COLUMN(BV$2)-69,3))*5)+MOD(COLUMN(BV$2),3),1,1),"")</f>
        <v>7</v>
      </c>
      <c r="BW72">
        <f ca="1">IF($AN72="",OFFSET(Demand!$A$13,ROW(G69)-1,4+((QUOTIENT(COLUMN(BW$2)-69,3))*5)+MOD(COLUMN(BW$2),3),1,1),"")</f>
        <v>0</v>
      </c>
      <c r="BX72">
        <f ca="1">IF($AN72="",OFFSET(Demand!$A$13,ROW(H69)-1,4+((QUOTIENT(COLUMN(BX$2)-69,3))*5)+MOD(COLUMN(BX$2),3),1,1),"")</f>
        <v>0</v>
      </c>
      <c r="BY72">
        <f ca="1">IF($AN72="",OFFSET(Demand!$A$13,ROW(I69)-1,4+((QUOTIENT(COLUMN(BY$2)-69,3))*5)+MOD(COLUMN(BY$2),3),1,1),"")</f>
        <v>0</v>
      </c>
      <c r="BZ72">
        <f ca="1">IF($AN72="",OFFSET(Demand!$A$13,ROW(J69)-1,4+((QUOTIENT(COLUMN(BZ$2)-69,3))*5)+MOD(COLUMN(BZ$2),3),1,1),"")</f>
        <v>0</v>
      </c>
      <c r="CA72">
        <f ca="1">IF($AN72="",OFFSET(Demand!$A$13,ROW(K69)-1,4+((QUOTIENT(COLUMN(CA$2)-69,3))*5)+MOD(COLUMN(CA$2),3),1,1),"")</f>
        <v>0</v>
      </c>
      <c r="CB72">
        <f ca="1">IF($AN72="",OFFSET(Demand!$A$13,ROW(L69)-1,4+((QUOTIENT(COLUMN(CB$2)-69,3))*5)+MOD(COLUMN(CB$2),3),1,1),"")</f>
        <v>0</v>
      </c>
      <c r="CC72">
        <f ca="1">IF($AN72="",OFFSET(Demand!$A$13,ROW(M69)-1,4+((QUOTIENT(COLUMN(CC$2)-69,3))*5)+MOD(COLUMN(CC$2),3),1,1),"")</f>
        <v>0</v>
      </c>
      <c r="CD72">
        <f ca="1">IF($AN72="",OFFSET(Demand!$A$13,ROW(N69)-1,4+((QUOTIENT(COLUMN(CD$2)-69,3))*5)+MOD(COLUMN(CD$2),3),1,1),"")</f>
        <v>0</v>
      </c>
      <c r="CE72">
        <f ca="1">IF($AN72="",OFFSET(Demand!$A$13,ROW(O69)-1,4+((QUOTIENT(COLUMN(CE$2)-69,3))*5)+MOD(COLUMN(CE$2),3),1,1),"")</f>
        <v>0</v>
      </c>
      <c r="CF72">
        <f ca="1">IF($AN72="",OFFSET(Demand!$A$13,ROW(P69)-1,4+((QUOTIENT(COLUMN(CF$2)-69,3))*5)+MOD(COLUMN(CF$2),3),1,1),"")</f>
        <v>0</v>
      </c>
      <c r="CG72">
        <f ca="1">IF($AN72="",OFFSET(Demand!$A$13,ROW(Q69)-1,4+((QUOTIENT(COLUMN(CG$2)-69,3))*5)+MOD(COLUMN(CG$2),3),1,1),"")</f>
        <v>0</v>
      </c>
      <c r="CH72">
        <f ca="1">IF($AN72="",OFFSET(Demand!$A$13,ROW(R69)-1,4+((QUOTIENT(COLUMN(CH$2)-69,3))*5)+MOD(COLUMN(CH$2),3),1,1),"")</f>
        <v>0</v>
      </c>
      <c r="CI72">
        <f ca="1">IF($AN72="",OFFSET(Demand!$A$13,ROW(S69)-1,4+((QUOTIENT(COLUMN(CI$2)-69,3))*5)+MOD(COLUMN(CI$2),3),1,1),"")</f>
        <v>0</v>
      </c>
      <c r="CJ72">
        <f ca="1">IF($AN72="",OFFSET(Demand!$A$13,ROW(T69)-1,4+((QUOTIENT(COLUMN(CJ$2)-69,3))*5)+MOD(COLUMN(CJ$2),3),1,1),"")</f>
        <v>0</v>
      </c>
      <c r="CK72">
        <f ca="1">IF($AN72="",OFFSET(Demand!$A$13,ROW(U69)-1,4+((QUOTIENT(COLUMN(CK$2)-69,3))*5)+MOD(COLUMN(CK$2),3),1,1),"")</f>
        <v>0</v>
      </c>
      <c r="CL72">
        <f ca="1">IF($AN72="",OFFSET(Demand!$A$13,ROW(V69)-1,4+((QUOTIENT(COLUMN(CL$2)-69,3))*5)+MOD(COLUMN(CL$2),3),1,1),"")</f>
        <v>0</v>
      </c>
      <c r="CM72">
        <f ca="1">IF($AN72="",OFFSET(Demand!$A$13,ROW(W69)-1,4+((QUOTIENT(COLUMN(CM$2)-69,3))*5)+MOD(COLUMN(CM$2),3),1,1),"")</f>
        <v>0</v>
      </c>
      <c r="CN72">
        <f ca="1">IF($AN72="",OFFSET(Demand!$A$13,ROW(X69)-1,4+((QUOTIENT(COLUMN(CN$2)-69,3))*5)+MOD(COLUMN(CN$2),3),1,1),"")</f>
        <v>0</v>
      </c>
      <c r="CO72">
        <f ca="1">IF($AN72="",OFFSET(Demand!$A$13,ROW(Y69)-1,4+((QUOTIENT(COLUMN(CO$2)-69,3))*5)+MOD(COLUMN(CO$2),3),1,1),"")</f>
        <v>0</v>
      </c>
      <c r="CP72">
        <f ca="1">IF($AN72="",OFFSET(Demand!$A$13,ROW(Z69)-1,4+((QUOTIENT(COLUMN(CP$2)-69,3))*5)+MOD(COLUMN(CP$2),3),1,1),"")</f>
        <v>0</v>
      </c>
      <c r="CQ72">
        <f ca="1">IF($AN72="",OFFSET(Demand!$A$13,ROW(AA69)-1,4+((QUOTIENT(COLUMN(CQ$2)-69,3))*5)+MOD(COLUMN(CQ$2),3),1,1),"")</f>
        <v>0</v>
      </c>
      <c r="CR72">
        <f ca="1">IF($AN72="",OFFSET(Demand!$A$13,ROW(AB69)-1,4+((QUOTIENT(COLUMN(CR$2)-69,3))*5)+MOD(COLUMN(CR$2),3),1,1),"")</f>
        <v>0</v>
      </c>
      <c r="CS72">
        <f ca="1">IF($AN72="",OFFSET(Demand!$A$13,ROW(AC69)-1,4+((QUOTIENT(COLUMN(CS$2)-69,3))*5)+MOD(COLUMN(CS$2),3),1,1),"")</f>
        <v>0</v>
      </c>
      <c r="CT72">
        <f ca="1">IF($AN72="",OFFSET(Demand!$A$13,ROW(AD69)-1,4+((QUOTIENT(COLUMN(CT$2)-69,3))*5)+MOD(COLUMN(CT$2),3),1,1),"")</f>
        <v>0</v>
      </c>
      <c r="CW72" s="5">
        <f ca="1">SUM(OFFSET(Demand!$H$43,ROW(A69)-1,(COLUMN(A69)-1)*5,1,1))*N$2</f>
        <v>0</v>
      </c>
      <c r="CX72" s="5">
        <f ca="1">SUM(OFFSET(Demand!$H$43,ROW(B69)-1,(COLUMN(B69)-1)*5,1,1))*O$2</f>
        <v>0</v>
      </c>
      <c r="CY72" s="5">
        <f ca="1">SUM(OFFSET(Demand!$H$43,ROW(C69)-1,(COLUMN(C69)-1)*5,1,1))*P$2</f>
        <v>0</v>
      </c>
      <c r="CZ72" s="5">
        <f ca="1">SUM(OFFSET(Demand!$H$43,ROW(D69)-1,(COLUMN(D69)-1)*5,1,1))*Q$2</f>
        <v>0</v>
      </c>
      <c r="DA72" s="5">
        <f ca="1">SUM(OFFSET(Demand!$H$43,ROW(E69)-1,(COLUMN(E69)-1)*5,1,1))*R$2</f>
        <v>0</v>
      </c>
      <c r="DB72" s="5">
        <f ca="1">SUM(OFFSET(Demand!$H$43,ROW(F69)-1,(COLUMN(F69)-1)*5,1,1))*S$2</f>
        <v>0</v>
      </c>
      <c r="DC72" s="5">
        <f ca="1">SUM(OFFSET(Demand!$H$43,ROW(G69)-1,(COLUMN(G69)-1)*5,1,1))*T$2</f>
        <v>0</v>
      </c>
      <c r="DD72" s="5">
        <f ca="1">SUM(OFFSET(Demand!$H$43,ROW(H69)-1,(COLUMN(H69)-1)*5,1,1))*U$2</f>
        <v>0</v>
      </c>
      <c r="DE72" s="5">
        <f ca="1">SUM(OFFSET(Demand!$H$43,ROW(I69)-1,(COLUMN(I69)-1)*5,1,1))*V$2</f>
        <v>0</v>
      </c>
      <c r="DF72" s="5">
        <f ca="1">SUM(OFFSET(Demand!$H$43,ROW(J69)-1,(COLUMN(J69)-1)*5,1,1))*W$2</f>
        <v>0</v>
      </c>
      <c r="DG72" s="5">
        <f t="shared" ca="1" si="36"/>
        <v>0</v>
      </c>
    </row>
    <row r="73" spans="1:111" x14ac:dyDescent="0.2">
      <c r="A73" s="5">
        <f t="shared" ca="1" si="30"/>
        <v>0</v>
      </c>
      <c r="B73" s="5">
        <f ca="1">COUNTBLANK(OFFSET(Demand!$I82,0,(COLUMN(A70)-1)*5,1,1))</f>
        <v>0</v>
      </c>
      <c r="C73" s="5">
        <f ca="1">COUNTBLANK(OFFSET(Demand!$I82,0,(COLUMN(B70)-1)*5,1,1))</f>
        <v>0</v>
      </c>
      <c r="D73" s="5">
        <f ca="1">COUNTBLANK(OFFSET(Demand!$I82,0,(COLUMN(C70)-1)*5,1,1))</f>
        <v>1</v>
      </c>
      <c r="E73" s="5">
        <f ca="1">COUNTBLANK(OFFSET(Demand!$I82,0,(COLUMN(D70)-1)*5,1,1))</f>
        <v>1</v>
      </c>
      <c r="F73" s="5">
        <f ca="1">COUNTBLANK(OFFSET(Demand!$I82,0,(COLUMN(E70)-1)*5,1,1))</f>
        <v>1</v>
      </c>
      <c r="G73" s="5">
        <f ca="1">COUNTBLANK(OFFSET(Demand!$I82,0,(COLUMN(F70)-1)*5,1,1))</f>
        <v>1</v>
      </c>
      <c r="H73" s="5">
        <f ca="1">COUNTBLANK(OFFSET(Demand!$I82,0,(COLUMN(G70)-1)*5,1,1))</f>
        <v>1</v>
      </c>
      <c r="I73" s="5">
        <f ca="1">COUNTBLANK(OFFSET(Demand!$I82,0,(COLUMN(H70)-1)*5,1,1))</f>
        <v>1</v>
      </c>
      <c r="J73" s="5">
        <f ca="1">COUNTBLANK(OFFSET(Demand!$I82,0,(COLUMN(I70)-1)*5,1,1))</f>
        <v>1</v>
      </c>
      <c r="K73" s="5">
        <f ca="1">COUNTBLANK(OFFSET(Demand!$I82,0,(COLUMN(J70)-1)*5,1,1))</f>
        <v>1</v>
      </c>
      <c r="N73" s="5">
        <f ca="1">SUM(OFFSET(Demand!$E82,0,(COLUMN(A70)-1)*5,1,3))*N$2</f>
        <v>210</v>
      </c>
      <c r="O73" s="5">
        <f ca="1">SUM(OFFSET(Demand!$E82,0,(COLUMN(B70)-1)*5,1,3))*O$2</f>
        <v>560</v>
      </c>
      <c r="P73" s="5">
        <f ca="1">SUM(OFFSET(Demand!$E82,0,(COLUMN(C70)-1)*5,1,3))*P$2</f>
        <v>0</v>
      </c>
      <c r="Q73" s="5">
        <f ca="1">SUM(OFFSET(Demand!$E82,0,(COLUMN(D70)-1)*5,1,3))*Q$2</f>
        <v>0</v>
      </c>
      <c r="R73" s="5">
        <f ca="1">SUM(OFFSET(Demand!$E82,0,(COLUMN(E70)-1)*5,1,3))*R$2</f>
        <v>0</v>
      </c>
      <c r="S73" s="5">
        <f ca="1">SUM(OFFSET(Demand!$E82,0,(COLUMN(F70)-1)*5,1,3))*S$2</f>
        <v>0</v>
      </c>
      <c r="T73" s="5">
        <f ca="1">SUM(OFFSET(Demand!$E82,0,(COLUMN(G70)-1)*5,1,3))*T$2</f>
        <v>0</v>
      </c>
      <c r="U73" s="5">
        <f ca="1">SUM(OFFSET(Demand!$E82,0,(COLUMN(H70)-1)*5,1,3))*U$2</f>
        <v>0</v>
      </c>
      <c r="V73" s="5">
        <f ca="1">SUM(OFFSET(Demand!$E82,0,(COLUMN(I70)-1)*5,1,3))*V$2</f>
        <v>0</v>
      </c>
      <c r="W73" s="5">
        <f ca="1">SUM(OFFSET(Demand!$E82,0,(COLUMN(J70)-1)*5,1,3))*W$2</f>
        <v>0</v>
      </c>
      <c r="X73" s="5">
        <f t="shared" ca="1" si="31"/>
        <v>770</v>
      </c>
      <c r="Y73">
        <f t="shared" ca="1" si="32"/>
        <v>770</v>
      </c>
      <c r="Z73" s="5">
        <f ca="1">SUM(OFFSET(Demand!$H82,0,(COLUMN(A70)-1)*5,1,1))*N$2</f>
        <v>0</v>
      </c>
      <c r="AA73" s="5">
        <f ca="1">SUM(OFFSET(Demand!$H82,0,(COLUMN(B70)-1)*5,1,1))*O$2</f>
        <v>0</v>
      </c>
      <c r="AB73" s="5">
        <f ca="1">SUM(OFFSET(Demand!$H82,0,(COLUMN(C70)-1)*5,1,1))*P$2</f>
        <v>0</v>
      </c>
      <c r="AC73" s="5">
        <f ca="1">SUM(OFFSET(Demand!$H82,0,(COLUMN(D70)-1)*5,1,1))*Q$2</f>
        <v>0</v>
      </c>
      <c r="AD73" s="5">
        <f ca="1">SUM(OFFSET(Demand!$H82,0,(COLUMN(E70)-1)*5,1,1))*R$2</f>
        <v>0</v>
      </c>
      <c r="AE73" s="5">
        <f ca="1">SUM(OFFSET(Demand!$H82,0,(COLUMN(F70)-1)*5,1,1))*S$2</f>
        <v>0</v>
      </c>
      <c r="AF73" s="5">
        <f ca="1">SUM(OFFSET(Demand!$H82,0,(COLUMN(G70)-1)*5,1,1))*T$2</f>
        <v>0</v>
      </c>
      <c r="AG73" s="5">
        <f ca="1">SUM(OFFSET(Demand!$H82,0,(COLUMN(H70)-1)*5,1,1))*U$2</f>
        <v>0</v>
      </c>
      <c r="AH73" s="5">
        <f ca="1">SUM(OFFSET(Demand!$H82,0,(COLUMN(I70)-1)*5,1,1))*V$2</f>
        <v>0</v>
      </c>
      <c r="AI73" s="5">
        <f ca="1">SUM(OFFSET(Demand!$H82,0,(COLUMN(J70)-1)*5,1,1))*W$2</f>
        <v>0</v>
      </c>
      <c r="AJ73" s="5">
        <f t="shared" ca="1" si="33"/>
        <v>0</v>
      </c>
      <c r="AL73" s="5">
        <f t="shared" ca="1" si="34"/>
        <v>770</v>
      </c>
      <c r="AM73" s="5">
        <f t="shared" ca="1" si="35"/>
        <v>0</v>
      </c>
      <c r="AN73" s="5" t="str">
        <f>IF(Demand!BE82="Yes","Yes","")</f>
        <v/>
      </c>
      <c r="AP73" s="37" t="str">
        <f ca="1">Demand!B82</f>
        <v xml:space="preserve"> </v>
      </c>
      <c r="AQ73" t="str">
        <f ca="1">IF(TEXT(Demand!D82,"MMM")&lt;&gt;TEXT(Demand!D81,"MMM"),TEXT(Demand!D82,"MMM"),"")</f>
        <v/>
      </c>
      <c r="AT73" s="5">
        <f t="shared" ca="1" si="37"/>
        <v>310</v>
      </c>
      <c r="BQ73">
        <f ca="1">IF($AN73="",OFFSET(Demand!$A$13,ROW(A70)-1,4+((QUOTIENT(COLUMN(BQ$2)-69,3))*5)+MOD(COLUMN(BQ$2),3),1,1),"")</f>
        <v>0</v>
      </c>
      <c r="BR73">
        <f ca="1">IF($AN73="",OFFSET(Demand!$A$13,ROW(B70)-1,4+((QUOTIENT(COLUMN(BR$2)-69,3))*5)+MOD(COLUMN(BR$2),3),1,1),"")</f>
        <v>3</v>
      </c>
      <c r="BS73">
        <f ca="1">IF($AN73="",OFFSET(Demand!$A$13,ROW(C70)-1,4+((QUOTIENT(COLUMN(BS$2)-69,3))*5)+MOD(COLUMN(BS$2),3),1,1),"")</f>
        <v>4</v>
      </c>
      <c r="BT73">
        <f ca="1">IF($AN73="",OFFSET(Demand!$A$13,ROW(D70)-1,4+((QUOTIENT(COLUMN(BT$2)-69,3))*5)+MOD(COLUMN(BT$2),3),1,1),"")</f>
        <v>0</v>
      </c>
      <c r="BU73">
        <f ca="1">IF($AN73="",OFFSET(Demand!$A$13,ROW(E70)-1,4+((QUOTIENT(COLUMN(BU$2)-69,3))*5)+MOD(COLUMN(BU$2),3),1,1),"")</f>
        <v>3</v>
      </c>
      <c r="BV73">
        <f ca="1">IF($AN73="",OFFSET(Demand!$A$13,ROW(F70)-1,4+((QUOTIENT(COLUMN(BV$2)-69,3))*5)+MOD(COLUMN(BV$2),3),1,1),"")</f>
        <v>11</v>
      </c>
      <c r="BW73">
        <f ca="1">IF($AN73="",OFFSET(Demand!$A$13,ROW(G70)-1,4+((QUOTIENT(COLUMN(BW$2)-69,3))*5)+MOD(COLUMN(BW$2),3),1,1),"")</f>
        <v>0</v>
      </c>
      <c r="BX73">
        <f ca="1">IF($AN73="",OFFSET(Demand!$A$13,ROW(H70)-1,4+((QUOTIENT(COLUMN(BX$2)-69,3))*5)+MOD(COLUMN(BX$2),3),1,1),"")</f>
        <v>0</v>
      </c>
      <c r="BY73">
        <f ca="1">IF($AN73="",OFFSET(Demand!$A$13,ROW(I70)-1,4+((QUOTIENT(COLUMN(BY$2)-69,3))*5)+MOD(COLUMN(BY$2),3),1,1),"")</f>
        <v>0</v>
      </c>
      <c r="BZ73">
        <f ca="1">IF($AN73="",OFFSET(Demand!$A$13,ROW(J70)-1,4+((QUOTIENT(COLUMN(BZ$2)-69,3))*5)+MOD(COLUMN(BZ$2),3),1,1),"")</f>
        <v>0</v>
      </c>
      <c r="CA73">
        <f ca="1">IF($AN73="",OFFSET(Demand!$A$13,ROW(K70)-1,4+((QUOTIENT(COLUMN(CA$2)-69,3))*5)+MOD(COLUMN(CA$2),3),1,1),"")</f>
        <v>0</v>
      </c>
      <c r="CB73">
        <f ca="1">IF($AN73="",OFFSET(Demand!$A$13,ROW(L70)-1,4+((QUOTIENT(COLUMN(CB$2)-69,3))*5)+MOD(COLUMN(CB$2),3),1,1),"")</f>
        <v>0</v>
      </c>
      <c r="CC73">
        <f ca="1">IF($AN73="",OFFSET(Demand!$A$13,ROW(M70)-1,4+((QUOTIENT(COLUMN(CC$2)-69,3))*5)+MOD(COLUMN(CC$2),3),1,1),"")</f>
        <v>0</v>
      </c>
      <c r="CD73">
        <f ca="1">IF($AN73="",OFFSET(Demand!$A$13,ROW(N70)-1,4+((QUOTIENT(COLUMN(CD$2)-69,3))*5)+MOD(COLUMN(CD$2),3),1,1),"")</f>
        <v>0</v>
      </c>
      <c r="CE73">
        <f ca="1">IF($AN73="",OFFSET(Demand!$A$13,ROW(O70)-1,4+((QUOTIENT(COLUMN(CE$2)-69,3))*5)+MOD(COLUMN(CE$2),3),1,1),"")</f>
        <v>0</v>
      </c>
      <c r="CF73">
        <f ca="1">IF($AN73="",OFFSET(Demand!$A$13,ROW(P70)-1,4+((QUOTIENT(COLUMN(CF$2)-69,3))*5)+MOD(COLUMN(CF$2),3),1,1),"")</f>
        <v>0</v>
      </c>
      <c r="CG73">
        <f ca="1">IF($AN73="",OFFSET(Demand!$A$13,ROW(Q70)-1,4+((QUOTIENT(COLUMN(CG$2)-69,3))*5)+MOD(COLUMN(CG$2),3),1,1),"")</f>
        <v>0</v>
      </c>
      <c r="CH73">
        <f ca="1">IF($AN73="",OFFSET(Demand!$A$13,ROW(R70)-1,4+((QUOTIENT(COLUMN(CH$2)-69,3))*5)+MOD(COLUMN(CH$2),3),1,1),"")</f>
        <v>0</v>
      </c>
      <c r="CI73">
        <f ca="1">IF($AN73="",OFFSET(Demand!$A$13,ROW(S70)-1,4+((QUOTIENT(COLUMN(CI$2)-69,3))*5)+MOD(COLUMN(CI$2),3),1,1),"")</f>
        <v>0</v>
      </c>
      <c r="CJ73">
        <f ca="1">IF($AN73="",OFFSET(Demand!$A$13,ROW(T70)-1,4+((QUOTIENT(COLUMN(CJ$2)-69,3))*5)+MOD(COLUMN(CJ$2),3),1,1),"")</f>
        <v>0</v>
      </c>
      <c r="CK73">
        <f ca="1">IF($AN73="",OFFSET(Demand!$A$13,ROW(U70)-1,4+((QUOTIENT(COLUMN(CK$2)-69,3))*5)+MOD(COLUMN(CK$2),3),1,1),"")</f>
        <v>0</v>
      </c>
      <c r="CL73">
        <f ca="1">IF($AN73="",OFFSET(Demand!$A$13,ROW(V70)-1,4+((QUOTIENT(COLUMN(CL$2)-69,3))*5)+MOD(COLUMN(CL$2),3),1,1),"")</f>
        <v>0</v>
      </c>
      <c r="CM73">
        <f ca="1">IF($AN73="",OFFSET(Demand!$A$13,ROW(W70)-1,4+((QUOTIENT(COLUMN(CM$2)-69,3))*5)+MOD(COLUMN(CM$2),3),1,1),"")</f>
        <v>0</v>
      </c>
      <c r="CN73">
        <f ca="1">IF($AN73="",OFFSET(Demand!$A$13,ROW(X70)-1,4+((QUOTIENT(COLUMN(CN$2)-69,3))*5)+MOD(COLUMN(CN$2),3),1,1),"")</f>
        <v>0</v>
      </c>
      <c r="CO73">
        <f ca="1">IF($AN73="",OFFSET(Demand!$A$13,ROW(Y70)-1,4+((QUOTIENT(COLUMN(CO$2)-69,3))*5)+MOD(COLUMN(CO$2),3),1,1),"")</f>
        <v>0</v>
      </c>
      <c r="CP73">
        <f ca="1">IF($AN73="",OFFSET(Demand!$A$13,ROW(Z70)-1,4+((QUOTIENT(COLUMN(CP$2)-69,3))*5)+MOD(COLUMN(CP$2),3),1,1),"")</f>
        <v>0</v>
      </c>
      <c r="CQ73">
        <f ca="1">IF($AN73="",OFFSET(Demand!$A$13,ROW(AA70)-1,4+((QUOTIENT(COLUMN(CQ$2)-69,3))*5)+MOD(COLUMN(CQ$2),3),1,1),"")</f>
        <v>0</v>
      </c>
      <c r="CR73">
        <f ca="1">IF($AN73="",OFFSET(Demand!$A$13,ROW(AB70)-1,4+((QUOTIENT(COLUMN(CR$2)-69,3))*5)+MOD(COLUMN(CR$2),3),1,1),"")</f>
        <v>0</v>
      </c>
      <c r="CS73">
        <f ca="1">IF($AN73="",OFFSET(Demand!$A$13,ROW(AC70)-1,4+((QUOTIENT(COLUMN(CS$2)-69,3))*5)+MOD(COLUMN(CS$2),3),1,1),"")</f>
        <v>0</v>
      </c>
      <c r="CT73">
        <f ca="1">IF($AN73="",OFFSET(Demand!$A$13,ROW(AD70)-1,4+((QUOTIENT(COLUMN(CT$2)-69,3))*5)+MOD(COLUMN(CT$2),3),1,1),"")</f>
        <v>0</v>
      </c>
      <c r="CW73" s="5">
        <f ca="1">SUM(OFFSET(Demand!$H$43,ROW(A70)-1,(COLUMN(A70)-1)*5,1,1))*N$2</f>
        <v>0</v>
      </c>
      <c r="CX73" s="5">
        <f ca="1">SUM(OFFSET(Demand!$H$43,ROW(B70)-1,(COLUMN(B70)-1)*5,1,1))*O$2</f>
        <v>0</v>
      </c>
      <c r="CY73" s="5">
        <f ca="1">SUM(OFFSET(Demand!$H$43,ROW(C70)-1,(COLUMN(C70)-1)*5,1,1))*P$2</f>
        <v>0</v>
      </c>
      <c r="CZ73" s="5">
        <f ca="1">SUM(OFFSET(Demand!$H$43,ROW(D70)-1,(COLUMN(D70)-1)*5,1,1))*Q$2</f>
        <v>0</v>
      </c>
      <c r="DA73" s="5">
        <f ca="1">SUM(OFFSET(Demand!$H$43,ROW(E70)-1,(COLUMN(E70)-1)*5,1,1))*R$2</f>
        <v>0</v>
      </c>
      <c r="DB73" s="5">
        <f ca="1">SUM(OFFSET(Demand!$H$43,ROW(F70)-1,(COLUMN(F70)-1)*5,1,1))*S$2</f>
        <v>0</v>
      </c>
      <c r="DC73" s="5">
        <f ca="1">SUM(OFFSET(Demand!$H$43,ROW(G70)-1,(COLUMN(G70)-1)*5,1,1))*T$2</f>
        <v>0</v>
      </c>
      <c r="DD73" s="5">
        <f ca="1">SUM(OFFSET(Demand!$H$43,ROW(H70)-1,(COLUMN(H70)-1)*5,1,1))*U$2</f>
        <v>0</v>
      </c>
      <c r="DE73" s="5">
        <f ca="1">SUM(OFFSET(Demand!$H$43,ROW(I70)-1,(COLUMN(I70)-1)*5,1,1))*V$2</f>
        <v>0</v>
      </c>
      <c r="DF73" s="5">
        <f ca="1">SUM(OFFSET(Demand!$H$43,ROW(J70)-1,(COLUMN(J70)-1)*5,1,1))*W$2</f>
        <v>0</v>
      </c>
      <c r="DG73" s="5">
        <f t="shared" ca="1" si="36"/>
        <v>0</v>
      </c>
    </row>
    <row r="74" spans="1:111" x14ac:dyDescent="0.2">
      <c r="A74" s="5">
        <f t="shared" ca="1" si="30"/>
        <v>0</v>
      </c>
      <c r="B74" s="5">
        <f ca="1">COUNTBLANK(OFFSET(Demand!$I83,0,(COLUMN(A71)-1)*5,1,1))</f>
        <v>0</v>
      </c>
      <c r="C74" s="5">
        <f ca="1">COUNTBLANK(OFFSET(Demand!$I83,0,(COLUMN(B71)-1)*5,1,1))</f>
        <v>0</v>
      </c>
      <c r="D74" s="5">
        <f ca="1">COUNTBLANK(OFFSET(Demand!$I83,0,(COLUMN(C71)-1)*5,1,1))</f>
        <v>1</v>
      </c>
      <c r="E74" s="5">
        <f ca="1">COUNTBLANK(OFFSET(Demand!$I83,0,(COLUMN(D71)-1)*5,1,1))</f>
        <v>1</v>
      </c>
      <c r="F74" s="5">
        <f ca="1">COUNTBLANK(OFFSET(Demand!$I83,0,(COLUMN(E71)-1)*5,1,1))</f>
        <v>1</v>
      </c>
      <c r="G74" s="5">
        <f ca="1">COUNTBLANK(OFFSET(Demand!$I83,0,(COLUMN(F71)-1)*5,1,1))</f>
        <v>1</v>
      </c>
      <c r="H74" s="5">
        <f ca="1">COUNTBLANK(OFFSET(Demand!$I83,0,(COLUMN(G71)-1)*5,1,1))</f>
        <v>1</v>
      </c>
      <c r="I74" s="5">
        <f ca="1">COUNTBLANK(OFFSET(Demand!$I83,0,(COLUMN(H71)-1)*5,1,1))</f>
        <v>1</v>
      </c>
      <c r="J74" s="5">
        <f ca="1">COUNTBLANK(OFFSET(Demand!$I83,0,(COLUMN(I71)-1)*5,1,1))</f>
        <v>1</v>
      </c>
      <c r="K74" s="5">
        <f ca="1">COUNTBLANK(OFFSET(Demand!$I83,0,(COLUMN(J71)-1)*5,1,1))</f>
        <v>1</v>
      </c>
      <c r="N74" s="5">
        <f ca="1">SUM(OFFSET(Demand!$E83,0,(COLUMN(A71)-1)*5,1,3))*N$2</f>
        <v>30</v>
      </c>
      <c r="O74" s="5">
        <f ca="1">SUM(OFFSET(Demand!$E83,0,(COLUMN(B71)-1)*5,1,3))*O$2</f>
        <v>400</v>
      </c>
      <c r="P74" s="5">
        <f ca="1">SUM(OFFSET(Demand!$E83,0,(COLUMN(C71)-1)*5,1,3))*P$2</f>
        <v>0</v>
      </c>
      <c r="Q74" s="5">
        <f ca="1">SUM(OFFSET(Demand!$E83,0,(COLUMN(D71)-1)*5,1,3))*Q$2</f>
        <v>0</v>
      </c>
      <c r="R74" s="5">
        <f ca="1">SUM(OFFSET(Demand!$E83,0,(COLUMN(E71)-1)*5,1,3))*R$2</f>
        <v>0</v>
      </c>
      <c r="S74" s="5">
        <f ca="1">SUM(OFFSET(Demand!$E83,0,(COLUMN(F71)-1)*5,1,3))*S$2</f>
        <v>0</v>
      </c>
      <c r="T74" s="5">
        <f ca="1">SUM(OFFSET(Demand!$E83,0,(COLUMN(G71)-1)*5,1,3))*T$2</f>
        <v>0</v>
      </c>
      <c r="U74" s="5">
        <f ca="1">SUM(OFFSET(Demand!$E83,0,(COLUMN(H71)-1)*5,1,3))*U$2</f>
        <v>0</v>
      </c>
      <c r="V74" s="5">
        <f ca="1">SUM(OFFSET(Demand!$E83,0,(COLUMN(I71)-1)*5,1,3))*V$2</f>
        <v>0</v>
      </c>
      <c r="W74" s="5">
        <f ca="1">SUM(OFFSET(Demand!$E83,0,(COLUMN(J71)-1)*5,1,3))*W$2</f>
        <v>0</v>
      </c>
      <c r="X74" s="5">
        <f t="shared" ca="1" si="31"/>
        <v>430</v>
      </c>
      <c r="Y74">
        <f t="shared" ca="1" si="32"/>
        <v>430</v>
      </c>
      <c r="Z74" s="5">
        <f ca="1">SUM(OFFSET(Demand!$H83,0,(COLUMN(A71)-1)*5,1,1))*N$2</f>
        <v>0</v>
      </c>
      <c r="AA74" s="5">
        <f ca="1">SUM(OFFSET(Demand!$H83,0,(COLUMN(B71)-1)*5,1,1))*O$2</f>
        <v>0</v>
      </c>
      <c r="AB74" s="5">
        <f ca="1">SUM(OFFSET(Demand!$H83,0,(COLUMN(C71)-1)*5,1,1))*P$2</f>
        <v>0</v>
      </c>
      <c r="AC74" s="5">
        <f ca="1">SUM(OFFSET(Demand!$H83,0,(COLUMN(D71)-1)*5,1,1))*Q$2</f>
        <v>0</v>
      </c>
      <c r="AD74" s="5">
        <f ca="1">SUM(OFFSET(Demand!$H83,0,(COLUMN(E71)-1)*5,1,1))*R$2</f>
        <v>0</v>
      </c>
      <c r="AE74" s="5">
        <f ca="1">SUM(OFFSET(Demand!$H83,0,(COLUMN(F71)-1)*5,1,1))*S$2</f>
        <v>0</v>
      </c>
      <c r="AF74" s="5">
        <f ca="1">SUM(OFFSET(Demand!$H83,0,(COLUMN(G71)-1)*5,1,1))*T$2</f>
        <v>0</v>
      </c>
      <c r="AG74" s="5">
        <f ca="1">SUM(OFFSET(Demand!$H83,0,(COLUMN(H71)-1)*5,1,1))*U$2</f>
        <v>0</v>
      </c>
      <c r="AH74" s="5">
        <f ca="1">SUM(OFFSET(Demand!$H83,0,(COLUMN(I71)-1)*5,1,1))*V$2</f>
        <v>0</v>
      </c>
      <c r="AI74" s="5">
        <f ca="1">SUM(OFFSET(Demand!$H83,0,(COLUMN(J71)-1)*5,1,1))*W$2</f>
        <v>0</v>
      </c>
      <c r="AJ74" s="5">
        <f t="shared" ca="1" si="33"/>
        <v>0</v>
      </c>
      <c r="AL74" s="5">
        <f t="shared" ca="1" si="34"/>
        <v>430</v>
      </c>
      <c r="AM74" s="5">
        <f t="shared" ca="1" si="35"/>
        <v>0</v>
      </c>
      <c r="AN74" s="5" t="str">
        <f>IF(Demand!BE83="Yes","Yes","")</f>
        <v/>
      </c>
      <c r="AP74" s="37" t="str">
        <f ca="1">Demand!B83</f>
        <v xml:space="preserve"> </v>
      </c>
      <c r="AQ74" t="str">
        <f ca="1">IF(TEXT(Demand!D83,"MMM")&lt;&gt;TEXT(Demand!D82,"MMM"),TEXT(Demand!D83,"MMM"),"")</f>
        <v>Aug</v>
      </c>
      <c r="AT74" s="5">
        <f t="shared" ca="1" si="37"/>
        <v>340</v>
      </c>
      <c r="BQ74">
        <f ca="1">IF($AN74="",OFFSET(Demand!$A$13,ROW(A71)-1,4+((QUOTIENT(COLUMN(BQ$2)-69,3))*5)+MOD(COLUMN(BQ$2),3),1,1),"")</f>
        <v>0</v>
      </c>
      <c r="BR74">
        <f ca="1">IF($AN74="",OFFSET(Demand!$A$13,ROW(B71)-1,4+((QUOTIENT(COLUMN(BR$2)-69,3))*5)+MOD(COLUMN(BR$2),3),1,1),"")</f>
        <v>0</v>
      </c>
      <c r="BS74">
        <f ca="1">IF($AN74="",OFFSET(Demand!$A$13,ROW(C71)-1,4+((QUOTIENT(COLUMN(BS$2)-69,3))*5)+MOD(COLUMN(BS$2),3),1,1),"")</f>
        <v>1</v>
      </c>
      <c r="BT74">
        <f ca="1">IF($AN74="",OFFSET(Demand!$A$13,ROW(D71)-1,4+((QUOTIENT(COLUMN(BT$2)-69,3))*5)+MOD(COLUMN(BT$2),3),1,1),"")</f>
        <v>0</v>
      </c>
      <c r="BU74">
        <f ca="1">IF($AN74="",OFFSET(Demand!$A$13,ROW(E71)-1,4+((QUOTIENT(COLUMN(BU$2)-69,3))*5)+MOD(COLUMN(BU$2),3),1,1),"")</f>
        <v>1</v>
      </c>
      <c r="BV74">
        <f ca="1">IF($AN74="",OFFSET(Demand!$A$13,ROW(F71)-1,4+((QUOTIENT(COLUMN(BV$2)-69,3))*5)+MOD(COLUMN(BV$2),3),1,1),"")</f>
        <v>9</v>
      </c>
      <c r="BW74">
        <f ca="1">IF($AN74="",OFFSET(Demand!$A$13,ROW(G71)-1,4+((QUOTIENT(COLUMN(BW$2)-69,3))*5)+MOD(COLUMN(BW$2),3),1,1),"")</f>
        <v>0</v>
      </c>
      <c r="BX74">
        <f ca="1">IF($AN74="",OFFSET(Demand!$A$13,ROW(H71)-1,4+((QUOTIENT(COLUMN(BX$2)-69,3))*5)+MOD(COLUMN(BX$2),3),1,1),"")</f>
        <v>0</v>
      </c>
      <c r="BY74">
        <f ca="1">IF($AN74="",OFFSET(Demand!$A$13,ROW(I71)-1,4+((QUOTIENT(COLUMN(BY$2)-69,3))*5)+MOD(COLUMN(BY$2),3),1,1),"")</f>
        <v>0</v>
      </c>
      <c r="BZ74">
        <f ca="1">IF($AN74="",OFFSET(Demand!$A$13,ROW(J71)-1,4+((QUOTIENT(COLUMN(BZ$2)-69,3))*5)+MOD(COLUMN(BZ$2),3),1,1),"")</f>
        <v>0</v>
      </c>
      <c r="CA74">
        <f ca="1">IF($AN74="",OFFSET(Demand!$A$13,ROW(K71)-1,4+((QUOTIENT(COLUMN(CA$2)-69,3))*5)+MOD(COLUMN(CA$2),3),1,1),"")</f>
        <v>0</v>
      </c>
      <c r="CB74">
        <f ca="1">IF($AN74="",OFFSET(Demand!$A$13,ROW(L71)-1,4+((QUOTIENT(COLUMN(CB$2)-69,3))*5)+MOD(COLUMN(CB$2),3),1,1),"")</f>
        <v>0</v>
      </c>
      <c r="CC74">
        <f ca="1">IF($AN74="",OFFSET(Demand!$A$13,ROW(M71)-1,4+((QUOTIENT(COLUMN(CC$2)-69,3))*5)+MOD(COLUMN(CC$2),3),1,1),"")</f>
        <v>0</v>
      </c>
      <c r="CD74">
        <f ca="1">IF($AN74="",OFFSET(Demand!$A$13,ROW(N71)-1,4+((QUOTIENT(COLUMN(CD$2)-69,3))*5)+MOD(COLUMN(CD$2),3),1,1),"")</f>
        <v>0</v>
      </c>
      <c r="CE74">
        <f ca="1">IF($AN74="",OFFSET(Demand!$A$13,ROW(O71)-1,4+((QUOTIENT(COLUMN(CE$2)-69,3))*5)+MOD(COLUMN(CE$2),3),1,1),"")</f>
        <v>0</v>
      </c>
      <c r="CF74">
        <f ca="1">IF($AN74="",OFFSET(Demand!$A$13,ROW(P71)-1,4+((QUOTIENT(COLUMN(CF$2)-69,3))*5)+MOD(COLUMN(CF$2),3),1,1),"")</f>
        <v>0</v>
      </c>
      <c r="CG74">
        <f ca="1">IF($AN74="",OFFSET(Demand!$A$13,ROW(Q71)-1,4+((QUOTIENT(COLUMN(CG$2)-69,3))*5)+MOD(COLUMN(CG$2),3),1,1),"")</f>
        <v>0</v>
      </c>
      <c r="CH74">
        <f ca="1">IF($AN74="",OFFSET(Demand!$A$13,ROW(R71)-1,4+((QUOTIENT(COLUMN(CH$2)-69,3))*5)+MOD(COLUMN(CH$2),3),1,1),"")</f>
        <v>0</v>
      </c>
      <c r="CI74">
        <f ca="1">IF($AN74="",OFFSET(Demand!$A$13,ROW(S71)-1,4+((QUOTIENT(COLUMN(CI$2)-69,3))*5)+MOD(COLUMN(CI$2),3),1,1),"")</f>
        <v>0</v>
      </c>
      <c r="CJ74">
        <f ca="1">IF($AN74="",OFFSET(Demand!$A$13,ROW(T71)-1,4+((QUOTIENT(COLUMN(CJ$2)-69,3))*5)+MOD(COLUMN(CJ$2),3),1,1),"")</f>
        <v>0</v>
      </c>
      <c r="CK74">
        <f ca="1">IF($AN74="",OFFSET(Demand!$A$13,ROW(U71)-1,4+((QUOTIENT(COLUMN(CK$2)-69,3))*5)+MOD(COLUMN(CK$2),3),1,1),"")</f>
        <v>0</v>
      </c>
      <c r="CL74">
        <f ca="1">IF($AN74="",OFFSET(Demand!$A$13,ROW(V71)-1,4+((QUOTIENT(COLUMN(CL$2)-69,3))*5)+MOD(COLUMN(CL$2),3),1,1),"")</f>
        <v>0</v>
      </c>
      <c r="CM74">
        <f ca="1">IF($AN74="",OFFSET(Demand!$A$13,ROW(W71)-1,4+((QUOTIENT(COLUMN(CM$2)-69,3))*5)+MOD(COLUMN(CM$2),3),1,1),"")</f>
        <v>0</v>
      </c>
      <c r="CN74">
        <f ca="1">IF($AN74="",OFFSET(Demand!$A$13,ROW(X71)-1,4+((QUOTIENT(COLUMN(CN$2)-69,3))*5)+MOD(COLUMN(CN$2),3),1,1),"")</f>
        <v>0</v>
      </c>
      <c r="CO74">
        <f ca="1">IF($AN74="",OFFSET(Demand!$A$13,ROW(Y71)-1,4+((QUOTIENT(COLUMN(CO$2)-69,3))*5)+MOD(COLUMN(CO$2),3),1,1),"")</f>
        <v>0</v>
      </c>
      <c r="CP74">
        <f ca="1">IF($AN74="",OFFSET(Demand!$A$13,ROW(Z71)-1,4+((QUOTIENT(COLUMN(CP$2)-69,3))*5)+MOD(COLUMN(CP$2),3),1,1),"")</f>
        <v>0</v>
      </c>
      <c r="CQ74">
        <f ca="1">IF($AN74="",OFFSET(Demand!$A$13,ROW(AA71)-1,4+((QUOTIENT(COLUMN(CQ$2)-69,3))*5)+MOD(COLUMN(CQ$2),3),1,1),"")</f>
        <v>0</v>
      </c>
      <c r="CR74">
        <f ca="1">IF($AN74="",OFFSET(Demand!$A$13,ROW(AB71)-1,4+((QUOTIENT(COLUMN(CR$2)-69,3))*5)+MOD(COLUMN(CR$2),3),1,1),"")</f>
        <v>0</v>
      </c>
      <c r="CS74">
        <f ca="1">IF($AN74="",OFFSET(Demand!$A$13,ROW(AC71)-1,4+((QUOTIENT(COLUMN(CS$2)-69,3))*5)+MOD(COLUMN(CS$2),3),1,1),"")</f>
        <v>0</v>
      </c>
      <c r="CT74">
        <f ca="1">IF($AN74="",OFFSET(Demand!$A$13,ROW(AD71)-1,4+((QUOTIENT(COLUMN(CT$2)-69,3))*5)+MOD(COLUMN(CT$2),3),1,1),"")</f>
        <v>0</v>
      </c>
      <c r="CW74" s="5">
        <f ca="1">SUM(OFFSET(Demand!$H$43,ROW(A71)-1,(COLUMN(A71)-1)*5,1,1))*N$2</f>
        <v>0</v>
      </c>
      <c r="CX74" s="5">
        <f ca="1">SUM(OFFSET(Demand!$H$43,ROW(B71)-1,(COLUMN(B71)-1)*5,1,1))*O$2</f>
        <v>0</v>
      </c>
      <c r="CY74" s="5">
        <f ca="1">SUM(OFFSET(Demand!$H$43,ROW(C71)-1,(COLUMN(C71)-1)*5,1,1))*P$2</f>
        <v>0</v>
      </c>
      <c r="CZ74" s="5">
        <f ca="1">SUM(OFFSET(Demand!$H$43,ROW(D71)-1,(COLUMN(D71)-1)*5,1,1))*Q$2</f>
        <v>0</v>
      </c>
      <c r="DA74" s="5">
        <f ca="1">SUM(OFFSET(Demand!$H$43,ROW(E71)-1,(COLUMN(E71)-1)*5,1,1))*R$2</f>
        <v>0</v>
      </c>
      <c r="DB74" s="5">
        <f ca="1">SUM(OFFSET(Demand!$H$43,ROW(F71)-1,(COLUMN(F71)-1)*5,1,1))*S$2</f>
        <v>0</v>
      </c>
      <c r="DC74" s="5">
        <f ca="1">SUM(OFFSET(Demand!$H$43,ROW(G71)-1,(COLUMN(G71)-1)*5,1,1))*T$2</f>
        <v>0</v>
      </c>
      <c r="DD74" s="5">
        <f ca="1">SUM(OFFSET(Demand!$H$43,ROW(H71)-1,(COLUMN(H71)-1)*5,1,1))*U$2</f>
        <v>0</v>
      </c>
      <c r="DE74" s="5">
        <f ca="1">SUM(OFFSET(Demand!$H$43,ROW(I71)-1,(COLUMN(I71)-1)*5,1,1))*V$2</f>
        <v>0</v>
      </c>
      <c r="DF74" s="5">
        <f ca="1">SUM(OFFSET(Demand!$H$43,ROW(J71)-1,(COLUMN(J71)-1)*5,1,1))*W$2</f>
        <v>0</v>
      </c>
      <c r="DG74" s="5">
        <f t="shared" ca="1" si="36"/>
        <v>0</v>
      </c>
    </row>
    <row r="75" spans="1:111" x14ac:dyDescent="0.2">
      <c r="A75" s="5">
        <f t="shared" ca="1" si="30"/>
        <v>0</v>
      </c>
      <c r="B75" s="5">
        <f ca="1">COUNTBLANK(OFFSET(Demand!$I84,0,(COLUMN(A72)-1)*5,1,1))</f>
        <v>0</v>
      </c>
      <c r="C75" s="5">
        <f ca="1">COUNTBLANK(OFFSET(Demand!$I84,0,(COLUMN(B72)-1)*5,1,1))</f>
        <v>0</v>
      </c>
      <c r="D75" s="5">
        <f ca="1">COUNTBLANK(OFFSET(Demand!$I84,0,(COLUMN(C72)-1)*5,1,1))</f>
        <v>1</v>
      </c>
      <c r="E75" s="5">
        <f ca="1">COUNTBLANK(OFFSET(Demand!$I84,0,(COLUMN(D72)-1)*5,1,1))</f>
        <v>1</v>
      </c>
      <c r="F75" s="5">
        <f ca="1">COUNTBLANK(OFFSET(Demand!$I84,0,(COLUMN(E72)-1)*5,1,1))</f>
        <v>1</v>
      </c>
      <c r="G75" s="5">
        <f ca="1">COUNTBLANK(OFFSET(Demand!$I84,0,(COLUMN(F72)-1)*5,1,1))</f>
        <v>1</v>
      </c>
      <c r="H75" s="5">
        <f ca="1">COUNTBLANK(OFFSET(Demand!$I84,0,(COLUMN(G72)-1)*5,1,1))</f>
        <v>1</v>
      </c>
      <c r="I75" s="5">
        <f ca="1">COUNTBLANK(OFFSET(Demand!$I84,0,(COLUMN(H72)-1)*5,1,1))</f>
        <v>1</v>
      </c>
      <c r="J75" s="5">
        <f ca="1">COUNTBLANK(OFFSET(Demand!$I84,0,(COLUMN(I72)-1)*5,1,1))</f>
        <v>1</v>
      </c>
      <c r="K75" s="5">
        <f ca="1">COUNTBLANK(OFFSET(Demand!$I84,0,(COLUMN(J72)-1)*5,1,1))</f>
        <v>1</v>
      </c>
      <c r="N75" s="5">
        <f ca="1">SUM(OFFSET(Demand!$E84,0,(COLUMN(A72)-1)*5,1,3))*N$2</f>
        <v>90</v>
      </c>
      <c r="O75" s="5">
        <f ca="1">SUM(OFFSET(Demand!$E84,0,(COLUMN(B72)-1)*5,1,3))*O$2</f>
        <v>400</v>
      </c>
      <c r="P75" s="5">
        <f ca="1">SUM(OFFSET(Demand!$E84,0,(COLUMN(C72)-1)*5,1,3))*P$2</f>
        <v>0</v>
      </c>
      <c r="Q75" s="5">
        <f ca="1">SUM(OFFSET(Demand!$E84,0,(COLUMN(D72)-1)*5,1,3))*Q$2</f>
        <v>0</v>
      </c>
      <c r="R75" s="5">
        <f ca="1">SUM(OFFSET(Demand!$E84,0,(COLUMN(E72)-1)*5,1,3))*R$2</f>
        <v>0</v>
      </c>
      <c r="S75" s="5">
        <f ca="1">SUM(OFFSET(Demand!$E84,0,(COLUMN(F72)-1)*5,1,3))*S$2</f>
        <v>0</v>
      </c>
      <c r="T75" s="5">
        <f ca="1">SUM(OFFSET(Demand!$E84,0,(COLUMN(G72)-1)*5,1,3))*T$2</f>
        <v>0</v>
      </c>
      <c r="U75" s="5">
        <f ca="1">SUM(OFFSET(Demand!$E84,0,(COLUMN(H72)-1)*5,1,3))*U$2</f>
        <v>0</v>
      </c>
      <c r="V75" s="5">
        <f ca="1">SUM(OFFSET(Demand!$E84,0,(COLUMN(I72)-1)*5,1,3))*V$2</f>
        <v>0</v>
      </c>
      <c r="W75" s="5">
        <f ca="1">SUM(OFFSET(Demand!$E84,0,(COLUMN(J72)-1)*5,1,3))*W$2</f>
        <v>0</v>
      </c>
      <c r="X75" s="5">
        <f t="shared" ca="1" si="31"/>
        <v>490</v>
      </c>
      <c r="Y75">
        <f t="shared" ca="1" si="32"/>
        <v>490</v>
      </c>
      <c r="Z75" s="5">
        <f ca="1">SUM(OFFSET(Demand!$H84,0,(COLUMN(A72)-1)*5,1,1))*N$2</f>
        <v>0</v>
      </c>
      <c r="AA75" s="5">
        <f ca="1">SUM(OFFSET(Demand!$H84,0,(COLUMN(B72)-1)*5,1,1))*O$2</f>
        <v>0</v>
      </c>
      <c r="AB75" s="5">
        <f ca="1">SUM(OFFSET(Demand!$H84,0,(COLUMN(C72)-1)*5,1,1))*P$2</f>
        <v>0</v>
      </c>
      <c r="AC75" s="5">
        <f ca="1">SUM(OFFSET(Demand!$H84,0,(COLUMN(D72)-1)*5,1,1))*Q$2</f>
        <v>0</v>
      </c>
      <c r="AD75" s="5">
        <f ca="1">SUM(OFFSET(Demand!$H84,0,(COLUMN(E72)-1)*5,1,1))*R$2</f>
        <v>0</v>
      </c>
      <c r="AE75" s="5">
        <f ca="1">SUM(OFFSET(Demand!$H84,0,(COLUMN(F72)-1)*5,1,1))*S$2</f>
        <v>0</v>
      </c>
      <c r="AF75" s="5">
        <f ca="1">SUM(OFFSET(Demand!$H84,0,(COLUMN(G72)-1)*5,1,1))*T$2</f>
        <v>0</v>
      </c>
      <c r="AG75" s="5">
        <f ca="1">SUM(OFFSET(Demand!$H84,0,(COLUMN(H72)-1)*5,1,1))*U$2</f>
        <v>0</v>
      </c>
      <c r="AH75" s="5">
        <f ca="1">SUM(OFFSET(Demand!$H84,0,(COLUMN(I72)-1)*5,1,1))*V$2</f>
        <v>0</v>
      </c>
      <c r="AI75" s="5">
        <f ca="1">SUM(OFFSET(Demand!$H84,0,(COLUMN(J72)-1)*5,1,1))*W$2</f>
        <v>0</v>
      </c>
      <c r="AJ75" s="5">
        <f t="shared" ca="1" si="33"/>
        <v>0</v>
      </c>
      <c r="AL75" s="5">
        <f t="shared" ca="1" si="34"/>
        <v>490</v>
      </c>
      <c r="AM75" s="5">
        <f t="shared" ca="1" si="35"/>
        <v>0</v>
      </c>
      <c r="AN75" s="5" t="str">
        <f>IF(Demand!BE84="Yes","Yes","")</f>
        <v/>
      </c>
      <c r="AP75" s="37" t="str">
        <f ca="1">Demand!B84</f>
        <v xml:space="preserve"> </v>
      </c>
      <c r="AQ75" t="str">
        <f ca="1">IF(TEXT(Demand!D84,"MMM")&lt;&gt;TEXT(Demand!D83,"MMM"),TEXT(Demand!D84,"MMM"),"")</f>
        <v/>
      </c>
      <c r="AT75" s="5">
        <f t="shared" ca="1" si="37"/>
        <v>60</v>
      </c>
      <c r="BQ75">
        <f ca="1">IF($AN75="",OFFSET(Demand!$A$13,ROW(A72)-1,4+((QUOTIENT(COLUMN(BQ$2)-69,3))*5)+MOD(COLUMN(BQ$2),3),1,1),"")</f>
        <v>0</v>
      </c>
      <c r="BR75">
        <f ca="1">IF($AN75="",OFFSET(Demand!$A$13,ROW(B72)-1,4+((QUOTIENT(COLUMN(BR$2)-69,3))*5)+MOD(COLUMN(BR$2),3),1,1),"")</f>
        <v>0</v>
      </c>
      <c r="BS75">
        <f ca="1">IF($AN75="",OFFSET(Demand!$A$13,ROW(C72)-1,4+((QUOTIENT(COLUMN(BS$2)-69,3))*5)+MOD(COLUMN(BS$2),3),1,1),"")</f>
        <v>3</v>
      </c>
      <c r="BT75">
        <f ca="1">IF($AN75="",OFFSET(Demand!$A$13,ROW(D72)-1,4+((QUOTIENT(COLUMN(BT$2)-69,3))*5)+MOD(COLUMN(BT$2),3),1,1),"")</f>
        <v>0</v>
      </c>
      <c r="BU75">
        <f ca="1">IF($AN75="",OFFSET(Demand!$A$13,ROW(E72)-1,4+((QUOTIENT(COLUMN(BU$2)-69,3))*5)+MOD(COLUMN(BU$2),3),1,1),"")</f>
        <v>1</v>
      </c>
      <c r="BV75">
        <f ca="1">IF($AN75="",OFFSET(Demand!$A$13,ROW(F72)-1,4+((QUOTIENT(COLUMN(BV$2)-69,3))*5)+MOD(COLUMN(BV$2),3),1,1),"")</f>
        <v>9</v>
      </c>
      <c r="BW75">
        <f ca="1">IF($AN75="",OFFSET(Demand!$A$13,ROW(G72)-1,4+((QUOTIENT(COLUMN(BW$2)-69,3))*5)+MOD(COLUMN(BW$2),3),1,1),"")</f>
        <v>0</v>
      </c>
      <c r="BX75">
        <f ca="1">IF($AN75="",OFFSET(Demand!$A$13,ROW(H72)-1,4+((QUOTIENT(COLUMN(BX$2)-69,3))*5)+MOD(COLUMN(BX$2),3),1,1),"")</f>
        <v>0</v>
      </c>
      <c r="BY75">
        <f ca="1">IF($AN75="",OFFSET(Demand!$A$13,ROW(I72)-1,4+((QUOTIENT(COLUMN(BY$2)-69,3))*5)+MOD(COLUMN(BY$2),3),1,1),"")</f>
        <v>0</v>
      </c>
      <c r="BZ75">
        <f ca="1">IF($AN75="",OFFSET(Demand!$A$13,ROW(J72)-1,4+((QUOTIENT(COLUMN(BZ$2)-69,3))*5)+MOD(COLUMN(BZ$2),3),1,1),"")</f>
        <v>0</v>
      </c>
      <c r="CA75">
        <f ca="1">IF($AN75="",OFFSET(Demand!$A$13,ROW(K72)-1,4+((QUOTIENT(COLUMN(CA$2)-69,3))*5)+MOD(COLUMN(CA$2),3),1,1),"")</f>
        <v>0</v>
      </c>
      <c r="CB75">
        <f ca="1">IF($AN75="",OFFSET(Demand!$A$13,ROW(L72)-1,4+((QUOTIENT(COLUMN(CB$2)-69,3))*5)+MOD(COLUMN(CB$2),3),1,1),"")</f>
        <v>0</v>
      </c>
      <c r="CC75">
        <f ca="1">IF($AN75="",OFFSET(Demand!$A$13,ROW(M72)-1,4+((QUOTIENT(COLUMN(CC$2)-69,3))*5)+MOD(COLUMN(CC$2),3),1,1),"")</f>
        <v>0</v>
      </c>
      <c r="CD75">
        <f ca="1">IF($AN75="",OFFSET(Demand!$A$13,ROW(N72)-1,4+((QUOTIENT(COLUMN(CD$2)-69,3))*5)+MOD(COLUMN(CD$2),3),1,1),"")</f>
        <v>0</v>
      </c>
      <c r="CE75">
        <f ca="1">IF($AN75="",OFFSET(Demand!$A$13,ROW(O72)-1,4+((QUOTIENT(COLUMN(CE$2)-69,3))*5)+MOD(COLUMN(CE$2),3),1,1),"")</f>
        <v>0</v>
      </c>
      <c r="CF75">
        <f ca="1">IF($AN75="",OFFSET(Demand!$A$13,ROW(P72)-1,4+((QUOTIENT(COLUMN(CF$2)-69,3))*5)+MOD(COLUMN(CF$2),3),1,1),"")</f>
        <v>0</v>
      </c>
      <c r="CG75">
        <f ca="1">IF($AN75="",OFFSET(Demand!$A$13,ROW(Q72)-1,4+((QUOTIENT(COLUMN(CG$2)-69,3))*5)+MOD(COLUMN(CG$2),3),1,1),"")</f>
        <v>0</v>
      </c>
      <c r="CH75">
        <f ca="1">IF($AN75="",OFFSET(Demand!$A$13,ROW(R72)-1,4+((QUOTIENT(COLUMN(CH$2)-69,3))*5)+MOD(COLUMN(CH$2),3),1,1),"")</f>
        <v>0</v>
      </c>
      <c r="CI75">
        <f ca="1">IF($AN75="",OFFSET(Demand!$A$13,ROW(S72)-1,4+((QUOTIENT(COLUMN(CI$2)-69,3))*5)+MOD(COLUMN(CI$2),3),1,1),"")</f>
        <v>0</v>
      </c>
      <c r="CJ75">
        <f ca="1">IF($AN75="",OFFSET(Demand!$A$13,ROW(T72)-1,4+((QUOTIENT(COLUMN(CJ$2)-69,3))*5)+MOD(COLUMN(CJ$2),3),1,1),"")</f>
        <v>0</v>
      </c>
      <c r="CK75">
        <f ca="1">IF($AN75="",OFFSET(Demand!$A$13,ROW(U72)-1,4+((QUOTIENT(COLUMN(CK$2)-69,3))*5)+MOD(COLUMN(CK$2),3),1,1),"")</f>
        <v>0</v>
      </c>
      <c r="CL75">
        <f ca="1">IF($AN75="",OFFSET(Demand!$A$13,ROW(V72)-1,4+((QUOTIENT(COLUMN(CL$2)-69,3))*5)+MOD(COLUMN(CL$2),3),1,1),"")</f>
        <v>0</v>
      </c>
      <c r="CM75">
        <f ca="1">IF($AN75="",OFFSET(Demand!$A$13,ROW(W72)-1,4+((QUOTIENT(COLUMN(CM$2)-69,3))*5)+MOD(COLUMN(CM$2),3),1,1),"")</f>
        <v>0</v>
      </c>
      <c r="CN75">
        <f ca="1">IF($AN75="",OFFSET(Demand!$A$13,ROW(X72)-1,4+((QUOTIENT(COLUMN(CN$2)-69,3))*5)+MOD(COLUMN(CN$2),3),1,1),"")</f>
        <v>0</v>
      </c>
      <c r="CO75">
        <f ca="1">IF($AN75="",OFFSET(Demand!$A$13,ROW(Y72)-1,4+((QUOTIENT(COLUMN(CO$2)-69,3))*5)+MOD(COLUMN(CO$2),3),1,1),"")</f>
        <v>0</v>
      </c>
      <c r="CP75">
        <f ca="1">IF($AN75="",OFFSET(Demand!$A$13,ROW(Z72)-1,4+((QUOTIENT(COLUMN(CP$2)-69,3))*5)+MOD(COLUMN(CP$2),3),1,1),"")</f>
        <v>0</v>
      </c>
      <c r="CQ75">
        <f ca="1">IF($AN75="",OFFSET(Demand!$A$13,ROW(AA72)-1,4+((QUOTIENT(COLUMN(CQ$2)-69,3))*5)+MOD(COLUMN(CQ$2),3),1,1),"")</f>
        <v>0</v>
      </c>
      <c r="CR75">
        <f ca="1">IF($AN75="",OFFSET(Demand!$A$13,ROW(AB72)-1,4+((QUOTIENT(COLUMN(CR$2)-69,3))*5)+MOD(COLUMN(CR$2),3),1,1),"")</f>
        <v>0</v>
      </c>
      <c r="CS75">
        <f ca="1">IF($AN75="",OFFSET(Demand!$A$13,ROW(AC72)-1,4+((QUOTIENT(COLUMN(CS$2)-69,3))*5)+MOD(COLUMN(CS$2),3),1,1),"")</f>
        <v>0</v>
      </c>
      <c r="CT75">
        <f ca="1">IF($AN75="",OFFSET(Demand!$A$13,ROW(AD72)-1,4+((QUOTIENT(COLUMN(CT$2)-69,3))*5)+MOD(COLUMN(CT$2),3),1,1),"")</f>
        <v>0</v>
      </c>
      <c r="CW75" s="5">
        <f ca="1">SUM(OFFSET(Demand!$H$43,ROW(A72)-1,(COLUMN(A72)-1)*5,1,1))*N$2</f>
        <v>0</v>
      </c>
      <c r="CX75" s="5">
        <f ca="1">SUM(OFFSET(Demand!$H$43,ROW(B72)-1,(COLUMN(B72)-1)*5,1,1))*O$2</f>
        <v>0</v>
      </c>
      <c r="CY75" s="5">
        <f ca="1">SUM(OFFSET(Demand!$H$43,ROW(C72)-1,(COLUMN(C72)-1)*5,1,1))*P$2</f>
        <v>0</v>
      </c>
      <c r="CZ75" s="5">
        <f ca="1">SUM(OFFSET(Demand!$H$43,ROW(D72)-1,(COLUMN(D72)-1)*5,1,1))*Q$2</f>
        <v>0</v>
      </c>
      <c r="DA75" s="5">
        <f ca="1">SUM(OFFSET(Demand!$H$43,ROW(E72)-1,(COLUMN(E72)-1)*5,1,1))*R$2</f>
        <v>0</v>
      </c>
      <c r="DB75" s="5">
        <f ca="1">SUM(OFFSET(Demand!$H$43,ROW(F72)-1,(COLUMN(F72)-1)*5,1,1))*S$2</f>
        <v>0</v>
      </c>
      <c r="DC75" s="5">
        <f ca="1">SUM(OFFSET(Demand!$H$43,ROW(G72)-1,(COLUMN(G72)-1)*5,1,1))*T$2</f>
        <v>0</v>
      </c>
      <c r="DD75" s="5">
        <f ca="1">SUM(OFFSET(Demand!$H$43,ROW(H72)-1,(COLUMN(H72)-1)*5,1,1))*U$2</f>
        <v>0</v>
      </c>
      <c r="DE75" s="5">
        <f ca="1">SUM(OFFSET(Demand!$H$43,ROW(I72)-1,(COLUMN(I72)-1)*5,1,1))*V$2</f>
        <v>0</v>
      </c>
      <c r="DF75" s="5">
        <f ca="1">SUM(OFFSET(Demand!$H$43,ROW(J72)-1,(COLUMN(J72)-1)*5,1,1))*W$2</f>
        <v>0</v>
      </c>
      <c r="DG75" s="5">
        <f t="shared" ca="1" si="36"/>
        <v>0</v>
      </c>
    </row>
    <row r="76" spans="1:111" x14ac:dyDescent="0.2">
      <c r="A76" s="5">
        <f t="shared" ca="1" si="30"/>
        <v>0</v>
      </c>
      <c r="B76" s="5">
        <f ca="1">COUNTBLANK(OFFSET(Demand!$I85,0,(COLUMN(A73)-1)*5,1,1))</f>
        <v>0</v>
      </c>
      <c r="C76" s="5">
        <f ca="1">COUNTBLANK(OFFSET(Demand!$I85,0,(COLUMN(B73)-1)*5,1,1))</f>
        <v>0</v>
      </c>
      <c r="D76" s="5">
        <f ca="1">COUNTBLANK(OFFSET(Demand!$I85,0,(COLUMN(C73)-1)*5,1,1))</f>
        <v>1</v>
      </c>
      <c r="E76" s="5">
        <f ca="1">COUNTBLANK(OFFSET(Demand!$I85,0,(COLUMN(D73)-1)*5,1,1))</f>
        <v>1</v>
      </c>
      <c r="F76" s="5">
        <f ca="1">COUNTBLANK(OFFSET(Demand!$I85,0,(COLUMN(E73)-1)*5,1,1))</f>
        <v>1</v>
      </c>
      <c r="G76" s="5">
        <f ca="1">COUNTBLANK(OFFSET(Demand!$I85,0,(COLUMN(F73)-1)*5,1,1))</f>
        <v>1</v>
      </c>
      <c r="H76" s="5">
        <f ca="1">COUNTBLANK(OFFSET(Demand!$I85,0,(COLUMN(G73)-1)*5,1,1))</f>
        <v>1</v>
      </c>
      <c r="I76" s="5">
        <f ca="1">COUNTBLANK(OFFSET(Demand!$I85,0,(COLUMN(H73)-1)*5,1,1))</f>
        <v>1</v>
      </c>
      <c r="J76" s="5">
        <f ca="1">COUNTBLANK(OFFSET(Demand!$I85,0,(COLUMN(I73)-1)*5,1,1))</f>
        <v>1</v>
      </c>
      <c r="K76" s="5">
        <f ca="1">COUNTBLANK(OFFSET(Demand!$I85,0,(COLUMN(J73)-1)*5,1,1))</f>
        <v>1</v>
      </c>
      <c r="N76" s="5">
        <f ca="1">SUM(OFFSET(Demand!$E85,0,(COLUMN(A73)-1)*5,1,3))*N$2</f>
        <v>120</v>
      </c>
      <c r="O76" s="5">
        <f ca="1">SUM(OFFSET(Demand!$E85,0,(COLUMN(B73)-1)*5,1,3))*O$2</f>
        <v>480</v>
      </c>
      <c r="P76" s="5">
        <f ca="1">SUM(OFFSET(Demand!$E85,0,(COLUMN(C73)-1)*5,1,3))*P$2</f>
        <v>0</v>
      </c>
      <c r="Q76" s="5">
        <f ca="1">SUM(OFFSET(Demand!$E85,0,(COLUMN(D73)-1)*5,1,3))*Q$2</f>
        <v>0</v>
      </c>
      <c r="R76" s="5">
        <f ca="1">SUM(OFFSET(Demand!$E85,0,(COLUMN(E73)-1)*5,1,3))*R$2</f>
        <v>0</v>
      </c>
      <c r="S76" s="5">
        <f ca="1">SUM(OFFSET(Demand!$E85,0,(COLUMN(F73)-1)*5,1,3))*S$2</f>
        <v>0</v>
      </c>
      <c r="T76" s="5">
        <f ca="1">SUM(OFFSET(Demand!$E85,0,(COLUMN(G73)-1)*5,1,3))*T$2</f>
        <v>0</v>
      </c>
      <c r="U76" s="5">
        <f ca="1">SUM(OFFSET(Demand!$E85,0,(COLUMN(H73)-1)*5,1,3))*U$2</f>
        <v>0</v>
      </c>
      <c r="V76" s="5">
        <f ca="1">SUM(OFFSET(Demand!$E85,0,(COLUMN(I73)-1)*5,1,3))*V$2</f>
        <v>0</v>
      </c>
      <c r="W76" s="5">
        <f ca="1">SUM(OFFSET(Demand!$E85,0,(COLUMN(J73)-1)*5,1,3))*W$2</f>
        <v>0</v>
      </c>
      <c r="X76" s="5">
        <f t="shared" ca="1" si="31"/>
        <v>600</v>
      </c>
      <c r="Y76">
        <f t="shared" ca="1" si="32"/>
        <v>600</v>
      </c>
      <c r="Z76" s="5">
        <f ca="1">SUM(OFFSET(Demand!$H85,0,(COLUMN(A73)-1)*5,1,1))*N$2</f>
        <v>0</v>
      </c>
      <c r="AA76" s="5">
        <f ca="1">SUM(OFFSET(Demand!$H85,0,(COLUMN(B73)-1)*5,1,1))*O$2</f>
        <v>0</v>
      </c>
      <c r="AB76" s="5">
        <f ca="1">SUM(OFFSET(Demand!$H85,0,(COLUMN(C73)-1)*5,1,1))*P$2</f>
        <v>0</v>
      </c>
      <c r="AC76" s="5">
        <f ca="1">SUM(OFFSET(Demand!$H85,0,(COLUMN(D73)-1)*5,1,1))*Q$2</f>
        <v>0</v>
      </c>
      <c r="AD76" s="5">
        <f ca="1">SUM(OFFSET(Demand!$H85,0,(COLUMN(E73)-1)*5,1,1))*R$2</f>
        <v>0</v>
      </c>
      <c r="AE76" s="5">
        <f ca="1">SUM(OFFSET(Demand!$H85,0,(COLUMN(F73)-1)*5,1,1))*S$2</f>
        <v>0</v>
      </c>
      <c r="AF76" s="5">
        <f ca="1">SUM(OFFSET(Demand!$H85,0,(COLUMN(G73)-1)*5,1,1))*T$2</f>
        <v>0</v>
      </c>
      <c r="AG76" s="5">
        <f ca="1">SUM(OFFSET(Demand!$H85,0,(COLUMN(H73)-1)*5,1,1))*U$2</f>
        <v>0</v>
      </c>
      <c r="AH76" s="5">
        <f ca="1">SUM(OFFSET(Demand!$H85,0,(COLUMN(I73)-1)*5,1,1))*V$2</f>
        <v>0</v>
      </c>
      <c r="AI76" s="5">
        <f ca="1">SUM(OFFSET(Demand!$H85,0,(COLUMN(J73)-1)*5,1,1))*W$2</f>
        <v>0</v>
      </c>
      <c r="AJ76" s="5">
        <f t="shared" ca="1" si="33"/>
        <v>0</v>
      </c>
      <c r="AL76" s="5">
        <f t="shared" ca="1" si="34"/>
        <v>600</v>
      </c>
      <c r="AM76" s="5">
        <f t="shared" ca="1" si="35"/>
        <v>0</v>
      </c>
      <c r="AN76" s="5" t="str">
        <f>IF(Demand!BE85="Yes","Yes","")</f>
        <v/>
      </c>
      <c r="AP76" s="37" t="str">
        <f ca="1">Demand!B85</f>
        <v xml:space="preserve"> </v>
      </c>
      <c r="AQ76" t="str">
        <f ca="1">IF(TEXT(Demand!D85,"MMM")&lt;&gt;TEXT(Demand!D84,"MMM"),TEXT(Demand!D85,"MMM"),"")</f>
        <v/>
      </c>
      <c r="AT76" s="5">
        <f t="shared" ca="1" si="37"/>
        <v>110</v>
      </c>
      <c r="BQ76">
        <f ca="1">IF($AN76="",OFFSET(Demand!$A$13,ROW(A73)-1,4+((QUOTIENT(COLUMN(BQ$2)-69,3))*5)+MOD(COLUMN(BQ$2),3),1,1),"")</f>
        <v>0</v>
      </c>
      <c r="BR76">
        <f ca="1">IF($AN76="",OFFSET(Demand!$A$13,ROW(B73)-1,4+((QUOTIENT(COLUMN(BR$2)-69,3))*5)+MOD(COLUMN(BR$2),3),1,1),"")</f>
        <v>2</v>
      </c>
      <c r="BS76">
        <f ca="1">IF($AN76="",OFFSET(Demand!$A$13,ROW(C73)-1,4+((QUOTIENT(COLUMN(BS$2)-69,3))*5)+MOD(COLUMN(BS$2),3),1,1),"")</f>
        <v>2</v>
      </c>
      <c r="BT76">
        <f ca="1">IF($AN76="",OFFSET(Demand!$A$13,ROW(D73)-1,4+((QUOTIENT(COLUMN(BT$2)-69,3))*5)+MOD(COLUMN(BT$2),3),1,1),"")</f>
        <v>0</v>
      </c>
      <c r="BU76">
        <f ca="1">IF($AN76="",OFFSET(Demand!$A$13,ROW(E73)-1,4+((QUOTIENT(COLUMN(BU$2)-69,3))*5)+MOD(COLUMN(BU$2),3),1,1),"")</f>
        <v>1</v>
      </c>
      <c r="BV76">
        <f ca="1">IF($AN76="",OFFSET(Demand!$A$13,ROW(F73)-1,4+((QUOTIENT(COLUMN(BV$2)-69,3))*5)+MOD(COLUMN(BV$2),3),1,1),"")</f>
        <v>11</v>
      </c>
      <c r="BW76">
        <f ca="1">IF($AN76="",OFFSET(Demand!$A$13,ROW(G73)-1,4+((QUOTIENT(COLUMN(BW$2)-69,3))*5)+MOD(COLUMN(BW$2),3),1,1),"")</f>
        <v>0</v>
      </c>
      <c r="BX76">
        <f ca="1">IF($AN76="",OFFSET(Demand!$A$13,ROW(H73)-1,4+((QUOTIENT(COLUMN(BX$2)-69,3))*5)+MOD(COLUMN(BX$2),3),1,1),"")</f>
        <v>0</v>
      </c>
      <c r="BY76">
        <f ca="1">IF($AN76="",OFFSET(Demand!$A$13,ROW(I73)-1,4+((QUOTIENT(COLUMN(BY$2)-69,3))*5)+MOD(COLUMN(BY$2),3),1,1),"")</f>
        <v>0</v>
      </c>
      <c r="BZ76">
        <f ca="1">IF($AN76="",OFFSET(Demand!$A$13,ROW(J73)-1,4+((QUOTIENT(COLUMN(BZ$2)-69,3))*5)+MOD(COLUMN(BZ$2),3),1,1),"")</f>
        <v>0</v>
      </c>
      <c r="CA76">
        <f ca="1">IF($AN76="",OFFSET(Demand!$A$13,ROW(K73)-1,4+((QUOTIENT(COLUMN(CA$2)-69,3))*5)+MOD(COLUMN(CA$2),3),1,1),"")</f>
        <v>0</v>
      </c>
      <c r="CB76">
        <f ca="1">IF($AN76="",OFFSET(Demand!$A$13,ROW(L73)-1,4+((QUOTIENT(COLUMN(CB$2)-69,3))*5)+MOD(COLUMN(CB$2),3),1,1),"")</f>
        <v>0</v>
      </c>
      <c r="CC76">
        <f ca="1">IF($AN76="",OFFSET(Demand!$A$13,ROW(M73)-1,4+((QUOTIENT(COLUMN(CC$2)-69,3))*5)+MOD(COLUMN(CC$2),3),1,1),"")</f>
        <v>0</v>
      </c>
      <c r="CD76">
        <f ca="1">IF($AN76="",OFFSET(Demand!$A$13,ROW(N73)-1,4+((QUOTIENT(COLUMN(CD$2)-69,3))*5)+MOD(COLUMN(CD$2),3),1,1),"")</f>
        <v>0</v>
      </c>
      <c r="CE76">
        <f ca="1">IF($AN76="",OFFSET(Demand!$A$13,ROW(O73)-1,4+((QUOTIENT(COLUMN(CE$2)-69,3))*5)+MOD(COLUMN(CE$2),3),1,1),"")</f>
        <v>0</v>
      </c>
      <c r="CF76">
        <f ca="1">IF($AN76="",OFFSET(Demand!$A$13,ROW(P73)-1,4+((QUOTIENT(COLUMN(CF$2)-69,3))*5)+MOD(COLUMN(CF$2),3),1,1),"")</f>
        <v>0</v>
      </c>
      <c r="CG76">
        <f ca="1">IF($AN76="",OFFSET(Demand!$A$13,ROW(Q73)-1,4+((QUOTIENT(COLUMN(CG$2)-69,3))*5)+MOD(COLUMN(CG$2),3),1,1),"")</f>
        <v>0</v>
      </c>
      <c r="CH76">
        <f ca="1">IF($AN76="",OFFSET(Demand!$A$13,ROW(R73)-1,4+((QUOTIENT(COLUMN(CH$2)-69,3))*5)+MOD(COLUMN(CH$2),3),1,1),"")</f>
        <v>0</v>
      </c>
      <c r="CI76">
        <f ca="1">IF($AN76="",OFFSET(Demand!$A$13,ROW(S73)-1,4+((QUOTIENT(COLUMN(CI$2)-69,3))*5)+MOD(COLUMN(CI$2),3),1,1),"")</f>
        <v>0</v>
      </c>
      <c r="CJ76">
        <f ca="1">IF($AN76="",OFFSET(Demand!$A$13,ROW(T73)-1,4+((QUOTIENT(COLUMN(CJ$2)-69,3))*5)+MOD(COLUMN(CJ$2),3),1,1),"")</f>
        <v>0</v>
      </c>
      <c r="CK76">
        <f ca="1">IF($AN76="",OFFSET(Demand!$A$13,ROW(U73)-1,4+((QUOTIENT(COLUMN(CK$2)-69,3))*5)+MOD(COLUMN(CK$2),3),1,1),"")</f>
        <v>0</v>
      </c>
      <c r="CL76">
        <f ca="1">IF($AN76="",OFFSET(Demand!$A$13,ROW(V73)-1,4+((QUOTIENT(COLUMN(CL$2)-69,3))*5)+MOD(COLUMN(CL$2),3),1,1),"")</f>
        <v>0</v>
      </c>
      <c r="CM76">
        <f ca="1">IF($AN76="",OFFSET(Demand!$A$13,ROW(W73)-1,4+((QUOTIENT(COLUMN(CM$2)-69,3))*5)+MOD(COLUMN(CM$2),3),1,1),"")</f>
        <v>0</v>
      </c>
      <c r="CN76">
        <f ca="1">IF($AN76="",OFFSET(Demand!$A$13,ROW(X73)-1,4+((QUOTIENT(COLUMN(CN$2)-69,3))*5)+MOD(COLUMN(CN$2),3),1,1),"")</f>
        <v>0</v>
      </c>
      <c r="CO76">
        <f ca="1">IF($AN76="",OFFSET(Demand!$A$13,ROW(Y73)-1,4+((QUOTIENT(COLUMN(CO$2)-69,3))*5)+MOD(COLUMN(CO$2),3),1,1),"")</f>
        <v>0</v>
      </c>
      <c r="CP76">
        <f ca="1">IF($AN76="",OFFSET(Demand!$A$13,ROW(Z73)-1,4+((QUOTIENT(COLUMN(CP$2)-69,3))*5)+MOD(COLUMN(CP$2),3),1,1),"")</f>
        <v>0</v>
      </c>
      <c r="CQ76">
        <f ca="1">IF($AN76="",OFFSET(Demand!$A$13,ROW(AA73)-1,4+((QUOTIENT(COLUMN(CQ$2)-69,3))*5)+MOD(COLUMN(CQ$2),3),1,1),"")</f>
        <v>0</v>
      </c>
      <c r="CR76">
        <f ca="1">IF($AN76="",OFFSET(Demand!$A$13,ROW(AB73)-1,4+((QUOTIENT(COLUMN(CR$2)-69,3))*5)+MOD(COLUMN(CR$2),3),1,1),"")</f>
        <v>0</v>
      </c>
      <c r="CS76">
        <f ca="1">IF($AN76="",OFFSET(Demand!$A$13,ROW(AC73)-1,4+((QUOTIENT(COLUMN(CS$2)-69,3))*5)+MOD(COLUMN(CS$2),3),1,1),"")</f>
        <v>0</v>
      </c>
      <c r="CT76">
        <f ca="1">IF($AN76="",OFFSET(Demand!$A$13,ROW(AD73)-1,4+((QUOTIENT(COLUMN(CT$2)-69,3))*5)+MOD(COLUMN(CT$2),3),1,1),"")</f>
        <v>0</v>
      </c>
      <c r="CW76" s="5">
        <f ca="1">SUM(OFFSET(Demand!$H$43,ROW(A73)-1,(COLUMN(A73)-1)*5,1,1))*N$2</f>
        <v>0</v>
      </c>
      <c r="CX76" s="5">
        <f ca="1">SUM(OFFSET(Demand!$H$43,ROW(B73)-1,(COLUMN(B73)-1)*5,1,1))*O$2</f>
        <v>0</v>
      </c>
      <c r="CY76" s="5">
        <f ca="1">SUM(OFFSET(Demand!$H$43,ROW(C73)-1,(COLUMN(C73)-1)*5,1,1))*P$2</f>
        <v>0</v>
      </c>
      <c r="CZ76" s="5">
        <f ca="1">SUM(OFFSET(Demand!$H$43,ROW(D73)-1,(COLUMN(D73)-1)*5,1,1))*Q$2</f>
        <v>0</v>
      </c>
      <c r="DA76" s="5">
        <f ca="1">SUM(OFFSET(Demand!$H$43,ROW(E73)-1,(COLUMN(E73)-1)*5,1,1))*R$2</f>
        <v>0</v>
      </c>
      <c r="DB76" s="5">
        <f ca="1">SUM(OFFSET(Demand!$H$43,ROW(F73)-1,(COLUMN(F73)-1)*5,1,1))*S$2</f>
        <v>0</v>
      </c>
      <c r="DC76" s="5">
        <f ca="1">SUM(OFFSET(Demand!$H$43,ROW(G73)-1,(COLUMN(G73)-1)*5,1,1))*T$2</f>
        <v>0</v>
      </c>
      <c r="DD76" s="5">
        <f ca="1">SUM(OFFSET(Demand!$H$43,ROW(H73)-1,(COLUMN(H73)-1)*5,1,1))*U$2</f>
        <v>0</v>
      </c>
      <c r="DE76" s="5">
        <f ca="1">SUM(OFFSET(Demand!$H$43,ROW(I73)-1,(COLUMN(I73)-1)*5,1,1))*V$2</f>
        <v>0</v>
      </c>
      <c r="DF76" s="5">
        <f ca="1">SUM(OFFSET(Demand!$H$43,ROW(J73)-1,(COLUMN(J73)-1)*5,1,1))*W$2</f>
        <v>0</v>
      </c>
      <c r="DG76" s="5">
        <f t="shared" ca="1" si="36"/>
        <v>0</v>
      </c>
    </row>
    <row r="77" spans="1:111" x14ac:dyDescent="0.2">
      <c r="A77" s="5">
        <f t="shared" ca="1" si="30"/>
        <v>0</v>
      </c>
      <c r="B77" s="5">
        <f ca="1">COUNTBLANK(OFFSET(Demand!$I86,0,(COLUMN(A74)-1)*5,1,1))</f>
        <v>0</v>
      </c>
      <c r="C77" s="5">
        <f ca="1">COUNTBLANK(OFFSET(Demand!$I86,0,(COLUMN(B74)-1)*5,1,1))</f>
        <v>0</v>
      </c>
      <c r="D77" s="5">
        <f ca="1">COUNTBLANK(OFFSET(Demand!$I86,0,(COLUMN(C74)-1)*5,1,1))</f>
        <v>1</v>
      </c>
      <c r="E77" s="5">
        <f ca="1">COUNTBLANK(OFFSET(Demand!$I86,0,(COLUMN(D74)-1)*5,1,1))</f>
        <v>1</v>
      </c>
      <c r="F77" s="5">
        <f ca="1">COUNTBLANK(OFFSET(Demand!$I86,0,(COLUMN(E74)-1)*5,1,1))</f>
        <v>1</v>
      </c>
      <c r="G77" s="5">
        <f ca="1">COUNTBLANK(OFFSET(Demand!$I86,0,(COLUMN(F74)-1)*5,1,1))</f>
        <v>1</v>
      </c>
      <c r="H77" s="5">
        <f ca="1">COUNTBLANK(OFFSET(Demand!$I86,0,(COLUMN(G74)-1)*5,1,1))</f>
        <v>1</v>
      </c>
      <c r="I77" s="5">
        <f ca="1">COUNTBLANK(OFFSET(Demand!$I86,0,(COLUMN(H74)-1)*5,1,1))</f>
        <v>1</v>
      </c>
      <c r="J77" s="5">
        <f ca="1">COUNTBLANK(OFFSET(Demand!$I86,0,(COLUMN(I74)-1)*5,1,1))</f>
        <v>1</v>
      </c>
      <c r="K77" s="5">
        <f ca="1">COUNTBLANK(OFFSET(Demand!$I86,0,(COLUMN(J74)-1)*5,1,1))</f>
        <v>1</v>
      </c>
      <c r="N77" s="5">
        <f ca="1">SUM(OFFSET(Demand!$E86,0,(COLUMN(A74)-1)*5,1,3))*N$2</f>
        <v>150</v>
      </c>
      <c r="O77" s="5">
        <f ca="1">SUM(OFFSET(Demand!$E86,0,(COLUMN(B74)-1)*5,1,3))*O$2</f>
        <v>440</v>
      </c>
      <c r="P77" s="5">
        <f ca="1">SUM(OFFSET(Demand!$E86,0,(COLUMN(C74)-1)*5,1,3))*P$2</f>
        <v>0</v>
      </c>
      <c r="Q77" s="5">
        <f ca="1">SUM(OFFSET(Demand!$E86,0,(COLUMN(D74)-1)*5,1,3))*Q$2</f>
        <v>0</v>
      </c>
      <c r="R77" s="5">
        <f ca="1">SUM(OFFSET(Demand!$E86,0,(COLUMN(E74)-1)*5,1,3))*R$2</f>
        <v>0</v>
      </c>
      <c r="S77" s="5">
        <f ca="1">SUM(OFFSET(Demand!$E86,0,(COLUMN(F74)-1)*5,1,3))*S$2</f>
        <v>0</v>
      </c>
      <c r="T77" s="5">
        <f ca="1">SUM(OFFSET(Demand!$E86,0,(COLUMN(G74)-1)*5,1,3))*T$2</f>
        <v>0</v>
      </c>
      <c r="U77" s="5">
        <f ca="1">SUM(OFFSET(Demand!$E86,0,(COLUMN(H74)-1)*5,1,3))*U$2</f>
        <v>0</v>
      </c>
      <c r="V77" s="5">
        <f ca="1">SUM(OFFSET(Demand!$E86,0,(COLUMN(I74)-1)*5,1,3))*V$2</f>
        <v>0</v>
      </c>
      <c r="W77" s="5">
        <f ca="1">SUM(OFFSET(Demand!$E86,0,(COLUMN(J74)-1)*5,1,3))*W$2</f>
        <v>0</v>
      </c>
      <c r="X77" s="5">
        <f t="shared" ca="1" si="31"/>
        <v>590</v>
      </c>
      <c r="Y77">
        <f t="shared" ca="1" si="32"/>
        <v>590</v>
      </c>
      <c r="Z77" s="5">
        <f ca="1">SUM(OFFSET(Demand!$H86,0,(COLUMN(A74)-1)*5,1,1))*N$2</f>
        <v>0</v>
      </c>
      <c r="AA77" s="5">
        <f ca="1">SUM(OFFSET(Demand!$H86,0,(COLUMN(B74)-1)*5,1,1))*O$2</f>
        <v>0</v>
      </c>
      <c r="AB77" s="5">
        <f ca="1">SUM(OFFSET(Demand!$H86,0,(COLUMN(C74)-1)*5,1,1))*P$2</f>
        <v>0</v>
      </c>
      <c r="AC77" s="5">
        <f ca="1">SUM(OFFSET(Demand!$H86,0,(COLUMN(D74)-1)*5,1,1))*Q$2</f>
        <v>0</v>
      </c>
      <c r="AD77" s="5">
        <f ca="1">SUM(OFFSET(Demand!$H86,0,(COLUMN(E74)-1)*5,1,1))*R$2</f>
        <v>0</v>
      </c>
      <c r="AE77" s="5">
        <f ca="1">SUM(OFFSET(Demand!$H86,0,(COLUMN(F74)-1)*5,1,1))*S$2</f>
        <v>0</v>
      </c>
      <c r="AF77" s="5">
        <f ca="1">SUM(OFFSET(Demand!$H86,0,(COLUMN(G74)-1)*5,1,1))*T$2</f>
        <v>0</v>
      </c>
      <c r="AG77" s="5">
        <f ca="1">SUM(OFFSET(Demand!$H86,0,(COLUMN(H74)-1)*5,1,1))*U$2</f>
        <v>0</v>
      </c>
      <c r="AH77" s="5">
        <f ca="1">SUM(OFFSET(Demand!$H86,0,(COLUMN(I74)-1)*5,1,1))*V$2</f>
        <v>0</v>
      </c>
      <c r="AI77" s="5">
        <f ca="1">SUM(OFFSET(Demand!$H86,0,(COLUMN(J74)-1)*5,1,1))*W$2</f>
        <v>0</v>
      </c>
      <c r="AJ77" s="5">
        <f t="shared" ca="1" si="33"/>
        <v>0</v>
      </c>
      <c r="AL77" s="5">
        <f t="shared" ca="1" si="34"/>
        <v>590</v>
      </c>
      <c r="AM77" s="5">
        <f t="shared" ca="1" si="35"/>
        <v>0</v>
      </c>
      <c r="AN77" s="5" t="str">
        <f>IF(Demand!BE86="Yes","Yes","")</f>
        <v/>
      </c>
      <c r="AP77" s="37" t="str">
        <f ca="1">Demand!B86</f>
        <v xml:space="preserve"> </v>
      </c>
      <c r="AQ77" t="str">
        <f ca="1">IF(TEXT(Demand!D86,"MMM")&lt;&gt;TEXT(Demand!D85,"MMM"),TEXT(Demand!D86,"MMM"),"")</f>
        <v/>
      </c>
      <c r="AT77" s="5">
        <f t="shared" ca="1" si="37"/>
        <v>10</v>
      </c>
      <c r="BQ77">
        <f ca="1">IF($AN77="",OFFSET(Demand!$A$13,ROW(A74)-1,4+((QUOTIENT(COLUMN(BQ$2)-69,3))*5)+MOD(COLUMN(BQ$2),3),1,1),"")</f>
        <v>0</v>
      </c>
      <c r="BR77">
        <f ca="1">IF($AN77="",OFFSET(Demand!$A$13,ROW(B74)-1,4+((QUOTIENT(COLUMN(BR$2)-69,3))*5)+MOD(COLUMN(BR$2),3),1,1),"")</f>
        <v>1</v>
      </c>
      <c r="BS77">
        <f ca="1">IF($AN77="",OFFSET(Demand!$A$13,ROW(C74)-1,4+((QUOTIENT(COLUMN(BS$2)-69,3))*5)+MOD(COLUMN(BS$2),3),1,1),"")</f>
        <v>4</v>
      </c>
      <c r="BT77">
        <f ca="1">IF($AN77="",OFFSET(Demand!$A$13,ROW(D74)-1,4+((QUOTIENT(COLUMN(BT$2)-69,3))*5)+MOD(COLUMN(BT$2),3),1,1),"")</f>
        <v>0</v>
      </c>
      <c r="BU77">
        <f ca="1">IF($AN77="",OFFSET(Demand!$A$13,ROW(E74)-1,4+((QUOTIENT(COLUMN(BU$2)-69,3))*5)+MOD(COLUMN(BU$2),3),1,1),"")</f>
        <v>3</v>
      </c>
      <c r="BV77">
        <f ca="1">IF($AN77="",OFFSET(Demand!$A$13,ROW(F74)-1,4+((QUOTIENT(COLUMN(BV$2)-69,3))*5)+MOD(COLUMN(BV$2),3),1,1),"")</f>
        <v>8</v>
      </c>
      <c r="BW77">
        <f ca="1">IF($AN77="",OFFSET(Demand!$A$13,ROW(G74)-1,4+((QUOTIENT(COLUMN(BW$2)-69,3))*5)+MOD(COLUMN(BW$2),3),1,1),"")</f>
        <v>0</v>
      </c>
      <c r="BX77">
        <f ca="1">IF($AN77="",OFFSET(Demand!$A$13,ROW(H74)-1,4+((QUOTIENT(COLUMN(BX$2)-69,3))*5)+MOD(COLUMN(BX$2),3),1,1),"")</f>
        <v>0</v>
      </c>
      <c r="BY77">
        <f ca="1">IF($AN77="",OFFSET(Demand!$A$13,ROW(I74)-1,4+((QUOTIENT(COLUMN(BY$2)-69,3))*5)+MOD(COLUMN(BY$2),3),1,1),"")</f>
        <v>0</v>
      </c>
      <c r="BZ77">
        <f ca="1">IF($AN77="",OFFSET(Demand!$A$13,ROW(J74)-1,4+((QUOTIENT(COLUMN(BZ$2)-69,3))*5)+MOD(COLUMN(BZ$2),3),1,1),"")</f>
        <v>0</v>
      </c>
      <c r="CA77">
        <f ca="1">IF($AN77="",OFFSET(Demand!$A$13,ROW(K74)-1,4+((QUOTIENT(COLUMN(CA$2)-69,3))*5)+MOD(COLUMN(CA$2),3),1,1),"")</f>
        <v>0</v>
      </c>
      <c r="CB77">
        <f ca="1">IF($AN77="",OFFSET(Demand!$A$13,ROW(L74)-1,4+((QUOTIENT(COLUMN(CB$2)-69,3))*5)+MOD(COLUMN(CB$2),3),1,1),"")</f>
        <v>0</v>
      </c>
      <c r="CC77">
        <f ca="1">IF($AN77="",OFFSET(Demand!$A$13,ROW(M74)-1,4+((QUOTIENT(COLUMN(CC$2)-69,3))*5)+MOD(COLUMN(CC$2),3),1,1),"")</f>
        <v>0</v>
      </c>
      <c r="CD77">
        <f ca="1">IF($AN77="",OFFSET(Demand!$A$13,ROW(N74)-1,4+((QUOTIENT(COLUMN(CD$2)-69,3))*5)+MOD(COLUMN(CD$2),3),1,1),"")</f>
        <v>0</v>
      </c>
      <c r="CE77">
        <f ca="1">IF($AN77="",OFFSET(Demand!$A$13,ROW(O74)-1,4+((QUOTIENT(COLUMN(CE$2)-69,3))*5)+MOD(COLUMN(CE$2),3),1,1),"")</f>
        <v>0</v>
      </c>
      <c r="CF77">
        <f ca="1">IF($AN77="",OFFSET(Demand!$A$13,ROW(P74)-1,4+((QUOTIENT(COLUMN(CF$2)-69,3))*5)+MOD(COLUMN(CF$2),3),1,1),"")</f>
        <v>0</v>
      </c>
      <c r="CG77">
        <f ca="1">IF($AN77="",OFFSET(Demand!$A$13,ROW(Q74)-1,4+((QUOTIENT(COLUMN(CG$2)-69,3))*5)+MOD(COLUMN(CG$2),3),1,1),"")</f>
        <v>0</v>
      </c>
      <c r="CH77">
        <f ca="1">IF($AN77="",OFFSET(Demand!$A$13,ROW(R74)-1,4+((QUOTIENT(COLUMN(CH$2)-69,3))*5)+MOD(COLUMN(CH$2),3),1,1),"")</f>
        <v>0</v>
      </c>
      <c r="CI77">
        <f ca="1">IF($AN77="",OFFSET(Demand!$A$13,ROW(S74)-1,4+((QUOTIENT(COLUMN(CI$2)-69,3))*5)+MOD(COLUMN(CI$2),3),1,1),"")</f>
        <v>0</v>
      </c>
      <c r="CJ77">
        <f ca="1">IF($AN77="",OFFSET(Demand!$A$13,ROW(T74)-1,4+((QUOTIENT(COLUMN(CJ$2)-69,3))*5)+MOD(COLUMN(CJ$2),3),1,1),"")</f>
        <v>0</v>
      </c>
      <c r="CK77">
        <f ca="1">IF($AN77="",OFFSET(Demand!$A$13,ROW(U74)-1,4+((QUOTIENT(COLUMN(CK$2)-69,3))*5)+MOD(COLUMN(CK$2),3),1,1),"")</f>
        <v>0</v>
      </c>
      <c r="CL77">
        <f ca="1">IF($AN77="",OFFSET(Demand!$A$13,ROW(V74)-1,4+((QUOTIENT(COLUMN(CL$2)-69,3))*5)+MOD(COLUMN(CL$2),3),1,1),"")</f>
        <v>0</v>
      </c>
      <c r="CM77">
        <f ca="1">IF($AN77="",OFFSET(Demand!$A$13,ROW(W74)-1,4+((QUOTIENT(COLUMN(CM$2)-69,3))*5)+MOD(COLUMN(CM$2),3),1,1),"")</f>
        <v>0</v>
      </c>
      <c r="CN77">
        <f ca="1">IF($AN77="",OFFSET(Demand!$A$13,ROW(X74)-1,4+((QUOTIENT(COLUMN(CN$2)-69,3))*5)+MOD(COLUMN(CN$2),3),1,1),"")</f>
        <v>0</v>
      </c>
      <c r="CO77">
        <f ca="1">IF($AN77="",OFFSET(Demand!$A$13,ROW(Y74)-1,4+((QUOTIENT(COLUMN(CO$2)-69,3))*5)+MOD(COLUMN(CO$2),3),1,1),"")</f>
        <v>0</v>
      </c>
      <c r="CP77">
        <f ca="1">IF($AN77="",OFFSET(Demand!$A$13,ROW(Z74)-1,4+((QUOTIENT(COLUMN(CP$2)-69,3))*5)+MOD(COLUMN(CP$2),3),1,1),"")</f>
        <v>0</v>
      </c>
      <c r="CQ77">
        <f ca="1">IF($AN77="",OFFSET(Demand!$A$13,ROW(AA74)-1,4+((QUOTIENT(COLUMN(CQ$2)-69,3))*5)+MOD(COLUMN(CQ$2),3),1,1),"")</f>
        <v>0</v>
      </c>
      <c r="CR77">
        <f ca="1">IF($AN77="",OFFSET(Demand!$A$13,ROW(AB74)-1,4+((QUOTIENT(COLUMN(CR$2)-69,3))*5)+MOD(COLUMN(CR$2),3),1,1),"")</f>
        <v>0</v>
      </c>
      <c r="CS77">
        <f ca="1">IF($AN77="",OFFSET(Demand!$A$13,ROW(AC74)-1,4+((QUOTIENT(COLUMN(CS$2)-69,3))*5)+MOD(COLUMN(CS$2),3),1,1),"")</f>
        <v>0</v>
      </c>
      <c r="CT77">
        <f ca="1">IF($AN77="",OFFSET(Demand!$A$13,ROW(AD74)-1,4+((QUOTIENT(COLUMN(CT$2)-69,3))*5)+MOD(COLUMN(CT$2),3),1,1),"")</f>
        <v>0</v>
      </c>
      <c r="CW77" s="5">
        <f ca="1">SUM(OFFSET(Demand!$H$43,ROW(A74)-1,(COLUMN(A74)-1)*5,1,1))*N$2</f>
        <v>0</v>
      </c>
      <c r="CX77" s="5">
        <f ca="1">SUM(OFFSET(Demand!$H$43,ROW(B74)-1,(COLUMN(B74)-1)*5,1,1))*O$2</f>
        <v>0</v>
      </c>
      <c r="CY77" s="5">
        <f ca="1">SUM(OFFSET(Demand!$H$43,ROW(C74)-1,(COLUMN(C74)-1)*5,1,1))*P$2</f>
        <v>0</v>
      </c>
      <c r="CZ77" s="5">
        <f ca="1">SUM(OFFSET(Demand!$H$43,ROW(D74)-1,(COLUMN(D74)-1)*5,1,1))*Q$2</f>
        <v>0</v>
      </c>
      <c r="DA77" s="5">
        <f ca="1">SUM(OFFSET(Demand!$H$43,ROW(E74)-1,(COLUMN(E74)-1)*5,1,1))*R$2</f>
        <v>0</v>
      </c>
      <c r="DB77" s="5">
        <f ca="1">SUM(OFFSET(Demand!$H$43,ROW(F74)-1,(COLUMN(F74)-1)*5,1,1))*S$2</f>
        <v>0</v>
      </c>
      <c r="DC77" s="5">
        <f ca="1">SUM(OFFSET(Demand!$H$43,ROW(G74)-1,(COLUMN(G74)-1)*5,1,1))*T$2</f>
        <v>0</v>
      </c>
      <c r="DD77" s="5">
        <f ca="1">SUM(OFFSET(Demand!$H$43,ROW(H74)-1,(COLUMN(H74)-1)*5,1,1))*U$2</f>
        <v>0</v>
      </c>
      <c r="DE77" s="5">
        <f ca="1">SUM(OFFSET(Demand!$H$43,ROW(I74)-1,(COLUMN(I74)-1)*5,1,1))*V$2</f>
        <v>0</v>
      </c>
      <c r="DF77" s="5">
        <f ca="1">SUM(OFFSET(Demand!$H$43,ROW(J74)-1,(COLUMN(J74)-1)*5,1,1))*W$2</f>
        <v>0</v>
      </c>
      <c r="DG77" s="5">
        <f t="shared" ca="1" si="36"/>
        <v>0</v>
      </c>
    </row>
    <row r="78" spans="1:111" x14ac:dyDescent="0.2">
      <c r="A78" s="5">
        <f t="shared" ca="1" si="30"/>
        <v>0</v>
      </c>
      <c r="B78" s="5">
        <f ca="1">COUNTBLANK(OFFSET(Demand!$I87,0,(COLUMN(A75)-1)*5,1,1))</f>
        <v>0</v>
      </c>
      <c r="C78" s="5">
        <f ca="1">COUNTBLANK(OFFSET(Demand!$I87,0,(COLUMN(B75)-1)*5,1,1))</f>
        <v>0</v>
      </c>
      <c r="D78" s="5">
        <f ca="1">COUNTBLANK(OFFSET(Demand!$I87,0,(COLUMN(C75)-1)*5,1,1))</f>
        <v>1</v>
      </c>
      <c r="E78" s="5">
        <f ca="1">COUNTBLANK(OFFSET(Demand!$I87,0,(COLUMN(D75)-1)*5,1,1))</f>
        <v>1</v>
      </c>
      <c r="F78" s="5">
        <f ca="1">COUNTBLANK(OFFSET(Demand!$I87,0,(COLUMN(E75)-1)*5,1,1))</f>
        <v>1</v>
      </c>
      <c r="G78" s="5">
        <f ca="1">COUNTBLANK(OFFSET(Demand!$I87,0,(COLUMN(F75)-1)*5,1,1))</f>
        <v>1</v>
      </c>
      <c r="H78" s="5">
        <f ca="1">COUNTBLANK(OFFSET(Demand!$I87,0,(COLUMN(G75)-1)*5,1,1))</f>
        <v>1</v>
      </c>
      <c r="I78" s="5">
        <f ca="1">COUNTBLANK(OFFSET(Demand!$I87,0,(COLUMN(H75)-1)*5,1,1))</f>
        <v>1</v>
      </c>
      <c r="J78" s="5">
        <f ca="1">COUNTBLANK(OFFSET(Demand!$I87,0,(COLUMN(I75)-1)*5,1,1))</f>
        <v>1</v>
      </c>
      <c r="K78" s="5">
        <f ca="1">COUNTBLANK(OFFSET(Demand!$I87,0,(COLUMN(J75)-1)*5,1,1))</f>
        <v>1</v>
      </c>
      <c r="N78" s="5">
        <f ca="1">SUM(OFFSET(Demand!$E87,0,(COLUMN(A75)-1)*5,1,3))*N$2</f>
        <v>210</v>
      </c>
      <c r="O78" s="5">
        <f ca="1">SUM(OFFSET(Demand!$E87,0,(COLUMN(B75)-1)*5,1,3))*O$2</f>
        <v>520</v>
      </c>
      <c r="P78" s="5">
        <f ca="1">SUM(OFFSET(Demand!$E87,0,(COLUMN(C75)-1)*5,1,3))*P$2</f>
        <v>0</v>
      </c>
      <c r="Q78" s="5">
        <f ca="1">SUM(OFFSET(Demand!$E87,0,(COLUMN(D75)-1)*5,1,3))*Q$2</f>
        <v>0</v>
      </c>
      <c r="R78" s="5">
        <f ca="1">SUM(OFFSET(Demand!$E87,0,(COLUMN(E75)-1)*5,1,3))*R$2</f>
        <v>0</v>
      </c>
      <c r="S78" s="5">
        <f ca="1">SUM(OFFSET(Demand!$E87,0,(COLUMN(F75)-1)*5,1,3))*S$2</f>
        <v>0</v>
      </c>
      <c r="T78" s="5">
        <f ca="1">SUM(OFFSET(Demand!$E87,0,(COLUMN(G75)-1)*5,1,3))*T$2</f>
        <v>0</v>
      </c>
      <c r="U78" s="5">
        <f ca="1">SUM(OFFSET(Demand!$E87,0,(COLUMN(H75)-1)*5,1,3))*U$2</f>
        <v>0</v>
      </c>
      <c r="V78" s="5">
        <f ca="1">SUM(OFFSET(Demand!$E87,0,(COLUMN(I75)-1)*5,1,3))*V$2</f>
        <v>0</v>
      </c>
      <c r="W78" s="5">
        <f ca="1">SUM(OFFSET(Demand!$E87,0,(COLUMN(J75)-1)*5,1,3))*W$2</f>
        <v>0</v>
      </c>
      <c r="X78" s="5">
        <f t="shared" ca="1" si="31"/>
        <v>730</v>
      </c>
      <c r="Y78">
        <f t="shared" ca="1" si="32"/>
        <v>730</v>
      </c>
      <c r="Z78" s="5">
        <f ca="1">SUM(OFFSET(Demand!$H87,0,(COLUMN(A75)-1)*5,1,1))*N$2</f>
        <v>0</v>
      </c>
      <c r="AA78" s="5">
        <f ca="1">SUM(OFFSET(Demand!$H87,0,(COLUMN(B75)-1)*5,1,1))*O$2</f>
        <v>0</v>
      </c>
      <c r="AB78" s="5">
        <f ca="1">SUM(OFFSET(Demand!$H87,0,(COLUMN(C75)-1)*5,1,1))*P$2</f>
        <v>0</v>
      </c>
      <c r="AC78" s="5">
        <f ca="1">SUM(OFFSET(Demand!$H87,0,(COLUMN(D75)-1)*5,1,1))*Q$2</f>
        <v>0</v>
      </c>
      <c r="AD78" s="5">
        <f ca="1">SUM(OFFSET(Demand!$H87,0,(COLUMN(E75)-1)*5,1,1))*R$2</f>
        <v>0</v>
      </c>
      <c r="AE78" s="5">
        <f ca="1">SUM(OFFSET(Demand!$H87,0,(COLUMN(F75)-1)*5,1,1))*S$2</f>
        <v>0</v>
      </c>
      <c r="AF78" s="5">
        <f ca="1">SUM(OFFSET(Demand!$H87,0,(COLUMN(G75)-1)*5,1,1))*T$2</f>
        <v>0</v>
      </c>
      <c r="AG78" s="5">
        <f ca="1">SUM(OFFSET(Demand!$H87,0,(COLUMN(H75)-1)*5,1,1))*U$2</f>
        <v>0</v>
      </c>
      <c r="AH78" s="5">
        <f ca="1">SUM(OFFSET(Demand!$H87,0,(COLUMN(I75)-1)*5,1,1))*V$2</f>
        <v>0</v>
      </c>
      <c r="AI78" s="5">
        <f ca="1">SUM(OFFSET(Demand!$H87,0,(COLUMN(J75)-1)*5,1,1))*W$2</f>
        <v>0</v>
      </c>
      <c r="AJ78" s="5">
        <f t="shared" ca="1" si="33"/>
        <v>0</v>
      </c>
      <c r="AL78" s="5">
        <f t="shared" ca="1" si="34"/>
        <v>730</v>
      </c>
      <c r="AM78" s="5">
        <f t="shared" ca="1" si="35"/>
        <v>0</v>
      </c>
      <c r="AN78" s="5" t="str">
        <f>IF(Demand!BE87="Yes","Yes","")</f>
        <v/>
      </c>
      <c r="AP78" s="37" t="str">
        <f ca="1">Demand!B87</f>
        <v xml:space="preserve"> </v>
      </c>
      <c r="AQ78" t="str">
        <f ca="1">IF(TEXT(Demand!D87,"MMM")&lt;&gt;TEXT(Demand!D86,"MMM"),TEXT(Demand!D87,"MMM"),"")</f>
        <v>Sep</v>
      </c>
      <c r="AT78" s="5">
        <f t="shared" ca="1" si="37"/>
        <v>140</v>
      </c>
      <c r="BQ78">
        <f ca="1">IF($AN78="",OFFSET(Demand!$A$13,ROW(A75)-1,4+((QUOTIENT(COLUMN(BQ$2)-69,3))*5)+MOD(COLUMN(BQ$2),3),1,1),"")</f>
        <v>0</v>
      </c>
      <c r="BR78">
        <f ca="1">IF($AN78="",OFFSET(Demand!$A$13,ROW(B75)-1,4+((QUOTIENT(COLUMN(BR$2)-69,3))*5)+MOD(COLUMN(BR$2),3),1,1),"")</f>
        <v>3</v>
      </c>
      <c r="BS78">
        <f ca="1">IF($AN78="",OFFSET(Demand!$A$13,ROW(C75)-1,4+((QUOTIENT(COLUMN(BS$2)-69,3))*5)+MOD(COLUMN(BS$2),3),1,1),"")</f>
        <v>4</v>
      </c>
      <c r="BT78">
        <f ca="1">IF($AN78="",OFFSET(Demand!$A$13,ROW(D75)-1,4+((QUOTIENT(COLUMN(BT$2)-69,3))*5)+MOD(COLUMN(BT$2),3),1,1),"")</f>
        <v>0</v>
      </c>
      <c r="BU78">
        <f ca="1">IF($AN78="",OFFSET(Demand!$A$13,ROW(E75)-1,4+((QUOTIENT(COLUMN(BU$2)-69,3))*5)+MOD(COLUMN(BU$2),3),1,1),"")</f>
        <v>2</v>
      </c>
      <c r="BV78">
        <f ca="1">IF($AN78="",OFFSET(Demand!$A$13,ROW(F75)-1,4+((QUOTIENT(COLUMN(BV$2)-69,3))*5)+MOD(COLUMN(BV$2),3),1,1),"")</f>
        <v>11</v>
      </c>
      <c r="BW78">
        <f ca="1">IF($AN78="",OFFSET(Demand!$A$13,ROW(G75)-1,4+((QUOTIENT(COLUMN(BW$2)-69,3))*5)+MOD(COLUMN(BW$2),3),1,1),"")</f>
        <v>0</v>
      </c>
      <c r="BX78">
        <f ca="1">IF($AN78="",OFFSET(Demand!$A$13,ROW(H75)-1,4+((QUOTIENT(COLUMN(BX$2)-69,3))*5)+MOD(COLUMN(BX$2),3),1,1),"")</f>
        <v>0</v>
      </c>
      <c r="BY78">
        <f ca="1">IF($AN78="",OFFSET(Demand!$A$13,ROW(I75)-1,4+((QUOTIENT(COLUMN(BY$2)-69,3))*5)+MOD(COLUMN(BY$2),3),1,1),"")</f>
        <v>0</v>
      </c>
      <c r="BZ78">
        <f ca="1">IF($AN78="",OFFSET(Demand!$A$13,ROW(J75)-1,4+((QUOTIENT(COLUMN(BZ$2)-69,3))*5)+MOD(COLUMN(BZ$2),3),1,1),"")</f>
        <v>0</v>
      </c>
      <c r="CA78">
        <f ca="1">IF($AN78="",OFFSET(Demand!$A$13,ROW(K75)-1,4+((QUOTIENT(COLUMN(CA$2)-69,3))*5)+MOD(COLUMN(CA$2),3),1,1),"")</f>
        <v>0</v>
      </c>
      <c r="CB78">
        <f ca="1">IF($AN78="",OFFSET(Demand!$A$13,ROW(L75)-1,4+((QUOTIENT(COLUMN(CB$2)-69,3))*5)+MOD(COLUMN(CB$2),3),1,1),"")</f>
        <v>0</v>
      </c>
      <c r="CC78">
        <f ca="1">IF($AN78="",OFFSET(Demand!$A$13,ROW(M75)-1,4+((QUOTIENT(COLUMN(CC$2)-69,3))*5)+MOD(COLUMN(CC$2),3),1,1),"")</f>
        <v>0</v>
      </c>
      <c r="CD78">
        <f ca="1">IF($AN78="",OFFSET(Demand!$A$13,ROW(N75)-1,4+((QUOTIENT(COLUMN(CD$2)-69,3))*5)+MOD(COLUMN(CD$2),3),1,1),"")</f>
        <v>0</v>
      </c>
      <c r="CE78">
        <f ca="1">IF($AN78="",OFFSET(Demand!$A$13,ROW(O75)-1,4+((QUOTIENT(COLUMN(CE$2)-69,3))*5)+MOD(COLUMN(CE$2),3),1,1),"")</f>
        <v>0</v>
      </c>
      <c r="CF78">
        <f ca="1">IF($AN78="",OFFSET(Demand!$A$13,ROW(P75)-1,4+((QUOTIENT(COLUMN(CF$2)-69,3))*5)+MOD(COLUMN(CF$2),3),1,1),"")</f>
        <v>0</v>
      </c>
      <c r="CG78">
        <f ca="1">IF($AN78="",OFFSET(Demand!$A$13,ROW(Q75)-1,4+((QUOTIENT(COLUMN(CG$2)-69,3))*5)+MOD(COLUMN(CG$2),3),1,1),"")</f>
        <v>0</v>
      </c>
      <c r="CH78">
        <f ca="1">IF($AN78="",OFFSET(Demand!$A$13,ROW(R75)-1,4+((QUOTIENT(COLUMN(CH$2)-69,3))*5)+MOD(COLUMN(CH$2),3),1,1),"")</f>
        <v>0</v>
      </c>
      <c r="CI78">
        <f ca="1">IF($AN78="",OFFSET(Demand!$A$13,ROW(S75)-1,4+((QUOTIENT(COLUMN(CI$2)-69,3))*5)+MOD(COLUMN(CI$2),3),1,1),"")</f>
        <v>0</v>
      </c>
      <c r="CJ78">
        <f ca="1">IF($AN78="",OFFSET(Demand!$A$13,ROW(T75)-1,4+((QUOTIENT(COLUMN(CJ$2)-69,3))*5)+MOD(COLUMN(CJ$2),3),1,1),"")</f>
        <v>0</v>
      </c>
      <c r="CK78">
        <f ca="1">IF($AN78="",OFFSET(Demand!$A$13,ROW(U75)-1,4+((QUOTIENT(COLUMN(CK$2)-69,3))*5)+MOD(COLUMN(CK$2),3),1,1),"")</f>
        <v>0</v>
      </c>
      <c r="CL78">
        <f ca="1">IF($AN78="",OFFSET(Demand!$A$13,ROW(V75)-1,4+((QUOTIENT(COLUMN(CL$2)-69,3))*5)+MOD(COLUMN(CL$2),3),1,1),"")</f>
        <v>0</v>
      </c>
      <c r="CM78">
        <f ca="1">IF($AN78="",OFFSET(Demand!$A$13,ROW(W75)-1,4+((QUOTIENT(COLUMN(CM$2)-69,3))*5)+MOD(COLUMN(CM$2),3),1,1),"")</f>
        <v>0</v>
      </c>
      <c r="CN78">
        <f ca="1">IF($AN78="",OFFSET(Demand!$A$13,ROW(X75)-1,4+((QUOTIENT(COLUMN(CN$2)-69,3))*5)+MOD(COLUMN(CN$2),3),1,1),"")</f>
        <v>0</v>
      </c>
      <c r="CO78">
        <f ca="1">IF($AN78="",OFFSET(Demand!$A$13,ROW(Y75)-1,4+((QUOTIENT(COLUMN(CO$2)-69,3))*5)+MOD(COLUMN(CO$2),3),1,1),"")</f>
        <v>0</v>
      </c>
      <c r="CP78">
        <f ca="1">IF($AN78="",OFFSET(Demand!$A$13,ROW(Z75)-1,4+((QUOTIENT(COLUMN(CP$2)-69,3))*5)+MOD(COLUMN(CP$2),3),1,1),"")</f>
        <v>0</v>
      </c>
      <c r="CQ78">
        <f ca="1">IF($AN78="",OFFSET(Demand!$A$13,ROW(AA75)-1,4+((QUOTIENT(COLUMN(CQ$2)-69,3))*5)+MOD(COLUMN(CQ$2),3),1,1),"")</f>
        <v>0</v>
      </c>
      <c r="CR78">
        <f ca="1">IF($AN78="",OFFSET(Demand!$A$13,ROW(AB75)-1,4+((QUOTIENT(COLUMN(CR$2)-69,3))*5)+MOD(COLUMN(CR$2),3),1,1),"")</f>
        <v>0</v>
      </c>
      <c r="CS78">
        <f ca="1">IF($AN78="",OFFSET(Demand!$A$13,ROW(AC75)-1,4+((QUOTIENT(COLUMN(CS$2)-69,3))*5)+MOD(COLUMN(CS$2),3),1,1),"")</f>
        <v>0</v>
      </c>
      <c r="CT78">
        <f ca="1">IF($AN78="",OFFSET(Demand!$A$13,ROW(AD75)-1,4+((QUOTIENT(COLUMN(CT$2)-69,3))*5)+MOD(COLUMN(CT$2),3),1,1),"")</f>
        <v>0</v>
      </c>
      <c r="CW78" s="5">
        <f ca="1">SUM(OFFSET(Demand!$H$43,ROW(A75)-1,(COLUMN(A75)-1)*5,1,1))*N$2</f>
        <v>0</v>
      </c>
      <c r="CX78" s="5">
        <f ca="1">SUM(OFFSET(Demand!$H$43,ROW(B75)-1,(COLUMN(B75)-1)*5,1,1))*O$2</f>
        <v>0</v>
      </c>
      <c r="CY78" s="5">
        <f ca="1">SUM(OFFSET(Demand!$H$43,ROW(C75)-1,(COLUMN(C75)-1)*5,1,1))*P$2</f>
        <v>0</v>
      </c>
      <c r="CZ78" s="5">
        <f ca="1">SUM(OFFSET(Demand!$H$43,ROW(D75)-1,(COLUMN(D75)-1)*5,1,1))*Q$2</f>
        <v>0</v>
      </c>
      <c r="DA78" s="5">
        <f ca="1">SUM(OFFSET(Demand!$H$43,ROW(E75)-1,(COLUMN(E75)-1)*5,1,1))*R$2</f>
        <v>0</v>
      </c>
      <c r="DB78" s="5">
        <f ca="1">SUM(OFFSET(Demand!$H$43,ROW(F75)-1,(COLUMN(F75)-1)*5,1,1))*S$2</f>
        <v>0</v>
      </c>
      <c r="DC78" s="5">
        <f ca="1">SUM(OFFSET(Demand!$H$43,ROW(G75)-1,(COLUMN(G75)-1)*5,1,1))*T$2</f>
        <v>0</v>
      </c>
      <c r="DD78" s="5">
        <f ca="1">SUM(OFFSET(Demand!$H$43,ROW(H75)-1,(COLUMN(H75)-1)*5,1,1))*U$2</f>
        <v>0</v>
      </c>
      <c r="DE78" s="5">
        <f ca="1">SUM(OFFSET(Demand!$H$43,ROW(I75)-1,(COLUMN(I75)-1)*5,1,1))*V$2</f>
        <v>0</v>
      </c>
      <c r="DF78" s="5">
        <f ca="1">SUM(OFFSET(Demand!$H$43,ROW(J75)-1,(COLUMN(J75)-1)*5,1,1))*W$2</f>
        <v>0</v>
      </c>
      <c r="DG78" s="5">
        <f t="shared" ca="1" si="36"/>
        <v>0</v>
      </c>
    </row>
    <row r="79" spans="1:111" x14ac:dyDescent="0.2">
      <c r="A79" s="5">
        <f t="shared" ca="1" si="30"/>
        <v>0</v>
      </c>
      <c r="B79" s="5">
        <f ca="1">COUNTBLANK(OFFSET(Demand!$I88,0,(COLUMN(A76)-1)*5,1,1))</f>
        <v>0</v>
      </c>
      <c r="C79" s="5">
        <f ca="1">COUNTBLANK(OFFSET(Demand!$I88,0,(COLUMN(B76)-1)*5,1,1))</f>
        <v>0</v>
      </c>
      <c r="D79" s="5">
        <f ca="1">COUNTBLANK(OFFSET(Demand!$I88,0,(COLUMN(C76)-1)*5,1,1))</f>
        <v>1</v>
      </c>
      <c r="E79" s="5">
        <f ca="1">COUNTBLANK(OFFSET(Demand!$I88,0,(COLUMN(D76)-1)*5,1,1))</f>
        <v>1</v>
      </c>
      <c r="F79" s="5">
        <f ca="1">COUNTBLANK(OFFSET(Demand!$I88,0,(COLUMN(E76)-1)*5,1,1))</f>
        <v>1</v>
      </c>
      <c r="G79" s="5">
        <f ca="1">COUNTBLANK(OFFSET(Demand!$I88,0,(COLUMN(F76)-1)*5,1,1))</f>
        <v>1</v>
      </c>
      <c r="H79" s="5">
        <f ca="1">COUNTBLANK(OFFSET(Demand!$I88,0,(COLUMN(G76)-1)*5,1,1))</f>
        <v>1</v>
      </c>
      <c r="I79" s="5">
        <f ca="1">COUNTBLANK(OFFSET(Demand!$I88,0,(COLUMN(H76)-1)*5,1,1))</f>
        <v>1</v>
      </c>
      <c r="J79" s="5">
        <f ca="1">COUNTBLANK(OFFSET(Demand!$I88,0,(COLUMN(I76)-1)*5,1,1))</f>
        <v>1</v>
      </c>
      <c r="K79" s="5">
        <f ca="1">COUNTBLANK(OFFSET(Demand!$I88,0,(COLUMN(J76)-1)*5,1,1))</f>
        <v>1</v>
      </c>
      <c r="N79" s="5">
        <f ca="1">SUM(OFFSET(Demand!$E88,0,(COLUMN(A76)-1)*5,1,3))*N$2</f>
        <v>180</v>
      </c>
      <c r="O79" s="5">
        <f ca="1">SUM(OFFSET(Demand!$E88,0,(COLUMN(B76)-1)*5,1,3))*O$2</f>
        <v>320</v>
      </c>
      <c r="P79" s="5">
        <f ca="1">SUM(OFFSET(Demand!$E88,0,(COLUMN(C76)-1)*5,1,3))*P$2</f>
        <v>0</v>
      </c>
      <c r="Q79" s="5">
        <f ca="1">SUM(OFFSET(Demand!$E88,0,(COLUMN(D76)-1)*5,1,3))*Q$2</f>
        <v>0</v>
      </c>
      <c r="R79" s="5">
        <f ca="1">SUM(OFFSET(Demand!$E88,0,(COLUMN(E76)-1)*5,1,3))*R$2</f>
        <v>0</v>
      </c>
      <c r="S79" s="5">
        <f ca="1">SUM(OFFSET(Demand!$E88,0,(COLUMN(F76)-1)*5,1,3))*S$2</f>
        <v>0</v>
      </c>
      <c r="T79" s="5">
        <f ca="1">SUM(OFFSET(Demand!$E88,0,(COLUMN(G76)-1)*5,1,3))*T$2</f>
        <v>0</v>
      </c>
      <c r="U79" s="5">
        <f ca="1">SUM(OFFSET(Demand!$E88,0,(COLUMN(H76)-1)*5,1,3))*U$2</f>
        <v>0</v>
      </c>
      <c r="V79" s="5">
        <f ca="1">SUM(OFFSET(Demand!$E88,0,(COLUMN(I76)-1)*5,1,3))*V$2</f>
        <v>0</v>
      </c>
      <c r="W79" s="5">
        <f ca="1">SUM(OFFSET(Demand!$E88,0,(COLUMN(J76)-1)*5,1,3))*W$2</f>
        <v>0</v>
      </c>
      <c r="X79" s="5">
        <f t="shared" ca="1" si="31"/>
        <v>500</v>
      </c>
      <c r="Y79">
        <f t="shared" ca="1" si="32"/>
        <v>500</v>
      </c>
      <c r="Z79" s="5">
        <f ca="1">SUM(OFFSET(Demand!$H88,0,(COLUMN(A76)-1)*5,1,1))*N$2</f>
        <v>0</v>
      </c>
      <c r="AA79" s="5">
        <f ca="1">SUM(OFFSET(Demand!$H88,0,(COLUMN(B76)-1)*5,1,1))*O$2</f>
        <v>0</v>
      </c>
      <c r="AB79" s="5">
        <f ca="1">SUM(OFFSET(Demand!$H88,0,(COLUMN(C76)-1)*5,1,1))*P$2</f>
        <v>0</v>
      </c>
      <c r="AC79" s="5">
        <f ca="1">SUM(OFFSET(Demand!$H88,0,(COLUMN(D76)-1)*5,1,1))*Q$2</f>
        <v>0</v>
      </c>
      <c r="AD79" s="5">
        <f ca="1">SUM(OFFSET(Demand!$H88,0,(COLUMN(E76)-1)*5,1,1))*R$2</f>
        <v>0</v>
      </c>
      <c r="AE79" s="5">
        <f ca="1">SUM(OFFSET(Demand!$H88,0,(COLUMN(F76)-1)*5,1,1))*S$2</f>
        <v>0</v>
      </c>
      <c r="AF79" s="5">
        <f ca="1">SUM(OFFSET(Demand!$H88,0,(COLUMN(G76)-1)*5,1,1))*T$2</f>
        <v>0</v>
      </c>
      <c r="AG79" s="5">
        <f ca="1">SUM(OFFSET(Demand!$H88,0,(COLUMN(H76)-1)*5,1,1))*U$2</f>
        <v>0</v>
      </c>
      <c r="AH79" s="5">
        <f ca="1">SUM(OFFSET(Demand!$H88,0,(COLUMN(I76)-1)*5,1,1))*V$2</f>
        <v>0</v>
      </c>
      <c r="AI79" s="5">
        <f ca="1">SUM(OFFSET(Demand!$H88,0,(COLUMN(J76)-1)*5,1,1))*W$2</f>
        <v>0</v>
      </c>
      <c r="AJ79" s="5">
        <f t="shared" ca="1" si="33"/>
        <v>0</v>
      </c>
      <c r="AL79" s="5">
        <f t="shared" ca="1" si="34"/>
        <v>500</v>
      </c>
      <c r="AM79" s="5">
        <f t="shared" ca="1" si="35"/>
        <v>0</v>
      </c>
      <c r="AN79" s="5" t="str">
        <f>IF(Demand!BE88="Yes","Yes","")</f>
        <v/>
      </c>
      <c r="AP79" s="37" t="str">
        <f ca="1">Demand!B88</f>
        <v xml:space="preserve"> </v>
      </c>
      <c r="AQ79" t="str">
        <f ca="1">IF(TEXT(Demand!D88,"MMM")&lt;&gt;TEXT(Demand!D87,"MMM"),TEXT(Demand!D88,"MMM"),"")</f>
        <v/>
      </c>
      <c r="AT79" s="5">
        <f t="shared" ca="1" si="37"/>
        <v>230</v>
      </c>
      <c r="BQ79">
        <f ca="1">IF($AN79="",OFFSET(Demand!$A$13,ROW(A76)-1,4+((QUOTIENT(COLUMN(BQ$2)-69,3))*5)+MOD(COLUMN(BQ$2),3),1,1),"")</f>
        <v>0</v>
      </c>
      <c r="BR79">
        <f ca="1">IF($AN79="",OFFSET(Demand!$A$13,ROW(B76)-1,4+((QUOTIENT(COLUMN(BR$2)-69,3))*5)+MOD(COLUMN(BR$2),3),1,1),"")</f>
        <v>2</v>
      </c>
      <c r="BS79">
        <f ca="1">IF($AN79="",OFFSET(Demand!$A$13,ROW(C76)-1,4+((QUOTIENT(COLUMN(BS$2)-69,3))*5)+MOD(COLUMN(BS$2),3),1,1),"")</f>
        <v>4</v>
      </c>
      <c r="BT79">
        <f ca="1">IF($AN79="",OFFSET(Demand!$A$13,ROW(D76)-1,4+((QUOTIENT(COLUMN(BT$2)-69,3))*5)+MOD(COLUMN(BT$2),3),1,1),"")</f>
        <v>0</v>
      </c>
      <c r="BU79">
        <f ca="1">IF($AN79="",OFFSET(Demand!$A$13,ROW(E76)-1,4+((QUOTIENT(COLUMN(BU$2)-69,3))*5)+MOD(COLUMN(BU$2),3),1,1),"")</f>
        <v>2</v>
      </c>
      <c r="BV79">
        <f ca="1">IF($AN79="",OFFSET(Demand!$A$13,ROW(F76)-1,4+((QUOTIENT(COLUMN(BV$2)-69,3))*5)+MOD(COLUMN(BV$2),3),1,1),"")</f>
        <v>6</v>
      </c>
      <c r="BW79">
        <f ca="1">IF($AN79="",OFFSET(Demand!$A$13,ROW(G76)-1,4+((QUOTIENT(COLUMN(BW$2)-69,3))*5)+MOD(COLUMN(BW$2),3),1,1),"")</f>
        <v>0</v>
      </c>
      <c r="BX79">
        <f ca="1">IF($AN79="",OFFSET(Demand!$A$13,ROW(H76)-1,4+((QUOTIENT(COLUMN(BX$2)-69,3))*5)+MOD(COLUMN(BX$2),3),1,1),"")</f>
        <v>0</v>
      </c>
      <c r="BY79">
        <f ca="1">IF($AN79="",OFFSET(Demand!$A$13,ROW(I76)-1,4+((QUOTIENT(COLUMN(BY$2)-69,3))*5)+MOD(COLUMN(BY$2),3),1,1),"")</f>
        <v>0</v>
      </c>
      <c r="BZ79">
        <f ca="1">IF($AN79="",OFFSET(Demand!$A$13,ROW(J76)-1,4+((QUOTIENT(COLUMN(BZ$2)-69,3))*5)+MOD(COLUMN(BZ$2),3),1,1),"")</f>
        <v>0</v>
      </c>
      <c r="CA79">
        <f ca="1">IF($AN79="",OFFSET(Demand!$A$13,ROW(K76)-1,4+((QUOTIENT(COLUMN(CA$2)-69,3))*5)+MOD(COLUMN(CA$2),3),1,1),"")</f>
        <v>0</v>
      </c>
      <c r="CB79">
        <f ca="1">IF($AN79="",OFFSET(Demand!$A$13,ROW(L76)-1,4+((QUOTIENT(COLUMN(CB$2)-69,3))*5)+MOD(COLUMN(CB$2),3),1,1),"")</f>
        <v>0</v>
      </c>
      <c r="CC79">
        <f ca="1">IF($AN79="",OFFSET(Demand!$A$13,ROW(M76)-1,4+((QUOTIENT(COLUMN(CC$2)-69,3))*5)+MOD(COLUMN(CC$2),3),1,1),"")</f>
        <v>0</v>
      </c>
      <c r="CD79">
        <f ca="1">IF($AN79="",OFFSET(Demand!$A$13,ROW(N76)-1,4+((QUOTIENT(COLUMN(CD$2)-69,3))*5)+MOD(COLUMN(CD$2),3),1,1),"")</f>
        <v>0</v>
      </c>
      <c r="CE79">
        <f ca="1">IF($AN79="",OFFSET(Demand!$A$13,ROW(O76)-1,4+((QUOTIENT(COLUMN(CE$2)-69,3))*5)+MOD(COLUMN(CE$2),3),1,1),"")</f>
        <v>0</v>
      </c>
      <c r="CF79">
        <f ca="1">IF($AN79="",OFFSET(Demand!$A$13,ROW(P76)-1,4+((QUOTIENT(COLUMN(CF$2)-69,3))*5)+MOD(COLUMN(CF$2),3),1,1),"")</f>
        <v>0</v>
      </c>
      <c r="CG79">
        <f ca="1">IF($AN79="",OFFSET(Demand!$A$13,ROW(Q76)-1,4+((QUOTIENT(COLUMN(CG$2)-69,3))*5)+MOD(COLUMN(CG$2),3),1,1),"")</f>
        <v>0</v>
      </c>
      <c r="CH79">
        <f ca="1">IF($AN79="",OFFSET(Demand!$A$13,ROW(R76)-1,4+((QUOTIENT(COLUMN(CH$2)-69,3))*5)+MOD(COLUMN(CH$2),3),1,1),"")</f>
        <v>0</v>
      </c>
      <c r="CI79">
        <f ca="1">IF($AN79="",OFFSET(Demand!$A$13,ROW(S76)-1,4+((QUOTIENT(COLUMN(CI$2)-69,3))*5)+MOD(COLUMN(CI$2),3),1,1),"")</f>
        <v>0</v>
      </c>
      <c r="CJ79">
        <f ca="1">IF($AN79="",OFFSET(Demand!$A$13,ROW(T76)-1,4+((QUOTIENT(COLUMN(CJ$2)-69,3))*5)+MOD(COLUMN(CJ$2),3),1,1),"")</f>
        <v>0</v>
      </c>
      <c r="CK79">
        <f ca="1">IF($AN79="",OFFSET(Demand!$A$13,ROW(U76)-1,4+((QUOTIENT(COLUMN(CK$2)-69,3))*5)+MOD(COLUMN(CK$2),3),1,1),"")</f>
        <v>0</v>
      </c>
      <c r="CL79">
        <f ca="1">IF($AN79="",OFFSET(Demand!$A$13,ROW(V76)-1,4+((QUOTIENT(COLUMN(CL$2)-69,3))*5)+MOD(COLUMN(CL$2),3),1,1),"")</f>
        <v>0</v>
      </c>
      <c r="CM79">
        <f ca="1">IF($AN79="",OFFSET(Demand!$A$13,ROW(W76)-1,4+((QUOTIENT(COLUMN(CM$2)-69,3))*5)+MOD(COLUMN(CM$2),3),1,1),"")</f>
        <v>0</v>
      </c>
      <c r="CN79">
        <f ca="1">IF($AN79="",OFFSET(Demand!$A$13,ROW(X76)-1,4+((QUOTIENT(COLUMN(CN$2)-69,3))*5)+MOD(COLUMN(CN$2),3),1,1),"")</f>
        <v>0</v>
      </c>
      <c r="CO79">
        <f ca="1">IF($AN79="",OFFSET(Demand!$A$13,ROW(Y76)-1,4+((QUOTIENT(COLUMN(CO$2)-69,3))*5)+MOD(COLUMN(CO$2),3),1,1),"")</f>
        <v>0</v>
      </c>
      <c r="CP79">
        <f ca="1">IF($AN79="",OFFSET(Demand!$A$13,ROW(Z76)-1,4+((QUOTIENT(COLUMN(CP$2)-69,3))*5)+MOD(COLUMN(CP$2),3),1,1),"")</f>
        <v>0</v>
      </c>
      <c r="CQ79">
        <f ca="1">IF($AN79="",OFFSET(Demand!$A$13,ROW(AA76)-1,4+((QUOTIENT(COLUMN(CQ$2)-69,3))*5)+MOD(COLUMN(CQ$2),3),1,1),"")</f>
        <v>0</v>
      </c>
      <c r="CR79">
        <f ca="1">IF($AN79="",OFFSET(Demand!$A$13,ROW(AB76)-1,4+((QUOTIENT(COLUMN(CR$2)-69,3))*5)+MOD(COLUMN(CR$2),3),1,1),"")</f>
        <v>0</v>
      </c>
      <c r="CS79">
        <f ca="1">IF($AN79="",OFFSET(Demand!$A$13,ROW(AC76)-1,4+((QUOTIENT(COLUMN(CS$2)-69,3))*5)+MOD(COLUMN(CS$2),3),1,1),"")</f>
        <v>0</v>
      </c>
      <c r="CT79">
        <f ca="1">IF($AN79="",OFFSET(Demand!$A$13,ROW(AD76)-1,4+((QUOTIENT(COLUMN(CT$2)-69,3))*5)+MOD(COLUMN(CT$2),3),1,1),"")</f>
        <v>0</v>
      </c>
      <c r="CW79" s="5">
        <f ca="1">SUM(OFFSET(Demand!$H$43,ROW(A76)-1,(COLUMN(A76)-1)*5,1,1))*N$2</f>
        <v>0</v>
      </c>
      <c r="CX79" s="5">
        <f ca="1">SUM(OFFSET(Demand!$H$43,ROW(B76)-1,(COLUMN(B76)-1)*5,1,1))*O$2</f>
        <v>0</v>
      </c>
      <c r="CY79" s="5">
        <f ca="1">SUM(OFFSET(Demand!$H$43,ROW(C76)-1,(COLUMN(C76)-1)*5,1,1))*P$2</f>
        <v>0</v>
      </c>
      <c r="CZ79" s="5">
        <f ca="1">SUM(OFFSET(Demand!$H$43,ROW(D76)-1,(COLUMN(D76)-1)*5,1,1))*Q$2</f>
        <v>0</v>
      </c>
      <c r="DA79" s="5">
        <f ca="1">SUM(OFFSET(Demand!$H$43,ROW(E76)-1,(COLUMN(E76)-1)*5,1,1))*R$2</f>
        <v>0</v>
      </c>
      <c r="DB79" s="5">
        <f ca="1">SUM(OFFSET(Demand!$H$43,ROW(F76)-1,(COLUMN(F76)-1)*5,1,1))*S$2</f>
        <v>0</v>
      </c>
      <c r="DC79" s="5">
        <f ca="1">SUM(OFFSET(Demand!$H$43,ROW(G76)-1,(COLUMN(G76)-1)*5,1,1))*T$2</f>
        <v>0</v>
      </c>
      <c r="DD79" s="5">
        <f ca="1">SUM(OFFSET(Demand!$H$43,ROW(H76)-1,(COLUMN(H76)-1)*5,1,1))*U$2</f>
        <v>0</v>
      </c>
      <c r="DE79" s="5">
        <f ca="1">SUM(OFFSET(Demand!$H$43,ROW(I76)-1,(COLUMN(I76)-1)*5,1,1))*V$2</f>
        <v>0</v>
      </c>
      <c r="DF79" s="5">
        <f ca="1">SUM(OFFSET(Demand!$H$43,ROW(J76)-1,(COLUMN(J76)-1)*5,1,1))*W$2</f>
        <v>0</v>
      </c>
      <c r="DG79" s="5">
        <f t="shared" ca="1" si="36"/>
        <v>0</v>
      </c>
    </row>
    <row r="80" spans="1:111" x14ac:dyDescent="0.2">
      <c r="A80" s="5">
        <f t="shared" ca="1" si="30"/>
        <v>0</v>
      </c>
      <c r="B80" s="5">
        <f ca="1">COUNTBLANK(OFFSET(Demand!$I89,0,(COLUMN(A77)-1)*5,1,1))</f>
        <v>0</v>
      </c>
      <c r="C80" s="5">
        <f ca="1">COUNTBLANK(OFFSET(Demand!$I89,0,(COLUMN(B77)-1)*5,1,1))</f>
        <v>0</v>
      </c>
      <c r="D80" s="5">
        <f ca="1">COUNTBLANK(OFFSET(Demand!$I89,0,(COLUMN(C77)-1)*5,1,1))</f>
        <v>1</v>
      </c>
      <c r="E80" s="5">
        <f ca="1">COUNTBLANK(OFFSET(Demand!$I89,0,(COLUMN(D77)-1)*5,1,1))</f>
        <v>1</v>
      </c>
      <c r="F80" s="5">
        <f ca="1">COUNTBLANK(OFFSET(Demand!$I89,0,(COLUMN(E77)-1)*5,1,1))</f>
        <v>1</v>
      </c>
      <c r="G80" s="5">
        <f ca="1">COUNTBLANK(OFFSET(Demand!$I89,0,(COLUMN(F77)-1)*5,1,1))</f>
        <v>1</v>
      </c>
      <c r="H80" s="5">
        <f ca="1">COUNTBLANK(OFFSET(Demand!$I89,0,(COLUMN(G77)-1)*5,1,1))</f>
        <v>1</v>
      </c>
      <c r="I80" s="5">
        <f ca="1">COUNTBLANK(OFFSET(Demand!$I89,0,(COLUMN(H77)-1)*5,1,1))</f>
        <v>1</v>
      </c>
      <c r="J80" s="5">
        <f ca="1">COUNTBLANK(OFFSET(Demand!$I89,0,(COLUMN(I77)-1)*5,1,1))</f>
        <v>1</v>
      </c>
      <c r="K80" s="5">
        <f ca="1">COUNTBLANK(OFFSET(Demand!$I89,0,(COLUMN(J77)-1)*5,1,1))</f>
        <v>1</v>
      </c>
      <c r="N80" s="5">
        <f ca="1">SUM(OFFSET(Demand!$E89,0,(COLUMN(A77)-1)*5,1,3))*N$2</f>
        <v>300</v>
      </c>
      <c r="O80" s="5">
        <f ca="1">SUM(OFFSET(Demand!$E89,0,(COLUMN(B77)-1)*5,1,3))*O$2</f>
        <v>400</v>
      </c>
      <c r="P80" s="5">
        <f ca="1">SUM(OFFSET(Demand!$E89,0,(COLUMN(C77)-1)*5,1,3))*P$2</f>
        <v>0</v>
      </c>
      <c r="Q80" s="5">
        <f ca="1">SUM(OFFSET(Demand!$E89,0,(COLUMN(D77)-1)*5,1,3))*Q$2</f>
        <v>0</v>
      </c>
      <c r="R80" s="5">
        <f ca="1">SUM(OFFSET(Demand!$E89,0,(COLUMN(E77)-1)*5,1,3))*R$2</f>
        <v>0</v>
      </c>
      <c r="S80" s="5">
        <f ca="1">SUM(OFFSET(Demand!$E89,0,(COLUMN(F77)-1)*5,1,3))*S$2</f>
        <v>0</v>
      </c>
      <c r="T80" s="5">
        <f ca="1">SUM(OFFSET(Demand!$E89,0,(COLUMN(G77)-1)*5,1,3))*T$2</f>
        <v>0</v>
      </c>
      <c r="U80" s="5">
        <f ca="1">SUM(OFFSET(Demand!$E89,0,(COLUMN(H77)-1)*5,1,3))*U$2</f>
        <v>0</v>
      </c>
      <c r="V80" s="5">
        <f ca="1">SUM(OFFSET(Demand!$E89,0,(COLUMN(I77)-1)*5,1,3))*V$2</f>
        <v>0</v>
      </c>
      <c r="W80" s="5">
        <f ca="1">SUM(OFFSET(Demand!$E89,0,(COLUMN(J77)-1)*5,1,3))*W$2</f>
        <v>0</v>
      </c>
      <c r="X80" s="5">
        <f t="shared" ca="1" si="31"/>
        <v>700</v>
      </c>
      <c r="Y80">
        <f t="shared" ca="1" si="32"/>
        <v>700</v>
      </c>
      <c r="Z80" s="5">
        <f ca="1">SUM(OFFSET(Demand!$H89,0,(COLUMN(A77)-1)*5,1,1))*N$2</f>
        <v>0</v>
      </c>
      <c r="AA80" s="5">
        <f ca="1">SUM(OFFSET(Demand!$H89,0,(COLUMN(B77)-1)*5,1,1))*O$2</f>
        <v>0</v>
      </c>
      <c r="AB80" s="5">
        <f ca="1">SUM(OFFSET(Demand!$H89,0,(COLUMN(C77)-1)*5,1,1))*P$2</f>
        <v>0</v>
      </c>
      <c r="AC80" s="5">
        <f ca="1">SUM(OFFSET(Demand!$H89,0,(COLUMN(D77)-1)*5,1,1))*Q$2</f>
        <v>0</v>
      </c>
      <c r="AD80" s="5">
        <f ca="1">SUM(OFFSET(Demand!$H89,0,(COLUMN(E77)-1)*5,1,1))*R$2</f>
        <v>0</v>
      </c>
      <c r="AE80" s="5">
        <f ca="1">SUM(OFFSET(Demand!$H89,0,(COLUMN(F77)-1)*5,1,1))*S$2</f>
        <v>0</v>
      </c>
      <c r="AF80" s="5">
        <f ca="1">SUM(OFFSET(Demand!$H89,0,(COLUMN(G77)-1)*5,1,1))*T$2</f>
        <v>0</v>
      </c>
      <c r="AG80" s="5">
        <f ca="1">SUM(OFFSET(Demand!$H89,0,(COLUMN(H77)-1)*5,1,1))*U$2</f>
        <v>0</v>
      </c>
      <c r="AH80" s="5">
        <f ca="1">SUM(OFFSET(Demand!$H89,0,(COLUMN(I77)-1)*5,1,1))*V$2</f>
        <v>0</v>
      </c>
      <c r="AI80" s="5">
        <f ca="1">SUM(OFFSET(Demand!$H89,0,(COLUMN(J77)-1)*5,1,1))*W$2</f>
        <v>0</v>
      </c>
      <c r="AJ80" s="5">
        <f t="shared" ca="1" si="33"/>
        <v>0</v>
      </c>
      <c r="AL80" s="5">
        <f t="shared" ca="1" si="34"/>
        <v>700</v>
      </c>
      <c r="AM80" s="5">
        <f t="shared" ca="1" si="35"/>
        <v>0</v>
      </c>
      <c r="AN80" s="5" t="str">
        <f>IF(Demand!BE89="Yes","Yes","")</f>
        <v/>
      </c>
      <c r="AP80" s="37" t="str">
        <f ca="1">Demand!B89</f>
        <v xml:space="preserve"> </v>
      </c>
      <c r="AQ80" t="str">
        <f ca="1">IF(TEXT(Demand!D89,"MMM")&lt;&gt;TEXT(Demand!D88,"MMM"),TEXT(Demand!D89,"MMM"),"")</f>
        <v/>
      </c>
      <c r="AT80" s="5">
        <f t="shared" ca="1" si="37"/>
        <v>200</v>
      </c>
      <c r="BQ80">
        <f ca="1">IF($AN80="",OFFSET(Demand!$A$13,ROW(A77)-1,4+((QUOTIENT(COLUMN(BQ$2)-69,3))*5)+MOD(COLUMN(BQ$2),3),1,1),"")</f>
        <v>0</v>
      </c>
      <c r="BR80">
        <f ca="1">IF($AN80="",OFFSET(Demand!$A$13,ROW(B77)-1,4+((QUOTIENT(COLUMN(BR$2)-69,3))*5)+MOD(COLUMN(BR$2),3),1,1),"")</f>
        <v>1</v>
      </c>
      <c r="BS80">
        <f ca="1">IF($AN80="",OFFSET(Demand!$A$13,ROW(C77)-1,4+((QUOTIENT(COLUMN(BS$2)-69,3))*5)+MOD(COLUMN(BS$2),3),1,1),"")</f>
        <v>9</v>
      </c>
      <c r="BT80">
        <f ca="1">IF($AN80="",OFFSET(Demand!$A$13,ROW(D77)-1,4+((QUOTIENT(COLUMN(BT$2)-69,3))*5)+MOD(COLUMN(BT$2),3),1,1),"")</f>
        <v>0</v>
      </c>
      <c r="BU80">
        <f ca="1">IF($AN80="",OFFSET(Demand!$A$13,ROW(E77)-1,4+((QUOTIENT(COLUMN(BU$2)-69,3))*5)+MOD(COLUMN(BU$2),3),1,1),"")</f>
        <v>3</v>
      </c>
      <c r="BV80">
        <f ca="1">IF($AN80="",OFFSET(Demand!$A$13,ROW(F77)-1,4+((QUOTIENT(COLUMN(BV$2)-69,3))*5)+MOD(COLUMN(BV$2),3),1,1),"")</f>
        <v>7</v>
      </c>
      <c r="BW80">
        <f ca="1">IF($AN80="",OFFSET(Demand!$A$13,ROW(G77)-1,4+((QUOTIENT(COLUMN(BW$2)-69,3))*5)+MOD(COLUMN(BW$2),3),1,1),"")</f>
        <v>0</v>
      </c>
      <c r="BX80">
        <f ca="1">IF($AN80="",OFFSET(Demand!$A$13,ROW(H77)-1,4+((QUOTIENT(COLUMN(BX$2)-69,3))*5)+MOD(COLUMN(BX$2),3),1,1),"")</f>
        <v>0</v>
      </c>
      <c r="BY80">
        <f ca="1">IF($AN80="",OFFSET(Demand!$A$13,ROW(I77)-1,4+((QUOTIENT(COLUMN(BY$2)-69,3))*5)+MOD(COLUMN(BY$2),3),1,1),"")</f>
        <v>0</v>
      </c>
      <c r="BZ80">
        <f ca="1">IF($AN80="",OFFSET(Demand!$A$13,ROW(J77)-1,4+((QUOTIENT(COLUMN(BZ$2)-69,3))*5)+MOD(COLUMN(BZ$2),3),1,1),"")</f>
        <v>0</v>
      </c>
      <c r="CA80">
        <f ca="1">IF($AN80="",OFFSET(Demand!$A$13,ROW(K77)-1,4+((QUOTIENT(COLUMN(CA$2)-69,3))*5)+MOD(COLUMN(CA$2),3),1,1),"")</f>
        <v>0</v>
      </c>
      <c r="CB80">
        <f ca="1">IF($AN80="",OFFSET(Demand!$A$13,ROW(L77)-1,4+((QUOTIENT(COLUMN(CB$2)-69,3))*5)+MOD(COLUMN(CB$2),3),1,1),"")</f>
        <v>0</v>
      </c>
      <c r="CC80">
        <f ca="1">IF($AN80="",OFFSET(Demand!$A$13,ROW(M77)-1,4+((QUOTIENT(COLUMN(CC$2)-69,3))*5)+MOD(COLUMN(CC$2),3),1,1),"")</f>
        <v>0</v>
      </c>
      <c r="CD80">
        <f ca="1">IF($AN80="",OFFSET(Demand!$A$13,ROW(N77)-1,4+((QUOTIENT(COLUMN(CD$2)-69,3))*5)+MOD(COLUMN(CD$2),3),1,1),"")</f>
        <v>0</v>
      </c>
      <c r="CE80">
        <f ca="1">IF($AN80="",OFFSET(Demand!$A$13,ROW(O77)-1,4+((QUOTIENT(COLUMN(CE$2)-69,3))*5)+MOD(COLUMN(CE$2),3),1,1),"")</f>
        <v>0</v>
      </c>
      <c r="CF80">
        <f ca="1">IF($AN80="",OFFSET(Demand!$A$13,ROW(P77)-1,4+((QUOTIENT(COLUMN(CF$2)-69,3))*5)+MOD(COLUMN(CF$2),3),1,1),"")</f>
        <v>0</v>
      </c>
      <c r="CG80">
        <f ca="1">IF($AN80="",OFFSET(Demand!$A$13,ROW(Q77)-1,4+((QUOTIENT(COLUMN(CG$2)-69,3))*5)+MOD(COLUMN(CG$2),3),1,1),"")</f>
        <v>0</v>
      </c>
      <c r="CH80">
        <f ca="1">IF($AN80="",OFFSET(Demand!$A$13,ROW(R77)-1,4+((QUOTIENT(COLUMN(CH$2)-69,3))*5)+MOD(COLUMN(CH$2),3),1,1),"")</f>
        <v>0</v>
      </c>
      <c r="CI80">
        <f ca="1">IF($AN80="",OFFSET(Demand!$A$13,ROW(S77)-1,4+((QUOTIENT(COLUMN(CI$2)-69,3))*5)+MOD(COLUMN(CI$2),3),1,1),"")</f>
        <v>0</v>
      </c>
      <c r="CJ80">
        <f ca="1">IF($AN80="",OFFSET(Demand!$A$13,ROW(T77)-1,4+((QUOTIENT(COLUMN(CJ$2)-69,3))*5)+MOD(COLUMN(CJ$2),3),1,1),"")</f>
        <v>0</v>
      </c>
      <c r="CK80">
        <f ca="1">IF($AN80="",OFFSET(Demand!$A$13,ROW(U77)-1,4+((QUOTIENT(COLUMN(CK$2)-69,3))*5)+MOD(COLUMN(CK$2),3),1,1),"")</f>
        <v>0</v>
      </c>
      <c r="CL80">
        <f ca="1">IF($AN80="",OFFSET(Demand!$A$13,ROW(V77)-1,4+((QUOTIENT(COLUMN(CL$2)-69,3))*5)+MOD(COLUMN(CL$2),3),1,1),"")</f>
        <v>0</v>
      </c>
      <c r="CM80">
        <f ca="1">IF($AN80="",OFFSET(Demand!$A$13,ROW(W77)-1,4+((QUOTIENT(COLUMN(CM$2)-69,3))*5)+MOD(COLUMN(CM$2),3),1,1),"")</f>
        <v>0</v>
      </c>
      <c r="CN80">
        <f ca="1">IF($AN80="",OFFSET(Demand!$A$13,ROW(X77)-1,4+((QUOTIENT(COLUMN(CN$2)-69,3))*5)+MOD(COLUMN(CN$2),3),1,1),"")</f>
        <v>0</v>
      </c>
      <c r="CO80">
        <f ca="1">IF($AN80="",OFFSET(Demand!$A$13,ROW(Y77)-1,4+((QUOTIENT(COLUMN(CO$2)-69,3))*5)+MOD(COLUMN(CO$2),3),1,1),"")</f>
        <v>0</v>
      </c>
      <c r="CP80">
        <f ca="1">IF($AN80="",OFFSET(Demand!$A$13,ROW(Z77)-1,4+((QUOTIENT(COLUMN(CP$2)-69,3))*5)+MOD(COLUMN(CP$2),3),1,1),"")</f>
        <v>0</v>
      </c>
      <c r="CQ80">
        <f ca="1">IF($AN80="",OFFSET(Demand!$A$13,ROW(AA77)-1,4+((QUOTIENT(COLUMN(CQ$2)-69,3))*5)+MOD(COLUMN(CQ$2),3),1,1),"")</f>
        <v>0</v>
      </c>
      <c r="CR80">
        <f ca="1">IF($AN80="",OFFSET(Demand!$A$13,ROW(AB77)-1,4+((QUOTIENT(COLUMN(CR$2)-69,3))*5)+MOD(COLUMN(CR$2),3),1,1),"")</f>
        <v>0</v>
      </c>
      <c r="CS80">
        <f ca="1">IF($AN80="",OFFSET(Demand!$A$13,ROW(AC77)-1,4+((QUOTIENT(COLUMN(CS$2)-69,3))*5)+MOD(COLUMN(CS$2),3),1,1),"")</f>
        <v>0</v>
      </c>
      <c r="CT80">
        <f ca="1">IF($AN80="",OFFSET(Demand!$A$13,ROW(AD77)-1,4+((QUOTIENT(COLUMN(CT$2)-69,3))*5)+MOD(COLUMN(CT$2),3),1,1),"")</f>
        <v>0</v>
      </c>
      <c r="CW80" s="5">
        <f ca="1">SUM(OFFSET(Demand!$H$43,ROW(A77)-1,(COLUMN(A77)-1)*5,1,1))*N$2</f>
        <v>0</v>
      </c>
      <c r="CX80" s="5">
        <f ca="1">SUM(OFFSET(Demand!$H$43,ROW(B77)-1,(COLUMN(B77)-1)*5,1,1))*O$2</f>
        <v>0</v>
      </c>
      <c r="CY80" s="5">
        <f ca="1">SUM(OFFSET(Demand!$H$43,ROW(C77)-1,(COLUMN(C77)-1)*5,1,1))*P$2</f>
        <v>0</v>
      </c>
      <c r="CZ80" s="5">
        <f ca="1">SUM(OFFSET(Demand!$H$43,ROW(D77)-1,(COLUMN(D77)-1)*5,1,1))*Q$2</f>
        <v>0</v>
      </c>
      <c r="DA80" s="5">
        <f ca="1">SUM(OFFSET(Demand!$H$43,ROW(E77)-1,(COLUMN(E77)-1)*5,1,1))*R$2</f>
        <v>0</v>
      </c>
      <c r="DB80" s="5">
        <f ca="1">SUM(OFFSET(Demand!$H$43,ROW(F77)-1,(COLUMN(F77)-1)*5,1,1))*S$2</f>
        <v>0</v>
      </c>
      <c r="DC80" s="5">
        <f ca="1">SUM(OFFSET(Demand!$H$43,ROW(G77)-1,(COLUMN(G77)-1)*5,1,1))*T$2</f>
        <v>0</v>
      </c>
      <c r="DD80" s="5">
        <f ca="1">SUM(OFFSET(Demand!$H$43,ROW(H77)-1,(COLUMN(H77)-1)*5,1,1))*U$2</f>
        <v>0</v>
      </c>
      <c r="DE80" s="5">
        <f ca="1">SUM(OFFSET(Demand!$H$43,ROW(I77)-1,(COLUMN(I77)-1)*5,1,1))*V$2</f>
        <v>0</v>
      </c>
      <c r="DF80" s="5">
        <f ca="1">SUM(OFFSET(Demand!$H$43,ROW(J77)-1,(COLUMN(J77)-1)*5,1,1))*W$2</f>
        <v>0</v>
      </c>
      <c r="DG80" s="5">
        <f t="shared" ca="1" si="36"/>
        <v>0</v>
      </c>
    </row>
    <row r="81" spans="1:111" x14ac:dyDescent="0.2">
      <c r="A81" s="5">
        <f t="shared" ca="1" si="30"/>
        <v>0</v>
      </c>
      <c r="B81" s="5">
        <f ca="1">COUNTBLANK(OFFSET(Demand!$I90,0,(COLUMN(A78)-1)*5,1,1))</f>
        <v>0</v>
      </c>
      <c r="C81" s="5">
        <f ca="1">COUNTBLANK(OFFSET(Demand!$I90,0,(COLUMN(B78)-1)*5,1,1))</f>
        <v>0</v>
      </c>
      <c r="D81" s="5">
        <f ca="1">COUNTBLANK(OFFSET(Demand!$I90,0,(COLUMN(C78)-1)*5,1,1))</f>
        <v>1</v>
      </c>
      <c r="E81" s="5">
        <f ca="1">COUNTBLANK(OFFSET(Demand!$I90,0,(COLUMN(D78)-1)*5,1,1))</f>
        <v>1</v>
      </c>
      <c r="F81" s="5">
        <f ca="1">COUNTBLANK(OFFSET(Demand!$I90,0,(COLUMN(E78)-1)*5,1,1))</f>
        <v>1</v>
      </c>
      <c r="G81" s="5">
        <f ca="1">COUNTBLANK(OFFSET(Demand!$I90,0,(COLUMN(F78)-1)*5,1,1))</f>
        <v>1</v>
      </c>
      <c r="H81" s="5">
        <f ca="1">COUNTBLANK(OFFSET(Demand!$I90,0,(COLUMN(G78)-1)*5,1,1))</f>
        <v>1</v>
      </c>
      <c r="I81" s="5">
        <f ca="1">COUNTBLANK(OFFSET(Demand!$I90,0,(COLUMN(H78)-1)*5,1,1))</f>
        <v>1</v>
      </c>
      <c r="J81" s="5">
        <f ca="1">COUNTBLANK(OFFSET(Demand!$I90,0,(COLUMN(I78)-1)*5,1,1))</f>
        <v>1</v>
      </c>
      <c r="K81" s="5">
        <f ca="1">COUNTBLANK(OFFSET(Demand!$I90,0,(COLUMN(J78)-1)*5,1,1))</f>
        <v>1</v>
      </c>
      <c r="N81" s="5">
        <f ca="1">SUM(OFFSET(Demand!$E90,0,(COLUMN(A78)-1)*5,1,3))*N$2</f>
        <v>120</v>
      </c>
      <c r="O81" s="5">
        <f ca="1">SUM(OFFSET(Demand!$E90,0,(COLUMN(B78)-1)*5,1,3))*O$2</f>
        <v>400</v>
      </c>
      <c r="P81" s="5">
        <f ca="1">SUM(OFFSET(Demand!$E90,0,(COLUMN(C78)-1)*5,1,3))*P$2</f>
        <v>0</v>
      </c>
      <c r="Q81" s="5">
        <f ca="1">SUM(OFFSET(Demand!$E90,0,(COLUMN(D78)-1)*5,1,3))*Q$2</f>
        <v>0</v>
      </c>
      <c r="R81" s="5">
        <f ca="1">SUM(OFFSET(Demand!$E90,0,(COLUMN(E78)-1)*5,1,3))*R$2</f>
        <v>0</v>
      </c>
      <c r="S81" s="5">
        <f ca="1">SUM(OFFSET(Demand!$E90,0,(COLUMN(F78)-1)*5,1,3))*S$2</f>
        <v>0</v>
      </c>
      <c r="T81" s="5">
        <f ca="1">SUM(OFFSET(Demand!$E90,0,(COLUMN(G78)-1)*5,1,3))*T$2</f>
        <v>0</v>
      </c>
      <c r="U81" s="5">
        <f ca="1">SUM(OFFSET(Demand!$E90,0,(COLUMN(H78)-1)*5,1,3))*U$2</f>
        <v>0</v>
      </c>
      <c r="V81" s="5">
        <f ca="1">SUM(OFFSET(Demand!$E90,0,(COLUMN(I78)-1)*5,1,3))*V$2</f>
        <v>0</v>
      </c>
      <c r="W81" s="5">
        <f ca="1">SUM(OFFSET(Demand!$E90,0,(COLUMN(J78)-1)*5,1,3))*W$2</f>
        <v>0</v>
      </c>
      <c r="X81" s="5">
        <f t="shared" ca="1" si="31"/>
        <v>520</v>
      </c>
      <c r="Y81">
        <f t="shared" ca="1" si="32"/>
        <v>520</v>
      </c>
      <c r="Z81" s="5">
        <f ca="1">SUM(OFFSET(Demand!$H90,0,(COLUMN(A78)-1)*5,1,1))*N$2</f>
        <v>0</v>
      </c>
      <c r="AA81" s="5">
        <f ca="1">SUM(OFFSET(Demand!$H90,0,(COLUMN(B78)-1)*5,1,1))*O$2</f>
        <v>0</v>
      </c>
      <c r="AB81" s="5">
        <f ca="1">SUM(OFFSET(Demand!$H90,0,(COLUMN(C78)-1)*5,1,1))*P$2</f>
        <v>0</v>
      </c>
      <c r="AC81" s="5">
        <f ca="1">SUM(OFFSET(Demand!$H90,0,(COLUMN(D78)-1)*5,1,1))*Q$2</f>
        <v>0</v>
      </c>
      <c r="AD81" s="5">
        <f ca="1">SUM(OFFSET(Demand!$H90,0,(COLUMN(E78)-1)*5,1,1))*R$2</f>
        <v>0</v>
      </c>
      <c r="AE81" s="5">
        <f ca="1">SUM(OFFSET(Demand!$H90,0,(COLUMN(F78)-1)*5,1,1))*S$2</f>
        <v>0</v>
      </c>
      <c r="AF81" s="5">
        <f ca="1">SUM(OFFSET(Demand!$H90,0,(COLUMN(G78)-1)*5,1,1))*T$2</f>
        <v>0</v>
      </c>
      <c r="AG81" s="5">
        <f ca="1">SUM(OFFSET(Demand!$H90,0,(COLUMN(H78)-1)*5,1,1))*U$2</f>
        <v>0</v>
      </c>
      <c r="AH81" s="5">
        <f ca="1">SUM(OFFSET(Demand!$H90,0,(COLUMN(I78)-1)*5,1,1))*V$2</f>
        <v>0</v>
      </c>
      <c r="AI81" s="5">
        <f ca="1">SUM(OFFSET(Demand!$H90,0,(COLUMN(J78)-1)*5,1,1))*W$2</f>
        <v>0</v>
      </c>
      <c r="AJ81" s="5">
        <f t="shared" ca="1" si="33"/>
        <v>0</v>
      </c>
      <c r="AL81" s="5">
        <f t="shared" ca="1" si="34"/>
        <v>520</v>
      </c>
      <c r="AM81" s="5">
        <f t="shared" ca="1" si="35"/>
        <v>0</v>
      </c>
      <c r="AN81" s="5" t="str">
        <f>IF(Demand!BE90="Yes","Yes","")</f>
        <v/>
      </c>
      <c r="AP81" s="37" t="str">
        <f ca="1">Demand!B90</f>
        <v xml:space="preserve"> </v>
      </c>
      <c r="AQ81" t="str">
        <f ca="1">IF(TEXT(Demand!D90,"MMM")&lt;&gt;TEXT(Demand!D89,"MMM"),TEXT(Demand!D90,"MMM"),"")</f>
        <v/>
      </c>
      <c r="AT81" s="5">
        <f t="shared" ca="1" si="37"/>
        <v>180</v>
      </c>
      <c r="BQ81">
        <f ca="1">IF($AN81="",OFFSET(Demand!$A$13,ROW(A78)-1,4+((QUOTIENT(COLUMN(BQ$2)-69,3))*5)+MOD(COLUMN(BQ$2),3),1,1),"")</f>
        <v>0</v>
      </c>
      <c r="BR81">
        <f ca="1">IF($AN81="",OFFSET(Demand!$A$13,ROW(B78)-1,4+((QUOTIENT(COLUMN(BR$2)-69,3))*5)+MOD(COLUMN(BR$2),3),1,1),"")</f>
        <v>1</v>
      </c>
      <c r="BS81">
        <f ca="1">IF($AN81="",OFFSET(Demand!$A$13,ROW(C78)-1,4+((QUOTIENT(COLUMN(BS$2)-69,3))*5)+MOD(COLUMN(BS$2),3),1,1),"")</f>
        <v>3</v>
      </c>
      <c r="BT81">
        <f ca="1">IF($AN81="",OFFSET(Demand!$A$13,ROW(D78)-1,4+((QUOTIENT(COLUMN(BT$2)-69,3))*5)+MOD(COLUMN(BT$2),3),1,1),"")</f>
        <v>0</v>
      </c>
      <c r="BU81">
        <f ca="1">IF($AN81="",OFFSET(Demand!$A$13,ROW(E78)-1,4+((QUOTIENT(COLUMN(BU$2)-69,3))*5)+MOD(COLUMN(BU$2),3),1,1),"")</f>
        <v>2</v>
      </c>
      <c r="BV81">
        <f ca="1">IF($AN81="",OFFSET(Demand!$A$13,ROW(F78)-1,4+((QUOTIENT(COLUMN(BV$2)-69,3))*5)+MOD(COLUMN(BV$2),3),1,1),"")</f>
        <v>8</v>
      </c>
      <c r="BW81">
        <f ca="1">IF($AN81="",OFFSET(Demand!$A$13,ROW(G78)-1,4+((QUOTIENT(COLUMN(BW$2)-69,3))*5)+MOD(COLUMN(BW$2),3),1,1),"")</f>
        <v>0</v>
      </c>
      <c r="BX81">
        <f ca="1">IF($AN81="",OFFSET(Demand!$A$13,ROW(H78)-1,4+((QUOTIENT(COLUMN(BX$2)-69,3))*5)+MOD(COLUMN(BX$2),3),1,1),"")</f>
        <v>0</v>
      </c>
      <c r="BY81">
        <f ca="1">IF($AN81="",OFFSET(Demand!$A$13,ROW(I78)-1,4+((QUOTIENT(COLUMN(BY$2)-69,3))*5)+MOD(COLUMN(BY$2),3),1,1),"")</f>
        <v>0</v>
      </c>
      <c r="BZ81">
        <f ca="1">IF($AN81="",OFFSET(Demand!$A$13,ROW(J78)-1,4+((QUOTIENT(COLUMN(BZ$2)-69,3))*5)+MOD(COLUMN(BZ$2),3),1,1),"")</f>
        <v>0</v>
      </c>
      <c r="CA81">
        <f ca="1">IF($AN81="",OFFSET(Demand!$A$13,ROW(K78)-1,4+((QUOTIENT(COLUMN(CA$2)-69,3))*5)+MOD(COLUMN(CA$2),3),1,1),"")</f>
        <v>0</v>
      </c>
      <c r="CB81">
        <f ca="1">IF($AN81="",OFFSET(Demand!$A$13,ROW(L78)-1,4+((QUOTIENT(COLUMN(CB$2)-69,3))*5)+MOD(COLUMN(CB$2),3),1,1),"")</f>
        <v>0</v>
      </c>
      <c r="CC81">
        <f ca="1">IF($AN81="",OFFSET(Demand!$A$13,ROW(M78)-1,4+((QUOTIENT(COLUMN(CC$2)-69,3))*5)+MOD(COLUMN(CC$2),3),1,1),"")</f>
        <v>0</v>
      </c>
      <c r="CD81">
        <f ca="1">IF($AN81="",OFFSET(Demand!$A$13,ROW(N78)-1,4+((QUOTIENT(COLUMN(CD$2)-69,3))*5)+MOD(COLUMN(CD$2),3),1,1),"")</f>
        <v>0</v>
      </c>
      <c r="CE81">
        <f ca="1">IF($AN81="",OFFSET(Demand!$A$13,ROW(O78)-1,4+((QUOTIENT(COLUMN(CE$2)-69,3))*5)+MOD(COLUMN(CE$2),3),1,1),"")</f>
        <v>0</v>
      </c>
      <c r="CF81">
        <f ca="1">IF($AN81="",OFFSET(Demand!$A$13,ROW(P78)-1,4+((QUOTIENT(COLUMN(CF$2)-69,3))*5)+MOD(COLUMN(CF$2),3),1,1),"")</f>
        <v>0</v>
      </c>
      <c r="CG81">
        <f ca="1">IF($AN81="",OFFSET(Demand!$A$13,ROW(Q78)-1,4+((QUOTIENT(COLUMN(CG$2)-69,3))*5)+MOD(COLUMN(CG$2),3),1,1),"")</f>
        <v>0</v>
      </c>
      <c r="CH81">
        <f ca="1">IF($AN81="",OFFSET(Demand!$A$13,ROW(R78)-1,4+((QUOTIENT(COLUMN(CH$2)-69,3))*5)+MOD(COLUMN(CH$2),3),1,1),"")</f>
        <v>0</v>
      </c>
      <c r="CI81">
        <f ca="1">IF($AN81="",OFFSET(Demand!$A$13,ROW(S78)-1,4+((QUOTIENT(COLUMN(CI$2)-69,3))*5)+MOD(COLUMN(CI$2),3),1,1),"")</f>
        <v>0</v>
      </c>
      <c r="CJ81">
        <f ca="1">IF($AN81="",OFFSET(Demand!$A$13,ROW(T78)-1,4+((QUOTIENT(COLUMN(CJ$2)-69,3))*5)+MOD(COLUMN(CJ$2),3),1,1),"")</f>
        <v>0</v>
      </c>
      <c r="CK81">
        <f ca="1">IF($AN81="",OFFSET(Demand!$A$13,ROW(U78)-1,4+((QUOTIENT(COLUMN(CK$2)-69,3))*5)+MOD(COLUMN(CK$2),3),1,1),"")</f>
        <v>0</v>
      </c>
      <c r="CL81">
        <f ca="1">IF($AN81="",OFFSET(Demand!$A$13,ROW(V78)-1,4+((QUOTIENT(COLUMN(CL$2)-69,3))*5)+MOD(COLUMN(CL$2),3),1,1),"")</f>
        <v>0</v>
      </c>
      <c r="CM81">
        <f ca="1">IF($AN81="",OFFSET(Demand!$A$13,ROW(W78)-1,4+((QUOTIENT(COLUMN(CM$2)-69,3))*5)+MOD(COLUMN(CM$2),3),1,1),"")</f>
        <v>0</v>
      </c>
      <c r="CN81">
        <f ca="1">IF($AN81="",OFFSET(Demand!$A$13,ROW(X78)-1,4+((QUOTIENT(COLUMN(CN$2)-69,3))*5)+MOD(COLUMN(CN$2),3),1,1),"")</f>
        <v>0</v>
      </c>
      <c r="CO81">
        <f ca="1">IF($AN81="",OFFSET(Demand!$A$13,ROW(Y78)-1,4+((QUOTIENT(COLUMN(CO$2)-69,3))*5)+MOD(COLUMN(CO$2),3),1,1),"")</f>
        <v>0</v>
      </c>
      <c r="CP81">
        <f ca="1">IF($AN81="",OFFSET(Demand!$A$13,ROW(Z78)-1,4+((QUOTIENT(COLUMN(CP$2)-69,3))*5)+MOD(COLUMN(CP$2),3),1,1),"")</f>
        <v>0</v>
      </c>
      <c r="CQ81">
        <f ca="1">IF($AN81="",OFFSET(Demand!$A$13,ROW(AA78)-1,4+((QUOTIENT(COLUMN(CQ$2)-69,3))*5)+MOD(COLUMN(CQ$2),3),1,1),"")</f>
        <v>0</v>
      </c>
      <c r="CR81">
        <f ca="1">IF($AN81="",OFFSET(Demand!$A$13,ROW(AB78)-1,4+((QUOTIENT(COLUMN(CR$2)-69,3))*5)+MOD(COLUMN(CR$2),3),1,1),"")</f>
        <v>0</v>
      </c>
      <c r="CS81">
        <f ca="1">IF($AN81="",OFFSET(Demand!$A$13,ROW(AC78)-1,4+((QUOTIENT(COLUMN(CS$2)-69,3))*5)+MOD(COLUMN(CS$2),3),1,1),"")</f>
        <v>0</v>
      </c>
      <c r="CT81">
        <f ca="1">IF($AN81="",OFFSET(Demand!$A$13,ROW(AD78)-1,4+((QUOTIENT(COLUMN(CT$2)-69,3))*5)+MOD(COLUMN(CT$2),3),1,1),"")</f>
        <v>0</v>
      </c>
      <c r="CW81" s="5">
        <f ca="1">SUM(OFFSET(Demand!$H$43,ROW(A78)-1,(COLUMN(A78)-1)*5,1,1))*N$2</f>
        <v>0</v>
      </c>
      <c r="CX81" s="5">
        <f ca="1">SUM(OFFSET(Demand!$H$43,ROW(B78)-1,(COLUMN(B78)-1)*5,1,1))*O$2</f>
        <v>0</v>
      </c>
      <c r="CY81" s="5">
        <f ca="1">SUM(OFFSET(Demand!$H$43,ROW(C78)-1,(COLUMN(C78)-1)*5,1,1))*P$2</f>
        <v>0</v>
      </c>
      <c r="CZ81" s="5">
        <f ca="1">SUM(OFFSET(Demand!$H$43,ROW(D78)-1,(COLUMN(D78)-1)*5,1,1))*Q$2</f>
        <v>0</v>
      </c>
      <c r="DA81" s="5">
        <f ca="1">SUM(OFFSET(Demand!$H$43,ROW(E78)-1,(COLUMN(E78)-1)*5,1,1))*R$2</f>
        <v>0</v>
      </c>
      <c r="DB81" s="5">
        <f ca="1">SUM(OFFSET(Demand!$H$43,ROW(F78)-1,(COLUMN(F78)-1)*5,1,1))*S$2</f>
        <v>0</v>
      </c>
      <c r="DC81" s="5">
        <f ca="1">SUM(OFFSET(Demand!$H$43,ROW(G78)-1,(COLUMN(G78)-1)*5,1,1))*T$2</f>
        <v>0</v>
      </c>
      <c r="DD81" s="5">
        <f ca="1">SUM(OFFSET(Demand!$H$43,ROW(H78)-1,(COLUMN(H78)-1)*5,1,1))*U$2</f>
        <v>0</v>
      </c>
      <c r="DE81" s="5">
        <f ca="1">SUM(OFFSET(Demand!$H$43,ROW(I78)-1,(COLUMN(I78)-1)*5,1,1))*V$2</f>
        <v>0</v>
      </c>
      <c r="DF81" s="5">
        <f ca="1">SUM(OFFSET(Demand!$H$43,ROW(J78)-1,(COLUMN(J78)-1)*5,1,1))*W$2</f>
        <v>0</v>
      </c>
      <c r="DG81" s="5">
        <f t="shared" ca="1" si="36"/>
        <v>0</v>
      </c>
    </row>
    <row r="82" spans="1:111" x14ac:dyDescent="0.2">
      <c r="A82" s="5">
        <f t="shared" ca="1" si="30"/>
        <v>0</v>
      </c>
      <c r="B82" s="5">
        <f ca="1">COUNTBLANK(OFFSET(Demand!$I91,0,(COLUMN(A79)-1)*5,1,1))</f>
        <v>0</v>
      </c>
      <c r="C82" s="5">
        <f ca="1">COUNTBLANK(OFFSET(Demand!$I91,0,(COLUMN(B79)-1)*5,1,1))</f>
        <v>0</v>
      </c>
      <c r="D82" s="5">
        <f ca="1">COUNTBLANK(OFFSET(Demand!$I91,0,(COLUMN(C79)-1)*5,1,1))</f>
        <v>1</v>
      </c>
      <c r="E82" s="5">
        <f ca="1">COUNTBLANK(OFFSET(Demand!$I91,0,(COLUMN(D79)-1)*5,1,1))</f>
        <v>1</v>
      </c>
      <c r="F82" s="5">
        <f ca="1">COUNTBLANK(OFFSET(Demand!$I91,0,(COLUMN(E79)-1)*5,1,1))</f>
        <v>1</v>
      </c>
      <c r="G82" s="5">
        <f ca="1">COUNTBLANK(OFFSET(Demand!$I91,0,(COLUMN(F79)-1)*5,1,1))</f>
        <v>1</v>
      </c>
      <c r="H82" s="5">
        <f ca="1">COUNTBLANK(OFFSET(Demand!$I91,0,(COLUMN(G79)-1)*5,1,1))</f>
        <v>1</v>
      </c>
      <c r="I82" s="5">
        <f ca="1">COUNTBLANK(OFFSET(Demand!$I91,0,(COLUMN(H79)-1)*5,1,1))</f>
        <v>1</v>
      </c>
      <c r="J82" s="5">
        <f ca="1">COUNTBLANK(OFFSET(Demand!$I91,0,(COLUMN(I79)-1)*5,1,1))</f>
        <v>1</v>
      </c>
      <c r="K82" s="5">
        <f ca="1">COUNTBLANK(OFFSET(Demand!$I91,0,(COLUMN(J79)-1)*5,1,1))</f>
        <v>1</v>
      </c>
      <c r="N82" s="5">
        <f ca="1">SUM(OFFSET(Demand!$E91,0,(COLUMN(A79)-1)*5,1,3))*N$2</f>
        <v>240</v>
      </c>
      <c r="O82" s="5">
        <f ca="1">SUM(OFFSET(Demand!$E91,0,(COLUMN(B79)-1)*5,1,3))*O$2</f>
        <v>320</v>
      </c>
      <c r="P82" s="5">
        <f ca="1">SUM(OFFSET(Demand!$E91,0,(COLUMN(C79)-1)*5,1,3))*P$2</f>
        <v>0</v>
      </c>
      <c r="Q82" s="5">
        <f ca="1">SUM(OFFSET(Demand!$E91,0,(COLUMN(D79)-1)*5,1,3))*Q$2</f>
        <v>0</v>
      </c>
      <c r="R82" s="5">
        <f ca="1">SUM(OFFSET(Demand!$E91,0,(COLUMN(E79)-1)*5,1,3))*R$2</f>
        <v>0</v>
      </c>
      <c r="S82" s="5">
        <f ca="1">SUM(OFFSET(Demand!$E91,0,(COLUMN(F79)-1)*5,1,3))*S$2</f>
        <v>0</v>
      </c>
      <c r="T82" s="5">
        <f ca="1">SUM(OFFSET(Demand!$E91,0,(COLUMN(G79)-1)*5,1,3))*T$2</f>
        <v>0</v>
      </c>
      <c r="U82" s="5">
        <f ca="1">SUM(OFFSET(Demand!$E91,0,(COLUMN(H79)-1)*5,1,3))*U$2</f>
        <v>0</v>
      </c>
      <c r="V82" s="5">
        <f ca="1">SUM(OFFSET(Demand!$E91,0,(COLUMN(I79)-1)*5,1,3))*V$2</f>
        <v>0</v>
      </c>
      <c r="W82" s="5">
        <f ca="1">SUM(OFFSET(Demand!$E91,0,(COLUMN(J79)-1)*5,1,3))*W$2</f>
        <v>0</v>
      </c>
      <c r="X82" s="5">
        <f t="shared" ca="1" si="31"/>
        <v>560</v>
      </c>
      <c r="Y82">
        <f t="shared" ca="1" si="32"/>
        <v>560</v>
      </c>
      <c r="Z82" s="5">
        <f ca="1">SUM(OFFSET(Demand!$H91,0,(COLUMN(A79)-1)*5,1,1))*N$2</f>
        <v>0</v>
      </c>
      <c r="AA82" s="5">
        <f ca="1">SUM(OFFSET(Demand!$H91,0,(COLUMN(B79)-1)*5,1,1))*O$2</f>
        <v>0</v>
      </c>
      <c r="AB82" s="5">
        <f ca="1">SUM(OFFSET(Demand!$H91,0,(COLUMN(C79)-1)*5,1,1))*P$2</f>
        <v>0</v>
      </c>
      <c r="AC82" s="5">
        <f ca="1">SUM(OFFSET(Demand!$H91,0,(COLUMN(D79)-1)*5,1,1))*Q$2</f>
        <v>0</v>
      </c>
      <c r="AD82" s="5">
        <f ca="1">SUM(OFFSET(Demand!$H91,0,(COLUMN(E79)-1)*5,1,1))*R$2</f>
        <v>0</v>
      </c>
      <c r="AE82" s="5">
        <f ca="1">SUM(OFFSET(Demand!$H91,0,(COLUMN(F79)-1)*5,1,1))*S$2</f>
        <v>0</v>
      </c>
      <c r="AF82" s="5">
        <f ca="1">SUM(OFFSET(Demand!$H91,0,(COLUMN(G79)-1)*5,1,1))*T$2</f>
        <v>0</v>
      </c>
      <c r="AG82" s="5">
        <f ca="1">SUM(OFFSET(Demand!$H91,0,(COLUMN(H79)-1)*5,1,1))*U$2</f>
        <v>0</v>
      </c>
      <c r="AH82" s="5">
        <f ca="1">SUM(OFFSET(Demand!$H91,0,(COLUMN(I79)-1)*5,1,1))*V$2</f>
        <v>0</v>
      </c>
      <c r="AI82" s="5">
        <f ca="1">SUM(OFFSET(Demand!$H91,0,(COLUMN(J79)-1)*5,1,1))*W$2</f>
        <v>0</v>
      </c>
      <c r="AJ82" s="5">
        <f t="shared" ca="1" si="33"/>
        <v>0</v>
      </c>
      <c r="AL82" s="5">
        <f t="shared" ca="1" si="34"/>
        <v>560</v>
      </c>
      <c r="AM82" s="5">
        <f t="shared" ca="1" si="35"/>
        <v>0</v>
      </c>
      <c r="AN82" s="5" t="str">
        <f>IF(Demand!BE91="Yes","Yes","")</f>
        <v/>
      </c>
      <c r="AP82" s="37" t="str">
        <f ca="1">Demand!B91</f>
        <v xml:space="preserve"> </v>
      </c>
      <c r="AQ82" t="str">
        <f ca="1">IF(TEXT(Demand!D91,"MMM")&lt;&gt;TEXT(Demand!D90,"MMM"),TEXT(Demand!D91,"MMM"),"")</f>
        <v/>
      </c>
      <c r="AT82" s="5">
        <f t="shared" ca="1" si="37"/>
        <v>40</v>
      </c>
      <c r="BQ82">
        <f ca="1">IF($AN82="",OFFSET(Demand!$A$13,ROW(A79)-1,4+((QUOTIENT(COLUMN(BQ$2)-69,3))*5)+MOD(COLUMN(BQ$2),3),1,1),"")</f>
        <v>0</v>
      </c>
      <c r="BR82">
        <f ca="1">IF($AN82="",OFFSET(Demand!$A$13,ROW(B79)-1,4+((QUOTIENT(COLUMN(BR$2)-69,3))*5)+MOD(COLUMN(BR$2),3),1,1),"")</f>
        <v>2</v>
      </c>
      <c r="BS82">
        <f ca="1">IF($AN82="",OFFSET(Demand!$A$13,ROW(C79)-1,4+((QUOTIENT(COLUMN(BS$2)-69,3))*5)+MOD(COLUMN(BS$2),3),1,1),"")</f>
        <v>6</v>
      </c>
      <c r="BT82">
        <f ca="1">IF($AN82="",OFFSET(Demand!$A$13,ROW(D79)-1,4+((QUOTIENT(COLUMN(BT$2)-69,3))*5)+MOD(COLUMN(BT$2),3),1,1),"")</f>
        <v>0</v>
      </c>
      <c r="BU82">
        <f ca="1">IF($AN82="",OFFSET(Demand!$A$13,ROW(E79)-1,4+((QUOTIENT(COLUMN(BU$2)-69,3))*5)+MOD(COLUMN(BU$2),3),1,1),"")</f>
        <v>1</v>
      </c>
      <c r="BV82">
        <f ca="1">IF($AN82="",OFFSET(Demand!$A$13,ROW(F79)-1,4+((QUOTIENT(COLUMN(BV$2)-69,3))*5)+MOD(COLUMN(BV$2),3),1,1),"")</f>
        <v>7</v>
      </c>
      <c r="BW82">
        <f ca="1">IF($AN82="",OFFSET(Demand!$A$13,ROW(G79)-1,4+((QUOTIENT(COLUMN(BW$2)-69,3))*5)+MOD(COLUMN(BW$2),3),1,1),"")</f>
        <v>0</v>
      </c>
      <c r="BX82">
        <f ca="1">IF($AN82="",OFFSET(Demand!$A$13,ROW(H79)-1,4+((QUOTIENT(COLUMN(BX$2)-69,3))*5)+MOD(COLUMN(BX$2),3),1,1),"")</f>
        <v>0</v>
      </c>
      <c r="BY82">
        <f ca="1">IF($AN82="",OFFSET(Demand!$A$13,ROW(I79)-1,4+((QUOTIENT(COLUMN(BY$2)-69,3))*5)+MOD(COLUMN(BY$2),3),1,1),"")</f>
        <v>0</v>
      </c>
      <c r="BZ82">
        <f ca="1">IF($AN82="",OFFSET(Demand!$A$13,ROW(J79)-1,4+((QUOTIENT(COLUMN(BZ$2)-69,3))*5)+MOD(COLUMN(BZ$2),3),1,1),"")</f>
        <v>0</v>
      </c>
      <c r="CA82">
        <f ca="1">IF($AN82="",OFFSET(Demand!$A$13,ROW(K79)-1,4+((QUOTIENT(COLUMN(CA$2)-69,3))*5)+MOD(COLUMN(CA$2),3),1,1),"")</f>
        <v>0</v>
      </c>
      <c r="CB82">
        <f ca="1">IF($AN82="",OFFSET(Demand!$A$13,ROW(L79)-1,4+((QUOTIENT(COLUMN(CB$2)-69,3))*5)+MOD(COLUMN(CB$2),3),1,1),"")</f>
        <v>0</v>
      </c>
      <c r="CC82">
        <f ca="1">IF($AN82="",OFFSET(Demand!$A$13,ROW(M79)-1,4+((QUOTIENT(COLUMN(CC$2)-69,3))*5)+MOD(COLUMN(CC$2),3),1,1),"")</f>
        <v>0</v>
      </c>
      <c r="CD82">
        <f ca="1">IF($AN82="",OFFSET(Demand!$A$13,ROW(N79)-1,4+((QUOTIENT(COLUMN(CD$2)-69,3))*5)+MOD(COLUMN(CD$2),3),1,1),"")</f>
        <v>0</v>
      </c>
      <c r="CE82">
        <f ca="1">IF($AN82="",OFFSET(Demand!$A$13,ROW(O79)-1,4+((QUOTIENT(COLUMN(CE$2)-69,3))*5)+MOD(COLUMN(CE$2),3),1,1),"")</f>
        <v>0</v>
      </c>
      <c r="CF82">
        <f ca="1">IF($AN82="",OFFSET(Demand!$A$13,ROW(P79)-1,4+((QUOTIENT(COLUMN(CF$2)-69,3))*5)+MOD(COLUMN(CF$2),3),1,1),"")</f>
        <v>0</v>
      </c>
      <c r="CG82">
        <f ca="1">IF($AN82="",OFFSET(Demand!$A$13,ROW(Q79)-1,4+((QUOTIENT(COLUMN(CG$2)-69,3))*5)+MOD(COLUMN(CG$2),3),1,1),"")</f>
        <v>0</v>
      </c>
      <c r="CH82">
        <f ca="1">IF($AN82="",OFFSET(Demand!$A$13,ROW(R79)-1,4+((QUOTIENT(COLUMN(CH$2)-69,3))*5)+MOD(COLUMN(CH$2),3),1,1),"")</f>
        <v>0</v>
      </c>
      <c r="CI82">
        <f ca="1">IF($AN82="",OFFSET(Demand!$A$13,ROW(S79)-1,4+((QUOTIENT(COLUMN(CI$2)-69,3))*5)+MOD(COLUMN(CI$2),3),1,1),"")</f>
        <v>0</v>
      </c>
      <c r="CJ82">
        <f ca="1">IF($AN82="",OFFSET(Demand!$A$13,ROW(T79)-1,4+((QUOTIENT(COLUMN(CJ$2)-69,3))*5)+MOD(COLUMN(CJ$2),3),1,1),"")</f>
        <v>0</v>
      </c>
      <c r="CK82">
        <f ca="1">IF($AN82="",OFFSET(Demand!$A$13,ROW(U79)-1,4+((QUOTIENT(COLUMN(CK$2)-69,3))*5)+MOD(COLUMN(CK$2),3),1,1),"")</f>
        <v>0</v>
      </c>
      <c r="CL82">
        <f ca="1">IF($AN82="",OFFSET(Demand!$A$13,ROW(V79)-1,4+((QUOTIENT(COLUMN(CL$2)-69,3))*5)+MOD(COLUMN(CL$2),3),1,1),"")</f>
        <v>0</v>
      </c>
      <c r="CM82">
        <f ca="1">IF($AN82="",OFFSET(Demand!$A$13,ROW(W79)-1,4+((QUOTIENT(COLUMN(CM$2)-69,3))*5)+MOD(COLUMN(CM$2),3),1,1),"")</f>
        <v>0</v>
      </c>
      <c r="CN82">
        <f ca="1">IF($AN82="",OFFSET(Demand!$A$13,ROW(X79)-1,4+((QUOTIENT(COLUMN(CN$2)-69,3))*5)+MOD(COLUMN(CN$2),3),1,1),"")</f>
        <v>0</v>
      </c>
      <c r="CO82">
        <f ca="1">IF($AN82="",OFFSET(Demand!$A$13,ROW(Y79)-1,4+((QUOTIENT(COLUMN(CO$2)-69,3))*5)+MOD(COLUMN(CO$2),3),1,1),"")</f>
        <v>0</v>
      </c>
      <c r="CP82">
        <f ca="1">IF($AN82="",OFFSET(Demand!$A$13,ROW(Z79)-1,4+((QUOTIENT(COLUMN(CP$2)-69,3))*5)+MOD(COLUMN(CP$2),3),1,1),"")</f>
        <v>0</v>
      </c>
      <c r="CQ82">
        <f ca="1">IF($AN82="",OFFSET(Demand!$A$13,ROW(AA79)-1,4+((QUOTIENT(COLUMN(CQ$2)-69,3))*5)+MOD(COLUMN(CQ$2),3),1,1),"")</f>
        <v>0</v>
      </c>
      <c r="CR82">
        <f ca="1">IF($AN82="",OFFSET(Demand!$A$13,ROW(AB79)-1,4+((QUOTIENT(COLUMN(CR$2)-69,3))*5)+MOD(COLUMN(CR$2),3),1,1),"")</f>
        <v>0</v>
      </c>
      <c r="CS82">
        <f ca="1">IF($AN82="",OFFSET(Demand!$A$13,ROW(AC79)-1,4+((QUOTIENT(COLUMN(CS$2)-69,3))*5)+MOD(COLUMN(CS$2),3),1,1),"")</f>
        <v>0</v>
      </c>
      <c r="CT82">
        <f ca="1">IF($AN82="",OFFSET(Demand!$A$13,ROW(AD79)-1,4+((QUOTIENT(COLUMN(CT$2)-69,3))*5)+MOD(COLUMN(CT$2),3),1,1),"")</f>
        <v>0</v>
      </c>
      <c r="CW82" s="5">
        <f ca="1">SUM(OFFSET(Demand!$H$43,ROW(A79)-1,(COLUMN(A79)-1)*5,1,1))*N$2</f>
        <v>0</v>
      </c>
      <c r="CX82" s="5">
        <f ca="1">SUM(OFFSET(Demand!$H$43,ROW(B79)-1,(COLUMN(B79)-1)*5,1,1))*O$2</f>
        <v>0</v>
      </c>
      <c r="CY82" s="5">
        <f ca="1">SUM(OFFSET(Demand!$H$43,ROW(C79)-1,(COLUMN(C79)-1)*5,1,1))*P$2</f>
        <v>0</v>
      </c>
      <c r="CZ82" s="5">
        <f ca="1">SUM(OFFSET(Demand!$H$43,ROW(D79)-1,(COLUMN(D79)-1)*5,1,1))*Q$2</f>
        <v>0</v>
      </c>
      <c r="DA82" s="5">
        <f ca="1">SUM(OFFSET(Demand!$H$43,ROW(E79)-1,(COLUMN(E79)-1)*5,1,1))*R$2</f>
        <v>0</v>
      </c>
      <c r="DB82" s="5">
        <f ca="1">SUM(OFFSET(Demand!$H$43,ROW(F79)-1,(COLUMN(F79)-1)*5,1,1))*S$2</f>
        <v>0</v>
      </c>
      <c r="DC82" s="5">
        <f ca="1">SUM(OFFSET(Demand!$H$43,ROW(G79)-1,(COLUMN(G79)-1)*5,1,1))*T$2</f>
        <v>0</v>
      </c>
      <c r="DD82" s="5">
        <f ca="1">SUM(OFFSET(Demand!$H$43,ROW(H79)-1,(COLUMN(H79)-1)*5,1,1))*U$2</f>
        <v>0</v>
      </c>
      <c r="DE82" s="5">
        <f ca="1">SUM(OFFSET(Demand!$H$43,ROW(I79)-1,(COLUMN(I79)-1)*5,1,1))*V$2</f>
        <v>0</v>
      </c>
      <c r="DF82" s="5">
        <f ca="1">SUM(OFFSET(Demand!$H$43,ROW(J79)-1,(COLUMN(J79)-1)*5,1,1))*W$2</f>
        <v>0</v>
      </c>
      <c r="DG82" s="5">
        <f t="shared" ca="1" si="36"/>
        <v>0</v>
      </c>
    </row>
    <row r="83" spans="1:111" x14ac:dyDescent="0.2">
      <c r="A83" s="5">
        <f t="shared" ca="1" si="30"/>
        <v>0</v>
      </c>
      <c r="B83" s="5">
        <f ca="1">COUNTBLANK(OFFSET(Demand!$I92,0,(COLUMN(A80)-1)*5,1,1))</f>
        <v>0</v>
      </c>
      <c r="C83" s="5">
        <f ca="1">COUNTBLANK(OFFSET(Demand!$I92,0,(COLUMN(B80)-1)*5,1,1))</f>
        <v>0</v>
      </c>
      <c r="D83" s="5">
        <f ca="1">COUNTBLANK(OFFSET(Demand!$I92,0,(COLUMN(C80)-1)*5,1,1))</f>
        <v>1</v>
      </c>
      <c r="E83" s="5">
        <f ca="1">COUNTBLANK(OFFSET(Demand!$I92,0,(COLUMN(D80)-1)*5,1,1))</f>
        <v>1</v>
      </c>
      <c r="F83" s="5">
        <f ca="1">COUNTBLANK(OFFSET(Demand!$I92,0,(COLUMN(E80)-1)*5,1,1))</f>
        <v>1</v>
      </c>
      <c r="G83" s="5">
        <f ca="1">COUNTBLANK(OFFSET(Demand!$I92,0,(COLUMN(F80)-1)*5,1,1))</f>
        <v>1</v>
      </c>
      <c r="H83" s="5">
        <f ca="1">COUNTBLANK(OFFSET(Demand!$I92,0,(COLUMN(G80)-1)*5,1,1))</f>
        <v>1</v>
      </c>
      <c r="I83" s="5">
        <f ca="1">COUNTBLANK(OFFSET(Demand!$I92,0,(COLUMN(H80)-1)*5,1,1))</f>
        <v>1</v>
      </c>
      <c r="J83" s="5">
        <f ca="1">COUNTBLANK(OFFSET(Demand!$I92,0,(COLUMN(I80)-1)*5,1,1))</f>
        <v>1</v>
      </c>
      <c r="K83" s="5">
        <f ca="1">COUNTBLANK(OFFSET(Demand!$I92,0,(COLUMN(J80)-1)*5,1,1))</f>
        <v>1</v>
      </c>
      <c r="N83" s="5">
        <f ca="1">SUM(OFFSET(Demand!$E92,0,(COLUMN(A80)-1)*5,1,3))*N$2</f>
        <v>90</v>
      </c>
      <c r="O83" s="5">
        <f ca="1">SUM(OFFSET(Demand!$E92,0,(COLUMN(B80)-1)*5,1,3))*O$2</f>
        <v>400</v>
      </c>
      <c r="P83" s="5">
        <f ca="1">SUM(OFFSET(Demand!$E92,0,(COLUMN(C80)-1)*5,1,3))*P$2</f>
        <v>0</v>
      </c>
      <c r="Q83" s="5">
        <f ca="1">SUM(OFFSET(Demand!$E92,0,(COLUMN(D80)-1)*5,1,3))*Q$2</f>
        <v>0</v>
      </c>
      <c r="R83" s="5">
        <f ca="1">SUM(OFFSET(Demand!$E92,0,(COLUMN(E80)-1)*5,1,3))*R$2</f>
        <v>0</v>
      </c>
      <c r="S83" s="5">
        <f ca="1">SUM(OFFSET(Demand!$E92,0,(COLUMN(F80)-1)*5,1,3))*S$2</f>
        <v>0</v>
      </c>
      <c r="T83" s="5">
        <f ca="1">SUM(OFFSET(Demand!$E92,0,(COLUMN(G80)-1)*5,1,3))*T$2</f>
        <v>0</v>
      </c>
      <c r="U83" s="5">
        <f ca="1">SUM(OFFSET(Demand!$E92,0,(COLUMN(H80)-1)*5,1,3))*U$2</f>
        <v>0</v>
      </c>
      <c r="V83" s="5">
        <f ca="1">SUM(OFFSET(Demand!$E92,0,(COLUMN(I80)-1)*5,1,3))*V$2</f>
        <v>0</v>
      </c>
      <c r="W83" s="5">
        <f ca="1">SUM(OFFSET(Demand!$E92,0,(COLUMN(J80)-1)*5,1,3))*W$2</f>
        <v>0</v>
      </c>
      <c r="X83" s="5">
        <f t="shared" ca="1" si="31"/>
        <v>490</v>
      </c>
      <c r="Y83">
        <f t="shared" ca="1" si="32"/>
        <v>490</v>
      </c>
      <c r="Z83" s="5">
        <f ca="1">SUM(OFFSET(Demand!$H92,0,(COLUMN(A80)-1)*5,1,1))*N$2</f>
        <v>0</v>
      </c>
      <c r="AA83" s="5">
        <f ca="1">SUM(OFFSET(Demand!$H92,0,(COLUMN(B80)-1)*5,1,1))*O$2</f>
        <v>0</v>
      </c>
      <c r="AB83" s="5">
        <f ca="1">SUM(OFFSET(Demand!$H92,0,(COLUMN(C80)-1)*5,1,1))*P$2</f>
        <v>0</v>
      </c>
      <c r="AC83" s="5">
        <f ca="1">SUM(OFFSET(Demand!$H92,0,(COLUMN(D80)-1)*5,1,1))*Q$2</f>
        <v>0</v>
      </c>
      <c r="AD83" s="5">
        <f ca="1">SUM(OFFSET(Demand!$H92,0,(COLUMN(E80)-1)*5,1,1))*R$2</f>
        <v>0</v>
      </c>
      <c r="AE83" s="5">
        <f ca="1">SUM(OFFSET(Demand!$H92,0,(COLUMN(F80)-1)*5,1,1))*S$2</f>
        <v>0</v>
      </c>
      <c r="AF83" s="5">
        <f ca="1">SUM(OFFSET(Demand!$H92,0,(COLUMN(G80)-1)*5,1,1))*T$2</f>
        <v>0</v>
      </c>
      <c r="AG83" s="5">
        <f ca="1">SUM(OFFSET(Demand!$H92,0,(COLUMN(H80)-1)*5,1,1))*U$2</f>
        <v>0</v>
      </c>
      <c r="AH83" s="5">
        <f ca="1">SUM(OFFSET(Demand!$H92,0,(COLUMN(I80)-1)*5,1,1))*V$2</f>
        <v>0</v>
      </c>
      <c r="AI83" s="5">
        <f ca="1">SUM(OFFSET(Demand!$H92,0,(COLUMN(J80)-1)*5,1,1))*W$2</f>
        <v>0</v>
      </c>
      <c r="AJ83" s="5">
        <f t="shared" ca="1" si="33"/>
        <v>0</v>
      </c>
      <c r="AL83" s="5">
        <f t="shared" ca="1" si="34"/>
        <v>490</v>
      </c>
      <c r="AM83" s="5">
        <f t="shared" ca="1" si="35"/>
        <v>0</v>
      </c>
      <c r="AN83" s="5" t="str">
        <f>IF(Demand!BE92="Yes","Yes","")</f>
        <v/>
      </c>
      <c r="AP83" s="37" t="str">
        <f ca="1">Demand!B92</f>
        <v xml:space="preserve"> </v>
      </c>
      <c r="AQ83" t="str">
        <f ca="1">IF(TEXT(Demand!D92,"MMM")&lt;&gt;TEXT(Demand!D91,"MMM"),TEXT(Demand!D92,"MMM"),"")</f>
        <v>Oct</v>
      </c>
      <c r="AT83" s="5">
        <f t="shared" ca="1" si="37"/>
        <v>70</v>
      </c>
      <c r="BQ83">
        <f ca="1">IF($AN83="",OFFSET(Demand!$A$13,ROW(A80)-1,4+((QUOTIENT(COLUMN(BQ$2)-69,3))*5)+MOD(COLUMN(BQ$2),3),1,1),"")</f>
        <v>0</v>
      </c>
      <c r="BR83">
        <f ca="1">IF($AN83="",OFFSET(Demand!$A$13,ROW(B80)-1,4+((QUOTIENT(COLUMN(BR$2)-69,3))*5)+MOD(COLUMN(BR$2),3),1,1),"")</f>
        <v>0</v>
      </c>
      <c r="BS83">
        <f ca="1">IF($AN83="",OFFSET(Demand!$A$13,ROW(C80)-1,4+((QUOTIENT(COLUMN(BS$2)-69,3))*5)+MOD(COLUMN(BS$2),3),1,1),"")</f>
        <v>3</v>
      </c>
      <c r="BT83">
        <f ca="1">IF($AN83="",OFFSET(Demand!$A$13,ROW(D80)-1,4+((QUOTIENT(COLUMN(BT$2)-69,3))*5)+MOD(COLUMN(BT$2),3),1,1),"")</f>
        <v>0</v>
      </c>
      <c r="BU83">
        <f ca="1">IF($AN83="",OFFSET(Demand!$A$13,ROW(E80)-1,4+((QUOTIENT(COLUMN(BU$2)-69,3))*5)+MOD(COLUMN(BU$2),3),1,1),"")</f>
        <v>2</v>
      </c>
      <c r="BV83">
        <f ca="1">IF($AN83="",OFFSET(Demand!$A$13,ROW(F80)-1,4+((QUOTIENT(COLUMN(BV$2)-69,3))*5)+MOD(COLUMN(BV$2),3),1,1),"")</f>
        <v>8</v>
      </c>
      <c r="BW83">
        <f ca="1">IF($AN83="",OFFSET(Demand!$A$13,ROW(G80)-1,4+((QUOTIENT(COLUMN(BW$2)-69,3))*5)+MOD(COLUMN(BW$2),3),1,1),"")</f>
        <v>0</v>
      </c>
      <c r="BX83">
        <f ca="1">IF($AN83="",OFFSET(Demand!$A$13,ROW(H80)-1,4+((QUOTIENT(COLUMN(BX$2)-69,3))*5)+MOD(COLUMN(BX$2),3),1,1),"")</f>
        <v>0</v>
      </c>
      <c r="BY83">
        <f ca="1">IF($AN83="",OFFSET(Demand!$A$13,ROW(I80)-1,4+((QUOTIENT(COLUMN(BY$2)-69,3))*5)+MOD(COLUMN(BY$2),3),1,1),"")</f>
        <v>0</v>
      </c>
      <c r="BZ83">
        <f ca="1">IF($AN83="",OFFSET(Demand!$A$13,ROW(J80)-1,4+((QUOTIENT(COLUMN(BZ$2)-69,3))*5)+MOD(COLUMN(BZ$2),3),1,1),"")</f>
        <v>0</v>
      </c>
      <c r="CA83">
        <f ca="1">IF($AN83="",OFFSET(Demand!$A$13,ROW(K80)-1,4+((QUOTIENT(COLUMN(CA$2)-69,3))*5)+MOD(COLUMN(CA$2),3),1,1),"")</f>
        <v>0</v>
      </c>
      <c r="CB83">
        <f ca="1">IF($AN83="",OFFSET(Demand!$A$13,ROW(L80)-1,4+((QUOTIENT(COLUMN(CB$2)-69,3))*5)+MOD(COLUMN(CB$2),3),1,1),"")</f>
        <v>0</v>
      </c>
      <c r="CC83">
        <f ca="1">IF($AN83="",OFFSET(Demand!$A$13,ROW(M80)-1,4+((QUOTIENT(COLUMN(CC$2)-69,3))*5)+MOD(COLUMN(CC$2),3),1,1),"")</f>
        <v>0</v>
      </c>
      <c r="CD83">
        <f ca="1">IF($AN83="",OFFSET(Demand!$A$13,ROW(N80)-1,4+((QUOTIENT(COLUMN(CD$2)-69,3))*5)+MOD(COLUMN(CD$2),3),1,1),"")</f>
        <v>0</v>
      </c>
      <c r="CE83">
        <f ca="1">IF($AN83="",OFFSET(Demand!$A$13,ROW(O80)-1,4+((QUOTIENT(COLUMN(CE$2)-69,3))*5)+MOD(COLUMN(CE$2),3),1,1),"")</f>
        <v>0</v>
      </c>
      <c r="CF83">
        <f ca="1">IF($AN83="",OFFSET(Demand!$A$13,ROW(P80)-1,4+((QUOTIENT(COLUMN(CF$2)-69,3))*5)+MOD(COLUMN(CF$2),3),1,1),"")</f>
        <v>0</v>
      </c>
      <c r="CG83">
        <f ca="1">IF($AN83="",OFFSET(Demand!$A$13,ROW(Q80)-1,4+((QUOTIENT(COLUMN(CG$2)-69,3))*5)+MOD(COLUMN(CG$2),3),1,1),"")</f>
        <v>0</v>
      </c>
      <c r="CH83">
        <f ca="1">IF($AN83="",OFFSET(Demand!$A$13,ROW(R80)-1,4+((QUOTIENT(COLUMN(CH$2)-69,3))*5)+MOD(COLUMN(CH$2),3),1,1),"")</f>
        <v>0</v>
      </c>
      <c r="CI83">
        <f ca="1">IF($AN83="",OFFSET(Demand!$A$13,ROW(S80)-1,4+((QUOTIENT(COLUMN(CI$2)-69,3))*5)+MOD(COLUMN(CI$2),3),1,1),"")</f>
        <v>0</v>
      </c>
      <c r="CJ83">
        <f ca="1">IF($AN83="",OFFSET(Demand!$A$13,ROW(T80)-1,4+((QUOTIENT(COLUMN(CJ$2)-69,3))*5)+MOD(COLUMN(CJ$2),3),1,1),"")</f>
        <v>0</v>
      </c>
      <c r="CK83">
        <f ca="1">IF($AN83="",OFFSET(Demand!$A$13,ROW(U80)-1,4+((QUOTIENT(COLUMN(CK$2)-69,3))*5)+MOD(COLUMN(CK$2),3),1,1),"")</f>
        <v>0</v>
      </c>
      <c r="CL83">
        <f ca="1">IF($AN83="",OFFSET(Demand!$A$13,ROW(V80)-1,4+((QUOTIENT(COLUMN(CL$2)-69,3))*5)+MOD(COLUMN(CL$2),3),1,1),"")</f>
        <v>0</v>
      </c>
      <c r="CM83">
        <f ca="1">IF($AN83="",OFFSET(Demand!$A$13,ROW(W80)-1,4+((QUOTIENT(COLUMN(CM$2)-69,3))*5)+MOD(COLUMN(CM$2),3),1,1),"")</f>
        <v>0</v>
      </c>
      <c r="CN83">
        <f ca="1">IF($AN83="",OFFSET(Demand!$A$13,ROW(X80)-1,4+((QUOTIENT(COLUMN(CN$2)-69,3))*5)+MOD(COLUMN(CN$2),3),1,1),"")</f>
        <v>0</v>
      </c>
      <c r="CO83">
        <f ca="1">IF($AN83="",OFFSET(Demand!$A$13,ROW(Y80)-1,4+((QUOTIENT(COLUMN(CO$2)-69,3))*5)+MOD(COLUMN(CO$2),3),1,1),"")</f>
        <v>0</v>
      </c>
      <c r="CP83">
        <f ca="1">IF($AN83="",OFFSET(Demand!$A$13,ROW(Z80)-1,4+((QUOTIENT(COLUMN(CP$2)-69,3))*5)+MOD(COLUMN(CP$2),3),1,1),"")</f>
        <v>0</v>
      </c>
      <c r="CQ83">
        <f ca="1">IF($AN83="",OFFSET(Demand!$A$13,ROW(AA80)-1,4+((QUOTIENT(COLUMN(CQ$2)-69,3))*5)+MOD(COLUMN(CQ$2),3),1,1),"")</f>
        <v>0</v>
      </c>
      <c r="CR83">
        <f ca="1">IF($AN83="",OFFSET(Demand!$A$13,ROW(AB80)-1,4+((QUOTIENT(COLUMN(CR$2)-69,3))*5)+MOD(COLUMN(CR$2),3),1,1),"")</f>
        <v>0</v>
      </c>
      <c r="CS83">
        <f ca="1">IF($AN83="",OFFSET(Demand!$A$13,ROW(AC80)-1,4+((QUOTIENT(COLUMN(CS$2)-69,3))*5)+MOD(COLUMN(CS$2),3),1,1),"")</f>
        <v>0</v>
      </c>
      <c r="CT83">
        <f ca="1">IF($AN83="",OFFSET(Demand!$A$13,ROW(AD80)-1,4+((QUOTIENT(COLUMN(CT$2)-69,3))*5)+MOD(COLUMN(CT$2),3),1,1),"")</f>
        <v>0</v>
      </c>
      <c r="CW83" s="5">
        <f ca="1">SUM(OFFSET(Demand!$H$43,ROW(A80)-1,(COLUMN(A80)-1)*5,1,1))*N$2</f>
        <v>0</v>
      </c>
      <c r="CX83" s="5">
        <f ca="1">SUM(OFFSET(Demand!$H$43,ROW(B80)-1,(COLUMN(B80)-1)*5,1,1))*O$2</f>
        <v>0</v>
      </c>
      <c r="CY83" s="5">
        <f ca="1">SUM(OFFSET(Demand!$H$43,ROW(C80)-1,(COLUMN(C80)-1)*5,1,1))*P$2</f>
        <v>0</v>
      </c>
      <c r="CZ83" s="5">
        <f ca="1">SUM(OFFSET(Demand!$H$43,ROW(D80)-1,(COLUMN(D80)-1)*5,1,1))*Q$2</f>
        <v>0</v>
      </c>
      <c r="DA83" s="5">
        <f ca="1">SUM(OFFSET(Demand!$H$43,ROW(E80)-1,(COLUMN(E80)-1)*5,1,1))*R$2</f>
        <v>0</v>
      </c>
      <c r="DB83" s="5">
        <f ca="1">SUM(OFFSET(Demand!$H$43,ROW(F80)-1,(COLUMN(F80)-1)*5,1,1))*S$2</f>
        <v>0</v>
      </c>
      <c r="DC83" s="5">
        <f ca="1">SUM(OFFSET(Demand!$H$43,ROW(G80)-1,(COLUMN(G80)-1)*5,1,1))*T$2</f>
        <v>0</v>
      </c>
      <c r="DD83" s="5">
        <f ca="1">SUM(OFFSET(Demand!$H$43,ROW(H80)-1,(COLUMN(H80)-1)*5,1,1))*U$2</f>
        <v>0</v>
      </c>
      <c r="DE83" s="5">
        <f ca="1">SUM(OFFSET(Demand!$H$43,ROW(I80)-1,(COLUMN(I80)-1)*5,1,1))*V$2</f>
        <v>0</v>
      </c>
      <c r="DF83" s="5">
        <f ca="1">SUM(OFFSET(Demand!$H$43,ROW(J80)-1,(COLUMN(J80)-1)*5,1,1))*W$2</f>
        <v>0</v>
      </c>
      <c r="DG83" s="5">
        <f t="shared" ca="1" si="36"/>
        <v>0</v>
      </c>
    </row>
    <row r="84" spans="1:111" x14ac:dyDescent="0.2">
      <c r="A84" s="5">
        <f t="shared" ca="1" si="30"/>
        <v>0</v>
      </c>
      <c r="B84" s="5">
        <f ca="1">COUNTBLANK(OFFSET(Demand!$I93,0,(COLUMN(A81)-1)*5,1,1))</f>
        <v>0</v>
      </c>
      <c r="C84" s="5">
        <f ca="1">COUNTBLANK(OFFSET(Demand!$I93,0,(COLUMN(B81)-1)*5,1,1))</f>
        <v>0</v>
      </c>
      <c r="D84" s="5">
        <f ca="1">COUNTBLANK(OFFSET(Demand!$I93,0,(COLUMN(C81)-1)*5,1,1))</f>
        <v>1</v>
      </c>
      <c r="E84" s="5">
        <f ca="1">COUNTBLANK(OFFSET(Demand!$I93,0,(COLUMN(D81)-1)*5,1,1))</f>
        <v>1</v>
      </c>
      <c r="F84" s="5">
        <f ca="1">COUNTBLANK(OFFSET(Demand!$I93,0,(COLUMN(E81)-1)*5,1,1))</f>
        <v>1</v>
      </c>
      <c r="G84" s="5">
        <f ca="1">COUNTBLANK(OFFSET(Demand!$I93,0,(COLUMN(F81)-1)*5,1,1))</f>
        <v>1</v>
      </c>
      <c r="H84" s="5">
        <f ca="1">COUNTBLANK(OFFSET(Demand!$I93,0,(COLUMN(G81)-1)*5,1,1))</f>
        <v>1</v>
      </c>
      <c r="I84" s="5">
        <f ca="1">COUNTBLANK(OFFSET(Demand!$I93,0,(COLUMN(H81)-1)*5,1,1))</f>
        <v>1</v>
      </c>
      <c r="J84" s="5">
        <f ca="1">COUNTBLANK(OFFSET(Demand!$I93,0,(COLUMN(I81)-1)*5,1,1))</f>
        <v>1</v>
      </c>
      <c r="K84" s="5">
        <f ca="1">COUNTBLANK(OFFSET(Demand!$I93,0,(COLUMN(J81)-1)*5,1,1))</f>
        <v>1</v>
      </c>
      <c r="N84" s="5">
        <f ca="1">SUM(OFFSET(Demand!$E93,0,(COLUMN(A81)-1)*5,1,3))*N$2</f>
        <v>120</v>
      </c>
      <c r="O84" s="5">
        <f ca="1">SUM(OFFSET(Demand!$E93,0,(COLUMN(B81)-1)*5,1,3))*O$2</f>
        <v>200</v>
      </c>
      <c r="P84" s="5">
        <f ca="1">SUM(OFFSET(Demand!$E93,0,(COLUMN(C81)-1)*5,1,3))*P$2</f>
        <v>0</v>
      </c>
      <c r="Q84" s="5">
        <f ca="1">SUM(OFFSET(Demand!$E93,0,(COLUMN(D81)-1)*5,1,3))*Q$2</f>
        <v>0</v>
      </c>
      <c r="R84" s="5">
        <f ca="1">SUM(OFFSET(Demand!$E93,0,(COLUMN(E81)-1)*5,1,3))*R$2</f>
        <v>0</v>
      </c>
      <c r="S84" s="5">
        <f ca="1">SUM(OFFSET(Demand!$E93,0,(COLUMN(F81)-1)*5,1,3))*S$2</f>
        <v>0</v>
      </c>
      <c r="T84" s="5">
        <f ca="1">SUM(OFFSET(Demand!$E93,0,(COLUMN(G81)-1)*5,1,3))*T$2</f>
        <v>0</v>
      </c>
      <c r="U84" s="5">
        <f ca="1">SUM(OFFSET(Demand!$E93,0,(COLUMN(H81)-1)*5,1,3))*U$2</f>
        <v>0</v>
      </c>
      <c r="V84" s="5">
        <f ca="1">SUM(OFFSET(Demand!$E93,0,(COLUMN(I81)-1)*5,1,3))*V$2</f>
        <v>0</v>
      </c>
      <c r="W84" s="5">
        <f ca="1">SUM(OFFSET(Demand!$E93,0,(COLUMN(J81)-1)*5,1,3))*W$2</f>
        <v>0</v>
      </c>
      <c r="X84" s="5">
        <f t="shared" ca="1" si="31"/>
        <v>320</v>
      </c>
      <c r="Y84">
        <f t="shared" ca="1" si="32"/>
        <v>320</v>
      </c>
      <c r="Z84" s="5">
        <f ca="1">SUM(OFFSET(Demand!$H93,0,(COLUMN(A81)-1)*5,1,1))*N$2</f>
        <v>0</v>
      </c>
      <c r="AA84" s="5">
        <f ca="1">SUM(OFFSET(Demand!$H93,0,(COLUMN(B81)-1)*5,1,1))*O$2</f>
        <v>0</v>
      </c>
      <c r="AB84" s="5">
        <f ca="1">SUM(OFFSET(Demand!$H93,0,(COLUMN(C81)-1)*5,1,1))*P$2</f>
        <v>0</v>
      </c>
      <c r="AC84" s="5">
        <f ca="1">SUM(OFFSET(Demand!$H93,0,(COLUMN(D81)-1)*5,1,1))*Q$2</f>
        <v>0</v>
      </c>
      <c r="AD84" s="5">
        <f ca="1">SUM(OFFSET(Demand!$H93,0,(COLUMN(E81)-1)*5,1,1))*R$2</f>
        <v>0</v>
      </c>
      <c r="AE84" s="5">
        <f ca="1">SUM(OFFSET(Demand!$H93,0,(COLUMN(F81)-1)*5,1,1))*S$2</f>
        <v>0</v>
      </c>
      <c r="AF84" s="5">
        <f ca="1">SUM(OFFSET(Demand!$H93,0,(COLUMN(G81)-1)*5,1,1))*T$2</f>
        <v>0</v>
      </c>
      <c r="AG84" s="5">
        <f ca="1">SUM(OFFSET(Demand!$H93,0,(COLUMN(H81)-1)*5,1,1))*U$2</f>
        <v>0</v>
      </c>
      <c r="AH84" s="5">
        <f ca="1">SUM(OFFSET(Demand!$H93,0,(COLUMN(I81)-1)*5,1,1))*V$2</f>
        <v>0</v>
      </c>
      <c r="AI84" s="5">
        <f ca="1">SUM(OFFSET(Demand!$H93,0,(COLUMN(J81)-1)*5,1,1))*W$2</f>
        <v>0</v>
      </c>
      <c r="AJ84" s="5">
        <f t="shared" ca="1" si="33"/>
        <v>0</v>
      </c>
      <c r="AL84" s="5">
        <f t="shared" ca="1" si="34"/>
        <v>320</v>
      </c>
      <c r="AM84" s="5">
        <f t="shared" ca="1" si="35"/>
        <v>0</v>
      </c>
      <c r="AN84" s="5" t="str">
        <f>IF(Demand!BE93="Yes","Yes","")</f>
        <v/>
      </c>
      <c r="AP84" s="37" t="str">
        <f ca="1">Demand!B93</f>
        <v xml:space="preserve"> </v>
      </c>
      <c r="AQ84" t="str">
        <f ca="1">IF(TEXT(Demand!D93,"MMM")&lt;&gt;TEXT(Demand!D92,"MMM"),TEXT(Demand!D93,"MMM"),"")</f>
        <v/>
      </c>
      <c r="AT84" s="5">
        <f t="shared" ca="1" si="37"/>
        <v>170</v>
      </c>
      <c r="BQ84">
        <f ca="1">IF($AN84="",OFFSET(Demand!$A$13,ROW(A81)-1,4+((QUOTIENT(COLUMN(BQ$2)-69,3))*5)+MOD(COLUMN(BQ$2),3),1,1),"")</f>
        <v>0</v>
      </c>
      <c r="BR84">
        <f ca="1">IF($AN84="",OFFSET(Demand!$A$13,ROW(B81)-1,4+((QUOTIENT(COLUMN(BR$2)-69,3))*5)+MOD(COLUMN(BR$2),3),1,1),"")</f>
        <v>0</v>
      </c>
      <c r="BS84">
        <f ca="1">IF($AN84="",OFFSET(Demand!$A$13,ROW(C81)-1,4+((QUOTIENT(COLUMN(BS$2)-69,3))*5)+MOD(COLUMN(BS$2),3),1,1),"")</f>
        <v>4</v>
      </c>
      <c r="BT84">
        <f ca="1">IF($AN84="",OFFSET(Demand!$A$13,ROW(D81)-1,4+((QUOTIENT(COLUMN(BT$2)-69,3))*5)+MOD(COLUMN(BT$2),3),1,1),"")</f>
        <v>0</v>
      </c>
      <c r="BU84">
        <f ca="1">IF($AN84="",OFFSET(Demand!$A$13,ROW(E81)-1,4+((QUOTIENT(COLUMN(BU$2)-69,3))*5)+MOD(COLUMN(BU$2),3),1,1),"")</f>
        <v>2</v>
      </c>
      <c r="BV84">
        <f ca="1">IF($AN84="",OFFSET(Demand!$A$13,ROW(F81)-1,4+((QUOTIENT(COLUMN(BV$2)-69,3))*5)+MOD(COLUMN(BV$2),3),1,1),"")</f>
        <v>3</v>
      </c>
      <c r="BW84">
        <f ca="1">IF($AN84="",OFFSET(Demand!$A$13,ROW(G81)-1,4+((QUOTIENT(COLUMN(BW$2)-69,3))*5)+MOD(COLUMN(BW$2),3),1,1),"")</f>
        <v>0</v>
      </c>
      <c r="BX84">
        <f ca="1">IF($AN84="",OFFSET(Demand!$A$13,ROW(H81)-1,4+((QUOTIENT(COLUMN(BX$2)-69,3))*5)+MOD(COLUMN(BX$2),3),1,1),"")</f>
        <v>0</v>
      </c>
      <c r="BY84">
        <f ca="1">IF($AN84="",OFFSET(Demand!$A$13,ROW(I81)-1,4+((QUOTIENT(COLUMN(BY$2)-69,3))*5)+MOD(COLUMN(BY$2),3),1,1),"")</f>
        <v>0</v>
      </c>
      <c r="BZ84">
        <f ca="1">IF($AN84="",OFFSET(Demand!$A$13,ROW(J81)-1,4+((QUOTIENT(COLUMN(BZ$2)-69,3))*5)+MOD(COLUMN(BZ$2),3),1,1),"")</f>
        <v>0</v>
      </c>
      <c r="CA84">
        <f ca="1">IF($AN84="",OFFSET(Demand!$A$13,ROW(K81)-1,4+((QUOTIENT(COLUMN(CA$2)-69,3))*5)+MOD(COLUMN(CA$2),3),1,1),"")</f>
        <v>0</v>
      </c>
      <c r="CB84">
        <f ca="1">IF($AN84="",OFFSET(Demand!$A$13,ROW(L81)-1,4+((QUOTIENT(COLUMN(CB$2)-69,3))*5)+MOD(COLUMN(CB$2),3),1,1),"")</f>
        <v>0</v>
      </c>
      <c r="CC84">
        <f ca="1">IF($AN84="",OFFSET(Demand!$A$13,ROW(M81)-1,4+((QUOTIENT(COLUMN(CC$2)-69,3))*5)+MOD(COLUMN(CC$2),3),1,1),"")</f>
        <v>0</v>
      </c>
      <c r="CD84">
        <f ca="1">IF($AN84="",OFFSET(Demand!$A$13,ROW(N81)-1,4+((QUOTIENT(COLUMN(CD$2)-69,3))*5)+MOD(COLUMN(CD$2),3),1,1),"")</f>
        <v>0</v>
      </c>
      <c r="CE84">
        <f ca="1">IF($AN84="",OFFSET(Demand!$A$13,ROW(O81)-1,4+((QUOTIENT(COLUMN(CE$2)-69,3))*5)+MOD(COLUMN(CE$2),3),1,1),"")</f>
        <v>0</v>
      </c>
      <c r="CF84">
        <f ca="1">IF($AN84="",OFFSET(Demand!$A$13,ROW(P81)-1,4+((QUOTIENT(COLUMN(CF$2)-69,3))*5)+MOD(COLUMN(CF$2),3),1,1),"")</f>
        <v>0</v>
      </c>
      <c r="CG84">
        <f ca="1">IF($AN84="",OFFSET(Demand!$A$13,ROW(Q81)-1,4+((QUOTIENT(COLUMN(CG$2)-69,3))*5)+MOD(COLUMN(CG$2),3),1,1),"")</f>
        <v>0</v>
      </c>
      <c r="CH84">
        <f ca="1">IF($AN84="",OFFSET(Demand!$A$13,ROW(R81)-1,4+((QUOTIENT(COLUMN(CH$2)-69,3))*5)+MOD(COLUMN(CH$2),3),1,1),"")</f>
        <v>0</v>
      </c>
      <c r="CI84">
        <f ca="1">IF($AN84="",OFFSET(Demand!$A$13,ROW(S81)-1,4+((QUOTIENT(COLUMN(CI$2)-69,3))*5)+MOD(COLUMN(CI$2),3),1,1),"")</f>
        <v>0</v>
      </c>
      <c r="CJ84">
        <f ca="1">IF($AN84="",OFFSET(Demand!$A$13,ROW(T81)-1,4+((QUOTIENT(COLUMN(CJ$2)-69,3))*5)+MOD(COLUMN(CJ$2),3),1,1),"")</f>
        <v>0</v>
      </c>
      <c r="CK84">
        <f ca="1">IF($AN84="",OFFSET(Demand!$A$13,ROW(U81)-1,4+((QUOTIENT(COLUMN(CK$2)-69,3))*5)+MOD(COLUMN(CK$2),3),1,1),"")</f>
        <v>0</v>
      </c>
      <c r="CL84">
        <f ca="1">IF($AN84="",OFFSET(Demand!$A$13,ROW(V81)-1,4+((QUOTIENT(COLUMN(CL$2)-69,3))*5)+MOD(COLUMN(CL$2),3),1,1),"")</f>
        <v>0</v>
      </c>
      <c r="CM84">
        <f ca="1">IF($AN84="",OFFSET(Demand!$A$13,ROW(W81)-1,4+((QUOTIENT(COLUMN(CM$2)-69,3))*5)+MOD(COLUMN(CM$2),3),1,1),"")</f>
        <v>0</v>
      </c>
      <c r="CN84">
        <f ca="1">IF($AN84="",OFFSET(Demand!$A$13,ROW(X81)-1,4+((QUOTIENT(COLUMN(CN$2)-69,3))*5)+MOD(COLUMN(CN$2),3),1,1),"")</f>
        <v>0</v>
      </c>
      <c r="CO84">
        <f ca="1">IF($AN84="",OFFSET(Demand!$A$13,ROW(Y81)-1,4+((QUOTIENT(COLUMN(CO$2)-69,3))*5)+MOD(COLUMN(CO$2),3),1,1),"")</f>
        <v>0</v>
      </c>
      <c r="CP84">
        <f ca="1">IF($AN84="",OFFSET(Demand!$A$13,ROW(Z81)-1,4+((QUOTIENT(COLUMN(CP$2)-69,3))*5)+MOD(COLUMN(CP$2),3),1,1),"")</f>
        <v>0</v>
      </c>
      <c r="CQ84">
        <f ca="1">IF($AN84="",OFFSET(Demand!$A$13,ROW(AA81)-1,4+((QUOTIENT(COLUMN(CQ$2)-69,3))*5)+MOD(COLUMN(CQ$2),3),1,1),"")</f>
        <v>0</v>
      </c>
      <c r="CR84">
        <f ca="1">IF($AN84="",OFFSET(Demand!$A$13,ROW(AB81)-1,4+((QUOTIENT(COLUMN(CR$2)-69,3))*5)+MOD(COLUMN(CR$2),3),1,1),"")</f>
        <v>0</v>
      </c>
      <c r="CS84">
        <f ca="1">IF($AN84="",OFFSET(Demand!$A$13,ROW(AC81)-1,4+((QUOTIENT(COLUMN(CS$2)-69,3))*5)+MOD(COLUMN(CS$2),3),1,1),"")</f>
        <v>0</v>
      </c>
      <c r="CT84">
        <f ca="1">IF($AN84="",OFFSET(Demand!$A$13,ROW(AD81)-1,4+((QUOTIENT(COLUMN(CT$2)-69,3))*5)+MOD(COLUMN(CT$2),3),1,1),"")</f>
        <v>0</v>
      </c>
      <c r="CW84" s="5">
        <f ca="1">SUM(OFFSET(Demand!$H$43,ROW(A81)-1,(COLUMN(A81)-1)*5,1,1))*N$2</f>
        <v>0</v>
      </c>
      <c r="CX84" s="5">
        <f ca="1">SUM(OFFSET(Demand!$H$43,ROW(B81)-1,(COLUMN(B81)-1)*5,1,1))*O$2</f>
        <v>0</v>
      </c>
      <c r="CY84" s="5">
        <f ca="1">SUM(OFFSET(Demand!$H$43,ROW(C81)-1,(COLUMN(C81)-1)*5,1,1))*P$2</f>
        <v>0</v>
      </c>
      <c r="CZ84" s="5">
        <f ca="1">SUM(OFFSET(Demand!$H$43,ROW(D81)-1,(COLUMN(D81)-1)*5,1,1))*Q$2</f>
        <v>0</v>
      </c>
      <c r="DA84" s="5">
        <f ca="1">SUM(OFFSET(Demand!$H$43,ROW(E81)-1,(COLUMN(E81)-1)*5,1,1))*R$2</f>
        <v>0</v>
      </c>
      <c r="DB84" s="5">
        <f ca="1">SUM(OFFSET(Demand!$H$43,ROW(F81)-1,(COLUMN(F81)-1)*5,1,1))*S$2</f>
        <v>0</v>
      </c>
      <c r="DC84" s="5">
        <f ca="1">SUM(OFFSET(Demand!$H$43,ROW(G81)-1,(COLUMN(G81)-1)*5,1,1))*T$2</f>
        <v>0</v>
      </c>
      <c r="DD84" s="5">
        <f ca="1">SUM(OFFSET(Demand!$H$43,ROW(H81)-1,(COLUMN(H81)-1)*5,1,1))*U$2</f>
        <v>0</v>
      </c>
      <c r="DE84" s="5">
        <f ca="1">SUM(OFFSET(Demand!$H$43,ROW(I81)-1,(COLUMN(I81)-1)*5,1,1))*V$2</f>
        <v>0</v>
      </c>
      <c r="DF84" s="5">
        <f ca="1">SUM(OFFSET(Demand!$H$43,ROW(J81)-1,(COLUMN(J81)-1)*5,1,1))*W$2</f>
        <v>0</v>
      </c>
      <c r="DG84" s="5">
        <f t="shared" ca="1" si="36"/>
        <v>0</v>
      </c>
    </row>
    <row r="85" spans="1:111" x14ac:dyDescent="0.2">
      <c r="A85" s="5">
        <f t="shared" ca="1" si="30"/>
        <v>0</v>
      </c>
      <c r="B85" s="5">
        <f ca="1">COUNTBLANK(OFFSET(Demand!$I94,0,(COLUMN(A82)-1)*5,1,1))</f>
        <v>0</v>
      </c>
      <c r="C85" s="5">
        <f ca="1">COUNTBLANK(OFFSET(Demand!$I94,0,(COLUMN(B82)-1)*5,1,1))</f>
        <v>0</v>
      </c>
      <c r="D85" s="5">
        <f ca="1">COUNTBLANK(OFFSET(Demand!$I94,0,(COLUMN(C82)-1)*5,1,1))</f>
        <v>1</v>
      </c>
      <c r="E85" s="5">
        <f ca="1">COUNTBLANK(OFFSET(Demand!$I94,0,(COLUMN(D82)-1)*5,1,1))</f>
        <v>1</v>
      </c>
      <c r="F85" s="5">
        <f ca="1">COUNTBLANK(OFFSET(Demand!$I94,0,(COLUMN(E82)-1)*5,1,1))</f>
        <v>1</v>
      </c>
      <c r="G85" s="5">
        <f ca="1">COUNTBLANK(OFFSET(Demand!$I94,0,(COLUMN(F82)-1)*5,1,1))</f>
        <v>1</v>
      </c>
      <c r="H85" s="5">
        <f ca="1">COUNTBLANK(OFFSET(Demand!$I94,0,(COLUMN(G82)-1)*5,1,1))</f>
        <v>1</v>
      </c>
      <c r="I85" s="5">
        <f ca="1">COUNTBLANK(OFFSET(Demand!$I94,0,(COLUMN(H82)-1)*5,1,1))</f>
        <v>1</v>
      </c>
      <c r="J85" s="5">
        <f ca="1">COUNTBLANK(OFFSET(Demand!$I94,0,(COLUMN(I82)-1)*5,1,1))</f>
        <v>1</v>
      </c>
      <c r="K85" s="5">
        <f ca="1">COUNTBLANK(OFFSET(Demand!$I94,0,(COLUMN(J82)-1)*5,1,1))</f>
        <v>1</v>
      </c>
      <c r="N85" s="5">
        <f ca="1">SUM(OFFSET(Demand!$E94,0,(COLUMN(A82)-1)*5,1,3))*N$2</f>
        <v>150</v>
      </c>
      <c r="O85" s="5">
        <f ca="1">SUM(OFFSET(Demand!$E94,0,(COLUMN(B82)-1)*5,1,3))*O$2</f>
        <v>320</v>
      </c>
      <c r="P85" s="5">
        <f ca="1">SUM(OFFSET(Demand!$E94,0,(COLUMN(C82)-1)*5,1,3))*P$2</f>
        <v>0</v>
      </c>
      <c r="Q85" s="5">
        <f ca="1">SUM(OFFSET(Demand!$E94,0,(COLUMN(D82)-1)*5,1,3))*Q$2</f>
        <v>0</v>
      </c>
      <c r="R85" s="5">
        <f ca="1">SUM(OFFSET(Demand!$E94,0,(COLUMN(E82)-1)*5,1,3))*R$2</f>
        <v>0</v>
      </c>
      <c r="S85" s="5">
        <f ca="1">SUM(OFFSET(Demand!$E94,0,(COLUMN(F82)-1)*5,1,3))*S$2</f>
        <v>0</v>
      </c>
      <c r="T85" s="5">
        <f ca="1">SUM(OFFSET(Demand!$E94,0,(COLUMN(G82)-1)*5,1,3))*T$2</f>
        <v>0</v>
      </c>
      <c r="U85" s="5">
        <f ca="1">SUM(OFFSET(Demand!$E94,0,(COLUMN(H82)-1)*5,1,3))*U$2</f>
        <v>0</v>
      </c>
      <c r="V85" s="5">
        <f ca="1">SUM(OFFSET(Demand!$E94,0,(COLUMN(I82)-1)*5,1,3))*V$2</f>
        <v>0</v>
      </c>
      <c r="W85" s="5">
        <f ca="1">SUM(OFFSET(Demand!$E94,0,(COLUMN(J82)-1)*5,1,3))*W$2</f>
        <v>0</v>
      </c>
      <c r="X85" s="5">
        <f t="shared" ca="1" si="31"/>
        <v>470</v>
      </c>
      <c r="Y85">
        <f t="shared" ca="1" si="32"/>
        <v>470</v>
      </c>
      <c r="Z85" s="5">
        <f ca="1">SUM(OFFSET(Demand!$H94,0,(COLUMN(A82)-1)*5,1,1))*N$2</f>
        <v>0</v>
      </c>
      <c r="AA85" s="5">
        <f ca="1">SUM(OFFSET(Demand!$H94,0,(COLUMN(B82)-1)*5,1,1))*O$2</f>
        <v>0</v>
      </c>
      <c r="AB85" s="5">
        <f ca="1">SUM(OFFSET(Demand!$H94,0,(COLUMN(C82)-1)*5,1,1))*P$2</f>
        <v>0</v>
      </c>
      <c r="AC85" s="5">
        <f ca="1">SUM(OFFSET(Demand!$H94,0,(COLUMN(D82)-1)*5,1,1))*Q$2</f>
        <v>0</v>
      </c>
      <c r="AD85" s="5">
        <f ca="1">SUM(OFFSET(Demand!$H94,0,(COLUMN(E82)-1)*5,1,1))*R$2</f>
        <v>0</v>
      </c>
      <c r="AE85" s="5">
        <f ca="1">SUM(OFFSET(Demand!$H94,0,(COLUMN(F82)-1)*5,1,1))*S$2</f>
        <v>0</v>
      </c>
      <c r="AF85" s="5">
        <f ca="1">SUM(OFFSET(Demand!$H94,0,(COLUMN(G82)-1)*5,1,1))*T$2</f>
        <v>0</v>
      </c>
      <c r="AG85" s="5">
        <f ca="1">SUM(OFFSET(Demand!$H94,0,(COLUMN(H82)-1)*5,1,1))*U$2</f>
        <v>0</v>
      </c>
      <c r="AH85" s="5">
        <f ca="1">SUM(OFFSET(Demand!$H94,0,(COLUMN(I82)-1)*5,1,1))*V$2</f>
        <v>0</v>
      </c>
      <c r="AI85" s="5">
        <f ca="1">SUM(OFFSET(Demand!$H94,0,(COLUMN(J82)-1)*5,1,1))*W$2</f>
        <v>0</v>
      </c>
      <c r="AJ85" s="5">
        <f t="shared" ca="1" si="33"/>
        <v>0</v>
      </c>
      <c r="AL85" s="5">
        <f t="shared" ca="1" si="34"/>
        <v>470</v>
      </c>
      <c r="AM85" s="5">
        <f t="shared" ca="1" si="35"/>
        <v>0</v>
      </c>
      <c r="AN85" s="5" t="str">
        <f>IF(Demand!BE94="Yes","Yes","")</f>
        <v/>
      </c>
      <c r="AP85" s="37" t="str">
        <f ca="1">Demand!B94</f>
        <v xml:space="preserve"> </v>
      </c>
      <c r="AQ85" t="str">
        <f ca="1">IF(TEXT(Demand!D94,"MMM")&lt;&gt;TEXT(Demand!D93,"MMM"),TEXT(Demand!D94,"MMM"),"")</f>
        <v/>
      </c>
      <c r="AT85" s="5">
        <f t="shared" ca="1" si="37"/>
        <v>150</v>
      </c>
      <c r="BQ85">
        <f ca="1">IF($AN85="",OFFSET(Demand!$A$13,ROW(A82)-1,4+((QUOTIENT(COLUMN(BQ$2)-69,3))*5)+MOD(COLUMN(BQ$2),3),1,1),"")</f>
        <v>0</v>
      </c>
      <c r="BR85">
        <f ca="1">IF($AN85="",OFFSET(Demand!$A$13,ROW(B82)-1,4+((QUOTIENT(COLUMN(BR$2)-69,3))*5)+MOD(COLUMN(BR$2),3),1,1),"")</f>
        <v>2</v>
      </c>
      <c r="BS85">
        <f ca="1">IF($AN85="",OFFSET(Demand!$A$13,ROW(C82)-1,4+((QUOTIENT(COLUMN(BS$2)-69,3))*5)+MOD(COLUMN(BS$2),3),1,1),"")</f>
        <v>3</v>
      </c>
      <c r="BT85">
        <f ca="1">IF($AN85="",OFFSET(Demand!$A$13,ROW(D82)-1,4+((QUOTIENT(COLUMN(BT$2)-69,3))*5)+MOD(COLUMN(BT$2),3),1,1),"")</f>
        <v>0</v>
      </c>
      <c r="BU85">
        <f ca="1">IF($AN85="",OFFSET(Demand!$A$13,ROW(E82)-1,4+((QUOTIENT(COLUMN(BU$2)-69,3))*5)+MOD(COLUMN(BU$2),3),1,1),"")</f>
        <v>1</v>
      </c>
      <c r="BV85">
        <f ca="1">IF($AN85="",OFFSET(Demand!$A$13,ROW(F82)-1,4+((QUOTIENT(COLUMN(BV$2)-69,3))*5)+MOD(COLUMN(BV$2),3),1,1),"")</f>
        <v>7</v>
      </c>
      <c r="BW85">
        <f ca="1">IF($AN85="",OFFSET(Demand!$A$13,ROW(G82)-1,4+((QUOTIENT(COLUMN(BW$2)-69,3))*5)+MOD(COLUMN(BW$2),3),1,1),"")</f>
        <v>0</v>
      </c>
      <c r="BX85">
        <f ca="1">IF($AN85="",OFFSET(Demand!$A$13,ROW(H82)-1,4+((QUOTIENT(COLUMN(BX$2)-69,3))*5)+MOD(COLUMN(BX$2),3),1,1),"")</f>
        <v>0</v>
      </c>
      <c r="BY85">
        <f ca="1">IF($AN85="",OFFSET(Demand!$A$13,ROW(I82)-1,4+((QUOTIENT(COLUMN(BY$2)-69,3))*5)+MOD(COLUMN(BY$2),3),1,1),"")</f>
        <v>0</v>
      </c>
      <c r="BZ85">
        <f ca="1">IF($AN85="",OFFSET(Demand!$A$13,ROW(J82)-1,4+((QUOTIENT(COLUMN(BZ$2)-69,3))*5)+MOD(COLUMN(BZ$2),3),1,1),"")</f>
        <v>0</v>
      </c>
      <c r="CA85">
        <f ca="1">IF($AN85="",OFFSET(Demand!$A$13,ROW(K82)-1,4+((QUOTIENT(COLUMN(CA$2)-69,3))*5)+MOD(COLUMN(CA$2),3),1,1),"")</f>
        <v>0</v>
      </c>
      <c r="CB85">
        <f ca="1">IF($AN85="",OFFSET(Demand!$A$13,ROW(L82)-1,4+((QUOTIENT(COLUMN(CB$2)-69,3))*5)+MOD(COLUMN(CB$2),3),1,1),"")</f>
        <v>0</v>
      </c>
      <c r="CC85">
        <f ca="1">IF($AN85="",OFFSET(Demand!$A$13,ROW(M82)-1,4+((QUOTIENT(COLUMN(CC$2)-69,3))*5)+MOD(COLUMN(CC$2),3),1,1),"")</f>
        <v>0</v>
      </c>
      <c r="CD85">
        <f ca="1">IF($AN85="",OFFSET(Demand!$A$13,ROW(N82)-1,4+((QUOTIENT(COLUMN(CD$2)-69,3))*5)+MOD(COLUMN(CD$2),3),1,1),"")</f>
        <v>0</v>
      </c>
      <c r="CE85">
        <f ca="1">IF($AN85="",OFFSET(Demand!$A$13,ROW(O82)-1,4+((QUOTIENT(COLUMN(CE$2)-69,3))*5)+MOD(COLUMN(CE$2),3),1,1),"")</f>
        <v>0</v>
      </c>
      <c r="CF85">
        <f ca="1">IF($AN85="",OFFSET(Demand!$A$13,ROW(P82)-1,4+((QUOTIENT(COLUMN(CF$2)-69,3))*5)+MOD(COLUMN(CF$2),3),1,1),"")</f>
        <v>0</v>
      </c>
      <c r="CG85">
        <f ca="1">IF($AN85="",OFFSET(Demand!$A$13,ROW(Q82)-1,4+((QUOTIENT(COLUMN(CG$2)-69,3))*5)+MOD(COLUMN(CG$2),3),1,1),"")</f>
        <v>0</v>
      </c>
      <c r="CH85">
        <f ca="1">IF($AN85="",OFFSET(Demand!$A$13,ROW(R82)-1,4+((QUOTIENT(COLUMN(CH$2)-69,3))*5)+MOD(COLUMN(CH$2),3),1,1),"")</f>
        <v>0</v>
      </c>
      <c r="CI85">
        <f ca="1">IF($AN85="",OFFSET(Demand!$A$13,ROW(S82)-1,4+((QUOTIENT(COLUMN(CI$2)-69,3))*5)+MOD(COLUMN(CI$2),3),1,1),"")</f>
        <v>0</v>
      </c>
      <c r="CJ85">
        <f ca="1">IF($AN85="",OFFSET(Demand!$A$13,ROW(T82)-1,4+((QUOTIENT(COLUMN(CJ$2)-69,3))*5)+MOD(COLUMN(CJ$2),3),1,1),"")</f>
        <v>0</v>
      </c>
      <c r="CK85">
        <f ca="1">IF($AN85="",OFFSET(Demand!$A$13,ROW(U82)-1,4+((QUOTIENT(COLUMN(CK$2)-69,3))*5)+MOD(COLUMN(CK$2),3),1,1),"")</f>
        <v>0</v>
      </c>
      <c r="CL85">
        <f ca="1">IF($AN85="",OFFSET(Demand!$A$13,ROW(V82)-1,4+((QUOTIENT(COLUMN(CL$2)-69,3))*5)+MOD(COLUMN(CL$2),3),1,1),"")</f>
        <v>0</v>
      </c>
      <c r="CM85">
        <f ca="1">IF($AN85="",OFFSET(Demand!$A$13,ROW(W82)-1,4+((QUOTIENT(COLUMN(CM$2)-69,3))*5)+MOD(COLUMN(CM$2),3),1,1),"")</f>
        <v>0</v>
      </c>
      <c r="CN85">
        <f ca="1">IF($AN85="",OFFSET(Demand!$A$13,ROW(X82)-1,4+((QUOTIENT(COLUMN(CN$2)-69,3))*5)+MOD(COLUMN(CN$2),3),1,1),"")</f>
        <v>0</v>
      </c>
      <c r="CO85">
        <f ca="1">IF($AN85="",OFFSET(Demand!$A$13,ROW(Y82)-1,4+((QUOTIENT(COLUMN(CO$2)-69,3))*5)+MOD(COLUMN(CO$2),3),1,1),"")</f>
        <v>0</v>
      </c>
      <c r="CP85">
        <f ca="1">IF($AN85="",OFFSET(Demand!$A$13,ROW(Z82)-1,4+((QUOTIENT(COLUMN(CP$2)-69,3))*5)+MOD(COLUMN(CP$2),3),1,1),"")</f>
        <v>0</v>
      </c>
      <c r="CQ85">
        <f ca="1">IF($AN85="",OFFSET(Demand!$A$13,ROW(AA82)-1,4+((QUOTIENT(COLUMN(CQ$2)-69,3))*5)+MOD(COLUMN(CQ$2),3),1,1),"")</f>
        <v>0</v>
      </c>
      <c r="CR85">
        <f ca="1">IF($AN85="",OFFSET(Demand!$A$13,ROW(AB82)-1,4+((QUOTIENT(COLUMN(CR$2)-69,3))*5)+MOD(COLUMN(CR$2),3),1,1),"")</f>
        <v>0</v>
      </c>
      <c r="CS85">
        <f ca="1">IF($AN85="",OFFSET(Demand!$A$13,ROW(AC82)-1,4+((QUOTIENT(COLUMN(CS$2)-69,3))*5)+MOD(COLUMN(CS$2),3),1,1),"")</f>
        <v>0</v>
      </c>
      <c r="CT85">
        <f ca="1">IF($AN85="",OFFSET(Demand!$A$13,ROW(AD82)-1,4+((QUOTIENT(COLUMN(CT$2)-69,3))*5)+MOD(COLUMN(CT$2),3),1,1),"")</f>
        <v>0</v>
      </c>
      <c r="CW85" s="5">
        <f ca="1">SUM(OFFSET(Demand!$H$43,ROW(A82)-1,(COLUMN(A82)-1)*5,1,1))*N$2</f>
        <v>0</v>
      </c>
      <c r="CX85" s="5">
        <f ca="1">SUM(OFFSET(Demand!$H$43,ROW(B82)-1,(COLUMN(B82)-1)*5,1,1))*O$2</f>
        <v>0</v>
      </c>
      <c r="CY85" s="5">
        <f ca="1">SUM(OFFSET(Demand!$H$43,ROW(C82)-1,(COLUMN(C82)-1)*5,1,1))*P$2</f>
        <v>0</v>
      </c>
      <c r="CZ85" s="5">
        <f ca="1">SUM(OFFSET(Demand!$H$43,ROW(D82)-1,(COLUMN(D82)-1)*5,1,1))*Q$2</f>
        <v>0</v>
      </c>
      <c r="DA85" s="5">
        <f ca="1">SUM(OFFSET(Demand!$H$43,ROW(E82)-1,(COLUMN(E82)-1)*5,1,1))*R$2</f>
        <v>0</v>
      </c>
      <c r="DB85" s="5">
        <f ca="1">SUM(OFFSET(Demand!$H$43,ROW(F82)-1,(COLUMN(F82)-1)*5,1,1))*S$2</f>
        <v>0</v>
      </c>
      <c r="DC85" s="5">
        <f ca="1">SUM(OFFSET(Demand!$H$43,ROW(G82)-1,(COLUMN(G82)-1)*5,1,1))*T$2</f>
        <v>0</v>
      </c>
      <c r="DD85" s="5">
        <f ca="1">SUM(OFFSET(Demand!$H$43,ROW(H82)-1,(COLUMN(H82)-1)*5,1,1))*U$2</f>
        <v>0</v>
      </c>
      <c r="DE85" s="5">
        <f ca="1">SUM(OFFSET(Demand!$H$43,ROW(I82)-1,(COLUMN(I82)-1)*5,1,1))*V$2</f>
        <v>0</v>
      </c>
      <c r="DF85" s="5">
        <f ca="1">SUM(OFFSET(Demand!$H$43,ROW(J82)-1,(COLUMN(J82)-1)*5,1,1))*W$2</f>
        <v>0</v>
      </c>
      <c r="DG85" s="5">
        <f t="shared" ca="1" si="36"/>
        <v>0</v>
      </c>
    </row>
    <row r="86" spans="1:111" x14ac:dyDescent="0.2">
      <c r="A86" s="5">
        <f t="shared" ca="1" si="30"/>
        <v>0</v>
      </c>
      <c r="B86" s="5">
        <f ca="1">COUNTBLANK(OFFSET(Demand!$I95,0,(COLUMN(A83)-1)*5,1,1))</f>
        <v>0</v>
      </c>
      <c r="C86" s="5">
        <f ca="1">COUNTBLANK(OFFSET(Demand!$I95,0,(COLUMN(B83)-1)*5,1,1))</f>
        <v>0</v>
      </c>
      <c r="D86" s="5">
        <f ca="1">COUNTBLANK(OFFSET(Demand!$I95,0,(COLUMN(C83)-1)*5,1,1))</f>
        <v>1</v>
      </c>
      <c r="E86" s="5">
        <f ca="1">COUNTBLANK(OFFSET(Demand!$I95,0,(COLUMN(D83)-1)*5,1,1))</f>
        <v>1</v>
      </c>
      <c r="F86" s="5">
        <f ca="1">COUNTBLANK(OFFSET(Demand!$I95,0,(COLUMN(E83)-1)*5,1,1))</f>
        <v>1</v>
      </c>
      <c r="G86" s="5">
        <f ca="1">COUNTBLANK(OFFSET(Demand!$I95,0,(COLUMN(F83)-1)*5,1,1))</f>
        <v>1</v>
      </c>
      <c r="H86" s="5">
        <f ca="1">COUNTBLANK(OFFSET(Demand!$I95,0,(COLUMN(G83)-1)*5,1,1))</f>
        <v>1</v>
      </c>
      <c r="I86" s="5">
        <f ca="1">COUNTBLANK(OFFSET(Demand!$I95,0,(COLUMN(H83)-1)*5,1,1))</f>
        <v>1</v>
      </c>
      <c r="J86" s="5">
        <f ca="1">COUNTBLANK(OFFSET(Demand!$I95,0,(COLUMN(I83)-1)*5,1,1))</f>
        <v>1</v>
      </c>
      <c r="K86" s="5">
        <f ca="1">COUNTBLANK(OFFSET(Demand!$I95,0,(COLUMN(J83)-1)*5,1,1))</f>
        <v>1</v>
      </c>
      <c r="N86" s="5">
        <f ca="1">SUM(OFFSET(Demand!$E95,0,(COLUMN(A83)-1)*5,1,3))*N$2</f>
        <v>180</v>
      </c>
      <c r="O86" s="5">
        <f ca="1">SUM(OFFSET(Demand!$E95,0,(COLUMN(B83)-1)*5,1,3))*O$2</f>
        <v>360</v>
      </c>
      <c r="P86" s="5">
        <f ca="1">SUM(OFFSET(Demand!$E95,0,(COLUMN(C83)-1)*5,1,3))*P$2</f>
        <v>0</v>
      </c>
      <c r="Q86" s="5">
        <f ca="1">SUM(OFFSET(Demand!$E95,0,(COLUMN(D83)-1)*5,1,3))*Q$2</f>
        <v>0</v>
      </c>
      <c r="R86" s="5">
        <f ca="1">SUM(OFFSET(Demand!$E95,0,(COLUMN(E83)-1)*5,1,3))*R$2</f>
        <v>0</v>
      </c>
      <c r="S86" s="5">
        <f ca="1">SUM(OFFSET(Demand!$E95,0,(COLUMN(F83)-1)*5,1,3))*S$2</f>
        <v>0</v>
      </c>
      <c r="T86" s="5">
        <f ca="1">SUM(OFFSET(Demand!$E95,0,(COLUMN(G83)-1)*5,1,3))*T$2</f>
        <v>0</v>
      </c>
      <c r="U86" s="5">
        <f ca="1">SUM(OFFSET(Demand!$E95,0,(COLUMN(H83)-1)*5,1,3))*U$2</f>
        <v>0</v>
      </c>
      <c r="V86" s="5">
        <f ca="1">SUM(OFFSET(Demand!$E95,0,(COLUMN(I83)-1)*5,1,3))*V$2</f>
        <v>0</v>
      </c>
      <c r="W86" s="5">
        <f ca="1">SUM(OFFSET(Demand!$E95,0,(COLUMN(J83)-1)*5,1,3))*W$2</f>
        <v>0</v>
      </c>
      <c r="X86" s="5">
        <f t="shared" ca="1" si="31"/>
        <v>540</v>
      </c>
      <c r="Y86">
        <f t="shared" ca="1" si="32"/>
        <v>540</v>
      </c>
      <c r="Z86" s="5">
        <f ca="1">SUM(OFFSET(Demand!$H95,0,(COLUMN(A83)-1)*5,1,1))*N$2</f>
        <v>0</v>
      </c>
      <c r="AA86" s="5">
        <f ca="1">SUM(OFFSET(Demand!$H95,0,(COLUMN(B83)-1)*5,1,1))*O$2</f>
        <v>0</v>
      </c>
      <c r="AB86" s="5">
        <f ca="1">SUM(OFFSET(Demand!$H95,0,(COLUMN(C83)-1)*5,1,1))*P$2</f>
        <v>0</v>
      </c>
      <c r="AC86" s="5">
        <f ca="1">SUM(OFFSET(Demand!$H95,0,(COLUMN(D83)-1)*5,1,1))*Q$2</f>
        <v>0</v>
      </c>
      <c r="AD86" s="5">
        <f ca="1">SUM(OFFSET(Demand!$H95,0,(COLUMN(E83)-1)*5,1,1))*R$2</f>
        <v>0</v>
      </c>
      <c r="AE86" s="5">
        <f ca="1">SUM(OFFSET(Demand!$H95,0,(COLUMN(F83)-1)*5,1,1))*S$2</f>
        <v>0</v>
      </c>
      <c r="AF86" s="5">
        <f ca="1">SUM(OFFSET(Demand!$H95,0,(COLUMN(G83)-1)*5,1,1))*T$2</f>
        <v>0</v>
      </c>
      <c r="AG86" s="5">
        <f ca="1">SUM(OFFSET(Demand!$H95,0,(COLUMN(H83)-1)*5,1,1))*U$2</f>
        <v>0</v>
      </c>
      <c r="AH86" s="5">
        <f ca="1">SUM(OFFSET(Demand!$H95,0,(COLUMN(I83)-1)*5,1,1))*V$2</f>
        <v>0</v>
      </c>
      <c r="AI86" s="5">
        <f ca="1">SUM(OFFSET(Demand!$H95,0,(COLUMN(J83)-1)*5,1,1))*W$2</f>
        <v>0</v>
      </c>
      <c r="AJ86" s="5">
        <f t="shared" ca="1" si="33"/>
        <v>0</v>
      </c>
      <c r="AL86" s="5">
        <f t="shared" ca="1" si="34"/>
        <v>540</v>
      </c>
      <c r="AM86" s="5">
        <f t="shared" ca="1" si="35"/>
        <v>0</v>
      </c>
      <c r="AN86" s="5" t="str">
        <f>IF(Demand!BE95="Yes","Yes","")</f>
        <v/>
      </c>
      <c r="AP86" s="37" t="str">
        <f ca="1">Demand!B95</f>
        <v xml:space="preserve"> </v>
      </c>
      <c r="AQ86" t="str">
        <f ca="1">IF(TEXT(Demand!D95,"MMM")&lt;&gt;TEXT(Demand!D94,"MMM"),TEXT(Demand!D95,"MMM"),"")</f>
        <v/>
      </c>
      <c r="AT86" s="5">
        <f t="shared" ca="1" si="37"/>
        <v>70</v>
      </c>
      <c r="BQ86">
        <f ca="1">IF($AN86="",OFFSET(Demand!$A$13,ROW(A83)-1,4+((QUOTIENT(COLUMN(BQ$2)-69,3))*5)+MOD(COLUMN(BQ$2),3),1,1),"")</f>
        <v>0</v>
      </c>
      <c r="BR86">
        <f ca="1">IF($AN86="",OFFSET(Demand!$A$13,ROW(B83)-1,4+((QUOTIENT(COLUMN(BR$2)-69,3))*5)+MOD(COLUMN(BR$2),3),1,1),"")</f>
        <v>1</v>
      </c>
      <c r="BS86">
        <f ca="1">IF($AN86="",OFFSET(Demand!$A$13,ROW(C83)-1,4+((QUOTIENT(COLUMN(BS$2)-69,3))*5)+MOD(COLUMN(BS$2),3),1,1),"")</f>
        <v>5</v>
      </c>
      <c r="BT86">
        <f ca="1">IF($AN86="",OFFSET(Demand!$A$13,ROW(D83)-1,4+((QUOTIENT(COLUMN(BT$2)-69,3))*5)+MOD(COLUMN(BT$2),3),1,1),"")</f>
        <v>0</v>
      </c>
      <c r="BU86">
        <f ca="1">IF($AN86="",OFFSET(Demand!$A$13,ROW(E83)-1,4+((QUOTIENT(COLUMN(BU$2)-69,3))*5)+MOD(COLUMN(BU$2),3),1,1),"")</f>
        <v>2</v>
      </c>
      <c r="BV86">
        <f ca="1">IF($AN86="",OFFSET(Demand!$A$13,ROW(F83)-1,4+((QUOTIENT(COLUMN(BV$2)-69,3))*5)+MOD(COLUMN(BV$2),3),1,1),"")</f>
        <v>7</v>
      </c>
      <c r="BW86">
        <f ca="1">IF($AN86="",OFFSET(Demand!$A$13,ROW(G83)-1,4+((QUOTIENT(COLUMN(BW$2)-69,3))*5)+MOD(COLUMN(BW$2),3),1,1),"")</f>
        <v>0</v>
      </c>
      <c r="BX86">
        <f ca="1">IF($AN86="",OFFSET(Demand!$A$13,ROW(H83)-1,4+((QUOTIENT(COLUMN(BX$2)-69,3))*5)+MOD(COLUMN(BX$2),3),1,1),"")</f>
        <v>0</v>
      </c>
      <c r="BY86">
        <f ca="1">IF($AN86="",OFFSET(Demand!$A$13,ROW(I83)-1,4+((QUOTIENT(COLUMN(BY$2)-69,3))*5)+MOD(COLUMN(BY$2),3),1,1),"")</f>
        <v>0</v>
      </c>
      <c r="BZ86">
        <f ca="1">IF($AN86="",OFFSET(Demand!$A$13,ROW(J83)-1,4+((QUOTIENT(COLUMN(BZ$2)-69,3))*5)+MOD(COLUMN(BZ$2),3),1,1),"")</f>
        <v>0</v>
      </c>
      <c r="CA86">
        <f ca="1">IF($AN86="",OFFSET(Demand!$A$13,ROW(K83)-1,4+((QUOTIENT(COLUMN(CA$2)-69,3))*5)+MOD(COLUMN(CA$2),3),1,1),"")</f>
        <v>0</v>
      </c>
      <c r="CB86">
        <f ca="1">IF($AN86="",OFFSET(Demand!$A$13,ROW(L83)-1,4+((QUOTIENT(COLUMN(CB$2)-69,3))*5)+MOD(COLUMN(CB$2),3),1,1),"")</f>
        <v>0</v>
      </c>
      <c r="CC86">
        <f ca="1">IF($AN86="",OFFSET(Demand!$A$13,ROW(M83)-1,4+((QUOTIENT(COLUMN(CC$2)-69,3))*5)+MOD(COLUMN(CC$2),3),1,1),"")</f>
        <v>0</v>
      </c>
      <c r="CD86">
        <f ca="1">IF($AN86="",OFFSET(Demand!$A$13,ROW(N83)-1,4+((QUOTIENT(COLUMN(CD$2)-69,3))*5)+MOD(COLUMN(CD$2),3),1,1),"")</f>
        <v>0</v>
      </c>
      <c r="CE86">
        <f ca="1">IF($AN86="",OFFSET(Demand!$A$13,ROW(O83)-1,4+((QUOTIENT(COLUMN(CE$2)-69,3))*5)+MOD(COLUMN(CE$2),3),1,1),"")</f>
        <v>0</v>
      </c>
      <c r="CF86">
        <f ca="1">IF($AN86="",OFFSET(Demand!$A$13,ROW(P83)-1,4+((QUOTIENT(COLUMN(CF$2)-69,3))*5)+MOD(COLUMN(CF$2),3),1,1),"")</f>
        <v>0</v>
      </c>
      <c r="CG86">
        <f ca="1">IF($AN86="",OFFSET(Demand!$A$13,ROW(Q83)-1,4+((QUOTIENT(COLUMN(CG$2)-69,3))*5)+MOD(COLUMN(CG$2),3),1,1),"")</f>
        <v>0</v>
      </c>
      <c r="CH86">
        <f ca="1">IF($AN86="",OFFSET(Demand!$A$13,ROW(R83)-1,4+((QUOTIENT(COLUMN(CH$2)-69,3))*5)+MOD(COLUMN(CH$2),3),1,1),"")</f>
        <v>0</v>
      </c>
      <c r="CI86">
        <f ca="1">IF($AN86="",OFFSET(Demand!$A$13,ROW(S83)-1,4+((QUOTIENT(COLUMN(CI$2)-69,3))*5)+MOD(COLUMN(CI$2),3),1,1),"")</f>
        <v>0</v>
      </c>
      <c r="CJ86">
        <f ca="1">IF($AN86="",OFFSET(Demand!$A$13,ROW(T83)-1,4+((QUOTIENT(COLUMN(CJ$2)-69,3))*5)+MOD(COLUMN(CJ$2),3),1,1),"")</f>
        <v>0</v>
      </c>
      <c r="CK86">
        <f ca="1">IF($AN86="",OFFSET(Demand!$A$13,ROW(U83)-1,4+((QUOTIENT(COLUMN(CK$2)-69,3))*5)+MOD(COLUMN(CK$2),3),1,1),"")</f>
        <v>0</v>
      </c>
      <c r="CL86">
        <f ca="1">IF($AN86="",OFFSET(Demand!$A$13,ROW(V83)-1,4+((QUOTIENT(COLUMN(CL$2)-69,3))*5)+MOD(COLUMN(CL$2),3),1,1),"")</f>
        <v>0</v>
      </c>
      <c r="CM86">
        <f ca="1">IF($AN86="",OFFSET(Demand!$A$13,ROW(W83)-1,4+((QUOTIENT(COLUMN(CM$2)-69,3))*5)+MOD(COLUMN(CM$2),3),1,1),"")</f>
        <v>0</v>
      </c>
      <c r="CN86">
        <f ca="1">IF($AN86="",OFFSET(Demand!$A$13,ROW(X83)-1,4+((QUOTIENT(COLUMN(CN$2)-69,3))*5)+MOD(COLUMN(CN$2),3),1,1),"")</f>
        <v>0</v>
      </c>
      <c r="CO86">
        <f ca="1">IF($AN86="",OFFSET(Demand!$A$13,ROW(Y83)-1,4+((QUOTIENT(COLUMN(CO$2)-69,3))*5)+MOD(COLUMN(CO$2),3),1,1),"")</f>
        <v>0</v>
      </c>
      <c r="CP86">
        <f ca="1">IF($AN86="",OFFSET(Demand!$A$13,ROW(Z83)-1,4+((QUOTIENT(COLUMN(CP$2)-69,3))*5)+MOD(COLUMN(CP$2),3),1,1),"")</f>
        <v>0</v>
      </c>
      <c r="CQ86">
        <f ca="1">IF($AN86="",OFFSET(Demand!$A$13,ROW(AA83)-1,4+((QUOTIENT(COLUMN(CQ$2)-69,3))*5)+MOD(COLUMN(CQ$2),3),1,1),"")</f>
        <v>0</v>
      </c>
      <c r="CR86">
        <f ca="1">IF($AN86="",OFFSET(Demand!$A$13,ROW(AB83)-1,4+((QUOTIENT(COLUMN(CR$2)-69,3))*5)+MOD(COLUMN(CR$2),3),1,1),"")</f>
        <v>0</v>
      </c>
      <c r="CS86">
        <f ca="1">IF($AN86="",OFFSET(Demand!$A$13,ROW(AC83)-1,4+((QUOTIENT(COLUMN(CS$2)-69,3))*5)+MOD(COLUMN(CS$2),3),1,1),"")</f>
        <v>0</v>
      </c>
      <c r="CT86">
        <f ca="1">IF($AN86="",OFFSET(Demand!$A$13,ROW(AD83)-1,4+((QUOTIENT(COLUMN(CT$2)-69,3))*5)+MOD(COLUMN(CT$2),3),1,1),"")</f>
        <v>0</v>
      </c>
      <c r="CW86" s="5">
        <f ca="1">SUM(OFFSET(Demand!$H$43,ROW(A83)-1,(COLUMN(A83)-1)*5,1,1))*N$2</f>
        <v>0</v>
      </c>
      <c r="CX86" s="5">
        <f ca="1">SUM(OFFSET(Demand!$H$43,ROW(B83)-1,(COLUMN(B83)-1)*5,1,1))*O$2</f>
        <v>0</v>
      </c>
      <c r="CY86" s="5">
        <f ca="1">SUM(OFFSET(Demand!$H$43,ROW(C83)-1,(COLUMN(C83)-1)*5,1,1))*P$2</f>
        <v>0</v>
      </c>
      <c r="CZ86" s="5">
        <f ca="1">SUM(OFFSET(Demand!$H$43,ROW(D83)-1,(COLUMN(D83)-1)*5,1,1))*Q$2</f>
        <v>0</v>
      </c>
      <c r="DA86" s="5">
        <f ca="1">SUM(OFFSET(Demand!$H$43,ROW(E83)-1,(COLUMN(E83)-1)*5,1,1))*R$2</f>
        <v>0</v>
      </c>
      <c r="DB86" s="5">
        <f ca="1">SUM(OFFSET(Demand!$H$43,ROW(F83)-1,(COLUMN(F83)-1)*5,1,1))*S$2</f>
        <v>0</v>
      </c>
      <c r="DC86" s="5">
        <f ca="1">SUM(OFFSET(Demand!$H$43,ROW(G83)-1,(COLUMN(G83)-1)*5,1,1))*T$2</f>
        <v>0</v>
      </c>
      <c r="DD86" s="5">
        <f ca="1">SUM(OFFSET(Demand!$H$43,ROW(H83)-1,(COLUMN(H83)-1)*5,1,1))*U$2</f>
        <v>0</v>
      </c>
      <c r="DE86" s="5">
        <f ca="1">SUM(OFFSET(Demand!$H$43,ROW(I83)-1,(COLUMN(I83)-1)*5,1,1))*V$2</f>
        <v>0</v>
      </c>
      <c r="DF86" s="5">
        <f ca="1">SUM(OFFSET(Demand!$H$43,ROW(J83)-1,(COLUMN(J83)-1)*5,1,1))*W$2</f>
        <v>0</v>
      </c>
      <c r="DG86" s="5">
        <f t="shared" ca="1" si="36"/>
        <v>0</v>
      </c>
    </row>
    <row r="87" spans="1:111" x14ac:dyDescent="0.2">
      <c r="A87" s="5">
        <f t="shared" ca="1" si="30"/>
        <v>0</v>
      </c>
      <c r="B87" s="5">
        <f ca="1">COUNTBLANK(OFFSET(Demand!$I96,0,(COLUMN(A84)-1)*5,1,1))</f>
        <v>0</v>
      </c>
      <c r="C87" s="5">
        <f ca="1">COUNTBLANK(OFFSET(Demand!$I96,0,(COLUMN(B84)-1)*5,1,1))</f>
        <v>0</v>
      </c>
      <c r="D87" s="5">
        <f ca="1">COUNTBLANK(OFFSET(Demand!$I96,0,(COLUMN(C84)-1)*5,1,1))</f>
        <v>1</v>
      </c>
      <c r="E87" s="5">
        <f ca="1">COUNTBLANK(OFFSET(Demand!$I96,0,(COLUMN(D84)-1)*5,1,1))</f>
        <v>1</v>
      </c>
      <c r="F87" s="5">
        <f ca="1">COUNTBLANK(OFFSET(Demand!$I96,0,(COLUMN(E84)-1)*5,1,1))</f>
        <v>1</v>
      </c>
      <c r="G87" s="5">
        <f ca="1">COUNTBLANK(OFFSET(Demand!$I96,0,(COLUMN(F84)-1)*5,1,1))</f>
        <v>1</v>
      </c>
      <c r="H87" s="5">
        <f ca="1">COUNTBLANK(OFFSET(Demand!$I96,0,(COLUMN(G84)-1)*5,1,1))</f>
        <v>1</v>
      </c>
      <c r="I87" s="5">
        <f ca="1">COUNTBLANK(OFFSET(Demand!$I96,0,(COLUMN(H84)-1)*5,1,1))</f>
        <v>1</v>
      </c>
      <c r="J87" s="5">
        <f ca="1">COUNTBLANK(OFFSET(Demand!$I96,0,(COLUMN(I84)-1)*5,1,1))</f>
        <v>1</v>
      </c>
      <c r="K87" s="5">
        <f ca="1">COUNTBLANK(OFFSET(Demand!$I96,0,(COLUMN(J84)-1)*5,1,1))</f>
        <v>1</v>
      </c>
      <c r="N87" s="5">
        <f ca="1">SUM(OFFSET(Demand!$E96,0,(COLUMN(A84)-1)*5,1,3))*N$2</f>
        <v>60</v>
      </c>
      <c r="O87" s="5">
        <f ca="1">SUM(OFFSET(Demand!$E96,0,(COLUMN(B84)-1)*5,1,3))*O$2</f>
        <v>280</v>
      </c>
      <c r="P87" s="5">
        <f ca="1">SUM(OFFSET(Demand!$E96,0,(COLUMN(C84)-1)*5,1,3))*P$2</f>
        <v>0</v>
      </c>
      <c r="Q87" s="5">
        <f ca="1">SUM(OFFSET(Demand!$E96,0,(COLUMN(D84)-1)*5,1,3))*Q$2</f>
        <v>0</v>
      </c>
      <c r="R87" s="5">
        <f ca="1">SUM(OFFSET(Demand!$E96,0,(COLUMN(E84)-1)*5,1,3))*R$2</f>
        <v>0</v>
      </c>
      <c r="S87" s="5">
        <f ca="1">SUM(OFFSET(Demand!$E96,0,(COLUMN(F84)-1)*5,1,3))*S$2</f>
        <v>0</v>
      </c>
      <c r="T87" s="5">
        <f ca="1">SUM(OFFSET(Demand!$E96,0,(COLUMN(G84)-1)*5,1,3))*T$2</f>
        <v>0</v>
      </c>
      <c r="U87" s="5">
        <f ca="1">SUM(OFFSET(Demand!$E96,0,(COLUMN(H84)-1)*5,1,3))*U$2</f>
        <v>0</v>
      </c>
      <c r="V87" s="5">
        <f ca="1">SUM(OFFSET(Demand!$E96,0,(COLUMN(I84)-1)*5,1,3))*V$2</f>
        <v>0</v>
      </c>
      <c r="W87" s="5">
        <f ca="1">SUM(OFFSET(Demand!$E96,0,(COLUMN(J84)-1)*5,1,3))*W$2</f>
        <v>0</v>
      </c>
      <c r="X87" s="5">
        <f t="shared" ca="1" si="31"/>
        <v>340</v>
      </c>
      <c r="Y87">
        <f t="shared" ca="1" si="32"/>
        <v>340</v>
      </c>
      <c r="Z87" s="5">
        <f ca="1">SUM(OFFSET(Demand!$H96,0,(COLUMN(A84)-1)*5,1,1))*N$2</f>
        <v>0</v>
      </c>
      <c r="AA87" s="5">
        <f ca="1">SUM(OFFSET(Demand!$H96,0,(COLUMN(B84)-1)*5,1,1))*O$2</f>
        <v>0</v>
      </c>
      <c r="AB87" s="5">
        <f ca="1">SUM(OFFSET(Demand!$H96,0,(COLUMN(C84)-1)*5,1,1))*P$2</f>
        <v>0</v>
      </c>
      <c r="AC87" s="5">
        <f ca="1">SUM(OFFSET(Demand!$H96,0,(COLUMN(D84)-1)*5,1,1))*Q$2</f>
        <v>0</v>
      </c>
      <c r="AD87" s="5">
        <f ca="1">SUM(OFFSET(Demand!$H96,0,(COLUMN(E84)-1)*5,1,1))*R$2</f>
        <v>0</v>
      </c>
      <c r="AE87" s="5">
        <f ca="1">SUM(OFFSET(Demand!$H96,0,(COLUMN(F84)-1)*5,1,1))*S$2</f>
        <v>0</v>
      </c>
      <c r="AF87" s="5">
        <f ca="1">SUM(OFFSET(Demand!$H96,0,(COLUMN(G84)-1)*5,1,1))*T$2</f>
        <v>0</v>
      </c>
      <c r="AG87" s="5">
        <f ca="1">SUM(OFFSET(Demand!$H96,0,(COLUMN(H84)-1)*5,1,1))*U$2</f>
        <v>0</v>
      </c>
      <c r="AH87" s="5">
        <f ca="1">SUM(OFFSET(Demand!$H96,0,(COLUMN(I84)-1)*5,1,1))*V$2</f>
        <v>0</v>
      </c>
      <c r="AI87" s="5">
        <f ca="1">SUM(OFFSET(Demand!$H96,0,(COLUMN(J84)-1)*5,1,1))*W$2</f>
        <v>0</v>
      </c>
      <c r="AJ87" s="5">
        <f t="shared" ca="1" si="33"/>
        <v>0</v>
      </c>
      <c r="AL87" s="5">
        <f t="shared" ca="1" si="34"/>
        <v>340</v>
      </c>
      <c r="AM87" s="5">
        <f t="shared" ca="1" si="35"/>
        <v>0</v>
      </c>
      <c r="AN87" s="5" t="str">
        <f>IF(Demand!BE96="Yes","Yes","")</f>
        <v/>
      </c>
      <c r="AP87" s="37" t="str">
        <f ca="1">Demand!B96</f>
        <v xml:space="preserve"> </v>
      </c>
      <c r="AQ87" t="str">
        <f ca="1">IF(TEXT(Demand!D96,"MMM")&lt;&gt;TEXT(Demand!D95,"MMM"),TEXT(Demand!D96,"MMM"),"")</f>
        <v>Nov</v>
      </c>
      <c r="AT87" s="5">
        <f t="shared" ca="1" si="37"/>
        <v>200</v>
      </c>
      <c r="BQ87">
        <f ca="1">IF($AN87="",OFFSET(Demand!$A$13,ROW(A84)-1,4+((QUOTIENT(COLUMN(BQ$2)-69,3))*5)+MOD(COLUMN(BQ$2),3),1,1),"")</f>
        <v>0</v>
      </c>
      <c r="BR87">
        <f ca="1">IF($AN87="",OFFSET(Demand!$A$13,ROW(B84)-1,4+((QUOTIENT(COLUMN(BR$2)-69,3))*5)+MOD(COLUMN(BR$2),3),1,1),"")</f>
        <v>1</v>
      </c>
      <c r="BS87">
        <f ca="1">IF($AN87="",OFFSET(Demand!$A$13,ROW(C84)-1,4+((QUOTIENT(COLUMN(BS$2)-69,3))*5)+MOD(COLUMN(BS$2),3),1,1),"")</f>
        <v>1</v>
      </c>
      <c r="BT87">
        <f ca="1">IF($AN87="",OFFSET(Demand!$A$13,ROW(D84)-1,4+((QUOTIENT(COLUMN(BT$2)-69,3))*5)+MOD(COLUMN(BT$2),3),1,1),"")</f>
        <v>0</v>
      </c>
      <c r="BU87">
        <f ca="1">IF($AN87="",OFFSET(Demand!$A$13,ROW(E84)-1,4+((QUOTIENT(COLUMN(BU$2)-69,3))*5)+MOD(COLUMN(BU$2),3),1,1),"")</f>
        <v>1</v>
      </c>
      <c r="BV87">
        <f ca="1">IF($AN87="",OFFSET(Demand!$A$13,ROW(F84)-1,4+((QUOTIENT(COLUMN(BV$2)-69,3))*5)+MOD(COLUMN(BV$2),3),1,1),"")</f>
        <v>6</v>
      </c>
      <c r="BW87">
        <f ca="1">IF($AN87="",OFFSET(Demand!$A$13,ROW(G84)-1,4+((QUOTIENT(COLUMN(BW$2)-69,3))*5)+MOD(COLUMN(BW$2),3),1,1),"")</f>
        <v>0</v>
      </c>
      <c r="BX87">
        <f ca="1">IF($AN87="",OFFSET(Demand!$A$13,ROW(H84)-1,4+((QUOTIENT(COLUMN(BX$2)-69,3))*5)+MOD(COLUMN(BX$2),3),1,1),"")</f>
        <v>0</v>
      </c>
      <c r="BY87">
        <f ca="1">IF($AN87="",OFFSET(Demand!$A$13,ROW(I84)-1,4+((QUOTIENT(COLUMN(BY$2)-69,3))*5)+MOD(COLUMN(BY$2),3),1,1),"")</f>
        <v>0</v>
      </c>
      <c r="BZ87">
        <f ca="1">IF($AN87="",OFFSET(Demand!$A$13,ROW(J84)-1,4+((QUOTIENT(COLUMN(BZ$2)-69,3))*5)+MOD(COLUMN(BZ$2),3),1,1),"")</f>
        <v>0</v>
      </c>
      <c r="CA87">
        <f ca="1">IF($AN87="",OFFSET(Demand!$A$13,ROW(K84)-1,4+((QUOTIENT(COLUMN(CA$2)-69,3))*5)+MOD(COLUMN(CA$2),3),1,1),"")</f>
        <v>0</v>
      </c>
      <c r="CB87">
        <f ca="1">IF($AN87="",OFFSET(Demand!$A$13,ROW(L84)-1,4+((QUOTIENT(COLUMN(CB$2)-69,3))*5)+MOD(COLUMN(CB$2),3),1,1),"")</f>
        <v>0</v>
      </c>
      <c r="CC87">
        <f ca="1">IF($AN87="",OFFSET(Demand!$A$13,ROW(M84)-1,4+((QUOTIENT(COLUMN(CC$2)-69,3))*5)+MOD(COLUMN(CC$2),3),1,1),"")</f>
        <v>0</v>
      </c>
      <c r="CD87">
        <f ca="1">IF($AN87="",OFFSET(Demand!$A$13,ROW(N84)-1,4+((QUOTIENT(COLUMN(CD$2)-69,3))*5)+MOD(COLUMN(CD$2),3),1,1),"")</f>
        <v>0</v>
      </c>
      <c r="CE87">
        <f ca="1">IF($AN87="",OFFSET(Demand!$A$13,ROW(O84)-1,4+((QUOTIENT(COLUMN(CE$2)-69,3))*5)+MOD(COLUMN(CE$2),3),1,1),"")</f>
        <v>0</v>
      </c>
      <c r="CF87">
        <f ca="1">IF($AN87="",OFFSET(Demand!$A$13,ROW(P84)-1,4+((QUOTIENT(COLUMN(CF$2)-69,3))*5)+MOD(COLUMN(CF$2),3),1,1),"")</f>
        <v>0</v>
      </c>
      <c r="CG87">
        <f ca="1">IF($AN87="",OFFSET(Demand!$A$13,ROW(Q84)-1,4+((QUOTIENT(COLUMN(CG$2)-69,3))*5)+MOD(COLUMN(CG$2),3),1,1),"")</f>
        <v>0</v>
      </c>
      <c r="CH87">
        <f ca="1">IF($AN87="",OFFSET(Demand!$A$13,ROW(R84)-1,4+((QUOTIENT(COLUMN(CH$2)-69,3))*5)+MOD(COLUMN(CH$2),3),1,1),"")</f>
        <v>0</v>
      </c>
      <c r="CI87">
        <f ca="1">IF($AN87="",OFFSET(Demand!$A$13,ROW(S84)-1,4+((QUOTIENT(COLUMN(CI$2)-69,3))*5)+MOD(COLUMN(CI$2),3),1,1),"")</f>
        <v>0</v>
      </c>
      <c r="CJ87">
        <f ca="1">IF($AN87="",OFFSET(Demand!$A$13,ROW(T84)-1,4+((QUOTIENT(COLUMN(CJ$2)-69,3))*5)+MOD(COLUMN(CJ$2),3),1,1),"")</f>
        <v>0</v>
      </c>
      <c r="CK87">
        <f ca="1">IF($AN87="",OFFSET(Demand!$A$13,ROW(U84)-1,4+((QUOTIENT(COLUMN(CK$2)-69,3))*5)+MOD(COLUMN(CK$2),3),1,1),"")</f>
        <v>0</v>
      </c>
      <c r="CL87">
        <f ca="1">IF($AN87="",OFFSET(Demand!$A$13,ROW(V84)-1,4+((QUOTIENT(COLUMN(CL$2)-69,3))*5)+MOD(COLUMN(CL$2),3),1,1),"")</f>
        <v>0</v>
      </c>
      <c r="CM87">
        <f ca="1">IF($AN87="",OFFSET(Demand!$A$13,ROW(W84)-1,4+((QUOTIENT(COLUMN(CM$2)-69,3))*5)+MOD(COLUMN(CM$2),3),1,1),"")</f>
        <v>0</v>
      </c>
      <c r="CN87">
        <f ca="1">IF($AN87="",OFFSET(Demand!$A$13,ROW(X84)-1,4+((QUOTIENT(COLUMN(CN$2)-69,3))*5)+MOD(COLUMN(CN$2),3),1,1),"")</f>
        <v>0</v>
      </c>
      <c r="CO87">
        <f ca="1">IF($AN87="",OFFSET(Demand!$A$13,ROW(Y84)-1,4+((QUOTIENT(COLUMN(CO$2)-69,3))*5)+MOD(COLUMN(CO$2),3),1,1),"")</f>
        <v>0</v>
      </c>
      <c r="CP87">
        <f ca="1">IF($AN87="",OFFSET(Demand!$A$13,ROW(Z84)-1,4+((QUOTIENT(COLUMN(CP$2)-69,3))*5)+MOD(COLUMN(CP$2),3),1,1),"")</f>
        <v>0</v>
      </c>
      <c r="CQ87">
        <f ca="1">IF($AN87="",OFFSET(Demand!$A$13,ROW(AA84)-1,4+((QUOTIENT(COLUMN(CQ$2)-69,3))*5)+MOD(COLUMN(CQ$2),3),1,1),"")</f>
        <v>0</v>
      </c>
      <c r="CR87">
        <f ca="1">IF($AN87="",OFFSET(Demand!$A$13,ROW(AB84)-1,4+((QUOTIENT(COLUMN(CR$2)-69,3))*5)+MOD(COLUMN(CR$2),3),1,1),"")</f>
        <v>0</v>
      </c>
      <c r="CS87">
        <f ca="1">IF($AN87="",OFFSET(Demand!$A$13,ROW(AC84)-1,4+((QUOTIENT(COLUMN(CS$2)-69,3))*5)+MOD(COLUMN(CS$2),3),1,1),"")</f>
        <v>0</v>
      </c>
      <c r="CT87">
        <f ca="1">IF($AN87="",OFFSET(Demand!$A$13,ROW(AD84)-1,4+((QUOTIENT(COLUMN(CT$2)-69,3))*5)+MOD(COLUMN(CT$2),3),1,1),"")</f>
        <v>0</v>
      </c>
      <c r="CW87" s="5">
        <f ca="1">SUM(OFFSET(Demand!$H$43,ROW(A84)-1,(COLUMN(A84)-1)*5,1,1))*N$2</f>
        <v>0</v>
      </c>
      <c r="CX87" s="5">
        <f ca="1">SUM(OFFSET(Demand!$H$43,ROW(B84)-1,(COLUMN(B84)-1)*5,1,1))*O$2</f>
        <v>0</v>
      </c>
      <c r="CY87" s="5">
        <f ca="1">SUM(OFFSET(Demand!$H$43,ROW(C84)-1,(COLUMN(C84)-1)*5,1,1))*P$2</f>
        <v>0</v>
      </c>
      <c r="CZ87" s="5">
        <f ca="1">SUM(OFFSET(Demand!$H$43,ROW(D84)-1,(COLUMN(D84)-1)*5,1,1))*Q$2</f>
        <v>0</v>
      </c>
      <c r="DA87" s="5">
        <f ca="1">SUM(OFFSET(Demand!$H$43,ROW(E84)-1,(COLUMN(E84)-1)*5,1,1))*R$2</f>
        <v>0</v>
      </c>
      <c r="DB87" s="5">
        <f ca="1">SUM(OFFSET(Demand!$H$43,ROW(F84)-1,(COLUMN(F84)-1)*5,1,1))*S$2</f>
        <v>0</v>
      </c>
      <c r="DC87" s="5">
        <f ca="1">SUM(OFFSET(Demand!$H$43,ROW(G84)-1,(COLUMN(G84)-1)*5,1,1))*T$2</f>
        <v>0</v>
      </c>
      <c r="DD87" s="5">
        <f ca="1">SUM(OFFSET(Demand!$H$43,ROW(H84)-1,(COLUMN(H84)-1)*5,1,1))*U$2</f>
        <v>0</v>
      </c>
      <c r="DE87" s="5">
        <f ca="1">SUM(OFFSET(Demand!$H$43,ROW(I84)-1,(COLUMN(I84)-1)*5,1,1))*V$2</f>
        <v>0</v>
      </c>
      <c r="DF87" s="5">
        <f ca="1">SUM(OFFSET(Demand!$H$43,ROW(J84)-1,(COLUMN(J84)-1)*5,1,1))*W$2</f>
        <v>0</v>
      </c>
      <c r="DG87" s="5">
        <f t="shared" ca="1" si="36"/>
        <v>0</v>
      </c>
    </row>
    <row r="88" spans="1:111" x14ac:dyDescent="0.2">
      <c r="A88" s="5">
        <f t="shared" ca="1" si="30"/>
        <v>0</v>
      </c>
      <c r="B88" s="5">
        <f ca="1">COUNTBLANK(OFFSET(Demand!$I97,0,(COLUMN(A85)-1)*5,1,1))</f>
        <v>0</v>
      </c>
      <c r="C88" s="5">
        <f ca="1">COUNTBLANK(OFFSET(Demand!$I97,0,(COLUMN(B85)-1)*5,1,1))</f>
        <v>0</v>
      </c>
      <c r="D88" s="5">
        <f ca="1">COUNTBLANK(OFFSET(Demand!$I97,0,(COLUMN(C85)-1)*5,1,1))</f>
        <v>1</v>
      </c>
      <c r="E88" s="5">
        <f ca="1">COUNTBLANK(OFFSET(Demand!$I97,0,(COLUMN(D85)-1)*5,1,1))</f>
        <v>1</v>
      </c>
      <c r="F88" s="5">
        <f ca="1">COUNTBLANK(OFFSET(Demand!$I97,0,(COLUMN(E85)-1)*5,1,1))</f>
        <v>1</v>
      </c>
      <c r="G88" s="5">
        <f ca="1">COUNTBLANK(OFFSET(Demand!$I97,0,(COLUMN(F85)-1)*5,1,1))</f>
        <v>1</v>
      </c>
      <c r="H88" s="5">
        <f ca="1">COUNTBLANK(OFFSET(Demand!$I97,0,(COLUMN(G85)-1)*5,1,1))</f>
        <v>1</v>
      </c>
      <c r="I88" s="5">
        <f ca="1">COUNTBLANK(OFFSET(Demand!$I97,0,(COLUMN(H85)-1)*5,1,1))</f>
        <v>1</v>
      </c>
      <c r="J88" s="5">
        <f ca="1">COUNTBLANK(OFFSET(Demand!$I97,0,(COLUMN(I85)-1)*5,1,1))</f>
        <v>1</v>
      </c>
      <c r="K88" s="5">
        <f ca="1">COUNTBLANK(OFFSET(Demand!$I97,0,(COLUMN(J85)-1)*5,1,1))</f>
        <v>1</v>
      </c>
      <c r="N88" s="5">
        <f ca="1">SUM(OFFSET(Demand!$E97,0,(COLUMN(A85)-1)*5,1,3))*N$2</f>
        <v>90</v>
      </c>
      <c r="O88" s="5">
        <f ca="1">SUM(OFFSET(Demand!$E97,0,(COLUMN(B85)-1)*5,1,3))*O$2</f>
        <v>440</v>
      </c>
      <c r="P88" s="5">
        <f ca="1">SUM(OFFSET(Demand!$E97,0,(COLUMN(C85)-1)*5,1,3))*P$2</f>
        <v>0</v>
      </c>
      <c r="Q88" s="5">
        <f ca="1">SUM(OFFSET(Demand!$E97,0,(COLUMN(D85)-1)*5,1,3))*Q$2</f>
        <v>0</v>
      </c>
      <c r="R88" s="5">
        <f ca="1">SUM(OFFSET(Demand!$E97,0,(COLUMN(E85)-1)*5,1,3))*R$2</f>
        <v>0</v>
      </c>
      <c r="S88" s="5">
        <f ca="1">SUM(OFFSET(Demand!$E97,0,(COLUMN(F85)-1)*5,1,3))*S$2</f>
        <v>0</v>
      </c>
      <c r="T88" s="5">
        <f ca="1">SUM(OFFSET(Demand!$E97,0,(COLUMN(G85)-1)*5,1,3))*T$2</f>
        <v>0</v>
      </c>
      <c r="U88" s="5">
        <f ca="1">SUM(OFFSET(Demand!$E97,0,(COLUMN(H85)-1)*5,1,3))*U$2</f>
        <v>0</v>
      </c>
      <c r="V88" s="5">
        <f ca="1">SUM(OFFSET(Demand!$E97,0,(COLUMN(I85)-1)*5,1,3))*V$2</f>
        <v>0</v>
      </c>
      <c r="W88" s="5">
        <f ca="1">SUM(OFFSET(Demand!$E97,0,(COLUMN(J85)-1)*5,1,3))*W$2</f>
        <v>0</v>
      </c>
      <c r="X88" s="5">
        <f t="shared" ca="1" si="31"/>
        <v>530</v>
      </c>
      <c r="Y88">
        <f t="shared" ca="1" si="32"/>
        <v>530</v>
      </c>
      <c r="Z88" s="5">
        <f ca="1">SUM(OFFSET(Demand!$H97,0,(COLUMN(A85)-1)*5,1,1))*N$2</f>
        <v>0</v>
      </c>
      <c r="AA88" s="5">
        <f ca="1">SUM(OFFSET(Demand!$H97,0,(COLUMN(B85)-1)*5,1,1))*O$2</f>
        <v>0</v>
      </c>
      <c r="AB88" s="5">
        <f ca="1">SUM(OFFSET(Demand!$H97,0,(COLUMN(C85)-1)*5,1,1))*P$2</f>
        <v>0</v>
      </c>
      <c r="AC88" s="5">
        <f ca="1">SUM(OFFSET(Demand!$H97,0,(COLUMN(D85)-1)*5,1,1))*Q$2</f>
        <v>0</v>
      </c>
      <c r="AD88" s="5">
        <f ca="1">SUM(OFFSET(Demand!$H97,0,(COLUMN(E85)-1)*5,1,1))*R$2</f>
        <v>0</v>
      </c>
      <c r="AE88" s="5">
        <f ca="1">SUM(OFFSET(Demand!$H97,0,(COLUMN(F85)-1)*5,1,1))*S$2</f>
        <v>0</v>
      </c>
      <c r="AF88" s="5">
        <f ca="1">SUM(OFFSET(Demand!$H97,0,(COLUMN(G85)-1)*5,1,1))*T$2</f>
        <v>0</v>
      </c>
      <c r="AG88" s="5">
        <f ca="1">SUM(OFFSET(Demand!$H97,0,(COLUMN(H85)-1)*5,1,1))*U$2</f>
        <v>0</v>
      </c>
      <c r="AH88" s="5">
        <f ca="1">SUM(OFFSET(Demand!$H97,0,(COLUMN(I85)-1)*5,1,1))*V$2</f>
        <v>0</v>
      </c>
      <c r="AI88" s="5">
        <f ca="1">SUM(OFFSET(Demand!$H97,0,(COLUMN(J85)-1)*5,1,1))*W$2</f>
        <v>0</v>
      </c>
      <c r="AJ88" s="5">
        <f t="shared" ca="1" si="33"/>
        <v>0</v>
      </c>
      <c r="AL88" s="5">
        <f t="shared" ca="1" si="34"/>
        <v>530</v>
      </c>
      <c r="AM88" s="5">
        <f t="shared" ca="1" si="35"/>
        <v>0</v>
      </c>
      <c r="AN88" s="5" t="str">
        <f>IF(Demand!BE97="Yes","Yes","")</f>
        <v/>
      </c>
      <c r="AP88" s="37" t="str">
        <f ca="1">Demand!B97</f>
        <v xml:space="preserve"> </v>
      </c>
      <c r="AQ88" t="str">
        <f ca="1">IF(TEXT(Demand!D97,"MMM")&lt;&gt;TEXT(Demand!D96,"MMM"),TEXT(Demand!D97,"MMM"),"")</f>
        <v/>
      </c>
      <c r="AT88" s="5">
        <f t="shared" ca="1" si="37"/>
        <v>190</v>
      </c>
      <c r="BQ88">
        <f ca="1">IF($AN88="",OFFSET(Demand!$A$13,ROW(A85)-1,4+((QUOTIENT(COLUMN(BQ$2)-69,3))*5)+MOD(COLUMN(BQ$2),3),1,1),"")</f>
        <v>0</v>
      </c>
      <c r="BR88">
        <f ca="1">IF($AN88="",OFFSET(Demand!$A$13,ROW(B85)-1,4+((QUOTIENT(COLUMN(BR$2)-69,3))*5)+MOD(COLUMN(BR$2),3),1,1),"")</f>
        <v>0</v>
      </c>
      <c r="BS88">
        <f ca="1">IF($AN88="",OFFSET(Demand!$A$13,ROW(C85)-1,4+((QUOTIENT(COLUMN(BS$2)-69,3))*5)+MOD(COLUMN(BS$2),3),1,1),"")</f>
        <v>3</v>
      </c>
      <c r="BT88">
        <f ca="1">IF($AN88="",OFFSET(Demand!$A$13,ROW(D85)-1,4+((QUOTIENT(COLUMN(BT$2)-69,3))*5)+MOD(COLUMN(BT$2),3),1,1),"")</f>
        <v>0</v>
      </c>
      <c r="BU88">
        <f ca="1">IF($AN88="",OFFSET(Demand!$A$13,ROW(E85)-1,4+((QUOTIENT(COLUMN(BU$2)-69,3))*5)+MOD(COLUMN(BU$2),3),1,1),"")</f>
        <v>2</v>
      </c>
      <c r="BV88">
        <f ca="1">IF($AN88="",OFFSET(Demand!$A$13,ROW(F85)-1,4+((QUOTIENT(COLUMN(BV$2)-69,3))*5)+MOD(COLUMN(BV$2),3),1,1),"")</f>
        <v>9</v>
      </c>
      <c r="BW88">
        <f ca="1">IF($AN88="",OFFSET(Demand!$A$13,ROW(G85)-1,4+((QUOTIENT(COLUMN(BW$2)-69,3))*5)+MOD(COLUMN(BW$2),3),1,1),"")</f>
        <v>0</v>
      </c>
      <c r="BX88">
        <f ca="1">IF($AN88="",OFFSET(Demand!$A$13,ROW(H85)-1,4+((QUOTIENT(COLUMN(BX$2)-69,3))*5)+MOD(COLUMN(BX$2),3),1,1),"")</f>
        <v>0</v>
      </c>
      <c r="BY88">
        <f ca="1">IF($AN88="",OFFSET(Demand!$A$13,ROW(I85)-1,4+((QUOTIENT(COLUMN(BY$2)-69,3))*5)+MOD(COLUMN(BY$2),3),1,1),"")</f>
        <v>0</v>
      </c>
      <c r="BZ88">
        <f ca="1">IF($AN88="",OFFSET(Demand!$A$13,ROW(J85)-1,4+((QUOTIENT(COLUMN(BZ$2)-69,3))*5)+MOD(COLUMN(BZ$2),3),1,1),"")</f>
        <v>0</v>
      </c>
      <c r="CA88">
        <f ca="1">IF($AN88="",OFFSET(Demand!$A$13,ROW(K85)-1,4+((QUOTIENT(COLUMN(CA$2)-69,3))*5)+MOD(COLUMN(CA$2),3),1,1),"")</f>
        <v>0</v>
      </c>
      <c r="CB88">
        <f ca="1">IF($AN88="",OFFSET(Demand!$A$13,ROW(L85)-1,4+((QUOTIENT(COLUMN(CB$2)-69,3))*5)+MOD(COLUMN(CB$2),3),1,1),"")</f>
        <v>0</v>
      </c>
      <c r="CC88">
        <f ca="1">IF($AN88="",OFFSET(Demand!$A$13,ROW(M85)-1,4+((QUOTIENT(COLUMN(CC$2)-69,3))*5)+MOD(COLUMN(CC$2),3),1,1),"")</f>
        <v>0</v>
      </c>
      <c r="CD88">
        <f ca="1">IF($AN88="",OFFSET(Demand!$A$13,ROW(N85)-1,4+((QUOTIENT(COLUMN(CD$2)-69,3))*5)+MOD(COLUMN(CD$2),3),1,1),"")</f>
        <v>0</v>
      </c>
      <c r="CE88">
        <f ca="1">IF($AN88="",OFFSET(Demand!$A$13,ROW(O85)-1,4+((QUOTIENT(COLUMN(CE$2)-69,3))*5)+MOD(COLUMN(CE$2),3),1,1),"")</f>
        <v>0</v>
      </c>
      <c r="CF88">
        <f ca="1">IF($AN88="",OFFSET(Demand!$A$13,ROW(P85)-1,4+((QUOTIENT(COLUMN(CF$2)-69,3))*5)+MOD(COLUMN(CF$2),3),1,1),"")</f>
        <v>0</v>
      </c>
      <c r="CG88">
        <f ca="1">IF($AN88="",OFFSET(Demand!$A$13,ROW(Q85)-1,4+((QUOTIENT(COLUMN(CG$2)-69,3))*5)+MOD(COLUMN(CG$2),3),1,1),"")</f>
        <v>0</v>
      </c>
      <c r="CH88">
        <f ca="1">IF($AN88="",OFFSET(Demand!$A$13,ROW(R85)-1,4+((QUOTIENT(COLUMN(CH$2)-69,3))*5)+MOD(COLUMN(CH$2),3),1,1),"")</f>
        <v>0</v>
      </c>
      <c r="CI88">
        <f ca="1">IF($AN88="",OFFSET(Demand!$A$13,ROW(S85)-1,4+((QUOTIENT(COLUMN(CI$2)-69,3))*5)+MOD(COLUMN(CI$2),3),1,1),"")</f>
        <v>0</v>
      </c>
      <c r="CJ88">
        <f ca="1">IF($AN88="",OFFSET(Demand!$A$13,ROW(T85)-1,4+((QUOTIENT(COLUMN(CJ$2)-69,3))*5)+MOD(COLUMN(CJ$2),3),1,1),"")</f>
        <v>0</v>
      </c>
      <c r="CK88">
        <f ca="1">IF($AN88="",OFFSET(Demand!$A$13,ROW(U85)-1,4+((QUOTIENT(COLUMN(CK$2)-69,3))*5)+MOD(COLUMN(CK$2),3),1,1),"")</f>
        <v>0</v>
      </c>
      <c r="CL88">
        <f ca="1">IF($AN88="",OFFSET(Demand!$A$13,ROW(V85)-1,4+((QUOTIENT(COLUMN(CL$2)-69,3))*5)+MOD(COLUMN(CL$2),3),1,1),"")</f>
        <v>0</v>
      </c>
      <c r="CM88">
        <f ca="1">IF($AN88="",OFFSET(Demand!$A$13,ROW(W85)-1,4+((QUOTIENT(COLUMN(CM$2)-69,3))*5)+MOD(COLUMN(CM$2),3),1,1),"")</f>
        <v>0</v>
      </c>
      <c r="CN88">
        <f ca="1">IF($AN88="",OFFSET(Demand!$A$13,ROW(X85)-1,4+((QUOTIENT(COLUMN(CN$2)-69,3))*5)+MOD(COLUMN(CN$2),3),1,1),"")</f>
        <v>0</v>
      </c>
      <c r="CO88">
        <f ca="1">IF($AN88="",OFFSET(Demand!$A$13,ROW(Y85)-1,4+((QUOTIENT(COLUMN(CO$2)-69,3))*5)+MOD(COLUMN(CO$2),3),1,1),"")</f>
        <v>0</v>
      </c>
      <c r="CP88">
        <f ca="1">IF($AN88="",OFFSET(Demand!$A$13,ROW(Z85)-1,4+((QUOTIENT(COLUMN(CP$2)-69,3))*5)+MOD(COLUMN(CP$2),3),1,1),"")</f>
        <v>0</v>
      </c>
      <c r="CQ88">
        <f ca="1">IF($AN88="",OFFSET(Demand!$A$13,ROW(AA85)-1,4+((QUOTIENT(COLUMN(CQ$2)-69,3))*5)+MOD(COLUMN(CQ$2),3),1,1),"")</f>
        <v>0</v>
      </c>
      <c r="CR88">
        <f ca="1">IF($AN88="",OFFSET(Demand!$A$13,ROW(AB85)-1,4+((QUOTIENT(COLUMN(CR$2)-69,3))*5)+MOD(COLUMN(CR$2),3),1,1),"")</f>
        <v>0</v>
      </c>
      <c r="CS88">
        <f ca="1">IF($AN88="",OFFSET(Demand!$A$13,ROW(AC85)-1,4+((QUOTIENT(COLUMN(CS$2)-69,3))*5)+MOD(COLUMN(CS$2),3),1,1),"")</f>
        <v>0</v>
      </c>
      <c r="CT88">
        <f ca="1">IF($AN88="",OFFSET(Demand!$A$13,ROW(AD85)-1,4+((QUOTIENT(COLUMN(CT$2)-69,3))*5)+MOD(COLUMN(CT$2),3),1,1),"")</f>
        <v>0</v>
      </c>
      <c r="CW88" s="5">
        <f ca="1">SUM(OFFSET(Demand!$H$43,ROW(A85)-1,(COLUMN(A85)-1)*5,1,1))*N$2</f>
        <v>0</v>
      </c>
      <c r="CX88" s="5">
        <f ca="1">SUM(OFFSET(Demand!$H$43,ROW(B85)-1,(COLUMN(B85)-1)*5,1,1))*O$2</f>
        <v>0</v>
      </c>
      <c r="CY88" s="5">
        <f ca="1">SUM(OFFSET(Demand!$H$43,ROW(C85)-1,(COLUMN(C85)-1)*5,1,1))*P$2</f>
        <v>0</v>
      </c>
      <c r="CZ88" s="5">
        <f ca="1">SUM(OFFSET(Demand!$H$43,ROW(D85)-1,(COLUMN(D85)-1)*5,1,1))*Q$2</f>
        <v>0</v>
      </c>
      <c r="DA88" s="5">
        <f ca="1">SUM(OFFSET(Demand!$H$43,ROW(E85)-1,(COLUMN(E85)-1)*5,1,1))*R$2</f>
        <v>0</v>
      </c>
      <c r="DB88" s="5">
        <f ca="1">SUM(OFFSET(Demand!$H$43,ROW(F85)-1,(COLUMN(F85)-1)*5,1,1))*S$2</f>
        <v>0</v>
      </c>
      <c r="DC88" s="5">
        <f ca="1">SUM(OFFSET(Demand!$H$43,ROW(G85)-1,(COLUMN(G85)-1)*5,1,1))*T$2</f>
        <v>0</v>
      </c>
      <c r="DD88" s="5">
        <f ca="1">SUM(OFFSET(Demand!$H$43,ROW(H85)-1,(COLUMN(H85)-1)*5,1,1))*U$2</f>
        <v>0</v>
      </c>
      <c r="DE88" s="5">
        <f ca="1">SUM(OFFSET(Demand!$H$43,ROW(I85)-1,(COLUMN(I85)-1)*5,1,1))*V$2</f>
        <v>0</v>
      </c>
      <c r="DF88" s="5">
        <f ca="1">SUM(OFFSET(Demand!$H$43,ROW(J85)-1,(COLUMN(J85)-1)*5,1,1))*W$2</f>
        <v>0</v>
      </c>
      <c r="DG88" s="5">
        <f t="shared" ca="1" si="36"/>
        <v>0</v>
      </c>
    </row>
    <row r="89" spans="1:111" x14ac:dyDescent="0.2">
      <c r="A89" s="5">
        <f t="shared" ca="1" si="30"/>
        <v>0</v>
      </c>
      <c r="B89" s="5">
        <f ca="1">COUNTBLANK(OFFSET(Demand!$I98,0,(COLUMN(A86)-1)*5,1,1))</f>
        <v>0</v>
      </c>
      <c r="C89" s="5">
        <f ca="1">COUNTBLANK(OFFSET(Demand!$I98,0,(COLUMN(B86)-1)*5,1,1))</f>
        <v>0</v>
      </c>
      <c r="D89" s="5">
        <f ca="1">COUNTBLANK(OFFSET(Demand!$I98,0,(COLUMN(C86)-1)*5,1,1))</f>
        <v>1</v>
      </c>
      <c r="E89" s="5">
        <f ca="1">COUNTBLANK(OFFSET(Demand!$I98,0,(COLUMN(D86)-1)*5,1,1))</f>
        <v>1</v>
      </c>
      <c r="F89" s="5">
        <f ca="1">COUNTBLANK(OFFSET(Demand!$I98,0,(COLUMN(E86)-1)*5,1,1))</f>
        <v>1</v>
      </c>
      <c r="G89" s="5">
        <f ca="1">COUNTBLANK(OFFSET(Demand!$I98,0,(COLUMN(F86)-1)*5,1,1))</f>
        <v>1</v>
      </c>
      <c r="H89" s="5">
        <f ca="1">COUNTBLANK(OFFSET(Demand!$I98,0,(COLUMN(G86)-1)*5,1,1))</f>
        <v>1</v>
      </c>
      <c r="I89" s="5">
        <f ca="1">COUNTBLANK(OFFSET(Demand!$I98,0,(COLUMN(H86)-1)*5,1,1))</f>
        <v>1</v>
      </c>
      <c r="J89" s="5">
        <f ca="1">COUNTBLANK(OFFSET(Demand!$I98,0,(COLUMN(I86)-1)*5,1,1))</f>
        <v>1</v>
      </c>
      <c r="K89" s="5">
        <f ca="1">COUNTBLANK(OFFSET(Demand!$I98,0,(COLUMN(J86)-1)*5,1,1))</f>
        <v>1</v>
      </c>
      <c r="N89" s="5">
        <f ca="1">SUM(OFFSET(Demand!$E98,0,(COLUMN(A86)-1)*5,1,3))*N$2</f>
        <v>180</v>
      </c>
      <c r="O89" s="5">
        <f ca="1">SUM(OFFSET(Demand!$E98,0,(COLUMN(B86)-1)*5,1,3))*O$2</f>
        <v>400</v>
      </c>
      <c r="P89" s="5">
        <f ca="1">SUM(OFFSET(Demand!$E98,0,(COLUMN(C86)-1)*5,1,3))*P$2</f>
        <v>0</v>
      </c>
      <c r="Q89" s="5">
        <f ca="1">SUM(OFFSET(Demand!$E98,0,(COLUMN(D86)-1)*5,1,3))*Q$2</f>
        <v>0</v>
      </c>
      <c r="R89" s="5">
        <f ca="1">SUM(OFFSET(Demand!$E98,0,(COLUMN(E86)-1)*5,1,3))*R$2</f>
        <v>0</v>
      </c>
      <c r="S89" s="5">
        <f ca="1">SUM(OFFSET(Demand!$E98,0,(COLUMN(F86)-1)*5,1,3))*S$2</f>
        <v>0</v>
      </c>
      <c r="T89" s="5">
        <f ca="1">SUM(OFFSET(Demand!$E98,0,(COLUMN(G86)-1)*5,1,3))*T$2</f>
        <v>0</v>
      </c>
      <c r="U89" s="5">
        <f ca="1">SUM(OFFSET(Demand!$E98,0,(COLUMN(H86)-1)*5,1,3))*U$2</f>
        <v>0</v>
      </c>
      <c r="V89" s="5">
        <f ca="1">SUM(OFFSET(Demand!$E98,0,(COLUMN(I86)-1)*5,1,3))*V$2</f>
        <v>0</v>
      </c>
      <c r="W89" s="5">
        <f ca="1">SUM(OFFSET(Demand!$E98,0,(COLUMN(J86)-1)*5,1,3))*W$2</f>
        <v>0</v>
      </c>
      <c r="X89" s="5">
        <f t="shared" ca="1" si="31"/>
        <v>580</v>
      </c>
      <c r="Y89">
        <f t="shared" ca="1" si="32"/>
        <v>580</v>
      </c>
      <c r="Z89" s="5">
        <f ca="1">SUM(OFFSET(Demand!$H98,0,(COLUMN(A86)-1)*5,1,1))*N$2</f>
        <v>0</v>
      </c>
      <c r="AA89" s="5">
        <f ca="1">SUM(OFFSET(Demand!$H98,0,(COLUMN(B86)-1)*5,1,1))*O$2</f>
        <v>0</v>
      </c>
      <c r="AB89" s="5">
        <f ca="1">SUM(OFFSET(Demand!$H98,0,(COLUMN(C86)-1)*5,1,1))*P$2</f>
        <v>0</v>
      </c>
      <c r="AC89" s="5">
        <f ca="1">SUM(OFFSET(Demand!$H98,0,(COLUMN(D86)-1)*5,1,1))*Q$2</f>
        <v>0</v>
      </c>
      <c r="AD89" s="5">
        <f ca="1">SUM(OFFSET(Demand!$H98,0,(COLUMN(E86)-1)*5,1,1))*R$2</f>
        <v>0</v>
      </c>
      <c r="AE89" s="5">
        <f ca="1">SUM(OFFSET(Demand!$H98,0,(COLUMN(F86)-1)*5,1,1))*S$2</f>
        <v>0</v>
      </c>
      <c r="AF89" s="5">
        <f ca="1">SUM(OFFSET(Demand!$H98,0,(COLUMN(G86)-1)*5,1,1))*T$2</f>
        <v>0</v>
      </c>
      <c r="AG89" s="5">
        <f ca="1">SUM(OFFSET(Demand!$H98,0,(COLUMN(H86)-1)*5,1,1))*U$2</f>
        <v>0</v>
      </c>
      <c r="AH89" s="5">
        <f ca="1">SUM(OFFSET(Demand!$H98,0,(COLUMN(I86)-1)*5,1,1))*V$2</f>
        <v>0</v>
      </c>
      <c r="AI89" s="5">
        <f ca="1">SUM(OFFSET(Demand!$H98,0,(COLUMN(J86)-1)*5,1,1))*W$2</f>
        <v>0</v>
      </c>
      <c r="AJ89" s="5">
        <f t="shared" ca="1" si="33"/>
        <v>0</v>
      </c>
      <c r="AL89" s="5">
        <f t="shared" ca="1" si="34"/>
        <v>580</v>
      </c>
      <c r="AM89" s="5">
        <f t="shared" ca="1" si="35"/>
        <v>0</v>
      </c>
      <c r="AN89" s="5" t="str">
        <f>IF(Demand!BE98="Yes","Yes","")</f>
        <v/>
      </c>
      <c r="AP89" s="37" t="str">
        <f ca="1">Demand!B98</f>
        <v xml:space="preserve"> </v>
      </c>
      <c r="AQ89" t="str">
        <f ca="1">IF(TEXT(Demand!D98,"MMM")&lt;&gt;TEXT(Demand!D97,"MMM"),TEXT(Demand!D98,"MMM"),"")</f>
        <v/>
      </c>
      <c r="AT89" s="5">
        <f t="shared" ca="1" si="37"/>
        <v>50</v>
      </c>
      <c r="BQ89">
        <f ca="1">IF($AN89="",OFFSET(Demand!$A$13,ROW(A86)-1,4+((QUOTIENT(COLUMN(BQ$2)-69,3))*5)+MOD(COLUMN(BQ$2),3),1,1),"")</f>
        <v>0</v>
      </c>
      <c r="BR89">
        <f ca="1">IF($AN89="",OFFSET(Demand!$A$13,ROW(B86)-1,4+((QUOTIENT(COLUMN(BR$2)-69,3))*5)+MOD(COLUMN(BR$2),3),1,1),"")</f>
        <v>0</v>
      </c>
      <c r="BS89">
        <f ca="1">IF($AN89="",OFFSET(Demand!$A$13,ROW(C86)-1,4+((QUOTIENT(COLUMN(BS$2)-69,3))*5)+MOD(COLUMN(BS$2),3),1,1),"")</f>
        <v>6</v>
      </c>
      <c r="BT89">
        <f ca="1">IF($AN89="",OFFSET(Demand!$A$13,ROW(D86)-1,4+((QUOTIENT(COLUMN(BT$2)-69,3))*5)+MOD(COLUMN(BT$2),3),1,1),"")</f>
        <v>0</v>
      </c>
      <c r="BU89">
        <f ca="1">IF($AN89="",OFFSET(Demand!$A$13,ROW(E86)-1,4+((QUOTIENT(COLUMN(BU$2)-69,3))*5)+MOD(COLUMN(BU$2),3),1,1),"")</f>
        <v>3</v>
      </c>
      <c r="BV89">
        <f ca="1">IF($AN89="",OFFSET(Demand!$A$13,ROW(F86)-1,4+((QUOTIENT(COLUMN(BV$2)-69,3))*5)+MOD(COLUMN(BV$2),3),1,1),"")</f>
        <v>7</v>
      </c>
      <c r="BW89">
        <f ca="1">IF($AN89="",OFFSET(Demand!$A$13,ROW(G86)-1,4+((QUOTIENT(COLUMN(BW$2)-69,3))*5)+MOD(COLUMN(BW$2),3),1,1),"")</f>
        <v>0</v>
      </c>
      <c r="BX89">
        <f ca="1">IF($AN89="",OFFSET(Demand!$A$13,ROW(H86)-1,4+((QUOTIENT(COLUMN(BX$2)-69,3))*5)+MOD(COLUMN(BX$2),3),1,1),"")</f>
        <v>0</v>
      </c>
      <c r="BY89">
        <f ca="1">IF($AN89="",OFFSET(Demand!$A$13,ROW(I86)-1,4+((QUOTIENT(COLUMN(BY$2)-69,3))*5)+MOD(COLUMN(BY$2),3),1,1),"")</f>
        <v>0</v>
      </c>
      <c r="BZ89">
        <f ca="1">IF($AN89="",OFFSET(Demand!$A$13,ROW(J86)-1,4+((QUOTIENT(COLUMN(BZ$2)-69,3))*5)+MOD(COLUMN(BZ$2),3),1,1),"")</f>
        <v>0</v>
      </c>
      <c r="CA89">
        <f ca="1">IF($AN89="",OFFSET(Demand!$A$13,ROW(K86)-1,4+((QUOTIENT(COLUMN(CA$2)-69,3))*5)+MOD(COLUMN(CA$2),3),1,1),"")</f>
        <v>0</v>
      </c>
      <c r="CB89">
        <f ca="1">IF($AN89="",OFFSET(Demand!$A$13,ROW(L86)-1,4+((QUOTIENT(COLUMN(CB$2)-69,3))*5)+MOD(COLUMN(CB$2),3),1,1),"")</f>
        <v>0</v>
      </c>
      <c r="CC89">
        <f ca="1">IF($AN89="",OFFSET(Demand!$A$13,ROW(M86)-1,4+((QUOTIENT(COLUMN(CC$2)-69,3))*5)+MOD(COLUMN(CC$2),3),1,1),"")</f>
        <v>0</v>
      </c>
      <c r="CD89">
        <f ca="1">IF($AN89="",OFFSET(Demand!$A$13,ROW(N86)-1,4+((QUOTIENT(COLUMN(CD$2)-69,3))*5)+MOD(COLUMN(CD$2),3),1,1),"")</f>
        <v>0</v>
      </c>
      <c r="CE89">
        <f ca="1">IF($AN89="",OFFSET(Demand!$A$13,ROW(O86)-1,4+((QUOTIENT(COLUMN(CE$2)-69,3))*5)+MOD(COLUMN(CE$2),3),1,1),"")</f>
        <v>0</v>
      </c>
      <c r="CF89">
        <f ca="1">IF($AN89="",OFFSET(Demand!$A$13,ROW(P86)-1,4+((QUOTIENT(COLUMN(CF$2)-69,3))*5)+MOD(COLUMN(CF$2),3),1,1),"")</f>
        <v>0</v>
      </c>
      <c r="CG89">
        <f ca="1">IF($AN89="",OFFSET(Demand!$A$13,ROW(Q86)-1,4+((QUOTIENT(COLUMN(CG$2)-69,3))*5)+MOD(COLUMN(CG$2),3),1,1),"")</f>
        <v>0</v>
      </c>
      <c r="CH89">
        <f ca="1">IF($AN89="",OFFSET(Demand!$A$13,ROW(R86)-1,4+((QUOTIENT(COLUMN(CH$2)-69,3))*5)+MOD(COLUMN(CH$2),3),1,1),"")</f>
        <v>0</v>
      </c>
      <c r="CI89">
        <f ca="1">IF($AN89="",OFFSET(Demand!$A$13,ROW(S86)-1,4+((QUOTIENT(COLUMN(CI$2)-69,3))*5)+MOD(COLUMN(CI$2),3),1,1),"")</f>
        <v>0</v>
      </c>
      <c r="CJ89">
        <f ca="1">IF($AN89="",OFFSET(Demand!$A$13,ROW(T86)-1,4+((QUOTIENT(COLUMN(CJ$2)-69,3))*5)+MOD(COLUMN(CJ$2),3),1,1),"")</f>
        <v>0</v>
      </c>
      <c r="CK89">
        <f ca="1">IF($AN89="",OFFSET(Demand!$A$13,ROW(U86)-1,4+((QUOTIENT(COLUMN(CK$2)-69,3))*5)+MOD(COLUMN(CK$2),3),1,1),"")</f>
        <v>0</v>
      </c>
      <c r="CL89">
        <f ca="1">IF($AN89="",OFFSET(Demand!$A$13,ROW(V86)-1,4+((QUOTIENT(COLUMN(CL$2)-69,3))*5)+MOD(COLUMN(CL$2),3),1,1),"")</f>
        <v>0</v>
      </c>
      <c r="CM89">
        <f ca="1">IF($AN89="",OFFSET(Demand!$A$13,ROW(W86)-1,4+((QUOTIENT(COLUMN(CM$2)-69,3))*5)+MOD(COLUMN(CM$2),3),1,1),"")</f>
        <v>0</v>
      </c>
      <c r="CN89">
        <f ca="1">IF($AN89="",OFFSET(Demand!$A$13,ROW(X86)-1,4+((QUOTIENT(COLUMN(CN$2)-69,3))*5)+MOD(COLUMN(CN$2),3),1,1),"")</f>
        <v>0</v>
      </c>
      <c r="CO89">
        <f ca="1">IF($AN89="",OFFSET(Demand!$A$13,ROW(Y86)-1,4+((QUOTIENT(COLUMN(CO$2)-69,3))*5)+MOD(COLUMN(CO$2),3),1,1),"")</f>
        <v>0</v>
      </c>
      <c r="CP89">
        <f ca="1">IF($AN89="",OFFSET(Demand!$A$13,ROW(Z86)-1,4+((QUOTIENT(COLUMN(CP$2)-69,3))*5)+MOD(COLUMN(CP$2),3),1,1),"")</f>
        <v>0</v>
      </c>
      <c r="CQ89">
        <f ca="1">IF($AN89="",OFFSET(Demand!$A$13,ROW(AA86)-1,4+((QUOTIENT(COLUMN(CQ$2)-69,3))*5)+MOD(COLUMN(CQ$2),3),1,1),"")</f>
        <v>0</v>
      </c>
      <c r="CR89">
        <f ca="1">IF($AN89="",OFFSET(Demand!$A$13,ROW(AB86)-1,4+((QUOTIENT(COLUMN(CR$2)-69,3))*5)+MOD(COLUMN(CR$2),3),1,1),"")</f>
        <v>0</v>
      </c>
      <c r="CS89">
        <f ca="1">IF($AN89="",OFFSET(Demand!$A$13,ROW(AC86)-1,4+((QUOTIENT(COLUMN(CS$2)-69,3))*5)+MOD(COLUMN(CS$2),3),1,1),"")</f>
        <v>0</v>
      </c>
      <c r="CT89">
        <f ca="1">IF($AN89="",OFFSET(Demand!$A$13,ROW(AD86)-1,4+((QUOTIENT(COLUMN(CT$2)-69,3))*5)+MOD(COLUMN(CT$2),3),1,1),"")</f>
        <v>0</v>
      </c>
      <c r="CW89" s="5">
        <f ca="1">SUM(OFFSET(Demand!$H$43,ROW(A86)-1,(COLUMN(A86)-1)*5,1,1))*N$2</f>
        <v>0</v>
      </c>
      <c r="CX89" s="5">
        <f ca="1">SUM(OFFSET(Demand!$H$43,ROW(B86)-1,(COLUMN(B86)-1)*5,1,1))*O$2</f>
        <v>0</v>
      </c>
      <c r="CY89" s="5">
        <f ca="1">SUM(OFFSET(Demand!$H$43,ROW(C86)-1,(COLUMN(C86)-1)*5,1,1))*P$2</f>
        <v>0</v>
      </c>
      <c r="CZ89" s="5">
        <f ca="1">SUM(OFFSET(Demand!$H$43,ROW(D86)-1,(COLUMN(D86)-1)*5,1,1))*Q$2</f>
        <v>0</v>
      </c>
      <c r="DA89" s="5">
        <f ca="1">SUM(OFFSET(Demand!$H$43,ROW(E86)-1,(COLUMN(E86)-1)*5,1,1))*R$2</f>
        <v>0</v>
      </c>
      <c r="DB89" s="5">
        <f ca="1">SUM(OFFSET(Demand!$H$43,ROW(F86)-1,(COLUMN(F86)-1)*5,1,1))*S$2</f>
        <v>0</v>
      </c>
      <c r="DC89" s="5">
        <f ca="1">SUM(OFFSET(Demand!$H$43,ROW(G86)-1,(COLUMN(G86)-1)*5,1,1))*T$2</f>
        <v>0</v>
      </c>
      <c r="DD89" s="5">
        <f ca="1">SUM(OFFSET(Demand!$H$43,ROW(H86)-1,(COLUMN(H86)-1)*5,1,1))*U$2</f>
        <v>0</v>
      </c>
      <c r="DE89" s="5">
        <f ca="1">SUM(OFFSET(Demand!$H$43,ROW(I86)-1,(COLUMN(I86)-1)*5,1,1))*V$2</f>
        <v>0</v>
      </c>
      <c r="DF89" s="5">
        <f ca="1">SUM(OFFSET(Demand!$H$43,ROW(J86)-1,(COLUMN(J86)-1)*5,1,1))*W$2</f>
        <v>0</v>
      </c>
      <c r="DG89" s="5">
        <f t="shared" ca="1" si="36"/>
        <v>0</v>
      </c>
    </row>
    <row r="90" spans="1:111" x14ac:dyDescent="0.2">
      <c r="A90" s="5">
        <f t="shared" ca="1" si="30"/>
        <v>0</v>
      </c>
      <c r="B90" s="5">
        <f ca="1">COUNTBLANK(OFFSET(Demand!$I99,0,(COLUMN(A87)-1)*5,1,1))</f>
        <v>0</v>
      </c>
      <c r="C90" s="5">
        <f ca="1">COUNTBLANK(OFFSET(Demand!$I99,0,(COLUMN(B87)-1)*5,1,1))</f>
        <v>0</v>
      </c>
      <c r="D90" s="5">
        <f ca="1">COUNTBLANK(OFFSET(Demand!$I99,0,(COLUMN(C87)-1)*5,1,1))</f>
        <v>1</v>
      </c>
      <c r="E90" s="5">
        <f ca="1">COUNTBLANK(OFFSET(Demand!$I99,0,(COLUMN(D87)-1)*5,1,1))</f>
        <v>1</v>
      </c>
      <c r="F90" s="5">
        <f ca="1">COUNTBLANK(OFFSET(Demand!$I99,0,(COLUMN(E87)-1)*5,1,1))</f>
        <v>1</v>
      </c>
      <c r="G90" s="5">
        <f ca="1">COUNTBLANK(OFFSET(Demand!$I99,0,(COLUMN(F87)-1)*5,1,1))</f>
        <v>1</v>
      </c>
      <c r="H90" s="5">
        <f ca="1">COUNTBLANK(OFFSET(Demand!$I99,0,(COLUMN(G87)-1)*5,1,1))</f>
        <v>1</v>
      </c>
      <c r="I90" s="5">
        <f ca="1">COUNTBLANK(OFFSET(Demand!$I99,0,(COLUMN(H87)-1)*5,1,1))</f>
        <v>1</v>
      </c>
      <c r="J90" s="5">
        <f ca="1">COUNTBLANK(OFFSET(Demand!$I99,0,(COLUMN(I87)-1)*5,1,1))</f>
        <v>1</v>
      </c>
      <c r="K90" s="5">
        <f ca="1">COUNTBLANK(OFFSET(Demand!$I99,0,(COLUMN(J87)-1)*5,1,1))</f>
        <v>1</v>
      </c>
      <c r="N90" s="5">
        <f ca="1">SUM(OFFSET(Demand!$E99,0,(COLUMN(A87)-1)*5,1,3))*N$2</f>
        <v>60</v>
      </c>
      <c r="O90" s="5">
        <f ca="1">SUM(OFFSET(Demand!$E99,0,(COLUMN(B87)-1)*5,1,3))*O$2</f>
        <v>400</v>
      </c>
      <c r="P90" s="5">
        <f ca="1">SUM(OFFSET(Demand!$E99,0,(COLUMN(C87)-1)*5,1,3))*P$2</f>
        <v>0</v>
      </c>
      <c r="Q90" s="5">
        <f ca="1">SUM(OFFSET(Demand!$E99,0,(COLUMN(D87)-1)*5,1,3))*Q$2</f>
        <v>0</v>
      </c>
      <c r="R90" s="5">
        <f ca="1">SUM(OFFSET(Demand!$E99,0,(COLUMN(E87)-1)*5,1,3))*R$2</f>
        <v>0</v>
      </c>
      <c r="S90" s="5">
        <f ca="1">SUM(OFFSET(Demand!$E99,0,(COLUMN(F87)-1)*5,1,3))*S$2</f>
        <v>0</v>
      </c>
      <c r="T90" s="5">
        <f ca="1">SUM(OFFSET(Demand!$E99,0,(COLUMN(G87)-1)*5,1,3))*T$2</f>
        <v>0</v>
      </c>
      <c r="U90" s="5">
        <f ca="1">SUM(OFFSET(Demand!$E99,0,(COLUMN(H87)-1)*5,1,3))*U$2</f>
        <v>0</v>
      </c>
      <c r="V90" s="5">
        <f ca="1">SUM(OFFSET(Demand!$E99,0,(COLUMN(I87)-1)*5,1,3))*V$2</f>
        <v>0</v>
      </c>
      <c r="W90" s="5">
        <f ca="1">SUM(OFFSET(Demand!$E99,0,(COLUMN(J87)-1)*5,1,3))*W$2</f>
        <v>0</v>
      </c>
      <c r="X90" s="5">
        <f t="shared" ca="1" si="31"/>
        <v>460</v>
      </c>
      <c r="Y90">
        <f t="shared" ca="1" si="32"/>
        <v>460</v>
      </c>
      <c r="Z90" s="5">
        <f ca="1">SUM(OFFSET(Demand!$H99,0,(COLUMN(A87)-1)*5,1,1))*N$2</f>
        <v>0</v>
      </c>
      <c r="AA90" s="5">
        <f ca="1">SUM(OFFSET(Demand!$H99,0,(COLUMN(B87)-1)*5,1,1))*O$2</f>
        <v>0</v>
      </c>
      <c r="AB90" s="5">
        <f ca="1">SUM(OFFSET(Demand!$H99,0,(COLUMN(C87)-1)*5,1,1))*P$2</f>
        <v>0</v>
      </c>
      <c r="AC90" s="5">
        <f ca="1">SUM(OFFSET(Demand!$H99,0,(COLUMN(D87)-1)*5,1,1))*Q$2</f>
        <v>0</v>
      </c>
      <c r="AD90" s="5">
        <f ca="1">SUM(OFFSET(Demand!$H99,0,(COLUMN(E87)-1)*5,1,1))*R$2</f>
        <v>0</v>
      </c>
      <c r="AE90" s="5">
        <f ca="1">SUM(OFFSET(Demand!$H99,0,(COLUMN(F87)-1)*5,1,1))*S$2</f>
        <v>0</v>
      </c>
      <c r="AF90" s="5">
        <f ca="1">SUM(OFFSET(Demand!$H99,0,(COLUMN(G87)-1)*5,1,1))*T$2</f>
        <v>0</v>
      </c>
      <c r="AG90" s="5">
        <f ca="1">SUM(OFFSET(Demand!$H99,0,(COLUMN(H87)-1)*5,1,1))*U$2</f>
        <v>0</v>
      </c>
      <c r="AH90" s="5">
        <f ca="1">SUM(OFFSET(Demand!$H99,0,(COLUMN(I87)-1)*5,1,1))*V$2</f>
        <v>0</v>
      </c>
      <c r="AI90" s="5">
        <f ca="1">SUM(OFFSET(Demand!$H99,0,(COLUMN(J87)-1)*5,1,1))*W$2</f>
        <v>0</v>
      </c>
      <c r="AJ90" s="5">
        <f t="shared" ca="1" si="33"/>
        <v>0</v>
      </c>
      <c r="AL90" s="5">
        <f t="shared" ca="1" si="34"/>
        <v>460</v>
      </c>
      <c r="AM90" s="5">
        <f t="shared" ca="1" si="35"/>
        <v>0</v>
      </c>
      <c r="AN90" s="5" t="str">
        <f>IF(Demand!BE99="Yes","Yes","")</f>
        <v/>
      </c>
      <c r="AP90" s="37" t="str">
        <f ca="1">Demand!B99</f>
        <v xml:space="preserve"> </v>
      </c>
      <c r="AQ90" t="str">
        <f ca="1">IF(TEXT(Demand!D99,"MMM")&lt;&gt;TEXT(Demand!D98,"MMM"),TEXT(Demand!D99,"MMM"),"")</f>
        <v/>
      </c>
      <c r="AT90" s="5">
        <f t="shared" ca="1" si="37"/>
        <v>120</v>
      </c>
      <c r="BQ90">
        <f ca="1">IF($AN90="",OFFSET(Demand!$A$13,ROW(A87)-1,4+((QUOTIENT(COLUMN(BQ$2)-69,3))*5)+MOD(COLUMN(BQ$2),3),1,1),"")</f>
        <v>0</v>
      </c>
      <c r="BR90">
        <f ca="1">IF($AN90="",OFFSET(Demand!$A$13,ROW(B87)-1,4+((QUOTIENT(COLUMN(BR$2)-69,3))*5)+MOD(COLUMN(BR$2),3),1,1),"")</f>
        <v>0</v>
      </c>
      <c r="BS90">
        <f ca="1">IF($AN90="",OFFSET(Demand!$A$13,ROW(C87)-1,4+((QUOTIENT(COLUMN(BS$2)-69,3))*5)+MOD(COLUMN(BS$2),3),1,1),"")</f>
        <v>2</v>
      </c>
      <c r="BT90">
        <f ca="1">IF($AN90="",OFFSET(Demand!$A$13,ROW(D87)-1,4+((QUOTIENT(COLUMN(BT$2)-69,3))*5)+MOD(COLUMN(BT$2),3),1,1),"")</f>
        <v>0</v>
      </c>
      <c r="BU90">
        <f ca="1">IF($AN90="",OFFSET(Demand!$A$13,ROW(E87)-1,4+((QUOTIENT(COLUMN(BU$2)-69,3))*5)+MOD(COLUMN(BU$2),3),1,1),"")</f>
        <v>2</v>
      </c>
      <c r="BV90">
        <f ca="1">IF($AN90="",OFFSET(Demand!$A$13,ROW(F87)-1,4+((QUOTIENT(COLUMN(BV$2)-69,3))*5)+MOD(COLUMN(BV$2),3),1,1),"")</f>
        <v>8</v>
      </c>
      <c r="BW90">
        <f ca="1">IF($AN90="",OFFSET(Demand!$A$13,ROW(G87)-1,4+((QUOTIENT(COLUMN(BW$2)-69,3))*5)+MOD(COLUMN(BW$2),3),1,1),"")</f>
        <v>0</v>
      </c>
      <c r="BX90">
        <f ca="1">IF($AN90="",OFFSET(Demand!$A$13,ROW(H87)-1,4+((QUOTIENT(COLUMN(BX$2)-69,3))*5)+MOD(COLUMN(BX$2),3),1,1),"")</f>
        <v>0</v>
      </c>
      <c r="BY90">
        <f ca="1">IF($AN90="",OFFSET(Demand!$A$13,ROW(I87)-1,4+((QUOTIENT(COLUMN(BY$2)-69,3))*5)+MOD(COLUMN(BY$2),3),1,1),"")</f>
        <v>0</v>
      </c>
      <c r="BZ90">
        <f ca="1">IF($AN90="",OFFSET(Demand!$A$13,ROW(J87)-1,4+((QUOTIENT(COLUMN(BZ$2)-69,3))*5)+MOD(COLUMN(BZ$2),3),1,1),"")</f>
        <v>0</v>
      </c>
      <c r="CA90">
        <f ca="1">IF($AN90="",OFFSET(Demand!$A$13,ROW(K87)-1,4+((QUOTIENT(COLUMN(CA$2)-69,3))*5)+MOD(COLUMN(CA$2),3),1,1),"")</f>
        <v>0</v>
      </c>
      <c r="CB90">
        <f ca="1">IF($AN90="",OFFSET(Demand!$A$13,ROW(L87)-1,4+((QUOTIENT(COLUMN(CB$2)-69,3))*5)+MOD(COLUMN(CB$2),3),1,1),"")</f>
        <v>0</v>
      </c>
      <c r="CC90">
        <f ca="1">IF($AN90="",OFFSET(Demand!$A$13,ROW(M87)-1,4+((QUOTIENT(COLUMN(CC$2)-69,3))*5)+MOD(COLUMN(CC$2),3),1,1),"")</f>
        <v>0</v>
      </c>
      <c r="CD90">
        <f ca="1">IF($AN90="",OFFSET(Demand!$A$13,ROW(N87)-1,4+((QUOTIENT(COLUMN(CD$2)-69,3))*5)+MOD(COLUMN(CD$2),3),1,1),"")</f>
        <v>0</v>
      </c>
      <c r="CE90">
        <f ca="1">IF($AN90="",OFFSET(Demand!$A$13,ROW(O87)-1,4+((QUOTIENT(COLUMN(CE$2)-69,3))*5)+MOD(COLUMN(CE$2),3),1,1),"")</f>
        <v>0</v>
      </c>
      <c r="CF90">
        <f ca="1">IF($AN90="",OFFSET(Demand!$A$13,ROW(P87)-1,4+((QUOTIENT(COLUMN(CF$2)-69,3))*5)+MOD(COLUMN(CF$2),3),1,1),"")</f>
        <v>0</v>
      </c>
      <c r="CG90">
        <f ca="1">IF($AN90="",OFFSET(Demand!$A$13,ROW(Q87)-1,4+((QUOTIENT(COLUMN(CG$2)-69,3))*5)+MOD(COLUMN(CG$2),3),1,1),"")</f>
        <v>0</v>
      </c>
      <c r="CH90">
        <f ca="1">IF($AN90="",OFFSET(Demand!$A$13,ROW(R87)-1,4+((QUOTIENT(COLUMN(CH$2)-69,3))*5)+MOD(COLUMN(CH$2),3),1,1),"")</f>
        <v>0</v>
      </c>
      <c r="CI90">
        <f ca="1">IF($AN90="",OFFSET(Demand!$A$13,ROW(S87)-1,4+((QUOTIENT(COLUMN(CI$2)-69,3))*5)+MOD(COLUMN(CI$2),3),1,1),"")</f>
        <v>0</v>
      </c>
      <c r="CJ90">
        <f ca="1">IF($AN90="",OFFSET(Demand!$A$13,ROW(T87)-1,4+((QUOTIENT(COLUMN(CJ$2)-69,3))*5)+MOD(COLUMN(CJ$2),3),1,1),"")</f>
        <v>0</v>
      </c>
      <c r="CK90">
        <f ca="1">IF($AN90="",OFFSET(Demand!$A$13,ROW(U87)-1,4+((QUOTIENT(COLUMN(CK$2)-69,3))*5)+MOD(COLUMN(CK$2),3),1,1),"")</f>
        <v>0</v>
      </c>
      <c r="CL90">
        <f ca="1">IF($AN90="",OFFSET(Demand!$A$13,ROW(V87)-1,4+((QUOTIENT(COLUMN(CL$2)-69,3))*5)+MOD(COLUMN(CL$2),3),1,1),"")</f>
        <v>0</v>
      </c>
      <c r="CM90">
        <f ca="1">IF($AN90="",OFFSET(Demand!$A$13,ROW(W87)-1,4+((QUOTIENT(COLUMN(CM$2)-69,3))*5)+MOD(COLUMN(CM$2),3),1,1),"")</f>
        <v>0</v>
      </c>
      <c r="CN90">
        <f ca="1">IF($AN90="",OFFSET(Demand!$A$13,ROW(X87)-1,4+((QUOTIENT(COLUMN(CN$2)-69,3))*5)+MOD(COLUMN(CN$2),3),1,1),"")</f>
        <v>0</v>
      </c>
      <c r="CO90">
        <f ca="1">IF($AN90="",OFFSET(Demand!$A$13,ROW(Y87)-1,4+((QUOTIENT(COLUMN(CO$2)-69,3))*5)+MOD(COLUMN(CO$2),3),1,1),"")</f>
        <v>0</v>
      </c>
      <c r="CP90">
        <f ca="1">IF($AN90="",OFFSET(Demand!$A$13,ROW(Z87)-1,4+((QUOTIENT(COLUMN(CP$2)-69,3))*5)+MOD(COLUMN(CP$2),3),1,1),"")</f>
        <v>0</v>
      </c>
      <c r="CQ90">
        <f ca="1">IF($AN90="",OFFSET(Demand!$A$13,ROW(AA87)-1,4+((QUOTIENT(COLUMN(CQ$2)-69,3))*5)+MOD(COLUMN(CQ$2),3),1,1),"")</f>
        <v>0</v>
      </c>
      <c r="CR90">
        <f ca="1">IF($AN90="",OFFSET(Demand!$A$13,ROW(AB87)-1,4+((QUOTIENT(COLUMN(CR$2)-69,3))*5)+MOD(COLUMN(CR$2),3),1,1),"")</f>
        <v>0</v>
      </c>
      <c r="CS90">
        <f ca="1">IF($AN90="",OFFSET(Demand!$A$13,ROW(AC87)-1,4+((QUOTIENT(COLUMN(CS$2)-69,3))*5)+MOD(COLUMN(CS$2),3),1,1),"")</f>
        <v>0</v>
      </c>
      <c r="CT90">
        <f ca="1">IF($AN90="",OFFSET(Demand!$A$13,ROW(AD87)-1,4+((QUOTIENT(COLUMN(CT$2)-69,3))*5)+MOD(COLUMN(CT$2),3),1,1),"")</f>
        <v>0</v>
      </c>
      <c r="CW90" s="5">
        <f ca="1">SUM(OFFSET(Demand!$H$43,ROW(A87)-1,(COLUMN(A87)-1)*5,1,1))*N$2</f>
        <v>0</v>
      </c>
      <c r="CX90" s="5">
        <f ca="1">SUM(OFFSET(Demand!$H$43,ROW(B87)-1,(COLUMN(B87)-1)*5,1,1))*O$2</f>
        <v>0</v>
      </c>
      <c r="CY90" s="5">
        <f ca="1">SUM(OFFSET(Demand!$H$43,ROW(C87)-1,(COLUMN(C87)-1)*5,1,1))*P$2</f>
        <v>0</v>
      </c>
      <c r="CZ90" s="5">
        <f ca="1">SUM(OFFSET(Demand!$H$43,ROW(D87)-1,(COLUMN(D87)-1)*5,1,1))*Q$2</f>
        <v>0</v>
      </c>
      <c r="DA90" s="5">
        <f ca="1">SUM(OFFSET(Demand!$H$43,ROW(E87)-1,(COLUMN(E87)-1)*5,1,1))*R$2</f>
        <v>0</v>
      </c>
      <c r="DB90" s="5">
        <f ca="1">SUM(OFFSET(Demand!$H$43,ROW(F87)-1,(COLUMN(F87)-1)*5,1,1))*S$2</f>
        <v>0</v>
      </c>
      <c r="DC90" s="5">
        <f ca="1">SUM(OFFSET(Demand!$H$43,ROW(G87)-1,(COLUMN(G87)-1)*5,1,1))*T$2</f>
        <v>0</v>
      </c>
      <c r="DD90" s="5">
        <f ca="1">SUM(OFFSET(Demand!$H$43,ROW(H87)-1,(COLUMN(H87)-1)*5,1,1))*U$2</f>
        <v>0</v>
      </c>
      <c r="DE90" s="5">
        <f ca="1">SUM(OFFSET(Demand!$H$43,ROW(I87)-1,(COLUMN(I87)-1)*5,1,1))*V$2</f>
        <v>0</v>
      </c>
      <c r="DF90" s="5">
        <f ca="1">SUM(OFFSET(Demand!$H$43,ROW(J87)-1,(COLUMN(J87)-1)*5,1,1))*W$2</f>
        <v>0</v>
      </c>
      <c r="DG90" s="5">
        <f t="shared" ca="1" si="36"/>
        <v>0</v>
      </c>
    </row>
    <row r="91" spans="1:111" x14ac:dyDescent="0.2">
      <c r="A91" s="5">
        <f t="shared" ca="1" si="30"/>
        <v>0</v>
      </c>
      <c r="B91" s="5">
        <f ca="1">COUNTBLANK(OFFSET(Demand!$I100,0,(COLUMN(A88)-1)*5,1,1))</f>
        <v>0</v>
      </c>
      <c r="C91" s="5">
        <f ca="1">COUNTBLANK(OFFSET(Demand!$I100,0,(COLUMN(B88)-1)*5,1,1))</f>
        <v>0</v>
      </c>
      <c r="D91" s="5">
        <f ca="1">COUNTBLANK(OFFSET(Demand!$I100,0,(COLUMN(C88)-1)*5,1,1))</f>
        <v>1</v>
      </c>
      <c r="E91" s="5">
        <f ca="1">COUNTBLANK(OFFSET(Demand!$I100,0,(COLUMN(D88)-1)*5,1,1))</f>
        <v>1</v>
      </c>
      <c r="F91" s="5">
        <f ca="1">COUNTBLANK(OFFSET(Demand!$I100,0,(COLUMN(E88)-1)*5,1,1))</f>
        <v>1</v>
      </c>
      <c r="G91" s="5">
        <f ca="1">COUNTBLANK(OFFSET(Demand!$I100,0,(COLUMN(F88)-1)*5,1,1))</f>
        <v>1</v>
      </c>
      <c r="H91" s="5">
        <f ca="1">COUNTBLANK(OFFSET(Demand!$I100,0,(COLUMN(G88)-1)*5,1,1))</f>
        <v>1</v>
      </c>
      <c r="I91" s="5">
        <f ca="1">COUNTBLANK(OFFSET(Demand!$I100,0,(COLUMN(H88)-1)*5,1,1))</f>
        <v>1</v>
      </c>
      <c r="J91" s="5">
        <f ca="1">COUNTBLANK(OFFSET(Demand!$I100,0,(COLUMN(I88)-1)*5,1,1))</f>
        <v>1</v>
      </c>
      <c r="K91" s="5">
        <f ca="1">COUNTBLANK(OFFSET(Demand!$I100,0,(COLUMN(J88)-1)*5,1,1))</f>
        <v>1</v>
      </c>
      <c r="N91" s="5">
        <f ca="1">SUM(OFFSET(Demand!$E100,0,(COLUMN(A88)-1)*5,1,3))*N$2</f>
        <v>180</v>
      </c>
      <c r="O91" s="5">
        <f ca="1">SUM(OFFSET(Demand!$E100,0,(COLUMN(B88)-1)*5,1,3))*O$2</f>
        <v>320</v>
      </c>
      <c r="P91" s="5">
        <f ca="1">SUM(OFFSET(Demand!$E100,0,(COLUMN(C88)-1)*5,1,3))*P$2</f>
        <v>0</v>
      </c>
      <c r="Q91" s="5">
        <f ca="1">SUM(OFFSET(Demand!$E100,0,(COLUMN(D88)-1)*5,1,3))*Q$2</f>
        <v>0</v>
      </c>
      <c r="R91" s="5">
        <f ca="1">SUM(OFFSET(Demand!$E100,0,(COLUMN(E88)-1)*5,1,3))*R$2</f>
        <v>0</v>
      </c>
      <c r="S91" s="5">
        <f ca="1">SUM(OFFSET(Demand!$E100,0,(COLUMN(F88)-1)*5,1,3))*S$2</f>
        <v>0</v>
      </c>
      <c r="T91" s="5">
        <f ca="1">SUM(OFFSET(Demand!$E100,0,(COLUMN(G88)-1)*5,1,3))*T$2</f>
        <v>0</v>
      </c>
      <c r="U91" s="5">
        <f ca="1">SUM(OFFSET(Demand!$E100,0,(COLUMN(H88)-1)*5,1,3))*U$2</f>
        <v>0</v>
      </c>
      <c r="V91" s="5">
        <f ca="1">SUM(OFFSET(Demand!$E100,0,(COLUMN(I88)-1)*5,1,3))*V$2</f>
        <v>0</v>
      </c>
      <c r="W91" s="5">
        <f ca="1">SUM(OFFSET(Demand!$E100,0,(COLUMN(J88)-1)*5,1,3))*W$2</f>
        <v>0</v>
      </c>
      <c r="X91" s="5">
        <f t="shared" ca="1" si="31"/>
        <v>500</v>
      </c>
      <c r="Y91">
        <f t="shared" ca="1" si="32"/>
        <v>500</v>
      </c>
      <c r="Z91" s="5">
        <f ca="1">SUM(OFFSET(Demand!$H100,0,(COLUMN(A88)-1)*5,1,1))*N$2</f>
        <v>0</v>
      </c>
      <c r="AA91" s="5">
        <f ca="1">SUM(OFFSET(Demand!$H100,0,(COLUMN(B88)-1)*5,1,1))*O$2</f>
        <v>0</v>
      </c>
      <c r="AB91" s="5">
        <f ca="1">SUM(OFFSET(Demand!$H100,0,(COLUMN(C88)-1)*5,1,1))*P$2</f>
        <v>0</v>
      </c>
      <c r="AC91" s="5">
        <f ca="1">SUM(OFFSET(Demand!$H100,0,(COLUMN(D88)-1)*5,1,1))*Q$2</f>
        <v>0</v>
      </c>
      <c r="AD91" s="5">
        <f ca="1">SUM(OFFSET(Demand!$H100,0,(COLUMN(E88)-1)*5,1,1))*R$2</f>
        <v>0</v>
      </c>
      <c r="AE91" s="5">
        <f ca="1">SUM(OFFSET(Demand!$H100,0,(COLUMN(F88)-1)*5,1,1))*S$2</f>
        <v>0</v>
      </c>
      <c r="AF91" s="5">
        <f ca="1">SUM(OFFSET(Demand!$H100,0,(COLUMN(G88)-1)*5,1,1))*T$2</f>
        <v>0</v>
      </c>
      <c r="AG91" s="5">
        <f ca="1">SUM(OFFSET(Demand!$H100,0,(COLUMN(H88)-1)*5,1,1))*U$2</f>
        <v>0</v>
      </c>
      <c r="AH91" s="5">
        <f ca="1">SUM(OFFSET(Demand!$H100,0,(COLUMN(I88)-1)*5,1,1))*V$2</f>
        <v>0</v>
      </c>
      <c r="AI91" s="5">
        <f ca="1">SUM(OFFSET(Demand!$H100,0,(COLUMN(J88)-1)*5,1,1))*W$2</f>
        <v>0</v>
      </c>
      <c r="AJ91" s="5">
        <f t="shared" ca="1" si="33"/>
        <v>0</v>
      </c>
      <c r="AL91" s="5">
        <f t="shared" ca="1" si="34"/>
        <v>500</v>
      </c>
      <c r="AM91" s="5">
        <f t="shared" ca="1" si="35"/>
        <v>0</v>
      </c>
      <c r="AN91" s="5" t="str">
        <f>IF(Demand!BE100="Yes","Yes","")</f>
        <v/>
      </c>
      <c r="AP91" s="37" t="str">
        <f ca="1">Demand!B100</f>
        <v xml:space="preserve"> </v>
      </c>
      <c r="AQ91" t="str">
        <f ca="1">IF(TEXT(Demand!D100,"MMM")&lt;&gt;TEXT(Demand!D99,"MMM"),TEXT(Demand!D100,"MMM"),"")</f>
        <v>Dec</v>
      </c>
      <c r="AT91" s="5">
        <f t="shared" ca="1" si="37"/>
        <v>40</v>
      </c>
      <c r="BQ91">
        <f ca="1">IF($AN91="",OFFSET(Demand!$A$13,ROW(A88)-1,4+((QUOTIENT(COLUMN(BQ$2)-69,3))*5)+MOD(COLUMN(BQ$2),3),1,1),"")</f>
        <v>0</v>
      </c>
      <c r="BR91">
        <f ca="1">IF($AN91="",OFFSET(Demand!$A$13,ROW(B88)-1,4+((QUOTIENT(COLUMN(BR$2)-69,3))*5)+MOD(COLUMN(BR$2),3),1,1),"")</f>
        <v>3</v>
      </c>
      <c r="BS91">
        <f ca="1">IF($AN91="",OFFSET(Demand!$A$13,ROW(C88)-1,4+((QUOTIENT(COLUMN(BS$2)-69,3))*5)+MOD(COLUMN(BS$2),3),1,1),"")</f>
        <v>3</v>
      </c>
      <c r="BT91">
        <f ca="1">IF($AN91="",OFFSET(Demand!$A$13,ROW(D88)-1,4+((QUOTIENT(COLUMN(BT$2)-69,3))*5)+MOD(COLUMN(BT$2),3),1,1),"")</f>
        <v>0</v>
      </c>
      <c r="BU91">
        <f ca="1">IF($AN91="",OFFSET(Demand!$A$13,ROW(E88)-1,4+((QUOTIENT(COLUMN(BU$2)-69,3))*5)+MOD(COLUMN(BU$2),3),1,1),"")</f>
        <v>2</v>
      </c>
      <c r="BV91">
        <f ca="1">IF($AN91="",OFFSET(Demand!$A$13,ROW(F88)-1,4+((QUOTIENT(COLUMN(BV$2)-69,3))*5)+MOD(COLUMN(BV$2),3),1,1),"")</f>
        <v>6</v>
      </c>
      <c r="BW91">
        <f ca="1">IF($AN91="",OFFSET(Demand!$A$13,ROW(G88)-1,4+((QUOTIENT(COLUMN(BW$2)-69,3))*5)+MOD(COLUMN(BW$2),3),1,1),"")</f>
        <v>0</v>
      </c>
      <c r="BX91">
        <f ca="1">IF($AN91="",OFFSET(Demand!$A$13,ROW(H88)-1,4+((QUOTIENT(COLUMN(BX$2)-69,3))*5)+MOD(COLUMN(BX$2),3),1,1),"")</f>
        <v>0</v>
      </c>
      <c r="BY91">
        <f ca="1">IF($AN91="",OFFSET(Demand!$A$13,ROW(I88)-1,4+((QUOTIENT(COLUMN(BY$2)-69,3))*5)+MOD(COLUMN(BY$2),3),1,1),"")</f>
        <v>0</v>
      </c>
      <c r="BZ91">
        <f ca="1">IF($AN91="",OFFSET(Demand!$A$13,ROW(J88)-1,4+((QUOTIENT(COLUMN(BZ$2)-69,3))*5)+MOD(COLUMN(BZ$2),3),1,1),"")</f>
        <v>0</v>
      </c>
      <c r="CA91">
        <f ca="1">IF($AN91="",OFFSET(Demand!$A$13,ROW(K88)-1,4+((QUOTIENT(COLUMN(CA$2)-69,3))*5)+MOD(COLUMN(CA$2),3),1,1),"")</f>
        <v>0</v>
      </c>
      <c r="CB91">
        <f ca="1">IF($AN91="",OFFSET(Demand!$A$13,ROW(L88)-1,4+((QUOTIENT(COLUMN(CB$2)-69,3))*5)+MOD(COLUMN(CB$2),3),1,1),"")</f>
        <v>0</v>
      </c>
      <c r="CC91">
        <f ca="1">IF($AN91="",OFFSET(Demand!$A$13,ROW(M88)-1,4+((QUOTIENT(COLUMN(CC$2)-69,3))*5)+MOD(COLUMN(CC$2),3),1,1),"")</f>
        <v>0</v>
      </c>
      <c r="CD91">
        <f ca="1">IF($AN91="",OFFSET(Demand!$A$13,ROW(N88)-1,4+((QUOTIENT(COLUMN(CD$2)-69,3))*5)+MOD(COLUMN(CD$2),3),1,1),"")</f>
        <v>0</v>
      </c>
      <c r="CE91">
        <f ca="1">IF($AN91="",OFFSET(Demand!$A$13,ROW(O88)-1,4+((QUOTIENT(COLUMN(CE$2)-69,3))*5)+MOD(COLUMN(CE$2),3),1,1),"")</f>
        <v>0</v>
      </c>
      <c r="CF91">
        <f ca="1">IF($AN91="",OFFSET(Demand!$A$13,ROW(P88)-1,4+((QUOTIENT(COLUMN(CF$2)-69,3))*5)+MOD(COLUMN(CF$2),3),1,1),"")</f>
        <v>0</v>
      </c>
      <c r="CG91">
        <f ca="1">IF($AN91="",OFFSET(Demand!$A$13,ROW(Q88)-1,4+((QUOTIENT(COLUMN(CG$2)-69,3))*5)+MOD(COLUMN(CG$2),3),1,1),"")</f>
        <v>0</v>
      </c>
      <c r="CH91">
        <f ca="1">IF($AN91="",OFFSET(Demand!$A$13,ROW(R88)-1,4+((QUOTIENT(COLUMN(CH$2)-69,3))*5)+MOD(COLUMN(CH$2),3),1,1),"")</f>
        <v>0</v>
      </c>
      <c r="CI91">
        <f ca="1">IF($AN91="",OFFSET(Demand!$A$13,ROW(S88)-1,4+((QUOTIENT(COLUMN(CI$2)-69,3))*5)+MOD(COLUMN(CI$2),3),1,1),"")</f>
        <v>0</v>
      </c>
      <c r="CJ91">
        <f ca="1">IF($AN91="",OFFSET(Demand!$A$13,ROW(T88)-1,4+((QUOTIENT(COLUMN(CJ$2)-69,3))*5)+MOD(COLUMN(CJ$2),3),1,1),"")</f>
        <v>0</v>
      </c>
      <c r="CK91">
        <f ca="1">IF($AN91="",OFFSET(Demand!$A$13,ROW(U88)-1,4+((QUOTIENT(COLUMN(CK$2)-69,3))*5)+MOD(COLUMN(CK$2),3),1,1),"")</f>
        <v>0</v>
      </c>
      <c r="CL91">
        <f ca="1">IF($AN91="",OFFSET(Demand!$A$13,ROW(V88)-1,4+((QUOTIENT(COLUMN(CL$2)-69,3))*5)+MOD(COLUMN(CL$2),3),1,1),"")</f>
        <v>0</v>
      </c>
      <c r="CM91">
        <f ca="1">IF($AN91="",OFFSET(Demand!$A$13,ROW(W88)-1,4+((QUOTIENT(COLUMN(CM$2)-69,3))*5)+MOD(COLUMN(CM$2),3),1,1),"")</f>
        <v>0</v>
      </c>
      <c r="CN91">
        <f ca="1">IF($AN91="",OFFSET(Demand!$A$13,ROW(X88)-1,4+((QUOTIENT(COLUMN(CN$2)-69,3))*5)+MOD(COLUMN(CN$2),3),1,1),"")</f>
        <v>0</v>
      </c>
      <c r="CO91">
        <f ca="1">IF($AN91="",OFFSET(Demand!$A$13,ROW(Y88)-1,4+((QUOTIENT(COLUMN(CO$2)-69,3))*5)+MOD(COLUMN(CO$2),3),1,1),"")</f>
        <v>0</v>
      </c>
      <c r="CP91">
        <f ca="1">IF($AN91="",OFFSET(Demand!$A$13,ROW(Z88)-1,4+((QUOTIENT(COLUMN(CP$2)-69,3))*5)+MOD(COLUMN(CP$2),3),1,1),"")</f>
        <v>0</v>
      </c>
      <c r="CQ91">
        <f ca="1">IF($AN91="",OFFSET(Demand!$A$13,ROW(AA88)-1,4+((QUOTIENT(COLUMN(CQ$2)-69,3))*5)+MOD(COLUMN(CQ$2),3),1,1),"")</f>
        <v>0</v>
      </c>
      <c r="CR91">
        <f ca="1">IF($AN91="",OFFSET(Demand!$A$13,ROW(AB88)-1,4+((QUOTIENT(COLUMN(CR$2)-69,3))*5)+MOD(COLUMN(CR$2),3),1,1),"")</f>
        <v>0</v>
      </c>
      <c r="CS91">
        <f ca="1">IF($AN91="",OFFSET(Demand!$A$13,ROW(AC88)-1,4+((QUOTIENT(COLUMN(CS$2)-69,3))*5)+MOD(COLUMN(CS$2),3),1,1),"")</f>
        <v>0</v>
      </c>
      <c r="CT91">
        <f ca="1">IF($AN91="",OFFSET(Demand!$A$13,ROW(AD88)-1,4+((QUOTIENT(COLUMN(CT$2)-69,3))*5)+MOD(COLUMN(CT$2),3),1,1),"")</f>
        <v>0</v>
      </c>
      <c r="CW91" s="5">
        <f ca="1">SUM(OFFSET(Demand!$H$43,ROW(A88)-1,(COLUMN(A88)-1)*5,1,1))*N$2</f>
        <v>0</v>
      </c>
      <c r="CX91" s="5">
        <f ca="1">SUM(OFFSET(Demand!$H$43,ROW(B88)-1,(COLUMN(B88)-1)*5,1,1))*O$2</f>
        <v>0</v>
      </c>
      <c r="CY91" s="5">
        <f ca="1">SUM(OFFSET(Demand!$H$43,ROW(C88)-1,(COLUMN(C88)-1)*5,1,1))*P$2</f>
        <v>0</v>
      </c>
      <c r="CZ91" s="5">
        <f ca="1">SUM(OFFSET(Demand!$H$43,ROW(D88)-1,(COLUMN(D88)-1)*5,1,1))*Q$2</f>
        <v>0</v>
      </c>
      <c r="DA91" s="5">
        <f ca="1">SUM(OFFSET(Demand!$H$43,ROW(E88)-1,(COLUMN(E88)-1)*5,1,1))*R$2</f>
        <v>0</v>
      </c>
      <c r="DB91" s="5">
        <f ca="1">SUM(OFFSET(Demand!$H$43,ROW(F88)-1,(COLUMN(F88)-1)*5,1,1))*S$2</f>
        <v>0</v>
      </c>
      <c r="DC91" s="5">
        <f ca="1">SUM(OFFSET(Demand!$H$43,ROW(G88)-1,(COLUMN(G88)-1)*5,1,1))*T$2</f>
        <v>0</v>
      </c>
      <c r="DD91" s="5">
        <f ca="1">SUM(OFFSET(Demand!$H$43,ROW(H88)-1,(COLUMN(H88)-1)*5,1,1))*U$2</f>
        <v>0</v>
      </c>
      <c r="DE91" s="5">
        <f ca="1">SUM(OFFSET(Demand!$H$43,ROW(I88)-1,(COLUMN(I88)-1)*5,1,1))*V$2</f>
        <v>0</v>
      </c>
      <c r="DF91" s="5">
        <f ca="1">SUM(OFFSET(Demand!$H$43,ROW(J88)-1,(COLUMN(J88)-1)*5,1,1))*W$2</f>
        <v>0</v>
      </c>
      <c r="DG91" s="5">
        <f t="shared" ca="1" si="36"/>
        <v>0</v>
      </c>
    </row>
    <row r="92" spans="1:111" x14ac:dyDescent="0.2">
      <c r="A92" s="5">
        <f t="shared" ca="1" si="30"/>
        <v>0</v>
      </c>
      <c r="B92" s="5">
        <f ca="1">COUNTBLANK(OFFSET(Demand!$I101,0,(COLUMN(A89)-1)*5,1,1))</f>
        <v>0</v>
      </c>
      <c r="C92" s="5">
        <f ca="1">COUNTBLANK(OFFSET(Demand!$I101,0,(COLUMN(B89)-1)*5,1,1))</f>
        <v>0</v>
      </c>
      <c r="D92" s="5">
        <f ca="1">COUNTBLANK(OFFSET(Demand!$I101,0,(COLUMN(C89)-1)*5,1,1))</f>
        <v>1</v>
      </c>
      <c r="E92" s="5">
        <f ca="1">COUNTBLANK(OFFSET(Demand!$I101,0,(COLUMN(D89)-1)*5,1,1))</f>
        <v>1</v>
      </c>
      <c r="F92" s="5">
        <f ca="1">COUNTBLANK(OFFSET(Demand!$I101,0,(COLUMN(E89)-1)*5,1,1))</f>
        <v>1</v>
      </c>
      <c r="G92" s="5">
        <f ca="1">COUNTBLANK(OFFSET(Demand!$I101,0,(COLUMN(F89)-1)*5,1,1))</f>
        <v>1</v>
      </c>
      <c r="H92" s="5">
        <f ca="1">COUNTBLANK(OFFSET(Demand!$I101,0,(COLUMN(G89)-1)*5,1,1))</f>
        <v>1</v>
      </c>
      <c r="I92" s="5">
        <f ca="1">COUNTBLANK(OFFSET(Demand!$I101,0,(COLUMN(H89)-1)*5,1,1))</f>
        <v>1</v>
      </c>
      <c r="J92" s="5">
        <f ca="1">COUNTBLANK(OFFSET(Demand!$I101,0,(COLUMN(I89)-1)*5,1,1))</f>
        <v>1</v>
      </c>
      <c r="K92" s="5">
        <f ca="1">COUNTBLANK(OFFSET(Demand!$I101,0,(COLUMN(J89)-1)*5,1,1))</f>
        <v>1</v>
      </c>
      <c r="N92" s="5">
        <f ca="1">SUM(OFFSET(Demand!$E101,0,(COLUMN(A89)-1)*5,1,3))*N$2</f>
        <v>270</v>
      </c>
      <c r="O92" s="5">
        <f ca="1">SUM(OFFSET(Demand!$E101,0,(COLUMN(B89)-1)*5,1,3))*O$2</f>
        <v>240</v>
      </c>
      <c r="P92" s="5">
        <f ca="1">SUM(OFFSET(Demand!$E101,0,(COLUMN(C89)-1)*5,1,3))*P$2</f>
        <v>0</v>
      </c>
      <c r="Q92" s="5">
        <f ca="1">SUM(OFFSET(Demand!$E101,0,(COLUMN(D89)-1)*5,1,3))*Q$2</f>
        <v>0</v>
      </c>
      <c r="R92" s="5">
        <f ca="1">SUM(OFFSET(Demand!$E101,0,(COLUMN(E89)-1)*5,1,3))*R$2</f>
        <v>0</v>
      </c>
      <c r="S92" s="5">
        <f ca="1">SUM(OFFSET(Demand!$E101,0,(COLUMN(F89)-1)*5,1,3))*S$2</f>
        <v>0</v>
      </c>
      <c r="T92" s="5">
        <f ca="1">SUM(OFFSET(Demand!$E101,0,(COLUMN(G89)-1)*5,1,3))*T$2</f>
        <v>0</v>
      </c>
      <c r="U92" s="5">
        <f ca="1">SUM(OFFSET(Demand!$E101,0,(COLUMN(H89)-1)*5,1,3))*U$2</f>
        <v>0</v>
      </c>
      <c r="V92" s="5">
        <f ca="1">SUM(OFFSET(Demand!$E101,0,(COLUMN(I89)-1)*5,1,3))*V$2</f>
        <v>0</v>
      </c>
      <c r="W92" s="5">
        <f ca="1">SUM(OFFSET(Demand!$E101,0,(COLUMN(J89)-1)*5,1,3))*W$2</f>
        <v>0</v>
      </c>
      <c r="X92" s="5">
        <f t="shared" ca="1" si="31"/>
        <v>510</v>
      </c>
      <c r="Y92">
        <f t="shared" ca="1" si="32"/>
        <v>510</v>
      </c>
      <c r="Z92" s="5">
        <f ca="1">SUM(OFFSET(Demand!$H101,0,(COLUMN(A89)-1)*5,1,1))*N$2</f>
        <v>0</v>
      </c>
      <c r="AA92" s="5">
        <f ca="1">SUM(OFFSET(Demand!$H101,0,(COLUMN(B89)-1)*5,1,1))*O$2</f>
        <v>0</v>
      </c>
      <c r="AB92" s="5">
        <f ca="1">SUM(OFFSET(Demand!$H101,0,(COLUMN(C89)-1)*5,1,1))*P$2</f>
        <v>0</v>
      </c>
      <c r="AC92" s="5">
        <f ca="1">SUM(OFFSET(Demand!$H101,0,(COLUMN(D89)-1)*5,1,1))*Q$2</f>
        <v>0</v>
      </c>
      <c r="AD92" s="5">
        <f ca="1">SUM(OFFSET(Demand!$H101,0,(COLUMN(E89)-1)*5,1,1))*R$2</f>
        <v>0</v>
      </c>
      <c r="AE92" s="5">
        <f ca="1">SUM(OFFSET(Demand!$H101,0,(COLUMN(F89)-1)*5,1,1))*S$2</f>
        <v>0</v>
      </c>
      <c r="AF92" s="5">
        <f ca="1">SUM(OFFSET(Demand!$H101,0,(COLUMN(G89)-1)*5,1,1))*T$2</f>
        <v>0</v>
      </c>
      <c r="AG92" s="5">
        <f ca="1">SUM(OFFSET(Demand!$H101,0,(COLUMN(H89)-1)*5,1,1))*U$2</f>
        <v>0</v>
      </c>
      <c r="AH92" s="5">
        <f ca="1">SUM(OFFSET(Demand!$H101,0,(COLUMN(I89)-1)*5,1,1))*V$2</f>
        <v>0</v>
      </c>
      <c r="AI92" s="5">
        <f ca="1">SUM(OFFSET(Demand!$H101,0,(COLUMN(J89)-1)*5,1,1))*W$2</f>
        <v>0</v>
      </c>
      <c r="AJ92" s="5">
        <f t="shared" ca="1" si="33"/>
        <v>0</v>
      </c>
      <c r="AL92" s="5">
        <f t="shared" ca="1" si="34"/>
        <v>510</v>
      </c>
      <c r="AM92" s="5">
        <f t="shared" ca="1" si="35"/>
        <v>0</v>
      </c>
      <c r="AN92" s="5" t="str">
        <f>IF(Demand!BE101="Yes","Yes","")</f>
        <v/>
      </c>
      <c r="AP92" s="37" t="str">
        <f ca="1">Demand!B101</f>
        <v xml:space="preserve"> </v>
      </c>
      <c r="AQ92" t="str">
        <f ca="1">IF(TEXT(Demand!D101,"MMM")&lt;&gt;TEXT(Demand!D100,"MMM"),TEXT(Demand!D101,"MMM"),"")</f>
        <v/>
      </c>
      <c r="AT92" s="5">
        <f t="shared" ca="1" si="37"/>
        <v>10</v>
      </c>
      <c r="BQ92">
        <f ca="1">IF($AN92="",OFFSET(Demand!$A$13,ROW(A89)-1,4+((QUOTIENT(COLUMN(BQ$2)-69,3))*5)+MOD(COLUMN(BQ$2),3),1,1),"")</f>
        <v>0</v>
      </c>
      <c r="BR92">
        <f ca="1">IF($AN92="",OFFSET(Demand!$A$13,ROW(B89)-1,4+((QUOTIENT(COLUMN(BR$2)-69,3))*5)+MOD(COLUMN(BR$2),3),1,1),"")</f>
        <v>1</v>
      </c>
      <c r="BS92">
        <f ca="1">IF($AN92="",OFFSET(Demand!$A$13,ROW(C89)-1,4+((QUOTIENT(COLUMN(BS$2)-69,3))*5)+MOD(COLUMN(BS$2),3),1,1),"")</f>
        <v>8</v>
      </c>
      <c r="BT92">
        <f ca="1">IF($AN92="",OFFSET(Demand!$A$13,ROW(D89)-1,4+((QUOTIENT(COLUMN(BT$2)-69,3))*5)+MOD(COLUMN(BT$2),3),1,1),"")</f>
        <v>0</v>
      </c>
      <c r="BU92">
        <f ca="1">IF($AN92="",OFFSET(Demand!$A$13,ROW(E89)-1,4+((QUOTIENT(COLUMN(BU$2)-69,3))*5)+MOD(COLUMN(BU$2),3),1,1),"")</f>
        <v>3</v>
      </c>
      <c r="BV92">
        <f ca="1">IF($AN92="",OFFSET(Demand!$A$13,ROW(F89)-1,4+((QUOTIENT(COLUMN(BV$2)-69,3))*5)+MOD(COLUMN(BV$2),3),1,1),"")</f>
        <v>3</v>
      </c>
      <c r="BW92">
        <f ca="1">IF($AN92="",OFFSET(Demand!$A$13,ROW(G89)-1,4+((QUOTIENT(COLUMN(BW$2)-69,3))*5)+MOD(COLUMN(BW$2),3),1,1),"")</f>
        <v>0</v>
      </c>
      <c r="BX92">
        <f ca="1">IF($AN92="",OFFSET(Demand!$A$13,ROW(H89)-1,4+((QUOTIENT(COLUMN(BX$2)-69,3))*5)+MOD(COLUMN(BX$2),3),1,1),"")</f>
        <v>0</v>
      </c>
      <c r="BY92">
        <f ca="1">IF($AN92="",OFFSET(Demand!$A$13,ROW(I89)-1,4+((QUOTIENT(COLUMN(BY$2)-69,3))*5)+MOD(COLUMN(BY$2),3),1,1),"")</f>
        <v>0</v>
      </c>
      <c r="BZ92">
        <f ca="1">IF($AN92="",OFFSET(Demand!$A$13,ROW(J89)-1,4+((QUOTIENT(COLUMN(BZ$2)-69,3))*5)+MOD(COLUMN(BZ$2),3),1,1),"")</f>
        <v>0</v>
      </c>
      <c r="CA92">
        <f ca="1">IF($AN92="",OFFSET(Demand!$A$13,ROW(K89)-1,4+((QUOTIENT(COLUMN(CA$2)-69,3))*5)+MOD(COLUMN(CA$2),3),1,1),"")</f>
        <v>0</v>
      </c>
      <c r="CB92">
        <f ca="1">IF($AN92="",OFFSET(Demand!$A$13,ROW(L89)-1,4+((QUOTIENT(COLUMN(CB$2)-69,3))*5)+MOD(COLUMN(CB$2),3),1,1),"")</f>
        <v>0</v>
      </c>
      <c r="CC92">
        <f ca="1">IF($AN92="",OFFSET(Demand!$A$13,ROW(M89)-1,4+((QUOTIENT(COLUMN(CC$2)-69,3))*5)+MOD(COLUMN(CC$2),3),1,1),"")</f>
        <v>0</v>
      </c>
      <c r="CD92">
        <f ca="1">IF($AN92="",OFFSET(Demand!$A$13,ROW(N89)-1,4+((QUOTIENT(COLUMN(CD$2)-69,3))*5)+MOD(COLUMN(CD$2),3),1,1),"")</f>
        <v>0</v>
      </c>
      <c r="CE92">
        <f ca="1">IF($AN92="",OFFSET(Demand!$A$13,ROW(O89)-1,4+((QUOTIENT(COLUMN(CE$2)-69,3))*5)+MOD(COLUMN(CE$2),3),1,1),"")</f>
        <v>0</v>
      </c>
      <c r="CF92">
        <f ca="1">IF($AN92="",OFFSET(Demand!$A$13,ROW(P89)-1,4+((QUOTIENT(COLUMN(CF$2)-69,3))*5)+MOD(COLUMN(CF$2),3),1,1),"")</f>
        <v>0</v>
      </c>
      <c r="CG92">
        <f ca="1">IF($AN92="",OFFSET(Demand!$A$13,ROW(Q89)-1,4+((QUOTIENT(COLUMN(CG$2)-69,3))*5)+MOD(COLUMN(CG$2),3),1,1),"")</f>
        <v>0</v>
      </c>
      <c r="CH92">
        <f ca="1">IF($AN92="",OFFSET(Demand!$A$13,ROW(R89)-1,4+((QUOTIENT(COLUMN(CH$2)-69,3))*5)+MOD(COLUMN(CH$2),3),1,1),"")</f>
        <v>0</v>
      </c>
      <c r="CI92">
        <f ca="1">IF($AN92="",OFFSET(Demand!$A$13,ROW(S89)-1,4+((QUOTIENT(COLUMN(CI$2)-69,3))*5)+MOD(COLUMN(CI$2),3),1,1),"")</f>
        <v>0</v>
      </c>
      <c r="CJ92">
        <f ca="1">IF($AN92="",OFFSET(Demand!$A$13,ROW(T89)-1,4+((QUOTIENT(COLUMN(CJ$2)-69,3))*5)+MOD(COLUMN(CJ$2),3),1,1),"")</f>
        <v>0</v>
      </c>
      <c r="CK92">
        <f ca="1">IF($AN92="",OFFSET(Demand!$A$13,ROW(U89)-1,4+((QUOTIENT(COLUMN(CK$2)-69,3))*5)+MOD(COLUMN(CK$2),3),1,1),"")</f>
        <v>0</v>
      </c>
      <c r="CL92">
        <f ca="1">IF($AN92="",OFFSET(Demand!$A$13,ROW(V89)-1,4+((QUOTIENT(COLUMN(CL$2)-69,3))*5)+MOD(COLUMN(CL$2),3),1,1),"")</f>
        <v>0</v>
      </c>
      <c r="CM92">
        <f ca="1">IF($AN92="",OFFSET(Demand!$A$13,ROW(W89)-1,4+((QUOTIENT(COLUMN(CM$2)-69,3))*5)+MOD(COLUMN(CM$2),3),1,1),"")</f>
        <v>0</v>
      </c>
      <c r="CN92">
        <f ca="1">IF($AN92="",OFFSET(Demand!$A$13,ROW(X89)-1,4+((QUOTIENT(COLUMN(CN$2)-69,3))*5)+MOD(COLUMN(CN$2),3),1,1),"")</f>
        <v>0</v>
      </c>
      <c r="CO92">
        <f ca="1">IF($AN92="",OFFSET(Demand!$A$13,ROW(Y89)-1,4+((QUOTIENT(COLUMN(CO$2)-69,3))*5)+MOD(COLUMN(CO$2),3),1,1),"")</f>
        <v>0</v>
      </c>
      <c r="CP92">
        <f ca="1">IF($AN92="",OFFSET(Demand!$A$13,ROW(Z89)-1,4+((QUOTIENT(COLUMN(CP$2)-69,3))*5)+MOD(COLUMN(CP$2),3),1,1),"")</f>
        <v>0</v>
      </c>
      <c r="CQ92">
        <f ca="1">IF($AN92="",OFFSET(Demand!$A$13,ROW(AA89)-1,4+((QUOTIENT(COLUMN(CQ$2)-69,3))*5)+MOD(COLUMN(CQ$2),3),1,1),"")</f>
        <v>0</v>
      </c>
      <c r="CR92">
        <f ca="1">IF($AN92="",OFFSET(Demand!$A$13,ROW(AB89)-1,4+((QUOTIENT(COLUMN(CR$2)-69,3))*5)+MOD(COLUMN(CR$2),3),1,1),"")</f>
        <v>0</v>
      </c>
      <c r="CS92">
        <f ca="1">IF($AN92="",OFFSET(Demand!$A$13,ROW(AC89)-1,4+((QUOTIENT(COLUMN(CS$2)-69,3))*5)+MOD(COLUMN(CS$2),3),1,1),"")</f>
        <v>0</v>
      </c>
      <c r="CT92">
        <f ca="1">IF($AN92="",OFFSET(Demand!$A$13,ROW(AD89)-1,4+((QUOTIENT(COLUMN(CT$2)-69,3))*5)+MOD(COLUMN(CT$2),3),1,1),"")</f>
        <v>0</v>
      </c>
      <c r="CW92" s="5">
        <f ca="1">SUM(OFFSET(Demand!$H$43,ROW(A89)-1,(COLUMN(A89)-1)*5,1,1))*N$2</f>
        <v>0</v>
      </c>
      <c r="CX92" s="5">
        <f ca="1">SUM(OFFSET(Demand!$H$43,ROW(B89)-1,(COLUMN(B89)-1)*5,1,1))*O$2</f>
        <v>0</v>
      </c>
      <c r="CY92" s="5">
        <f ca="1">SUM(OFFSET(Demand!$H$43,ROW(C89)-1,(COLUMN(C89)-1)*5,1,1))*P$2</f>
        <v>0</v>
      </c>
      <c r="CZ92" s="5">
        <f ca="1">SUM(OFFSET(Demand!$H$43,ROW(D89)-1,(COLUMN(D89)-1)*5,1,1))*Q$2</f>
        <v>0</v>
      </c>
      <c r="DA92" s="5">
        <f ca="1">SUM(OFFSET(Demand!$H$43,ROW(E89)-1,(COLUMN(E89)-1)*5,1,1))*R$2</f>
        <v>0</v>
      </c>
      <c r="DB92" s="5">
        <f ca="1">SUM(OFFSET(Demand!$H$43,ROW(F89)-1,(COLUMN(F89)-1)*5,1,1))*S$2</f>
        <v>0</v>
      </c>
      <c r="DC92" s="5">
        <f ca="1">SUM(OFFSET(Demand!$H$43,ROW(G89)-1,(COLUMN(G89)-1)*5,1,1))*T$2</f>
        <v>0</v>
      </c>
      <c r="DD92" s="5">
        <f ca="1">SUM(OFFSET(Demand!$H$43,ROW(H89)-1,(COLUMN(H89)-1)*5,1,1))*U$2</f>
        <v>0</v>
      </c>
      <c r="DE92" s="5">
        <f ca="1">SUM(OFFSET(Demand!$H$43,ROW(I89)-1,(COLUMN(I89)-1)*5,1,1))*V$2</f>
        <v>0</v>
      </c>
      <c r="DF92" s="5">
        <f ca="1">SUM(OFFSET(Demand!$H$43,ROW(J89)-1,(COLUMN(J89)-1)*5,1,1))*W$2</f>
        <v>0</v>
      </c>
      <c r="DG92" s="5">
        <f t="shared" ca="1" si="36"/>
        <v>0</v>
      </c>
    </row>
    <row r="93" spans="1:111" x14ac:dyDescent="0.2">
      <c r="A93" s="5">
        <f t="shared" ca="1" si="30"/>
        <v>0</v>
      </c>
      <c r="B93" s="5">
        <f ca="1">COUNTBLANK(OFFSET(Demand!$I102,0,(COLUMN(A90)-1)*5,1,1))</f>
        <v>0</v>
      </c>
      <c r="C93" s="5">
        <f ca="1">COUNTBLANK(OFFSET(Demand!$I102,0,(COLUMN(B90)-1)*5,1,1))</f>
        <v>0</v>
      </c>
      <c r="D93" s="5">
        <f ca="1">COUNTBLANK(OFFSET(Demand!$I102,0,(COLUMN(C90)-1)*5,1,1))</f>
        <v>1</v>
      </c>
      <c r="E93" s="5">
        <f ca="1">COUNTBLANK(OFFSET(Demand!$I102,0,(COLUMN(D90)-1)*5,1,1))</f>
        <v>1</v>
      </c>
      <c r="F93" s="5">
        <f ca="1">COUNTBLANK(OFFSET(Demand!$I102,0,(COLUMN(E90)-1)*5,1,1))</f>
        <v>1</v>
      </c>
      <c r="G93" s="5">
        <f ca="1">COUNTBLANK(OFFSET(Demand!$I102,0,(COLUMN(F90)-1)*5,1,1))</f>
        <v>1</v>
      </c>
      <c r="H93" s="5">
        <f ca="1">COUNTBLANK(OFFSET(Demand!$I102,0,(COLUMN(G90)-1)*5,1,1))</f>
        <v>1</v>
      </c>
      <c r="I93" s="5">
        <f ca="1">COUNTBLANK(OFFSET(Demand!$I102,0,(COLUMN(H90)-1)*5,1,1))</f>
        <v>1</v>
      </c>
      <c r="J93" s="5">
        <f ca="1">COUNTBLANK(OFFSET(Demand!$I102,0,(COLUMN(I90)-1)*5,1,1))</f>
        <v>1</v>
      </c>
      <c r="K93" s="5">
        <f ca="1">COUNTBLANK(OFFSET(Demand!$I102,0,(COLUMN(J90)-1)*5,1,1))</f>
        <v>1</v>
      </c>
      <c r="N93" s="5">
        <f ca="1">SUM(OFFSET(Demand!$E102,0,(COLUMN(A90)-1)*5,1,3))*N$2</f>
        <v>150</v>
      </c>
      <c r="O93" s="5">
        <f ca="1">SUM(OFFSET(Demand!$E102,0,(COLUMN(B90)-1)*5,1,3))*O$2</f>
        <v>360</v>
      </c>
      <c r="P93" s="5">
        <f ca="1">SUM(OFFSET(Demand!$E102,0,(COLUMN(C90)-1)*5,1,3))*P$2</f>
        <v>0</v>
      </c>
      <c r="Q93" s="5">
        <f ca="1">SUM(OFFSET(Demand!$E102,0,(COLUMN(D90)-1)*5,1,3))*Q$2</f>
        <v>0</v>
      </c>
      <c r="R93" s="5">
        <f ca="1">SUM(OFFSET(Demand!$E102,0,(COLUMN(E90)-1)*5,1,3))*R$2</f>
        <v>0</v>
      </c>
      <c r="S93" s="5">
        <f ca="1">SUM(OFFSET(Demand!$E102,0,(COLUMN(F90)-1)*5,1,3))*S$2</f>
        <v>0</v>
      </c>
      <c r="T93" s="5">
        <f ca="1">SUM(OFFSET(Demand!$E102,0,(COLUMN(G90)-1)*5,1,3))*T$2</f>
        <v>0</v>
      </c>
      <c r="U93" s="5">
        <f ca="1">SUM(OFFSET(Demand!$E102,0,(COLUMN(H90)-1)*5,1,3))*U$2</f>
        <v>0</v>
      </c>
      <c r="V93" s="5">
        <f ca="1">SUM(OFFSET(Demand!$E102,0,(COLUMN(I90)-1)*5,1,3))*V$2</f>
        <v>0</v>
      </c>
      <c r="W93" s="5">
        <f ca="1">SUM(OFFSET(Demand!$E102,0,(COLUMN(J90)-1)*5,1,3))*W$2</f>
        <v>0</v>
      </c>
      <c r="X93" s="5">
        <f t="shared" ca="1" si="31"/>
        <v>510</v>
      </c>
      <c r="Y93">
        <f t="shared" ca="1" si="32"/>
        <v>510</v>
      </c>
      <c r="Z93" s="5">
        <f ca="1">SUM(OFFSET(Demand!$H102,0,(COLUMN(A90)-1)*5,1,1))*N$2</f>
        <v>0</v>
      </c>
      <c r="AA93" s="5">
        <f ca="1">SUM(OFFSET(Demand!$H102,0,(COLUMN(B90)-1)*5,1,1))*O$2</f>
        <v>0</v>
      </c>
      <c r="AB93" s="5">
        <f ca="1">SUM(OFFSET(Demand!$H102,0,(COLUMN(C90)-1)*5,1,1))*P$2</f>
        <v>0</v>
      </c>
      <c r="AC93" s="5">
        <f ca="1">SUM(OFFSET(Demand!$H102,0,(COLUMN(D90)-1)*5,1,1))*Q$2</f>
        <v>0</v>
      </c>
      <c r="AD93" s="5">
        <f ca="1">SUM(OFFSET(Demand!$H102,0,(COLUMN(E90)-1)*5,1,1))*R$2</f>
        <v>0</v>
      </c>
      <c r="AE93" s="5">
        <f ca="1">SUM(OFFSET(Demand!$H102,0,(COLUMN(F90)-1)*5,1,1))*S$2</f>
        <v>0</v>
      </c>
      <c r="AF93" s="5">
        <f ca="1">SUM(OFFSET(Demand!$H102,0,(COLUMN(G90)-1)*5,1,1))*T$2</f>
        <v>0</v>
      </c>
      <c r="AG93" s="5">
        <f ca="1">SUM(OFFSET(Demand!$H102,0,(COLUMN(H90)-1)*5,1,1))*U$2</f>
        <v>0</v>
      </c>
      <c r="AH93" s="5">
        <f ca="1">SUM(OFFSET(Demand!$H102,0,(COLUMN(I90)-1)*5,1,1))*V$2</f>
        <v>0</v>
      </c>
      <c r="AI93" s="5">
        <f ca="1">SUM(OFFSET(Demand!$H102,0,(COLUMN(J90)-1)*5,1,1))*W$2</f>
        <v>0</v>
      </c>
      <c r="AJ93" s="5">
        <f t="shared" ca="1" si="33"/>
        <v>0</v>
      </c>
      <c r="AL93" s="5">
        <f t="shared" ca="1" si="34"/>
        <v>510</v>
      </c>
      <c r="AM93" s="5">
        <f t="shared" ca="1" si="35"/>
        <v>0</v>
      </c>
      <c r="AN93" s="5" t="str">
        <f>IF(Demand!BE102="Yes","Yes","")</f>
        <v/>
      </c>
      <c r="AP93" s="37" t="str">
        <f ca="1">Demand!B102</f>
        <v xml:space="preserve"> </v>
      </c>
      <c r="AQ93" t="str">
        <f ca="1">IF(TEXT(Demand!D102,"MMM")&lt;&gt;TEXT(Demand!D101,"MMM"),TEXT(Demand!D102,"MMM"),"")</f>
        <v/>
      </c>
      <c r="AT93" s="5">
        <f t="shared" ca="1" si="37"/>
        <v>0</v>
      </c>
      <c r="BQ93">
        <f ca="1">IF($AN93="",OFFSET(Demand!$A$13,ROW(A90)-1,4+((QUOTIENT(COLUMN(BQ$2)-69,3))*5)+MOD(COLUMN(BQ$2),3),1,1),"")</f>
        <v>0</v>
      </c>
      <c r="BR93">
        <f ca="1">IF($AN93="",OFFSET(Demand!$A$13,ROW(B90)-1,4+((QUOTIENT(COLUMN(BR$2)-69,3))*5)+MOD(COLUMN(BR$2),3),1,1),"")</f>
        <v>0</v>
      </c>
      <c r="BS93">
        <f ca="1">IF($AN93="",OFFSET(Demand!$A$13,ROW(C90)-1,4+((QUOTIENT(COLUMN(BS$2)-69,3))*5)+MOD(COLUMN(BS$2),3),1,1),"")</f>
        <v>5</v>
      </c>
      <c r="BT93">
        <f ca="1">IF($AN93="",OFFSET(Demand!$A$13,ROW(D90)-1,4+((QUOTIENT(COLUMN(BT$2)-69,3))*5)+MOD(COLUMN(BT$2),3),1,1),"")</f>
        <v>0</v>
      </c>
      <c r="BU93">
        <f ca="1">IF($AN93="",OFFSET(Demand!$A$13,ROW(E90)-1,4+((QUOTIENT(COLUMN(BU$2)-69,3))*5)+MOD(COLUMN(BU$2),3),1,1),"")</f>
        <v>2</v>
      </c>
      <c r="BV93">
        <f ca="1">IF($AN93="",OFFSET(Demand!$A$13,ROW(F90)-1,4+((QUOTIENT(COLUMN(BV$2)-69,3))*5)+MOD(COLUMN(BV$2),3),1,1),"")</f>
        <v>7</v>
      </c>
      <c r="BW93">
        <f ca="1">IF($AN93="",OFFSET(Demand!$A$13,ROW(G90)-1,4+((QUOTIENT(COLUMN(BW$2)-69,3))*5)+MOD(COLUMN(BW$2),3),1,1),"")</f>
        <v>0</v>
      </c>
      <c r="BX93">
        <f ca="1">IF($AN93="",OFFSET(Demand!$A$13,ROW(H90)-1,4+((QUOTIENT(COLUMN(BX$2)-69,3))*5)+MOD(COLUMN(BX$2),3),1,1),"")</f>
        <v>0</v>
      </c>
      <c r="BY93">
        <f ca="1">IF($AN93="",OFFSET(Demand!$A$13,ROW(I90)-1,4+((QUOTIENT(COLUMN(BY$2)-69,3))*5)+MOD(COLUMN(BY$2),3),1,1),"")</f>
        <v>0</v>
      </c>
      <c r="BZ93">
        <f ca="1">IF($AN93="",OFFSET(Demand!$A$13,ROW(J90)-1,4+((QUOTIENT(COLUMN(BZ$2)-69,3))*5)+MOD(COLUMN(BZ$2),3),1,1),"")</f>
        <v>0</v>
      </c>
      <c r="CA93">
        <f ca="1">IF($AN93="",OFFSET(Demand!$A$13,ROW(K90)-1,4+((QUOTIENT(COLUMN(CA$2)-69,3))*5)+MOD(COLUMN(CA$2),3),1,1),"")</f>
        <v>0</v>
      </c>
      <c r="CB93">
        <f ca="1">IF($AN93="",OFFSET(Demand!$A$13,ROW(L90)-1,4+((QUOTIENT(COLUMN(CB$2)-69,3))*5)+MOD(COLUMN(CB$2),3),1,1),"")</f>
        <v>0</v>
      </c>
      <c r="CC93">
        <f ca="1">IF($AN93="",OFFSET(Demand!$A$13,ROW(M90)-1,4+((QUOTIENT(COLUMN(CC$2)-69,3))*5)+MOD(COLUMN(CC$2),3),1,1),"")</f>
        <v>0</v>
      </c>
      <c r="CD93">
        <f ca="1">IF($AN93="",OFFSET(Demand!$A$13,ROW(N90)-1,4+((QUOTIENT(COLUMN(CD$2)-69,3))*5)+MOD(COLUMN(CD$2),3),1,1),"")</f>
        <v>0</v>
      </c>
      <c r="CE93">
        <f ca="1">IF($AN93="",OFFSET(Demand!$A$13,ROW(O90)-1,4+((QUOTIENT(COLUMN(CE$2)-69,3))*5)+MOD(COLUMN(CE$2),3),1,1),"")</f>
        <v>0</v>
      </c>
      <c r="CF93">
        <f ca="1">IF($AN93="",OFFSET(Demand!$A$13,ROW(P90)-1,4+((QUOTIENT(COLUMN(CF$2)-69,3))*5)+MOD(COLUMN(CF$2),3),1,1),"")</f>
        <v>0</v>
      </c>
      <c r="CG93">
        <f ca="1">IF($AN93="",OFFSET(Demand!$A$13,ROW(Q90)-1,4+((QUOTIENT(COLUMN(CG$2)-69,3))*5)+MOD(COLUMN(CG$2),3),1,1),"")</f>
        <v>0</v>
      </c>
      <c r="CH93">
        <f ca="1">IF($AN93="",OFFSET(Demand!$A$13,ROW(R90)-1,4+((QUOTIENT(COLUMN(CH$2)-69,3))*5)+MOD(COLUMN(CH$2),3),1,1),"")</f>
        <v>0</v>
      </c>
      <c r="CI93">
        <f ca="1">IF($AN93="",OFFSET(Demand!$A$13,ROW(S90)-1,4+((QUOTIENT(COLUMN(CI$2)-69,3))*5)+MOD(COLUMN(CI$2),3),1,1),"")</f>
        <v>0</v>
      </c>
      <c r="CJ93">
        <f ca="1">IF($AN93="",OFFSET(Demand!$A$13,ROW(T90)-1,4+((QUOTIENT(COLUMN(CJ$2)-69,3))*5)+MOD(COLUMN(CJ$2),3),1,1),"")</f>
        <v>0</v>
      </c>
      <c r="CK93">
        <f ca="1">IF($AN93="",OFFSET(Demand!$A$13,ROW(U90)-1,4+((QUOTIENT(COLUMN(CK$2)-69,3))*5)+MOD(COLUMN(CK$2),3),1,1),"")</f>
        <v>0</v>
      </c>
      <c r="CL93">
        <f ca="1">IF($AN93="",OFFSET(Demand!$A$13,ROW(V90)-1,4+((QUOTIENT(COLUMN(CL$2)-69,3))*5)+MOD(COLUMN(CL$2),3),1,1),"")</f>
        <v>0</v>
      </c>
      <c r="CM93">
        <f ca="1">IF($AN93="",OFFSET(Demand!$A$13,ROW(W90)-1,4+((QUOTIENT(COLUMN(CM$2)-69,3))*5)+MOD(COLUMN(CM$2),3),1,1),"")</f>
        <v>0</v>
      </c>
      <c r="CN93">
        <f ca="1">IF($AN93="",OFFSET(Demand!$A$13,ROW(X90)-1,4+((QUOTIENT(COLUMN(CN$2)-69,3))*5)+MOD(COLUMN(CN$2),3),1,1),"")</f>
        <v>0</v>
      </c>
      <c r="CO93">
        <f ca="1">IF($AN93="",OFFSET(Demand!$A$13,ROW(Y90)-1,4+((QUOTIENT(COLUMN(CO$2)-69,3))*5)+MOD(COLUMN(CO$2),3),1,1),"")</f>
        <v>0</v>
      </c>
      <c r="CP93">
        <f ca="1">IF($AN93="",OFFSET(Demand!$A$13,ROW(Z90)-1,4+((QUOTIENT(COLUMN(CP$2)-69,3))*5)+MOD(COLUMN(CP$2),3),1,1),"")</f>
        <v>0</v>
      </c>
      <c r="CQ93">
        <f ca="1">IF($AN93="",OFFSET(Demand!$A$13,ROW(AA90)-1,4+((QUOTIENT(COLUMN(CQ$2)-69,3))*5)+MOD(COLUMN(CQ$2),3),1,1),"")</f>
        <v>0</v>
      </c>
      <c r="CR93">
        <f ca="1">IF($AN93="",OFFSET(Demand!$A$13,ROW(AB90)-1,4+((QUOTIENT(COLUMN(CR$2)-69,3))*5)+MOD(COLUMN(CR$2),3),1,1),"")</f>
        <v>0</v>
      </c>
      <c r="CS93">
        <f ca="1">IF($AN93="",OFFSET(Demand!$A$13,ROW(AC90)-1,4+((QUOTIENT(COLUMN(CS$2)-69,3))*5)+MOD(COLUMN(CS$2),3),1,1),"")</f>
        <v>0</v>
      </c>
      <c r="CT93">
        <f ca="1">IF($AN93="",OFFSET(Demand!$A$13,ROW(AD90)-1,4+((QUOTIENT(COLUMN(CT$2)-69,3))*5)+MOD(COLUMN(CT$2),3),1,1),"")</f>
        <v>0</v>
      </c>
      <c r="CW93" s="5">
        <f ca="1">SUM(OFFSET(Demand!$H$43,ROW(A90)-1,(COLUMN(A90)-1)*5,1,1))*N$2</f>
        <v>0</v>
      </c>
      <c r="CX93" s="5">
        <f ca="1">SUM(OFFSET(Demand!$H$43,ROW(B90)-1,(COLUMN(B90)-1)*5,1,1))*O$2</f>
        <v>0</v>
      </c>
      <c r="CY93" s="5">
        <f ca="1">SUM(OFFSET(Demand!$H$43,ROW(C90)-1,(COLUMN(C90)-1)*5,1,1))*P$2</f>
        <v>0</v>
      </c>
      <c r="CZ93" s="5">
        <f ca="1">SUM(OFFSET(Demand!$H$43,ROW(D90)-1,(COLUMN(D90)-1)*5,1,1))*Q$2</f>
        <v>0</v>
      </c>
      <c r="DA93" s="5">
        <f ca="1">SUM(OFFSET(Demand!$H$43,ROW(E90)-1,(COLUMN(E90)-1)*5,1,1))*R$2</f>
        <v>0</v>
      </c>
      <c r="DB93" s="5">
        <f ca="1">SUM(OFFSET(Demand!$H$43,ROW(F90)-1,(COLUMN(F90)-1)*5,1,1))*S$2</f>
        <v>0</v>
      </c>
      <c r="DC93" s="5">
        <f ca="1">SUM(OFFSET(Demand!$H$43,ROW(G90)-1,(COLUMN(G90)-1)*5,1,1))*T$2</f>
        <v>0</v>
      </c>
      <c r="DD93" s="5">
        <f ca="1">SUM(OFFSET(Demand!$H$43,ROW(H90)-1,(COLUMN(H90)-1)*5,1,1))*U$2</f>
        <v>0</v>
      </c>
      <c r="DE93" s="5">
        <f ca="1">SUM(OFFSET(Demand!$H$43,ROW(I90)-1,(COLUMN(I90)-1)*5,1,1))*V$2</f>
        <v>0</v>
      </c>
      <c r="DF93" s="5">
        <f ca="1">SUM(OFFSET(Demand!$H$43,ROW(J90)-1,(COLUMN(J90)-1)*5,1,1))*W$2</f>
        <v>0</v>
      </c>
      <c r="DG93" s="5">
        <f t="shared" ca="1" si="36"/>
        <v>0</v>
      </c>
    </row>
    <row r="94" spans="1:111" x14ac:dyDescent="0.2">
      <c r="A94" s="5">
        <f t="shared" ca="1" si="30"/>
        <v>0</v>
      </c>
      <c r="B94" s="5">
        <f ca="1">COUNTBLANK(OFFSET(Demand!$I103,0,(COLUMN(A91)-1)*5,1,1))</f>
        <v>0</v>
      </c>
      <c r="C94" s="5">
        <f ca="1">COUNTBLANK(OFFSET(Demand!$I103,0,(COLUMN(B91)-1)*5,1,1))</f>
        <v>0</v>
      </c>
      <c r="D94" s="5">
        <f ca="1">COUNTBLANK(OFFSET(Demand!$I103,0,(COLUMN(C91)-1)*5,1,1))</f>
        <v>1</v>
      </c>
      <c r="E94" s="5">
        <f ca="1">COUNTBLANK(OFFSET(Demand!$I103,0,(COLUMN(D91)-1)*5,1,1))</f>
        <v>1</v>
      </c>
      <c r="F94" s="5">
        <f ca="1">COUNTBLANK(OFFSET(Demand!$I103,0,(COLUMN(E91)-1)*5,1,1))</f>
        <v>1</v>
      </c>
      <c r="G94" s="5">
        <f ca="1">COUNTBLANK(OFFSET(Demand!$I103,0,(COLUMN(F91)-1)*5,1,1))</f>
        <v>1</v>
      </c>
      <c r="H94" s="5">
        <f ca="1">COUNTBLANK(OFFSET(Demand!$I103,0,(COLUMN(G91)-1)*5,1,1))</f>
        <v>1</v>
      </c>
      <c r="I94" s="5">
        <f ca="1">COUNTBLANK(OFFSET(Demand!$I103,0,(COLUMN(H91)-1)*5,1,1))</f>
        <v>1</v>
      </c>
      <c r="J94" s="5">
        <f ca="1">COUNTBLANK(OFFSET(Demand!$I103,0,(COLUMN(I91)-1)*5,1,1))</f>
        <v>1</v>
      </c>
      <c r="K94" s="5">
        <f ca="1">COUNTBLANK(OFFSET(Demand!$I103,0,(COLUMN(J91)-1)*5,1,1))</f>
        <v>1</v>
      </c>
      <c r="N94" s="5">
        <f ca="1">SUM(OFFSET(Demand!$E103,0,(COLUMN(A91)-1)*5,1,3))*N$2</f>
        <v>30</v>
      </c>
      <c r="O94" s="5">
        <f ca="1">SUM(OFFSET(Demand!$E103,0,(COLUMN(B91)-1)*5,1,3))*O$2</f>
        <v>360</v>
      </c>
      <c r="P94" s="5">
        <f ca="1">SUM(OFFSET(Demand!$E103,0,(COLUMN(C91)-1)*5,1,3))*P$2</f>
        <v>0</v>
      </c>
      <c r="Q94" s="5">
        <f ca="1">SUM(OFFSET(Demand!$E103,0,(COLUMN(D91)-1)*5,1,3))*Q$2</f>
        <v>0</v>
      </c>
      <c r="R94" s="5">
        <f ca="1">SUM(OFFSET(Demand!$E103,0,(COLUMN(E91)-1)*5,1,3))*R$2</f>
        <v>0</v>
      </c>
      <c r="S94" s="5">
        <f ca="1">SUM(OFFSET(Demand!$E103,0,(COLUMN(F91)-1)*5,1,3))*S$2</f>
        <v>0</v>
      </c>
      <c r="T94" s="5">
        <f ca="1">SUM(OFFSET(Demand!$E103,0,(COLUMN(G91)-1)*5,1,3))*T$2</f>
        <v>0</v>
      </c>
      <c r="U94" s="5">
        <f ca="1">SUM(OFFSET(Demand!$E103,0,(COLUMN(H91)-1)*5,1,3))*U$2</f>
        <v>0</v>
      </c>
      <c r="V94" s="5">
        <f ca="1">SUM(OFFSET(Demand!$E103,0,(COLUMN(I91)-1)*5,1,3))*V$2</f>
        <v>0</v>
      </c>
      <c r="W94" s="5">
        <f ca="1">SUM(OFFSET(Demand!$E103,0,(COLUMN(J91)-1)*5,1,3))*W$2</f>
        <v>0</v>
      </c>
      <c r="X94" s="5">
        <f t="shared" ca="1" si="31"/>
        <v>390</v>
      </c>
      <c r="Y94">
        <f t="shared" ca="1" si="32"/>
        <v>390</v>
      </c>
      <c r="Z94" s="5">
        <f ca="1">SUM(OFFSET(Demand!$H103,0,(COLUMN(A91)-1)*5,1,1))*N$2</f>
        <v>0</v>
      </c>
      <c r="AA94" s="5">
        <f ca="1">SUM(OFFSET(Demand!$H103,0,(COLUMN(B91)-1)*5,1,1))*O$2</f>
        <v>0</v>
      </c>
      <c r="AB94" s="5">
        <f ca="1">SUM(OFFSET(Demand!$H103,0,(COLUMN(C91)-1)*5,1,1))*P$2</f>
        <v>0</v>
      </c>
      <c r="AC94" s="5">
        <f ca="1">SUM(OFFSET(Demand!$H103,0,(COLUMN(D91)-1)*5,1,1))*Q$2</f>
        <v>0</v>
      </c>
      <c r="AD94" s="5">
        <f ca="1">SUM(OFFSET(Demand!$H103,0,(COLUMN(E91)-1)*5,1,1))*R$2</f>
        <v>0</v>
      </c>
      <c r="AE94" s="5">
        <f ca="1">SUM(OFFSET(Demand!$H103,0,(COLUMN(F91)-1)*5,1,1))*S$2</f>
        <v>0</v>
      </c>
      <c r="AF94" s="5">
        <f ca="1">SUM(OFFSET(Demand!$H103,0,(COLUMN(G91)-1)*5,1,1))*T$2</f>
        <v>0</v>
      </c>
      <c r="AG94" s="5">
        <f ca="1">SUM(OFFSET(Demand!$H103,0,(COLUMN(H91)-1)*5,1,1))*U$2</f>
        <v>0</v>
      </c>
      <c r="AH94" s="5">
        <f ca="1">SUM(OFFSET(Demand!$H103,0,(COLUMN(I91)-1)*5,1,1))*V$2</f>
        <v>0</v>
      </c>
      <c r="AI94" s="5">
        <f ca="1">SUM(OFFSET(Demand!$H103,0,(COLUMN(J91)-1)*5,1,1))*W$2</f>
        <v>0</v>
      </c>
      <c r="AJ94" s="5">
        <f t="shared" ca="1" si="33"/>
        <v>0</v>
      </c>
      <c r="AL94" s="5">
        <f t="shared" ca="1" si="34"/>
        <v>390</v>
      </c>
      <c r="AM94" s="5">
        <f t="shared" ca="1" si="35"/>
        <v>0</v>
      </c>
      <c r="AN94" s="5" t="str">
        <f>IF(Demand!BE103="Yes","Yes","")</f>
        <v/>
      </c>
      <c r="AP94" s="37" t="str">
        <f ca="1">Demand!B103</f>
        <v xml:space="preserve"> </v>
      </c>
      <c r="AQ94" t="str">
        <f ca="1">IF(TEXT(Demand!D103,"MMM")&lt;&gt;TEXT(Demand!D102,"MMM"),TEXT(Demand!D103,"MMM"),"")</f>
        <v/>
      </c>
      <c r="AT94" s="5">
        <f t="shared" ca="1" si="37"/>
        <v>120</v>
      </c>
      <c r="BQ94">
        <f ca="1">IF($AN94="",OFFSET(Demand!$A$13,ROW(A91)-1,4+((QUOTIENT(COLUMN(BQ$2)-69,3))*5)+MOD(COLUMN(BQ$2),3),1,1),"")</f>
        <v>0</v>
      </c>
      <c r="BR94">
        <f ca="1">IF($AN94="",OFFSET(Demand!$A$13,ROW(B91)-1,4+((QUOTIENT(COLUMN(BR$2)-69,3))*5)+MOD(COLUMN(BR$2),3),1,1),"")</f>
        <v>1</v>
      </c>
      <c r="BS94">
        <f ca="1">IF($AN94="",OFFSET(Demand!$A$13,ROW(C91)-1,4+((QUOTIENT(COLUMN(BS$2)-69,3))*5)+MOD(COLUMN(BS$2),3),1,1),"")</f>
        <v>0</v>
      </c>
      <c r="BT94">
        <f ca="1">IF($AN94="",OFFSET(Demand!$A$13,ROW(D91)-1,4+((QUOTIENT(COLUMN(BT$2)-69,3))*5)+MOD(COLUMN(BT$2),3),1,1),"")</f>
        <v>0</v>
      </c>
      <c r="BU94">
        <f ca="1">IF($AN94="",OFFSET(Demand!$A$13,ROW(E91)-1,4+((QUOTIENT(COLUMN(BU$2)-69,3))*5)+MOD(COLUMN(BU$2),3),1,1),"")</f>
        <v>1</v>
      </c>
      <c r="BV94">
        <f ca="1">IF($AN94="",OFFSET(Demand!$A$13,ROW(F91)-1,4+((QUOTIENT(COLUMN(BV$2)-69,3))*5)+MOD(COLUMN(BV$2),3),1,1),"")</f>
        <v>8</v>
      </c>
      <c r="BW94">
        <f ca="1">IF($AN94="",OFFSET(Demand!$A$13,ROW(G91)-1,4+((QUOTIENT(COLUMN(BW$2)-69,3))*5)+MOD(COLUMN(BW$2),3),1,1),"")</f>
        <v>0</v>
      </c>
      <c r="BX94">
        <f ca="1">IF($AN94="",OFFSET(Demand!$A$13,ROW(H91)-1,4+((QUOTIENT(COLUMN(BX$2)-69,3))*5)+MOD(COLUMN(BX$2),3),1,1),"")</f>
        <v>0</v>
      </c>
      <c r="BY94">
        <f ca="1">IF($AN94="",OFFSET(Demand!$A$13,ROW(I91)-1,4+((QUOTIENT(COLUMN(BY$2)-69,3))*5)+MOD(COLUMN(BY$2),3),1,1),"")</f>
        <v>0</v>
      </c>
      <c r="BZ94">
        <f ca="1">IF($AN94="",OFFSET(Demand!$A$13,ROW(J91)-1,4+((QUOTIENT(COLUMN(BZ$2)-69,3))*5)+MOD(COLUMN(BZ$2),3),1,1),"")</f>
        <v>0</v>
      </c>
      <c r="CA94">
        <f ca="1">IF($AN94="",OFFSET(Demand!$A$13,ROW(K91)-1,4+((QUOTIENT(COLUMN(CA$2)-69,3))*5)+MOD(COLUMN(CA$2),3),1,1),"")</f>
        <v>0</v>
      </c>
      <c r="CB94">
        <f ca="1">IF($AN94="",OFFSET(Demand!$A$13,ROW(L91)-1,4+((QUOTIENT(COLUMN(CB$2)-69,3))*5)+MOD(COLUMN(CB$2),3),1,1),"")</f>
        <v>0</v>
      </c>
      <c r="CC94">
        <f ca="1">IF($AN94="",OFFSET(Demand!$A$13,ROW(M91)-1,4+((QUOTIENT(COLUMN(CC$2)-69,3))*5)+MOD(COLUMN(CC$2),3),1,1),"")</f>
        <v>0</v>
      </c>
      <c r="CD94">
        <f ca="1">IF($AN94="",OFFSET(Demand!$A$13,ROW(N91)-1,4+((QUOTIENT(COLUMN(CD$2)-69,3))*5)+MOD(COLUMN(CD$2),3),1,1),"")</f>
        <v>0</v>
      </c>
      <c r="CE94">
        <f ca="1">IF($AN94="",OFFSET(Demand!$A$13,ROW(O91)-1,4+((QUOTIENT(COLUMN(CE$2)-69,3))*5)+MOD(COLUMN(CE$2),3),1,1),"")</f>
        <v>0</v>
      </c>
      <c r="CF94">
        <f ca="1">IF($AN94="",OFFSET(Demand!$A$13,ROW(P91)-1,4+((QUOTIENT(COLUMN(CF$2)-69,3))*5)+MOD(COLUMN(CF$2),3),1,1),"")</f>
        <v>0</v>
      </c>
      <c r="CG94">
        <f ca="1">IF($AN94="",OFFSET(Demand!$A$13,ROW(Q91)-1,4+((QUOTIENT(COLUMN(CG$2)-69,3))*5)+MOD(COLUMN(CG$2),3),1,1),"")</f>
        <v>0</v>
      </c>
      <c r="CH94">
        <f ca="1">IF($AN94="",OFFSET(Demand!$A$13,ROW(R91)-1,4+((QUOTIENT(COLUMN(CH$2)-69,3))*5)+MOD(COLUMN(CH$2),3),1,1),"")</f>
        <v>0</v>
      </c>
      <c r="CI94">
        <f ca="1">IF($AN94="",OFFSET(Demand!$A$13,ROW(S91)-1,4+((QUOTIENT(COLUMN(CI$2)-69,3))*5)+MOD(COLUMN(CI$2),3),1,1),"")</f>
        <v>0</v>
      </c>
      <c r="CJ94">
        <f ca="1">IF($AN94="",OFFSET(Demand!$A$13,ROW(T91)-1,4+((QUOTIENT(COLUMN(CJ$2)-69,3))*5)+MOD(COLUMN(CJ$2),3),1,1),"")</f>
        <v>0</v>
      </c>
      <c r="CK94">
        <f ca="1">IF($AN94="",OFFSET(Demand!$A$13,ROW(U91)-1,4+((QUOTIENT(COLUMN(CK$2)-69,3))*5)+MOD(COLUMN(CK$2),3),1,1),"")</f>
        <v>0</v>
      </c>
      <c r="CL94">
        <f ca="1">IF($AN94="",OFFSET(Demand!$A$13,ROW(V91)-1,4+((QUOTIENT(COLUMN(CL$2)-69,3))*5)+MOD(COLUMN(CL$2),3),1,1),"")</f>
        <v>0</v>
      </c>
      <c r="CM94">
        <f ca="1">IF($AN94="",OFFSET(Demand!$A$13,ROW(W91)-1,4+((QUOTIENT(COLUMN(CM$2)-69,3))*5)+MOD(COLUMN(CM$2),3),1,1),"")</f>
        <v>0</v>
      </c>
      <c r="CN94">
        <f ca="1">IF($AN94="",OFFSET(Demand!$A$13,ROW(X91)-1,4+((QUOTIENT(COLUMN(CN$2)-69,3))*5)+MOD(COLUMN(CN$2),3),1,1),"")</f>
        <v>0</v>
      </c>
      <c r="CO94">
        <f ca="1">IF($AN94="",OFFSET(Demand!$A$13,ROW(Y91)-1,4+((QUOTIENT(COLUMN(CO$2)-69,3))*5)+MOD(COLUMN(CO$2),3),1,1),"")</f>
        <v>0</v>
      </c>
      <c r="CP94">
        <f ca="1">IF($AN94="",OFFSET(Demand!$A$13,ROW(Z91)-1,4+((QUOTIENT(COLUMN(CP$2)-69,3))*5)+MOD(COLUMN(CP$2),3),1,1),"")</f>
        <v>0</v>
      </c>
      <c r="CQ94">
        <f ca="1">IF($AN94="",OFFSET(Demand!$A$13,ROW(AA91)-1,4+((QUOTIENT(COLUMN(CQ$2)-69,3))*5)+MOD(COLUMN(CQ$2),3),1,1),"")</f>
        <v>0</v>
      </c>
      <c r="CR94">
        <f ca="1">IF($AN94="",OFFSET(Demand!$A$13,ROW(AB91)-1,4+((QUOTIENT(COLUMN(CR$2)-69,3))*5)+MOD(COLUMN(CR$2),3),1,1),"")</f>
        <v>0</v>
      </c>
      <c r="CS94">
        <f ca="1">IF($AN94="",OFFSET(Demand!$A$13,ROW(AC91)-1,4+((QUOTIENT(COLUMN(CS$2)-69,3))*5)+MOD(COLUMN(CS$2),3),1,1),"")</f>
        <v>0</v>
      </c>
      <c r="CT94">
        <f ca="1">IF($AN94="",OFFSET(Demand!$A$13,ROW(AD91)-1,4+((QUOTIENT(COLUMN(CT$2)-69,3))*5)+MOD(COLUMN(CT$2),3),1,1),"")</f>
        <v>0</v>
      </c>
      <c r="CW94" s="5">
        <f ca="1">SUM(OFFSET(Demand!$H$43,ROW(A91)-1,(COLUMN(A91)-1)*5,1,1))*N$2</f>
        <v>0</v>
      </c>
      <c r="CX94" s="5">
        <f ca="1">SUM(OFFSET(Demand!$H$43,ROW(B91)-1,(COLUMN(B91)-1)*5,1,1))*O$2</f>
        <v>0</v>
      </c>
      <c r="CY94" s="5">
        <f ca="1">SUM(OFFSET(Demand!$H$43,ROW(C91)-1,(COLUMN(C91)-1)*5,1,1))*P$2</f>
        <v>0</v>
      </c>
      <c r="CZ94" s="5">
        <f ca="1">SUM(OFFSET(Demand!$H$43,ROW(D91)-1,(COLUMN(D91)-1)*5,1,1))*Q$2</f>
        <v>0</v>
      </c>
      <c r="DA94" s="5">
        <f ca="1">SUM(OFFSET(Demand!$H$43,ROW(E91)-1,(COLUMN(E91)-1)*5,1,1))*R$2</f>
        <v>0</v>
      </c>
      <c r="DB94" s="5">
        <f ca="1">SUM(OFFSET(Demand!$H$43,ROW(F91)-1,(COLUMN(F91)-1)*5,1,1))*S$2</f>
        <v>0</v>
      </c>
      <c r="DC94" s="5">
        <f ca="1">SUM(OFFSET(Demand!$H$43,ROW(G91)-1,(COLUMN(G91)-1)*5,1,1))*T$2</f>
        <v>0</v>
      </c>
      <c r="DD94" s="5">
        <f ca="1">SUM(OFFSET(Demand!$H$43,ROW(H91)-1,(COLUMN(H91)-1)*5,1,1))*U$2</f>
        <v>0</v>
      </c>
      <c r="DE94" s="5">
        <f ca="1">SUM(OFFSET(Demand!$H$43,ROW(I91)-1,(COLUMN(I91)-1)*5,1,1))*V$2</f>
        <v>0</v>
      </c>
      <c r="DF94" s="5">
        <f ca="1">SUM(OFFSET(Demand!$H$43,ROW(J91)-1,(COLUMN(J91)-1)*5,1,1))*W$2</f>
        <v>0</v>
      </c>
      <c r="DG94" s="5">
        <f t="shared" ca="1" si="36"/>
        <v>0</v>
      </c>
    </row>
    <row r="95" spans="1:111" x14ac:dyDescent="0.2">
      <c r="A95" s="5">
        <f t="shared" ca="1" si="30"/>
        <v>0</v>
      </c>
      <c r="B95" s="5">
        <f ca="1">COUNTBLANK(OFFSET(Demand!$I104,0,(COLUMN(A92)-1)*5,1,1))</f>
        <v>0</v>
      </c>
      <c r="C95" s="5">
        <f ca="1">COUNTBLANK(OFFSET(Demand!$I104,0,(COLUMN(B92)-1)*5,1,1))</f>
        <v>0</v>
      </c>
      <c r="D95" s="5">
        <f ca="1">COUNTBLANK(OFFSET(Demand!$I104,0,(COLUMN(C92)-1)*5,1,1))</f>
        <v>1</v>
      </c>
      <c r="E95" s="5">
        <f ca="1">COUNTBLANK(OFFSET(Demand!$I104,0,(COLUMN(D92)-1)*5,1,1))</f>
        <v>1</v>
      </c>
      <c r="F95" s="5">
        <f ca="1">COUNTBLANK(OFFSET(Demand!$I104,0,(COLUMN(E92)-1)*5,1,1))</f>
        <v>1</v>
      </c>
      <c r="G95" s="5">
        <f ca="1">COUNTBLANK(OFFSET(Demand!$I104,0,(COLUMN(F92)-1)*5,1,1))</f>
        <v>1</v>
      </c>
      <c r="H95" s="5">
        <f ca="1">COUNTBLANK(OFFSET(Demand!$I104,0,(COLUMN(G92)-1)*5,1,1))</f>
        <v>1</v>
      </c>
      <c r="I95" s="5">
        <f ca="1">COUNTBLANK(OFFSET(Demand!$I104,0,(COLUMN(H92)-1)*5,1,1))</f>
        <v>1</v>
      </c>
      <c r="J95" s="5">
        <f ca="1">COUNTBLANK(OFFSET(Demand!$I104,0,(COLUMN(I92)-1)*5,1,1))</f>
        <v>1</v>
      </c>
      <c r="K95" s="5">
        <f ca="1">COUNTBLANK(OFFSET(Demand!$I104,0,(COLUMN(J92)-1)*5,1,1))</f>
        <v>1</v>
      </c>
      <c r="N95" s="5">
        <f ca="1">SUM(OFFSET(Demand!$E104,0,(COLUMN(A92)-1)*5,1,3))*N$2</f>
        <v>120</v>
      </c>
      <c r="O95" s="5">
        <f ca="1">SUM(OFFSET(Demand!$E104,0,(COLUMN(B92)-1)*5,1,3))*O$2</f>
        <v>320</v>
      </c>
      <c r="P95" s="5">
        <f ca="1">SUM(OFFSET(Demand!$E104,0,(COLUMN(C92)-1)*5,1,3))*P$2</f>
        <v>0</v>
      </c>
      <c r="Q95" s="5">
        <f ca="1">SUM(OFFSET(Demand!$E104,0,(COLUMN(D92)-1)*5,1,3))*Q$2</f>
        <v>0</v>
      </c>
      <c r="R95" s="5">
        <f ca="1">SUM(OFFSET(Demand!$E104,0,(COLUMN(E92)-1)*5,1,3))*R$2</f>
        <v>0</v>
      </c>
      <c r="S95" s="5">
        <f ca="1">SUM(OFFSET(Demand!$E104,0,(COLUMN(F92)-1)*5,1,3))*S$2</f>
        <v>0</v>
      </c>
      <c r="T95" s="5">
        <f ca="1">SUM(OFFSET(Demand!$E104,0,(COLUMN(G92)-1)*5,1,3))*T$2</f>
        <v>0</v>
      </c>
      <c r="U95" s="5">
        <f ca="1">SUM(OFFSET(Demand!$E104,0,(COLUMN(H92)-1)*5,1,3))*U$2</f>
        <v>0</v>
      </c>
      <c r="V95" s="5">
        <f ca="1">SUM(OFFSET(Demand!$E104,0,(COLUMN(I92)-1)*5,1,3))*V$2</f>
        <v>0</v>
      </c>
      <c r="W95" s="5">
        <f ca="1">SUM(OFFSET(Demand!$E104,0,(COLUMN(J92)-1)*5,1,3))*W$2</f>
        <v>0</v>
      </c>
      <c r="X95" s="5">
        <f t="shared" ca="1" si="31"/>
        <v>440</v>
      </c>
      <c r="Y95">
        <f t="shared" ca="1" si="32"/>
        <v>440</v>
      </c>
      <c r="Z95" s="5">
        <f ca="1">SUM(OFFSET(Demand!$H104,0,(COLUMN(A92)-1)*5,1,1))*N$2</f>
        <v>0</v>
      </c>
      <c r="AA95" s="5">
        <f ca="1">SUM(OFFSET(Demand!$H104,0,(COLUMN(B92)-1)*5,1,1))*O$2</f>
        <v>0</v>
      </c>
      <c r="AB95" s="5">
        <f ca="1">SUM(OFFSET(Demand!$H104,0,(COLUMN(C92)-1)*5,1,1))*P$2</f>
        <v>0</v>
      </c>
      <c r="AC95" s="5">
        <f ca="1">SUM(OFFSET(Demand!$H104,0,(COLUMN(D92)-1)*5,1,1))*Q$2</f>
        <v>0</v>
      </c>
      <c r="AD95" s="5">
        <f ca="1">SUM(OFFSET(Demand!$H104,0,(COLUMN(E92)-1)*5,1,1))*R$2</f>
        <v>0</v>
      </c>
      <c r="AE95" s="5">
        <f ca="1">SUM(OFFSET(Demand!$H104,0,(COLUMN(F92)-1)*5,1,1))*S$2</f>
        <v>0</v>
      </c>
      <c r="AF95" s="5">
        <f ca="1">SUM(OFFSET(Demand!$H104,0,(COLUMN(G92)-1)*5,1,1))*T$2</f>
        <v>0</v>
      </c>
      <c r="AG95" s="5">
        <f ca="1">SUM(OFFSET(Demand!$H104,0,(COLUMN(H92)-1)*5,1,1))*U$2</f>
        <v>0</v>
      </c>
      <c r="AH95" s="5">
        <f ca="1">SUM(OFFSET(Demand!$H104,0,(COLUMN(I92)-1)*5,1,1))*V$2</f>
        <v>0</v>
      </c>
      <c r="AI95" s="5">
        <f ca="1">SUM(OFFSET(Demand!$H104,0,(COLUMN(J92)-1)*5,1,1))*W$2</f>
        <v>0</v>
      </c>
      <c r="AJ95" s="5">
        <f t="shared" ca="1" si="33"/>
        <v>0</v>
      </c>
      <c r="AL95" s="5">
        <f t="shared" ca="1" si="34"/>
        <v>440</v>
      </c>
      <c r="AM95" s="5">
        <f t="shared" ca="1" si="35"/>
        <v>0</v>
      </c>
      <c r="AN95" s="5" t="str">
        <f>IF(Demand!BE104="Yes","Yes","")</f>
        <v/>
      </c>
      <c r="AP95" s="37" t="str">
        <f ca="1">Demand!B104</f>
        <v xml:space="preserve"> </v>
      </c>
      <c r="AQ95" t="str">
        <f ca="1">IF(TEXT(Demand!D104,"MMM")&lt;&gt;TEXT(Demand!D103,"MMM"),TEXT(Demand!D104,"MMM"),"")</f>
        <v/>
      </c>
      <c r="AT95" s="5">
        <f t="shared" ca="1" si="37"/>
        <v>50</v>
      </c>
      <c r="BQ95">
        <f ca="1">IF($AN95="",OFFSET(Demand!$A$13,ROW(A92)-1,4+((QUOTIENT(COLUMN(BQ$2)-69,3))*5)+MOD(COLUMN(BQ$2),3),1,1),"")</f>
        <v>0</v>
      </c>
      <c r="BR95">
        <f ca="1">IF($AN95="",OFFSET(Demand!$A$13,ROW(B92)-1,4+((QUOTIENT(COLUMN(BR$2)-69,3))*5)+MOD(COLUMN(BR$2),3),1,1),"")</f>
        <v>1</v>
      </c>
      <c r="BS95">
        <f ca="1">IF($AN95="",OFFSET(Demand!$A$13,ROW(C92)-1,4+((QUOTIENT(COLUMN(BS$2)-69,3))*5)+MOD(COLUMN(BS$2),3),1,1),"")</f>
        <v>3</v>
      </c>
      <c r="BT95">
        <f ca="1">IF($AN95="",OFFSET(Demand!$A$13,ROW(D92)-1,4+((QUOTIENT(COLUMN(BT$2)-69,3))*5)+MOD(COLUMN(BT$2),3),1,1),"")</f>
        <v>0</v>
      </c>
      <c r="BU95">
        <f ca="1">IF($AN95="",OFFSET(Demand!$A$13,ROW(E92)-1,4+((QUOTIENT(COLUMN(BU$2)-69,3))*5)+MOD(COLUMN(BU$2),3),1,1),"")</f>
        <v>1</v>
      </c>
      <c r="BV95">
        <f ca="1">IF($AN95="",OFFSET(Demand!$A$13,ROW(F92)-1,4+((QUOTIENT(COLUMN(BV$2)-69,3))*5)+MOD(COLUMN(BV$2),3),1,1),"")</f>
        <v>7</v>
      </c>
      <c r="BW95">
        <f ca="1">IF($AN95="",OFFSET(Demand!$A$13,ROW(G92)-1,4+((QUOTIENT(COLUMN(BW$2)-69,3))*5)+MOD(COLUMN(BW$2),3),1,1),"")</f>
        <v>0</v>
      </c>
      <c r="BX95">
        <f ca="1">IF($AN95="",OFFSET(Demand!$A$13,ROW(H92)-1,4+((QUOTIENT(COLUMN(BX$2)-69,3))*5)+MOD(COLUMN(BX$2),3),1,1),"")</f>
        <v>0</v>
      </c>
      <c r="BY95">
        <f ca="1">IF($AN95="",OFFSET(Demand!$A$13,ROW(I92)-1,4+((QUOTIENT(COLUMN(BY$2)-69,3))*5)+MOD(COLUMN(BY$2),3),1,1),"")</f>
        <v>0</v>
      </c>
      <c r="BZ95">
        <f ca="1">IF($AN95="",OFFSET(Demand!$A$13,ROW(J92)-1,4+((QUOTIENT(COLUMN(BZ$2)-69,3))*5)+MOD(COLUMN(BZ$2),3),1,1),"")</f>
        <v>0</v>
      </c>
      <c r="CA95">
        <f ca="1">IF($AN95="",OFFSET(Demand!$A$13,ROW(K92)-1,4+((QUOTIENT(COLUMN(CA$2)-69,3))*5)+MOD(COLUMN(CA$2),3),1,1),"")</f>
        <v>0</v>
      </c>
      <c r="CB95">
        <f ca="1">IF($AN95="",OFFSET(Demand!$A$13,ROW(L92)-1,4+((QUOTIENT(COLUMN(CB$2)-69,3))*5)+MOD(COLUMN(CB$2),3),1,1),"")</f>
        <v>0</v>
      </c>
      <c r="CC95">
        <f ca="1">IF($AN95="",OFFSET(Demand!$A$13,ROW(M92)-1,4+((QUOTIENT(COLUMN(CC$2)-69,3))*5)+MOD(COLUMN(CC$2),3),1,1),"")</f>
        <v>0</v>
      </c>
      <c r="CD95">
        <f ca="1">IF($AN95="",OFFSET(Demand!$A$13,ROW(N92)-1,4+((QUOTIENT(COLUMN(CD$2)-69,3))*5)+MOD(COLUMN(CD$2),3),1,1),"")</f>
        <v>0</v>
      </c>
      <c r="CE95">
        <f ca="1">IF($AN95="",OFFSET(Demand!$A$13,ROW(O92)-1,4+((QUOTIENT(COLUMN(CE$2)-69,3))*5)+MOD(COLUMN(CE$2),3),1,1),"")</f>
        <v>0</v>
      </c>
      <c r="CF95">
        <f ca="1">IF($AN95="",OFFSET(Demand!$A$13,ROW(P92)-1,4+((QUOTIENT(COLUMN(CF$2)-69,3))*5)+MOD(COLUMN(CF$2),3),1,1),"")</f>
        <v>0</v>
      </c>
      <c r="CG95">
        <f ca="1">IF($AN95="",OFFSET(Demand!$A$13,ROW(Q92)-1,4+((QUOTIENT(COLUMN(CG$2)-69,3))*5)+MOD(COLUMN(CG$2),3),1,1),"")</f>
        <v>0</v>
      </c>
      <c r="CH95">
        <f ca="1">IF($AN95="",OFFSET(Demand!$A$13,ROW(R92)-1,4+((QUOTIENT(COLUMN(CH$2)-69,3))*5)+MOD(COLUMN(CH$2),3),1,1),"")</f>
        <v>0</v>
      </c>
      <c r="CI95">
        <f ca="1">IF($AN95="",OFFSET(Demand!$A$13,ROW(S92)-1,4+((QUOTIENT(COLUMN(CI$2)-69,3))*5)+MOD(COLUMN(CI$2),3),1,1),"")</f>
        <v>0</v>
      </c>
      <c r="CJ95">
        <f ca="1">IF($AN95="",OFFSET(Demand!$A$13,ROW(T92)-1,4+((QUOTIENT(COLUMN(CJ$2)-69,3))*5)+MOD(COLUMN(CJ$2),3),1,1),"")</f>
        <v>0</v>
      </c>
      <c r="CK95">
        <f ca="1">IF($AN95="",OFFSET(Demand!$A$13,ROW(U92)-1,4+((QUOTIENT(COLUMN(CK$2)-69,3))*5)+MOD(COLUMN(CK$2),3),1,1),"")</f>
        <v>0</v>
      </c>
      <c r="CL95">
        <f ca="1">IF($AN95="",OFFSET(Demand!$A$13,ROW(V92)-1,4+((QUOTIENT(COLUMN(CL$2)-69,3))*5)+MOD(COLUMN(CL$2),3),1,1),"")</f>
        <v>0</v>
      </c>
      <c r="CM95">
        <f ca="1">IF($AN95="",OFFSET(Demand!$A$13,ROW(W92)-1,4+((QUOTIENT(COLUMN(CM$2)-69,3))*5)+MOD(COLUMN(CM$2),3),1,1),"")</f>
        <v>0</v>
      </c>
      <c r="CN95">
        <f ca="1">IF($AN95="",OFFSET(Demand!$A$13,ROW(X92)-1,4+((QUOTIENT(COLUMN(CN$2)-69,3))*5)+MOD(COLUMN(CN$2),3),1,1),"")</f>
        <v>0</v>
      </c>
      <c r="CO95">
        <f ca="1">IF($AN95="",OFFSET(Demand!$A$13,ROW(Y92)-1,4+((QUOTIENT(COLUMN(CO$2)-69,3))*5)+MOD(COLUMN(CO$2),3),1,1),"")</f>
        <v>0</v>
      </c>
      <c r="CP95">
        <f ca="1">IF($AN95="",OFFSET(Demand!$A$13,ROW(Z92)-1,4+((QUOTIENT(COLUMN(CP$2)-69,3))*5)+MOD(COLUMN(CP$2),3),1,1),"")</f>
        <v>0</v>
      </c>
      <c r="CQ95">
        <f ca="1">IF($AN95="",OFFSET(Demand!$A$13,ROW(AA92)-1,4+((QUOTIENT(COLUMN(CQ$2)-69,3))*5)+MOD(COLUMN(CQ$2),3),1,1),"")</f>
        <v>0</v>
      </c>
      <c r="CR95">
        <f ca="1">IF($AN95="",OFFSET(Demand!$A$13,ROW(AB92)-1,4+((QUOTIENT(COLUMN(CR$2)-69,3))*5)+MOD(COLUMN(CR$2),3),1,1),"")</f>
        <v>0</v>
      </c>
      <c r="CS95">
        <f ca="1">IF($AN95="",OFFSET(Demand!$A$13,ROW(AC92)-1,4+((QUOTIENT(COLUMN(CS$2)-69,3))*5)+MOD(COLUMN(CS$2),3),1,1),"")</f>
        <v>0</v>
      </c>
      <c r="CT95">
        <f ca="1">IF($AN95="",OFFSET(Demand!$A$13,ROW(AD92)-1,4+((QUOTIENT(COLUMN(CT$2)-69,3))*5)+MOD(COLUMN(CT$2),3),1,1),"")</f>
        <v>0</v>
      </c>
      <c r="CW95" s="5">
        <f ca="1">SUM(OFFSET(Demand!$H$43,ROW(A92)-1,(COLUMN(A92)-1)*5,1,1))*N$2</f>
        <v>0</v>
      </c>
      <c r="CX95" s="5">
        <f ca="1">SUM(OFFSET(Demand!$H$43,ROW(B92)-1,(COLUMN(B92)-1)*5,1,1))*O$2</f>
        <v>0</v>
      </c>
      <c r="CY95" s="5">
        <f ca="1">SUM(OFFSET(Demand!$H$43,ROW(C92)-1,(COLUMN(C92)-1)*5,1,1))*P$2</f>
        <v>0</v>
      </c>
      <c r="CZ95" s="5">
        <f ca="1">SUM(OFFSET(Demand!$H$43,ROW(D92)-1,(COLUMN(D92)-1)*5,1,1))*Q$2</f>
        <v>0</v>
      </c>
      <c r="DA95" s="5">
        <f ca="1">SUM(OFFSET(Demand!$H$43,ROW(E92)-1,(COLUMN(E92)-1)*5,1,1))*R$2</f>
        <v>0</v>
      </c>
      <c r="DB95" s="5">
        <f ca="1">SUM(OFFSET(Demand!$H$43,ROW(F92)-1,(COLUMN(F92)-1)*5,1,1))*S$2</f>
        <v>0</v>
      </c>
      <c r="DC95" s="5">
        <f ca="1">SUM(OFFSET(Demand!$H$43,ROW(G92)-1,(COLUMN(G92)-1)*5,1,1))*T$2</f>
        <v>0</v>
      </c>
      <c r="DD95" s="5">
        <f ca="1">SUM(OFFSET(Demand!$H$43,ROW(H92)-1,(COLUMN(H92)-1)*5,1,1))*U$2</f>
        <v>0</v>
      </c>
      <c r="DE95" s="5">
        <f ca="1">SUM(OFFSET(Demand!$H$43,ROW(I92)-1,(COLUMN(I92)-1)*5,1,1))*V$2</f>
        <v>0</v>
      </c>
      <c r="DF95" s="5">
        <f ca="1">SUM(OFFSET(Demand!$H$43,ROW(J92)-1,(COLUMN(J92)-1)*5,1,1))*W$2</f>
        <v>0</v>
      </c>
      <c r="DG95" s="5">
        <f t="shared" ca="1" si="36"/>
        <v>0</v>
      </c>
    </row>
    <row r="96" spans="1:111" x14ac:dyDescent="0.2">
      <c r="A96" s="5">
        <f t="shared" ca="1" si="30"/>
        <v>0</v>
      </c>
      <c r="B96" s="5">
        <f ca="1">COUNTBLANK(OFFSET(Demand!$I105,0,(COLUMN(A93)-1)*5,1,1))</f>
        <v>0</v>
      </c>
      <c r="C96" s="5">
        <f ca="1">COUNTBLANK(OFFSET(Demand!$I105,0,(COLUMN(B93)-1)*5,1,1))</f>
        <v>0</v>
      </c>
      <c r="D96" s="5">
        <f ca="1">COUNTBLANK(OFFSET(Demand!$I105,0,(COLUMN(C93)-1)*5,1,1))</f>
        <v>1</v>
      </c>
      <c r="E96" s="5">
        <f ca="1">COUNTBLANK(OFFSET(Demand!$I105,0,(COLUMN(D93)-1)*5,1,1))</f>
        <v>1</v>
      </c>
      <c r="F96" s="5">
        <f ca="1">COUNTBLANK(OFFSET(Demand!$I105,0,(COLUMN(E93)-1)*5,1,1))</f>
        <v>1</v>
      </c>
      <c r="G96" s="5">
        <f ca="1">COUNTBLANK(OFFSET(Demand!$I105,0,(COLUMN(F93)-1)*5,1,1))</f>
        <v>1</v>
      </c>
      <c r="H96" s="5">
        <f ca="1">COUNTBLANK(OFFSET(Demand!$I105,0,(COLUMN(G93)-1)*5,1,1))</f>
        <v>1</v>
      </c>
      <c r="I96" s="5">
        <f ca="1">COUNTBLANK(OFFSET(Demand!$I105,0,(COLUMN(H93)-1)*5,1,1))</f>
        <v>1</v>
      </c>
      <c r="J96" s="5">
        <f ca="1">COUNTBLANK(OFFSET(Demand!$I105,0,(COLUMN(I93)-1)*5,1,1))</f>
        <v>1</v>
      </c>
      <c r="K96" s="5">
        <f ca="1">COUNTBLANK(OFFSET(Demand!$I105,0,(COLUMN(J93)-1)*5,1,1))</f>
        <v>1</v>
      </c>
      <c r="N96" s="5">
        <f ca="1">SUM(OFFSET(Demand!$E105,0,(COLUMN(A93)-1)*5,1,3))*N$2</f>
        <v>180</v>
      </c>
      <c r="O96" s="5">
        <f ca="1">SUM(OFFSET(Demand!$E105,0,(COLUMN(B93)-1)*5,1,3))*O$2</f>
        <v>520</v>
      </c>
      <c r="P96" s="5">
        <f ca="1">SUM(OFFSET(Demand!$E105,0,(COLUMN(C93)-1)*5,1,3))*P$2</f>
        <v>0</v>
      </c>
      <c r="Q96" s="5">
        <f ca="1">SUM(OFFSET(Demand!$E105,0,(COLUMN(D93)-1)*5,1,3))*Q$2</f>
        <v>0</v>
      </c>
      <c r="R96" s="5">
        <f ca="1">SUM(OFFSET(Demand!$E105,0,(COLUMN(E93)-1)*5,1,3))*R$2</f>
        <v>0</v>
      </c>
      <c r="S96" s="5">
        <f ca="1">SUM(OFFSET(Demand!$E105,0,(COLUMN(F93)-1)*5,1,3))*S$2</f>
        <v>0</v>
      </c>
      <c r="T96" s="5">
        <f ca="1">SUM(OFFSET(Demand!$E105,0,(COLUMN(G93)-1)*5,1,3))*T$2</f>
        <v>0</v>
      </c>
      <c r="U96" s="5">
        <f ca="1">SUM(OFFSET(Demand!$E105,0,(COLUMN(H93)-1)*5,1,3))*U$2</f>
        <v>0</v>
      </c>
      <c r="V96" s="5">
        <f ca="1">SUM(OFFSET(Demand!$E105,0,(COLUMN(I93)-1)*5,1,3))*V$2</f>
        <v>0</v>
      </c>
      <c r="W96" s="5">
        <f ca="1">SUM(OFFSET(Demand!$E105,0,(COLUMN(J93)-1)*5,1,3))*W$2</f>
        <v>0</v>
      </c>
      <c r="X96" s="5">
        <f t="shared" ca="1" si="31"/>
        <v>700</v>
      </c>
      <c r="Y96">
        <f t="shared" ca="1" si="32"/>
        <v>700</v>
      </c>
      <c r="Z96" s="5">
        <f ca="1">SUM(OFFSET(Demand!$H105,0,(COLUMN(A93)-1)*5,1,1))*N$2</f>
        <v>0</v>
      </c>
      <c r="AA96" s="5">
        <f ca="1">SUM(OFFSET(Demand!$H105,0,(COLUMN(B93)-1)*5,1,1))*O$2</f>
        <v>0</v>
      </c>
      <c r="AB96" s="5">
        <f ca="1">SUM(OFFSET(Demand!$H105,0,(COLUMN(C93)-1)*5,1,1))*P$2</f>
        <v>0</v>
      </c>
      <c r="AC96" s="5">
        <f ca="1">SUM(OFFSET(Demand!$H105,0,(COLUMN(D93)-1)*5,1,1))*Q$2</f>
        <v>0</v>
      </c>
      <c r="AD96" s="5">
        <f ca="1">SUM(OFFSET(Demand!$H105,0,(COLUMN(E93)-1)*5,1,1))*R$2</f>
        <v>0</v>
      </c>
      <c r="AE96" s="5">
        <f ca="1">SUM(OFFSET(Demand!$H105,0,(COLUMN(F93)-1)*5,1,1))*S$2</f>
        <v>0</v>
      </c>
      <c r="AF96" s="5">
        <f ca="1">SUM(OFFSET(Demand!$H105,0,(COLUMN(G93)-1)*5,1,1))*T$2</f>
        <v>0</v>
      </c>
      <c r="AG96" s="5">
        <f ca="1">SUM(OFFSET(Demand!$H105,0,(COLUMN(H93)-1)*5,1,1))*U$2</f>
        <v>0</v>
      </c>
      <c r="AH96" s="5">
        <f ca="1">SUM(OFFSET(Demand!$H105,0,(COLUMN(I93)-1)*5,1,1))*V$2</f>
        <v>0</v>
      </c>
      <c r="AI96" s="5">
        <f ca="1">SUM(OFFSET(Demand!$H105,0,(COLUMN(J93)-1)*5,1,1))*W$2</f>
        <v>0</v>
      </c>
      <c r="AJ96" s="5">
        <f t="shared" ca="1" si="33"/>
        <v>0</v>
      </c>
      <c r="AL96" s="5">
        <f t="shared" ca="1" si="34"/>
        <v>700</v>
      </c>
      <c r="AM96" s="5">
        <f t="shared" ca="1" si="35"/>
        <v>0</v>
      </c>
      <c r="AN96" s="5" t="str">
        <f>IF(Demand!BE105="Yes","Yes","")</f>
        <v/>
      </c>
      <c r="AP96" s="37">
        <f ca="1">Demand!B105</f>
        <v>2018</v>
      </c>
      <c r="AQ96" t="str">
        <f ca="1">IF(TEXT(Demand!D105,"MMM")&lt;&gt;TEXT(Demand!D104,"MMM"),TEXT(Demand!D105,"MMM"),"")</f>
        <v>Jan</v>
      </c>
      <c r="AT96" s="5">
        <f t="shared" ca="1" si="37"/>
        <v>260</v>
      </c>
      <c r="BQ96">
        <f ca="1">IF($AN96="",OFFSET(Demand!$A$13,ROW(A93)-1,4+((QUOTIENT(COLUMN(BQ$2)-69,3))*5)+MOD(COLUMN(BQ$2),3),1,1),"")</f>
        <v>0</v>
      </c>
      <c r="BR96">
        <f ca="1">IF($AN96="",OFFSET(Demand!$A$13,ROW(B93)-1,4+((QUOTIENT(COLUMN(BR$2)-69,3))*5)+MOD(COLUMN(BR$2),3),1,1),"")</f>
        <v>0</v>
      </c>
      <c r="BS96">
        <f ca="1">IF($AN96="",OFFSET(Demand!$A$13,ROW(C93)-1,4+((QUOTIENT(COLUMN(BS$2)-69,3))*5)+MOD(COLUMN(BS$2),3),1,1),"")</f>
        <v>6</v>
      </c>
      <c r="BT96">
        <f ca="1">IF($AN96="",OFFSET(Demand!$A$13,ROW(D93)-1,4+((QUOTIENT(COLUMN(BT$2)-69,3))*5)+MOD(COLUMN(BT$2),3),1,1),"")</f>
        <v>0</v>
      </c>
      <c r="BU96">
        <f ca="1">IF($AN96="",OFFSET(Demand!$A$13,ROW(E93)-1,4+((QUOTIENT(COLUMN(BU$2)-69,3))*5)+MOD(COLUMN(BU$2),3),1,1),"")</f>
        <v>1</v>
      </c>
      <c r="BV96">
        <f ca="1">IF($AN96="",OFFSET(Demand!$A$13,ROW(F93)-1,4+((QUOTIENT(COLUMN(BV$2)-69,3))*5)+MOD(COLUMN(BV$2),3),1,1),"")</f>
        <v>12</v>
      </c>
      <c r="BW96">
        <f ca="1">IF($AN96="",OFFSET(Demand!$A$13,ROW(G93)-1,4+((QUOTIENT(COLUMN(BW$2)-69,3))*5)+MOD(COLUMN(BW$2),3),1,1),"")</f>
        <v>0</v>
      </c>
      <c r="BX96">
        <f ca="1">IF($AN96="",OFFSET(Demand!$A$13,ROW(H93)-1,4+((QUOTIENT(COLUMN(BX$2)-69,3))*5)+MOD(COLUMN(BX$2),3),1,1),"")</f>
        <v>0</v>
      </c>
      <c r="BY96">
        <f ca="1">IF($AN96="",OFFSET(Demand!$A$13,ROW(I93)-1,4+((QUOTIENT(COLUMN(BY$2)-69,3))*5)+MOD(COLUMN(BY$2),3),1,1),"")</f>
        <v>0</v>
      </c>
      <c r="BZ96">
        <f ca="1">IF($AN96="",OFFSET(Demand!$A$13,ROW(J93)-1,4+((QUOTIENT(COLUMN(BZ$2)-69,3))*5)+MOD(COLUMN(BZ$2),3),1,1),"")</f>
        <v>0</v>
      </c>
      <c r="CA96">
        <f ca="1">IF($AN96="",OFFSET(Demand!$A$13,ROW(K93)-1,4+((QUOTIENT(COLUMN(CA$2)-69,3))*5)+MOD(COLUMN(CA$2),3),1,1),"")</f>
        <v>0</v>
      </c>
      <c r="CB96">
        <f ca="1">IF($AN96="",OFFSET(Demand!$A$13,ROW(L93)-1,4+((QUOTIENT(COLUMN(CB$2)-69,3))*5)+MOD(COLUMN(CB$2),3),1,1),"")</f>
        <v>0</v>
      </c>
      <c r="CC96">
        <f ca="1">IF($AN96="",OFFSET(Demand!$A$13,ROW(M93)-1,4+((QUOTIENT(COLUMN(CC$2)-69,3))*5)+MOD(COLUMN(CC$2),3),1,1),"")</f>
        <v>0</v>
      </c>
      <c r="CD96">
        <f ca="1">IF($AN96="",OFFSET(Demand!$A$13,ROW(N93)-1,4+((QUOTIENT(COLUMN(CD$2)-69,3))*5)+MOD(COLUMN(CD$2),3),1,1),"")</f>
        <v>0</v>
      </c>
      <c r="CE96">
        <f ca="1">IF($AN96="",OFFSET(Demand!$A$13,ROW(O93)-1,4+((QUOTIENT(COLUMN(CE$2)-69,3))*5)+MOD(COLUMN(CE$2),3),1,1),"")</f>
        <v>0</v>
      </c>
      <c r="CF96">
        <f ca="1">IF($AN96="",OFFSET(Demand!$A$13,ROW(P93)-1,4+((QUOTIENT(COLUMN(CF$2)-69,3))*5)+MOD(COLUMN(CF$2),3),1,1),"")</f>
        <v>0</v>
      </c>
      <c r="CG96">
        <f ca="1">IF($AN96="",OFFSET(Demand!$A$13,ROW(Q93)-1,4+((QUOTIENT(COLUMN(CG$2)-69,3))*5)+MOD(COLUMN(CG$2),3),1,1),"")</f>
        <v>0</v>
      </c>
      <c r="CH96">
        <f ca="1">IF($AN96="",OFFSET(Demand!$A$13,ROW(R93)-1,4+((QUOTIENT(COLUMN(CH$2)-69,3))*5)+MOD(COLUMN(CH$2),3),1,1),"")</f>
        <v>0</v>
      </c>
      <c r="CI96">
        <f ca="1">IF($AN96="",OFFSET(Demand!$A$13,ROW(S93)-1,4+((QUOTIENT(COLUMN(CI$2)-69,3))*5)+MOD(COLUMN(CI$2),3),1,1),"")</f>
        <v>0</v>
      </c>
      <c r="CJ96">
        <f ca="1">IF($AN96="",OFFSET(Demand!$A$13,ROW(T93)-1,4+((QUOTIENT(COLUMN(CJ$2)-69,3))*5)+MOD(COLUMN(CJ$2),3),1,1),"")</f>
        <v>0</v>
      </c>
      <c r="CK96">
        <f ca="1">IF($AN96="",OFFSET(Demand!$A$13,ROW(U93)-1,4+((QUOTIENT(COLUMN(CK$2)-69,3))*5)+MOD(COLUMN(CK$2),3),1,1),"")</f>
        <v>0</v>
      </c>
      <c r="CL96">
        <f ca="1">IF($AN96="",OFFSET(Demand!$A$13,ROW(V93)-1,4+((QUOTIENT(COLUMN(CL$2)-69,3))*5)+MOD(COLUMN(CL$2),3),1,1),"")</f>
        <v>0</v>
      </c>
      <c r="CM96">
        <f ca="1">IF($AN96="",OFFSET(Demand!$A$13,ROW(W93)-1,4+((QUOTIENT(COLUMN(CM$2)-69,3))*5)+MOD(COLUMN(CM$2),3),1,1),"")</f>
        <v>0</v>
      </c>
      <c r="CN96">
        <f ca="1">IF($AN96="",OFFSET(Demand!$A$13,ROW(X93)-1,4+((QUOTIENT(COLUMN(CN$2)-69,3))*5)+MOD(COLUMN(CN$2),3),1,1),"")</f>
        <v>0</v>
      </c>
      <c r="CO96">
        <f ca="1">IF($AN96="",OFFSET(Demand!$A$13,ROW(Y93)-1,4+((QUOTIENT(COLUMN(CO$2)-69,3))*5)+MOD(COLUMN(CO$2),3),1,1),"")</f>
        <v>0</v>
      </c>
      <c r="CP96">
        <f ca="1">IF($AN96="",OFFSET(Demand!$A$13,ROW(Z93)-1,4+((QUOTIENT(COLUMN(CP$2)-69,3))*5)+MOD(COLUMN(CP$2),3),1,1),"")</f>
        <v>0</v>
      </c>
      <c r="CQ96">
        <f ca="1">IF($AN96="",OFFSET(Demand!$A$13,ROW(AA93)-1,4+((QUOTIENT(COLUMN(CQ$2)-69,3))*5)+MOD(COLUMN(CQ$2),3),1,1),"")</f>
        <v>0</v>
      </c>
      <c r="CR96">
        <f ca="1">IF($AN96="",OFFSET(Demand!$A$13,ROW(AB93)-1,4+((QUOTIENT(COLUMN(CR$2)-69,3))*5)+MOD(COLUMN(CR$2),3),1,1),"")</f>
        <v>0</v>
      </c>
      <c r="CS96">
        <f ca="1">IF($AN96="",OFFSET(Demand!$A$13,ROW(AC93)-1,4+((QUOTIENT(COLUMN(CS$2)-69,3))*5)+MOD(COLUMN(CS$2),3),1,1),"")</f>
        <v>0</v>
      </c>
      <c r="CT96">
        <f ca="1">IF($AN96="",OFFSET(Demand!$A$13,ROW(AD93)-1,4+((QUOTIENT(COLUMN(CT$2)-69,3))*5)+MOD(COLUMN(CT$2),3),1,1),"")</f>
        <v>0</v>
      </c>
      <c r="CW96" s="5">
        <f ca="1">SUM(OFFSET(Demand!$H$43,ROW(A93)-1,(COLUMN(A93)-1)*5,1,1))*N$2</f>
        <v>0</v>
      </c>
      <c r="CX96" s="5">
        <f ca="1">SUM(OFFSET(Demand!$H$43,ROW(B93)-1,(COLUMN(B93)-1)*5,1,1))*O$2</f>
        <v>0</v>
      </c>
      <c r="CY96" s="5">
        <f ca="1">SUM(OFFSET(Demand!$H$43,ROW(C93)-1,(COLUMN(C93)-1)*5,1,1))*P$2</f>
        <v>0</v>
      </c>
      <c r="CZ96" s="5">
        <f ca="1">SUM(OFFSET(Demand!$H$43,ROW(D93)-1,(COLUMN(D93)-1)*5,1,1))*Q$2</f>
        <v>0</v>
      </c>
      <c r="DA96" s="5">
        <f ca="1">SUM(OFFSET(Demand!$H$43,ROW(E93)-1,(COLUMN(E93)-1)*5,1,1))*R$2</f>
        <v>0</v>
      </c>
      <c r="DB96" s="5">
        <f ca="1">SUM(OFFSET(Demand!$H$43,ROW(F93)-1,(COLUMN(F93)-1)*5,1,1))*S$2</f>
        <v>0</v>
      </c>
      <c r="DC96" s="5">
        <f ca="1">SUM(OFFSET(Demand!$H$43,ROW(G93)-1,(COLUMN(G93)-1)*5,1,1))*T$2</f>
        <v>0</v>
      </c>
      <c r="DD96" s="5">
        <f ca="1">SUM(OFFSET(Demand!$H$43,ROW(H93)-1,(COLUMN(H93)-1)*5,1,1))*U$2</f>
        <v>0</v>
      </c>
      <c r="DE96" s="5">
        <f ca="1">SUM(OFFSET(Demand!$H$43,ROW(I93)-1,(COLUMN(I93)-1)*5,1,1))*V$2</f>
        <v>0</v>
      </c>
      <c r="DF96" s="5">
        <f ca="1">SUM(OFFSET(Demand!$H$43,ROW(J93)-1,(COLUMN(J93)-1)*5,1,1))*W$2</f>
        <v>0</v>
      </c>
      <c r="DG96" s="5">
        <f t="shared" ca="1" si="36"/>
        <v>0</v>
      </c>
    </row>
    <row r="97" spans="1:111" x14ac:dyDescent="0.2">
      <c r="A97" s="5">
        <f t="shared" ca="1" si="30"/>
        <v>0</v>
      </c>
      <c r="B97" s="5">
        <f ca="1">COUNTBLANK(OFFSET(Demand!$I106,0,(COLUMN(A94)-1)*5,1,1))</f>
        <v>0</v>
      </c>
      <c r="C97" s="5">
        <f ca="1">COUNTBLANK(OFFSET(Demand!$I106,0,(COLUMN(B94)-1)*5,1,1))</f>
        <v>0</v>
      </c>
      <c r="D97" s="5">
        <f ca="1">COUNTBLANK(OFFSET(Demand!$I106,0,(COLUMN(C94)-1)*5,1,1))</f>
        <v>1</v>
      </c>
      <c r="E97" s="5">
        <f ca="1">COUNTBLANK(OFFSET(Demand!$I106,0,(COLUMN(D94)-1)*5,1,1))</f>
        <v>1</v>
      </c>
      <c r="F97" s="5">
        <f ca="1">COUNTBLANK(OFFSET(Demand!$I106,0,(COLUMN(E94)-1)*5,1,1))</f>
        <v>1</v>
      </c>
      <c r="G97" s="5">
        <f ca="1">COUNTBLANK(OFFSET(Demand!$I106,0,(COLUMN(F94)-1)*5,1,1))</f>
        <v>1</v>
      </c>
      <c r="H97" s="5">
        <f ca="1">COUNTBLANK(OFFSET(Demand!$I106,0,(COLUMN(G94)-1)*5,1,1))</f>
        <v>1</v>
      </c>
      <c r="I97" s="5">
        <f ca="1">COUNTBLANK(OFFSET(Demand!$I106,0,(COLUMN(H94)-1)*5,1,1))</f>
        <v>1</v>
      </c>
      <c r="J97" s="5">
        <f ca="1">COUNTBLANK(OFFSET(Demand!$I106,0,(COLUMN(I94)-1)*5,1,1))</f>
        <v>1</v>
      </c>
      <c r="K97" s="5">
        <f ca="1">COUNTBLANK(OFFSET(Demand!$I106,0,(COLUMN(J94)-1)*5,1,1))</f>
        <v>1</v>
      </c>
      <c r="N97" s="5">
        <f ca="1">SUM(OFFSET(Demand!$E106,0,(COLUMN(A94)-1)*5,1,3))*N$2</f>
        <v>90</v>
      </c>
      <c r="O97" s="5">
        <f ca="1">SUM(OFFSET(Demand!$E106,0,(COLUMN(B94)-1)*5,1,3))*O$2</f>
        <v>480</v>
      </c>
      <c r="P97" s="5">
        <f ca="1">SUM(OFFSET(Demand!$E106,0,(COLUMN(C94)-1)*5,1,3))*P$2</f>
        <v>0</v>
      </c>
      <c r="Q97" s="5">
        <f ca="1">SUM(OFFSET(Demand!$E106,0,(COLUMN(D94)-1)*5,1,3))*Q$2</f>
        <v>0</v>
      </c>
      <c r="R97" s="5">
        <f ca="1">SUM(OFFSET(Demand!$E106,0,(COLUMN(E94)-1)*5,1,3))*R$2</f>
        <v>0</v>
      </c>
      <c r="S97" s="5">
        <f ca="1">SUM(OFFSET(Demand!$E106,0,(COLUMN(F94)-1)*5,1,3))*S$2</f>
        <v>0</v>
      </c>
      <c r="T97" s="5">
        <f ca="1">SUM(OFFSET(Demand!$E106,0,(COLUMN(G94)-1)*5,1,3))*T$2</f>
        <v>0</v>
      </c>
      <c r="U97" s="5">
        <f ca="1">SUM(OFFSET(Demand!$E106,0,(COLUMN(H94)-1)*5,1,3))*U$2</f>
        <v>0</v>
      </c>
      <c r="V97" s="5">
        <f ca="1">SUM(OFFSET(Demand!$E106,0,(COLUMN(I94)-1)*5,1,3))*V$2</f>
        <v>0</v>
      </c>
      <c r="W97" s="5">
        <f ca="1">SUM(OFFSET(Demand!$E106,0,(COLUMN(J94)-1)*5,1,3))*W$2</f>
        <v>0</v>
      </c>
      <c r="X97" s="5">
        <f t="shared" ca="1" si="31"/>
        <v>570</v>
      </c>
      <c r="Y97">
        <f t="shared" ca="1" si="32"/>
        <v>570</v>
      </c>
      <c r="Z97" s="5">
        <f ca="1">SUM(OFFSET(Demand!$H106,0,(COLUMN(A94)-1)*5,1,1))*N$2</f>
        <v>0</v>
      </c>
      <c r="AA97" s="5">
        <f ca="1">SUM(OFFSET(Demand!$H106,0,(COLUMN(B94)-1)*5,1,1))*O$2</f>
        <v>0</v>
      </c>
      <c r="AB97" s="5">
        <f ca="1">SUM(OFFSET(Demand!$H106,0,(COLUMN(C94)-1)*5,1,1))*P$2</f>
        <v>0</v>
      </c>
      <c r="AC97" s="5">
        <f ca="1">SUM(OFFSET(Demand!$H106,0,(COLUMN(D94)-1)*5,1,1))*Q$2</f>
        <v>0</v>
      </c>
      <c r="AD97" s="5">
        <f ca="1">SUM(OFFSET(Demand!$H106,0,(COLUMN(E94)-1)*5,1,1))*R$2</f>
        <v>0</v>
      </c>
      <c r="AE97" s="5">
        <f ca="1">SUM(OFFSET(Demand!$H106,0,(COLUMN(F94)-1)*5,1,1))*S$2</f>
        <v>0</v>
      </c>
      <c r="AF97" s="5">
        <f ca="1">SUM(OFFSET(Demand!$H106,0,(COLUMN(G94)-1)*5,1,1))*T$2</f>
        <v>0</v>
      </c>
      <c r="AG97" s="5">
        <f ca="1">SUM(OFFSET(Demand!$H106,0,(COLUMN(H94)-1)*5,1,1))*U$2</f>
        <v>0</v>
      </c>
      <c r="AH97" s="5">
        <f ca="1">SUM(OFFSET(Demand!$H106,0,(COLUMN(I94)-1)*5,1,1))*V$2</f>
        <v>0</v>
      </c>
      <c r="AI97" s="5">
        <f ca="1">SUM(OFFSET(Demand!$H106,0,(COLUMN(J94)-1)*5,1,1))*W$2</f>
        <v>0</v>
      </c>
      <c r="AJ97" s="5">
        <f t="shared" ca="1" si="33"/>
        <v>0</v>
      </c>
      <c r="AL97" s="5">
        <f t="shared" ca="1" si="34"/>
        <v>570</v>
      </c>
      <c r="AM97" s="5">
        <f t="shared" ca="1" si="35"/>
        <v>0</v>
      </c>
      <c r="AN97" s="5" t="str">
        <f>IF(Demand!BE106="Yes","Yes","")</f>
        <v/>
      </c>
      <c r="AP97" s="37" t="str">
        <f ca="1">Demand!B106</f>
        <v xml:space="preserve"> </v>
      </c>
      <c r="AQ97" t="str">
        <f ca="1">IF(TEXT(Demand!D106,"MMM")&lt;&gt;TEXT(Demand!D105,"MMM"),TEXT(Demand!D106,"MMM"),"")</f>
        <v/>
      </c>
      <c r="AT97" s="5">
        <f t="shared" ca="1" si="37"/>
        <v>130</v>
      </c>
      <c r="BQ97">
        <f ca="1">IF($AN97="",OFFSET(Demand!$A$13,ROW(A94)-1,4+((QUOTIENT(COLUMN(BQ$2)-69,3))*5)+MOD(COLUMN(BQ$2),3),1,1),"")</f>
        <v>0</v>
      </c>
      <c r="BR97">
        <f ca="1">IF($AN97="",OFFSET(Demand!$A$13,ROW(B94)-1,4+((QUOTIENT(COLUMN(BR$2)-69,3))*5)+MOD(COLUMN(BR$2),3),1,1),"")</f>
        <v>0</v>
      </c>
      <c r="BS97">
        <f ca="1">IF($AN97="",OFFSET(Demand!$A$13,ROW(C94)-1,4+((QUOTIENT(COLUMN(BS$2)-69,3))*5)+MOD(COLUMN(BS$2),3),1,1),"")</f>
        <v>3</v>
      </c>
      <c r="BT97">
        <f ca="1">IF($AN97="",OFFSET(Demand!$A$13,ROW(D94)-1,4+((QUOTIENT(COLUMN(BT$2)-69,3))*5)+MOD(COLUMN(BT$2),3),1,1),"")</f>
        <v>0</v>
      </c>
      <c r="BU97">
        <f ca="1">IF($AN97="",OFFSET(Demand!$A$13,ROW(E94)-1,4+((QUOTIENT(COLUMN(BU$2)-69,3))*5)+MOD(COLUMN(BU$2),3),1,1),"")</f>
        <v>2</v>
      </c>
      <c r="BV97">
        <f ca="1">IF($AN97="",OFFSET(Demand!$A$13,ROW(F94)-1,4+((QUOTIENT(COLUMN(BV$2)-69,3))*5)+MOD(COLUMN(BV$2),3),1,1),"")</f>
        <v>10</v>
      </c>
      <c r="BW97">
        <f ca="1">IF($AN97="",OFFSET(Demand!$A$13,ROW(G94)-1,4+((QUOTIENT(COLUMN(BW$2)-69,3))*5)+MOD(COLUMN(BW$2),3),1,1),"")</f>
        <v>0</v>
      </c>
      <c r="BX97">
        <f ca="1">IF($AN97="",OFFSET(Demand!$A$13,ROW(H94)-1,4+((QUOTIENT(COLUMN(BX$2)-69,3))*5)+MOD(COLUMN(BX$2),3),1,1),"")</f>
        <v>0</v>
      </c>
      <c r="BY97">
        <f ca="1">IF($AN97="",OFFSET(Demand!$A$13,ROW(I94)-1,4+((QUOTIENT(COLUMN(BY$2)-69,3))*5)+MOD(COLUMN(BY$2),3),1,1),"")</f>
        <v>0</v>
      </c>
      <c r="BZ97">
        <f ca="1">IF($AN97="",OFFSET(Demand!$A$13,ROW(J94)-1,4+((QUOTIENT(COLUMN(BZ$2)-69,3))*5)+MOD(COLUMN(BZ$2),3),1,1),"")</f>
        <v>0</v>
      </c>
      <c r="CA97">
        <f ca="1">IF($AN97="",OFFSET(Demand!$A$13,ROW(K94)-1,4+((QUOTIENT(COLUMN(CA$2)-69,3))*5)+MOD(COLUMN(CA$2),3),1,1),"")</f>
        <v>0</v>
      </c>
      <c r="CB97">
        <f ca="1">IF($AN97="",OFFSET(Demand!$A$13,ROW(L94)-1,4+((QUOTIENT(COLUMN(CB$2)-69,3))*5)+MOD(COLUMN(CB$2),3),1,1),"")</f>
        <v>0</v>
      </c>
      <c r="CC97">
        <f ca="1">IF($AN97="",OFFSET(Demand!$A$13,ROW(M94)-1,4+((QUOTIENT(COLUMN(CC$2)-69,3))*5)+MOD(COLUMN(CC$2),3),1,1),"")</f>
        <v>0</v>
      </c>
      <c r="CD97">
        <f ca="1">IF($AN97="",OFFSET(Demand!$A$13,ROW(N94)-1,4+((QUOTIENT(COLUMN(CD$2)-69,3))*5)+MOD(COLUMN(CD$2),3),1,1),"")</f>
        <v>0</v>
      </c>
      <c r="CE97">
        <f ca="1">IF($AN97="",OFFSET(Demand!$A$13,ROW(O94)-1,4+((QUOTIENT(COLUMN(CE$2)-69,3))*5)+MOD(COLUMN(CE$2),3),1,1),"")</f>
        <v>0</v>
      </c>
      <c r="CF97">
        <f ca="1">IF($AN97="",OFFSET(Demand!$A$13,ROW(P94)-1,4+((QUOTIENT(COLUMN(CF$2)-69,3))*5)+MOD(COLUMN(CF$2),3),1,1),"")</f>
        <v>0</v>
      </c>
      <c r="CG97">
        <f ca="1">IF($AN97="",OFFSET(Demand!$A$13,ROW(Q94)-1,4+((QUOTIENT(COLUMN(CG$2)-69,3))*5)+MOD(COLUMN(CG$2),3),1,1),"")</f>
        <v>0</v>
      </c>
      <c r="CH97">
        <f ca="1">IF($AN97="",OFFSET(Demand!$A$13,ROW(R94)-1,4+((QUOTIENT(COLUMN(CH$2)-69,3))*5)+MOD(COLUMN(CH$2),3),1,1),"")</f>
        <v>0</v>
      </c>
      <c r="CI97">
        <f ca="1">IF($AN97="",OFFSET(Demand!$A$13,ROW(S94)-1,4+((QUOTIENT(COLUMN(CI$2)-69,3))*5)+MOD(COLUMN(CI$2),3),1,1),"")</f>
        <v>0</v>
      </c>
      <c r="CJ97">
        <f ca="1">IF($AN97="",OFFSET(Demand!$A$13,ROW(T94)-1,4+((QUOTIENT(COLUMN(CJ$2)-69,3))*5)+MOD(COLUMN(CJ$2),3),1,1),"")</f>
        <v>0</v>
      </c>
      <c r="CK97">
        <f ca="1">IF($AN97="",OFFSET(Demand!$A$13,ROW(U94)-1,4+((QUOTIENT(COLUMN(CK$2)-69,3))*5)+MOD(COLUMN(CK$2),3),1,1),"")</f>
        <v>0</v>
      </c>
      <c r="CL97">
        <f ca="1">IF($AN97="",OFFSET(Demand!$A$13,ROW(V94)-1,4+((QUOTIENT(COLUMN(CL$2)-69,3))*5)+MOD(COLUMN(CL$2),3),1,1),"")</f>
        <v>0</v>
      </c>
      <c r="CM97">
        <f ca="1">IF($AN97="",OFFSET(Demand!$A$13,ROW(W94)-1,4+((QUOTIENT(COLUMN(CM$2)-69,3))*5)+MOD(COLUMN(CM$2),3),1,1),"")</f>
        <v>0</v>
      </c>
      <c r="CN97">
        <f ca="1">IF($AN97="",OFFSET(Demand!$A$13,ROW(X94)-1,4+((QUOTIENT(COLUMN(CN$2)-69,3))*5)+MOD(COLUMN(CN$2),3),1,1),"")</f>
        <v>0</v>
      </c>
      <c r="CO97">
        <f ca="1">IF($AN97="",OFFSET(Demand!$A$13,ROW(Y94)-1,4+((QUOTIENT(COLUMN(CO$2)-69,3))*5)+MOD(COLUMN(CO$2),3),1,1),"")</f>
        <v>0</v>
      </c>
      <c r="CP97">
        <f ca="1">IF($AN97="",OFFSET(Demand!$A$13,ROW(Z94)-1,4+((QUOTIENT(COLUMN(CP$2)-69,3))*5)+MOD(COLUMN(CP$2),3),1,1),"")</f>
        <v>0</v>
      </c>
      <c r="CQ97">
        <f ca="1">IF($AN97="",OFFSET(Demand!$A$13,ROW(AA94)-1,4+((QUOTIENT(COLUMN(CQ$2)-69,3))*5)+MOD(COLUMN(CQ$2),3),1,1),"")</f>
        <v>0</v>
      </c>
      <c r="CR97">
        <f ca="1">IF($AN97="",OFFSET(Demand!$A$13,ROW(AB94)-1,4+((QUOTIENT(COLUMN(CR$2)-69,3))*5)+MOD(COLUMN(CR$2),3),1,1),"")</f>
        <v>0</v>
      </c>
      <c r="CS97">
        <f ca="1">IF($AN97="",OFFSET(Demand!$A$13,ROW(AC94)-1,4+((QUOTIENT(COLUMN(CS$2)-69,3))*5)+MOD(COLUMN(CS$2),3),1,1),"")</f>
        <v>0</v>
      </c>
      <c r="CT97">
        <f ca="1">IF($AN97="",OFFSET(Demand!$A$13,ROW(AD94)-1,4+((QUOTIENT(COLUMN(CT$2)-69,3))*5)+MOD(COLUMN(CT$2),3),1,1),"")</f>
        <v>0</v>
      </c>
      <c r="CW97" s="5">
        <f ca="1">SUM(OFFSET(Demand!$H$43,ROW(A94)-1,(COLUMN(A94)-1)*5,1,1))*N$2</f>
        <v>0</v>
      </c>
      <c r="CX97" s="5">
        <f ca="1">SUM(OFFSET(Demand!$H$43,ROW(B94)-1,(COLUMN(B94)-1)*5,1,1))*O$2</f>
        <v>0</v>
      </c>
      <c r="CY97" s="5">
        <f ca="1">SUM(OFFSET(Demand!$H$43,ROW(C94)-1,(COLUMN(C94)-1)*5,1,1))*P$2</f>
        <v>0</v>
      </c>
      <c r="CZ97" s="5">
        <f ca="1">SUM(OFFSET(Demand!$H$43,ROW(D94)-1,(COLUMN(D94)-1)*5,1,1))*Q$2</f>
        <v>0</v>
      </c>
      <c r="DA97" s="5">
        <f ca="1">SUM(OFFSET(Demand!$H$43,ROW(E94)-1,(COLUMN(E94)-1)*5,1,1))*R$2</f>
        <v>0</v>
      </c>
      <c r="DB97" s="5">
        <f ca="1">SUM(OFFSET(Demand!$H$43,ROW(F94)-1,(COLUMN(F94)-1)*5,1,1))*S$2</f>
        <v>0</v>
      </c>
      <c r="DC97" s="5">
        <f ca="1">SUM(OFFSET(Demand!$H$43,ROW(G94)-1,(COLUMN(G94)-1)*5,1,1))*T$2</f>
        <v>0</v>
      </c>
      <c r="DD97" s="5">
        <f ca="1">SUM(OFFSET(Demand!$H$43,ROW(H94)-1,(COLUMN(H94)-1)*5,1,1))*U$2</f>
        <v>0</v>
      </c>
      <c r="DE97" s="5">
        <f ca="1">SUM(OFFSET(Demand!$H$43,ROW(I94)-1,(COLUMN(I94)-1)*5,1,1))*V$2</f>
        <v>0</v>
      </c>
      <c r="DF97" s="5">
        <f ca="1">SUM(OFFSET(Demand!$H$43,ROW(J94)-1,(COLUMN(J94)-1)*5,1,1))*W$2</f>
        <v>0</v>
      </c>
      <c r="DG97" s="5">
        <f t="shared" ca="1" si="36"/>
        <v>0</v>
      </c>
    </row>
    <row r="98" spans="1:111" x14ac:dyDescent="0.2">
      <c r="A98" s="5">
        <f t="shared" ca="1" si="30"/>
        <v>0</v>
      </c>
      <c r="B98" s="5">
        <f ca="1">COUNTBLANK(OFFSET(Demand!$I107,0,(COLUMN(A95)-1)*5,1,1))</f>
        <v>0</v>
      </c>
      <c r="C98" s="5">
        <f ca="1">COUNTBLANK(OFFSET(Demand!$I107,0,(COLUMN(B95)-1)*5,1,1))</f>
        <v>0</v>
      </c>
      <c r="D98" s="5">
        <f ca="1">COUNTBLANK(OFFSET(Demand!$I107,0,(COLUMN(C95)-1)*5,1,1))</f>
        <v>1</v>
      </c>
      <c r="E98" s="5">
        <f ca="1">COUNTBLANK(OFFSET(Demand!$I107,0,(COLUMN(D95)-1)*5,1,1))</f>
        <v>1</v>
      </c>
      <c r="F98" s="5">
        <f ca="1">COUNTBLANK(OFFSET(Demand!$I107,0,(COLUMN(E95)-1)*5,1,1))</f>
        <v>1</v>
      </c>
      <c r="G98" s="5">
        <f ca="1">COUNTBLANK(OFFSET(Demand!$I107,0,(COLUMN(F95)-1)*5,1,1))</f>
        <v>1</v>
      </c>
      <c r="H98" s="5">
        <f ca="1">COUNTBLANK(OFFSET(Demand!$I107,0,(COLUMN(G95)-1)*5,1,1))</f>
        <v>1</v>
      </c>
      <c r="I98" s="5">
        <f ca="1">COUNTBLANK(OFFSET(Demand!$I107,0,(COLUMN(H95)-1)*5,1,1))</f>
        <v>1</v>
      </c>
      <c r="J98" s="5">
        <f ca="1">COUNTBLANK(OFFSET(Demand!$I107,0,(COLUMN(I95)-1)*5,1,1))</f>
        <v>1</v>
      </c>
      <c r="K98" s="5">
        <f ca="1">COUNTBLANK(OFFSET(Demand!$I107,0,(COLUMN(J95)-1)*5,1,1))</f>
        <v>1</v>
      </c>
      <c r="N98" s="5">
        <f ca="1">SUM(OFFSET(Demand!$E107,0,(COLUMN(A95)-1)*5,1,3))*N$2</f>
        <v>240</v>
      </c>
      <c r="O98" s="5">
        <f ca="1">SUM(OFFSET(Demand!$E107,0,(COLUMN(B95)-1)*5,1,3))*O$2</f>
        <v>280</v>
      </c>
      <c r="P98" s="5">
        <f ca="1">SUM(OFFSET(Demand!$E107,0,(COLUMN(C95)-1)*5,1,3))*P$2</f>
        <v>0</v>
      </c>
      <c r="Q98" s="5">
        <f ca="1">SUM(OFFSET(Demand!$E107,0,(COLUMN(D95)-1)*5,1,3))*Q$2</f>
        <v>0</v>
      </c>
      <c r="R98" s="5">
        <f ca="1">SUM(OFFSET(Demand!$E107,0,(COLUMN(E95)-1)*5,1,3))*R$2</f>
        <v>0</v>
      </c>
      <c r="S98" s="5">
        <f ca="1">SUM(OFFSET(Demand!$E107,0,(COLUMN(F95)-1)*5,1,3))*S$2</f>
        <v>0</v>
      </c>
      <c r="T98" s="5">
        <f ca="1">SUM(OFFSET(Demand!$E107,0,(COLUMN(G95)-1)*5,1,3))*T$2</f>
        <v>0</v>
      </c>
      <c r="U98" s="5">
        <f ca="1">SUM(OFFSET(Demand!$E107,0,(COLUMN(H95)-1)*5,1,3))*U$2</f>
        <v>0</v>
      </c>
      <c r="V98" s="5">
        <f ca="1">SUM(OFFSET(Demand!$E107,0,(COLUMN(I95)-1)*5,1,3))*V$2</f>
        <v>0</v>
      </c>
      <c r="W98" s="5">
        <f ca="1">SUM(OFFSET(Demand!$E107,0,(COLUMN(J95)-1)*5,1,3))*W$2</f>
        <v>0</v>
      </c>
      <c r="X98" s="5">
        <f t="shared" ca="1" si="31"/>
        <v>520</v>
      </c>
      <c r="Y98">
        <f t="shared" ca="1" si="32"/>
        <v>520</v>
      </c>
      <c r="Z98" s="5">
        <f ca="1">SUM(OFFSET(Demand!$H107,0,(COLUMN(A95)-1)*5,1,1))*N$2</f>
        <v>0</v>
      </c>
      <c r="AA98" s="5">
        <f ca="1">SUM(OFFSET(Demand!$H107,0,(COLUMN(B95)-1)*5,1,1))*O$2</f>
        <v>0</v>
      </c>
      <c r="AB98" s="5">
        <f ca="1">SUM(OFFSET(Demand!$H107,0,(COLUMN(C95)-1)*5,1,1))*P$2</f>
        <v>0</v>
      </c>
      <c r="AC98" s="5">
        <f ca="1">SUM(OFFSET(Demand!$H107,0,(COLUMN(D95)-1)*5,1,1))*Q$2</f>
        <v>0</v>
      </c>
      <c r="AD98" s="5">
        <f ca="1">SUM(OFFSET(Demand!$H107,0,(COLUMN(E95)-1)*5,1,1))*R$2</f>
        <v>0</v>
      </c>
      <c r="AE98" s="5">
        <f ca="1">SUM(OFFSET(Demand!$H107,0,(COLUMN(F95)-1)*5,1,1))*S$2</f>
        <v>0</v>
      </c>
      <c r="AF98" s="5">
        <f ca="1">SUM(OFFSET(Demand!$H107,0,(COLUMN(G95)-1)*5,1,1))*T$2</f>
        <v>0</v>
      </c>
      <c r="AG98" s="5">
        <f ca="1">SUM(OFFSET(Demand!$H107,0,(COLUMN(H95)-1)*5,1,1))*U$2</f>
        <v>0</v>
      </c>
      <c r="AH98" s="5">
        <f ca="1">SUM(OFFSET(Demand!$H107,0,(COLUMN(I95)-1)*5,1,1))*V$2</f>
        <v>0</v>
      </c>
      <c r="AI98" s="5">
        <f ca="1">SUM(OFFSET(Demand!$H107,0,(COLUMN(J95)-1)*5,1,1))*W$2</f>
        <v>0</v>
      </c>
      <c r="AJ98" s="5">
        <f t="shared" ca="1" si="33"/>
        <v>0</v>
      </c>
      <c r="AL98" s="5">
        <f t="shared" ca="1" si="34"/>
        <v>520</v>
      </c>
      <c r="AM98" s="5">
        <f t="shared" ca="1" si="35"/>
        <v>0</v>
      </c>
      <c r="AN98" s="5" t="str">
        <f>IF(Demand!BE107="Yes","Yes","")</f>
        <v/>
      </c>
      <c r="AP98" s="37" t="str">
        <f ca="1">Demand!B107</f>
        <v xml:space="preserve"> </v>
      </c>
      <c r="AQ98" t="str">
        <f ca="1">IF(TEXT(Demand!D107,"MMM")&lt;&gt;TEXT(Demand!D106,"MMM"),TEXT(Demand!D107,"MMM"),"")</f>
        <v/>
      </c>
      <c r="AT98" s="5">
        <f t="shared" ca="1" si="37"/>
        <v>50</v>
      </c>
      <c r="BQ98">
        <f ca="1">IF($AN98="",OFFSET(Demand!$A$13,ROW(A95)-1,4+((QUOTIENT(COLUMN(BQ$2)-69,3))*5)+MOD(COLUMN(BQ$2),3),1,1),"")</f>
        <v>0</v>
      </c>
      <c r="BR98">
        <f ca="1">IF($AN98="",OFFSET(Demand!$A$13,ROW(B95)-1,4+((QUOTIENT(COLUMN(BR$2)-69,3))*5)+MOD(COLUMN(BR$2),3),1,1),"")</f>
        <v>1</v>
      </c>
      <c r="BS98">
        <f ca="1">IF($AN98="",OFFSET(Demand!$A$13,ROW(C95)-1,4+((QUOTIENT(COLUMN(BS$2)-69,3))*5)+MOD(COLUMN(BS$2),3),1,1),"")</f>
        <v>7</v>
      </c>
      <c r="BT98">
        <f ca="1">IF($AN98="",OFFSET(Demand!$A$13,ROW(D95)-1,4+((QUOTIENT(COLUMN(BT$2)-69,3))*5)+MOD(COLUMN(BT$2),3),1,1),"")</f>
        <v>0</v>
      </c>
      <c r="BU98">
        <f ca="1">IF($AN98="",OFFSET(Demand!$A$13,ROW(E95)-1,4+((QUOTIENT(COLUMN(BU$2)-69,3))*5)+MOD(COLUMN(BU$2),3),1,1),"")</f>
        <v>1</v>
      </c>
      <c r="BV98">
        <f ca="1">IF($AN98="",OFFSET(Demand!$A$13,ROW(F95)-1,4+((QUOTIENT(COLUMN(BV$2)-69,3))*5)+MOD(COLUMN(BV$2),3),1,1),"")</f>
        <v>6</v>
      </c>
      <c r="BW98">
        <f ca="1">IF($AN98="",OFFSET(Demand!$A$13,ROW(G95)-1,4+((QUOTIENT(COLUMN(BW$2)-69,3))*5)+MOD(COLUMN(BW$2),3),1,1),"")</f>
        <v>0</v>
      </c>
      <c r="BX98">
        <f ca="1">IF($AN98="",OFFSET(Demand!$A$13,ROW(H95)-1,4+((QUOTIENT(COLUMN(BX$2)-69,3))*5)+MOD(COLUMN(BX$2),3),1,1),"")</f>
        <v>0</v>
      </c>
      <c r="BY98">
        <f ca="1">IF($AN98="",OFFSET(Demand!$A$13,ROW(I95)-1,4+((QUOTIENT(COLUMN(BY$2)-69,3))*5)+MOD(COLUMN(BY$2),3),1,1),"")</f>
        <v>0</v>
      </c>
      <c r="BZ98">
        <f ca="1">IF($AN98="",OFFSET(Demand!$A$13,ROW(J95)-1,4+((QUOTIENT(COLUMN(BZ$2)-69,3))*5)+MOD(COLUMN(BZ$2),3),1,1),"")</f>
        <v>0</v>
      </c>
      <c r="CA98">
        <f ca="1">IF($AN98="",OFFSET(Demand!$A$13,ROW(K95)-1,4+((QUOTIENT(COLUMN(CA$2)-69,3))*5)+MOD(COLUMN(CA$2),3),1,1),"")</f>
        <v>0</v>
      </c>
      <c r="CB98">
        <f ca="1">IF($AN98="",OFFSET(Demand!$A$13,ROW(L95)-1,4+((QUOTIENT(COLUMN(CB$2)-69,3))*5)+MOD(COLUMN(CB$2),3),1,1),"")</f>
        <v>0</v>
      </c>
      <c r="CC98">
        <f ca="1">IF($AN98="",OFFSET(Demand!$A$13,ROW(M95)-1,4+((QUOTIENT(COLUMN(CC$2)-69,3))*5)+MOD(COLUMN(CC$2),3),1,1),"")</f>
        <v>0</v>
      </c>
      <c r="CD98">
        <f ca="1">IF($AN98="",OFFSET(Demand!$A$13,ROW(N95)-1,4+((QUOTIENT(COLUMN(CD$2)-69,3))*5)+MOD(COLUMN(CD$2),3),1,1),"")</f>
        <v>0</v>
      </c>
      <c r="CE98">
        <f ca="1">IF($AN98="",OFFSET(Demand!$A$13,ROW(O95)-1,4+((QUOTIENT(COLUMN(CE$2)-69,3))*5)+MOD(COLUMN(CE$2),3),1,1),"")</f>
        <v>0</v>
      </c>
      <c r="CF98">
        <f ca="1">IF($AN98="",OFFSET(Demand!$A$13,ROW(P95)-1,4+((QUOTIENT(COLUMN(CF$2)-69,3))*5)+MOD(COLUMN(CF$2),3),1,1),"")</f>
        <v>0</v>
      </c>
      <c r="CG98">
        <f ca="1">IF($AN98="",OFFSET(Demand!$A$13,ROW(Q95)-1,4+((QUOTIENT(COLUMN(CG$2)-69,3))*5)+MOD(COLUMN(CG$2),3),1,1),"")</f>
        <v>0</v>
      </c>
      <c r="CH98">
        <f ca="1">IF($AN98="",OFFSET(Demand!$A$13,ROW(R95)-1,4+((QUOTIENT(COLUMN(CH$2)-69,3))*5)+MOD(COLUMN(CH$2),3),1,1),"")</f>
        <v>0</v>
      </c>
      <c r="CI98">
        <f ca="1">IF($AN98="",OFFSET(Demand!$A$13,ROW(S95)-1,4+((QUOTIENT(COLUMN(CI$2)-69,3))*5)+MOD(COLUMN(CI$2),3),1,1),"")</f>
        <v>0</v>
      </c>
      <c r="CJ98">
        <f ca="1">IF($AN98="",OFFSET(Demand!$A$13,ROW(T95)-1,4+((QUOTIENT(COLUMN(CJ$2)-69,3))*5)+MOD(COLUMN(CJ$2),3),1,1),"")</f>
        <v>0</v>
      </c>
      <c r="CK98">
        <f ca="1">IF($AN98="",OFFSET(Demand!$A$13,ROW(U95)-1,4+((QUOTIENT(COLUMN(CK$2)-69,3))*5)+MOD(COLUMN(CK$2),3),1,1),"")</f>
        <v>0</v>
      </c>
      <c r="CL98">
        <f ca="1">IF($AN98="",OFFSET(Demand!$A$13,ROW(V95)-1,4+((QUOTIENT(COLUMN(CL$2)-69,3))*5)+MOD(COLUMN(CL$2),3),1,1),"")</f>
        <v>0</v>
      </c>
      <c r="CM98">
        <f ca="1">IF($AN98="",OFFSET(Demand!$A$13,ROW(W95)-1,4+((QUOTIENT(COLUMN(CM$2)-69,3))*5)+MOD(COLUMN(CM$2),3),1,1),"")</f>
        <v>0</v>
      </c>
      <c r="CN98">
        <f ca="1">IF($AN98="",OFFSET(Demand!$A$13,ROW(X95)-1,4+((QUOTIENT(COLUMN(CN$2)-69,3))*5)+MOD(COLUMN(CN$2),3),1,1),"")</f>
        <v>0</v>
      </c>
      <c r="CO98">
        <f ca="1">IF($AN98="",OFFSET(Demand!$A$13,ROW(Y95)-1,4+((QUOTIENT(COLUMN(CO$2)-69,3))*5)+MOD(COLUMN(CO$2),3),1,1),"")</f>
        <v>0</v>
      </c>
      <c r="CP98">
        <f ca="1">IF($AN98="",OFFSET(Demand!$A$13,ROW(Z95)-1,4+((QUOTIENT(COLUMN(CP$2)-69,3))*5)+MOD(COLUMN(CP$2),3),1,1),"")</f>
        <v>0</v>
      </c>
      <c r="CQ98">
        <f ca="1">IF($AN98="",OFFSET(Demand!$A$13,ROW(AA95)-1,4+((QUOTIENT(COLUMN(CQ$2)-69,3))*5)+MOD(COLUMN(CQ$2),3),1,1),"")</f>
        <v>0</v>
      </c>
      <c r="CR98">
        <f ca="1">IF($AN98="",OFFSET(Demand!$A$13,ROW(AB95)-1,4+((QUOTIENT(COLUMN(CR$2)-69,3))*5)+MOD(COLUMN(CR$2),3),1,1),"")</f>
        <v>0</v>
      </c>
      <c r="CS98">
        <f ca="1">IF($AN98="",OFFSET(Demand!$A$13,ROW(AC95)-1,4+((QUOTIENT(COLUMN(CS$2)-69,3))*5)+MOD(COLUMN(CS$2),3),1,1),"")</f>
        <v>0</v>
      </c>
      <c r="CT98">
        <f ca="1">IF($AN98="",OFFSET(Demand!$A$13,ROW(AD95)-1,4+((QUOTIENT(COLUMN(CT$2)-69,3))*5)+MOD(COLUMN(CT$2),3),1,1),"")</f>
        <v>0</v>
      </c>
      <c r="CW98" s="5">
        <f ca="1">SUM(OFFSET(Demand!$H$43,ROW(A95)-1,(COLUMN(A95)-1)*5,1,1))*N$2</f>
        <v>0</v>
      </c>
      <c r="CX98" s="5">
        <f ca="1">SUM(OFFSET(Demand!$H$43,ROW(B95)-1,(COLUMN(B95)-1)*5,1,1))*O$2</f>
        <v>0</v>
      </c>
      <c r="CY98" s="5">
        <f ca="1">SUM(OFFSET(Demand!$H$43,ROW(C95)-1,(COLUMN(C95)-1)*5,1,1))*P$2</f>
        <v>0</v>
      </c>
      <c r="CZ98" s="5">
        <f ca="1">SUM(OFFSET(Demand!$H$43,ROW(D95)-1,(COLUMN(D95)-1)*5,1,1))*Q$2</f>
        <v>0</v>
      </c>
      <c r="DA98" s="5">
        <f ca="1">SUM(OFFSET(Demand!$H$43,ROW(E95)-1,(COLUMN(E95)-1)*5,1,1))*R$2</f>
        <v>0</v>
      </c>
      <c r="DB98" s="5">
        <f ca="1">SUM(OFFSET(Demand!$H$43,ROW(F95)-1,(COLUMN(F95)-1)*5,1,1))*S$2</f>
        <v>0</v>
      </c>
      <c r="DC98" s="5">
        <f ca="1">SUM(OFFSET(Demand!$H$43,ROW(G95)-1,(COLUMN(G95)-1)*5,1,1))*T$2</f>
        <v>0</v>
      </c>
      <c r="DD98" s="5">
        <f ca="1">SUM(OFFSET(Demand!$H$43,ROW(H95)-1,(COLUMN(H95)-1)*5,1,1))*U$2</f>
        <v>0</v>
      </c>
      <c r="DE98" s="5">
        <f ca="1">SUM(OFFSET(Demand!$H$43,ROW(I95)-1,(COLUMN(I95)-1)*5,1,1))*V$2</f>
        <v>0</v>
      </c>
      <c r="DF98" s="5">
        <f ca="1">SUM(OFFSET(Demand!$H$43,ROW(J95)-1,(COLUMN(J95)-1)*5,1,1))*W$2</f>
        <v>0</v>
      </c>
      <c r="DG98" s="5">
        <f t="shared" ca="1" si="36"/>
        <v>0</v>
      </c>
    </row>
    <row r="99" spans="1:111" x14ac:dyDescent="0.2">
      <c r="A99" s="5">
        <f t="shared" ca="1" si="30"/>
        <v>0</v>
      </c>
      <c r="B99" s="5">
        <f ca="1">COUNTBLANK(OFFSET(Demand!$I108,0,(COLUMN(A96)-1)*5,1,1))</f>
        <v>0</v>
      </c>
      <c r="C99" s="5">
        <f ca="1">COUNTBLANK(OFFSET(Demand!$I108,0,(COLUMN(B96)-1)*5,1,1))</f>
        <v>0</v>
      </c>
      <c r="D99" s="5">
        <f ca="1">COUNTBLANK(OFFSET(Demand!$I108,0,(COLUMN(C96)-1)*5,1,1))</f>
        <v>1</v>
      </c>
      <c r="E99" s="5">
        <f ca="1">COUNTBLANK(OFFSET(Demand!$I108,0,(COLUMN(D96)-1)*5,1,1))</f>
        <v>1</v>
      </c>
      <c r="F99" s="5">
        <f ca="1">COUNTBLANK(OFFSET(Demand!$I108,0,(COLUMN(E96)-1)*5,1,1))</f>
        <v>1</v>
      </c>
      <c r="G99" s="5">
        <f ca="1">COUNTBLANK(OFFSET(Demand!$I108,0,(COLUMN(F96)-1)*5,1,1))</f>
        <v>1</v>
      </c>
      <c r="H99" s="5">
        <f ca="1">COUNTBLANK(OFFSET(Demand!$I108,0,(COLUMN(G96)-1)*5,1,1))</f>
        <v>1</v>
      </c>
      <c r="I99" s="5">
        <f ca="1">COUNTBLANK(OFFSET(Demand!$I108,0,(COLUMN(H96)-1)*5,1,1))</f>
        <v>1</v>
      </c>
      <c r="J99" s="5">
        <f ca="1">COUNTBLANK(OFFSET(Demand!$I108,0,(COLUMN(I96)-1)*5,1,1))</f>
        <v>1</v>
      </c>
      <c r="K99" s="5">
        <f ca="1">COUNTBLANK(OFFSET(Demand!$I108,0,(COLUMN(J96)-1)*5,1,1))</f>
        <v>1</v>
      </c>
      <c r="N99" s="5">
        <f ca="1">SUM(OFFSET(Demand!$E108,0,(COLUMN(A96)-1)*5,1,3))*N$2</f>
        <v>150</v>
      </c>
      <c r="O99" s="5">
        <f ca="1">SUM(OFFSET(Demand!$E108,0,(COLUMN(B96)-1)*5,1,3))*O$2</f>
        <v>480</v>
      </c>
      <c r="P99" s="5">
        <f ca="1">SUM(OFFSET(Demand!$E108,0,(COLUMN(C96)-1)*5,1,3))*P$2</f>
        <v>0</v>
      </c>
      <c r="Q99" s="5">
        <f ca="1">SUM(OFFSET(Demand!$E108,0,(COLUMN(D96)-1)*5,1,3))*Q$2</f>
        <v>0</v>
      </c>
      <c r="R99" s="5">
        <f ca="1">SUM(OFFSET(Demand!$E108,0,(COLUMN(E96)-1)*5,1,3))*R$2</f>
        <v>0</v>
      </c>
      <c r="S99" s="5">
        <f ca="1">SUM(OFFSET(Demand!$E108,0,(COLUMN(F96)-1)*5,1,3))*S$2</f>
        <v>0</v>
      </c>
      <c r="T99" s="5">
        <f ca="1">SUM(OFFSET(Demand!$E108,0,(COLUMN(G96)-1)*5,1,3))*T$2</f>
        <v>0</v>
      </c>
      <c r="U99" s="5">
        <f ca="1">SUM(OFFSET(Demand!$E108,0,(COLUMN(H96)-1)*5,1,3))*U$2</f>
        <v>0</v>
      </c>
      <c r="V99" s="5">
        <f ca="1">SUM(OFFSET(Demand!$E108,0,(COLUMN(I96)-1)*5,1,3))*V$2</f>
        <v>0</v>
      </c>
      <c r="W99" s="5">
        <f ca="1">SUM(OFFSET(Demand!$E108,0,(COLUMN(J96)-1)*5,1,3))*W$2</f>
        <v>0</v>
      </c>
      <c r="X99" s="5">
        <f t="shared" ca="1" si="31"/>
        <v>630</v>
      </c>
      <c r="Y99">
        <f t="shared" ca="1" si="32"/>
        <v>630</v>
      </c>
      <c r="Z99" s="5">
        <f ca="1">SUM(OFFSET(Demand!$H108,0,(COLUMN(A96)-1)*5,1,1))*N$2</f>
        <v>0</v>
      </c>
      <c r="AA99" s="5">
        <f ca="1">SUM(OFFSET(Demand!$H108,0,(COLUMN(B96)-1)*5,1,1))*O$2</f>
        <v>0</v>
      </c>
      <c r="AB99" s="5">
        <f ca="1">SUM(OFFSET(Demand!$H108,0,(COLUMN(C96)-1)*5,1,1))*P$2</f>
        <v>0</v>
      </c>
      <c r="AC99" s="5">
        <f ca="1">SUM(OFFSET(Demand!$H108,0,(COLUMN(D96)-1)*5,1,1))*Q$2</f>
        <v>0</v>
      </c>
      <c r="AD99" s="5">
        <f ca="1">SUM(OFFSET(Demand!$H108,0,(COLUMN(E96)-1)*5,1,1))*R$2</f>
        <v>0</v>
      </c>
      <c r="AE99" s="5">
        <f ca="1">SUM(OFFSET(Demand!$H108,0,(COLUMN(F96)-1)*5,1,1))*S$2</f>
        <v>0</v>
      </c>
      <c r="AF99" s="5">
        <f ca="1">SUM(OFFSET(Demand!$H108,0,(COLUMN(G96)-1)*5,1,1))*T$2</f>
        <v>0</v>
      </c>
      <c r="AG99" s="5">
        <f ca="1">SUM(OFFSET(Demand!$H108,0,(COLUMN(H96)-1)*5,1,1))*U$2</f>
        <v>0</v>
      </c>
      <c r="AH99" s="5">
        <f ca="1">SUM(OFFSET(Demand!$H108,0,(COLUMN(I96)-1)*5,1,1))*V$2</f>
        <v>0</v>
      </c>
      <c r="AI99" s="5">
        <f ca="1">SUM(OFFSET(Demand!$H108,0,(COLUMN(J96)-1)*5,1,1))*W$2</f>
        <v>0</v>
      </c>
      <c r="AJ99" s="5">
        <f t="shared" ca="1" si="33"/>
        <v>0</v>
      </c>
      <c r="AL99" s="5">
        <f t="shared" ca="1" si="34"/>
        <v>630</v>
      </c>
      <c r="AM99" s="5">
        <f t="shared" ca="1" si="35"/>
        <v>0</v>
      </c>
      <c r="AN99" s="5" t="str">
        <f>IF(Demand!BE108="Yes","Yes","")</f>
        <v/>
      </c>
      <c r="AP99" s="37" t="str">
        <f ca="1">Demand!B108</f>
        <v xml:space="preserve"> </v>
      </c>
      <c r="AQ99" t="str">
        <f ca="1">IF(TEXT(Demand!D108,"MMM")&lt;&gt;TEXT(Demand!D107,"MMM"),TEXT(Demand!D108,"MMM"),"")</f>
        <v/>
      </c>
      <c r="AT99" s="5">
        <f t="shared" ca="1" si="37"/>
        <v>110</v>
      </c>
      <c r="BQ99">
        <f ca="1">IF($AN99="",OFFSET(Demand!$A$13,ROW(A96)-1,4+((QUOTIENT(COLUMN(BQ$2)-69,3))*5)+MOD(COLUMN(BQ$2),3),1,1),"")</f>
        <v>0</v>
      </c>
      <c r="BR99">
        <f ca="1">IF($AN99="",OFFSET(Demand!$A$13,ROW(B96)-1,4+((QUOTIENT(COLUMN(BR$2)-69,3))*5)+MOD(COLUMN(BR$2),3),1,1),"")</f>
        <v>0</v>
      </c>
      <c r="BS99">
        <f ca="1">IF($AN99="",OFFSET(Demand!$A$13,ROW(C96)-1,4+((QUOTIENT(COLUMN(BS$2)-69,3))*5)+MOD(COLUMN(BS$2),3),1,1),"")</f>
        <v>5</v>
      </c>
      <c r="BT99">
        <f ca="1">IF($AN99="",OFFSET(Demand!$A$13,ROW(D96)-1,4+((QUOTIENT(COLUMN(BT$2)-69,3))*5)+MOD(COLUMN(BT$2),3),1,1),"")</f>
        <v>0</v>
      </c>
      <c r="BU99">
        <f ca="1">IF($AN99="",OFFSET(Demand!$A$13,ROW(E96)-1,4+((QUOTIENT(COLUMN(BU$2)-69,3))*5)+MOD(COLUMN(BU$2),3),1,1),"")</f>
        <v>1</v>
      </c>
      <c r="BV99">
        <f ca="1">IF($AN99="",OFFSET(Demand!$A$13,ROW(F96)-1,4+((QUOTIENT(COLUMN(BV$2)-69,3))*5)+MOD(COLUMN(BV$2),3),1,1),"")</f>
        <v>11</v>
      </c>
      <c r="BW99">
        <f ca="1">IF($AN99="",OFFSET(Demand!$A$13,ROW(G96)-1,4+((QUOTIENT(COLUMN(BW$2)-69,3))*5)+MOD(COLUMN(BW$2),3),1,1),"")</f>
        <v>0</v>
      </c>
      <c r="BX99">
        <f ca="1">IF($AN99="",OFFSET(Demand!$A$13,ROW(H96)-1,4+((QUOTIENT(COLUMN(BX$2)-69,3))*5)+MOD(COLUMN(BX$2),3),1,1),"")</f>
        <v>0</v>
      </c>
      <c r="BY99">
        <f ca="1">IF($AN99="",OFFSET(Demand!$A$13,ROW(I96)-1,4+((QUOTIENT(COLUMN(BY$2)-69,3))*5)+MOD(COLUMN(BY$2),3),1,1),"")</f>
        <v>0</v>
      </c>
      <c r="BZ99">
        <f ca="1">IF($AN99="",OFFSET(Demand!$A$13,ROW(J96)-1,4+((QUOTIENT(COLUMN(BZ$2)-69,3))*5)+MOD(COLUMN(BZ$2),3),1,1),"")</f>
        <v>0</v>
      </c>
      <c r="CA99">
        <f ca="1">IF($AN99="",OFFSET(Demand!$A$13,ROW(K96)-1,4+((QUOTIENT(COLUMN(CA$2)-69,3))*5)+MOD(COLUMN(CA$2),3),1,1),"")</f>
        <v>0</v>
      </c>
      <c r="CB99">
        <f ca="1">IF($AN99="",OFFSET(Demand!$A$13,ROW(L96)-1,4+((QUOTIENT(COLUMN(CB$2)-69,3))*5)+MOD(COLUMN(CB$2),3),1,1),"")</f>
        <v>0</v>
      </c>
      <c r="CC99">
        <f ca="1">IF($AN99="",OFFSET(Demand!$A$13,ROW(M96)-1,4+((QUOTIENT(COLUMN(CC$2)-69,3))*5)+MOD(COLUMN(CC$2),3),1,1),"")</f>
        <v>0</v>
      </c>
      <c r="CD99">
        <f ca="1">IF($AN99="",OFFSET(Demand!$A$13,ROW(N96)-1,4+((QUOTIENT(COLUMN(CD$2)-69,3))*5)+MOD(COLUMN(CD$2),3),1,1),"")</f>
        <v>0</v>
      </c>
      <c r="CE99">
        <f ca="1">IF($AN99="",OFFSET(Demand!$A$13,ROW(O96)-1,4+((QUOTIENT(COLUMN(CE$2)-69,3))*5)+MOD(COLUMN(CE$2),3),1,1),"")</f>
        <v>0</v>
      </c>
      <c r="CF99">
        <f ca="1">IF($AN99="",OFFSET(Demand!$A$13,ROW(P96)-1,4+((QUOTIENT(COLUMN(CF$2)-69,3))*5)+MOD(COLUMN(CF$2),3),1,1),"")</f>
        <v>0</v>
      </c>
      <c r="CG99">
        <f ca="1">IF($AN99="",OFFSET(Demand!$A$13,ROW(Q96)-1,4+((QUOTIENT(COLUMN(CG$2)-69,3))*5)+MOD(COLUMN(CG$2),3),1,1),"")</f>
        <v>0</v>
      </c>
      <c r="CH99">
        <f ca="1">IF($AN99="",OFFSET(Demand!$A$13,ROW(R96)-1,4+((QUOTIENT(COLUMN(CH$2)-69,3))*5)+MOD(COLUMN(CH$2),3),1,1),"")</f>
        <v>0</v>
      </c>
      <c r="CI99">
        <f ca="1">IF($AN99="",OFFSET(Demand!$A$13,ROW(S96)-1,4+((QUOTIENT(COLUMN(CI$2)-69,3))*5)+MOD(COLUMN(CI$2),3),1,1),"")</f>
        <v>0</v>
      </c>
      <c r="CJ99">
        <f ca="1">IF($AN99="",OFFSET(Demand!$A$13,ROW(T96)-1,4+((QUOTIENT(COLUMN(CJ$2)-69,3))*5)+MOD(COLUMN(CJ$2),3),1,1),"")</f>
        <v>0</v>
      </c>
      <c r="CK99">
        <f ca="1">IF($AN99="",OFFSET(Demand!$A$13,ROW(U96)-1,4+((QUOTIENT(COLUMN(CK$2)-69,3))*5)+MOD(COLUMN(CK$2),3),1,1),"")</f>
        <v>0</v>
      </c>
      <c r="CL99">
        <f ca="1">IF($AN99="",OFFSET(Demand!$A$13,ROW(V96)-1,4+((QUOTIENT(COLUMN(CL$2)-69,3))*5)+MOD(COLUMN(CL$2),3),1,1),"")</f>
        <v>0</v>
      </c>
      <c r="CM99">
        <f ca="1">IF($AN99="",OFFSET(Demand!$A$13,ROW(W96)-1,4+((QUOTIENT(COLUMN(CM$2)-69,3))*5)+MOD(COLUMN(CM$2),3),1,1),"")</f>
        <v>0</v>
      </c>
      <c r="CN99">
        <f ca="1">IF($AN99="",OFFSET(Demand!$A$13,ROW(X96)-1,4+((QUOTIENT(COLUMN(CN$2)-69,3))*5)+MOD(COLUMN(CN$2),3),1,1),"")</f>
        <v>0</v>
      </c>
      <c r="CO99">
        <f ca="1">IF($AN99="",OFFSET(Demand!$A$13,ROW(Y96)-1,4+((QUOTIENT(COLUMN(CO$2)-69,3))*5)+MOD(COLUMN(CO$2),3),1,1),"")</f>
        <v>0</v>
      </c>
      <c r="CP99">
        <f ca="1">IF($AN99="",OFFSET(Demand!$A$13,ROW(Z96)-1,4+((QUOTIENT(COLUMN(CP$2)-69,3))*5)+MOD(COLUMN(CP$2),3),1,1),"")</f>
        <v>0</v>
      </c>
      <c r="CQ99">
        <f ca="1">IF($AN99="",OFFSET(Demand!$A$13,ROW(AA96)-1,4+((QUOTIENT(COLUMN(CQ$2)-69,3))*5)+MOD(COLUMN(CQ$2),3),1,1),"")</f>
        <v>0</v>
      </c>
      <c r="CR99">
        <f ca="1">IF($AN99="",OFFSET(Demand!$A$13,ROW(AB96)-1,4+((QUOTIENT(COLUMN(CR$2)-69,3))*5)+MOD(COLUMN(CR$2),3),1,1),"")</f>
        <v>0</v>
      </c>
      <c r="CS99">
        <f ca="1">IF($AN99="",OFFSET(Demand!$A$13,ROW(AC96)-1,4+((QUOTIENT(COLUMN(CS$2)-69,3))*5)+MOD(COLUMN(CS$2),3),1,1),"")</f>
        <v>0</v>
      </c>
      <c r="CT99">
        <f ca="1">IF($AN99="",OFFSET(Demand!$A$13,ROW(AD96)-1,4+((QUOTIENT(COLUMN(CT$2)-69,3))*5)+MOD(COLUMN(CT$2),3),1,1),"")</f>
        <v>0</v>
      </c>
      <c r="CW99" s="5">
        <f ca="1">SUM(OFFSET(Demand!$H$43,ROW(A96)-1,(COLUMN(A96)-1)*5,1,1))*N$2</f>
        <v>0</v>
      </c>
      <c r="CX99" s="5">
        <f ca="1">SUM(OFFSET(Demand!$H$43,ROW(B96)-1,(COLUMN(B96)-1)*5,1,1))*O$2</f>
        <v>0</v>
      </c>
      <c r="CY99" s="5">
        <f ca="1">SUM(OFFSET(Demand!$H$43,ROW(C96)-1,(COLUMN(C96)-1)*5,1,1))*P$2</f>
        <v>0</v>
      </c>
      <c r="CZ99" s="5">
        <f ca="1">SUM(OFFSET(Demand!$H$43,ROW(D96)-1,(COLUMN(D96)-1)*5,1,1))*Q$2</f>
        <v>0</v>
      </c>
      <c r="DA99" s="5">
        <f ca="1">SUM(OFFSET(Demand!$H$43,ROW(E96)-1,(COLUMN(E96)-1)*5,1,1))*R$2</f>
        <v>0</v>
      </c>
      <c r="DB99" s="5">
        <f ca="1">SUM(OFFSET(Demand!$H$43,ROW(F96)-1,(COLUMN(F96)-1)*5,1,1))*S$2</f>
        <v>0</v>
      </c>
      <c r="DC99" s="5">
        <f ca="1">SUM(OFFSET(Demand!$H$43,ROW(G96)-1,(COLUMN(G96)-1)*5,1,1))*T$2</f>
        <v>0</v>
      </c>
      <c r="DD99" s="5">
        <f ca="1">SUM(OFFSET(Demand!$H$43,ROW(H96)-1,(COLUMN(H96)-1)*5,1,1))*U$2</f>
        <v>0</v>
      </c>
      <c r="DE99" s="5">
        <f ca="1">SUM(OFFSET(Demand!$H$43,ROW(I96)-1,(COLUMN(I96)-1)*5,1,1))*V$2</f>
        <v>0</v>
      </c>
      <c r="DF99" s="5">
        <f ca="1">SUM(OFFSET(Demand!$H$43,ROW(J96)-1,(COLUMN(J96)-1)*5,1,1))*W$2</f>
        <v>0</v>
      </c>
      <c r="DG99" s="5">
        <f t="shared" ca="1" si="36"/>
        <v>0</v>
      </c>
    </row>
    <row r="100" spans="1:111" x14ac:dyDescent="0.2">
      <c r="A100" s="5">
        <f t="shared" ca="1" si="30"/>
        <v>0</v>
      </c>
      <c r="B100" s="5">
        <f ca="1">COUNTBLANK(OFFSET(Demand!$I109,0,(COLUMN(A97)-1)*5,1,1))</f>
        <v>0</v>
      </c>
      <c r="C100" s="5">
        <f ca="1">COUNTBLANK(OFFSET(Demand!$I109,0,(COLUMN(B97)-1)*5,1,1))</f>
        <v>0</v>
      </c>
      <c r="D100" s="5">
        <f ca="1">COUNTBLANK(OFFSET(Demand!$I109,0,(COLUMN(C97)-1)*5,1,1))</f>
        <v>1</v>
      </c>
      <c r="E100" s="5">
        <f ca="1">COUNTBLANK(OFFSET(Demand!$I109,0,(COLUMN(D97)-1)*5,1,1))</f>
        <v>1</v>
      </c>
      <c r="F100" s="5">
        <f ca="1">COUNTBLANK(OFFSET(Demand!$I109,0,(COLUMN(E97)-1)*5,1,1))</f>
        <v>1</v>
      </c>
      <c r="G100" s="5">
        <f ca="1">COUNTBLANK(OFFSET(Demand!$I109,0,(COLUMN(F97)-1)*5,1,1))</f>
        <v>1</v>
      </c>
      <c r="H100" s="5">
        <f ca="1">COUNTBLANK(OFFSET(Demand!$I109,0,(COLUMN(G97)-1)*5,1,1))</f>
        <v>1</v>
      </c>
      <c r="I100" s="5">
        <f ca="1">COUNTBLANK(OFFSET(Demand!$I109,0,(COLUMN(H97)-1)*5,1,1))</f>
        <v>1</v>
      </c>
      <c r="J100" s="5">
        <f ca="1">COUNTBLANK(OFFSET(Demand!$I109,0,(COLUMN(I97)-1)*5,1,1))</f>
        <v>1</v>
      </c>
      <c r="K100" s="5">
        <f ca="1">COUNTBLANK(OFFSET(Demand!$I109,0,(COLUMN(J97)-1)*5,1,1))</f>
        <v>1</v>
      </c>
      <c r="N100" s="5">
        <f ca="1">SUM(OFFSET(Demand!$E109,0,(COLUMN(A97)-1)*5,1,3))*N$2</f>
        <v>150</v>
      </c>
      <c r="O100" s="5">
        <f ca="1">SUM(OFFSET(Demand!$E109,0,(COLUMN(B97)-1)*5,1,3))*O$2</f>
        <v>400</v>
      </c>
      <c r="P100" s="5">
        <f ca="1">SUM(OFFSET(Demand!$E109,0,(COLUMN(C97)-1)*5,1,3))*P$2</f>
        <v>0</v>
      </c>
      <c r="Q100" s="5">
        <f ca="1">SUM(OFFSET(Demand!$E109,0,(COLUMN(D97)-1)*5,1,3))*Q$2</f>
        <v>0</v>
      </c>
      <c r="R100" s="5">
        <f ca="1">SUM(OFFSET(Demand!$E109,0,(COLUMN(E97)-1)*5,1,3))*R$2</f>
        <v>0</v>
      </c>
      <c r="S100" s="5">
        <f ca="1">SUM(OFFSET(Demand!$E109,0,(COLUMN(F97)-1)*5,1,3))*S$2</f>
        <v>0</v>
      </c>
      <c r="T100" s="5">
        <f ca="1">SUM(OFFSET(Demand!$E109,0,(COLUMN(G97)-1)*5,1,3))*T$2</f>
        <v>0</v>
      </c>
      <c r="U100" s="5">
        <f ca="1">SUM(OFFSET(Demand!$E109,0,(COLUMN(H97)-1)*5,1,3))*U$2</f>
        <v>0</v>
      </c>
      <c r="V100" s="5">
        <f ca="1">SUM(OFFSET(Demand!$E109,0,(COLUMN(I97)-1)*5,1,3))*V$2</f>
        <v>0</v>
      </c>
      <c r="W100" s="5">
        <f ca="1">SUM(OFFSET(Demand!$E109,0,(COLUMN(J97)-1)*5,1,3))*W$2</f>
        <v>0</v>
      </c>
      <c r="X100" s="5">
        <f t="shared" ca="1" si="31"/>
        <v>550</v>
      </c>
      <c r="Y100">
        <f t="shared" ca="1" si="32"/>
        <v>550</v>
      </c>
      <c r="Z100" s="5">
        <f ca="1">SUM(OFFSET(Demand!$H109,0,(COLUMN(A97)-1)*5,1,1))*N$2</f>
        <v>0</v>
      </c>
      <c r="AA100" s="5">
        <f ca="1">SUM(OFFSET(Demand!$H109,0,(COLUMN(B97)-1)*5,1,1))*O$2</f>
        <v>0</v>
      </c>
      <c r="AB100" s="5">
        <f ca="1">SUM(OFFSET(Demand!$H109,0,(COLUMN(C97)-1)*5,1,1))*P$2</f>
        <v>0</v>
      </c>
      <c r="AC100" s="5">
        <f ca="1">SUM(OFFSET(Demand!$H109,0,(COLUMN(D97)-1)*5,1,1))*Q$2</f>
        <v>0</v>
      </c>
      <c r="AD100" s="5">
        <f ca="1">SUM(OFFSET(Demand!$H109,0,(COLUMN(E97)-1)*5,1,1))*R$2</f>
        <v>0</v>
      </c>
      <c r="AE100" s="5">
        <f ca="1">SUM(OFFSET(Demand!$H109,0,(COLUMN(F97)-1)*5,1,1))*S$2</f>
        <v>0</v>
      </c>
      <c r="AF100" s="5">
        <f ca="1">SUM(OFFSET(Demand!$H109,0,(COLUMN(G97)-1)*5,1,1))*T$2</f>
        <v>0</v>
      </c>
      <c r="AG100" s="5">
        <f ca="1">SUM(OFFSET(Demand!$H109,0,(COLUMN(H97)-1)*5,1,1))*U$2</f>
        <v>0</v>
      </c>
      <c r="AH100" s="5">
        <f ca="1">SUM(OFFSET(Demand!$H109,0,(COLUMN(I97)-1)*5,1,1))*V$2</f>
        <v>0</v>
      </c>
      <c r="AI100" s="5">
        <f ca="1">SUM(OFFSET(Demand!$H109,0,(COLUMN(J97)-1)*5,1,1))*W$2</f>
        <v>0</v>
      </c>
      <c r="AJ100" s="5">
        <f t="shared" ca="1" si="33"/>
        <v>0</v>
      </c>
      <c r="AL100" s="5">
        <f t="shared" ca="1" si="34"/>
        <v>550</v>
      </c>
      <c r="AM100" s="5">
        <f t="shared" ca="1" si="35"/>
        <v>0</v>
      </c>
      <c r="AN100" s="5" t="str">
        <f>IF(Demand!BE109="Yes","Yes","")</f>
        <v/>
      </c>
      <c r="AP100" s="37" t="str">
        <f ca="1">Demand!B109</f>
        <v xml:space="preserve"> </v>
      </c>
      <c r="AQ100" t="str">
        <f ca="1">IF(TEXT(Demand!D109,"MMM")&lt;&gt;TEXT(Demand!D108,"MMM"),TEXT(Demand!D109,"MMM"),"")</f>
        <v>Feb</v>
      </c>
      <c r="AT100" s="5">
        <f t="shared" ca="1" si="37"/>
        <v>80</v>
      </c>
      <c r="BQ100">
        <f ca="1">IF($AN100="",OFFSET(Demand!$A$13,ROW(A97)-1,4+((QUOTIENT(COLUMN(BQ$2)-69,3))*5)+MOD(COLUMN(BQ$2),3),1,1),"")</f>
        <v>0</v>
      </c>
      <c r="BR100">
        <f ca="1">IF($AN100="",OFFSET(Demand!$A$13,ROW(B97)-1,4+((QUOTIENT(COLUMN(BR$2)-69,3))*5)+MOD(COLUMN(BR$2),3),1,1),"")</f>
        <v>2</v>
      </c>
      <c r="BS100">
        <f ca="1">IF($AN100="",OFFSET(Demand!$A$13,ROW(C97)-1,4+((QUOTIENT(COLUMN(BS$2)-69,3))*5)+MOD(COLUMN(BS$2),3),1,1),"")</f>
        <v>3</v>
      </c>
      <c r="BT100">
        <f ca="1">IF($AN100="",OFFSET(Demand!$A$13,ROW(D97)-1,4+((QUOTIENT(COLUMN(BT$2)-69,3))*5)+MOD(COLUMN(BT$2),3),1,1),"")</f>
        <v>0</v>
      </c>
      <c r="BU100">
        <f ca="1">IF($AN100="",OFFSET(Demand!$A$13,ROW(E97)-1,4+((QUOTIENT(COLUMN(BU$2)-69,3))*5)+MOD(COLUMN(BU$2),3),1,1),"")</f>
        <v>1</v>
      </c>
      <c r="BV100">
        <f ca="1">IF($AN100="",OFFSET(Demand!$A$13,ROW(F97)-1,4+((QUOTIENT(COLUMN(BV$2)-69,3))*5)+MOD(COLUMN(BV$2),3),1,1),"")</f>
        <v>9</v>
      </c>
      <c r="BW100">
        <f ca="1">IF($AN100="",OFFSET(Demand!$A$13,ROW(G97)-1,4+((QUOTIENT(COLUMN(BW$2)-69,3))*5)+MOD(COLUMN(BW$2),3),1,1),"")</f>
        <v>0</v>
      </c>
      <c r="BX100">
        <f ca="1">IF($AN100="",OFFSET(Demand!$A$13,ROW(H97)-1,4+((QUOTIENT(COLUMN(BX$2)-69,3))*5)+MOD(COLUMN(BX$2),3),1,1),"")</f>
        <v>0</v>
      </c>
      <c r="BY100">
        <f ca="1">IF($AN100="",OFFSET(Demand!$A$13,ROW(I97)-1,4+((QUOTIENT(COLUMN(BY$2)-69,3))*5)+MOD(COLUMN(BY$2),3),1,1),"")</f>
        <v>0</v>
      </c>
      <c r="BZ100">
        <f ca="1">IF($AN100="",OFFSET(Demand!$A$13,ROW(J97)-1,4+((QUOTIENT(COLUMN(BZ$2)-69,3))*5)+MOD(COLUMN(BZ$2),3),1,1),"")</f>
        <v>0</v>
      </c>
      <c r="CA100">
        <f ca="1">IF($AN100="",OFFSET(Demand!$A$13,ROW(K97)-1,4+((QUOTIENT(COLUMN(CA$2)-69,3))*5)+MOD(COLUMN(CA$2),3),1,1),"")</f>
        <v>0</v>
      </c>
      <c r="CB100">
        <f ca="1">IF($AN100="",OFFSET(Demand!$A$13,ROW(L97)-1,4+((QUOTIENT(COLUMN(CB$2)-69,3))*5)+MOD(COLUMN(CB$2),3),1,1),"")</f>
        <v>0</v>
      </c>
      <c r="CC100">
        <f ca="1">IF($AN100="",OFFSET(Demand!$A$13,ROW(M97)-1,4+((QUOTIENT(COLUMN(CC$2)-69,3))*5)+MOD(COLUMN(CC$2),3),1,1),"")</f>
        <v>0</v>
      </c>
      <c r="CD100">
        <f ca="1">IF($AN100="",OFFSET(Demand!$A$13,ROW(N97)-1,4+((QUOTIENT(COLUMN(CD$2)-69,3))*5)+MOD(COLUMN(CD$2),3),1,1),"")</f>
        <v>0</v>
      </c>
      <c r="CE100">
        <f ca="1">IF($AN100="",OFFSET(Demand!$A$13,ROW(O97)-1,4+((QUOTIENT(COLUMN(CE$2)-69,3))*5)+MOD(COLUMN(CE$2),3),1,1),"")</f>
        <v>0</v>
      </c>
      <c r="CF100">
        <f ca="1">IF($AN100="",OFFSET(Demand!$A$13,ROW(P97)-1,4+((QUOTIENT(COLUMN(CF$2)-69,3))*5)+MOD(COLUMN(CF$2),3),1,1),"")</f>
        <v>0</v>
      </c>
      <c r="CG100">
        <f ca="1">IF($AN100="",OFFSET(Demand!$A$13,ROW(Q97)-1,4+((QUOTIENT(COLUMN(CG$2)-69,3))*5)+MOD(COLUMN(CG$2),3),1,1),"")</f>
        <v>0</v>
      </c>
      <c r="CH100">
        <f ca="1">IF($AN100="",OFFSET(Demand!$A$13,ROW(R97)-1,4+((QUOTIENT(COLUMN(CH$2)-69,3))*5)+MOD(COLUMN(CH$2),3),1,1),"")</f>
        <v>0</v>
      </c>
      <c r="CI100">
        <f ca="1">IF($AN100="",OFFSET(Demand!$A$13,ROW(S97)-1,4+((QUOTIENT(COLUMN(CI$2)-69,3))*5)+MOD(COLUMN(CI$2),3),1,1),"")</f>
        <v>0</v>
      </c>
      <c r="CJ100">
        <f ca="1">IF($AN100="",OFFSET(Demand!$A$13,ROW(T97)-1,4+((QUOTIENT(COLUMN(CJ$2)-69,3))*5)+MOD(COLUMN(CJ$2),3),1,1),"")</f>
        <v>0</v>
      </c>
      <c r="CK100">
        <f ca="1">IF($AN100="",OFFSET(Demand!$A$13,ROW(U97)-1,4+((QUOTIENT(COLUMN(CK$2)-69,3))*5)+MOD(COLUMN(CK$2),3),1,1),"")</f>
        <v>0</v>
      </c>
      <c r="CL100">
        <f ca="1">IF($AN100="",OFFSET(Demand!$A$13,ROW(V97)-1,4+((QUOTIENT(COLUMN(CL$2)-69,3))*5)+MOD(COLUMN(CL$2),3),1,1),"")</f>
        <v>0</v>
      </c>
      <c r="CM100">
        <f ca="1">IF($AN100="",OFFSET(Demand!$A$13,ROW(W97)-1,4+((QUOTIENT(COLUMN(CM$2)-69,3))*5)+MOD(COLUMN(CM$2),3),1,1),"")</f>
        <v>0</v>
      </c>
      <c r="CN100">
        <f ca="1">IF($AN100="",OFFSET(Demand!$A$13,ROW(X97)-1,4+((QUOTIENT(COLUMN(CN$2)-69,3))*5)+MOD(COLUMN(CN$2),3),1,1),"")</f>
        <v>0</v>
      </c>
      <c r="CO100">
        <f ca="1">IF($AN100="",OFFSET(Demand!$A$13,ROW(Y97)-1,4+((QUOTIENT(COLUMN(CO$2)-69,3))*5)+MOD(COLUMN(CO$2),3),1,1),"")</f>
        <v>0</v>
      </c>
      <c r="CP100">
        <f ca="1">IF($AN100="",OFFSET(Demand!$A$13,ROW(Z97)-1,4+((QUOTIENT(COLUMN(CP$2)-69,3))*5)+MOD(COLUMN(CP$2),3),1,1),"")</f>
        <v>0</v>
      </c>
      <c r="CQ100">
        <f ca="1">IF($AN100="",OFFSET(Demand!$A$13,ROW(AA97)-1,4+((QUOTIENT(COLUMN(CQ$2)-69,3))*5)+MOD(COLUMN(CQ$2),3),1,1),"")</f>
        <v>0</v>
      </c>
      <c r="CR100">
        <f ca="1">IF($AN100="",OFFSET(Demand!$A$13,ROW(AB97)-1,4+((QUOTIENT(COLUMN(CR$2)-69,3))*5)+MOD(COLUMN(CR$2),3),1,1),"")</f>
        <v>0</v>
      </c>
      <c r="CS100">
        <f ca="1">IF($AN100="",OFFSET(Demand!$A$13,ROW(AC97)-1,4+((QUOTIENT(COLUMN(CS$2)-69,3))*5)+MOD(COLUMN(CS$2),3),1,1),"")</f>
        <v>0</v>
      </c>
      <c r="CT100">
        <f ca="1">IF($AN100="",OFFSET(Demand!$A$13,ROW(AD97)-1,4+((QUOTIENT(COLUMN(CT$2)-69,3))*5)+MOD(COLUMN(CT$2),3),1,1),"")</f>
        <v>0</v>
      </c>
      <c r="CW100" s="5">
        <f ca="1">SUM(OFFSET(Demand!$H$43,ROW(A97)-1,(COLUMN(A97)-1)*5,1,1))*N$2</f>
        <v>0</v>
      </c>
      <c r="CX100" s="5">
        <f ca="1">SUM(OFFSET(Demand!$H$43,ROW(B97)-1,(COLUMN(B97)-1)*5,1,1))*O$2</f>
        <v>0</v>
      </c>
      <c r="CY100" s="5">
        <f ca="1">SUM(OFFSET(Demand!$H$43,ROW(C97)-1,(COLUMN(C97)-1)*5,1,1))*P$2</f>
        <v>0</v>
      </c>
      <c r="CZ100" s="5">
        <f ca="1">SUM(OFFSET(Demand!$H$43,ROW(D97)-1,(COLUMN(D97)-1)*5,1,1))*Q$2</f>
        <v>0</v>
      </c>
      <c r="DA100" s="5">
        <f ca="1">SUM(OFFSET(Demand!$H$43,ROW(E97)-1,(COLUMN(E97)-1)*5,1,1))*R$2</f>
        <v>0</v>
      </c>
      <c r="DB100" s="5">
        <f ca="1">SUM(OFFSET(Demand!$H$43,ROW(F97)-1,(COLUMN(F97)-1)*5,1,1))*S$2</f>
        <v>0</v>
      </c>
      <c r="DC100" s="5">
        <f ca="1">SUM(OFFSET(Demand!$H$43,ROW(G97)-1,(COLUMN(G97)-1)*5,1,1))*T$2</f>
        <v>0</v>
      </c>
      <c r="DD100" s="5">
        <f ca="1">SUM(OFFSET(Demand!$H$43,ROW(H97)-1,(COLUMN(H97)-1)*5,1,1))*U$2</f>
        <v>0</v>
      </c>
      <c r="DE100" s="5">
        <f ca="1">SUM(OFFSET(Demand!$H$43,ROW(I97)-1,(COLUMN(I97)-1)*5,1,1))*V$2</f>
        <v>0</v>
      </c>
      <c r="DF100" s="5">
        <f ca="1">SUM(OFFSET(Demand!$H$43,ROW(J97)-1,(COLUMN(J97)-1)*5,1,1))*W$2</f>
        <v>0</v>
      </c>
      <c r="DG100" s="5">
        <f t="shared" ca="1" si="36"/>
        <v>0</v>
      </c>
    </row>
    <row r="101" spans="1:111" x14ac:dyDescent="0.2">
      <c r="A101" s="5">
        <f t="shared" ca="1" si="30"/>
        <v>0</v>
      </c>
      <c r="B101" s="5">
        <f ca="1">COUNTBLANK(OFFSET(Demand!$I110,0,(COLUMN(A98)-1)*5,1,1))</f>
        <v>0</v>
      </c>
      <c r="C101" s="5">
        <f ca="1">COUNTBLANK(OFFSET(Demand!$I110,0,(COLUMN(B98)-1)*5,1,1))</f>
        <v>0</v>
      </c>
      <c r="D101" s="5">
        <f ca="1">COUNTBLANK(OFFSET(Demand!$I110,0,(COLUMN(C98)-1)*5,1,1))</f>
        <v>1</v>
      </c>
      <c r="E101" s="5">
        <f ca="1">COUNTBLANK(OFFSET(Demand!$I110,0,(COLUMN(D98)-1)*5,1,1))</f>
        <v>1</v>
      </c>
      <c r="F101" s="5">
        <f ca="1">COUNTBLANK(OFFSET(Demand!$I110,0,(COLUMN(E98)-1)*5,1,1))</f>
        <v>1</v>
      </c>
      <c r="G101" s="5">
        <f ca="1">COUNTBLANK(OFFSET(Demand!$I110,0,(COLUMN(F98)-1)*5,1,1))</f>
        <v>1</v>
      </c>
      <c r="H101" s="5">
        <f ca="1">COUNTBLANK(OFFSET(Demand!$I110,0,(COLUMN(G98)-1)*5,1,1))</f>
        <v>1</v>
      </c>
      <c r="I101" s="5">
        <f ca="1">COUNTBLANK(OFFSET(Demand!$I110,0,(COLUMN(H98)-1)*5,1,1))</f>
        <v>1</v>
      </c>
      <c r="J101" s="5">
        <f ca="1">COUNTBLANK(OFFSET(Demand!$I110,0,(COLUMN(I98)-1)*5,1,1))</f>
        <v>1</v>
      </c>
      <c r="K101" s="5">
        <f ca="1">COUNTBLANK(OFFSET(Demand!$I110,0,(COLUMN(J98)-1)*5,1,1))</f>
        <v>1</v>
      </c>
      <c r="N101" s="5">
        <f ca="1">SUM(OFFSET(Demand!$E110,0,(COLUMN(A98)-1)*5,1,3))*N$2</f>
        <v>150</v>
      </c>
      <c r="O101" s="5">
        <f ca="1">SUM(OFFSET(Demand!$E110,0,(COLUMN(B98)-1)*5,1,3))*O$2</f>
        <v>200</v>
      </c>
      <c r="P101" s="5">
        <f ca="1">SUM(OFFSET(Demand!$E110,0,(COLUMN(C98)-1)*5,1,3))*P$2</f>
        <v>0</v>
      </c>
      <c r="Q101" s="5">
        <f ca="1">SUM(OFFSET(Demand!$E110,0,(COLUMN(D98)-1)*5,1,3))*Q$2</f>
        <v>0</v>
      </c>
      <c r="R101" s="5">
        <f ca="1">SUM(OFFSET(Demand!$E110,0,(COLUMN(E98)-1)*5,1,3))*R$2</f>
        <v>0</v>
      </c>
      <c r="S101" s="5">
        <f ca="1">SUM(OFFSET(Demand!$E110,0,(COLUMN(F98)-1)*5,1,3))*S$2</f>
        <v>0</v>
      </c>
      <c r="T101" s="5">
        <f ca="1">SUM(OFFSET(Demand!$E110,0,(COLUMN(G98)-1)*5,1,3))*T$2</f>
        <v>0</v>
      </c>
      <c r="U101" s="5">
        <f ca="1">SUM(OFFSET(Demand!$E110,0,(COLUMN(H98)-1)*5,1,3))*U$2</f>
        <v>0</v>
      </c>
      <c r="V101" s="5">
        <f ca="1">SUM(OFFSET(Demand!$E110,0,(COLUMN(I98)-1)*5,1,3))*V$2</f>
        <v>0</v>
      </c>
      <c r="W101" s="5">
        <f ca="1">SUM(OFFSET(Demand!$E110,0,(COLUMN(J98)-1)*5,1,3))*W$2</f>
        <v>0</v>
      </c>
      <c r="X101" s="5">
        <f t="shared" ca="1" si="31"/>
        <v>350</v>
      </c>
      <c r="Y101">
        <f t="shared" ca="1" si="32"/>
        <v>350</v>
      </c>
      <c r="Z101" s="5">
        <f ca="1">SUM(OFFSET(Demand!$H110,0,(COLUMN(A98)-1)*5,1,1))*N$2</f>
        <v>0</v>
      </c>
      <c r="AA101" s="5">
        <f ca="1">SUM(OFFSET(Demand!$H110,0,(COLUMN(B98)-1)*5,1,1))*O$2</f>
        <v>0</v>
      </c>
      <c r="AB101" s="5">
        <f ca="1">SUM(OFFSET(Demand!$H110,0,(COLUMN(C98)-1)*5,1,1))*P$2</f>
        <v>0</v>
      </c>
      <c r="AC101" s="5">
        <f ca="1">SUM(OFFSET(Demand!$H110,0,(COLUMN(D98)-1)*5,1,1))*Q$2</f>
        <v>0</v>
      </c>
      <c r="AD101" s="5">
        <f ca="1">SUM(OFFSET(Demand!$H110,0,(COLUMN(E98)-1)*5,1,1))*R$2</f>
        <v>0</v>
      </c>
      <c r="AE101" s="5">
        <f ca="1">SUM(OFFSET(Demand!$H110,0,(COLUMN(F98)-1)*5,1,1))*S$2</f>
        <v>0</v>
      </c>
      <c r="AF101" s="5">
        <f ca="1">SUM(OFFSET(Demand!$H110,0,(COLUMN(G98)-1)*5,1,1))*T$2</f>
        <v>0</v>
      </c>
      <c r="AG101" s="5">
        <f ca="1">SUM(OFFSET(Demand!$H110,0,(COLUMN(H98)-1)*5,1,1))*U$2</f>
        <v>0</v>
      </c>
      <c r="AH101" s="5">
        <f ca="1">SUM(OFFSET(Demand!$H110,0,(COLUMN(I98)-1)*5,1,1))*V$2</f>
        <v>0</v>
      </c>
      <c r="AI101" s="5">
        <f ca="1">SUM(OFFSET(Demand!$H110,0,(COLUMN(J98)-1)*5,1,1))*W$2</f>
        <v>0</v>
      </c>
      <c r="AJ101" s="5">
        <f t="shared" ca="1" si="33"/>
        <v>0</v>
      </c>
      <c r="AL101" s="5">
        <f t="shared" ca="1" si="34"/>
        <v>350</v>
      </c>
      <c r="AM101" s="5">
        <f t="shared" ca="1" si="35"/>
        <v>0</v>
      </c>
      <c r="AN101" s="5" t="str">
        <f>IF(Demand!BE110="Yes","Yes","")</f>
        <v/>
      </c>
      <c r="AP101" s="37" t="str">
        <f ca="1">Demand!B110</f>
        <v xml:space="preserve"> </v>
      </c>
      <c r="AQ101" t="str">
        <f ca="1">IF(TEXT(Demand!D110,"MMM")&lt;&gt;TEXT(Demand!D109,"MMM"),TEXT(Demand!D110,"MMM"),"")</f>
        <v/>
      </c>
      <c r="AT101" s="5">
        <f t="shared" ca="1" si="37"/>
        <v>200</v>
      </c>
      <c r="BQ101">
        <f ca="1">IF($AN101="",OFFSET(Demand!$A$13,ROW(A98)-1,4+((QUOTIENT(COLUMN(BQ$2)-69,3))*5)+MOD(COLUMN(BQ$2),3),1,1),"")</f>
        <v>0</v>
      </c>
      <c r="BR101">
        <f ca="1">IF($AN101="",OFFSET(Demand!$A$13,ROW(B98)-1,4+((QUOTIENT(COLUMN(BR$2)-69,3))*5)+MOD(COLUMN(BR$2),3),1,1),"")</f>
        <v>1</v>
      </c>
      <c r="BS101">
        <f ca="1">IF($AN101="",OFFSET(Demand!$A$13,ROW(C98)-1,4+((QUOTIENT(COLUMN(BS$2)-69,3))*5)+MOD(COLUMN(BS$2),3),1,1),"")</f>
        <v>4</v>
      </c>
      <c r="BT101">
        <f ca="1">IF($AN101="",OFFSET(Demand!$A$13,ROW(D98)-1,4+((QUOTIENT(COLUMN(BT$2)-69,3))*5)+MOD(COLUMN(BT$2),3),1,1),"")</f>
        <v>0</v>
      </c>
      <c r="BU101">
        <f ca="1">IF($AN101="",OFFSET(Demand!$A$13,ROW(E98)-1,4+((QUOTIENT(COLUMN(BU$2)-69,3))*5)+MOD(COLUMN(BU$2),3),1,1),"")</f>
        <v>1</v>
      </c>
      <c r="BV101">
        <f ca="1">IF($AN101="",OFFSET(Demand!$A$13,ROW(F98)-1,4+((QUOTIENT(COLUMN(BV$2)-69,3))*5)+MOD(COLUMN(BV$2),3),1,1),"")</f>
        <v>4</v>
      </c>
      <c r="BW101">
        <f ca="1">IF($AN101="",OFFSET(Demand!$A$13,ROW(G98)-1,4+((QUOTIENT(COLUMN(BW$2)-69,3))*5)+MOD(COLUMN(BW$2),3),1,1),"")</f>
        <v>0</v>
      </c>
      <c r="BX101">
        <f ca="1">IF($AN101="",OFFSET(Demand!$A$13,ROW(H98)-1,4+((QUOTIENT(COLUMN(BX$2)-69,3))*5)+MOD(COLUMN(BX$2),3),1,1),"")</f>
        <v>0</v>
      </c>
      <c r="BY101">
        <f ca="1">IF($AN101="",OFFSET(Demand!$A$13,ROW(I98)-1,4+((QUOTIENT(COLUMN(BY$2)-69,3))*5)+MOD(COLUMN(BY$2),3),1,1),"")</f>
        <v>0</v>
      </c>
      <c r="BZ101">
        <f ca="1">IF($AN101="",OFFSET(Demand!$A$13,ROW(J98)-1,4+((QUOTIENT(COLUMN(BZ$2)-69,3))*5)+MOD(COLUMN(BZ$2),3),1,1),"")</f>
        <v>0</v>
      </c>
      <c r="CA101">
        <f ca="1">IF($AN101="",OFFSET(Demand!$A$13,ROW(K98)-1,4+((QUOTIENT(COLUMN(CA$2)-69,3))*5)+MOD(COLUMN(CA$2),3),1,1),"")</f>
        <v>0</v>
      </c>
      <c r="CB101">
        <f ca="1">IF($AN101="",OFFSET(Demand!$A$13,ROW(L98)-1,4+((QUOTIENT(COLUMN(CB$2)-69,3))*5)+MOD(COLUMN(CB$2),3),1,1),"")</f>
        <v>0</v>
      </c>
      <c r="CC101">
        <f ca="1">IF($AN101="",OFFSET(Demand!$A$13,ROW(M98)-1,4+((QUOTIENT(COLUMN(CC$2)-69,3))*5)+MOD(COLUMN(CC$2),3),1,1),"")</f>
        <v>0</v>
      </c>
      <c r="CD101">
        <f ca="1">IF($AN101="",OFFSET(Demand!$A$13,ROW(N98)-1,4+((QUOTIENT(COLUMN(CD$2)-69,3))*5)+MOD(COLUMN(CD$2),3),1,1),"")</f>
        <v>0</v>
      </c>
      <c r="CE101">
        <f ca="1">IF($AN101="",OFFSET(Demand!$A$13,ROW(O98)-1,4+((QUOTIENT(COLUMN(CE$2)-69,3))*5)+MOD(COLUMN(CE$2),3),1,1),"")</f>
        <v>0</v>
      </c>
      <c r="CF101">
        <f ca="1">IF($AN101="",OFFSET(Demand!$A$13,ROW(P98)-1,4+((QUOTIENT(COLUMN(CF$2)-69,3))*5)+MOD(COLUMN(CF$2),3),1,1),"")</f>
        <v>0</v>
      </c>
      <c r="CG101">
        <f ca="1">IF($AN101="",OFFSET(Demand!$A$13,ROW(Q98)-1,4+((QUOTIENT(COLUMN(CG$2)-69,3))*5)+MOD(COLUMN(CG$2),3),1,1),"")</f>
        <v>0</v>
      </c>
      <c r="CH101">
        <f ca="1">IF($AN101="",OFFSET(Demand!$A$13,ROW(R98)-1,4+((QUOTIENT(COLUMN(CH$2)-69,3))*5)+MOD(COLUMN(CH$2),3),1,1),"")</f>
        <v>0</v>
      </c>
      <c r="CI101">
        <f ca="1">IF($AN101="",OFFSET(Demand!$A$13,ROW(S98)-1,4+((QUOTIENT(COLUMN(CI$2)-69,3))*5)+MOD(COLUMN(CI$2),3),1,1),"")</f>
        <v>0</v>
      </c>
      <c r="CJ101">
        <f ca="1">IF($AN101="",OFFSET(Demand!$A$13,ROW(T98)-1,4+((QUOTIENT(COLUMN(CJ$2)-69,3))*5)+MOD(COLUMN(CJ$2),3),1,1),"")</f>
        <v>0</v>
      </c>
      <c r="CK101">
        <f ca="1">IF($AN101="",OFFSET(Demand!$A$13,ROW(U98)-1,4+((QUOTIENT(COLUMN(CK$2)-69,3))*5)+MOD(COLUMN(CK$2),3),1,1),"")</f>
        <v>0</v>
      </c>
      <c r="CL101">
        <f ca="1">IF($AN101="",OFFSET(Demand!$A$13,ROW(V98)-1,4+((QUOTIENT(COLUMN(CL$2)-69,3))*5)+MOD(COLUMN(CL$2),3),1,1),"")</f>
        <v>0</v>
      </c>
      <c r="CM101">
        <f ca="1">IF($AN101="",OFFSET(Demand!$A$13,ROW(W98)-1,4+((QUOTIENT(COLUMN(CM$2)-69,3))*5)+MOD(COLUMN(CM$2),3),1,1),"")</f>
        <v>0</v>
      </c>
      <c r="CN101">
        <f ca="1">IF($AN101="",OFFSET(Demand!$A$13,ROW(X98)-1,4+((QUOTIENT(COLUMN(CN$2)-69,3))*5)+MOD(COLUMN(CN$2),3),1,1),"")</f>
        <v>0</v>
      </c>
      <c r="CO101">
        <f ca="1">IF($AN101="",OFFSET(Demand!$A$13,ROW(Y98)-1,4+((QUOTIENT(COLUMN(CO$2)-69,3))*5)+MOD(COLUMN(CO$2),3),1,1),"")</f>
        <v>0</v>
      </c>
      <c r="CP101">
        <f ca="1">IF($AN101="",OFFSET(Demand!$A$13,ROW(Z98)-1,4+((QUOTIENT(COLUMN(CP$2)-69,3))*5)+MOD(COLUMN(CP$2),3),1,1),"")</f>
        <v>0</v>
      </c>
      <c r="CQ101">
        <f ca="1">IF($AN101="",OFFSET(Demand!$A$13,ROW(AA98)-1,4+((QUOTIENT(COLUMN(CQ$2)-69,3))*5)+MOD(COLUMN(CQ$2),3),1,1),"")</f>
        <v>0</v>
      </c>
      <c r="CR101">
        <f ca="1">IF($AN101="",OFFSET(Demand!$A$13,ROW(AB98)-1,4+((QUOTIENT(COLUMN(CR$2)-69,3))*5)+MOD(COLUMN(CR$2),3),1,1),"")</f>
        <v>0</v>
      </c>
      <c r="CS101">
        <f ca="1">IF($AN101="",OFFSET(Demand!$A$13,ROW(AC98)-1,4+((QUOTIENT(COLUMN(CS$2)-69,3))*5)+MOD(COLUMN(CS$2),3),1,1),"")</f>
        <v>0</v>
      </c>
      <c r="CT101">
        <f ca="1">IF($AN101="",OFFSET(Demand!$A$13,ROW(AD98)-1,4+((QUOTIENT(COLUMN(CT$2)-69,3))*5)+MOD(COLUMN(CT$2),3),1,1),"")</f>
        <v>0</v>
      </c>
      <c r="CW101" s="5">
        <f ca="1">SUM(OFFSET(Demand!$H$43,ROW(A98)-1,(COLUMN(A98)-1)*5,1,1))*N$2</f>
        <v>0</v>
      </c>
      <c r="CX101" s="5">
        <f ca="1">SUM(OFFSET(Demand!$H$43,ROW(B98)-1,(COLUMN(B98)-1)*5,1,1))*O$2</f>
        <v>0</v>
      </c>
      <c r="CY101" s="5">
        <f ca="1">SUM(OFFSET(Demand!$H$43,ROW(C98)-1,(COLUMN(C98)-1)*5,1,1))*P$2</f>
        <v>0</v>
      </c>
      <c r="CZ101" s="5">
        <f ca="1">SUM(OFFSET(Demand!$H$43,ROW(D98)-1,(COLUMN(D98)-1)*5,1,1))*Q$2</f>
        <v>0</v>
      </c>
      <c r="DA101" s="5">
        <f ca="1">SUM(OFFSET(Demand!$H$43,ROW(E98)-1,(COLUMN(E98)-1)*5,1,1))*R$2</f>
        <v>0</v>
      </c>
      <c r="DB101" s="5">
        <f ca="1">SUM(OFFSET(Demand!$H$43,ROW(F98)-1,(COLUMN(F98)-1)*5,1,1))*S$2</f>
        <v>0</v>
      </c>
      <c r="DC101" s="5">
        <f ca="1">SUM(OFFSET(Demand!$H$43,ROW(G98)-1,(COLUMN(G98)-1)*5,1,1))*T$2</f>
        <v>0</v>
      </c>
      <c r="DD101" s="5">
        <f ca="1">SUM(OFFSET(Demand!$H$43,ROW(H98)-1,(COLUMN(H98)-1)*5,1,1))*U$2</f>
        <v>0</v>
      </c>
      <c r="DE101" s="5">
        <f ca="1">SUM(OFFSET(Demand!$H$43,ROW(I98)-1,(COLUMN(I98)-1)*5,1,1))*V$2</f>
        <v>0</v>
      </c>
      <c r="DF101" s="5">
        <f ca="1">SUM(OFFSET(Demand!$H$43,ROW(J98)-1,(COLUMN(J98)-1)*5,1,1))*W$2</f>
        <v>0</v>
      </c>
      <c r="DG101" s="5">
        <f t="shared" ca="1" si="36"/>
        <v>0</v>
      </c>
    </row>
    <row r="102" spans="1:111" x14ac:dyDescent="0.2">
      <c r="A102" s="5">
        <f t="shared" ca="1" si="30"/>
        <v>0</v>
      </c>
      <c r="B102" s="5">
        <f ca="1">COUNTBLANK(OFFSET(Demand!$I111,0,(COLUMN(A99)-1)*5,1,1))</f>
        <v>0</v>
      </c>
      <c r="C102" s="5">
        <f ca="1">COUNTBLANK(OFFSET(Demand!$I111,0,(COLUMN(B99)-1)*5,1,1))</f>
        <v>0</v>
      </c>
      <c r="D102" s="5">
        <f ca="1">COUNTBLANK(OFFSET(Demand!$I111,0,(COLUMN(C99)-1)*5,1,1))</f>
        <v>1</v>
      </c>
      <c r="E102" s="5">
        <f ca="1">COUNTBLANK(OFFSET(Demand!$I111,0,(COLUMN(D99)-1)*5,1,1))</f>
        <v>1</v>
      </c>
      <c r="F102" s="5">
        <f ca="1">COUNTBLANK(OFFSET(Demand!$I111,0,(COLUMN(E99)-1)*5,1,1))</f>
        <v>1</v>
      </c>
      <c r="G102" s="5">
        <f ca="1">COUNTBLANK(OFFSET(Demand!$I111,0,(COLUMN(F99)-1)*5,1,1))</f>
        <v>1</v>
      </c>
      <c r="H102" s="5">
        <f ca="1">COUNTBLANK(OFFSET(Demand!$I111,0,(COLUMN(G99)-1)*5,1,1))</f>
        <v>1</v>
      </c>
      <c r="I102" s="5">
        <f ca="1">COUNTBLANK(OFFSET(Demand!$I111,0,(COLUMN(H99)-1)*5,1,1))</f>
        <v>1</v>
      </c>
      <c r="J102" s="5">
        <f ca="1">COUNTBLANK(OFFSET(Demand!$I111,0,(COLUMN(I99)-1)*5,1,1))</f>
        <v>1</v>
      </c>
      <c r="K102" s="5">
        <f ca="1">COUNTBLANK(OFFSET(Demand!$I111,0,(COLUMN(J99)-1)*5,1,1))</f>
        <v>1</v>
      </c>
      <c r="N102" s="5">
        <f ca="1">SUM(OFFSET(Demand!$E111,0,(COLUMN(A99)-1)*5,1,3))*N$2</f>
        <v>90</v>
      </c>
      <c r="O102" s="5">
        <f ca="1">SUM(OFFSET(Demand!$E111,0,(COLUMN(B99)-1)*5,1,3))*O$2</f>
        <v>320</v>
      </c>
      <c r="P102" s="5">
        <f ca="1">SUM(OFFSET(Demand!$E111,0,(COLUMN(C99)-1)*5,1,3))*P$2</f>
        <v>0</v>
      </c>
      <c r="Q102" s="5">
        <f ca="1">SUM(OFFSET(Demand!$E111,0,(COLUMN(D99)-1)*5,1,3))*Q$2</f>
        <v>0</v>
      </c>
      <c r="R102" s="5">
        <f ca="1">SUM(OFFSET(Demand!$E111,0,(COLUMN(E99)-1)*5,1,3))*R$2</f>
        <v>0</v>
      </c>
      <c r="S102" s="5">
        <f ca="1">SUM(OFFSET(Demand!$E111,0,(COLUMN(F99)-1)*5,1,3))*S$2</f>
        <v>0</v>
      </c>
      <c r="T102" s="5">
        <f ca="1">SUM(OFFSET(Demand!$E111,0,(COLUMN(G99)-1)*5,1,3))*T$2</f>
        <v>0</v>
      </c>
      <c r="U102" s="5">
        <f ca="1">SUM(OFFSET(Demand!$E111,0,(COLUMN(H99)-1)*5,1,3))*U$2</f>
        <v>0</v>
      </c>
      <c r="V102" s="5">
        <f ca="1">SUM(OFFSET(Demand!$E111,0,(COLUMN(I99)-1)*5,1,3))*V$2</f>
        <v>0</v>
      </c>
      <c r="W102" s="5">
        <f ca="1">SUM(OFFSET(Demand!$E111,0,(COLUMN(J99)-1)*5,1,3))*W$2</f>
        <v>0</v>
      </c>
      <c r="X102" s="5">
        <f t="shared" ca="1" si="31"/>
        <v>410</v>
      </c>
      <c r="Y102">
        <f t="shared" ca="1" si="32"/>
        <v>410</v>
      </c>
      <c r="Z102" s="5">
        <f ca="1">SUM(OFFSET(Demand!$H111,0,(COLUMN(A99)-1)*5,1,1))*N$2</f>
        <v>0</v>
      </c>
      <c r="AA102" s="5">
        <f ca="1">SUM(OFFSET(Demand!$H111,0,(COLUMN(B99)-1)*5,1,1))*O$2</f>
        <v>0</v>
      </c>
      <c r="AB102" s="5">
        <f ca="1">SUM(OFFSET(Demand!$H111,0,(COLUMN(C99)-1)*5,1,1))*P$2</f>
        <v>0</v>
      </c>
      <c r="AC102" s="5">
        <f ca="1">SUM(OFFSET(Demand!$H111,0,(COLUMN(D99)-1)*5,1,1))*Q$2</f>
        <v>0</v>
      </c>
      <c r="AD102" s="5">
        <f ca="1">SUM(OFFSET(Demand!$H111,0,(COLUMN(E99)-1)*5,1,1))*R$2</f>
        <v>0</v>
      </c>
      <c r="AE102" s="5">
        <f ca="1">SUM(OFFSET(Demand!$H111,0,(COLUMN(F99)-1)*5,1,1))*S$2</f>
        <v>0</v>
      </c>
      <c r="AF102" s="5">
        <f ca="1">SUM(OFFSET(Demand!$H111,0,(COLUMN(G99)-1)*5,1,1))*T$2</f>
        <v>0</v>
      </c>
      <c r="AG102" s="5">
        <f ca="1">SUM(OFFSET(Demand!$H111,0,(COLUMN(H99)-1)*5,1,1))*U$2</f>
        <v>0</v>
      </c>
      <c r="AH102" s="5">
        <f ca="1">SUM(OFFSET(Demand!$H111,0,(COLUMN(I99)-1)*5,1,1))*V$2</f>
        <v>0</v>
      </c>
      <c r="AI102" s="5">
        <f ca="1">SUM(OFFSET(Demand!$H111,0,(COLUMN(J99)-1)*5,1,1))*W$2</f>
        <v>0</v>
      </c>
      <c r="AJ102" s="5">
        <f t="shared" ca="1" si="33"/>
        <v>0</v>
      </c>
      <c r="AL102" s="5">
        <f t="shared" ca="1" si="34"/>
        <v>410</v>
      </c>
      <c r="AM102" s="5">
        <f t="shared" ca="1" si="35"/>
        <v>0</v>
      </c>
      <c r="AN102" s="5" t="str">
        <f>IF(Demand!BE111="Yes","Yes","")</f>
        <v/>
      </c>
      <c r="AP102" s="37" t="str">
        <f ca="1">Demand!B111</f>
        <v xml:space="preserve"> </v>
      </c>
      <c r="AQ102" t="str">
        <f ca="1">IF(TEXT(Demand!D111,"MMM")&lt;&gt;TEXT(Demand!D110,"MMM"),TEXT(Demand!D111,"MMM"),"")</f>
        <v/>
      </c>
      <c r="AT102" s="5">
        <f t="shared" ca="1" si="37"/>
        <v>60</v>
      </c>
      <c r="BQ102">
        <f ca="1">IF($AN102="",OFFSET(Demand!$A$13,ROW(A99)-1,4+((QUOTIENT(COLUMN(BQ$2)-69,3))*5)+MOD(COLUMN(BQ$2),3),1,1),"")</f>
        <v>0</v>
      </c>
      <c r="BR102">
        <f ca="1">IF($AN102="",OFFSET(Demand!$A$13,ROW(B99)-1,4+((QUOTIENT(COLUMN(BR$2)-69,3))*5)+MOD(COLUMN(BR$2),3),1,1),"")</f>
        <v>0</v>
      </c>
      <c r="BS102">
        <f ca="1">IF($AN102="",OFFSET(Demand!$A$13,ROW(C99)-1,4+((QUOTIENT(COLUMN(BS$2)-69,3))*5)+MOD(COLUMN(BS$2),3),1,1),"")</f>
        <v>3</v>
      </c>
      <c r="BT102">
        <f ca="1">IF($AN102="",OFFSET(Demand!$A$13,ROW(D99)-1,4+((QUOTIENT(COLUMN(BT$2)-69,3))*5)+MOD(COLUMN(BT$2),3),1,1),"")</f>
        <v>0</v>
      </c>
      <c r="BU102">
        <f ca="1">IF($AN102="",OFFSET(Demand!$A$13,ROW(E99)-1,4+((QUOTIENT(COLUMN(BU$2)-69,3))*5)+MOD(COLUMN(BU$2),3),1,1),"")</f>
        <v>4</v>
      </c>
      <c r="BV102">
        <f ca="1">IF($AN102="",OFFSET(Demand!$A$13,ROW(F99)-1,4+((QUOTIENT(COLUMN(BV$2)-69,3))*5)+MOD(COLUMN(BV$2),3),1,1),"")</f>
        <v>4</v>
      </c>
      <c r="BW102">
        <f ca="1">IF($AN102="",OFFSET(Demand!$A$13,ROW(G99)-1,4+((QUOTIENT(COLUMN(BW$2)-69,3))*5)+MOD(COLUMN(BW$2),3),1,1),"")</f>
        <v>0</v>
      </c>
      <c r="BX102">
        <f ca="1">IF($AN102="",OFFSET(Demand!$A$13,ROW(H99)-1,4+((QUOTIENT(COLUMN(BX$2)-69,3))*5)+MOD(COLUMN(BX$2),3),1,1),"")</f>
        <v>0</v>
      </c>
      <c r="BY102">
        <f ca="1">IF($AN102="",OFFSET(Demand!$A$13,ROW(I99)-1,4+((QUOTIENT(COLUMN(BY$2)-69,3))*5)+MOD(COLUMN(BY$2),3),1,1),"")</f>
        <v>0</v>
      </c>
      <c r="BZ102">
        <f ca="1">IF($AN102="",OFFSET(Demand!$A$13,ROW(J99)-1,4+((QUOTIENT(COLUMN(BZ$2)-69,3))*5)+MOD(COLUMN(BZ$2),3),1,1),"")</f>
        <v>0</v>
      </c>
      <c r="CA102">
        <f ca="1">IF($AN102="",OFFSET(Demand!$A$13,ROW(K99)-1,4+((QUOTIENT(COLUMN(CA$2)-69,3))*5)+MOD(COLUMN(CA$2),3),1,1),"")</f>
        <v>0</v>
      </c>
      <c r="CB102">
        <f ca="1">IF($AN102="",OFFSET(Demand!$A$13,ROW(L99)-1,4+((QUOTIENT(COLUMN(CB$2)-69,3))*5)+MOD(COLUMN(CB$2),3),1,1),"")</f>
        <v>0</v>
      </c>
      <c r="CC102">
        <f ca="1">IF($AN102="",OFFSET(Demand!$A$13,ROW(M99)-1,4+((QUOTIENT(COLUMN(CC$2)-69,3))*5)+MOD(COLUMN(CC$2),3),1,1),"")</f>
        <v>0</v>
      </c>
      <c r="CD102">
        <f ca="1">IF($AN102="",OFFSET(Demand!$A$13,ROW(N99)-1,4+((QUOTIENT(COLUMN(CD$2)-69,3))*5)+MOD(COLUMN(CD$2),3),1,1),"")</f>
        <v>0</v>
      </c>
      <c r="CE102">
        <f ca="1">IF($AN102="",OFFSET(Demand!$A$13,ROW(O99)-1,4+((QUOTIENT(COLUMN(CE$2)-69,3))*5)+MOD(COLUMN(CE$2),3),1,1),"")</f>
        <v>0</v>
      </c>
      <c r="CF102">
        <f ca="1">IF($AN102="",OFFSET(Demand!$A$13,ROW(P99)-1,4+((QUOTIENT(COLUMN(CF$2)-69,3))*5)+MOD(COLUMN(CF$2),3),1,1),"")</f>
        <v>0</v>
      </c>
      <c r="CG102">
        <f ca="1">IF($AN102="",OFFSET(Demand!$A$13,ROW(Q99)-1,4+((QUOTIENT(COLUMN(CG$2)-69,3))*5)+MOD(COLUMN(CG$2),3),1,1),"")</f>
        <v>0</v>
      </c>
      <c r="CH102">
        <f ca="1">IF($AN102="",OFFSET(Demand!$A$13,ROW(R99)-1,4+((QUOTIENT(COLUMN(CH$2)-69,3))*5)+MOD(COLUMN(CH$2),3),1,1),"")</f>
        <v>0</v>
      </c>
      <c r="CI102">
        <f ca="1">IF($AN102="",OFFSET(Demand!$A$13,ROW(S99)-1,4+((QUOTIENT(COLUMN(CI$2)-69,3))*5)+MOD(COLUMN(CI$2),3),1,1),"")</f>
        <v>0</v>
      </c>
      <c r="CJ102">
        <f ca="1">IF($AN102="",OFFSET(Demand!$A$13,ROW(T99)-1,4+((QUOTIENT(COLUMN(CJ$2)-69,3))*5)+MOD(COLUMN(CJ$2),3),1,1),"")</f>
        <v>0</v>
      </c>
      <c r="CK102">
        <f ca="1">IF($AN102="",OFFSET(Demand!$A$13,ROW(U99)-1,4+((QUOTIENT(COLUMN(CK$2)-69,3))*5)+MOD(COLUMN(CK$2),3),1,1),"")</f>
        <v>0</v>
      </c>
      <c r="CL102">
        <f ca="1">IF($AN102="",OFFSET(Demand!$A$13,ROW(V99)-1,4+((QUOTIENT(COLUMN(CL$2)-69,3))*5)+MOD(COLUMN(CL$2),3),1,1),"")</f>
        <v>0</v>
      </c>
      <c r="CM102">
        <f ca="1">IF($AN102="",OFFSET(Demand!$A$13,ROW(W99)-1,4+((QUOTIENT(COLUMN(CM$2)-69,3))*5)+MOD(COLUMN(CM$2),3),1,1),"")</f>
        <v>0</v>
      </c>
      <c r="CN102">
        <f ca="1">IF($AN102="",OFFSET(Demand!$A$13,ROW(X99)-1,4+((QUOTIENT(COLUMN(CN$2)-69,3))*5)+MOD(COLUMN(CN$2),3),1,1),"")</f>
        <v>0</v>
      </c>
      <c r="CO102">
        <f ca="1">IF($AN102="",OFFSET(Demand!$A$13,ROW(Y99)-1,4+((QUOTIENT(COLUMN(CO$2)-69,3))*5)+MOD(COLUMN(CO$2),3),1,1),"")</f>
        <v>0</v>
      </c>
      <c r="CP102">
        <f ca="1">IF($AN102="",OFFSET(Demand!$A$13,ROW(Z99)-1,4+((QUOTIENT(COLUMN(CP$2)-69,3))*5)+MOD(COLUMN(CP$2),3),1,1),"")</f>
        <v>0</v>
      </c>
      <c r="CQ102">
        <f ca="1">IF($AN102="",OFFSET(Demand!$A$13,ROW(AA99)-1,4+((QUOTIENT(COLUMN(CQ$2)-69,3))*5)+MOD(COLUMN(CQ$2),3),1,1),"")</f>
        <v>0</v>
      </c>
      <c r="CR102">
        <f ca="1">IF($AN102="",OFFSET(Demand!$A$13,ROW(AB99)-1,4+((QUOTIENT(COLUMN(CR$2)-69,3))*5)+MOD(COLUMN(CR$2),3),1,1),"")</f>
        <v>0</v>
      </c>
      <c r="CS102">
        <f ca="1">IF($AN102="",OFFSET(Demand!$A$13,ROW(AC99)-1,4+((QUOTIENT(COLUMN(CS$2)-69,3))*5)+MOD(COLUMN(CS$2),3),1,1),"")</f>
        <v>0</v>
      </c>
      <c r="CT102">
        <f ca="1">IF($AN102="",OFFSET(Demand!$A$13,ROW(AD99)-1,4+((QUOTIENT(COLUMN(CT$2)-69,3))*5)+MOD(COLUMN(CT$2),3),1,1),"")</f>
        <v>0</v>
      </c>
      <c r="CW102" s="5">
        <f ca="1">SUM(OFFSET(Demand!$H$43,ROW(A99)-1,(COLUMN(A99)-1)*5,1,1))*N$2</f>
        <v>0</v>
      </c>
      <c r="CX102" s="5">
        <f ca="1">SUM(OFFSET(Demand!$H$43,ROW(B99)-1,(COLUMN(B99)-1)*5,1,1))*O$2</f>
        <v>0</v>
      </c>
      <c r="CY102" s="5">
        <f ca="1">SUM(OFFSET(Demand!$H$43,ROW(C99)-1,(COLUMN(C99)-1)*5,1,1))*P$2</f>
        <v>0</v>
      </c>
      <c r="CZ102" s="5">
        <f ca="1">SUM(OFFSET(Demand!$H$43,ROW(D99)-1,(COLUMN(D99)-1)*5,1,1))*Q$2</f>
        <v>0</v>
      </c>
      <c r="DA102" s="5">
        <f ca="1">SUM(OFFSET(Demand!$H$43,ROW(E99)-1,(COLUMN(E99)-1)*5,1,1))*R$2</f>
        <v>0</v>
      </c>
      <c r="DB102" s="5">
        <f ca="1">SUM(OFFSET(Demand!$H$43,ROW(F99)-1,(COLUMN(F99)-1)*5,1,1))*S$2</f>
        <v>0</v>
      </c>
      <c r="DC102" s="5">
        <f ca="1">SUM(OFFSET(Demand!$H$43,ROW(G99)-1,(COLUMN(G99)-1)*5,1,1))*T$2</f>
        <v>0</v>
      </c>
      <c r="DD102" s="5">
        <f ca="1">SUM(OFFSET(Demand!$H$43,ROW(H99)-1,(COLUMN(H99)-1)*5,1,1))*U$2</f>
        <v>0</v>
      </c>
      <c r="DE102" s="5">
        <f ca="1">SUM(OFFSET(Demand!$H$43,ROW(I99)-1,(COLUMN(I99)-1)*5,1,1))*V$2</f>
        <v>0</v>
      </c>
      <c r="DF102" s="5">
        <f ca="1">SUM(OFFSET(Demand!$H$43,ROW(J99)-1,(COLUMN(J99)-1)*5,1,1))*W$2</f>
        <v>0</v>
      </c>
      <c r="DG102" s="5">
        <f t="shared" ca="1" si="36"/>
        <v>0</v>
      </c>
    </row>
    <row r="103" spans="1:111" x14ac:dyDescent="0.2">
      <c r="A103" s="5">
        <f t="shared" ca="1" si="30"/>
        <v>0</v>
      </c>
      <c r="B103" s="5">
        <f ca="1">COUNTBLANK(OFFSET(Demand!$I112,0,(COLUMN(A100)-1)*5,1,1))</f>
        <v>0</v>
      </c>
      <c r="C103" s="5">
        <f ca="1">COUNTBLANK(OFFSET(Demand!$I112,0,(COLUMN(B100)-1)*5,1,1))</f>
        <v>0</v>
      </c>
      <c r="D103" s="5">
        <f ca="1">COUNTBLANK(OFFSET(Demand!$I112,0,(COLUMN(C100)-1)*5,1,1))</f>
        <v>1</v>
      </c>
      <c r="E103" s="5">
        <f ca="1">COUNTBLANK(OFFSET(Demand!$I112,0,(COLUMN(D100)-1)*5,1,1))</f>
        <v>1</v>
      </c>
      <c r="F103" s="5">
        <f ca="1">COUNTBLANK(OFFSET(Demand!$I112,0,(COLUMN(E100)-1)*5,1,1))</f>
        <v>1</v>
      </c>
      <c r="G103" s="5">
        <f ca="1">COUNTBLANK(OFFSET(Demand!$I112,0,(COLUMN(F100)-1)*5,1,1))</f>
        <v>1</v>
      </c>
      <c r="H103" s="5">
        <f ca="1">COUNTBLANK(OFFSET(Demand!$I112,0,(COLUMN(G100)-1)*5,1,1))</f>
        <v>1</v>
      </c>
      <c r="I103" s="5">
        <f ca="1">COUNTBLANK(OFFSET(Demand!$I112,0,(COLUMN(H100)-1)*5,1,1))</f>
        <v>1</v>
      </c>
      <c r="J103" s="5">
        <f ca="1">COUNTBLANK(OFFSET(Demand!$I112,0,(COLUMN(I100)-1)*5,1,1))</f>
        <v>1</v>
      </c>
      <c r="K103" s="5">
        <f ca="1">COUNTBLANK(OFFSET(Demand!$I112,0,(COLUMN(J100)-1)*5,1,1))</f>
        <v>1</v>
      </c>
      <c r="N103" s="5">
        <f ca="1">SUM(OFFSET(Demand!$E112,0,(COLUMN(A100)-1)*5,1,3))*N$2</f>
        <v>90</v>
      </c>
      <c r="O103" s="5">
        <f ca="1">SUM(OFFSET(Demand!$E112,0,(COLUMN(B100)-1)*5,1,3))*O$2</f>
        <v>360</v>
      </c>
      <c r="P103" s="5">
        <f ca="1">SUM(OFFSET(Demand!$E112,0,(COLUMN(C100)-1)*5,1,3))*P$2</f>
        <v>0</v>
      </c>
      <c r="Q103" s="5">
        <f ca="1">SUM(OFFSET(Demand!$E112,0,(COLUMN(D100)-1)*5,1,3))*Q$2</f>
        <v>0</v>
      </c>
      <c r="R103" s="5">
        <f ca="1">SUM(OFFSET(Demand!$E112,0,(COLUMN(E100)-1)*5,1,3))*R$2</f>
        <v>0</v>
      </c>
      <c r="S103" s="5">
        <f ca="1">SUM(OFFSET(Demand!$E112,0,(COLUMN(F100)-1)*5,1,3))*S$2</f>
        <v>0</v>
      </c>
      <c r="T103" s="5">
        <f ca="1">SUM(OFFSET(Demand!$E112,0,(COLUMN(G100)-1)*5,1,3))*T$2</f>
        <v>0</v>
      </c>
      <c r="U103" s="5">
        <f ca="1">SUM(OFFSET(Demand!$E112,0,(COLUMN(H100)-1)*5,1,3))*U$2</f>
        <v>0</v>
      </c>
      <c r="V103" s="5">
        <f ca="1">SUM(OFFSET(Demand!$E112,0,(COLUMN(I100)-1)*5,1,3))*V$2</f>
        <v>0</v>
      </c>
      <c r="W103" s="5">
        <f ca="1">SUM(OFFSET(Demand!$E112,0,(COLUMN(J100)-1)*5,1,3))*W$2</f>
        <v>0</v>
      </c>
      <c r="X103" s="5">
        <f t="shared" ca="1" si="31"/>
        <v>450</v>
      </c>
      <c r="Y103">
        <f t="shared" ca="1" si="32"/>
        <v>450</v>
      </c>
      <c r="Z103" s="5">
        <f ca="1">SUM(OFFSET(Demand!$H112,0,(COLUMN(A100)-1)*5,1,1))*N$2</f>
        <v>0</v>
      </c>
      <c r="AA103" s="5">
        <f ca="1">SUM(OFFSET(Demand!$H112,0,(COLUMN(B100)-1)*5,1,1))*O$2</f>
        <v>0</v>
      </c>
      <c r="AB103" s="5">
        <f ca="1">SUM(OFFSET(Demand!$H112,0,(COLUMN(C100)-1)*5,1,1))*P$2</f>
        <v>0</v>
      </c>
      <c r="AC103" s="5">
        <f ca="1">SUM(OFFSET(Demand!$H112,0,(COLUMN(D100)-1)*5,1,1))*Q$2</f>
        <v>0</v>
      </c>
      <c r="AD103" s="5">
        <f ca="1">SUM(OFFSET(Demand!$H112,0,(COLUMN(E100)-1)*5,1,1))*R$2</f>
        <v>0</v>
      </c>
      <c r="AE103" s="5">
        <f ca="1">SUM(OFFSET(Demand!$H112,0,(COLUMN(F100)-1)*5,1,1))*S$2</f>
        <v>0</v>
      </c>
      <c r="AF103" s="5">
        <f ca="1">SUM(OFFSET(Demand!$H112,0,(COLUMN(G100)-1)*5,1,1))*T$2</f>
        <v>0</v>
      </c>
      <c r="AG103" s="5">
        <f ca="1">SUM(OFFSET(Demand!$H112,0,(COLUMN(H100)-1)*5,1,1))*U$2</f>
        <v>0</v>
      </c>
      <c r="AH103" s="5">
        <f ca="1">SUM(OFFSET(Demand!$H112,0,(COLUMN(I100)-1)*5,1,1))*V$2</f>
        <v>0</v>
      </c>
      <c r="AI103" s="5">
        <f ca="1">SUM(OFFSET(Demand!$H112,0,(COLUMN(J100)-1)*5,1,1))*W$2</f>
        <v>0</v>
      </c>
      <c r="AJ103" s="5">
        <f t="shared" ca="1" si="33"/>
        <v>0</v>
      </c>
      <c r="AL103" s="5">
        <f t="shared" ca="1" si="34"/>
        <v>450</v>
      </c>
      <c r="AM103" s="5">
        <f t="shared" ca="1" si="35"/>
        <v>0</v>
      </c>
      <c r="AN103" s="5" t="str">
        <f>IF(Demand!BE112="Yes","Yes","")</f>
        <v/>
      </c>
      <c r="AP103" s="37" t="str">
        <f ca="1">Demand!B112</f>
        <v xml:space="preserve"> </v>
      </c>
      <c r="AQ103" t="str">
        <f ca="1">IF(TEXT(Demand!D112,"MMM")&lt;&gt;TEXT(Demand!D111,"MMM"),TEXT(Demand!D112,"MMM"),"")</f>
        <v/>
      </c>
      <c r="AT103" s="5">
        <f t="shared" ca="1" si="37"/>
        <v>40</v>
      </c>
      <c r="BQ103">
        <f ca="1">IF($AN103="",OFFSET(Demand!$A$13,ROW(A100)-1,4+((QUOTIENT(COLUMN(BQ$2)-69,3))*5)+MOD(COLUMN(BQ$2),3),1,1),"")</f>
        <v>0</v>
      </c>
      <c r="BR103">
        <f ca="1">IF($AN103="",OFFSET(Demand!$A$13,ROW(B100)-1,4+((QUOTIENT(COLUMN(BR$2)-69,3))*5)+MOD(COLUMN(BR$2),3),1,1),"")</f>
        <v>0</v>
      </c>
      <c r="BS103">
        <f ca="1">IF($AN103="",OFFSET(Demand!$A$13,ROW(C100)-1,4+((QUOTIENT(COLUMN(BS$2)-69,3))*5)+MOD(COLUMN(BS$2),3),1,1),"")</f>
        <v>3</v>
      </c>
      <c r="BT103">
        <f ca="1">IF($AN103="",OFFSET(Demand!$A$13,ROW(D100)-1,4+((QUOTIENT(COLUMN(BT$2)-69,3))*5)+MOD(COLUMN(BT$2),3),1,1),"")</f>
        <v>0</v>
      </c>
      <c r="BU103">
        <f ca="1">IF($AN103="",OFFSET(Demand!$A$13,ROW(E100)-1,4+((QUOTIENT(COLUMN(BU$2)-69,3))*5)+MOD(COLUMN(BU$2),3),1,1),"")</f>
        <v>2</v>
      </c>
      <c r="BV103">
        <f ca="1">IF($AN103="",OFFSET(Demand!$A$13,ROW(F100)-1,4+((QUOTIENT(COLUMN(BV$2)-69,3))*5)+MOD(COLUMN(BV$2),3),1,1),"")</f>
        <v>7</v>
      </c>
      <c r="BW103">
        <f ca="1">IF($AN103="",OFFSET(Demand!$A$13,ROW(G100)-1,4+((QUOTIENT(COLUMN(BW$2)-69,3))*5)+MOD(COLUMN(BW$2),3),1,1),"")</f>
        <v>0</v>
      </c>
      <c r="BX103">
        <f ca="1">IF($AN103="",OFFSET(Demand!$A$13,ROW(H100)-1,4+((QUOTIENT(COLUMN(BX$2)-69,3))*5)+MOD(COLUMN(BX$2),3),1,1),"")</f>
        <v>0</v>
      </c>
      <c r="BY103">
        <f ca="1">IF($AN103="",OFFSET(Demand!$A$13,ROW(I100)-1,4+((QUOTIENT(COLUMN(BY$2)-69,3))*5)+MOD(COLUMN(BY$2),3),1,1),"")</f>
        <v>0</v>
      </c>
      <c r="BZ103">
        <f ca="1">IF($AN103="",OFFSET(Demand!$A$13,ROW(J100)-1,4+((QUOTIENT(COLUMN(BZ$2)-69,3))*5)+MOD(COLUMN(BZ$2),3),1,1),"")</f>
        <v>0</v>
      </c>
      <c r="CA103">
        <f ca="1">IF($AN103="",OFFSET(Demand!$A$13,ROW(K100)-1,4+((QUOTIENT(COLUMN(CA$2)-69,3))*5)+MOD(COLUMN(CA$2),3),1,1),"")</f>
        <v>0</v>
      </c>
      <c r="CB103">
        <f ca="1">IF($AN103="",OFFSET(Demand!$A$13,ROW(L100)-1,4+((QUOTIENT(COLUMN(CB$2)-69,3))*5)+MOD(COLUMN(CB$2),3),1,1),"")</f>
        <v>0</v>
      </c>
      <c r="CC103">
        <f ca="1">IF($AN103="",OFFSET(Demand!$A$13,ROW(M100)-1,4+((QUOTIENT(COLUMN(CC$2)-69,3))*5)+MOD(COLUMN(CC$2),3),1,1),"")</f>
        <v>0</v>
      </c>
      <c r="CD103">
        <f ca="1">IF($AN103="",OFFSET(Demand!$A$13,ROW(N100)-1,4+((QUOTIENT(COLUMN(CD$2)-69,3))*5)+MOD(COLUMN(CD$2),3),1,1),"")</f>
        <v>0</v>
      </c>
      <c r="CE103">
        <f ca="1">IF($AN103="",OFFSET(Demand!$A$13,ROW(O100)-1,4+((QUOTIENT(COLUMN(CE$2)-69,3))*5)+MOD(COLUMN(CE$2),3),1,1),"")</f>
        <v>0</v>
      </c>
      <c r="CF103">
        <f ca="1">IF($AN103="",OFFSET(Demand!$A$13,ROW(P100)-1,4+((QUOTIENT(COLUMN(CF$2)-69,3))*5)+MOD(COLUMN(CF$2),3),1,1),"")</f>
        <v>0</v>
      </c>
      <c r="CG103">
        <f ca="1">IF($AN103="",OFFSET(Demand!$A$13,ROW(Q100)-1,4+((QUOTIENT(COLUMN(CG$2)-69,3))*5)+MOD(COLUMN(CG$2),3),1,1),"")</f>
        <v>0</v>
      </c>
      <c r="CH103">
        <f ca="1">IF($AN103="",OFFSET(Demand!$A$13,ROW(R100)-1,4+((QUOTIENT(COLUMN(CH$2)-69,3))*5)+MOD(COLUMN(CH$2),3),1,1),"")</f>
        <v>0</v>
      </c>
      <c r="CI103">
        <f ca="1">IF($AN103="",OFFSET(Demand!$A$13,ROW(S100)-1,4+((QUOTIENT(COLUMN(CI$2)-69,3))*5)+MOD(COLUMN(CI$2),3),1,1),"")</f>
        <v>0</v>
      </c>
      <c r="CJ103">
        <f ca="1">IF($AN103="",OFFSET(Demand!$A$13,ROW(T100)-1,4+((QUOTIENT(COLUMN(CJ$2)-69,3))*5)+MOD(COLUMN(CJ$2),3),1,1),"")</f>
        <v>0</v>
      </c>
      <c r="CK103">
        <f ca="1">IF($AN103="",OFFSET(Demand!$A$13,ROW(U100)-1,4+((QUOTIENT(COLUMN(CK$2)-69,3))*5)+MOD(COLUMN(CK$2),3),1,1),"")</f>
        <v>0</v>
      </c>
      <c r="CL103">
        <f ca="1">IF($AN103="",OFFSET(Demand!$A$13,ROW(V100)-1,4+((QUOTIENT(COLUMN(CL$2)-69,3))*5)+MOD(COLUMN(CL$2),3),1,1),"")</f>
        <v>0</v>
      </c>
      <c r="CM103">
        <f ca="1">IF($AN103="",OFFSET(Demand!$A$13,ROW(W100)-1,4+((QUOTIENT(COLUMN(CM$2)-69,3))*5)+MOD(COLUMN(CM$2),3),1,1),"")</f>
        <v>0</v>
      </c>
      <c r="CN103">
        <f ca="1">IF($AN103="",OFFSET(Demand!$A$13,ROW(X100)-1,4+((QUOTIENT(COLUMN(CN$2)-69,3))*5)+MOD(COLUMN(CN$2),3),1,1),"")</f>
        <v>0</v>
      </c>
      <c r="CO103">
        <f ca="1">IF($AN103="",OFFSET(Demand!$A$13,ROW(Y100)-1,4+((QUOTIENT(COLUMN(CO$2)-69,3))*5)+MOD(COLUMN(CO$2),3),1,1),"")</f>
        <v>0</v>
      </c>
      <c r="CP103">
        <f ca="1">IF($AN103="",OFFSET(Demand!$A$13,ROW(Z100)-1,4+((QUOTIENT(COLUMN(CP$2)-69,3))*5)+MOD(COLUMN(CP$2),3),1,1),"")</f>
        <v>0</v>
      </c>
      <c r="CQ103">
        <f ca="1">IF($AN103="",OFFSET(Demand!$A$13,ROW(AA100)-1,4+((QUOTIENT(COLUMN(CQ$2)-69,3))*5)+MOD(COLUMN(CQ$2),3),1,1),"")</f>
        <v>0</v>
      </c>
      <c r="CR103">
        <f ca="1">IF($AN103="",OFFSET(Demand!$A$13,ROW(AB100)-1,4+((QUOTIENT(COLUMN(CR$2)-69,3))*5)+MOD(COLUMN(CR$2),3),1,1),"")</f>
        <v>0</v>
      </c>
      <c r="CS103">
        <f ca="1">IF($AN103="",OFFSET(Demand!$A$13,ROW(AC100)-1,4+((QUOTIENT(COLUMN(CS$2)-69,3))*5)+MOD(COLUMN(CS$2),3),1,1),"")</f>
        <v>0</v>
      </c>
      <c r="CT103">
        <f ca="1">IF($AN103="",OFFSET(Demand!$A$13,ROW(AD100)-1,4+((QUOTIENT(COLUMN(CT$2)-69,3))*5)+MOD(COLUMN(CT$2),3),1,1),"")</f>
        <v>0</v>
      </c>
      <c r="CW103" s="5">
        <f ca="1">SUM(OFFSET(Demand!$H$43,ROW(A100)-1,(COLUMN(A100)-1)*5,1,1))*N$2</f>
        <v>0</v>
      </c>
      <c r="CX103" s="5">
        <f ca="1">SUM(OFFSET(Demand!$H$43,ROW(B100)-1,(COLUMN(B100)-1)*5,1,1))*O$2</f>
        <v>0</v>
      </c>
      <c r="CY103" s="5">
        <f ca="1">SUM(OFFSET(Demand!$H$43,ROW(C100)-1,(COLUMN(C100)-1)*5,1,1))*P$2</f>
        <v>0</v>
      </c>
      <c r="CZ103" s="5">
        <f ca="1">SUM(OFFSET(Demand!$H$43,ROW(D100)-1,(COLUMN(D100)-1)*5,1,1))*Q$2</f>
        <v>0</v>
      </c>
      <c r="DA103" s="5">
        <f ca="1">SUM(OFFSET(Demand!$H$43,ROW(E100)-1,(COLUMN(E100)-1)*5,1,1))*R$2</f>
        <v>0</v>
      </c>
      <c r="DB103" s="5">
        <f ca="1">SUM(OFFSET(Demand!$H$43,ROW(F100)-1,(COLUMN(F100)-1)*5,1,1))*S$2</f>
        <v>0</v>
      </c>
      <c r="DC103" s="5">
        <f ca="1">SUM(OFFSET(Demand!$H$43,ROW(G100)-1,(COLUMN(G100)-1)*5,1,1))*T$2</f>
        <v>0</v>
      </c>
      <c r="DD103" s="5">
        <f ca="1">SUM(OFFSET(Demand!$H$43,ROW(H100)-1,(COLUMN(H100)-1)*5,1,1))*U$2</f>
        <v>0</v>
      </c>
      <c r="DE103" s="5">
        <f ca="1">SUM(OFFSET(Demand!$H$43,ROW(I100)-1,(COLUMN(I100)-1)*5,1,1))*V$2</f>
        <v>0</v>
      </c>
      <c r="DF103" s="5">
        <f ca="1">SUM(OFFSET(Demand!$H$43,ROW(J100)-1,(COLUMN(J100)-1)*5,1,1))*W$2</f>
        <v>0</v>
      </c>
      <c r="DG103" s="5">
        <f t="shared" ca="1" si="36"/>
        <v>0</v>
      </c>
    </row>
    <row r="104" spans="1:111" x14ac:dyDescent="0.2">
      <c r="A104" s="5">
        <f t="shared" ca="1" si="30"/>
        <v>0</v>
      </c>
      <c r="B104" s="5">
        <f ca="1">COUNTBLANK(OFFSET(Demand!$I113,0,(COLUMN(A101)-1)*5,1,1))</f>
        <v>0</v>
      </c>
      <c r="C104" s="5">
        <f ca="1">COUNTBLANK(OFFSET(Demand!$I113,0,(COLUMN(B101)-1)*5,1,1))</f>
        <v>0</v>
      </c>
      <c r="D104" s="5">
        <f ca="1">COUNTBLANK(OFFSET(Demand!$I113,0,(COLUMN(C101)-1)*5,1,1))</f>
        <v>1</v>
      </c>
      <c r="E104" s="5">
        <f ca="1">COUNTBLANK(OFFSET(Demand!$I113,0,(COLUMN(D101)-1)*5,1,1))</f>
        <v>1</v>
      </c>
      <c r="F104" s="5">
        <f ca="1">COUNTBLANK(OFFSET(Demand!$I113,0,(COLUMN(E101)-1)*5,1,1))</f>
        <v>1</v>
      </c>
      <c r="G104" s="5">
        <f ca="1">COUNTBLANK(OFFSET(Demand!$I113,0,(COLUMN(F101)-1)*5,1,1))</f>
        <v>1</v>
      </c>
      <c r="H104" s="5">
        <f ca="1">COUNTBLANK(OFFSET(Demand!$I113,0,(COLUMN(G101)-1)*5,1,1))</f>
        <v>1</v>
      </c>
      <c r="I104" s="5">
        <f ca="1">COUNTBLANK(OFFSET(Demand!$I113,0,(COLUMN(H101)-1)*5,1,1))</f>
        <v>1</v>
      </c>
      <c r="J104" s="5">
        <f ca="1">COUNTBLANK(OFFSET(Demand!$I113,0,(COLUMN(I101)-1)*5,1,1))</f>
        <v>1</v>
      </c>
      <c r="K104" s="5">
        <f ca="1">COUNTBLANK(OFFSET(Demand!$I113,0,(COLUMN(J101)-1)*5,1,1))</f>
        <v>1</v>
      </c>
      <c r="N104" s="5">
        <f ca="1">SUM(OFFSET(Demand!$E113,0,(COLUMN(A101)-1)*5,1,3))*N$2</f>
        <v>30</v>
      </c>
      <c r="O104" s="5">
        <f ca="1">SUM(OFFSET(Demand!$E113,0,(COLUMN(B101)-1)*5,1,3))*O$2</f>
        <v>240</v>
      </c>
      <c r="P104" s="5">
        <f ca="1">SUM(OFFSET(Demand!$E113,0,(COLUMN(C101)-1)*5,1,3))*P$2</f>
        <v>0</v>
      </c>
      <c r="Q104" s="5">
        <f ca="1">SUM(OFFSET(Demand!$E113,0,(COLUMN(D101)-1)*5,1,3))*Q$2</f>
        <v>0</v>
      </c>
      <c r="R104" s="5">
        <f ca="1">SUM(OFFSET(Demand!$E113,0,(COLUMN(E101)-1)*5,1,3))*R$2</f>
        <v>0</v>
      </c>
      <c r="S104" s="5">
        <f ca="1">SUM(OFFSET(Demand!$E113,0,(COLUMN(F101)-1)*5,1,3))*S$2</f>
        <v>0</v>
      </c>
      <c r="T104" s="5">
        <f ca="1">SUM(OFFSET(Demand!$E113,0,(COLUMN(G101)-1)*5,1,3))*T$2</f>
        <v>0</v>
      </c>
      <c r="U104" s="5">
        <f ca="1">SUM(OFFSET(Demand!$E113,0,(COLUMN(H101)-1)*5,1,3))*U$2</f>
        <v>0</v>
      </c>
      <c r="V104" s="5">
        <f ca="1">SUM(OFFSET(Demand!$E113,0,(COLUMN(I101)-1)*5,1,3))*V$2</f>
        <v>0</v>
      </c>
      <c r="W104" s="5">
        <f ca="1">SUM(OFFSET(Demand!$E113,0,(COLUMN(J101)-1)*5,1,3))*W$2</f>
        <v>0</v>
      </c>
      <c r="X104" s="5">
        <f t="shared" ca="1" si="31"/>
        <v>270</v>
      </c>
      <c r="Y104">
        <f t="shared" ca="1" si="32"/>
        <v>270</v>
      </c>
      <c r="Z104" s="5">
        <f ca="1">SUM(OFFSET(Demand!$H113,0,(COLUMN(A101)-1)*5,1,1))*N$2</f>
        <v>0</v>
      </c>
      <c r="AA104" s="5">
        <f ca="1">SUM(OFFSET(Demand!$H113,0,(COLUMN(B101)-1)*5,1,1))*O$2</f>
        <v>0</v>
      </c>
      <c r="AB104" s="5">
        <f ca="1">SUM(OFFSET(Demand!$H113,0,(COLUMN(C101)-1)*5,1,1))*P$2</f>
        <v>0</v>
      </c>
      <c r="AC104" s="5">
        <f ca="1">SUM(OFFSET(Demand!$H113,0,(COLUMN(D101)-1)*5,1,1))*Q$2</f>
        <v>0</v>
      </c>
      <c r="AD104" s="5">
        <f ca="1">SUM(OFFSET(Demand!$H113,0,(COLUMN(E101)-1)*5,1,1))*R$2</f>
        <v>0</v>
      </c>
      <c r="AE104" s="5">
        <f ca="1">SUM(OFFSET(Demand!$H113,0,(COLUMN(F101)-1)*5,1,1))*S$2</f>
        <v>0</v>
      </c>
      <c r="AF104" s="5">
        <f ca="1">SUM(OFFSET(Demand!$H113,0,(COLUMN(G101)-1)*5,1,1))*T$2</f>
        <v>0</v>
      </c>
      <c r="AG104" s="5">
        <f ca="1">SUM(OFFSET(Demand!$H113,0,(COLUMN(H101)-1)*5,1,1))*U$2</f>
        <v>0</v>
      </c>
      <c r="AH104" s="5">
        <f ca="1">SUM(OFFSET(Demand!$H113,0,(COLUMN(I101)-1)*5,1,1))*V$2</f>
        <v>0</v>
      </c>
      <c r="AI104" s="5">
        <f ca="1">SUM(OFFSET(Demand!$H113,0,(COLUMN(J101)-1)*5,1,1))*W$2</f>
        <v>0</v>
      </c>
      <c r="AJ104" s="5">
        <f t="shared" ca="1" si="33"/>
        <v>0</v>
      </c>
      <c r="AL104" s="5">
        <f t="shared" ca="1" si="34"/>
        <v>270</v>
      </c>
      <c r="AM104" s="5">
        <f t="shared" ca="1" si="35"/>
        <v>0</v>
      </c>
      <c r="AN104" s="5" t="str">
        <f>IF(Demand!BE113="Yes","Yes","")</f>
        <v/>
      </c>
      <c r="AP104" s="37" t="str">
        <f ca="1">Demand!B113</f>
        <v xml:space="preserve"> </v>
      </c>
      <c r="AQ104" t="str">
        <f ca="1">IF(TEXT(Demand!D113,"MMM")&lt;&gt;TEXT(Demand!D112,"MMM"),TEXT(Demand!D113,"MMM"),"")</f>
        <v>Mar</v>
      </c>
      <c r="AT104" s="5">
        <f t="shared" ca="1" si="37"/>
        <v>180</v>
      </c>
      <c r="BQ104">
        <f ca="1">IF($AN104="",OFFSET(Demand!$A$13,ROW(A101)-1,4+((QUOTIENT(COLUMN(BQ$2)-69,3))*5)+MOD(COLUMN(BQ$2),3),1,1),"")</f>
        <v>0</v>
      </c>
      <c r="BR104">
        <f ca="1">IF($AN104="",OFFSET(Demand!$A$13,ROW(B101)-1,4+((QUOTIENT(COLUMN(BR$2)-69,3))*5)+MOD(COLUMN(BR$2),3),1,1),"")</f>
        <v>1</v>
      </c>
      <c r="BS104">
        <f ca="1">IF($AN104="",OFFSET(Demand!$A$13,ROW(C101)-1,4+((QUOTIENT(COLUMN(BS$2)-69,3))*5)+MOD(COLUMN(BS$2),3),1,1),"")</f>
        <v>0</v>
      </c>
      <c r="BT104">
        <f ca="1">IF($AN104="",OFFSET(Demand!$A$13,ROW(D101)-1,4+((QUOTIENT(COLUMN(BT$2)-69,3))*5)+MOD(COLUMN(BT$2),3),1,1),"")</f>
        <v>0</v>
      </c>
      <c r="BU104">
        <f ca="1">IF($AN104="",OFFSET(Demand!$A$13,ROW(E101)-1,4+((QUOTIENT(COLUMN(BU$2)-69,3))*5)+MOD(COLUMN(BU$2),3),1,1),"")</f>
        <v>1</v>
      </c>
      <c r="BV104">
        <f ca="1">IF($AN104="",OFFSET(Demand!$A$13,ROW(F101)-1,4+((QUOTIENT(COLUMN(BV$2)-69,3))*5)+MOD(COLUMN(BV$2),3),1,1),"")</f>
        <v>5</v>
      </c>
      <c r="BW104">
        <f ca="1">IF($AN104="",OFFSET(Demand!$A$13,ROW(G101)-1,4+((QUOTIENT(COLUMN(BW$2)-69,3))*5)+MOD(COLUMN(BW$2),3),1,1),"")</f>
        <v>0</v>
      </c>
      <c r="BX104">
        <f ca="1">IF($AN104="",OFFSET(Demand!$A$13,ROW(H101)-1,4+((QUOTIENT(COLUMN(BX$2)-69,3))*5)+MOD(COLUMN(BX$2),3),1,1),"")</f>
        <v>0</v>
      </c>
      <c r="BY104">
        <f ca="1">IF($AN104="",OFFSET(Demand!$A$13,ROW(I101)-1,4+((QUOTIENT(COLUMN(BY$2)-69,3))*5)+MOD(COLUMN(BY$2),3),1,1),"")</f>
        <v>0</v>
      </c>
      <c r="BZ104">
        <f ca="1">IF($AN104="",OFFSET(Demand!$A$13,ROW(J101)-1,4+((QUOTIENT(COLUMN(BZ$2)-69,3))*5)+MOD(COLUMN(BZ$2),3),1,1),"")</f>
        <v>0</v>
      </c>
      <c r="CA104">
        <f ca="1">IF($AN104="",OFFSET(Demand!$A$13,ROW(K101)-1,4+((QUOTIENT(COLUMN(CA$2)-69,3))*5)+MOD(COLUMN(CA$2),3),1,1),"")</f>
        <v>0</v>
      </c>
      <c r="CB104">
        <f ca="1">IF($AN104="",OFFSET(Demand!$A$13,ROW(L101)-1,4+((QUOTIENT(COLUMN(CB$2)-69,3))*5)+MOD(COLUMN(CB$2),3),1,1),"")</f>
        <v>0</v>
      </c>
      <c r="CC104">
        <f ca="1">IF($AN104="",OFFSET(Demand!$A$13,ROW(M101)-1,4+((QUOTIENT(COLUMN(CC$2)-69,3))*5)+MOD(COLUMN(CC$2),3),1,1),"")</f>
        <v>0</v>
      </c>
      <c r="CD104">
        <f ca="1">IF($AN104="",OFFSET(Demand!$A$13,ROW(N101)-1,4+((QUOTIENT(COLUMN(CD$2)-69,3))*5)+MOD(COLUMN(CD$2),3),1,1),"")</f>
        <v>0</v>
      </c>
      <c r="CE104">
        <f ca="1">IF($AN104="",OFFSET(Demand!$A$13,ROW(O101)-1,4+((QUOTIENT(COLUMN(CE$2)-69,3))*5)+MOD(COLUMN(CE$2),3),1,1),"")</f>
        <v>0</v>
      </c>
      <c r="CF104">
        <f ca="1">IF($AN104="",OFFSET(Demand!$A$13,ROW(P101)-1,4+((QUOTIENT(COLUMN(CF$2)-69,3))*5)+MOD(COLUMN(CF$2),3),1,1),"")</f>
        <v>0</v>
      </c>
      <c r="CG104">
        <f ca="1">IF($AN104="",OFFSET(Demand!$A$13,ROW(Q101)-1,4+((QUOTIENT(COLUMN(CG$2)-69,3))*5)+MOD(COLUMN(CG$2),3),1,1),"")</f>
        <v>0</v>
      </c>
      <c r="CH104">
        <f ca="1">IF($AN104="",OFFSET(Demand!$A$13,ROW(R101)-1,4+((QUOTIENT(COLUMN(CH$2)-69,3))*5)+MOD(COLUMN(CH$2),3),1,1),"")</f>
        <v>0</v>
      </c>
      <c r="CI104">
        <f ca="1">IF($AN104="",OFFSET(Demand!$A$13,ROW(S101)-1,4+((QUOTIENT(COLUMN(CI$2)-69,3))*5)+MOD(COLUMN(CI$2),3),1,1),"")</f>
        <v>0</v>
      </c>
      <c r="CJ104">
        <f ca="1">IF($AN104="",OFFSET(Demand!$A$13,ROW(T101)-1,4+((QUOTIENT(COLUMN(CJ$2)-69,3))*5)+MOD(COLUMN(CJ$2),3),1,1),"")</f>
        <v>0</v>
      </c>
      <c r="CK104">
        <f ca="1">IF($AN104="",OFFSET(Demand!$A$13,ROW(U101)-1,4+((QUOTIENT(COLUMN(CK$2)-69,3))*5)+MOD(COLUMN(CK$2),3),1,1),"")</f>
        <v>0</v>
      </c>
      <c r="CL104">
        <f ca="1">IF($AN104="",OFFSET(Demand!$A$13,ROW(V101)-1,4+((QUOTIENT(COLUMN(CL$2)-69,3))*5)+MOD(COLUMN(CL$2),3),1,1),"")</f>
        <v>0</v>
      </c>
      <c r="CM104">
        <f ca="1">IF($AN104="",OFFSET(Demand!$A$13,ROW(W101)-1,4+((QUOTIENT(COLUMN(CM$2)-69,3))*5)+MOD(COLUMN(CM$2),3),1,1),"")</f>
        <v>0</v>
      </c>
      <c r="CN104">
        <f ca="1">IF($AN104="",OFFSET(Demand!$A$13,ROW(X101)-1,4+((QUOTIENT(COLUMN(CN$2)-69,3))*5)+MOD(COLUMN(CN$2),3),1,1),"")</f>
        <v>0</v>
      </c>
      <c r="CO104">
        <f ca="1">IF($AN104="",OFFSET(Demand!$A$13,ROW(Y101)-1,4+((QUOTIENT(COLUMN(CO$2)-69,3))*5)+MOD(COLUMN(CO$2),3),1,1),"")</f>
        <v>0</v>
      </c>
      <c r="CP104">
        <f ca="1">IF($AN104="",OFFSET(Demand!$A$13,ROW(Z101)-1,4+((QUOTIENT(COLUMN(CP$2)-69,3))*5)+MOD(COLUMN(CP$2),3),1,1),"")</f>
        <v>0</v>
      </c>
      <c r="CQ104">
        <f ca="1">IF($AN104="",OFFSET(Demand!$A$13,ROW(AA101)-1,4+((QUOTIENT(COLUMN(CQ$2)-69,3))*5)+MOD(COLUMN(CQ$2),3),1,1),"")</f>
        <v>0</v>
      </c>
      <c r="CR104">
        <f ca="1">IF($AN104="",OFFSET(Demand!$A$13,ROW(AB101)-1,4+((QUOTIENT(COLUMN(CR$2)-69,3))*5)+MOD(COLUMN(CR$2),3),1,1),"")</f>
        <v>0</v>
      </c>
      <c r="CS104">
        <f ca="1">IF($AN104="",OFFSET(Demand!$A$13,ROW(AC101)-1,4+((QUOTIENT(COLUMN(CS$2)-69,3))*5)+MOD(COLUMN(CS$2),3),1,1),"")</f>
        <v>0</v>
      </c>
      <c r="CT104">
        <f ca="1">IF($AN104="",OFFSET(Demand!$A$13,ROW(AD101)-1,4+((QUOTIENT(COLUMN(CT$2)-69,3))*5)+MOD(COLUMN(CT$2),3),1,1),"")</f>
        <v>0</v>
      </c>
      <c r="CW104" s="5">
        <f ca="1">SUM(OFFSET(Demand!$H$43,ROW(A101)-1,(COLUMN(A101)-1)*5,1,1))*N$2</f>
        <v>0</v>
      </c>
      <c r="CX104" s="5">
        <f ca="1">SUM(OFFSET(Demand!$H$43,ROW(B101)-1,(COLUMN(B101)-1)*5,1,1))*O$2</f>
        <v>0</v>
      </c>
      <c r="CY104" s="5">
        <f ca="1">SUM(OFFSET(Demand!$H$43,ROW(C101)-1,(COLUMN(C101)-1)*5,1,1))*P$2</f>
        <v>0</v>
      </c>
      <c r="CZ104" s="5">
        <f ca="1">SUM(OFFSET(Demand!$H$43,ROW(D101)-1,(COLUMN(D101)-1)*5,1,1))*Q$2</f>
        <v>0</v>
      </c>
      <c r="DA104" s="5">
        <f ca="1">SUM(OFFSET(Demand!$H$43,ROW(E101)-1,(COLUMN(E101)-1)*5,1,1))*R$2</f>
        <v>0</v>
      </c>
      <c r="DB104" s="5">
        <f ca="1">SUM(OFFSET(Demand!$H$43,ROW(F101)-1,(COLUMN(F101)-1)*5,1,1))*S$2</f>
        <v>0</v>
      </c>
      <c r="DC104" s="5">
        <f ca="1">SUM(OFFSET(Demand!$H$43,ROW(G101)-1,(COLUMN(G101)-1)*5,1,1))*T$2</f>
        <v>0</v>
      </c>
      <c r="DD104" s="5">
        <f ca="1">SUM(OFFSET(Demand!$H$43,ROW(H101)-1,(COLUMN(H101)-1)*5,1,1))*U$2</f>
        <v>0</v>
      </c>
      <c r="DE104" s="5">
        <f ca="1">SUM(OFFSET(Demand!$H$43,ROW(I101)-1,(COLUMN(I101)-1)*5,1,1))*V$2</f>
        <v>0</v>
      </c>
      <c r="DF104" s="5">
        <f ca="1">SUM(OFFSET(Demand!$H$43,ROW(J101)-1,(COLUMN(J101)-1)*5,1,1))*W$2</f>
        <v>0</v>
      </c>
      <c r="DG104" s="5">
        <f t="shared" ca="1" si="36"/>
        <v>0</v>
      </c>
    </row>
    <row r="105" spans="1:111" x14ac:dyDescent="0.2">
      <c r="A105" s="5">
        <f t="shared" ca="1" si="30"/>
        <v>0</v>
      </c>
      <c r="B105" s="5">
        <f ca="1">COUNTBLANK(OFFSET(Demand!$I114,0,(COLUMN(A102)-1)*5,1,1))</f>
        <v>0</v>
      </c>
      <c r="C105" s="5">
        <f ca="1">COUNTBLANK(OFFSET(Demand!$I114,0,(COLUMN(B102)-1)*5,1,1))</f>
        <v>0</v>
      </c>
      <c r="D105" s="5">
        <f ca="1">COUNTBLANK(OFFSET(Demand!$I114,0,(COLUMN(C102)-1)*5,1,1))</f>
        <v>1</v>
      </c>
      <c r="E105" s="5">
        <f ca="1">COUNTBLANK(OFFSET(Demand!$I114,0,(COLUMN(D102)-1)*5,1,1))</f>
        <v>1</v>
      </c>
      <c r="F105" s="5">
        <f ca="1">COUNTBLANK(OFFSET(Demand!$I114,0,(COLUMN(E102)-1)*5,1,1))</f>
        <v>1</v>
      </c>
      <c r="G105" s="5">
        <f ca="1">COUNTBLANK(OFFSET(Demand!$I114,0,(COLUMN(F102)-1)*5,1,1))</f>
        <v>1</v>
      </c>
      <c r="H105" s="5">
        <f ca="1">COUNTBLANK(OFFSET(Demand!$I114,0,(COLUMN(G102)-1)*5,1,1))</f>
        <v>1</v>
      </c>
      <c r="I105" s="5">
        <f ca="1">COUNTBLANK(OFFSET(Demand!$I114,0,(COLUMN(H102)-1)*5,1,1))</f>
        <v>1</v>
      </c>
      <c r="J105" s="5">
        <f ca="1">COUNTBLANK(OFFSET(Demand!$I114,0,(COLUMN(I102)-1)*5,1,1))</f>
        <v>1</v>
      </c>
      <c r="K105" s="5">
        <f ca="1">COUNTBLANK(OFFSET(Demand!$I114,0,(COLUMN(J102)-1)*5,1,1))</f>
        <v>1</v>
      </c>
      <c r="N105" s="5">
        <f ca="1">SUM(OFFSET(Demand!$E114,0,(COLUMN(A102)-1)*5,1,3))*N$2</f>
        <v>60</v>
      </c>
      <c r="O105" s="5">
        <f ca="1">SUM(OFFSET(Demand!$E114,0,(COLUMN(B102)-1)*5,1,3))*O$2</f>
        <v>720</v>
      </c>
      <c r="P105" s="5">
        <f ca="1">SUM(OFFSET(Demand!$E114,0,(COLUMN(C102)-1)*5,1,3))*P$2</f>
        <v>0</v>
      </c>
      <c r="Q105" s="5">
        <f ca="1">SUM(OFFSET(Demand!$E114,0,(COLUMN(D102)-1)*5,1,3))*Q$2</f>
        <v>0</v>
      </c>
      <c r="R105" s="5">
        <f ca="1">SUM(OFFSET(Demand!$E114,0,(COLUMN(E102)-1)*5,1,3))*R$2</f>
        <v>0</v>
      </c>
      <c r="S105" s="5">
        <f ca="1">SUM(OFFSET(Demand!$E114,0,(COLUMN(F102)-1)*5,1,3))*S$2</f>
        <v>0</v>
      </c>
      <c r="T105" s="5">
        <f ca="1">SUM(OFFSET(Demand!$E114,0,(COLUMN(G102)-1)*5,1,3))*T$2</f>
        <v>0</v>
      </c>
      <c r="U105" s="5">
        <f ca="1">SUM(OFFSET(Demand!$E114,0,(COLUMN(H102)-1)*5,1,3))*U$2</f>
        <v>0</v>
      </c>
      <c r="V105" s="5">
        <f ca="1">SUM(OFFSET(Demand!$E114,0,(COLUMN(I102)-1)*5,1,3))*V$2</f>
        <v>0</v>
      </c>
      <c r="W105" s="5">
        <f ca="1">SUM(OFFSET(Demand!$E114,0,(COLUMN(J102)-1)*5,1,3))*W$2</f>
        <v>0</v>
      </c>
      <c r="X105" s="5">
        <f t="shared" ca="1" si="31"/>
        <v>780</v>
      </c>
      <c r="Y105">
        <f t="shared" ca="1" si="32"/>
        <v>780</v>
      </c>
      <c r="Z105" s="5">
        <f ca="1">SUM(OFFSET(Demand!$H114,0,(COLUMN(A102)-1)*5,1,1))*N$2</f>
        <v>0</v>
      </c>
      <c r="AA105" s="5">
        <f ca="1">SUM(OFFSET(Demand!$H114,0,(COLUMN(B102)-1)*5,1,1))*O$2</f>
        <v>0</v>
      </c>
      <c r="AB105" s="5">
        <f ca="1">SUM(OFFSET(Demand!$H114,0,(COLUMN(C102)-1)*5,1,1))*P$2</f>
        <v>0</v>
      </c>
      <c r="AC105" s="5">
        <f ca="1">SUM(OFFSET(Demand!$H114,0,(COLUMN(D102)-1)*5,1,1))*Q$2</f>
        <v>0</v>
      </c>
      <c r="AD105" s="5">
        <f ca="1">SUM(OFFSET(Demand!$H114,0,(COLUMN(E102)-1)*5,1,1))*R$2</f>
        <v>0</v>
      </c>
      <c r="AE105" s="5">
        <f ca="1">SUM(OFFSET(Demand!$H114,0,(COLUMN(F102)-1)*5,1,1))*S$2</f>
        <v>0</v>
      </c>
      <c r="AF105" s="5">
        <f ca="1">SUM(OFFSET(Demand!$H114,0,(COLUMN(G102)-1)*5,1,1))*T$2</f>
        <v>0</v>
      </c>
      <c r="AG105" s="5">
        <f ca="1">SUM(OFFSET(Demand!$H114,0,(COLUMN(H102)-1)*5,1,1))*U$2</f>
        <v>0</v>
      </c>
      <c r="AH105" s="5">
        <f ca="1">SUM(OFFSET(Demand!$H114,0,(COLUMN(I102)-1)*5,1,1))*V$2</f>
        <v>0</v>
      </c>
      <c r="AI105" s="5">
        <f ca="1">SUM(OFFSET(Demand!$H114,0,(COLUMN(J102)-1)*5,1,1))*W$2</f>
        <v>0</v>
      </c>
      <c r="AJ105" s="5">
        <f t="shared" ca="1" si="33"/>
        <v>0</v>
      </c>
      <c r="AL105" s="5">
        <f t="shared" ca="1" si="34"/>
        <v>780</v>
      </c>
      <c r="AM105" s="5">
        <f t="shared" ca="1" si="35"/>
        <v>0</v>
      </c>
      <c r="AN105" s="5" t="str">
        <f>IF(Demand!BE114="Yes","Yes","")</f>
        <v/>
      </c>
      <c r="AP105" s="37" t="str">
        <f ca="1">Demand!B114</f>
        <v xml:space="preserve"> </v>
      </c>
      <c r="AQ105" t="str">
        <f ca="1">IF(TEXT(Demand!D114,"MMM")&lt;&gt;TEXT(Demand!D113,"MMM"),TEXT(Demand!D114,"MMM"),"")</f>
        <v/>
      </c>
      <c r="AT105" s="5">
        <f t="shared" ca="1" si="37"/>
        <v>510</v>
      </c>
      <c r="BQ105">
        <f ca="1">IF($AN105="",OFFSET(Demand!$A$13,ROW(A102)-1,4+((QUOTIENT(COLUMN(BQ$2)-69,3))*5)+MOD(COLUMN(BQ$2),3),1,1),"")</f>
        <v>0</v>
      </c>
      <c r="BR105">
        <f ca="1">IF($AN105="",OFFSET(Demand!$A$13,ROW(B102)-1,4+((QUOTIENT(COLUMN(BR$2)-69,3))*5)+MOD(COLUMN(BR$2),3),1,1),"")</f>
        <v>1</v>
      </c>
      <c r="BS105">
        <f ca="1">IF($AN105="",OFFSET(Demand!$A$13,ROW(C102)-1,4+((QUOTIENT(COLUMN(BS$2)-69,3))*5)+MOD(COLUMN(BS$2),3),1,1),"")</f>
        <v>1</v>
      </c>
      <c r="BT105">
        <f ca="1">IF($AN105="",OFFSET(Demand!$A$13,ROW(D102)-1,4+((QUOTIENT(COLUMN(BT$2)-69,3))*5)+MOD(COLUMN(BT$2),3),1,1),"")</f>
        <v>0</v>
      </c>
      <c r="BU105">
        <f ca="1">IF($AN105="",OFFSET(Demand!$A$13,ROW(E102)-1,4+((QUOTIENT(COLUMN(BU$2)-69,3))*5)+MOD(COLUMN(BU$2),3),1,1),"")</f>
        <v>2</v>
      </c>
      <c r="BV105">
        <f ca="1">IF($AN105="",OFFSET(Demand!$A$13,ROW(F102)-1,4+((QUOTIENT(COLUMN(BV$2)-69,3))*5)+MOD(COLUMN(BV$2),3),1,1),"")</f>
        <v>16</v>
      </c>
      <c r="BW105">
        <f ca="1">IF($AN105="",OFFSET(Demand!$A$13,ROW(G102)-1,4+((QUOTIENT(COLUMN(BW$2)-69,3))*5)+MOD(COLUMN(BW$2),3),1,1),"")</f>
        <v>0</v>
      </c>
      <c r="BX105">
        <f ca="1">IF($AN105="",OFFSET(Demand!$A$13,ROW(H102)-1,4+((QUOTIENT(COLUMN(BX$2)-69,3))*5)+MOD(COLUMN(BX$2),3),1,1),"")</f>
        <v>0</v>
      </c>
      <c r="BY105">
        <f ca="1">IF($AN105="",OFFSET(Demand!$A$13,ROW(I102)-1,4+((QUOTIENT(COLUMN(BY$2)-69,3))*5)+MOD(COLUMN(BY$2),3),1,1),"")</f>
        <v>0</v>
      </c>
      <c r="BZ105">
        <f ca="1">IF($AN105="",OFFSET(Demand!$A$13,ROW(J102)-1,4+((QUOTIENT(COLUMN(BZ$2)-69,3))*5)+MOD(COLUMN(BZ$2),3),1,1),"")</f>
        <v>0</v>
      </c>
      <c r="CA105">
        <f ca="1">IF($AN105="",OFFSET(Demand!$A$13,ROW(K102)-1,4+((QUOTIENT(COLUMN(CA$2)-69,3))*5)+MOD(COLUMN(CA$2),3),1,1),"")</f>
        <v>0</v>
      </c>
      <c r="CB105">
        <f ca="1">IF($AN105="",OFFSET(Demand!$A$13,ROW(L102)-1,4+((QUOTIENT(COLUMN(CB$2)-69,3))*5)+MOD(COLUMN(CB$2),3),1,1),"")</f>
        <v>0</v>
      </c>
      <c r="CC105">
        <f ca="1">IF($AN105="",OFFSET(Demand!$A$13,ROW(M102)-1,4+((QUOTIENT(COLUMN(CC$2)-69,3))*5)+MOD(COLUMN(CC$2),3),1,1),"")</f>
        <v>0</v>
      </c>
      <c r="CD105">
        <f ca="1">IF($AN105="",OFFSET(Demand!$A$13,ROW(N102)-1,4+((QUOTIENT(COLUMN(CD$2)-69,3))*5)+MOD(COLUMN(CD$2),3),1,1),"")</f>
        <v>0</v>
      </c>
      <c r="CE105">
        <f ca="1">IF($AN105="",OFFSET(Demand!$A$13,ROW(O102)-1,4+((QUOTIENT(COLUMN(CE$2)-69,3))*5)+MOD(COLUMN(CE$2),3),1,1),"")</f>
        <v>0</v>
      </c>
      <c r="CF105">
        <f ca="1">IF($AN105="",OFFSET(Demand!$A$13,ROW(P102)-1,4+((QUOTIENT(COLUMN(CF$2)-69,3))*5)+MOD(COLUMN(CF$2),3),1,1),"")</f>
        <v>0</v>
      </c>
      <c r="CG105">
        <f ca="1">IF($AN105="",OFFSET(Demand!$A$13,ROW(Q102)-1,4+((QUOTIENT(COLUMN(CG$2)-69,3))*5)+MOD(COLUMN(CG$2),3),1,1),"")</f>
        <v>0</v>
      </c>
      <c r="CH105">
        <f ca="1">IF($AN105="",OFFSET(Demand!$A$13,ROW(R102)-1,4+((QUOTIENT(COLUMN(CH$2)-69,3))*5)+MOD(COLUMN(CH$2),3),1,1),"")</f>
        <v>0</v>
      </c>
      <c r="CI105">
        <f ca="1">IF($AN105="",OFFSET(Demand!$A$13,ROW(S102)-1,4+((QUOTIENT(COLUMN(CI$2)-69,3))*5)+MOD(COLUMN(CI$2),3),1,1),"")</f>
        <v>0</v>
      </c>
      <c r="CJ105">
        <f ca="1">IF($AN105="",OFFSET(Demand!$A$13,ROW(T102)-1,4+((QUOTIENT(COLUMN(CJ$2)-69,3))*5)+MOD(COLUMN(CJ$2),3),1,1),"")</f>
        <v>0</v>
      </c>
      <c r="CK105">
        <f ca="1">IF($AN105="",OFFSET(Demand!$A$13,ROW(U102)-1,4+((QUOTIENT(COLUMN(CK$2)-69,3))*5)+MOD(COLUMN(CK$2),3),1,1),"")</f>
        <v>0</v>
      </c>
      <c r="CL105">
        <f ca="1">IF($AN105="",OFFSET(Demand!$A$13,ROW(V102)-1,4+((QUOTIENT(COLUMN(CL$2)-69,3))*5)+MOD(COLUMN(CL$2),3),1,1),"")</f>
        <v>0</v>
      </c>
      <c r="CM105">
        <f ca="1">IF($AN105="",OFFSET(Demand!$A$13,ROW(W102)-1,4+((QUOTIENT(COLUMN(CM$2)-69,3))*5)+MOD(COLUMN(CM$2),3),1,1),"")</f>
        <v>0</v>
      </c>
      <c r="CN105">
        <f ca="1">IF($AN105="",OFFSET(Demand!$A$13,ROW(X102)-1,4+((QUOTIENT(COLUMN(CN$2)-69,3))*5)+MOD(COLUMN(CN$2),3),1,1),"")</f>
        <v>0</v>
      </c>
      <c r="CO105">
        <f ca="1">IF($AN105="",OFFSET(Demand!$A$13,ROW(Y102)-1,4+((QUOTIENT(COLUMN(CO$2)-69,3))*5)+MOD(COLUMN(CO$2),3),1,1),"")</f>
        <v>0</v>
      </c>
      <c r="CP105">
        <f ca="1">IF($AN105="",OFFSET(Demand!$A$13,ROW(Z102)-1,4+((QUOTIENT(COLUMN(CP$2)-69,3))*5)+MOD(COLUMN(CP$2),3),1,1),"")</f>
        <v>0</v>
      </c>
      <c r="CQ105">
        <f ca="1">IF($AN105="",OFFSET(Demand!$A$13,ROW(AA102)-1,4+((QUOTIENT(COLUMN(CQ$2)-69,3))*5)+MOD(COLUMN(CQ$2),3),1,1),"")</f>
        <v>0</v>
      </c>
      <c r="CR105">
        <f ca="1">IF($AN105="",OFFSET(Demand!$A$13,ROW(AB102)-1,4+((QUOTIENT(COLUMN(CR$2)-69,3))*5)+MOD(COLUMN(CR$2),3),1,1),"")</f>
        <v>0</v>
      </c>
      <c r="CS105">
        <f ca="1">IF($AN105="",OFFSET(Demand!$A$13,ROW(AC102)-1,4+((QUOTIENT(COLUMN(CS$2)-69,3))*5)+MOD(COLUMN(CS$2),3),1,1),"")</f>
        <v>0</v>
      </c>
      <c r="CT105">
        <f ca="1">IF($AN105="",OFFSET(Demand!$A$13,ROW(AD102)-1,4+((QUOTIENT(COLUMN(CT$2)-69,3))*5)+MOD(COLUMN(CT$2),3),1,1),"")</f>
        <v>0</v>
      </c>
      <c r="CW105" s="5">
        <f ca="1">SUM(OFFSET(Demand!$H$43,ROW(A102)-1,(COLUMN(A102)-1)*5,1,1))*N$2</f>
        <v>0</v>
      </c>
      <c r="CX105" s="5">
        <f ca="1">SUM(OFFSET(Demand!$H$43,ROW(B102)-1,(COLUMN(B102)-1)*5,1,1))*O$2</f>
        <v>0</v>
      </c>
      <c r="CY105" s="5">
        <f ca="1">SUM(OFFSET(Demand!$H$43,ROW(C102)-1,(COLUMN(C102)-1)*5,1,1))*P$2</f>
        <v>0</v>
      </c>
      <c r="CZ105" s="5">
        <f ca="1">SUM(OFFSET(Demand!$H$43,ROW(D102)-1,(COLUMN(D102)-1)*5,1,1))*Q$2</f>
        <v>0</v>
      </c>
      <c r="DA105" s="5">
        <f ca="1">SUM(OFFSET(Demand!$H$43,ROW(E102)-1,(COLUMN(E102)-1)*5,1,1))*R$2</f>
        <v>0</v>
      </c>
      <c r="DB105" s="5">
        <f ca="1">SUM(OFFSET(Demand!$H$43,ROW(F102)-1,(COLUMN(F102)-1)*5,1,1))*S$2</f>
        <v>0</v>
      </c>
      <c r="DC105" s="5">
        <f ca="1">SUM(OFFSET(Demand!$H$43,ROW(G102)-1,(COLUMN(G102)-1)*5,1,1))*T$2</f>
        <v>0</v>
      </c>
      <c r="DD105" s="5">
        <f ca="1">SUM(OFFSET(Demand!$H$43,ROW(H102)-1,(COLUMN(H102)-1)*5,1,1))*U$2</f>
        <v>0</v>
      </c>
      <c r="DE105" s="5">
        <f ca="1">SUM(OFFSET(Demand!$H$43,ROW(I102)-1,(COLUMN(I102)-1)*5,1,1))*V$2</f>
        <v>0</v>
      </c>
      <c r="DF105" s="5">
        <f ca="1">SUM(OFFSET(Demand!$H$43,ROW(J102)-1,(COLUMN(J102)-1)*5,1,1))*W$2</f>
        <v>0</v>
      </c>
      <c r="DG105" s="5">
        <f t="shared" ca="1" si="36"/>
        <v>0</v>
      </c>
    </row>
    <row r="106" spans="1:111" x14ac:dyDescent="0.2">
      <c r="A106" s="5">
        <f t="shared" ca="1" si="30"/>
        <v>0</v>
      </c>
      <c r="B106" s="5">
        <f ca="1">COUNTBLANK(OFFSET(Demand!$I115,0,(COLUMN(A103)-1)*5,1,1))</f>
        <v>0</v>
      </c>
      <c r="C106" s="5">
        <f ca="1">COUNTBLANK(OFFSET(Demand!$I115,0,(COLUMN(B103)-1)*5,1,1))</f>
        <v>0</v>
      </c>
      <c r="D106" s="5">
        <f ca="1">COUNTBLANK(OFFSET(Demand!$I115,0,(COLUMN(C103)-1)*5,1,1))</f>
        <v>1</v>
      </c>
      <c r="E106" s="5">
        <f ca="1">COUNTBLANK(OFFSET(Demand!$I115,0,(COLUMN(D103)-1)*5,1,1))</f>
        <v>1</v>
      </c>
      <c r="F106" s="5">
        <f ca="1">COUNTBLANK(OFFSET(Demand!$I115,0,(COLUMN(E103)-1)*5,1,1))</f>
        <v>1</v>
      </c>
      <c r="G106" s="5">
        <f ca="1">COUNTBLANK(OFFSET(Demand!$I115,0,(COLUMN(F103)-1)*5,1,1))</f>
        <v>1</v>
      </c>
      <c r="H106" s="5">
        <f ca="1">COUNTBLANK(OFFSET(Demand!$I115,0,(COLUMN(G103)-1)*5,1,1))</f>
        <v>1</v>
      </c>
      <c r="I106" s="5">
        <f ca="1">COUNTBLANK(OFFSET(Demand!$I115,0,(COLUMN(H103)-1)*5,1,1))</f>
        <v>1</v>
      </c>
      <c r="J106" s="5">
        <f ca="1">COUNTBLANK(OFFSET(Demand!$I115,0,(COLUMN(I103)-1)*5,1,1))</f>
        <v>1</v>
      </c>
      <c r="K106" s="5">
        <f ca="1">COUNTBLANK(OFFSET(Demand!$I115,0,(COLUMN(J103)-1)*5,1,1))</f>
        <v>1</v>
      </c>
      <c r="N106" s="5">
        <f ca="1">SUM(OFFSET(Demand!$E115,0,(COLUMN(A103)-1)*5,1,3))*N$2</f>
        <v>300</v>
      </c>
      <c r="O106" s="5">
        <f ca="1">SUM(OFFSET(Demand!$E115,0,(COLUMN(B103)-1)*5,1,3))*O$2</f>
        <v>440</v>
      </c>
      <c r="P106" s="5">
        <f ca="1">SUM(OFFSET(Demand!$E115,0,(COLUMN(C103)-1)*5,1,3))*P$2</f>
        <v>0</v>
      </c>
      <c r="Q106" s="5">
        <f ca="1">SUM(OFFSET(Demand!$E115,0,(COLUMN(D103)-1)*5,1,3))*Q$2</f>
        <v>0</v>
      </c>
      <c r="R106" s="5">
        <f ca="1">SUM(OFFSET(Demand!$E115,0,(COLUMN(E103)-1)*5,1,3))*R$2</f>
        <v>0</v>
      </c>
      <c r="S106" s="5">
        <f ca="1">SUM(OFFSET(Demand!$E115,0,(COLUMN(F103)-1)*5,1,3))*S$2</f>
        <v>0</v>
      </c>
      <c r="T106" s="5">
        <f ca="1">SUM(OFFSET(Demand!$E115,0,(COLUMN(G103)-1)*5,1,3))*T$2</f>
        <v>0</v>
      </c>
      <c r="U106" s="5">
        <f ca="1">SUM(OFFSET(Demand!$E115,0,(COLUMN(H103)-1)*5,1,3))*U$2</f>
        <v>0</v>
      </c>
      <c r="V106" s="5">
        <f ca="1">SUM(OFFSET(Demand!$E115,0,(COLUMN(I103)-1)*5,1,3))*V$2</f>
        <v>0</v>
      </c>
      <c r="W106" s="5">
        <f ca="1">SUM(OFFSET(Demand!$E115,0,(COLUMN(J103)-1)*5,1,3))*W$2</f>
        <v>0</v>
      </c>
      <c r="X106" s="5">
        <f t="shared" ca="1" si="31"/>
        <v>740</v>
      </c>
      <c r="Y106">
        <f t="shared" ca="1" si="32"/>
        <v>740</v>
      </c>
      <c r="Z106" s="5">
        <f ca="1">SUM(OFFSET(Demand!$H115,0,(COLUMN(A103)-1)*5,1,1))*N$2</f>
        <v>0</v>
      </c>
      <c r="AA106" s="5">
        <f ca="1">SUM(OFFSET(Demand!$H115,0,(COLUMN(B103)-1)*5,1,1))*O$2</f>
        <v>0</v>
      </c>
      <c r="AB106" s="5">
        <f ca="1">SUM(OFFSET(Demand!$H115,0,(COLUMN(C103)-1)*5,1,1))*P$2</f>
        <v>0</v>
      </c>
      <c r="AC106" s="5">
        <f ca="1">SUM(OFFSET(Demand!$H115,0,(COLUMN(D103)-1)*5,1,1))*Q$2</f>
        <v>0</v>
      </c>
      <c r="AD106" s="5">
        <f ca="1">SUM(OFFSET(Demand!$H115,0,(COLUMN(E103)-1)*5,1,1))*R$2</f>
        <v>0</v>
      </c>
      <c r="AE106" s="5">
        <f ca="1">SUM(OFFSET(Demand!$H115,0,(COLUMN(F103)-1)*5,1,1))*S$2</f>
        <v>0</v>
      </c>
      <c r="AF106" s="5">
        <f ca="1">SUM(OFFSET(Demand!$H115,0,(COLUMN(G103)-1)*5,1,1))*T$2</f>
        <v>0</v>
      </c>
      <c r="AG106" s="5">
        <f ca="1">SUM(OFFSET(Demand!$H115,0,(COLUMN(H103)-1)*5,1,1))*U$2</f>
        <v>0</v>
      </c>
      <c r="AH106" s="5">
        <f ca="1">SUM(OFFSET(Demand!$H115,0,(COLUMN(I103)-1)*5,1,1))*V$2</f>
        <v>0</v>
      </c>
      <c r="AI106" s="5">
        <f ca="1">SUM(OFFSET(Demand!$H115,0,(COLUMN(J103)-1)*5,1,1))*W$2</f>
        <v>0</v>
      </c>
      <c r="AJ106" s="5">
        <f t="shared" ca="1" si="33"/>
        <v>0</v>
      </c>
      <c r="AL106" s="5">
        <f t="shared" ca="1" si="34"/>
        <v>740</v>
      </c>
      <c r="AM106" s="5">
        <f t="shared" ca="1" si="35"/>
        <v>0</v>
      </c>
      <c r="AN106" s="5" t="str">
        <f>IF(Demand!BE115="Yes","Yes","")</f>
        <v/>
      </c>
      <c r="AP106" s="37" t="str">
        <f ca="1">Demand!B115</f>
        <v xml:space="preserve"> </v>
      </c>
      <c r="AQ106" t="str">
        <f ca="1">IF(TEXT(Demand!D115,"MMM")&lt;&gt;TEXT(Demand!D114,"MMM"),TEXT(Demand!D115,"MMM"),"")</f>
        <v/>
      </c>
      <c r="AT106" s="5">
        <f t="shared" ca="1" si="37"/>
        <v>40</v>
      </c>
      <c r="BQ106">
        <f ca="1">IF($AN106="",OFFSET(Demand!$A$13,ROW(A103)-1,4+((QUOTIENT(COLUMN(BQ$2)-69,3))*5)+MOD(COLUMN(BQ$2),3),1,1),"")</f>
        <v>0</v>
      </c>
      <c r="BR106">
        <f ca="1">IF($AN106="",OFFSET(Demand!$A$13,ROW(B103)-1,4+((QUOTIENT(COLUMN(BR$2)-69,3))*5)+MOD(COLUMN(BR$2),3),1,1),"")</f>
        <v>0</v>
      </c>
      <c r="BS106">
        <f ca="1">IF($AN106="",OFFSET(Demand!$A$13,ROW(C103)-1,4+((QUOTIENT(COLUMN(BS$2)-69,3))*5)+MOD(COLUMN(BS$2),3),1,1),"")</f>
        <v>10</v>
      </c>
      <c r="BT106">
        <f ca="1">IF($AN106="",OFFSET(Demand!$A$13,ROW(D103)-1,4+((QUOTIENT(COLUMN(BT$2)-69,3))*5)+MOD(COLUMN(BT$2),3),1,1),"")</f>
        <v>0</v>
      </c>
      <c r="BU106">
        <f ca="1">IF($AN106="",OFFSET(Demand!$A$13,ROW(E103)-1,4+((QUOTIENT(COLUMN(BU$2)-69,3))*5)+MOD(COLUMN(BU$2),3),1,1),"")</f>
        <v>5</v>
      </c>
      <c r="BV106">
        <f ca="1">IF($AN106="",OFFSET(Demand!$A$13,ROW(F103)-1,4+((QUOTIENT(COLUMN(BV$2)-69,3))*5)+MOD(COLUMN(BV$2),3),1,1),"")</f>
        <v>6</v>
      </c>
      <c r="BW106">
        <f ca="1">IF($AN106="",OFFSET(Demand!$A$13,ROW(G103)-1,4+((QUOTIENT(COLUMN(BW$2)-69,3))*5)+MOD(COLUMN(BW$2),3),1,1),"")</f>
        <v>0</v>
      </c>
      <c r="BX106">
        <f ca="1">IF($AN106="",OFFSET(Demand!$A$13,ROW(H103)-1,4+((QUOTIENT(COLUMN(BX$2)-69,3))*5)+MOD(COLUMN(BX$2),3),1,1),"")</f>
        <v>0</v>
      </c>
      <c r="BY106">
        <f ca="1">IF($AN106="",OFFSET(Demand!$A$13,ROW(I103)-1,4+((QUOTIENT(COLUMN(BY$2)-69,3))*5)+MOD(COLUMN(BY$2),3),1,1),"")</f>
        <v>0</v>
      </c>
      <c r="BZ106">
        <f ca="1">IF($AN106="",OFFSET(Demand!$A$13,ROW(J103)-1,4+((QUOTIENT(COLUMN(BZ$2)-69,3))*5)+MOD(COLUMN(BZ$2),3),1,1),"")</f>
        <v>0</v>
      </c>
      <c r="CA106">
        <f ca="1">IF($AN106="",OFFSET(Demand!$A$13,ROW(K103)-1,4+((QUOTIENT(COLUMN(CA$2)-69,3))*5)+MOD(COLUMN(CA$2),3),1,1),"")</f>
        <v>0</v>
      </c>
      <c r="CB106">
        <f ca="1">IF($AN106="",OFFSET(Demand!$A$13,ROW(L103)-1,4+((QUOTIENT(COLUMN(CB$2)-69,3))*5)+MOD(COLUMN(CB$2),3),1,1),"")</f>
        <v>0</v>
      </c>
      <c r="CC106">
        <f ca="1">IF($AN106="",OFFSET(Demand!$A$13,ROW(M103)-1,4+((QUOTIENT(COLUMN(CC$2)-69,3))*5)+MOD(COLUMN(CC$2),3),1,1),"")</f>
        <v>0</v>
      </c>
      <c r="CD106">
        <f ca="1">IF($AN106="",OFFSET(Demand!$A$13,ROW(N103)-1,4+((QUOTIENT(COLUMN(CD$2)-69,3))*5)+MOD(COLUMN(CD$2),3),1,1),"")</f>
        <v>0</v>
      </c>
      <c r="CE106">
        <f ca="1">IF($AN106="",OFFSET(Demand!$A$13,ROW(O103)-1,4+((QUOTIENT(COLUMN(CE$2)-69,3))*5)+MOD(COLUMN(CE$2),3),1,1),"")</f>
        <v>0</v>
      </c>
      <c r="CF106">
        <f ca="1">IF($AN106="",OFFSET(Demand!$A$13,ROW(P103)-1,4+((QUOTIENT(COLUMN(CF$2)-69,3))*5)+MOD(COLUMN(CF$2),3),1,1),"")</f>
        <v>0</v>
      </c>
      <c r="CG106">
        <f ca="1">IF($AN106="",OFFSET(Demand!$A$13,ROW(Q103)-1,4+((QUOTIENT(COLUMN(CG$2)-69,3))*5)+MOD(COLUMN(CG$2),3),1,1),"")</f>
        <v>0</v>
      </c>
      <c r="CH106">
        <f ca="1">IF($AN106="",OFFSET(Demand!$A$13,ROW(R103)-1,4+((QUOTIENT(COLUMN(CH$2)-69,3))*5)+MOD(COLUMN(CH$2),3),1,1),"")</f>
        <v>0</v>
      </c>
      <c r="CI106">
        <f ca="1">IF($AN106="",OFFSET(Demand!$A$13,ROW(S103)-1,4+((QUOTIENT(COLUMN(CI$2)-69,3))*5)+MOD(COLUMN(CI$2),3),1,1),"")</f>
        <v>0</v>
      </c>
      <c r="CJ106">
        <f ca="1">IF($AN106="",OFFSET(Demand!$A$13,ROW(T103)-1,4+((QUOTIENT(COLUMN(CJ$2)-69,3))*5)+MOD(COLUMN(CJ$2),3),1,1),"")</f>
        <v>0</v>
      </c>
      <c r="CK106">
        <f ca="1">IF($AN106="",OFFSET(Demand!$A$13,ROW(U103)-1,4+((QUOTIENT(COLUMN(CK$2)-69,3))*5)+MOD(COLUMN(CK$2),3),1,1),"")</f>
        <v>0</v>
      </c>
      <c r="CL106">
        <f ca="1">IF($AN106="",OFFSET(Demand!$A$13,ROW(V103)-1,4+((QUOTIENT(COLUMN(CL$2)-69,3))*5)+MOD(COLUMN(CL$2),3),1,1),"")</f>
        <v>0</v>
      </c>
      <c r="CM106">
        <f ca="1">IF($AN106="",OFFSET(Demand!$A$13,ROW(W103)-1,4+((QUOTIENT(COLUMN(CM$2)-69,3))*5)+MOD(COLUMN(CM$2),3),1,1),"")</f>
        <v>0</v>
      </c>
      <c r="CN106">
        <f ca="1">IF($AN106="",OFFSET(Demand!$A$13,ROW(X103)-1,4+((QUOTIENT(COLUMN(CN$2)-69,3))*5)+MOD(COLUMN(CN$2),3),1,1),"")</f>
        <v>0</v>
      </c>
      <c r="CO106">
        <f ca="1">IF($AN106="",OFFSET(Demand!$A$13,ROW(Y103)-1,4+((QUOTIENT(COLUMN(CO$2)-69,3))*5)+MOD(COLUMN(CO$2),3),1,1),"")</f>
        <v>0</v>
      </c>
      <c r="CP106">
        <f ca="1">IF($AN106="",OFFSET(Demand!$A$13,ROW(Z103)-1,4+((QUOTIENT(COLUMN(CP$2)-69,3))*5)+MOD(COLUMN(CP$2),3),1,1),"")</f>
        <v>0</v>
      </c>
      <c r="CQ106">
        <f ca="1">IF($AN106="",OFFSET(Demand!$A$13,ROW(AA103)-1,4+((QUOTIENT(COLUMN(CQ$2)-69,3))*5)+MOD(COLUMN(CQ$2),3),1,1),"")</f>
        <v>0</v>
      </c>
      <c r="CR106">
        <f ca="1">IF($AN106="",OFFSET(Demand!$A$13,ROW(AB103)-1,4+((QUOTIENT(COLUMN(CR$2)-69,3))*5)+MOD(COLUMN(CR$2),3),1,1),"")</f>
        <v>0</v>
      </c>
      <c r="CS106">
        <f ca="1">IF($AN106="",OFFSET(Demand!$A$13,ROW(AC103)-1,4+((QUOTIENT(COLUMN(CS$2)-69,3))*5)+MOD(COLUMN(CS$2),3),1,1),"")</f>
        <v>0</v>
      </c>
      <c r="CT106">
        <f ca="1">IF($AN106="",OFFSET(Demand!$A$13,ROW(AD103)-1,4+((QUOTIENT(COLUMN(CT$2)-69,3))*5)+MOD(COLUMN(CT$2),3),1,1),"")</f>
        <v>0</v>
      </c>
      <c r="CW106" s="5">
        <f ca="1">SUM(OFFSET(Demand!$H$43,ROW(A103)-1,(COLUMN(A103)-1)*5,1,1))*N$2</f>
        <v>0</v>
      </c>
      <c r="CX106" s="5">
        <f ca="1">SUM(OFFSET(Demand!$H$43,ROW(B103)-1,(COLUMN(B103)-1)*5,1,1))*O$2</f>
        <v>0</v>
      </c>
      <c r="CY106" s="5">
        <f ca="1">SUM(OFFSET(Demand!$H$43,ROW(C103)-1,(COLUMN(C103)-1)*5,1,1))*P$2</f>
        <v>0</v>
      </c>
      <c r="CZ106" s="5">
        <f ca="1">SUM(OFFSET(Demand!$H$43,ROW(D103)-1,(COLUMN(D103)-1)*5,1,1))*Q$2</f>
        <v>0</v>
      </c>
      <c r="DA106" s="5">
        <f ca="1">SUM(OFFSET(Demand!$H$43,ROW(E103)-1,(COLUMN(E103)-1)*5,1,1))*R$2</f>
        <v>0</v>
      </c>
      <c r="DB106" s="5">
        <f ca="1">SUM(OFFSET(Demand!$H$43,ROW(F103)-1,(COLUMN(F103)-1)*5,1,1))*S$2</f>
        <v>0</v>
      </c>
      <c r="DC106" s="5">
        <f ca="1">SUM(OFFSET(Demand!$H$43,ROW(G103)-1,(COLUMN(G103)-1)*5,1,1))*T$2</f>
        <v>0</v>
      </c>
      <c r="DD106" s="5">
        <f ca="1">SUM(OFFSET(Demand!$H$43,ROW(H103)-1,(COLUMN(H103)-1)*5,1,1))*U$2</f>
        <v>0</v>
      </c>
      <c r="DE106" s="5">
        <f ca="1">SUM(OFFSET(Demand!$H$43,ROW(I103)-1,(COLUMN(I103)-1)*5,1,1))*V$2</f>
        <v>0</v>
      </c>
      <c r="DF106" s="5">
        <f ca="1">SUM(OFFSET(Demand!$H$43,ROW(J103)-1,(COLUMN(J103)-1)*5,1,1))*W$2</f>
        <v>0</v>
      </c>
      <c r="DG106" s="5">
        <f t="shared" ca="1" si="36"/>
        <v>0</v>
      </c>
    </row>
    <row r="107" spans="1:111" x14ac:dyDescent="0.2">
      <c r="A107" s="5">
        <f t="shared" ca="1" si="30"/>
        <v>0</v>
      </c>
      <c r="B107" s="5">
        <f ca="1">COUNTBLANK(OFFSET(Demand!$I116,0,(COLUMN(A104)-1)*5,1,1))</f>
        <v>0</v>
      </c>
      <c r="C107" s="5">
        <f ca="1">COUNTBLANK(OFFSET(Demand!$I116,0,(COLUMN(B104)-1)*5,1,1))</f>
        <v>0</v>
      </c>
      <c r="D107" s="5">
        <f ca="1">COUNTBLANK(OFFSET(Demand!$I116,0,(COLUMN(C104)-1)*5,1,1))</f>
        <v>1</v>
      </c>
      <c r="E107" s="5">
        <f ca="1">COUNTBLANK(OFFSET(Demand!$I116,0,(COLUMN(D104)-1)*5,1,1))</f>
        <v>1</v>
      </c>
      <c r="F107" s="5">
        <f ca="1">COUNTBLANK(OFFSET(Demand!$I116,0,(COLUMN(E104)-1)*5,1,1))</f>
        <v>1</v>
      </c>
      <c r="G107" s="5">
        <f ca="1">COUNTBLANK(OFFSET(Demand!$I116,0,(COLUMN(F104)-1)*5,1,1))</f>
        <v>1</v>
      </c>
      <c r="H107" s="5">
        <f ca="1">COUNTBLANK(OFFSET(Demand!$I116,0,(COLUMN(G104)-1)*5,1,1))</f>
        <v>1</v>
      </c>
      <c r="I107" s="5">
        <f ca="1">COUNTBLANK(OFFSET(Demand!$I116,0,(COLUMN(H104)-1)*5,1,1))</f>
        <v>1</v>
      </c>
      <c r="J107" s="5">
        <f ca="1">COUNTBLANK(OFFSET(Demand!$I116,0,(COLUMN(I104)-1)*5,1,1))</f>
        <v>1</v>
      </c>
      <c r="K107" s="5">
        <f ca="1">COUNTBLANK(OFFSET(Demand!$I116,0,(COLUMN(J104)-1)*5,1,1))</f>
        <v>1</v>
      </c>
      <c r="N107" s="5">
        <f ca="1">SUM(OFFSET(Demand!$E116,0,(COLUMN(A104)-1)*5,1,3))*N$2</f>
        <v>150</v>
      </c>
      <c r="O107" s="5">
        <f ca="1">SUM(OFFSET(Demand!$E116,0,(COLUMN(B104)-1)*5,1,3))*O$2</f>
        <v>360</v>
      </c>
      <c r="P107" s="5">
        <f ca="1">SUM(OFFSET(Demand!$E116,0,(COLUMN(C104)-1)*5,1,3))*P$2</f>
        <v>0</v>
      </c>
      <c r="Q107" s="5">
        <f ca="1">SUM(OFFSET(Demand!$E116,0,(COLUMN(D104)-1)*5,1,3))*Q$2</f>
        <v>0</v>
      </c>
      <c r="R107" s="5">
        <f ca="1">SUM(OFFSET(Demand!$E116,0,(COLUMN(E104)-1)*5,1,3))*R$2</f>
        <v>0</v>
      </c>
      <c r="S107" s="5">
        <f ca="1">SUM(OFFSET(Demand!$E116,0,(COLUMN(F104)-1)*5,1,3))*S$2</f>
        <v>0</v>
      </c>
      <c r="T107" s="5">
        <f ca="1">SUM(OFFSET(Demand!$E116,0,(COLUMN(G104)-1)*5,1,3))*T$2</f>
        <v>0</v>
      </c>
      <c r="U107" s="5">
        <f ca="1">SUM(OFFSET(Demand!$E116,0,(COLUMN(H104)-1)*5,1,3))*U$2</f>
        <v>0</v>
      </c>
      <c r="V107" s="5">
        <f ca="1">SUM(OFFSET(Demand!$E116,0,(COLUMN(I104)-1)*5,1,3))*V$2</f>
        <v>0</v>
      </c>
      <c r="W107" s="5">
        <f ca="1">SUM(OFFSET(Demand!$E116,0,(COLUMN(J104)-1)*5,1,3))*W$2</f>
        <v>0</v>
      </c>
      <c r="X107" s="5">
        <f t="shared" ca="1" si="31"/>
        <v>510</v>
      </c>
      <c r="Y107">
        <f t="shared" ca="1" si="32"/>
        <v>510</v>
      </c>
      <c r="Z107" s="5">
        <f ca="1">SUM(OFFSET(Demand!$H116,0,(COLUMN(A104)-1)*5,1,1))*N$2</f>
        <v>0</v>
      </c>
      <c r="AA107" s="5">
        <f ca="1">SUM(OFFSET(Demand!$H116,0,(COLUMN(B104)-1)*5,1,1))*O$2</f>
        <v>0</v>
      </c>
      <c r="AB107" s="5">
        <f ca="1">SUM(OFFSET(Demand!$H116,0,(COLUMN(C104)-1)*5,1,1))*P$2</f>
        <v>0</v>
      </c>
      <c r="AC107" s="5">
        <f ca="1">SUM(OFFSET(Demand!$H116,0,(COLUMN(D104)-1)*5,1,1))*Q$2</f>
        <v>0</v>
      </c>
      <c r="AD107" s="5">
        <f ca="1">SUM(OFFSET(Demand!$H116,0,(COLUMN(E104)-1)*5,1,1))*R$2</f>
        <v>0</v>
      </c>
      <c r="AE107" s="5">
        <f ca="1">SUM(OFFSET(Demand!$H116,0,(COLUMN(F104)-1)*5,1,1))*S$2</f>
        <v>0</v>
      </c>
      <c r="AF107" s="5">
        <f ca="1">SUM(OFFSET(Demand!$H116,0,(COLUMN(G104)-1)*5,1,1))*T$2</f>
        <v>0</v>
      </c>
      <c r="AG107" s="5">
        <f ca="1">SUM(OFFSET(Demand!$H116,0,(COLUMN(H104)-1)*5,1,1))*U$2</f>
        <v>0</v>
      </c>
      <c r="AH107" s="5">
        <f ca="1">SUM(OFFSET(Demand!$H116,0,(COLUMN(I104)-1)*5,1,1))*V$2</f>
        <v>0</v>
      </c>
      <c r="AI107" s="5">
        <f ca="1">SUM(OFFSET(Demand!$H116,0,(COLUMN(J104)-1)*5,1,1))*W$2</f>
        <v>0</v>
      </c>
      <c r="AJ107" s="5">
        <f t="shared" ca="1" si="33"/>
        <v>0</v>
      </c>
      <c r="AL107" s="5">
        <f t="shared" ca="1" si="34"/>
        <v>510</v>
      </c>
      <c r="AM107" s="5">
        <f t="shared" ca="1" si="35"/>
        <v>0</v>
      </c>
      <c r="AN107" s="5" t="str">
        <f>IF(Demand!BE116="Yes","Yes","")</f>
        <v/>
      </c>
      <c r="AP107" s="37" t="str">
        <f ca="1">Demand!B116</f>
        <v xml:space="preserve"> </v>
      </c>
      <c r="AQ107" t="str">
        <f ca="1">IF(TEXT(Demand!D116,"MMM")&lt;&gt;TEXT(Demand!D115,"MMM"),TEXT(Demand!D116,"MMM"),"")</f>
        <v/>
      </c>
      <c r="AT107" s="5">
        <f t="shared" ca="1" si="37"/>
        <v>230</v>
      </c>
      <c r="BQ107">
        <f ca="1">IF($AN107="",OFFSET(Demand!$A$13,ROW(A104)-1,4+((QUOTIENT(COLUMN(BQ$2)-69,3))*5)+MOD(COLUMN(BQ$2),3),1,1),"")</f>
        <v>0</v>
      </c>
      <c r="BR107">
        <f ca="1">IF($AN107="",OFFSET(Demand!$A$13,ROW(B104)-1,4+((QUOTIENT(COLUMN(BR$2)-69,3))*5)+MOD(COLUMN(BR$2),3),1,1),"")</f>
        <v>1</v>
      </c>
      <c r="BS107">
        <f ca="1">IF($AN107="",OFFSET(Demand!$A$13,ROW(C104)-1,4+((QUOTIENT(COLUMN(BS$2)-69,3))*5)+MOD(COLUMN(BS$2),3),1,1),"")</f>
        <v>4</v>
      </c>
      <c r="BT107">
        <f ca="1">IF($AN107="",OFFSET(Demand!$A$13,ROW(D104)-1,4+((QUOTIENT(COLUMN(BT$2)-69,3))*5)+MOD(COLUMN(BT$2),3),1,1),"")</f>
        <v>0</v>
      </c>
      <c r="BU107">
        <f ca="1">IF($AN107="",OFFSET(Demand!$A$13,ROW(E104)-1,4+((QUOTIENT(COLUMN(BU$2)-69,3))*5)+MOD(COLUMN(BU$2),3),1,1),"")</f>
        <v>3</v>
      </c>
      <c r="BV107">
        <f ca="1">IF($AN107="",OFFSET(Demand!$A$13,ROW(F104)-1,4+((QUOTIENT(COLUMN(BV$2)-69,3))*5)+MOD(COLUMN(BV$2),3),1,1),"")</f>
        <v>6</v>
      </c>
      <c r="BW107">
        <f ca="1">IF($AN107="",OFFSET(Demand!$A$13,ROW(G104)-1,4+((QUOTIENT(COLUMN(BW$2)-69,3))*5)+MOD(COLUMN(BW$2),3),1,1),"")</f>
        <v>0</v>
      </c>
      <c r="BX107">
        <f ca="1">IF($AN107="",OFFSET(Demand!$A$13,ROW(H104)-1,4+((QUOTIENT(COLUMN(BX$2)-69,3))*5)+MOD(COLUMN(BX$2),3),1,1),"")</f>
        <v>0</v>
      </c>
      <c r="BY107">
        <f ca="1">IF($AN107="",OFFSET(Demand!$A$13,ROW(I104)-1,4+((QUOTIENT(COLUMN(BY$2)-69,3))*5)+MOD(COLUMN(BY$2),3),1,1),"")</f>
        <v>0</v>
      </c>
      <c r="BZ107">
        <f ca="1">IF($AN107="",OFFSET(Demand!$A$13,ROW(J104)-1,4+((QUOTIENT(COLUMN(BZ$2)-69,3))*5)+MOD(COLUMN(BZ$2),3),1,1),"")</f>
        <v>0</v>
      </c>
      <c r="CA107">
        <f ca="1">IF($AN107="",OFFSET(Demand!$A$13,ROW(K104)-1,4+((QUOTIENT(COLUMN(CA$2)-69,3))*5)+MOD(COLUMN(CA$2),3),1,1),"")</f>
        <v>0</v>
      </c>
      <c r="CB107">
        <f ca="1">IF($AN107="",OFFSET(Demand!$A$13,ROW(L104)-1,4+((QUOTIENT(COLUMN(CB$2)-69,3))*5)+MOD(COLUMN(CB$2),3),1,1),"")</f>
        <v>0</v>
      </c>
      <c r="CC107">
        <f ca="1">IF($AN107="",OFFSET(Demand!$A$13,ROW(M104)-1,4+((QUOTIENT(COLUMN(CC$2)-69,3))*5)+MOD(COLUMN(CC$2),3),1,1),"")</f>
        <v>0</v>
      </c>
      <c r="CD107">
        <f ca="1">IF($AN107="",OFFSET(Demand!$A$13,ROW(N104)-1,4+((QUOTIENT(COLUMN(CD$2)-69,3))*5)+MOD(COLUMN(CD$2),3),1,1),"")</f>
        <v>0</v>
      </c>
      <c r="CE107">
        <f ca="1">IF($AN107="",OFFSET(Demand!$A$13,ROW(O104)-1,4+((QUOTIENT(COLUMN(CE$2)-69,3))*5)+MOD(COLUMN(CE$2),3),1,1),"")</f>
        <v>0</v>
      </c>
      <c r="CF107">
        <f ca="1">IF($AN107="",OFFSET(Demand!$A$13,ROW(P104)-1,4+((QUOTIENT(COLUMN(CF$2)-69,3))*5)+MOD(COLUMN(CF$2),3),1,1),"")</f>
        <v>0</v>
      </c>
      <c r="CG107">
        <f ca="1">IF($AN107="",OFFSET(Demand!$A$13,ROW(Q104)-1,4+((QUOTIENT(COLUMN(CG$2)-69,3))*5)+MOD(COLUMN(CG$2),3),1,1),"")</f>
        <v>0</v>
      </c>
      <c r="CH107">
        <f ca="1">IF($AN107="",OFFSET(Demand!$A$13,ROW(R104)-1,4+((QUOTIENT(COLUMN(CH$2)-69,3))*5)+MOD(COLUMN(CH$2),3),1,1),"")</f>
        <v>0</v>
      </c>
      <c r="CI107">
        <f ca="1">IF($AN107="",OFFSET(Demand!$A$13,ROW(S104)-1,4+((QUOTIENT(COLUMN(CI$2)-69,3))*5)+MOD(COLUMN(CI$2),3),1,1),"")</f>
        <v>0</v>
      </c>
      <c r="CJ107">
        <f ca="1">IF($AN107="",OFFSET(Demand!$A$13,ROW(T104)-1,4+((QUOTIENT(COLUMN(CJ$2)-69,3))*5)+MOD(COLUMN(CJ$2),3),1,1),"")</f>
        <v>0</v>
      </c>
      <c r="CK107">
        <f ca="1">IF($AN107="",OFFSET(Demand!$A$13,ROW(U104)-1,4+((QUOTIENT(COLUMN(CK$2)-69,3))*5)+MOD(COLUMN(CK$2),3),1,1),"")</f>
        <v>0</v>
      </c>
      <c r="CL107">
        <f ca="1">IF($AN107="",OFFSET(Demand!$A$13,ROW(V104)-1,4+((QUOTIENT(COLUMN(CL$2)-69,3))*5)+MOD(COLUMN(CL$2),3),1,1),"")</f>
        <v>0</v>
      </c>
      <c r="CM107">
        <f ca="1">IF($AN107="",OFFSET(Demand!$A$13,ROW(W104)-1,4+((QUOTIENT(COLUMN(CM$2)-69,3))*5)+MOD(COLUMN(CM$2),3),1,1),"")</f>
        <v>0</v>
      </c>
      <c r="CN107">
        <f ca="1">IF($AN107="",OFFSET(Demand!$A$13,ROW(X104)-1,4+((QUOTIENT(COLUMN(CN$2)-69,3))*5)+MOD(COLUMN(CN$2),3),1,1),"")</f>
        <v>0</v>
      </c>
      <c r="CO107">
        <f ca="1">IF($AN107="",OFFSET(Demand!$A$13,ROW(Y104)-1,4+((QUOTIENT(COLUMN(CO$2)-69,3))*5)+MOD(COLUMN(CO$2),3),1,1),"")</f>
        <v>0</v>
      </c>
      <c r="CP107">
        <f ca="1">IF($AN107="",OFFSET(Demand!$A$13,ROW(Z104)-1,4+((QUOTIENT(COLUMN(CP$2)-69,3))*5)+MOD(COLUMN(CP$2),3),1,1),"")</f>
        <v>0</v>
      </c>
      <c r="CQ107">
        <f ca="1">IF($AN107="",OFFSET(Demand!$A$13,ROW(AA104)-1,4+((QUOTIENT(COLUMN(CQ$2)-69,3))*5)+MOD(COLUMN(CQ$2),3),1,1),"")</f>
        <v>0</v>
      </c>
      <c r="CR107">
        <f ca="1">IF($AN107="",OFFSET(Demand!$A$13,ROW(AB104)-1,4+((QUOTIENT(COLUMN(CR$2)-69,3))*5)+MOD(COLUMN(CR$2),3),1,1),"")</f>
        <v>0</v>
      </c>
      <c r="CS107">
        <f ca="1">IF($AN107="",OFFSET(Demand!$A$13,ROW(AC104)-1,4+((QUOTIENT(COLUMN(CS$2)-69,3))*5)+MOD(COLUMN(CS$2),3),1,1),"")</f>
        <v>0</v>
      </c>
      <c r="CT107">
        <f ca="1">IF($AN107="",OFFSET(Demand!$A$13,ROW(AD104)-1,4+((QUOTIENT(COLUMN(CT$2)-69,3))*5)+MOD(COLUMN(CT$2),3),1,1),"")</f>
        <v>0</v>
      </c>
      <c r="CW107" s="5">
        <f ca="1">SUM(OFFSET(Demand!$H$43,ROW(A104)-1,(COLUMN(A104)-1)*5,1,1))*N$2</f>
        <v>0</v>
      </c>
      <c r="CX107" s="5">
        <f ca="1">SUM(OFFSET(Demand!$H$43,ROW(B104)-1,(COLUMN(B104)-1)*5,1,1))*O$2</f>
        <v>0</v>
      </c>
      <c r="CY107" s="5">
        <f ca="1">SUM(OFFSET(Demand!$H$43,ROW(C104)-1,(COLUMN(C104)-1)*5,1,1))*P$2</f>
        <v>0</v>
      </c>
      <c r="CZ107" s="5">
        <f ca="1">SUM(OFFSET(Demand!$H$43,ROW(D104)-1,(COLUMN(D104)-1)*5,1,1))*Q$2</f>
        <v>0</v>
      </c>
      <c r="DA107" s="5">
        <f ca="1">SUM(OFFSET(Demand!$H$43,ROW(E104)-1,(COLUMN(E104)-1)*5,1,1))*R$2</f>
        <v>0</v>
      </c>
      <c r="DB107" s="5">
        <f ca="1">SUM(OFFSET(Demand!$H$43,ROW(F104)-1,(COLUMN(F104)-1)*5,1,1))*S$2</f>
        <v>0</v>
      </c>
      <c r="DC107" s="5">
        <f ca="1">SUM(OFFSET(Demand!$H$43,ROW(G104)-1,(COLUMN(G104)-1)*5,1,1))*T$2</f>
        <v>0</v>
      </c>
      <c r="DD107" s="5">
        <f ca="1">SUM(OFFSET(Demand!$H$43,ROW(H104)-1,(COLUMN(H104)-1)*5,1,1))*U$2</f>
        <v>0</v>
      </c>
      <c r="DE107" s="5">
        <f ca="1">SUM(OFFSET(Demand!$H$43,ROW(I104)-1,(COLUMN(I104)-1)*5,1,1))*V$2</f>
        <v>0</v>
      </c>
      <c r="DF107" s="5">
        <f ca="1">SUM(OFFSET(Demand!$H$43,ROW(J104)-1,(COLUMN(J104)-1)*5,1,1))*W$2</f>
        <v>0</v>
      </c>
      <c r="DG107" s="5">
        <f t="shared" ca="1" si="36"/>
        <v>0</v>
      </c>
    </row>
    <row r="108" spans="1:111" x14ac:dyDescent="0.2">
      <c r="A108" s="5">
        <f t="shared" ca="1" si="30"/>
        <v>0</v>
      </c>
      <c r="B108" s="5">
        <f ca="1">COUNTBLANK(OFFSET(Demand!$I117,0,(COLUMN(A105)-1)*5,1,1))</f>
        <v>0</v>
      </c>
      <c r="C108" s="5">
        <f ca="1">COUNTBLANK(OFFSET(Demand!$I117,0,(COLUMN(B105)-1)*5,1,1))</f>
        <v>0</v>
      </c>
      <c r="D108" s="5">
        <f ca="1">COUNTBLANK(OFFSET(Demand!$I117,0,(COLUMN(C105)-1)*5,1,1))</f>
        <v>1</v>
      </c>
      <c r="E108" s="5">
        <f ca="1">COUNTBLANK(OFFSET(Demand!$I117,0,(COLUMN(D105)-1)*5,1,1))</f>
        <v>1</v>
      </c>
      <c r="F108" s="5">
        <f ca="1">COUNTBLANK(OFFSET(Demand!$I117,0,(COLUMN(E105)-1)*5,1,1))</f>
        <v>1</v>
      </c>
      <c r="G108" s="5">
        <f ca="1">COUNTBLANK(OFFSET(Demand!$I117,0,(COLUMN(F105)-1)*5,1,1))</f>
        <v>1</v>
      </c>
      <c r="H108" s="5">
        <f ca="1">COUNTBLANK(OFFSET(Demand!$I117,0,(COLUMN(G105)-1)*5,1,1))</f>
        <v>1</v>
      </c>
      <c r="I108" s="5">
        <f ca="1">COUNTBLANK(OFFSET(Demand!$I117,0,(COLUMN(H105)-1)*5,1,1))</f>
        <v>1</v>
      </c>
      <c r="J108" s="5">
        <f ca="1">COUNTBLANK(OFFSET(Demand!$I117,0,(COLUMN(I105)-1)*5,1,1))</f>
        <v>1</v>
      </c>
      <c r="K108" s="5">
        <f ca="1">COUNTBLANK(OFFSET(Demand!$I117,0,(COLUMN(J105)-1)*5,1,1))</f>
        <v>1</v>
      </c>
      <c r="N108" s="5">
        <f ca="1">SUM(OFFSET(Demand!$E117,0,(COLUMN(A105)-1)*5,1,3))*N$2</f>
        <v>150</v>
      </c>
      <c r="O108" s="5">
        <f ca="1">SUM(OFFSET(Demand!$E117,0,(COLUMN(B105)-1)*5,1,3))*O$2</f>
        <v>240</v>
      </c>
      <c r="P108" s="5">
        <f ca="1">SUM(OFFSET(Demand!$E117,0,(COLUMN(C105)-1)*5,1,3))*P$2</f>
        <v>0</v>
      </c>
      <c r="Q108" s="5">
        <f ca="1">SUM(OFFSET(Demand!$E117,0,(COLUMN(D105)-1)*5,1,3))*Q$2</f>
        <v>0</v>
      </c>
      <c r="R108" s="5">
        <f ca="1">SUM(OFFSET(Demand!$E117,0,(COLUMN(E105)-1)*5,1,3))*R$2</f>
        <v>0</v>
      </c>
      <c r="S108" s="5">
        <f ca="1">SUM(OFFSET(Demand!$E117,0,(COLUMN(F105)-1)*5,1,3))*S$2</f>
        <v>0</v>
      </c>
      <c r="T108" s="5">
        <f ca="1">SUM(OFFSET(Demand!$E117,0,(COLUMN(G105)-1)*5,1,3))*T$2</f>
        <v>0</v>
      </c>
      <c r="U108" s="5">
        <f ca="1">SUM(OFFSET(Demand!$E117,0,(COLUMN(H105)-1)*5,1,3))*U$2</f>
        <v>0</v>
      </c>
      <c r="V108" s="5">
        <f ca="1">SUM(OFFSET(Demand!$E117,0,(COLUMN(I105)-1)*5,1,3))*V$2</f>
        <v>0</v>
      </c>
      <c r="W108" s="5">
        <f ca="1">SUM(OFFSET(Demand!$E117,0,(COLUMN(J105)-1)*5,1,3))*W$2</f>
        <v>0</v>
      </c>
      <c r="X108" s="5">
        <f t="shared" ca="1" si="31"/>
        <v>390</v>
      </c>
      <c r="Y108">
        <f t="shared" ca="1" si="32"/>
        <v>390</v>
      </c>
      <c r="Z108" s="5">
        <f ca="1">SUM(OFFSET(Demand!$H117,0,(COLUMN(A105)-1)*5,1,1))*N$2</f>
        <v>0</v>
      </c>
      <c r="AA108" s="5">
        <f ca="1">SUM(OFFSET(Demand!$H117,0,(COLUMN(B105)-1)*5,1,1))*O$2</f>
        <v>0</v>
      </c>
      <c r="AB108" s="5">
        <f ca="1">SUM(OFFSET(Demand!$H117,0,(COLUMN(C105)-1)*5,1,1))*P$2</f>
        <v>0</v>
      </c>
      <c r="AC108" s="5">
        <f ca="1">SUM(OFFSET(Demand!$H117,0,(COLUMN(D105)-1)*5,1,1))*Q$2</f>
        <v>0</v>
      </c>
      <c r="AD108" s="5">
        <f ca="1">SUM(OFFSET(Demand!$H117,0,(COLUMN(E105)-1)*5,1,1))*R$2</f>
        <v>0</v>
      </c>
      <c r="AE108" s="5">
        <f ca="1">SUM(OFFSET(Demand!$H117,0,(COLUMN(F105)-1)*5,1,1))*S$2</f>
        <v>0</v>
      </c>
      <c r="AF108" s="5">
        <f ca="1">SUM(OFFSET(Demand!$H117,0,(COLUMN(G105)-1)*5,1,1))*T$2</f>
        <v>0</v>
      </c>
      <c r="AG108" s="5">
        <f ca="1">SUM(OFFSET(Demand!$H117,0,(COLUMN(H105)-1)*5,1,1))*U$2</f>
        <v>0</v>
      </c>
      <c r="AH108" s="5">
        <f ca="1">SUM(OFFSET(Demand!$H117,0,(COLUMN(I105)-1)*5,1,1))*V$2</f>
        <v>0</v>
      </c>
      <c r="AI108" s="5">
        <f ca="1">SUM(OFFSET(Demand!$H117,0,(COLUMN(J105)-1)*5,1,1))*W$2</f>
        <v>0</v>
      </c>
      <c r="AJ108" s="5">
        <f t="shared" ca="1" si="33"/>
        <v>0</v>
      </c>
      <c r="AL108" s="5">
        <f t="shared" ca="1" si="34"/>
        <v>390</v>
      </c>
      <c r="AM108" s="5">
        <f t="shared" ca="1" si="35"/>
        <v>0</v>
      </c>
      <c r="AN108" s="5" t="str">
        <f>IF(Demand!BE117="Yes","Yes","")</f>
        <v/>
      </c>
      <c r="AP108" s="37" t="str">
        <f ca="1">Demand!B117</f>
        <v xml:space="preserve"> </v>
      </c>
      <c r="AQ108" t="str">
        <f ca="1">IF(TEXT(Demand!D117,"MMM")&lt;&gt;TEXT(Demand!D116,"MMM"),TEXT(Demand!D117,"MMM"),"")</f>
        <v/>
      </c>
      <c r="AT108" s="5">
        <f t="shared" ca="1" si="37"/>
        <v>120</v>
      </c>
      <c r="BQ108">
        <f ca="1">IF($AN108="",OFFSET(Demand!$A$13,ROW(A105)-1,4+((QUOTIENT(COLUMN(BQ$2)-69,3))*5)+MOD(COLUMN(BQ$2),3),1,1),"")</f>
        <v>0</v>
      </c>
      <c r="BR108">
        <f ca="1">IF($AN108="",OFFSET(Demand!$A$13,ROW(B105)-1,4+((QUOTIENT(COLUMN(BR$2)-69,3))*5)+MOD(COLUMN(BR$2),3),1,1),"")</f>
        <v>1</v>
      </c>
      <c r="BS108">
        <f ca="1">IF($AN108="",OFFSET(Demand!$A$13,ROW(C105)-1,4+((QUOTIENT(COLUMN(BS$2)-69,3))*5)+MOD(COLUMN(BS$2),3),1,1),"")</f>
        <v>4</v>
      </c>
      <c r="BT108">
        <f ca="1">IF($AN108="",OFFSET(Demand!$A$13,ROW(D105)-1,4+((QUOTIENT(COLUMN(BT$2)-69,3))*5)+MOD(COLUMN(BT$2),3),1,1),"")</f>
        <v>0</v>
      </c>
      <c r="BU108">
        <f ca="1">IF($AN108="",OFFSET(Demand!$A$13,ROW(E105)-1,4+((QUOTIENT(COLUMN(BU$2)-69,3))*5)+MOD(COLUMN(BU$2),3),1,1),"")</f>
        <v>1</v>
      </c>
      <c r="BV108">
        <f ca="1">IF($AN108="",OFFSET(Demand!$A$13,ROW(F105)-1,4+((QUOTIENT(COLUMN(BV$2)-69,3))*5)+MOD(COLUMN(BV$2),3),1,1),"")</f>
        <v>5</v>
      </c>
      <c r="BW108">
        <f ca="1">IF($AN108="",OFFSET(Demand!$A$13,ROW(G105)-1,4+((QUOTIENT(COLUMN(BW$2)-69,3))*5)+MOD(COLUMN(BW$2),3),1,1),"")</f>
        <v>0</v>
      </c>
      <c r="BX108">
        <f ca="1">IF($AN108="",OFFSET(Demand!$A$13,ROW(H105)-1,4+((QUOTIENT(COLUMN(BX$2)-69,3))*5)+MOD(COLUMN(BX$2),3),1,1),"")</f>
        <v>0</v>
      </c>
      <c r="BY108">
        <f ca="1">IF($AN108="",OFFSET(Demand!$A$13,ROW(I105)-1,4+((QUOTIENT(COLUMN(BY$2)-69,3))*5)+MOD(COLUMN(BY$2),3),1,1),"")</f>
        <v>0</v>
      </c>
      <c r="BZ108">
        <f ca="1">IF($AN108="",OFFSET(Demand!$A$13,ROW(J105)-1,4+((QUOTIENT(COLUMN(BZ$2)-69,3))*5)+MOD(COLUMN(BZ$2),3),1,1),"")</f>
        <v>0</v>
      </c>
      <c r="CA108">
        <f ca="1">IF($AN108="",OFFSET(Demand!$A$13,ROW(K105)-1,4+((QUOTIENT(COLUMN(CA$2)-69,3))*5)+MOD(COLUMN(CA$2),3),1,1),"")</f>
        <v>0</v>
      </c>
      <c r="CB108">
        <f ca="1">IF($AN108="",OFFSET(Demand!$A$13,ROW(L105)-1,4+((QUOTIENT(COLUMN(CB$2)-69,3))*5)+MOD(COLUMN(CB$2),3),1,1),"")</f>
        <v>0</v>
      </c>
      <c r="CC108">
        <f ca="1">IF($AN108="",OFFSET(Demand!$A$13,ROW(M105)-1,4+((QUOTIENT(COLUMN(CC$2)-69,3))*5)+MOD(COLUMN(CC$2),3),1,1),"")</f>
        <v>0</v>
      </c>
      <c r="CD108">
        <f ca="1">IF($AN108="",OFFSET(Demand!$A$13,ROW(N105)-1,4+((QUOTIENT(COLUMN(CD$2)-69,3))*5)+MOD(COLUMN(CD$2),3),1,1),"")</f>
        <v>0</v>
      </c>
      <c r="CE108">
        <f ca="1">IF($AN108="",OFFSET(Demand!$A$13,ROW(O105)-1,4+((QUOTIENT(COLUMN(CE$2)-69,3))*5)+MOD(COLUMN(CE$2),3),1,1),"")</f>
        <v>0</v>
      </c>
      <c r="CF108">
        <f ca="1">IF($AN108="",OFFSET(Demand!$A$13,ROW(P105)-1,4+((QUOTIENT(COLUMN(CF$2)-69,3))*5)+MOD(COLUMN(CF$2),3),1,1),"")</f>
        <v>0</v>
      </c>
      <c r="CG108">
        <f ca="1">IF($AN108="",OFFSET(Demand!$A$13,ROW(Q105)-1,4+((QUOTIENT(COLUMN(CG$2)-69,3))*5)+MOD(COLUMN(CG$2),3),1,1),"")</f>
        <v>0</v>
      </c>
      <c r="CH108">
        <f ca="1">IF($AN108="",OFFSET(Demand!$A$13,ROW(R105)-1,4+((QUOTIENT(COLUMN(CH$2)-69,3))*5)+MOD(COLUMN(CH$2),3),1,1),"")</f>
        <v>0</v>
      </c>
      <c r="CI108">
        <f ca="1">IF($AN108="",OFFSET(Demand!$A$13,ROW(S105)-1,4+((QUOTIENT(COLUMN(CI$2)-69,3))*5)+MOD(COLUMN(CI$2),3),1,1),"")</f>
        <v>0</v>
      </c>
      <c r="CJ108">
        <f ca="1">IF($AN108="",OFFSET(Demand!$A$13,ROW(T105)-1,4+((QUOTIENT(COLUMN(CJ$2)-69,3))*5)+MOD(COLUMN(CJ$2),3),1,1),"")</f>
        <v>0</v>
      </c>
      <c r="CK108">
        <f ca="1">IF($AN108="",OFFSET(Demand!$A$13,ROW(U105)-1,4+((QUOTIENT(COLUMN(CK$2)-69,3))*5)+MOD(COLUMN(CK$2),3),1,1),"")</f>
        <v>0</v>
      </c>
      <c r="CL108">
        <f ca="1">IF($AN108="",OFFSET(Demand!$A$13,ROW(V105)-1,4+((QUOTIENT(COLUMN(CL$2)-69,3))*5)+MOD(COLUMN(CL$2),3),1,1),"")</f>
        <v>0</v>
      </c>
      <c r="CM108">
        <f ca="1">IF($AN108="",OFFSET(Demand!$A$13,ROW(W105)-1,4+((QUOTIENT(COLUMN(CM$2)-69,3))*5)+MOD(COLUMN(CM$2),3),1,1),"")</f>
        <v>0</v>
      </c>
      <c r="CN108">
        <f ca="1">IF($AN108="",OFFSET(Demand!$A$13,ROW(X105)-1,4+((QUOTIENT(COLUMN(CN$2)-69,3))*5)+MOD(COLUMN(CN$2),3),1,1),"")</f>
        <v>0</v>
      </c>
      <c r="CO108">
        <f ca="1">IF($AN108="",OFFSET(Demand!$A$13,ROW(Y105)-1,4+((QUOTIENT(COLUMN(CO$2)-69,3))*5)+MOD(COLUMN(CO$2),3),1,1),"")</f>
        <v>0</v>
      </c>
      <c r="CP108">
        <f ca="1">IF($AN108="",OFFSET(Demand!$A$13,ROW(Z105)-1,4+((QUOTIENT(COLUMN(CP$2)-69,3))*5)+MOD(COLUMN(CP$2),3),1,1),"")</f>
        <v>0</v>
      </c>
      <c r="CQ108">
        <f ca="1">IF($AN108="",OFFSET(Demand!$A$13,ROW(AA105)-1,4+((QUOTIENT(COLUMN(CQ$2)-69,3))*5)+MOD(COLUMN(CQ$2),3),1,1),"")</f>
        <v>0</v>
      </c>
      <c r="CR108">
        <f ca="1">IF($AN108="",OFFSET(Demand!$A$13,ROW(AB105)-1,4+((QUOTIENT(COLUMN(CR$2)-69,3))*5)+MOD(COLUMN(CR$2),3),1,1),"")</f>
        <v>0</v>
      </c>
      <c r="CS108">
        <f ca="1">IF($AN108="",OFFSET(Demand!$A$13,ROW(AC105)-1,4+((QUOTIENT(COLUMN(CS$2)-69,3))*5)+MOD(COLUMN(CS$2),3),1,1),"")</f>
        <v>0</v>
      </c>
      <c r="CT108">
        <f ca="1">IF($AN108="",OFFSET(Demand!$A$13,ROW(AD105)-1,4+((QUOTIENT(COLUMN(CT$2)-69,3))*5)+MOD(COLUMN(CT$2),3),1,1),"")</f>
        <v>0</v>
      </c>
      <c r="CW108" s="5">
        <f ca="1">SUM(OFFSET(Demand!$H$43,ROW(A105)-1,(COLUMN(A105)-1)*5,1,1))*N$2</f>
        <v>0</v>
      </c>
      <c r="CX108" s="5">
        <f ca="1">SUM(OFFSET(Demand!$H$43,ROW(B105)-1,(COLUMN(B105)-1)*5,1,1))*O$2</f>
        <v>0</v>
      </c>
      <c r="CY108" s="5">
        <f ca="1">SUM(OFFSET(Demand!$H$43,ROW(C105)-1,(COLUMN(C105)-1)*5,1,1))*P$2</f>
        <v>0</v>
      </c>
      <c r="CZ108" s="5">
        <f ca="1">SUM(OFFSET(Demand!$H$43,ROW(D105)-1,(COLUMN(D105)-1)*5,1,1))*Q$2</f>
        <v>0</v>
      </c>
      <c r="DA108" s="5">
        <f ca="1">SUM(OFFSET(Demand!$H$43,ROW(E105)-1,(COLUMN(E105)-1)*5,1,1))*R$2</f>
        <v>0</v>
      </c>
      <c r="DB108" s="5">
        <f ca="1">SUM(OFFSET(Demand!$H$43,ROW(F105)-1,(COLUMN(F105)-1)*5,1,1))*S$2</f>
        <v>0</v>
      </c>
      <c r="DC108" s="5">
        <f ca="1">SUM(OFFSET(Demand!$H$43,ROW(G105)-1,(COLUMN(G105)-1)*5,1,1))*T$2</f>
        <v>0</v>
      </c>
      <c r="DD108" s="5">
        <f ca="1">SUM(OFFSET(Demand!$H$43,ROW(H105)-1,(COLUMN(H105)-1)*5,1,1))*U$2</f>
        <v>0</v>
      </c>
      <c r="DE108" s="5">
        <f ca="1">SUM(OFFSET(Demand!$H$43,ROW(I105)-1,(COLUMN(I105)-1)*5,1,1))*V$2</f>
        <v>0</v>
      </c>
      <c r="DF108" s="5">
        <f ca="1">SUM(OFFSET(Demand!$H$43,ROW(J105)-1,(COLUMN(J105)-1)*5,1,1))*W$2</f>
        <v>0</v>
      </c>
      <c r="DG108" s="5">
        <f t="shared" ca="1" si="36"/>
        <v>0</v>
      </c>
    </row>
    <row r="109" spans="1:111" x14ac:dyDescent="0.2">
      <c r="A109" s="5">
        <f t="shared" ca="1" si="30"/>
        <v>0</v>
      </c>
      <c r="B109" s="5">
        <f ca="1">COUNTBLANK(OFFSET(Demand!$I118,0,(COLUMN(A106)-1)*5,1,1))</f>
        <v>0</v>
      </c>
      <c r="C109" s="5">
        <f ca="1">COUNTBLANK(OFFSET(Demand!$I118,0,(COLUMN(B106)-1)*5,1,1))</f>
        <v>0</v>
      </c>
      <c r="D109" s="5">
        <f ca="1">COUNTBLANK(OFFSET(Demand!$I118,0,(COLUMN(C106)-1)*5,1,1))</f>
        <v>1</v>
      </c>
      <c r="E109" s="5">
        <f ca="1">COUNTBLANK(OFFSET(Demand!$I118,0,(COLUMN(D106)-1)*5,1,1))</f>
        <v>1</v>
      </c>
      <c r="F109" s="5">
        <f ca="1">COUNTBLANK(OFFSET(Demand!$I118,0,(COLUMN(E106)-1)*5,1,1))</f>
        <v>1</v>
      </c>
      <c r="G109" s="5">
        <f ca="1">COUNTBLANK(OFFSET(Demand!$I118,0,(COLUMN(F106)-1)*5,1,1))</f>
        <v>1</v>
      </c>
      <c r="H109" s="5">
        <f ca="1">COUNTBLANK(OFFSET(Demand!$I118,0,(COLUMN(G106)-1)*5,1,1))</f>
        <v>1</v>
      </c>
      <c r="I109" s="5">
        <f ca="1">COUNTBLANK(OFFSET(Demand!$I118,0,(COLUMN(H106)-1)*5,1,1))</f>
        <v>1</v>
      </c>
      <c r="J109" s="5">
        <f ca="1">COUNTBLANK(OFFSET(Demand!$I118,0,(COLUMN(I106)-1)*5,1,1))</f>
        <v>1</v>
      </c>
      <c r="K109" s="5">
        <f ca="1">COUNTBLANK(OFFSET(Demand!$I118,0,(COLUMN(J106)-1)*5,1,1))</f>
        <v>1</v>
      </c>
      <c r="N109" s="5">
        <f ca="1">SUM(OFFSET(Demand!$E118,0,(COLUMN(A106)-1)*5,1,3))*N$2</f>
        <v>30</v>
      </c>
      <c r="O109" s="5">
        <f ca="1">SUM(OFFSET(Demand!$E118,0,(COLUMN(B106)-1)*5,1,3))*O$2</f>
        <v>240</v>
      </c>
      <c r="P109" s="5">
        <f ca="1">SUM(OFFSET(Demand!$E118,0,(COLUMN(C106)-1)*5,1,3))*P$2</f>
        <v>0</v>
      </c>
      <c r="Q109" s="5">
        <f ca="1">SUM(OFFSET(Demand!$E118,0,(COLUMN(D106)-1)*5,1,3))*Q$2</f>
        <v>0</v>
      </c>
      <c r="R109" s="5">
        <f ca="1">SUM(OFFSET(Demand!$E118,0,(COLUMN(E106)-1)*5,1,3))*R$2</f>
        <v>0</v>
      </c>
      <c r="S109" s="5">
        <f ca="1">SUM(OFFSET(Demand!$E118,0,(COLUMN(F106)-1)*5,1,3))*S$2</f>
        <v>0</v>
      </c>
      <c r="T109" s="5">
        <f ca="1">SUM(OFFSET(Demand!$E118,0,(COLUMN(G106)-1)*5,1,3))*T$2</f>
        <v>0</v>
      </c>
      <c r="U109" s="5">
        <f ca="1">SUM(OFFSET(Demand!$E118,0,(COLUMN(H106)-1)*5,1,3))*U$2</f>
        <v>0</v>
      </c>
      <c r="V109" s="5">
        <f ca="1">SUM(OFFSET(Demand!$E118,0,(COLUMN(I106)-1)*5,1,3))*V$2</f>
        <v>0</v>
      </c>
      <c r="W109" s="5">
        <f ca="1">SUM(OFFSET(Demand!$E118,0,(COLUMN(J106)-1)*5,1,3))*W$2</f>
        <v>0</v>
      </c>
      <c r="X109" s="5">
        <f t="shared" ca="1" si="31"/>
        <v>270</v>
      </c>
      <c r="Y109">
        <f t="shared" ca="1" si="32"/>
        <v>270</v>
      </c>
      <c r="Z109" s="5">
        <f ca="1">SUM(OFFSET(Demand!$H118,0,(COLUMN(A106)-1)*5,1,1))*N$2</f>
        <v>0</v>
      </c>
      <c r="AA109" s="5">
        <f ca="1">SUM(OFFSET(Demand!$H118,0,(COLUMN(B106)-1)*5,1,1))*O$2</f>
        <v>0</v>
      </c>
      <c r="AB109" s="5">
        <f ca="1">SUM(OFFSET(Demand!$H118,0,(COLUMN(C106)-1)*5,1,1))*P$2</f>
        <v>0</v>
      </c>
      <c r="AC109" s="5">
        <f ca="1">SUM(OFFSET(Demand!$H118,0,(COLUMN(D106)-1)*5,1,1))*Q$2</f>
        <v>0</v>
      </c>
      <c r="AD109" s="5">
        <f ca="1">SUM(OFFSET(Demand!$H118,0,(COLUMN(E106)-1)*5,1,1))*R$2</f>
        <v>0</v>
      </c>
      <c r="AE109" s="5">
        <f ca="1">SUM(OFFSET(Demand!$H118,0,(COLUMN(F106)-1)*5,1,1))*S$2</f>
        <v>0</v>
      </c>
      <c r="AF109" s="5">
        <f ca="1">SUM(OFFSET(Demand!$H118,0,(COLUMN(G106)-1)*5,1,1))*T$2</f>
        <v>0</v>
      </c>
      <c r="AG109" s="5">
        <f ca="1">SUM(OFFSET(Demand!$H118,0,(COLUMN(H106)-1)*5,1,1))*U$2</f>
        <v>0</v>
      </c>
      <c r="AH109" s="5">
        <f ca="1">SUM(OFFSET(Demand!$H118,0,(COLUMN(I106)-1)*5,1,1))*V$2</f>
        <v>0</v>
      </c>
      <c r="AI109" s="5">
        <f ca="1">SUM(OFFSET(Demand!$H118,0,(COLUMN(J106)-1)*5,1,1))*W$2</f>
        <v>0</v>
      </c>
      <c r="AJ109" s="5">
        <f t="shared" ca="1" si="33"/>
        <v>0</v>
      </c>
      <c r="AL109" s="5">
        <f t="shared" ca="1" si="34"/>
        <v>270</v>
      </c>
      <c r="AM109" s="5">
        <f t="shared" ca="1" si="35"/>
        <v>0</v>
      </c>
      <c r="AN109" s="5" t="str">
        <f>IF(Demand!BE118="Yes","Yes","")</f>
        <v/>
      </c>
      <c r="AP109" s="37" t="str">
        <f ca="1">Demand!B118</f>
        <v xml:space="preserve"> </v>
      </c>
      <c r="AQ109" t="str">
        <f ca="1">IF(TEXT(Demand!D118,"MMM")&lt;&gt;TEXT(Demand!D117,"MMM"),TEXT(Demand!D118,"MMM"),"")</f>
        <v>Apr</v>
      </c>
      <c r="AT109" s="5">
        <f t="shared" ca="1" si="37"/>
        <v>120</v>
      </c>
      <c r="BQ109">
        <f ca="1">IF($AN109="",OFFSET(Demand!$A$13,ROW(A106)-1,4+((QUOTIENT(COLUMN(BQ$2)-69,3))*5)+MOD(COLUMN(BQ$2),3),1,1),"")</f>
        <v>0</v>
      </c>
      <c r="BR109">
        <f ca="1">IF($AN109="",OFFSET(Demand!$A$13,ROW(B106)-1,4+((QUOTIENT(COLUMN(BR$2)-69,3))*5)+MOD(COLUMN(BR$2),3),1,1),"")</f>
        <v>0</v>
      </c>
      <c r="BS109">
        <f ca="1">IF($AN109="",OFFSET(Demand!$A$13,ROW(C106)-1,4+((QUOTIENT(COLUMN(BS$2)-69,3))*5)+MOD(COLUMN(BS$2),3),1,1),"")</f>
        <v>1</v>
      </c>
      <c r="BT109">
        <f ca="1">IF($AN109="",OFFSET(Demand!$A$13,ROW(D106)-1,4+((QUOTIENT(COLUMN(BT$2)-69,3))*5)+MOD(COLUMN(BT$2),3),1,1),"")</f>
        <v>0</v>
      </c>
      <c r="BU109">
        <f ca="1">IF($AN109="",OFFSET(Demand!$A$13,ROW(E106)-1,4+((QUOTIENT(COLUMN(BU$2)-69,3))*5)+MOD(COLUMN(BU$2),3),1,1),"")</f>
        <v>2</v>
      </c>
      <c r="BV109">
        <f ca="1">IF($AN109="",OFFSET(Demand!$A$13,ROW(F106)-1,4+((QUOTIENT(COLUMN(BV$2)-69,3))*5)+MOD(COLUMN(BV$2),3),1,1),"")</f>
        <v>4</v>
      </c>
      <c r="BW109">
        <f ca="1">IF($AN109="",OFFSET(Demand!$A$13,ROW(G106)-1,4+((QUOTIENT(COLUMN(BW$2)-69,3))*5)+MOD(COLUMN(BW$2),3),1,1),"")</f>
        <v>0</v>
      </c>
      <c r="BX109">
        <f ca="1">IF($AN109="",OFFSET(Demand!$A$13,ROW(H106)-1,4+((QUOTIENT(COLUMN(BX$2)-69,3))*5)+MOD(COLUMN(BX$2),3),1,1),"")</f>
        <v>0</v>
      </c>
      <c r="BY109">
        <f ca="1">IF($AN109="",OFFSET(Demand!$A$13,ROW(I106)-1,4+((QUOTIENT(COLUMN(BY$2)-69,3))*5)+MOD(COLUMN(BY$2),3),1,1),"")</f>
        <v>0</v>
      </c>
      <c r="BZ109">
        <f ca="1">IF($AN109="",OFFSET(Demand!$A$13,ROW(J106)-1,4+((QUOTIENT(COLUMN(BZ$2)-69,3))*5)+MOD(COLUMN(BZ$2),3),1,1),"")</f>
        <v>0</v>
      </c>
      <c r="CA109">
        <f ca="1">IF($AN109="",OFFSET(Demand!$A$13,ROW(K106)-1,4+((QUOTIENT(COLUMN(CA$2)-69,3))*5)+MOD(COLUMN(CA$2),3),1,1),"")</f>
        <v>0</v>
      </c>
      <c r="CB109">
        <f ca="1">IF($AN109="",OFFSET(Demand!$A$13,ROW(L106)-1,4+((QUOTIENT(COLUMN(CB$2)-69,3))*5)+MOD(COLUMN(CB$2),3),1,1),"")</f>
        <v>0</v>
      </c>
      <c r="CC109">
        <f ca="1">IF($AN109="",OFFSET(Demand!$A$13,ROW(M106)-1,4+((QUOTIENT(COLUMN(CC$2)-69,3))*5)+MOD(COLUMN(CC$2),3),1,1),"")</f>
        <v>0</v>
      </c>
      <c r="CD109">
        <f ca="1">IF($AN109="",OFFSET(Demand!$A$13,ROW(N106)-1,4+((QUOTIENT(COLUMN(CD$2)-69,3))*5)+MOD(COLUMN(CD$2),3),1,1),"")</f>
        <v>0</v>
      </c>
      <c r="CE109">
        <f ca="1">IF($AN109="",OFFSET(Demand!$A$13,ROW(O106)-1,4+((QUOTIENT(COLUMN(CE$2)-69,3))*5)+MOD(COLUMN(CE$2),3),1,1),"")</f>
        <v>0</v>
      </c>
      <c r="CF109">
        <f ca="1">IF($AN109="",OFFSET(Demand!$A$13,ROW(P106)-1,4+((QUOTIENT(COLUMN(CF$2)-69,3))*5)+MOD(COLUMN(CF$2),3),1,1),"")</f>
        <v>0</v>
      </c>
      <c r="CG109">
        <f ca="1">IF($AN109="",OFFSET(Demand!$A$13,ROW(Q106)-1,4+((QUOTIENT(COLUMN(CG$2)-69,3))*5)+MOD(COLUMN(CG$2),3),1,1),"")</f>
        <v>0</v>
      </c>
      <c r="CH109">
        <f ca="1">IF($AN109="",OFFSET(Demand!$A$13,ROW(R106)-1,4+((QUOTIENT(COLUMN(CH$2)-69,3))*5)+MOD(COLUMN(CH$2),3),1,1),"")</f>
        <v>0</v>
      </c>
      <c r="CI109">
        <f ca="1">IF($AN109="",OFFSET(Demand!$A$13,ROW(S106)-1,4+((QUOTIENT(COLUMN(CI$2)-69,3))*5)+MOD(COLUMN(CI$2),3),1,1),"")</f>
        <v>0</v>
      </c>
      <c r="CJ109">
        <f ca="1">IF($AN109="",OFFSET(Demand!$A$13,ROW(T106)-1,4+((QUOTIENT(COLUMN(CJ$2)-69,3))*5)+MOD(COLUMN(CJ$2),3),1,1),"")</f>
        <v>0</v>
      </c>
      <c r="CK109">
        <f ca="1">IF($AN109="",OFFSET(Demand!$A$13,ROW(U106)-1,4+((QUOTIENT(COLUMN(CK$2)-69,3))*5)+MOD(COLUMN(CK$2),3),1,1),"")</f>
        <v>0</v>
      </c>
      <c r="CL109">
        <f ca="1">IF($AN109="",OFFSET(Demand!$A$13,ROW(V106)-1,4+((QUOTIENT(COLUMN(CL$2)-69,3))*5)+MOD(COLUMN(CL$2),3),1,1),"")</f>
        <v>0</v>
      </c>
      <c r="CM109">
        <f ca="1">IF($AN109="",OFFSET(Demand!$A$13,ROW(W106)-1,4+((QUOTIENT(COLUMN(CM$2)-69,3))*5)+MOD(COLUMN(CM$2),3),1,1),"")</f>
        <v>0</v>
      </c>
      <c r="CN109">
        <f ca="1">IF($AN109="",OFFSET(Demand!$A$13,ROW(X106)-1,4+((QUOTIENT(COLUMN(CN$2)-69,3))*5)+MOD(COLUMN(CN$2),3),1,1),"")</f>
        <v>0</v>
      </c>
      <c r="CO109">
        <f ca="1">IF($AN109="",OFFSET(Demand!$A$13,ROW(Y106)-1,4+((QUOTIENT(COLUMN(CO$2)-69,3))*5)+MOD(COLUMN(CO$2),3),1,1),"")</f>
        <v>0</v>
      </c>
      <c r="CP109">
        <f ca="1">IF($AN109="",OFFSET(Demand!$A$13,ROW(Z106)-1,4+((QUOTIENT(COLUMN(CP$2)-69,3))*5)+MOD(COLUMN(CP$2),3),1,1),"")</f>
        <v>0</v>
      </c>
      <c r="CQ109">
        <f ca="1">IF($AN109="",OFFSET(Demand!$A$13,ROW(AA106)-1,4+((QUOTIENT(COLUMN(CQ$2)-69,3))*5)+MOD(COLUMN(CQ$2),3),1,1),"")</f>
        <v>0</v>
      </c>
      <c r="CR109">
        <f ca="1">IF($AN109="",OFFSET(Demand!$A$13,ROW(AB106)-1,4+((QUOTIENT(COLUMN(CR$2)-69,3))*5)+MOD(COLUMN(CR$2),3),1,1),"")</f>
        <v>0</v>
      </c>
      <c r="CS109">
        <f ca="1">IF($AN109="",OFFSET(Demand!$A$13,ROW(AC106)-1,4+((QUOTIENT(COLUMN(CS$2)-69,3))*5)+MOD(COLUMN(CS$2),3),1,1),"")</f>
        <v>0</v>
      </c>
      <c r="CT109">
        <f ca="1">IF($AN109="",OFFSET(Demand!$A$13,ROW(AD106)-1,4+((QUOTIENT(COLUMN(CT$2)-69,3))*5)+MOD(COLUMN(CT$2),3),1,1),"")</f>
        <v>0</v>
      </c>
      <c r="CW109" s="5">
        <f ca="1">SUM(OFFSET(Demand!$H$43,ROW(A106)-1,(COLUMN(A106)-1)*5,1,1))*N$2</f>
        <v>0</v>
      </c>
      <c r="CX109" s="5">
        <f ca="1">SUM(OFFSET(Demand!$H$43,ROW(B106)-1,(COLUMN(B106)-1)*5,1,1))*O$2</f>
        <v>0</v>
      </c>
      <c r="CY109" s="5">
        <f ca="1">SUM(OFFSET(Demand!$H$43,ROW(C106)-1,(COLUMN(C106)-1)*5,1,1))*P$2</f>
        <v>0</v>
      </c>
      <c r="CZ109" s="5">
        <f ca="1">SUM(OFFSET(Demand!$H$43,ROW(D106)-1,(COLUMN(D106)-1)*5,1,1))*Q$2</f>
        <v>0</v>
      </c>
      <c r="DA109" s="5">
        <f ca="1">SUM(OFFSET(Demand!$H$43,ROW(E106)-1,(COLUMN(E106)-1)*5,1,1))*R$2</f>
        <v>0</v>
      </c>
      <c r="DB109" s="5">
        <f ca="1">SUM(OFFSET(Demand!$H$43,ROW(F106)-1,(COLUMN(F106)-1)*5,1,1))*S$2</f>
        <v>0</v>
      </c>
      <c r="DC109" s="5">
        <f ca="1">SUM(OFFSET(Demand!$H$43,ROW(G106)-1,(COLUMN(G106)-1)*5,1,1))*T$2</f>
        <v>0</v>
      </c>
      <c r="DD109" s="5">
        <f ca="1">SUM(OFFSET(Demand!$H$43,ROW(H106)-1,(COLUMN(H106)-1)*5,1,1))*U$2</f>
        <v>0</v>
      </c>
      <c r="DE109" s="5">
        <f ca="1">SUM(OFFSET(Demand!$H$43,ROW(I106)-1,(COLUMN(I106)-1)*5,1,1))*V$2</f>
        <v>0</v>
      </c>
      <c r="DF109" s="5">
        <f ca="1">SUM(OFFSET(Demand!$H$43,ROW(J106)-1,(COLUMN(J106)-1)*5,1,1))*W$2</f>
        <v>0</v>
      </c>
      <c r="DG109" s="5">
        <f t="shared" ca="1" si="36"/>
        <v>0</v>
      </c>
    </row>
    <row r="110" spans="1:111" x14ac:dyDescent="0.2">
      <c r="A110" s="5">
        <f t="shared" ca="1" si="30"/>
        <v>0</v>
      </c>
      <c r="B110" s="5">
        <f ca="1">COUNTBLANK(OFFSET(Demand!$I119,0,(COLUMN(A107)-1)*5,1,1))</f>
        <v>0</v>
      </c>
      <c r="C110" s="5">
        <f ca="1">COUNTBLANK(OFFSET(Demand!$I119,0,(COLUMN(B107)-1)*5,1,1))</f>
        <v>0</v>
      </c>
      <c r="D110" s="5">
        <f ca="1">COUNTBLANK(OFFSET(Demand!$I119,0,(COLUMN(C107)-1)*5,1,1))</f>
        <v>1</v>
      </c>
      <c r="E110" s="5">
        <f ca="1">COUNTBLANK(OFFSET(Demand!$I119,0,(COLUMN(D107)-1)*5,1,1))</f>
        <v>1</v>
      </c>
      <c r="F110" s="5">
        <f ca="1">COUNTBLANK(OFFSET(Demand!$I119,0,(COLUMN(E107)-1)*5,1,1))</f>
        <v>1</v>
      </c>
      <c r="G110" s="5">
        <f ca="1">COUNTBLANK(OFFSET(Demand!$I119,0,(COLUMN(F107)-1)*5,1,1))</f>
        <v>1</v>
      </c>
      <c r="H110" s="5">
        <f ca="1">COUNTBLANK(OFFSET(Demand!$I119,0,(COLUMN(G107)-1)*5,1,1))</f>
        <v>1</v>
      </c>
      <c r="I110" s="5">
        <f ca="1">COUNTBLANK(OFFSET(Demand!$I119,0,(COLUMN(H107)-1)*5,1,1))</f>
        <v>1</v>
      </c>
      <c r="J110" s="5">
        <f ca="1">COUNTBLANK(OFFSET(Demand!$I119,0,(COLUMN(I107)-1)*5,1,1))</f>
        <v>1</v>
      </c>
      <c r="K110" s="5">
        <f ca="1">COUNTBLANK(OFFSET(Demand!$I119,0,(COLUMN(J107)-1)*5,1,1))</f>
        <v>1</v>
      </c>
      <c r="N110" s="5">
        <f ca="1">SUM(OFFSET(Demand!$E119,0,(COLUMN(A107)-1)*5,1,3))*N$2</f>
        <v>210</v>
      </c>
      <c r="O110" s="5">
        <f ca="1">SUM(OFFSET(Demand!$E119,0,(COLUMN(B107)-1)*5,1,3))*O$2</f>
        <v>360</v>
      </c>
      <c r="P110" s="5">
        <f ca="1">SUM(OFFSET(Demand!$E119,0,(COLUMN(C107)-1)*5,1,3))*P$2</f>
        <v>0</v>
      </c>
      <c r="Q110" s="5">
        <f ca="1">SUM(OFFSET(Demand!$E119,0,(COLUMN(D107)-1)*5,1,3))*Q$2</f>
        <v>0</v>
      </c>
      <c r="R110" s="5">
        <f ca="1">SUM(OFFSET(Demand!$E119,0,(COLUMN(E107)-1)*5,1,3))*R$2</f>
        <v>0</v>
      </c>
      <c r="S110" s="5">
        <f ca="1">SUM(OFFSET(Demand!$E119,0,(COLUMN(F107)-1)*5,1,3))*S$2</f>
        <v>0</v>
      </c>
      <c r="T110" s="5">
        <f ca="1">SUM(OFFSET(Demand!$E119,0,(COLUMN(G107)-1)*5,1,3))*T$2</f>
        <v>0</v>
      </c>
      <c r="U110" s="5">
        <f ca="1">SUM(OFFSET(Demand!$E119,0,(COLUMN(H107)-1)*5,1,3))*U$2</f>
        <v>0</v>
      </c>
      <c r="V110" s="5">
        <f ca="1">SUM(OFFSET(Demand!$E119,0,(COLUMN(I107)-1)*5,1,3))*V$2</f>
        <v>0</v>
      </c>
      <c r="W110" s="5">
        <f ca="1">SUM(OFFSET(Demand!$E119,0,(COLUMN(J107)-1)*5,1,3))*W$2</f>
        <v>0</v>
      </c>
      <c r="X110" s="5">
        <f t="shared" ca="1" si="31"/>
        <v>570</v>
      </c>
      <c r="Y110">
        <f t="shared" ca="1" si="32"/>
        <v>570</v>
      </c>
      <c r="Z110" s="5">
        <f ca="1">SUM(OFFSET(Demand!$H119,0,(COLUMN(A107)-1)*5,1,1))*N$2</f>
        <v>0</v>
      </c>
      <c r="AA110" s="5">
        <f ca="1">SUM(OFFSET(Demand!$H119,0,(COLUMN(B107)-1)*5,1,1))*O$2</f>
        <v>0</v>
      </c>
      <c r="AB110" s="5">
        <f ca="1">SUM(OFFSET(Demand!$H119,0,(COLUMN(C107)-1)*5,1,1))*P$2</f>
        <v>0</v>
      </c>
      <c r="AC110" s="5">
        <f ca="1">SUM(OFFSET(Demand!$H119,0,(COLUMN(D107)-1)*5,1,1))*Q$2</f>
        <v>0</v>
      </c>
      <c r="AD110" s="5">
        <f ca="1">SUM(OFFSET(Demand!$H119,0,(COLUMN(E107)-1)*5,1,1))*R$2</f>
        <v>0</v>
      </c>
      <c r="AE110" s="5">
        <f ca="1">SUM(OFFSET(Demand!$H119,0,(COLUMN(F107)-1)*5,1,1))*S$2</f>
        <v>0</v>
      </c>
      <c r="AF110" s="5">
        <f ca="1">SUM(OFFSET(Demand!$H119,0,(COLUMN(G107)-1)*5,1,1))*T$2</f>
        <v>0</v>
      </c>
      <c r="AG110" s="5">
        <f ca="1">SUM(OFFSET(Demand!$H119,0,(COLUMN(H107)-1)*5,1,1))*U$2</f>
        <v>0</v>
      </c>
      <c r="AH110" s="5">
        <f ca="1">SUM(OFFSET(Demand!$H119,0,(COLUMN(I107)-1)*5,1,1))*V$2</f>
        <v>0</v>
      </c>
      <c r="AI110" s="5">
        <f ca="1">SUM(OFFSET(Demand!$H119,0,(COLUMN(J107)-1)*5,1,1))*W$2</f>
        <v>0</v>
      </c>
      <c r="AJ110" s="5">
        <f t="shared" ca="1" si="33"/>
        <v>0</v>
      </c>
      <c r="AL110" s="5">
        <f t="shared" ca="1" si="34"/>
        <v>570</v>
      </c>
      <c r="AM110" s="5">
        <f t="shared" ca="1" si="35"/>
        <v>0</v>
      </c>
      <c r="AN110" s="5" t="str">
        <f>IF(Demand!BE119="Yes","Yes","")</f>
        <v/>
      </c>
      <c r="AP110" s="37" t="str">
        <f ca="1">Demand!B119</f>
        <v xml:space="preserve"> </v>
      </c>
      <c r="AQ110" t="str">
        <f ca="1">IF(TEXT(Demand!D119,"MMM")&lt;&gt;TEXT(Demand!D118,"MMM"),TEXT(Demand!D119,"MMM"),"")</f>
        <v/>
      </c>
      <c r="AT110" s="5">
        <f t="shared" ca="1" si="37"/>
        <v>300</v>
      </c>
      <c r="BQ110">
        <f ca="1">IF($AN110="",OFFSET(Demand!$A$13,ROW(A107)-1,4+((QUOTIENT(COLUMN(BQ$2)-69,3))*5)+MOD(COLUMN(BQ$2),3),1,1),"")</f>
        <v>0</v>
      </c>
      <c r="BR110">
        <f ca="1">IF($AN110="",OFFSET(Demand!$A$13,ROW(B107)-1,4+((QUOTIENT(COLUMN(BR$2)-69,3))*5)+MOD(COLUMN(BR$2),3),1,1),"")</f>
        <v>3</v>
      </c>
      <c r="BS110">
        <f ca="1">IF($AN110="",OFFSET(Demand!$A$13,ROW(C107)-1,4+((QUOTIENT(COLUMN(BS$2)-69,3))*5)+MOD(COLUMN(BS$2),3),1,1),"")</f>
        <v>4</v>
      </c>
      <c r="BT110">
        <f ca="1">IF($AN110="",OFFSET(Demand!$A$13,ROW(D107)-1,4+((QUOTIENT(COLUMN(BT$2)-69,3))*5)+MOD(COLUMN(BT$2),3),1,1),"")</f>
        <v>0</v>
      </c>
      <c r="BU110">
        <f ca="1">IF($AN110="",OFFSET(Demand!$A$13,ROW(E107)-1,4+((QUOTIENT(COLUMN(BU$2)-69,3))*5)+MOD(COLUMN(BU$2),3),1,1),"")</f>
        <v>2</v>
      </c>
      <c r="BV110">
        <f ca="1">IF($AN110="",OFFSET(Demand!$A$13,ROW(F107)-1,4+((QUOTIENT(COLUMN(BV$2)-69,3))*5)+MOD(COLUMN(BV$2),3),1,1),"")</f>
        <v>7</v>
      </c>
      <c r="BW110">
        <f ca="1">IF($AN110="",OFFSET(Demand!$A$13,ROW(G107)-1,4+((QUOTIENT(COLUMN(BW$2)-69,3))*5)+MOD(COLUMN(BW$2),3),1,1),"")</f>
        <v>0</v>
      </c>
      <c r="BX110">
        <f ca="1">IF($AN110="",OFFSET(Demand!$A$13,ROW(H107)-1,4+((QUOTIENT(COLUMN(BX$2)-69,3))*5)+MOD(COLUMN(BX$2),3),1,1),"")</f>
        <v>0</v>
      </c>
      <c r="BY110">
        <f ca="1">IF($AN110="",OFFSET(Demand!$A$13,ROW(I107)-1,4+((QUOTIENT(COLUMN(BY$2)-69,3))*5)+MOD(COLUMN(BY$2),3),1,1),"")</f>
        <v>0</v>
      </c>
      <c r="BZ110">
        <f ca="1">IF($AN110="",OFFSET(Demand!$A$13,ROW(J107)-1,4+((QUOTIENT(COLUMN(BZ$2)-69,3))*5)+MOD(COLUMN(BZ$2),3),1,1),"")</f>
        <v>0</v>
      </c>
      <c r="CA110">
        <f ca="1">IF($AN110="",OFFSET(Demand!$A$13,ROW(K107)-1,4+((QUOTIENT(COLUMN(CA$2)-69,3))*5)+MOD(COLUMN(CA$2),3),1,1),"")</f>
        <v>0</v>
      </c>
      <c r="CB110">
        <f ca="1">IF($AN110="",OFFSET(Demand!$A$13,ROW(L107)-1,4+((QUOTIENT(COLUMN(CB$2)-69,3))*5)+MOD(COLUMN(CB$2),3),1,1),"")</f>
        <v>0</v>
      </c>
      <c r="CC110">
        <f ca="1">IF($AN110="",OFFSET(Demand!$A$13,ROW(M107)-1,4+((QUOTIENT(COLUMN(CC$2)-69,3))*5)+MOD(COLUMN(CC$2),3),1,1),"")</f>
        <v>0</v>
      </c>
      <c r="CD110">
        <f ca="1">IF($AN110="",OFFSET(Demand!$A$13,ROW(N107)-1,4+((QUOTIENT(COLUMN(CD$2)-69,3))*5)+MOD(COLUMN(CD$2),3),1,1),"")</f>
        <v>0</v>
      </c>
      <c r="CE110">
        <f ca="1">IF($AN110="",OFFSET(Demand!$A$13,ROW(O107)-1,4+((QUOTIENT(COLUMN(CE$2)-69,3))*5)+MOD(COLUMN(CE$2),3),1,1),"")</f>
        <v>0</v>
      </c>
      <c r="CF110">
        <f ca="1">IF($AN110="",OFFSET(Demand!$A$13,ROW(P107)-1,4+((QUOTIENT(COLUMN(CF$2)-69,3))*5)+MOD(COLUMN(CF$2),3),1,1),"")</f>
        <v>0</v>
      </c>
      <c r="CG110">
        <f ca="1">IF($AN110="",OFFSET(Demand!$A$13,ROW(Q107)-1,4+((QUOTIENT(COLUMN(CG$2)-69,3))*5)+MOD(COLUMN(CG$2),3),1,1),"")</f>
        <v>0</v>
      </c>
      <c r="CH110">
        <f ca="1">IF($AN110="",OFFSET(Demand!$A$13,ROW(R107)-1,4+((QUOTIENT(COLUMN(CH$2)-69,3))*5)+MOD(COLUMN(CH$2),3),1,1),"")</f>
        <v>0</v>
      </c>
      <c r="CI110">
        <f ca="1">IF($AN110="",OFFSET(Demand!$A$13,ROW(S107)-1,4+((QUOTIENT(COLUMN(CI$2)-69,3))*5)+MOD(COLUMN(CI$2),3),1,1),"")</f>
        <v>0</v>
      </c>
      <c r="CJ110">
        <f ca="1">IF($AN110="",OFFSET(Demand!$A$13,ROW(T107)-1,4+((QUOTIENT(COLUMN(CJ$2)-69,3))*5)+MOD(COLUMN(CJ$2),3),1,1),"")</f>
        <v>0</v>
      </c>
      <c r="CK110">
        <f ca="1">IF($AN110="",OFFSET(Demand!$A$13,ROW(U107)-1,4+((QUOTIENT(COLUMN(CK$2)-69,3))*5)+MOD(COLUMN(CK$2),3),1,1),"")</f>
        <v>0</v>
      </c>
      <c r="CL110">
        <f ca="1">IF($AN110="",OFFSET(Demand!$A$13,ROW(V107)-1,4+((QUOTIENT(COLUMN(CL$2)-69,3))*5)+MOD(COLUMN(CL$2),3),1,1),"")</f>
        <v>0</v>
      </c>
      <c r="CM110">
        <f ca="1">IF($AN110="",OFFSET(Demand!$A$13,ROW(W107)-1,4+((QUOTIENT(COLUMN(CM$2)-69,3))*5)+MOD(COLUMN(CM$2),3),1,1),"")</f>
        <v>0</v>
      </c>
      <c r="CN110">
        <f ca="1">IF($AN110="",OFFSET(Demand!$A$13,ROW(X107)-1,4+((QUOTIENT(COLUMN(CN$2)-69,3))*5)+MOD(COLUMN(CN$2),3),1,1),"")</f>
        <v>0</v>
      </c>
      <c r="CO110">
        <f ca="1">IF($AN110="",OFFSET(Demand!$A$13,ROW(Y107)-1,4+((QUOTIENT(COLUMN(CO$2)-69,3))*5)+MOD(COLUMN(CO$2),3),1,1),"")</f>
        <v>0</v>
      </c>
      <c r="CP110">
        <f ca="1">IF($AN110="",OFFSET(Demand!$A$13,ROW(Z107)-1,4+((QUOTIENT(COLUMN(CP$2)-69,3))*5)+MOD(COLUMN(CP$2),3),1,1),"")</f>
        <v>0</v>
      </c>
      <c r="CQ110">
        <f ca="1">IF($AN110="",OFFSET(Demand!$A$13,ROW(AA107)-1,4+((QUOTIENT(COLUMN(CQ$2)-69,3))*5)+MOD(COLUMN(CQ$2),3),1,1),"")</f>
        <v>0</v>
      </c>
      <c r="CR110">
        <f ca="1">IF($AN110="",OFFSET(Demand!$A$13,ROW(AB107)-1,4+((QUOTIENT(COLUMN(CR$2)-69,3))*5)+MOD(COLUMN(CR$2),3),1,1),"")</f>
        <v>0</v>
      </c>
      <c r="CS110">
        <f ca="1">IF($AN110="",OFFSET(Demand!$A$13,ROW(AC107)-1,4+((QUOTIENT(COLUMN(CS$2)-69,3))*5)+MOD(COLUMN(CS$2),3),1,1),"")</f>
        <v>0</v>
      </c>
      <c r="CT110">
        <f ca="1">IF($AN110="",OFFSET(Demand!$A$13,ROW(AD107)-1,4+((QUOTIENT(COLUMN(CT$2)-69,3))*5)+MOD(COLUMN(CT$2),3),1,1),"")</f>
        <v>0</v>
      </c>
      <c r="CW110" s="5">
        <f ca="1">SUM(OFFSET(Demand!$H$43,ROW(A107)-1,(COLUMN(A107)-1)*5,1,1))*N$2</f>
        <v>0</v>
      </c>
      <c r="CX110" s="5">
        <f ca="1">SUM(OFFSET(Demand!$H$43,ROW(B107)-1,(COLUMN(B107)-1)*5,1,1))*O$2</f>
        <v>0</v>
      </c>
      <c r="CY110" s="5">
        <f ca="1">SUM(OFFSET(Demand!$H$43,ROW(C107)-1,(COLUMN(C107)-1)*5,1,1))*P$2</f>
        <v>0</v>
      </c>
      <c r="CZ110" s="5">
        <f ca="1">SUM(OFFSET(Demand!$H$43,ROW(D107)-1,(COLUMN(D107)-1)*5,1,1))*Q$2</f>
        <v>0</v>
      </c>
      <c r="DA110" s="5">
        <f ca="1">SUM(OFFSET(Demand!$H$43,ROW(E107)-1,(COLUMN(E107)-1)*5,1,1))*R$2</f>
        <v>0</v>
      </c>
      <c r="DB110" s="5">
        <f ca="1">SUM(OFFSET(Demand!$H$43,ROW(F107)-1,(COLUMN(F107)-1)*5,1,1))*S$2</f>
        <v>0</v>
      </c>
      <c r="DC110" s="5">
        <f ca="1">SUM(OFFSET(Demand!$H$43,ROW(G107)-1,(COLUMN(G107)-1)*5,1,1))*T$2</f>
        <v>0</v>
      </c>
      <c r="DD110" s="5">
        <f ca="1">SUM(OFFSET(Demand!$H$43,ROW(H107)-1,(COLUMN(H107)-1)*5,1,1))*U$2</f>
        <v>0</v>
      </c>
      <c r="DE110" s="5">
        <f ca="1">SUM(OFFSET(Demand!$H$43,ROW(I107)-1,(COLUMN(I107)-1)*5,1,1))*V$2</f>
        <v>0</v>
      </c>
      <c r="DF110" s="5">
        <f ca="1">SUM(OFFSET(Demand!$H$43,ROW(J107)-1,(COLUMN(J107)-1)*5,1,1))*W$2</f>
        <v>0</v>
      </c>
      <c r="DG110" s="5">
        <f t="shared" ca="1" si="36"/>
        <v>0</v>
      </c>
    </row>
    <row r="111" spans="1:111" x14ac:dyDescent="0.2">
      <c r="A111" s="5">
        <f t="shared" ca="1" si="30"/>
        <v>0</v>
      </c>
      <c r="B111" s="5">
        <f ca="1">COUNTBLANK(OFFSET(Demand!$I120,0,(COLUMN(A108)-1)*5,1,1))</f>
        <v>0</v>
      </c>
      <c r="C111" s="5">
        <f ca="1">COUNTBLANK(OFFSET(Demand!$I120,0,(COLUMN(B108)-1)*5,1,1))</f>
        <v>0</v>
      </c>
      <c r="D111" s="5">
        <f ca="1">COUNTBLANK(OFFSET(Demand!$I120,0,(COLUMN(C108)-1)*5,1,1))</f>
        <v>1</v>
      </c>
      <c r="E111" s="5">
        <f ca="1">COUNTBLANK(OFFSET(Demand!$I120,0,(COLUMN(D108)-1)*5,1,1))</f>
        <v>1</v>
      </c>
      <c r="F111" s="5">
        <f ca="1">COUNTBLANK(OFFSET(Demand!$I120,0,(COLUMN(E108)-1)*5,1,1))</f>
        <v>1</v>
      </c>
      <c r="G111" s="5">
        <f ca="1">COUNTBLANK(OFFSET(Demand!$I120,0,(COLUMN(F108)-1)*5,1,1))</f>
        <v>1</v>
      </c>
      <c r="H111" s="5">
        <f ca="1">COUNTBLANK(OFFSET(Demand!$I120,0,(COLUMN(G108)-1)*5,1,1))</f>
        <v>1</v>
      </c>
      <c r="I111" s="5">
        <f ca="1">COUNTBLANK(OFFSET(Demand!$I120,0,(COLUMN(H108)-1)*5,1,1))</f>
        <v>1</v>
      </c>
      <c r="J111" s="5">
        <f ca="1">COUNTBLANK(OFFSET(Demand!$I120,0,(COLUMN(I108)-1)*5,1,1))</f>
        <v>1</v>
      </c>
      <c r="K111" s="5">
        <f ca="1">COUNTBLANK(OFFSET(Demand!$I120,0,(COLUMN(J108)-1)*5,1,1))</f>
        <v>1</v>
      </c>
      <c r="N111" s="5">
        <f ca="1">SUM(OFFSET(Demand!$E120,0,(COLUMN(A108)-1)*5,1,3))*N$2</f>
        <v>90</v>
      </c>
      <c r="O111" s="5">
        <f ca="1">SUM(OFFSET(Demand!$E120,0,(COLUMN(B108)-1)*5,1,3))*O$2</f>
        <v>600</v>
      </c>
      <c r="P111" s="5">
        <f ca="1">SUM(OFFSET(Demand!$E120,0,(COLUMN(C108)-1)*5,1,3))*P$2</f>
        <v>0</v>
      </c>
      <c r="Q111" s="5">
        <f ca="1">SUM(OFFSET(Demand!$E120,0,(COLUMN(D108)-1)*5,1,3))*Q$2</f>
        <v>0</v>
      </c>
      <c r="R111" s="5">
        <f ca="1">SUM(OFFSET(Demand!$E120,0,(COLUMN(E108)-1)*5,1,3))*R$2</f>
        <v>0</v>
      </c>
      <c r="S111" s="5">
        <f ca="1">SUM(OFFSET(Demand!$E120,0,(COLUMN(F108)-1)*5,1,3))*S$2</f>
        <v>0</v>
      </c>
      <c r="T111" s="5">
        <f ca="1">SUM(OFFSET(Demand!$E120,0,(COLUMN(G108)-1)*5,1,3))*T$2</f>
        <v>0</v>
      </c>
      <c r="U111" s="5">
        <f ca="1">SUM(OFFSET(Demand!$E120,0,(COLUMN(H108)-1)*5,1,3))*U$2</f>
        <v>0</v>
      </c>
      <c r="V111" s="5">
        <f ca="1">SUM(OFFSET(Demand!$E120,0,(COLUMN(I108)-1)*5,1,3))*V$2</f>
        <v>0</v>
      </c>
      <c r="W111" s="5">
        <f ca="1">SUM(OFFSET(Demand!$E120,0,(COLUMN(J108)-1)*5,1,3))*W$2</f>
        <v>0</v>
      </c>
      <c r="X111" s="5">
        <f t="shared" ca="1" si="31"/>
        <v>690</v>
      </c>
      <c r="Y111">
        <f t="shared" ca="1" si="32"/>
        <v>690</v>
      </c>
      <c r="Z111" s="5">
        <f ca="1">SUM(OFFSET(Demand!$H120,0,(COLUMN(A108)-1)*5,1,1))*N$2</f>
        <v>0</v>
      </c>
      <c r="AA111" s="5">
        <f ca="1">SUM(OFFSET(Demand!$H120,0,(COLUMN(B108)-1)*5,1,1))*O$2</f>
        <v>0</v>
      </c>
      <c r="AB111" s="5">
        <f ca="1">SUM(OFFSET(Demand!$H120,0,(COLUMN(C108)-1)*5,1,1))*P$2</f>
        <v>0</v>
      </c>
      <c r="AC111" s="5">
        <f ca="1">SUM(OFFSET(Demand!$H120,0,(COLUMN(D108)-1)*5,1,1))*Q$2</f>
        <v>0</v>
      </c>
      <c r="AD111" s="5">
        <f ca="1">SUM(OFFSET(Demand!$H120,0,(COLUMN(E108)-1)*5,1,1))*R$2</f>
        <v>0</v>
      </c>
      <c r="AE111" s="5">
        <f ca="1">SUM(OFFSET(Demand!$H120,0,(COLUMN(F108)-1)*5,1,1))*S$2</f>
        <v>0</v>
      </c>
      <c r="AF111" s="5">
        <f ca="1">SUM(OFFSET(Demand!$H120,0,(COLUMN(G108)-1)*5,1,1))*T$2</f>
        <v>0</v>
      </c>
      <c r="AG111" s="5">
        <f ca="1">SUM(OFFSET(Demand!$H120,0,(COLUMN(H108)-1)*5,1,1))*U$2</f>
        <v>0</v>
      </c>
      <c r="AH111" s="5">
        <f ca="1">SUM(OFFSET(Demand!$H120,0,(COLUMN(I108)-1)*5,1,1))*V$2</f>
        <v>0</v>
      </c>
      <c r="AI111" s="5">
        <f ca="1">SUM(OFFSET(Demand!$H120,0,(COLUMN(J108)-1)*5,1,1))*W$2</f>
        <v>0</v>
      </c>
      <c r="AJ111" s="5">
        <f t="shared" ca="1" si="33"/>
        <v>0</v>
      </c>
      <c r="AL111" s="5">
        <f t="shared" ca="1" si="34"/>
        <v>690</v>
      </c>
      <c r="AM111" s="5">
        <f t="shared" ca="1" si="35"/>
        <v>0</v>
      </c>
      <c r="AN111" s="5" t="str">
        <f>IF(Demand!BE120="Yes","Yes","")</f>
        <v/>
      </c>
      <c r="AP111" s="37" t="str">
        <f ca="1">Demand!B120</f>
        <v xml:space="preserve"> </v>
      </c>
      <c r="AQ111" t="str">
        <f ca="1">IF(TEXT(Demand!D120,"MMM")&lt;&gt;TEXT(Demand!D119,"MMM"),TEXT(Demand!D120,"MMM"),"")</f>
        <v/>
      </c>
      <c r="AT111" s="5">
        <f t="shared" ca="1" si="37"/>
        <v>120</v>
      </c>
      <c r="BQ111">
        <f ca="1">IF($AN111="",OFFSET(Demand!$A$13,ROW(A108)-1,4+((QUOTIENT(COLUMN(BQ$2)-69,3))*5)+MOD(COLUMN(BQ$2),3),1,1),"")</f>
        <v>0</v>
      </c>
      <c r="BR111">
        <f ca="1">IF($AN111="",OFFSET(Demand!$A$13,ROW(B108)-1,4+((QUOTIENT(COLUMN(BR$2)-69,3))*5)+MOD(COLUMN(BR$2),3),1,1),"")</f>
        <v>0</v>
      </c>
      <c r="BS111">
        <f ca="1">IF($AN111="",OFFSET(Demand!$A$13,ROW(C108)-1,4+((QUOTIENT(COLUMN(BS$2)-69,3))*5)+MOD(COLUMN(BS$2),3),1,1),"")</f>
        <v>3</v>
      </c>
      <c r="BT111">
        <f ca="1">IF($AN111="",OFFSET(Demand!$A$13,ROW(D108)-1,4+((QUOTIENT(COLUMN(BT$2)-69,3))*5)+MOD(COLUMN(BT$2),3),1,1),"")</f>
        <v>0</v>
      </c>
      <c r="BU111">
        <f ca="1">IF($AN111="",OFFSET(Demand!$A$13,ROW(E108)-1,4+((QUOTIENT(COLUMN(BU$2)-69,3))*5)+MOD(COLUMN(BU$2),3),1,1),"")</f>
        <v>4</v>
      </c>
      <c r="BV111">
        <f ca="1">IF($AN111="",OFFSET(Demand!$A$13,ROW(F108)-1,4+((QUOTIENT(COLUMN(BV$2)-69,3))*5)+MOD(COLUMN(BV$2),3),1,1),"")</f>
        <v>11</v>
      </c>
      <c r="BW111">
        <f ca="1">IF($AN111="",OFFSET(Demand!$A$13,ROW(G108)-1,4+((QUOTIENT(COLUMN(BW$2)-69,3))*5)+MOD(COLUMN(BW$2),3),1,1),"")</f>
        <v>0</v>
      </c>
      <c r="BX111">
        <f ca="1">IF($AN111="",OFFSET(Demand!$A$13,ROW(H108)-1,4+((QUOTIENT(COLUMN(BX$2)-69,3))*5)+MOD(COLUMN(BX$2),3),1,1),"")</f>
        <v>0</v>
      </c>
      <c r="BY111">
        <f ca="1">IF($AN111="",OFFSET(Demand!$A$13,ROW(I108)-1,4+((QUOTIENT(COLUMN(BY$2)-69,3))*5)+MOD(COLUMN(BY$2),3),1,1),"")</f>
        <v>0</v>
      </c>
      <c r="BZ111">
        <f ca="1">IF($AN111="",OFFSET(Demand!$A$13,ROW(J108)-1,4+((QUOTIENT(COLUMN(BZ$2)-69,3))*5)+MOD(COLUMN(BZ$2),3),1,1),"")</f>
        <v>0</v>
      </c>
      <c r="CA111">
        <f ca="1">IF($AN111="",OFFSET(Demand!$A$13,ROW(K108)-1,4+((QUOTIENT(COLUMN(CA$2)-69,3))*5)+MOD(COLUMN(CA$2),3),1,1),"")</f>
        <v>0</v>
      </c>
      <c r="CB111">
        <f ca="1">IF($AN111="",OFFSET(Demand!$A$13,ROW(L108)-1,4+((QUOTIENT(COLUMN(CB$2)-69,3))*5)+MOD(COLUMN(CB$2),3),1,1),"")</f>
        <v>0</v>
      </c>
      <c r="CC111">
        <f ca="1">IF($AN111="",OFFSET(Demand!$A$13,ROW(M108)-1,4+((QUOTIENT(COLUMN(CC$2)-69,3))*5)+MOD(COLUMN(CC$2),3),1,1),"")</f>
        <v>0</v>
      </c>
      <c r="CD111">
        <f ca="1">IF($AN111="",OFFSET(Demand!$A$13,ROW(N108)-1,4+((QUOTIENT(COLUMN(CD$2)-69,3))*5)+MOD(COLUMN(CD$2),3),1,1),"")</f>
        <v>0</v>
      </c>
      <c r="CE111">
        <f ca="1">IF($AN111="",OFFSET(Demand!$A$13,ROW(O108)-1,4+((QUOTIENT(COLUMN(CE$2)-69,3))*5)+MOD(COLUMN(CE$2),3),1,1),"")</f>
        <v>0</v>
      </c>
      <c r="CF111">
        <f ca="1">IF($AN111="",OFFSET(Demand!$A$13,ROW(P108)-1,4+((QUOTIENT(COLUMN(CF$2)-69,3))*5)+MOD(COLUMN(CF$2),3),1,1),"")</f>
        <v>0</v>
      </c>
      <c r="CG111">
        <f ca="1">IF($AN111="",OFFSET(Demand!$A$13,ROW(Q108)-1,4+((QUOTIENT(COLUMN(CG$2)-69,3))*5)+MOD(COLUMN(CG$2),3),1,1),"")</f>
        <v>0</v>
      </c>
      <c r="CH111">
        <f ca="1">IF($AN111="",OFFSET(Demand!$A$13,ROW(R108)-1,4+((QUOTIENT(COLUMN(CH$2)-69,3))*5)+MOD(COLUMN(CH$2),3),1,1),"")</f>
        <v>0</v>
      </c>
      <c r="CI111">
        <f ca="1">IF($AN111="",OFFSET(Demand!$A$13,ROW(S108)-1,4+((QUOTIENT(COLUMN(CI$2)-69,3))*5)+MOD(COLUMN(CI$2),3),1,1),"")</f>
        <v>0</v>
      </c>
      <c r="CJ111">
        <f ca="1">IF($AN111="",OFFSET(Demand!$A$13,ROW(T108)-1,4+((QUOTIENT(COLUMN(CJ$2)-69,3))*5)+MOD(COLUMN(CJ$2),3),1,1),"")</f>
        <v>0</v>
      </c>
      <c r="CK111">
        <f ca="1">IF($AN111="",OFFSET(Demand!$A$13,ROW(U108)-1,4+((QUOTIENT(COLUMN(CK$2)-69,3))*5)+MOD(COLUMN(CK$2),3),1,1),"")</f>
        <v>0</v>
      </c>
      <c r="CL111">
        <f ca="1">IF($AN111="",OFFSET(Demand!$A$13,ROW(V108)-1,4+((QUOTIENT(COLUMN(CL$2)-69,3))*5)+MOD(COLUMN(CL$2),3),1,1),"")</f>
        <v>0</v>
      </c>
      <c r="CM111">
        <f ca="1">IF($AN111="",OFFSET(Demand!$A$13,ROW(W108)-1,4+((QUOTIENT(COLUMN(CM$2)-69,3))*5)+MOD(COLUMN(CM$2),3),1,1),"")</f>
        <v>0</v>
      </c>
      <c r="CN111">
        <f ca="1">IF($AN111="",OFFSET(Demand!$A$13,ROW(X108)-1,4+((QUOTIENT(COLUMN(CN$2)-69,3))*5)+MOD(COLUMN(CN$2),3),1,1),"")</f>
        <v>0</v>
      </c>
      <c r="CO111">
        <f ca="1">IF($AN111="",OFFSET(Demand!$A$13,ROW(Y108)-1,4+((QUOTIENT(COLUMN(CO$2)-69,3))*5)+MOD(COLUMN(CO$2),3),1,1),"")</f>
        <v>0</v>
      </c>
      <c r="CP111">
        <f ca="1">IF($AN111="",OFFSET(Demand!$A$13,ROW(Z108)-1,4+((QUOTIENT(COLUMN(CP$2)-69,3))*5)+MOD(COLUMN(CP$2),3),1,1),"")</f>
        <v>0</v>
      </c>
      <c r="CQ111">
        <f ca="1">IF($AN111="",OFFSET(Demand!$A$13,ROW(AA108)-1,4+((QUOTIENT(COLUMN(CQ$2)-69,3))*5)+MOD(COLUMN(CQ$2),3),1,1),"")</f>
        <v>0</v>
      </c>
      <c r="CR111">
        <f ca="1">IF($AN111="",OFFSET(Demand!$A$13,ROW(AB108)-1,4+((QUOTIENT(COLUMN(CR$2)-69,3))*5)+MOD(COLUMN(CR$2),3),1,1),"")</f>
        <v>0</v>
      </c>
      <c r="CS111">
        <f ca="1">IF($AN111="",OFFSET(Demand!$A$13,ROW(AC108)-1,4+((QUOTIENT(COLUMN(CS$2)-69,3))*5)+MOD(COLUMN(CS$2),3),1,1),"")</f>
        <v>0</v>
      </c>
      <c r="CT111">
        <f ca="1">IF($AN111="",OFFSET(Demand!$A$13,ROW(AD108)-1,4+((QUOTIENT(COLUMN(CT$2)-69,3))*5)+MOD(COLUMN(CT$2),3),1,1),"")</f>
        <v>0</v>
      </c>
      <c r="CW111" s="5">
        <f ca="1">SUM(OFFSET(Demand!$H$43,ROW(A108)-1,(COLUMN(A108)-1)*5,1,1))*N$2</f>
        <v>0</v>
      </c>
      <c r="CX111" s="5">
        <f ca="1">SUM(OFFSET(Demand!$H$43,ROW(B108)-1,(COLUMN(B108)-1)*5,1,1))*O$2</f>
        <v>0</v>
      </c>
      <c r="CY111" s="5">
        <f ca="1">SUM(OFFSET(Demand!$H$43,ROW(C108)-1,(COLUMN(C108)-1)*5,1,1))*P$2</f>
        <v>0</v>
      </c>
      <c r="CZ111" s="5">
        <f ca="1">SUM(OFFSET(Demand!$H$43,ROW(D108)-1,(COLUMN(D108)-1)*5,1,1))*Q$2</f>
        <v>0</v>
      </c>
      <c r="DA111" s="5">
        <f ca="1">SUM(OFFSET(Demand!$H$43,ROW(E108)-1,(COLUMN(E108)-1)*5,1,1))*R$2</f>
        <v>0</v>
      </c>
      <c r="DB111" s="5">
        <f ca="1">SUM(OFFSET(Demand!$H$43,ROW(F108)-1,(COLUMN(F108)-1)*5,1,1))*S$2</f>
        <v>0</v>
      </c>
      <c r="DC111" s="5">
        <f ca="1">SUM(OFFSET(Demand!$H$43,ROW(G108)-1,(COLUMN(G108)-1)*5,1,1))*T$2</f>
        <v>0</v>
      </c>
      <c r="DD111" s="5">
        <f ca="1">SUM(OFFSET(Demand!$H$43,ROW(H108)-1,(COLUMN(H108)-1)*5,1,1))*U$2</f>
        <v>0</v>
      </c>
      <c r="DE111" s="5">
        <f ca="1">SUM(OFFSET(Demand!$H$43,ROW(I108)-1,(COLUMN(I108)-1)*5,1,1))*V$2</f>
        <v>0</v>
      </c>
      <c r="DF111" s="5">
        <f ca="1">SUM(OFFSET(Demand!$H$43,ROW(J108)-1,(COLUMN(J108)-1)*5,1,1))*W$2</f>
        <v>0</v>
      </c>
      <c r="DG111" s="5">
        <f t="shared" ca="1" si="36"/>
        <v>0</v>
      </c>
    </row>
    <row r="112" spans="1:111" x14ac:dyDescent="0.2">
      <c r="A112" s="5">
        <f t="shared" ca="1" si="30"/>
        <v>0</v>
      </c>
      <c r="B112" s="5">
        <f ca="1">COUNTBLANK(OFFSET(Demand!$I121,0,(COLUMN(A109)-1)*5,1,1))</f>
        <v>0</v>
      </c>
      <c r="C112" s="5">
        <f ca="1">COUNTBLANK(OFFSET(Demand!$I121,0,(COLUMN(B109)-1)*5,1,1))</f>
        <v>0</v>
      </c>
      <c r="D112" s="5">
        <f ca="1">COUNTBLANK(OFFSET(Demand!$I121,0,(COLUMN(C109)-1)*5,1,1))</f>
        <v>1</v>
      </c>
      <c r="E112" s="5">
        <f ca="1">COUNTBLANK(OFFSET(Demand!$I121,0,(COLUMN(D109)-1)*5,1,1))</f>
        <v>1</v>
      </c>
      <c r="F112" s="5">
        <f ca="1">COUNTBLANK(OFFSET(Demand!$I121,0,(COLUMN(E109)-1)*5,1,1))</f>
        <v>1</v>
      </c>
      <c r="G112" s="5">
        <f ca="1">COUNTBLANK(OFFSET(Demand!$I121,0,(COLUMN(F109)-1)*5,1,1))</f>
        <v>1</v>
      </c>
      <c r="H112" s="5">
        <f ca="1">COUNTBLANK(OFFSET(Demand!$I121,0,(COLUMN(G109)-1)*5,1,1))</f>
        <v>1</v>
      </c>
      <c r="I112" s="5">
        <f ca="1">COUNTBLANK(OFFSET(Demand!$I121,0,(COLUMN(H109)-1)*5,1,1))</f>
        <v>1</v>
      </c>
      <c r="J112" s="5">
        <f ca="1">COUNTBLANK(OFFSET(Demand!$I121,0,(COLUMN(I109)-1)*5,1,1))</f>
        <v>1</v>
      </c>
      <c r="K112" s="5">
        <f ca="1">COUNTBLANK(OFFSET(Demand!$I121,0,(COLUMN(J109)-1)*5,1,1))</f>
        <v>1</v>
      </c>
      <c r="N112" s="5">
        <f ca="1">SUM(OFFSET(Demand!$E121,0,(COLUMN(A109)-1)*5,1,3))*N$2</f>
        <v>210</v>
      </c>
      <c r="O112" s="5">
        <f ca="1">SUM(OFFSET(Demand!$E121,0,(COLUMN(B109)-1)*5,1,3))*O$2</f>
        <v>200</v>
      </c>
      <c r="P112" s="5">
        <f ca="1">SUM(OFFSET(Demand!$E121,0,(COLUMN(C109)-1)*5,1,3))*P$2</f>
        <v>0</v>
      </c>
      <c r="Q112" s="5">
        <f ca="1">SUM(OFFSET(Demand!$E121,0,(COLUMN(D109)-1)*5,1,3))*Q$2</f>
        <v>0</v>
      </c>
      <c r="R112" s="5">
        <f ca="1">SUM(OFFSET(Demand!$E121,0,(COLUMN(E109)-1)*5,1,3))*R$2</f>
        <v>0</v>
      </c>
      <c r="S112" s="5">
        <f ca="1">SUM(OFFSET(Demand!$E121,0,(COLUMN(F109)-1)*5,1,3))*S$2</f>
        <v>0</v>
      </c>
      <c r="T112" s="5">
        <f ca="1">SUM(OFFSET(Demand!$E121,0,(COLUMN(G109)-1)*5,1,3))*T$2</f>
        <v>0</v>
      </c>
      <c r="U112" s="5">
        <f ca="1">SUM(OFFSET(Demand!$E121,0,(COLUMN(H109)-1)*5,1,3))*U$2</f>
        <v>0</v>
      </c>
      <c r="V112" s="5">
        <f ca="1">SUM(OFFSET(Demand!$E121,0,(COLUMN(I109)-1)*5,1,3))*V$2</f>
        <v>0</v>
      </c>
      <c r="W112" s="5">
        <f ca="1">SUM(OFFSET(Demand!$E121,0,(COLUMN(J109)-1)*5,1,3))*W$2</f>
        <v>0</v>
      </c>
      <c r="X112" s="5">
        <f t="shared" ca="1" si="31"/>
        <v>410</v>
      </c>
      <c r="Y112">
        <f t="shared" ca="1" si="32"/>
        <v>410</v>
      </c>
      <c r="Z112" s="5">
        <f ca="1">SUM(OFFSET(Demand!$H121,0,(COLUMN(A109)-1)*5,1,1))*N$2</f>
        <v>0</v>
      </c>
      <c r="AA112" s="5">
        <f ca="1">SUM(OFFSET(Demand!$H121,0,(COLUMN(B109)-1)*5,1,1))*O$2</f>
        <v>0</v>
      </c>
      <c r="AB112" s="5">
        <f ca="1">SUM(OFFSET(Demand!$H121,0,(COLUMN(C109)-1)*5,1,1))*P$2</f>
        <v>0</v>
      </c>
      <c r="AC112" s="5">
        <f ca="1">SUM(OFFSET(Demand!$H121,0,(COLUMN(D109)-1)*5,1,1))*Q$2</f>
        <v>0</v>
      </c>
      <c r="AD112" s="5">
        <f ca="1">SUM(OFFSET(Demand!$H121,0,(COLUMN(E109)-1)*5,1,1))*R$2</f>
        <v>0</v>
      </c>
      <c r="AE112" s="5">
        <f ca="1">SUM(OFFSET(Demand!$H121,0,(COLUMN(F109)-1)*5,1,1))*S$2</f>
        <v>0</v>
      </c>
      <c r="AF112" s="5">
        <f ca="1">SUM(OFFSET(Demand!$H121,0,(COLUMN(G109)-1)*5,1,1))*T$2</f>
        <v>0</v>
      </c>
      <c r="AG112" s="5">
        <f ca="1">SUM(OFFSET(Demand!$H121,0,(COLUMN(H109)-1)*5,1,1))*U$2</f>
        <v>0</v>
      </c>
      <c r="AH112" s="5">
        <f ca="1">SUM(OFFSET(Demand!$H121,0,(COLUMN(I109)-1)*5,1,1))*V$2</f>
        <v>0</v>
      </c>
      <c r="AI112" s="5">
        <f ca="1">SUM(OFFSET(Demand!$H121,0,(COLUMN(J109)-1)*5,1,1))*W$2</f>
        <v>0</v>
      </c>
      <c r="AJ112" s="5">
        <f t="shared" ca="1" si="33"/>
        <v>0</v>
      </c>
      <c r="AL112" s="5">
        <f t="shared" ca="1" si="34"/>
        <v>410</v>
      </c>
      <c r="AM112" s="5">
        <f t="shared" ca="1" si="35"/>
        <v>0</v>
      </c>
      <c r="AN112" s="5" t="str">
        <f>IF(Demand!BE121="Yes","Yes","")</f>
        <v/>
      </c>
      <c r="AP112" s="37" t="str">
        <f ca="1">Demand!B121</f>
        <v xml:space="preserve"> </v>
      </c>
      <c r="AQ112" t="str">
        <f ca="1">IF(TEXT(Demand!D121,"MMM")&lt;&gt;TEXT(Demand!D120,"MMM"),TEXT(Demand!D121,"MMM"),"")</f>
        <v/>
      </c>
      <c r="AT112" s="5">
        <f t="shared" ca="1" si="37"/>
        <v>280</v>
      </c>
      <c r="BQ112">
        <f ca="1">IF($AN112="",OFFSET(Demand!$A$13,ROW(A109)-1,4+((QUOTIENT(COLUMN(BQ$2)-69,3))*5)+MOD(COLUMN(BQ$2),3),1,1),"")</f>
        <v>0</v>
      </c>
      <c r="BR112">
        <f ca="1">IF($AN112="",OFFSET(Demand!$A$13,ROW(B109)-1,4+((QUOTIENT(COLUMN(BR$2)-69,3))*5)+MOD(COLUMN(BR$2),3),1,1),"")</f>
        <v>3</v>
      </c>
      <c r="BS112">
        <f ca="1">IF($AN112="",OFFSET(Demand!$A$13,ROW(C109)-1,4+((QUOTIENT(COLUMN(BS$2)-69,3))*5)+MOD(COLUMN(BS$2),3),1,1),"")</f>
        <v>4</v>
      </c>
      <c r="BT112">
        <f ca="1">IF($AN112="",OFFSET(Demand!$A$13,ROW(D109)-1,4+((QUOTIENT(COLUMN(BT$2)-69,3))*5)+MOD(COLUMN(BT$2),3),1,1),"")</f>
        <v>0</v>
      </c>
      <c r="BU112">
        <f ca="1">IF($AN112="",OFFSET(Demand!$A$13,ROW(E109)-1,4+((QUOTIENT(COLUMN(BU$2)-69,3))*5)+MOD(COLUMN(BU$2),3),1,1),"")</f>
        <v>0</v>
      </c>
      <c r="BV112">
        <f ca="1">IF($AN112="",OFFSET(Demand!$A$13,ROW(F109)-1,4+((QUOTIENT(COLUMN(BV$2)-69,3))*5)+MOD(COLUMN(BV$2),3),1,1),"")</f>
        <v>5</v>
      </c>
      <c r="BW112">
        <f ca="1">IF($AN112="",OFFSET(Demand!$A$13,ROW(G109)-1,4+((QUOTIENT(COLUMN(BW$2)-69,3))*5)+MOD(COLUMN(BW$2),3),1,1),"")</f>
        <v>0</v>
      </c>
      <c r="BX112">
        <f ca="1">IF($AN112="",OFFSET(Demand!$A$13,ROW(H109)-1,4+((QUOTIENT(COLUMN(BX$2)-69,3))*5)+MOD(COLUMN(BX$2),3),1,1),"")</f>
        <v>0</v>
      </c>
      <c r="BY112">
        <f ca="1">IF($AN112="",OFFSET(Demand!$A$13,ROW(I109)-1,4+((QUOTIENT(COLUMN(BY$2)-69,3))*5)+MOD(COLUMN(BY$2),3),1,1),"")</f>
        <v>0</v>
      </c>
      <c r="BZ112">
        <f ca="1">IF($AN112="",OFFSET(Demand!$A$13,ROW(J109)-1,4+((QUOTIENT(COLUMN(BZ$2)-69,3))*5)+MOD(COLUMN(BZ$2),3),1,1),"")</f>
        <v>0</v>
      </c>
      <c r="CA112">
        <f ca="1">IF($AN112="",OFFSET(Demand!$A$13,ROW(K109)-1,4+((QUOTIENT(COLUMN(CA$2)-69,3))*5)+MOD(COLUMN(CA$2),3),1,1),"")</f>
        <v>0</v>
      </c>
      <c r="CB112">
        <f ca="1">IF($AN112="",OFFSET(Demand!$A$13,ROW(L109)-1,4+((QUOTIENT(COLUMN(CB$2)-69,3))*5)+MOD(COLUMN(CB$2),3),1,1),"")</f>
        <v>0</v>
      </c>
      <c r="CC112">
        <f ca="1">IF($AN112="",OFFSET(Demand!$A$13,ROW(M109)-1,4+((QUOTIENT(COLUMN(CC$2)-69,3))*5)+MOD(COLUMN(CC$2),3),1,1),"")</f>
        <v>0</v>
      </c>
      <c r="CD112">
        <f ca="1">IF($AN112="",OFFSET(Demand!$A$13,ROW(N109)-1,4+((QUOTIENT(COLUMN(CD$2)-69,3))*5)+MOD(COLUMN(CD$2),3),1,1),"")</f>
        <v>0</v>
      </c>
      <c r="CE112">
        <f ca="1">IF($AN112="",OFFSET(Demand!$A$13,ROW(O109)-1,4+((QUOTIENT(COLUMN(CE$2)-69,3))*5)+MOD(COLUMN(CE$2),3),1,1),"")</f>
        <v>0</v>
      </c>
      <c r="CF112">
        <f ca="1">IF($AN112="",OFFSET(Demand!$A$13,ROW(P109)-1,4+((QUOTIENT(COLUMN(CF$2)-69,3))*5)+MOD(COLUMN(CF$2),3),1,1),"")</f>
        <v>0</v>
      </c>
      <c r="CG112">
        <f ca="1">IF($AN112="",OFFSET(Demand!$A$13,ROW(Q109)-1,4+((QUOTIENT(COLUMN(CG$2)-69,3))*5)+MOD(COLUMN(CG$2),3),1,1),"")</f>
        <v>0</v>
      </c>
      <c r="CH112">
        <f ca="1">IF($AN112="",OFFSET(Demand!$A$13,ROW(R109)-1,4+((QUOTIENT(COLUMN(CH$2)-69,3))*5)+MOD(COLUMN(CH$2),3),1,1),"")</f>
        <v>0</v>
      </c>
      <c r="CI112">
        <f ca="1">IF($AN112="",OFFSET(Demand!$A$13,ROW(S109)-1,4+((QUOTIENT(COLUMN(CI$2)-69,3))*5)+MOD(COLUMN(CI$2),3),1,1),"")</f>
        <v>0</v>
      </c>
      <c r="CJ112">
        <f ca="1">IF($AN112="",OFFSET(Demand!$A$13,ROW(T109)-1,4+((QUOTIENT(COLUMN(CJ$2)-69,3))*5)+MOD(COLUMN(CJ$2),3),1,1),"")</f>
        <v>0</v>
      </c>
      <c r="CK112">
        <f ca="1">IF($AN112="",OFFSET(Demand!$A$13,ROW(U109)-1,4+((QUOTIENT(COLUMN(CK$2)-69,3))*5)+MOD(COLUMN(CK$2),3),1,1),"")</f>
        <v>0</v>
      </c>
      <c r="CL112">
        <f ca="1">IF($AN112="",OFFSET(Demand!$A$13,ROW(V109)-1,4+((QUOTIENT(COLUMN(CL$2)-69,3))*5)+MOD(COLUMN(CL$2),3),1,1),"")</f>
        <v>0</v>
      </c>
      <c r="CM112">
        <f ca="1">IF($AN112="",OFFSET(Demand!$A$13,ROW(W109)-1,4+((QUOTIENT(COLUMN(CM$2)-69,3))*5)+MOD(COLUMN(CM$2),3),1,1),"")</f>
        <v>0</v>
      </c>
      <c r="CN112">
        <f ca="1">IF($AN112="",OFFSET(Demand!$A$13,ROW(X109)-1,4+((QUOTIENT(COLUMN(CN$2)-69,3))*5)+MOD(COLUMN(CN$2),3),1,1),"")</f>
        <v>0</v>
      </c>
      <c r="CO112">
        <f ca="1">IF($AN112="",OFFSET(Demand!$A$13,ROW(Y109)-1,4+((QUOTIENT(COLUMN(CO$2)-69,3))*5)+MOD(COLUMN(CO$2),3),1,1),"")</f>
        <v>0</v>
      </c>
      <c r="CP112">
        <f ca="1">IF($AN112="",OFFSET(Demand!$A$13,ROW(Z109)-1,4+((QUOTIENT(COLUMN(CP$2)-69,3))*5)+MOD(COLUMN(CP$2),3),1,1),"")</f>
        <v>0</v>
      </c>
      <c r="CQ112">
        <f ca="1">IF($AN112="",OFFSET(Demand!$A$13,ROW(AA109)-1,4+((QUOTIENT(COLUMN(CQ$2)-69,3))*5)+MOD(COLUMN(CQ$2),3),1,1),"")</f>
        <v>0</v>
      </c>
      <c r="CR112">
        <f ca="1">IF($AN112="",OFFSET(Demand!$A$13,ROW(AB109)-1,4+((QUOTIENT(COLUMN(CR$2)-69,3))*5)+MOD(COLUMN(CR$2),3),1,1),"")</f>
        <v>0</v>
      </c>
      <c r="CS112">
        <f ca="1">IF($AN112="",OFFSET(Demand!$A$13,ROW(AC109)-1,4+((QUOTIENT(COLUMN(CS$2)-69,3))*5)+MOD(COLUMN(CS$2),3),1,1),"")</f>
        <v>0</v>
      </c>
      <c r="CT112">
        <f ca="1">IF($AN112="",OFFSET(Demand!$A$13,ROW(AD109)-1,4+((QUOTIENT(COLUMN(CT$2)-69,3))*5)+MOD(COLUMN(CT$2),3),1,1),"")</f>
        <v>0</v>
      </c>
      <c r="CW112" s="5">
        <f ca="1">SUM(OFFSET(Demand!$H$43,ROW(A109)-1,(COLUMN(A109)-1)*5,1,1))*N$2</f>
        <v>0</v>
      </c>
      <c r="CX112" s="5">
        <f ca="1">SUM(OFFSET(Demand!$H$43,ROW(B109)-1,(COLUMN(B109)-1)*5,1,1))*O$2</f>
        <v>0</v>
      </c>
      <c r="CY112" s="5">
        <f ca="1">SUM(OFFSET(Demand!$H$43,ROW(C109)-1,(COLUMN(C109)-1)*5,1,1))*P$2</f>
        <v>0</v>
      </c>
      <c r="CZ112" s="5">
        <f ca="1">SUM(OFFSET(Demand!$H$43,ROW(D109)-1,(COLUMN(D109)-1)*5,1,1))*Q$2</f>
        <v>0</v>
      </c>
      <c r="DA112" s="5">
        <f ca="1">SUM(OFFSET(Demand!$H$43,ROW(E109)-1,(COLUMN(E109)-1)*5,1,1))*R$2</f>
        <v>0</v>
      </c>
      <c r="DB112" s="5">
        <f ca="1">SUM(OFFSET(Demand!$H$43,ROW(F109)-1,(COLUMN(F109)-1)*5,1,1))*S$2</f>
        <v>0</v>
      </c>
      <c r="DC112" s="5">
        <f ca="1">SUM(OFFSET(Demand!$H$43,ROW(G109)-1,(COLUMN(G109)-1)*5,1,1))*T$2</f>
        <v>0</v>
      </c>
      <c r="DD112" s="5">
        <f ca="1">SUM(OFFSET(Demand!$H$43,ROW(H109)-1,(COLUMN(H109)-1)*5,1,1))*U$2</f>
        <v>0</v>
      </c>
      <c r="DE112" s="5">
        <f ca="1">SUM(OFFSET(Demand!$H$43,ROW(I109)-1,(COLUMN(I109)-1)*5,1,1))*V$2</f>
        <v>0</v>
      </c>
      <c r="DF112" s="5">
        <f ca="1">SUM(OFFSET(Demand!$H$43,ROW(J109)-1,(COLUMN(J109)-1)*5,1,1))*W$2</f>
        <v>0</v>
      </c>
      <c r="DG112" s="5">
        <f t="shared" ca="1" si="36"/>
        <v>0</v>
      </c>
    </row>
    <row r="113" spans="1:111" x14ac:dyDescent="0.2">
      <c r="A113" s="5">
        <f t="shared" ca="1" si="30"/>
        <v>0</v>
      </c>
      <c r="B113" s="5">
        <f ca="1">COUNTBLANK(OFFSET(Demand!$I122,0,(COLUMN(A110)-1)*5,1,1))</f>
        <v>0</v>
      </c>
      <c r="C113" s="5">
        <f ca="1">COUNTBLANK(OFFSET(Demand!$I122,0,(COLUMN(B110)-1)*5,1,1))</f>
        <v>0</v>
      </c>
      <c r="D113" s="5">
        <f ca="1">COUNTBLANK(OFFSET(Demand!$I122,0,(COLUMN(C110)-1)*5,1,1))</f>
        <v>1</v>
      </c>
      <c r="E113" s="5">
        <f ca="1">COUNTBLANK(OFFSET(Demand!$I122,0,(COLUMN(D110)-1)*5,1,1))</f>
        <v>1</v>
      </c>
      <c r="F113" s="5">
        <f ca="1">COUNTBLANK(OFFSET(Demand!$I122,0,(COLUMN(E110)-1)*5,1,1))</f>
        <v>1</v>
      </c>
      <c r="G113" s="5">
        <f ca="1">COUNTBLANK(OFFSET(Demand!$I122,0,(COLUMN(F110)-1)*5,1,1))</f>
        <v>1</v>
      </c>
      <c r="H113" s="5">
        <f ca="1">COUNTBLANK(OFFSET(Demand!$I122,0,(COLUMN(G110)-1)*5,1,1))</f>
        <v>1</v>
      </c>
      <c r="I113" s="5">
        <f ca="1">COUNTBLANK(OFFSET(Demand!$I122,0,(COLUMN(H110)-1)*5,1,1))</f>
        <v>1</v>
      </c>
      <c r="J113" s="5">
        <f ca="1">COUNTBLANK(OFFSET(Demand!$I122,0,(COLUMN(I110)-1)*5,1,1))</f>
        <v>1</v>
      </c>
      <c r="K113" s="5">
        <f ca="1">COUNTBLANK(OFFSET(Demand!$I122,0,(COLUMN(J110)-1)*5,1,1))</f>
        <v>1</v>
      </c>
      <c r="N113" s="5">
        <f ca="1">SUM(OFFSET(Demand!$E122,0,(COLUMN(A110)-1)*5,1,3))*N$2</f>
        <v>120</v>
      </c>
      <c r="O113" s="5">
        <f ca="1">SUM(OFFSET(Demand!$E122,0,(COLUMN(B110)-1)*5,1,3))*O$2</f>
        <v>280</v>
      </c>
      <c r="P113" s="5">
        <f ca="1">SUM(OFFSET(Demand!$E122,0,(COLUMN(C110)-1)*5,1,3))*P$2</f>
        <v>0</v>
      </c>
      <c r="Q113" s="5">
        <f ca="1">SUM(OFFSET(Demand!$E122,0,(COLUMN(D110)-1)*5,1,3))*Q$2</f>
        <v>0</v>
      </c>
      <c r="R113" s="5">
        <f ca="1">SUM(OFFSET(Demand!$E122,0,(COLUMN(E110)-1)*5,1,3))*R$2</f>
        <v>0</v>
      </c>
      <c r="S113" s="5">
        <f ca="1">SUM(OFFSET(Demand!$E122,0,(COLUMN(F110)-1)*5,1,3))*S$2</f>
        <v>0</v>
      </c>
      <c r="T113" s="5">
        <f ca="1">SUM(OFFSET(Demand!$E122,0,(COLUMN(G110)-1)*5,1,3))*T$2</f>
        <v>0</v>
      </c>
      <c r="U113" s="5">
        <f ca="1">SUM(OFFSET(Demand!$E122,0,(COLUMN(H110)-1)*5,1,3))*U$2</f>
        <v>0</v>
      </c>
      <c r="V113" s="5">
        <f ca="1">SUM(OFFSET(Demand!$E122,0,(COLUMN(I110)-1)*5,1,3))*V$2</f>
        <v>0</v>
      </c>
      <c r="W113" s="5">
        <f ca="1">SUM(OFFSET(Demand!$E122,0,(COLUMN(J110)-1)*5,1,3))*W$2</f>
        <v>0</v>
      </c>
      <c r="X113" s="5">
        <f t="shared" ca="1" si="31"/>
        <v>400</v>
      </c>
      <c r="Y113">
        <f t="shared" ca="1" si="32"/>
        <v>400</v>
      </c>
      <c r="Z113" s="5">
        <f ca="1">SUM(OFFSET(Demand!$H122,0,(COLUMN(A110)-1)*5,1,1))*N$2</f>
        <v>0</v>
      </c>
      <c r="AA113" s="5">
        <f ca="1">SUM(OFFSET(Demand!$H122,0,(COLUMN(B110)-1)*5,1,1))*O$2</f>
        <v>0</v>
      </c>
      <c r="AB113" s="5">
        <f ca="1">SUM(OFFSET(Demand!$H122,0,(COLUMN(C110)-1)*5,1,1))*P$2</f>
        <v>0</v>
      </c>
      <c r="AC113" s="5">
        <f ca="1">SUM(OFFSET(Demand!$H122,0,(COLUMN(D110)-1)*5,1,1))*Q$2</f>
        <v>0</v>
      </c>
      <c r="AD113" s="5">
        <f ca="1">SUM(OFFSET(Demand!$H122,0,(COLUMN(E110)-1)*5,1,1))*R$2</f>
        <v>0</v>
      </c>
      <c r="AE113" s="5">
        <f ca="1">SUM(OFFSET(Demand!$H122,0,(COLUMN(F110)-1)*5,1,1))*S$2</f>
        <v>0</v>
      </c>
      <c r="AF113" s="5">
        <f ca="1">SUM(OFFSET(Demand!$H122,0,(COLUMN(G110)-1)*5,1,1))*T$2</f>
        <v>0</v>
      </c>
      <c r="AG113" s="5">
        <f ca="1">SUM(OFFSET(Demand!$H122,0,(COLUMN(H110)-1)*5,1,1))*U$2</f>
        <v>0</v>
      </c>
      <c r="AH113" s="5">
        <f ca="1">SUM(OFFSET(Demand!$H122,0,(COLUMN(I110)-1)*5,1,1))*V$2</f>
        <v>0</v>
      </c>
      <c r="AI113" s="5">
        <f ca="1">SUM(OFFSET(Demand!$H122,0,(COLUMN(J110)-1)*5,1,1))*W$2</f>
        <v>0</v>
      </c>
      <c r="AJ113" s="5">
        <f t="shared" ca="1" si="33"/>
        <v>0</v>
      </c>
      <c r="AL113" s="5">
        <f t="shared" ca="1" si="34"/>
        <v>400</v>
      </c>
      <c r="AM113" s="5">
        <f t="shared" ca="1" si="35"/>
        <v>0</v>
      </c>
      <c r="AN113" s="5" t="str">
        <f>IF(Demand!BE122="Yes","Yes","")</f>
        <v/>
      </c>
      <c r="AP113" s="37" t="str">
        <f ca="1">Demand!B122</f>
        <v xml:space="preserve"> </v>
      </c>
      <c r="AQ113" t="str">
        <f ca="1">IF(TEXT(Demand!D122,"MMM")&lt;&gt;TEXT(Demand!D121,"MMM"),TEXT(Demand!D122,"MMM"),"")</f>
        <v>May</v>
      </c>
      <c r="AT113" s="5">
        <f t="shared" ca="1" si="37"/>
        <v>10</v>
      </c>
      <c r="BQ113">
        <f ca="1">IF($AN113="",OFFSET(Demand!$A$13,ROW(A110)-1,4+((QUOTIENT(COLUMN(BQ$2)-69,3))*5)+MOD(COLUMN(BQ$2),3),1,1),"")</f>
        <v>0</v>
      </c>
      <c r="BR113">
        <f ca="1">IF($AN113="",OFFSET(Demand!$A$13,ROW(B110)-1,4+((QUOTIENT(COLUMN(BR$2)-69,3))*5)+MOD(COLUMN(BR$2),3),1,1),"")</f>
        <v>2</v>
      </c>
      <c r="BS113">
        <f ca="1">IF($AN113="",OFFSET(Demand!$A$13,ROW(C110)-1,4+((QUOTIENT(COLUMN(BS$2)-69,3))*5)+MOD(COLUMN(BS$2),3),1,1),"")</f>
        <v>2</v>
      </c>
      <c r="BT113">
        <f ca="1">IF($AN113="",OFFSET(Demand!$A$13,ROW(D110)-1,4+((QUOTIENT(COLUMN(BT$2)-69,3))*5)+MOD(COLUMN(BT$2),3),1,1),"")</f>
        <v>0</v>
      </c>
      <c r="BU113">
        <f ca="1">IF($AN113="",OFFSET(Demand!$A$13,ROW(E110)-1,4+((QUOTIENT(COLUMN(BU$2)-69,3))*5)+MOD(COLUMN(BU$2),3),1,1),"")</f>
        <v>1</v>
      </c>
      <c r="BV113">
        <f ca="1">IF($AN113="",OFFSET(Demand!$A$13,ROW(F110)-1,4+((QUOTIENT(COLUMN(BV$2)-69,3))*5)+MOD(COLUMN(BV$2),3),1,1),"")</f>
        <v>6</v>
      </c>
      <c r="BW113">
        <f ca="1">IF($AN113="",OFFSET(Demand!$A$13,ROW(G110)-1,4+((QUOTIENT(COLUMN(BW$2)-69,3))*5)+MOD(COLUMN(BW$2),3),1,1),"")</f>
        <v>0</v>
      </c>
      <c r="BX113">
        <f ca="1">IF($AN113="",OFFSET(Demand!$A$13,ROW(H110)-1,4+((QUOTIENT(COLUMN(BX$2)-69,3))*5)+MOD(COLUMN(BX$2),3),1,1),"")</f>
        <v>0</v>
      </c>
      <c r="BY113">
        <f ca="1">IF($AN113="",OFFSET(Demand!$A$13,ROW(I110)-1,4+((QUOTIENT(COLUMN(BY$2)-69,3))*5)+MOD(COLUMN(BY$2),3),1,1),"")</f>
        <v>0</v>
      </c>
      <c r="BZ113">
        <f ca="1">IF($AN113="",OFFSET(Demand!$A$13,ROW(J110)-1,4+((QUOTIENT(COLUMN(BZ$2)-69,3))*5)+MOD(COLUMN(BZ$2),3),1,1),"")</f>
        <v>0</v>
      </c>
      <c r="CA113">
        <f ca="1">IF($AN113="",OFFSET(Demand!$A$13,ROW(K110)-1,4+((QUOTIENT(COLUMN(CA$2)-69,3))*5)+MOD(COLUMN(CA$2),3),1,1),"")</f>
        <v>0</v>
      </c>
      <c r="CB113">
        <f ca="1">IF($AN113="",OFFSET(Demand!$A$13,ROW(L110)-1,4+((QUOTIENT(COLUMN(CB$2)-69,3))*5)+MOD(COLUMN(CB$2),3),1,1),"")</f>
        <v>0</v>
      </c>
      <c r="CC113">
        <f ca="1">IF($AN113="",OFFSET(Demand!$A$13,ROW(M110)-1,4+((QUOTIENT(COLUMN(CC$2)-69,3))*5)+MOD(COLUMN(CC$2),3),1,1),"")</f>
        <v>0</v>
      </c>
      <c r="CD113">
        <f ca="1">IF($AN113="",OFFSET(Demand!$A$13,ROW(N110)-1,4+((QUOTIENT(COLUMN(CD$2)-69,3))*5)+MOD(COLUMN(CD$2),3),1,1),"")</f>
        <v>0</v>
      </c>
      <c r="CE113">
        <f ca="1">IF($AN113="",OFFSET(Demand!$A$13,ROW(O110)-1,4+((QUOTIENT(COLUMN(CE$2)-69,3))*5)+MOD(COLUMN(CE$2),3),1,1),"")</f>
        <v>0</v>
      </c>
      <c r="CF113">
        <f ca="1">IF($AN113="",OFFSET(Demand!$A$13,ROW(P110)-1,4+((QUOTIENT(COLUMN(CF$2)-69,3))*5)+MOD(COLUMN(CF$2),3),1,1),"")</f>
        <v>0</v>
      </c>
      <c r="CG113">
        <f ca="1">IF($AN113="",OFFSET(Demand!$A$13,ROW(Q110)-1,4+((QUOTIENT(COLUMN(CG$2)-69,3))*5)+MOD(COLUMN(CG$2),3),1,1),"")</f>
        <v>0</v>
      </c>
      <c r="CH113">
        <f ca="1">IF($AN113="",OFFSET(Demand!$A$13,ROW(R110)-1,4+((QUOTIENT(COLUMN(CH$2)-69,3))*5)+MOD(COLUMN(CH$2),3),1,1),"")</f>
        <v>0</v>
      </c>
      <c r="CI113">
        <f ca="1">IF($AN113="",OFFSET(Demand!$A$13,ROW(S110)-1,4+((QUOTIENT(COLUMN(CI$2)-69,3))*5)+MOD(COLUMN(CI$2),3),1,1),"")</f>
        <v>0</v>
      </c>
      <c r="CJ113">
        <f ca="1">IF($AN113="",OFFSET(Demand!$A$13,ROW(T110)-1,4+((QUOTIENT(COLUMN(CJ$2)-69,3))*5)+MOD(COLUMN(CJ$2),3),1,1),"")</f>
        <v>0</v>
      </c>
      <c r="CK113">
        <f ca="1">IF($AN113="",OFFSET(Demand!$A$13,ROW(U110)-1,4+((QUOTIENT(COLUMN(CK$2)-69,3))*5)+MOD(COLUMN(CK$2),3),1,1),"")</f>
        <v>0</v>
      </c>
      <c r="CL113">
        <f ca="1">IF($AN113="",OFFSET(Demand!$A$13,ROW(V110)-1,4+((QUOTIENT(COLUMN(CL$2)-69,3))*5)+MOD(COLUMN(CL$2),3),1,1),"")</f>
        <v>0</v>
      </c>
      <c r="CM113">
        <f ca="1">IF($AN113="",OFFSET(Demand!$A$13,ROW(W110)-1,4+((QUOTIENT(COLUMN(CM$2)-69,3))*5)+MOD(COLUMN(CM$2),3),1,1),"")</f>
        <v>0</v>
      </c>
      <c r="CN113">
        <f ca="1">IF($AN113="",OFFSET(Demand!$A$13,ROW(X110)-1,4+((QUOTIENT(COLUMN(CN$2)-69,3))*5)+MOD(COLUMN(CN$2),3),1,1),"")</f>
        <v>0</v>
      </c>
      <c r="CO113">
        <f ca="1">IF($AN113="",OFFSET(Demand!$A$13,ROW(Y110)-1,4+((QUOTIENT(COLUMN(CO$2)-69,3))*5)+MOD(COLUMN(CO$2),3),1,1),"")</f>
        <v>0</v>
      </c>
      <c r="CP113">
        <f ca="1">IF($AN113="",OFFSET(Demand!$A$13,ROW(Z110)-1,4+((QUOTIENT(COLUMN(CP$2)-69,3))*5)+MOD(COLUMN(CP$2),3),1,1),"")</f>
        <v>0</v>
      </c>
      <c r="CQ113">
        <f ca="1">IF($AN113="",OFFSET(Demand!$A$13,ROW(AA110)-1,4+((QUOTIENT(COLUMN(CQ$2)-69,3))*5)+MOD(COLUMN(CQ$2),3),1,1),"")</f>
        <v>0</v>
      </c>
      <c r="CR113">
        <f ca="1">IF($AN113="",OFFSET(Demand!$A$13,ROW(AB110)-1,4+((QUOTIENT(COLUMN(CR$2)-69,3))*5)+MOD(COLUMN(CR$2),3),1,1),"")</f>
        <v>0</v>
      </c>
      <c r="CS113">
        <f ca="1">IF($AN113="",OFFSET(Demand!$A$13,ROW(AC110)-1,4+((QUOTIENT(COLUMN(CS$2)-69,3))*5)+MOD(COLUMN(CS$2),3),1,1),"")</f>
        <v>0</v>
      </c>
      <c r="CT113">
        <f ca="1">IF($AN113="",OFFSET(Demand!$A$13,ROW(AD110)-1,4+((QUOTIENT(COLUMN(CT$2)-69,3))*5)+MOD(COLUMN(CT$2),3),1,1),"")</f>
        <v>0</v>
      </c>
      <c r="CW113" s="5">
        <f ca="1">SUM(OFFSET(Demand!$H$43,ROW(A110)-1,(COLUMN(A110)-1)*5,1,1))*N$2</f>
        <v>0</v>
      </c>
      <c r="CX113" s="5">
        <f ca="1">SUM(OFFSET(Demand!$H$43,ROW(B110)-1,(COLUMN(B110)-1)*5,1,1))*O$2</f>
        <v>0</v>
      </c>
      <c r="CY113" s="5">
        <f ca="1">SUM(OFFSET(Demand!$H$43,ROW(C110)-1,(COLUMN(C110)-1)*5,1,1))*P$2</f>
        <v>0</v>
      </c>
      <c r="CZ113" s="5">
        <f ca="1">SUM(OFFSET(Demand!$H$43,ROW(D110)-1,(COLUMN(D110)-1)*5,1,1))*Q$2</f>
        <v>0</v>
      </c>
      <c r="DA113" s="5">
        <f ca="1">SUM(OFFSET(Demand!$H$43,ROW(E110)-1,(COLUMN(E110)-1)*5,1,1))*R$2</f>
        <v>0</v>
      </c>
      <c r="DB113" s="5">
        <f ca="1">SUM(OFFSET(Demand!$H$43,ROW(F110)-1,(COLUMN(F110)-1)*5,1,1))*S$2</f>
        <v>0</v>
      </c>
      <c r="DC113" s="5">
        <f ca="1">SUM(OFFSET(Demand!$H$43,ROW(G110)-1,(COLUMN(G110)-1)*5,1,1))*T$2</f>
        <v>0</v>
      </c>
      <c r="DD113" s="5">
        <f ca="1">SUM(OFFSET(Demand!$H$43,ROW(H110)-1,(COLUMN(H110)-1)*5,1,1))*U$2</f>
        <v>0</v>
      </c>
      <c r="DE113" s="5">
        <f ca="1">SUM(OFFSET(Demand!$H$43,ROW(I110)-1,(COLUMN(I110)-1)*5,1,1))*V$2</f>
        <v>0</v>
      </c>
      <c r="DF113" s="5">
        <f ca="1">SUM(OFFSET(Demand!$H$43,ROW(J110)-1,(COLUMN(J110)-1)*5,1,1))*W$2</f>
        <v>0</v>
      </c>
      <c r="DG113" s="5">
        <f t="shared" ca="1" si="36"/>
        <v>0</v>
      </c>
    </row>
    <row r="114" spans="1:111" x14ac:dyDescent="0.2">
      <c r="A114" s="5">
        <f t="shared" ca="1" si="30"/>
        <v>0</v>
      </c>
      <c r="B114" s="5">
        <f ca="1">COUNTBLANK(OFFSET(Demand!$I123,0,(COLUMN(A111)-1)*5,1,1))</f>
        <v>0</v>
      </c>
      <c r="C114" s="5">
        <f ca="1">COUNTBLANK(OFFSET(Demand!$I123,0,(COLUMN(B111)-1)*5,1,1))</f>
        <v>0</v>
      </c>
      <c r="D114" s="5">
        <f ca="1">COUNTBLANK(OFFSET(Demand!$I123,0,(COLUMN(C111)-1)*5,1,1))</f>
        <v>1</v>
      </c>
      <c r="E114" s="5">
        <f ca="1">COUNTBLANK(OFFSET(Demand!$I123,0,(COLUMN(D111)-1)*5,1,1))</f>
        <v>1</v>
      </c>
      <c r="F114" s="5">
        <f ca="1">COUNTBLANK(OFFSET(Demand!$I123,0,(COLUMN(E111)-1)*5,1,1))</f>
        <v>1</v>
      </c>
      <c r="G114" s="5">
        <f ca="1">COUNTBLANK(OFFSET(Demand!$I123,0,(COLUMN(F111)-1)*5,1,1))</f>
        <v>1</v>
      </c>
      <c r="H114" s="5">
        <f ca="1">COUNTBLANK(OFFSET(Demand!$I123,0,(COLUMN(G111)-1)*5,1,1))</f>
        <v>1</v>
      </c>
      <c r="I114" s="5">
        <f ca="1">COUNTBLANK(OFFSET(Demand!$I123,0,(COLUMN(H111)-1)*5,1,1))</f>
        <v>1</v>
      </c>
      <c r="J114" s="5">
        <f ca="1">COUNTBLANK(OFFSET(Demand!$I123,0,(COLUMN(I111)-1)*5,1,1))</f>
        <v>1</v>
      </c>
      <c r="K114" s="5">
        <f ca="1">COUNTBLANK(OFFSET(Demand!$I123,0,(COLUMN(J111)-1)*5,1,1))</f>
        <v>1</v>
      </c>
      <c r="N114" s="5">
        <f ca="1">SUM(OFFSET(Demand!$E123,0,(COLUMN(A111)-1)*5,1,3))*N$2</f>
        <v>90</v>
      </c>
      <c r="O114" s="5">
        <f ca="1">SUM(OFFSET(Demand!$E123,0,(COLUMN(B111)-1)*5,1,3))*O$2</f>
        <v>560</v>
      </c>
      <c r="P114" s="5">
        <f ca="1">SUM(OFFSET(Demand!$E123,0,(COLUMN(C111)-1)*5,1,3))*P$2</f>
        <v>0</v>
      </c>
      <c r="Q114" s="5">
        <f ca="1">SUM(OFFSET(Demand!$E123,0,(COLUMN(D111)-1)*5,1,3))*Q$2</f>
        <v>0</v>
      </c>
      <c r="R114" s="5">
        <f ca="1">SUM(OFFSET(Demand!$E123,0,(COLUMN(E111)-1)*5,1,3))*R$2</f>
        <v>0</v>
      </c>
      <c r="S114" s="5">
        <f ca="1">SUM(OFFSET(Demand!$E123,0,(COLUMN(F111)-1)*5,1,3))*S$2</f>
        <v>0</v>
      </c>
      <c r="T114" s="5">
        <f ca="1">SUM(OFFSET(Demand!$E123,0,(COLUMN(G111)-1)*5,1,3))*T$2</f>
        <v>0</v>
      </c>
      <c r="U114" s="5">
        <f ca="1">SUM(OFFSET(Demand!$E123,0,(COLUMN(H111)-1)*5,1,3))*U$2</f>
        <v>0</v>
      </c>
      <c r="V114" s="5">
        <f ca="1">SUM(OFFSET(Demand!$E123,0,(COLUMN(I111)-1)*5,1,3))*V$2</f>
        <v>0</v>
      </c>
      <c r="W114" s="5">
        <f ca="1">SUM(OFFSET(Demand!$E123,0,(COLUMN(J111)-1)*5,1,3))*W$2</f>
        <v>0</v>
      </c>
      <c r="X114" s="5">
        <f t="shared" ca="1" si="31"/>
        <v>650</v>
      </c>
      <c r="Y114">
        <f t="shared" ca="1" si="32"/>
        <v>650</v>
      </c>
      <c r="Z114" s="5">
        <f ca="1">SUM(OFFSET(Demand!$H123,0,(COLUMN(A111)-1)*5,1,1))*N$2</f>
        <v>0</v>
      </c>
      <c r="AA114" s="5">
        <f ca="1">SUM(OFFSET(Demand!$H123,0,(COLUMN(B111)-1)*5,1,1))*O$2</f>
        <v>0</v>
      </c>
      <c r="AB114" s="5">
        <f ca="1">SUM(OFFSET(Demand!$H123,0,(COLUMN(C111)-1)*5,1,1))*P$2</f>
        <v>0</v>
      </c>
      <c r="AC114" s="5">
        <f ca="1">SUM(OFFSET(Demand!$H123,0,(COLUMN(D111)-1)*5,1,1))*Q$2</f>
        <v>0</v>
      </c>
      <c r="AD114" s="5">
        <f ca="1">SUM(OFFSET(Demand!$H123,0,(COLUMN(E111)-1)*5,1,1))*R$2</f>
        <v>0</v>
      </c>
      <c r="AE114" s="5">
        <f ca="1">SUM(OFFSET(Demand!$H123,0,(COLUMN(F111)-1)*5,1,1))*S$2</f>
        <v>0</v>
      </c>
      <c r="AF114" s="5">
        <f ca="1">SUM(OFFSET(Demand!$H123,0,(COLUMN(G111)-1)*5,1,1))*T$2</f>
        <v>0</v>
      </c>
      <c r="AG114" s="5">
        <f ca="1">SUM(OFFSET(Demand!$H123,0,(COLUMN(H111)-1)*5,1,1))*U$2</f>
        <v>0</v>
      </c>
      <c r="AH114" s="5">
        <f ca="1">SUM(OFFSET(Demand!$H123,0,(COLUMN(I111)-1)*5,1,1))*V$2</f>
        <v>0</v>
      </c>
      <c r="AI114" s="5">
        <f ca="1">SUM(OFFSET(Demand!$H123,0,(COLUMN(J111)-1)*5,1,1))*W$2</f>
        <v>0</v>
      </c>
      <c r="AJ114" s="5">
        <f t="shared" ca="1" si="33"/>
        <v>0</v>
      </c>
      <c r="AL114" s="5">
        <f t="shared" ca="1" si="34"/>
        <v>650</v>
      </c>
      <c r="AM114" s="5">
        <f t="shared" ca="1" si="35"/>
        <v>0</v>
      </c>
      <c r="AN114" s="5" t="str">
        <f>IF(Demand!BE123="Yes","Yes","")</f>
        <v/>
      </c>
      <c r="AP114" s="37" t="str">
        <f ca="1">Demand!B123</f>
        <v xml:space="preserve"> </v>
      </c>
      <c r="AQ114" t="str">
        <f ca="1">IF(TEXT(Demand!D123,"MMM")&lt;&gt;TEXT(Demand!D122,"MMM"),TEXT(Demand!D123,"MMM"),"")</f>
        <v/>
      </c>
      <c r="AT114" s="5">
        <f t="shared" ca="1" si="37"/>
        <v>250</v>
      </c>
      <c r="BQ114">
        <f ca="1">IF($AN114="",OFFSET(Demand!$A$13,ROW(A111)-1,4+((QUOTIENT(COLUMN(BQ$2)-69,3))*5)+MOD(COLUMN(BQ$2),3),1,1),"")</f>
        <v>0</v>
      </c>
      <c r="BR114">
        <f ca="1">IF($AN114="",OFFSET(Demand!$A$13,ROW(B111)-1,4+((QUOTIENT(COLUMN(BR$2)-69,3))*5)+MOD(COLUMN(BR$2),3),1,1),"")</f>
        <v>0</v>
      </c>
      <c r="BS114">
        <f ca="1">IF($AN114="",OFFSET(Demand!$A$13,ROW(C111)-1,4+((QUOTIENT(COLUMN(BS$2)-69,3))*5)+MOD(COLUMN(BS$2),3),1,1),"")</f>
        <v>3</v>
      </c>
      <c r="BT114">
        <f ca="1">IF($AN114="",OFFSET(Demand!$A$13,ROW(D111)-1,4+((QUOTIENT(COLUMN(BT$2)-69,3))*5)+MOD(COLUMN(BT$2),3),1,1),"")</f>
        <v>0</v>
      </c>
      <c r="BU114">
        <f ca="1">IF($AN114="",OFFSET(Demand!$A$13,ROW(E111)-1,4+((QUOTIENT(COLUMN(BU$2)-69,3))*5)+MOD(COLUMN(BU$2),3),1,1),"")</f>
        <v>7</v>
      </c>
      <c r="BV114">
        <f ca="1">IF($AN114="",OFFSET(Demand!$A$13,ROW(F111)-1,4+((QUOTIENT(COLUMN(BV$2)-69,3))*5)+MOD(COLUMN(BV$2),3),1,1),"")</f>
        <v>7</v>
      </c>
      <c r="BW114">
        <f ca="1">IF($AN114="",OFFSET(Demand!$A$13,ROW(G111)-1,4+((QUOTIENT(COLUMN(BW$2)-69,3))*5)+MOD(COLUMN(BW$2),3),1,1),"")</f>
        <v>0</v>
      </c>
      <c r="BX114">
        <f ca="1">IF($AN114="",OFFSET(Demand!$A$13,ROW(H111)-1,4+((QUOTIENT(COLUMN(BX$2)-69,3))*5)+MOD(COLUMN(BX$2),3),1,1),"")</f>
        <v>0</v>
      </c>
      <c r="BY114">
        <f ca="1">IF($AN114="",OFFSET(Demand!$A$13,ROW(I111)-1,4+((QUOTIENT(COLUMN(BY$2)-69,3))*5)+MOD(COLUMN(BY$2),3),1,1),"")</f>
        <v>0</v>
      </c>
      <c r="BZ114">
        <f ca="1">IF($AN114="",OFFSET(Demand!$A$13,ROW(J111)-1,4+((QUOTIENT(COLUMN(BZ$2)-69,3))*5)+MOD(COLUMN(BZ$2),3),1,1),"")</f>
        <v>0</v>
      </c>
      <c r="CA114">
        <f ca="1">IF($AN114="",OFFSET(Demand!$A$13,ROW(K111)-1,4+((QUOTIENT(COLUMN(CA$2)-69,3))*5)+MOD(COLUMN(CA$2),3),1,1),"")</f>
        <v>0</v>
      </c>
      <c r="CB114">
        <f ca="1">IF($AN114="",OFFSET(Demand!$A$13,ROW(L111)-1,4+((QUOTIENT(COLUMN(CB$2)-69,3))*5)+MOD(COLUMN(CB$2),3),1,1),"")</f>
        <v>0</v>
      </c>
      <c r="CC114">
        <f ca="1">IF($AN114="",OFFSET(Demand!$A$13,ROW(M111)-1,4+((QUOTIENT(COLUMN(CC$2)-69,3))*5)+MOD(COLUMN(CC$2),3),1,1),"")</f>
        <v>0</v>
      </c>
      <c r="CD114">
        <f ca="1">IF($AN114="",OFFSET(Demand!$A$13,ROW(N111)-1,4+((QUOTIENT(COLUMN(CD$2)-69,3))*5)+MOD(COLUMN(CD$2),3),1,1),"")</f>
        <v>0</v>
      </c>
      <c r="CE114">
        <f ca="1">IF($AN114="",OFFSET(Demand!$A$13,ROW(O111)-1,4+((QUOTIENT(COLUMN(CE$2)-69,3))*5)+MOD(COLUMN(CE$2),3),1,1),"")</f>
        <v>0</v>
      </c>
      <c r="CF114">
        <f ca="1">IF($AN114="",OFFSET(Demand!$A$13,ROW(P111)-1,4+((QUOTIENT(COLUMN(CF$2)-69,3))*5)+MOD(COLUMN(CF$2),3),1,1),"")</f>
        <v>0</v>
      </c>
      <c r="CG114">
        <f ca="1">IF($AN114="",OFFSET(Demand!$A$13,ROW(Q111)-1,4+((QUOTIENT(COLUMN(CG$2)-69,3))*5)+MOD(COLUMN(CG$2),3),1,1),"")</f>
        <v>0</v>
      </c>
      <c r="CH114">
        <f ca="1">IF($AN114="",OFFSET(Demand!$A$13,ROW(R111)-1,4+((QUOTIENT(COLUMN(CH$2)-69,3))*5)+MOD(COLUMN(CH$2),3),1,1),"")</f>
        <v>0</v>
      </c>
      <c r="CI114">
        <f ca="1">IF($AN114="",OFFSET(Demand!$A$13,ROW(S111)-1,4+((QUOTIENT(COLUMN(CI$2)-69,3))*5)+MOD(COLUMN(CI$2),3),1,1),"")</f>
        <v>0</v>
      </c>
      <c r="CJ114">
        <f ca="1">IF($AN114="",OFFSET(Demand!$A$13,ROW(T111)-1,4+((QUOTIENT(COLUMN(CJ$2)-69,3))*5)+MOD(COLUMN(CJ$2),3),1,1),"")</f>
        <v>0</v>
      </c>
      <c r="CK114">
        <f ca="1">IF($AN114="",OFFSET(Demand!$A$13,ROW(U111)-1,4+((QUOTIENT(COLUMN(CK$2)-69,3))*5)+MOD(COLUMN(CK$2),3),1,1),"")</f>
        <v>0</v>
      </c>
      <c r="CL114">
        <f ca="1">IF($AN114="",OFFSET(Demand!$A$13,ROW(V111)-1,4+((QUOTIENT(COLUMN(CL$2)-69,3))*5)+MOD(COLUMN(CL$2),3),1,1),"")</f>
        <v>0</v>
      </c>
      <c r="CM114">
        <f ca="1">IF($AN114="",OFFSET(Demand!$A$13,ROW(W111)-1,4+((QUOTIENT(COLUMN(CM$2)-69,3))*5)+MOD(COLUMN(CM$2),3),1,1),"")</f>
        <v>0</v>
      </c>
      <c r="CN114">
        <f ca="1">IF($AN114="",OFFSET(Demand!$A$13,ROW(X111)-1,4+((QUOTIENT(COLUMN(CN$2)-69,3))*5)+MOD(COLUMN(CN$2),3),1,1),"")</f>
        <v>0</v>
      </c>
      <c r="CO114">
        <f ca="1">IF($AN114="",OFFSET(Demand!$A$13,ROW(Y111)-1,4+((QUOTIENT(COLUMN(CO$2)-69,3))*5)+MOD(COLUMN(CO$2),3),1,1),"")</f>
        <v>0</v>
      </c>
      <c r="CP114">
        <f ca="1">IF($AN114="",OFFSET(Demand!$A$13,ROW(Z111)-1,4+((QUOTIENT(COLUMN(CP$2)-69,3))*5)+MOD(COLUMN(CP$2),3),1,1),"")</f>
        <v>0</v>
      </c>
      <c r="CQ114">
        <f ca="1">IF($AN114="",OFFSET(Demand!$A$13,ROW(AA111)-1,4+((QUOTIENT(COLUMN(CQ$2)-69,3))*5)+MOD(COLUMN(CQ$2),3),1,1),"")</f>
        <v>0</v>
      </c>
      <c r="CR114">
        <f ca="1">IF($AN114="",OFFSET(Demand!$A$13,ROW(AB111)-1,4+((QUOTIENT(COLUMN(CR$2)-69,3))*5)+MOD(COLUMN(CR$2),3),1,1),"")</f>
        <v>0</v>
      </c>
      <c r="CS114">
        <f ca="1">IF($AN114="",OFFSET(Demand!$A$13,ROW(AC111)-1,4+((QUOTIENT(COLUMN(CS$2)-69,3))*5)+MOD(COLUMN(CS$2),3),1,1),"")</f>
        <v>0</v>
      </c>
      <c r="CT114">
        <f ca="1">IF($AN114="",OFFSET(Demand!$A$13,ROW(AD111)-1,4+((QUOTIENT(COLUMN(CT$2)-69,3))*5)+MOD(COLUMN(CT$2),3),1,1),"")</f>
        <v>0</v>
      </c>
      <c r="CW114" s="5">
        <f ca="1">SUM(OFFSET(Demand!$H$43,ROW(A111)-1,(COLUMN(A111)-1)*5,1,1))*N$2</f>
        <v>0</v>
      </c>
      <c r="CX114" s="5">
        <f ca="1">SUM(OFFSET(Demand!$H$43,ROW(B111)-1,(COLUMN(B111)-1)*5,1,1))*O$2</f>
        <v>0</v>
      </c>
      <c r="CY114" s="5">
        <f ca="1">SUM(OFFSET(Demand!$H$43,ROW(C111)-1,(COLUMN(C111)-1)*5,1,1))*P$2</f>
        <v>0</v>
      </c>
      <c r="CZ114" s="5">
        <f ca="1">SUM(OFFSET(Demand!$H$43,ROW(D111)-1,(COLUMN(D111)-1)*5,1,1))*Q$2</f>
        <v>0</v>
      </c>
      <c r="DA114" s="5">
        <f ca="1">SUM(OFFSET(Demand!$H$43,ROW(E111)-1,(COLUMN(E111)-1)*5,1,1))*R$2</f>
        <v>0</v>
      </c>
      <c r="DB114" s="5">
        <f ca="1">SUM(OFFSET(Demand!$H$43,ROW(F111)-1,(COLUMN(F111)-1)*5,1,1))*S$2</f>
        <v>0</v>
      </c>
      <c r="DC114" s="5">
        <f ca="1">SUM(OFFSET(Demand!$H$43,ROW(G111)-1,(COLUMN(G111)-1)*5,1,1))*T$2</f>
        <v>0</v>
      </c>
      <c r="DD114" s="5">
        <f ca="1">SUM(OFFSET(Demand!$H$43,ROW(H111)-1,(COLUMN(H111)-1)*5,1,1))*U$2</f>
        <v>0</v>
      </c>
      <c r="DE114" s="5">
        <f ca="1">SUM(OFFSET(Demand!$H$43,ROW(I111)-1,(COLUMN(I111)-1)*5,1,1))*V$2</f>
        <v>0</v>
      </c>
      <c r="DF114" s="5">
        <f ca="1">SUM(OFFSET(Demand!$H$43,ROW(J111)-1,(COLUMN(J111)-1)*5,1,1))*W$2</f>
        <v>0</v>
      </c>
      <c r="DG114" s="5">
        <f t="shared" ca="1" si="36"/>
        <v>0</v>
      </c>
    </row>
    <row r="115" spans="1:111" x14ac:dyDescent="0.2">
      <c r="A115" s="5">
        <f t="shared" ca="1" si="30"/>
        <v>0</v>
      </c>
      <c r="B115" s="5">
        <f ca="1">COUNTBLANK(OFFSET(Demand!$I124,0,(COLUMN(A112)-1)*5,1,1))</f>
        <v>0</v>
      </c>
      <c r="C115" s="5">
        <f ca="1">COUNTBLANK(OFFSET(Demand!$I124,0,(COLUMN(B112)-1)*5,1,1))</f>
        <v>0</v>
      </c>
      <c r="D115" s="5">
        <f ca="1">COUNTBLANK(OFFSET(Demand!$I124,0,(COLUMN(C112)-1)*5,1,1))</f>
        <v>1</v>
      </c>
      <c r="E115" s="5">
        <f ca="1">COUNTBLANK(OFFSET(Demand!$I124,0,(COLUMN(D112)-1)*5,1,1))</f>
        <v>1</v>
      </c>
      <c r="F115" s="5">
        <f ca="1">COUNTBLANK(OFFSET(Demand!$I124,0,(COLUMN(E112)-1)*5,1,1))</f>
        <v>1</v>
      </c>
      <c r="G115" s="5">
        <f ca="1">COUNTBLANK(OFFSET(Demand!$I124,0,(COLUMN(F112)-1)*5,1,1))</f>
        <v>1</v>
      </c>
      <c r="H115" s="5">
        <f ca="1">COUNTBLANK(OFFSET(Demand!$I124,0,(COLUMN(G112)-1)*5,1,1))</f>
        <v>1</v>
      </c>
      <c r="I115" s="5">
        <f ca="1">COUNTBLANK(OFFSET(Demand!$I124,0,(COLUMN(H112)-1)*5,1,1))</f>
        <v>1</v>
      </c>
      <c r="J115" s="5">
        <f ca="1">COUNTBLANK(OFFSET(Demand!$I124,0,(COLUMN(I112)-1)*5,1,1))</f>
        <v>1</v>
      </c>
      <c r="K115" s="5">
        <f ca="1">COUNTBLANK(OFFSET(Demand!$I124,0,(COLUMN(J112)-1)*5,1,1))</f>
        <v>1</v>
      </c>
      <c r="N115" s="5">
        <f ca="1">SUM(OFFSET(Demand!$E124,0,(COLUMN(A112)-1)*5,1,3))*N$2</f>
        <v>150</v>
      </c>
      <c r="O115" s="5">
        <f ca="1">SUM(OFFSET(Demand!$E124,0,(COLUMN(B112)-1)*5,1,3))*O$2</f>
        <v>320</v>
      </c>
      <c r="P115" s="5">
        <f ca="1">SUM(OFFSET(Demand!$E124,0,(COLUMN(C112)-1)*5,1,3))*P$2</f>
        <v>0</v>
      </c>
      <c r="Q115" s="5">
        <f ca="1">SUM(OFFSET(Demand!$E124,0,(COLUMN(D112)-1)*5,1,3))*Q$2</f>
        <v>0</v>
      </c>
      <c r="R115" s="5">
        <f ca="1">SUM(OFFSET(Demand!$E124,0,(COLUMN(E112)-1)*5,1,3))*R$2</f>
        <v>0</v>
      </c>
      <c r="S115" s="5">
        <f ca="1">SUM(OFFSET(Demand!$E124,0,(COLUMN(F112)-1)*5,1,3))*S$2</f>
        <v>0</v>
      </c>
      <c r="T115" s="5">
        <f ca="1">SUM(OFFSET(Demand!$E124,0,(COLUMN(G112)-1)*5,1,3))*T$2</f>
        <v>0</v>
      </c>
      <c r="U115" s="5">
        <f ca="1">SUM(OFFSET(Demand!$E124,0,(COLUMN(H112)-1)*5,1,3))*U$2</f>
        <v>0</v>
      </c>
      <c r="V115" s="5">
        <f ca="1">SUM(OFFSET(Demand!$E124,0,(COLUMN(I112)-1)*5,1,3))*V$2</f>
        <v>0</v>
      </c>
      <c r="W115" s="5">
        <f ca="1">SUM(OFFSET(Demand!$E124,0,(COLUMN(J112)-1)*5,1,3))*W$2</f>
        <v>0</v>
      </c>
      <c r="X115" s="5">
        <f t="shared" ca="1" si="31"/>
        <v>470</v>
      </c>
      <c r="Y115">
        <f t="shared" ca="1" si="32"/>
        <v>470</v>
      </c>
      <c r="Z115" s="5">
        <f ca="1">SUM(OFFSET(Demand!$H124,0,(COLUMN(A112)-1)*5,1,1))*N$2</f>
        <v>0</v>
      </c>
      <c r="AA115" s="5">
        <f ca="1">SUM(OFFSET(Demand!$H124,0,(COLUMN(B112)-1)*5,1,1))*O$2</f>
        <v>0</v>
      </c>
      <c r="AB115" s="5">
        <f ca="1">SUM(OFFSET(Demand!$H124,0,(COLUMN(C112)-1)*5,1,1))*P$2</f>
        <v>0</v>
      </c>
      <c r="AC115" s="5">
        <f ca="1">SUM(OFFSET(Demand!$H124,0,(COLUMN(D112)-1)*5,1,1))*Q$2</f>
        <v>0</v>
      </c>
      <c r="AD115" s="5">
        <f ca="1">SUM(OFFSET(Demand!$H124,0,(COLUMN(E112)-1)*5,1,1))*R$2</f>
        <v>0</v>
      </c>
      <c r="AE115" s="5">
        <f ca="1">SUM(OFFSET(Demand!$H124,0,(COLUMN(F112)-1)*5,1,1))*S$2</f>
        <v>0</v>
      </c>
      <c r="AF115" s="5">
        <f ca="1">SUM(OFFSET(Demand!$H124,0,(COLUMN(G112)-1)*5,1,1))*T$2</f>
        <v>0</v>
      </c>
      <c r="AG115" s="5">
        <f ca="1">SUM(OFFSET(Demand!$H124,0,(COLUMN(H112)-1)*5,1,1))*U$2</f>
        <v>0</v>
      </c>
      <c r="AH115" s="5">
        <f ca="1">SUM(OFFSET(Demand!$H124,0,(COLUMN(I112)-1)*5,1,1))*V$2</f>
        <v>0</v>
      </c>
      <c r="AI115" s="5">
        <f ca="1">SUM(OFFSET(Demand!$H124,0,(COLUMN(J112)-1)*5,1,1))*W$2</f>
        <v>0</v>
      </c>
      <c r="AJ115" s="5">
        <f t="shared" ca="1" si="33"/>
        <v>0</v>
      </c>
      <c r="AL115" s="5">
        <f t="shared" ca="1" si="34"/>
        <v>470</v>
      </c>
      <c r="AM115" s="5">
        <f t="shared" ca="1" si="35"/>
        <v>0</v>
      </c>
      <c r="AN115" s="5" t="str">
        <f>IF(Demand!BE124="Yes","Yes","")</f>
        <v/>
      </c>
      <c r="AP115" s="37" t="str">
        <f ca="1">Demand!B124</f>
        <v xml:space="preserve"> </v>
      </c>
      <c r="AQ115" t="str">
        <f ca="1">IF(TEXT(Demand!D124,"MMM")&lt;&gt;TEXT(Demand!D123,"MMM"),TEXT(Demand!D124,"MMM"),"")</f>
        <v/>
      </c>
      <c r="AT115" s="5">
        <f t="shared" ca="1" si="37"/>
        <v>180</v>
      </c>
      <c r="BQ115">
        <f ca="1">IF($AN115="",OFFSET(Demand!$A$13,ROW(A112)-1,4+((QUOTIENT(COLUMN(BQ$2)-69,3))*5)+MOD(COLUMN(BQ$2),3),1,1),"")</f>
        <v>0</v>
      </c>
      <c r="BR115">
        <f ca="1">IF($AN115="",OFFSET(Demand!$A$13,ROW(B112)-1,4+((QUOTIENT(COLUMN(BR$2)-69,3))*5)+MOD(COLUMN(BR$2),3),1,1),"")</f>
        <v>1</v>
      </c>
      <c r="BS115">
        <f ca="1">IF($AN115="",OFFSET(Demand!$A$13,ROW(C112)-1,4+((QUOTIENT(COLUMN(BS$2)-69,3))*5)+MOD(COLUMN(BS$2),3),1,1),"")</f>
        <v>4</v>
      </c>
      <c r="BT115">
        <f ca="1">IF($AN115="",OFFSET(Demand!$A$13,ROW(D112)-1,4+((QUOTIENT(COLUMN(BT$2)-69,3))*5)+MOD(COLUMN(BT$2),3),1,1),"")</f>
        <v>0</v>
      </c>
      <c r="BU115">
        <f ca="1">IF($AN115="",OFFSET(Demand!$A$13,ROW(E112)-1,4+((QUOTIENT(COLUMN(BU$2)-69,3))*5)+MOD(COLUMN(BU$2),3),1,1),"")</f>
        <v>1</v>
      </c>
      <c r="BV115">
        <f ca="1">IF($AN115="",OFFSET(Demand!$A$13,ROW(F112)-1,4+((QUOTIENT(COLUMN(BV$2)-69,3))*5)+MOD(COLUMN(BV$2),3),1,1),"")</f>
        <v>7</v>
      </c>
      <c r="BW115">
        <f ca="1">IF($AN115="",OFFSET(Demand!$A$13,ROW(G112)-1,4+((QUOTIENT(COLUMN(BW$2)-69,3))*5)+MOD(COLUMN(BW$2),3),1,1),"")</f>
        <v>0</v>
      </c>
      <c r="BX115">
        <f ca="1">IF($AN115="",OFFSET(Demand!$A$13,ROW(H112)-1,4+((QUOTIENT(COLUMN(BX$2)-69,3))*5)+MOD(COLUMN(BX$2),3),1,1),"")</f>
        <v>0</v>
      </c>
      <c r="BY115">
        <f ca="1">IF($AN115="",OFFSET(Demand!$A$13,ROW(I112)-1,4+((QUOTIENT(COLUMN(BY$2)-69,3))*5)+MOD(COLUMN(BY$2),3),1,1),"")</f>
        <v>0</v>
      </c>
      <c r="BZ115">
        <f ca="1">IF($AN115="",OFFSET(Demand!$A$13,ROW(J112)-1,4+((QUOTIENT(COLUMN(BZ$2)-69,3))*5)+MOD(COLUMN(BZ$2),3),1,1),"")</f>
        <v>0</v>
      </c>
      <c r="CA115">
        <f ca="1">IF($AN115="",OFFSET(Demand!$A$13,ROW(K112)-1,4+((QUOTIENT(COLUMN(CA$2)-69,3))*5)+MOD(COLUMN(CA$2),3),1,1),"")</f>
        <v>0</v>
      </c>
      <c r="CB115">
        <f ca="1">IF($AN115="",OFFSET(Demand!$A$13,ROW(L112)-1,4+((QUOTIENT(COLUMN(CB$2)-69,3))*5)+MOD(COLUMN(CB$2),3),1,1),"")</f>
        <v>0</v>
      </c>
      <c r="CC115">
        <f ca="1">IF($AN115="",OFFSET(Demand!$A$13,ROW(M112)-1,4+((QUOTIENT(COLUMN(CC$2)-69,3))*5)+MOD(COLUMN(CC$2),3),1,1),"")</f>
        <v>0</v>
      </c>
      <c r="CD115">
        <f ca="1">IF($AN115="",OFFSET(Demand!$A$13,ROW(N112)-1,4+((QUOTIENT(COLUMN(CD$2)-69,3))*5)+MOD(COLUMN(CD$2),3),1,1),"")</f>
        <v>0</v>
      </c>
      <c r="CE115">
        <f ca="1">IF($AN115="",OFFSET(Demand!$A$13,ROW(O112)-1,4+((QUOTIENT(COLUMN(CE$2)-69,3))*5)+MOD(COLUMN(CE$2),3),1,1),"")</f>
        <v>0</v>
      </c>
      <c r="CF115">
        <f ca="1">IF($AN115="",OFFSET(Demand!$A$13,ROW(P112)-1,4+((QUOTIENT(COLUMN(CF$2)-69,3))*5)+MOD(COLUMN(CF$2),3),1,1),"")</f>
        <v>0</v>
      </c>
      <c r="CG115">
        <f ca="1">IF($AN115="",OFFSET(Demand!$A$13,ROW(Q112)-1,4+((QUOTIENT(COLUMN(CG$2)-69,3))*5)+MOD(COLUMN(CG$2),3),1,1),"")</f>
        <v>0</v>
      </c>
      <c r="CH115">
        <f ca="1">IF($AN115="",OFFSET(Demand!$A$13,ROW(R112)-1,4+((QUOTIENT(COLUMN(CH$2)-69,3))*5)+MOD(COLUMN(CH$2),3),1,1),"")</f>
        <v>0</v>
      </c>
      <c r="CI115">
        <f ca="1">IF($AN115="",OFFSET(Demand!$A$13,ROW(S112)-1,4+((QUOTIENT(COLUMN(CI$2)-69,3))*5)+MOD(COLUMN(CI$2),3),1,1),"")</f>
        <v>0</v>
      </c>
      <c r="CJ115">
        <f ca="1">IF($AN115="",OFFSET(Demand!$A$13,ROW(T112)-1,4+((QUOTIENT(COLUMN(CJ$2)-69,3))*5)+MOD(COLUMN(CJ$2),3),1,1),"")</f>
        <v>0</v>
      </c>
      <c r="CK115">
        <f ca="1">IF($AN115="",OFFSET(Demand!$A$13,ROW(U112)-1,4+((QUOTIENT(COLUMN(CK$2)-69,3))*5)+MOD(COLUMN(CK$2),3),1,1),"")</f>
        <v>0</v>
      </c>
      <c r="CL115">
        <f ca="1">IF($AN115="",OFFSET(Demand!$A$13,ROW(V112)-1,4+((QUOTIENT(COLUMN(CL$2)-69,3))*5)+MOD(COLUMN(CL$2),3),1,1),"")</f>
        <v>0</v>
      </c>
      <c r="CM115">
        <f ca="1">IF($AN115="",OFFSET(Demand!$A$13,ROW(W112)-1,4+((QUOTIENT(COLUMN(CM$2)-69,3))*5)+MOD(COLUMN(CM$2),3),1,1),"")</f>
        <v>0</v>
      </c>
      <c r="CN115">
        <f ca="1">IF($AN115="",OFFSET(Demand!$A$13,ROW(X112)-1,4+((QUOTIENT(COLUMN(CN$2)-69,3))*5)+MOD(COLUMN(CN$2),3),1,1),"")</f>
        <v>0</v>
      </c>
      <c r="CO115">
        <f ca="1">IF($AN115="",OFFSET(Demand!$A$13,ROW(Y112)-1,4+((QUOTIENT(COLUMN(CO$2)-69,3))*5)+MOD(COLUMN(CO$2),3),1,1),"")</f>
        <v>0</v>
      </c>
      <c r="CP115">
        <f ca="1">IF($AN115="",OFFSET(Demand!$A$13,ROW(Z112)-1,4+((QUOTIENT(COLUMN(CP$2)-69,3))*5)+MOD(COLUMN(CP$2),3),1,1),"")</f>
        <v>0</v>
      </c>
      <c r="CQ115">
        <f ca="1">IF($AN115="",OFFSET(Demand!$A$13,ROW(AA112)-1,4+((QUOTIENT(COLUMN(CQ$2)-69,3))*5)+MOD(COLUMN(CQ$2),3),1,1),"")</f>
        <v>0</v>
      </c>
      <c r="CR115">
        <f ca="1">IF($AN115="",OFFSET(Demand!$A$13,ROW(AB112)-1,4+((QUOTIENT(COLUMN(CR$2)-69,3))*5)+MOD(COLUMN(CR$2),3),1,1),"")</f>
        <v>0</v>
      </c>
      <c r="CS115">
        <f ca="1">IF($AN115="",OFFSET(Demand!$A$13,ROW(AC112)-1,4+((QUOTIENT(COLUMN(CS$2)-69,3))*5)+MOD(COLUMN(CS$2),3),1,1),"")</f>
        <v>0</v>
      </c>
      <c r="CT115">
        <f ca="1">IF($AN115="",OFFSET(Demand!$A$13,ROW(AD112)-1,4+((QUOTIENT(COLUMN(CT$2)-69,3))*5)+MOD(COLUMN(CT$2),3),1,1),"")</f>
        <v>0</v>
      </c>
      <c r="CW115" s="5">
        <f ca="1">SUM(OFFSET(Demand!$H$43,ROW(A112)-1,(COLUMN(A112)-1)*5,1,1))*N$2</f>
        <v>0</v>
      </c>
      <c r="CX115" s="5">
        <f ca="1">SUM(OFFSET(Demand!$H$43,ROW(B112)-1,(COLUMN(B112)-1)*5,1,1))*O$2</f>
        <v>0</v>
      </c>
      <c r="CY115" s="5">
        <f ca="1">SUM(OFFSET(Demand!$H$43,ROW(C112)-1,(COLUMN(C112)-1)*5,1,1))*P$2</f>
        <v>0</v>
      </c>
      <c r="CZ115" s="5">
        <f ca="1">SUM(OFFSET(Demand!$H$43,ROW(D112)-1,(COLUMN(D112)-1)*5,1,1))*Q$2</f>
        <v>0</v>
      </c>
      <c r="DA115" s="5">
        <f ca="1">SUM(OFFSET(Demand!$H$43,ROW(E112)-1,(COLUMN(E112)-1)*5,1,1))*R$2</f>
        <v>0</v>
      </c>
      <c r="DB115" s="5">
        <f ca="1">SUM(OFFSET(Demand!$H$43,ROW(F112)-1,(COLUMN(F112)-1)*5,1,1))*S$2</f>
        <v>0</v>
      </c>
      <c r="DC115" s="5">
        <f ca="1">SUM(OFFSET(Demand!$H$43,ROW(G112)-1,(COLUMN(G112)-1)*5,1,1))*T$2</f>
        <v>0</v>
      </c>
      <c r="DD115" s="5">
        <f ca="1">SUM(OFFSET(Demand!$H$43,ROW(H112)-1,(COLUMN(H112)-1)*5,1,1))*U$2</f>
        <v>0</v>
      </c>
      <c r="DE115" s="5">
        <f ca="1">SUM(OFFSET(Demand!$H$43,ROW(I112)-1,(COLUMN(I112)-1)*5,1,1))*V$2</f>
        <v>0</v>
      </c>
      <c r="DF115" s="5">
        <f ca="1">SUM(OFFSET(Demand!$H$43,ROW(J112)-1,(COLUMN(J112)-1)*5,1,1))*W$2</f>
        <v>0</v>
      </c>
      <c r="DG115" s="5">
        <f t="shared" ca="1" si="36"/>
        <v>0</v>
      </c>
    </row>
    <row r="116" spans="1:111" x14ac:dyDescent="0.2">
      <c r="A116" s="5">
        <f t="shared" ca="1" si="30"/>
        <v>0</v>
      </c>
      <c r="B116" s="5">
        <f ca="1">COUNTBLANK(OFFSET(Demand!$I125,0,(COLUMN(A113)-1)*5,1,1))</f>
        <v>0</v>
      </c>
      <c r="C116" s="5">
        <f ca="1">COUNTBLANK(OFFSET(Demand!$I125,0,(COLUMN(B113)-1)*5,1,1))</f>
        <v>0</v>
      </c>
      <c r="D116" s="5">
        <f ca="1">COUNTBLANK(OFFSET(Demand!$I125,0,(COLUMN(C113)-1)*5,1,1))</f>
        <v>1</v>
      </c>
      <c r="E116" s="5">
        <f ca="1">COUNTBLANK(OFFSET(Demand!$I125,0,(COLUMN(D113)-1)*5,1,1))</f>
        <v>1</v>
      </c>
      <c r="F116" s="5">
        <f ca="1">COUNTBLANK(OFFSET(Demand!$I125,0,(COLUMN(E113)-1)*5,1,1))</f>
        <v>1</v>
      </c>
      <c r="G116" s="5">
        <f ca="1">COUNTBLANK(OFFSET(Demand!$I125,0,(COLUMN(F113)-1)*5,1,1))</f>
        <v>1</v>
      </c>
      <c r="H116" s="5">
        <f ca="1">COUNTBLANK(OFFSET(Demand!$I125,0,(COLUMN(G113)-1)*5,1,1))</f>
        <v>1</v>
      </c>
      <c r="I116" s="5">
        <f ca="1">COUNTBLANK(OFFSET(Demand!$I125,0,(COLUMN(H113)-1)*5,1,1))</f>
        <v>1</v>
      </c>
      <c r="J116" s="5">
        <f ca="1">COUNTBLANK(OFFSET(Demand!$I125,0,(COLUMN(I113)-1)*5,1,1))</f>
        <v>1</v>
      </c>
      <c r="K116" s="5">
        <f ca="1">COUNTBLANK(OFFSET(Demand!$I125,0,(COLUMN(J113)-1)*5,1,1))</f>
        <v>1</v>
      </c>
      <c r="N116" s="5">
        <f ca="1">SUM(OFFSET(Demand!$E125,0,(COLUMN(A113)-1)*5,1,3))*N$2</f>
        <v>90</v>
      </c>
      <c r="O116" s="5">
        <f ca="1">SUM(OFFSET(Demand!$E125,0,(COLUMN(B113)-1)*5,1,3))*O$2</f>
        <v>320</v>
      </c>
      <c r="P116" s="5">
        <f ca="1">SUM(OFFSET(Demand!$E125,0,(COLUMN(C113)-1)*5,1,3))*P$2</f>
        <v>0</v>
      </c>
      <c r="Q116" s="5">
        <f ca="1">SUM(OFFSET(Demand!$E125,0,(COLUMN(D113)-1)*5,1,3))*Q$2</f>
        <v>0</v>
      </c>
      <c r="R116" s="5">
        <f ca="1">SUM(OFFSET(Demand!$E125,0,(COLUMN(E113)-1)*5,1,3))*R$2</f>
        <v>0</v>
      </c>
      <c r="S116" s="5">
        <f ca="1">SUM(OFFSET(Demand!$E125,0,(COLUMN(F113)-1)*5,1,3))*S$2</f>
        <v>0</v>
      </c>
      <c r="T116" s="5">
        <f ca="1">SUM(OFFSET(Demand!$E125,0,(COLUMN(G113)-1)*5,1,3))*T$2</f>
        <v>0</v>
      </c>
      <c r="U116" s="5">
        <f ca="1">SUM(OFFSET(Demand!$E125,0,(COLUMN(H113)-1)*5,1,3))*U$2</f>
        <v>0</v>
      </c>
      <c r="V116" s="5">
        <f ca="1">SUM(OFFSET(Demand!$E125,0,(COLUMN(I113)-1)*5,1,3))*V$2</f>
        <v>0</v>
      </c>
      <c r="W116" s="5">
        <f ca="1">SUM(OFFSET(Demand!$E125,0,(COLUMN(J113)-1)*5,1,3))*W$2</f>
        <v>0</v>
      </c>
      <c r="X116" s="5">
        <f t="shared" ca="1" si="31"/>
        <v>410</v>
      </c>
      <c r="Y116">
        <f t="shared" ca="1" si="32"/>
        <v>410</v>
      </c>
      <c r="Z116" s="5">
        <f ca="1">SUM(OFFSET(Demand!$H125,0,(COLUMN(A113)-1)*5,1,1))*N$2</f>
        <v>0</v>
      </c>
      <c r="AA116" s="5">
        <f ca="1">SUM(OFFSET(Demand!$H125,0,(COLUMN(B113)-1)*5,1,1))*O$2</f>
        <v>0</v>
      </c>
      <c r="AB116" s="5">
        <f ca="1">SUM(OFFSET(Demand!$H125,0,(COLUMN(C113)-1)*5,1,1))*P$2</f>
        <v>0</v>
      </c>
      <c r="AC116" s="5">
        <f ca="1">SUM(OFFSET(Demand!$H125,0,(COLUMN(D113)-1)*5,1,1))*Q$2</f>
        <v>0</v>
      </c>
      <c r="AD116" s="5">
        <f ca="1">SUM(OFFSET(Demand!$H125,0,(COLUMN(E113)-1)*5,1,1))*R$2</f>
        <v>0</v>
      </c>
      <c r="AE116" s="5">
        <f ca="1">SUM(OFFSET(Demand!$H125,0,(COLUMN(F113)-1)*5,1,1))*S$2</f>
        <v>0</v>
      </c>
      <c r="AF116" s="5">
        <f ca="1">SUM(OFFSET(Demand!$H125,0,(COLUMN(G113)-1)*5,1,1))*T$2</f>
        <v>0</v>
      </c>
      <c r="AG116" s="5">
        <f ca="1">SUM(OFFSET(Demand!$H125,0,(COLUMN(H113)-1)*5,1,1))*U$2</f>
        <v>0</v>
      </c>
      <c r="AH116" s="5">
        <f ca="1">SUM(OFFSET(Demand!$H125,0,(COLUMN(I113)-1)*5,1,1))*V$2</f>
        <v>0</v>
      </c>
      <c r="AI116" s="5">
        <f ca="1">SUM(OFFSET(Demand!$H125,0,(COLUMN(J113)-1)*5,1,1))*W$2</f>
        <v>0</v>
      </c>
      <c r="AJ116" s="5">
        <f t="shared" ca="1" si="33"/>
        <v>0</v>
      </c>
      <c r="AL116" s="5">
        <f t="shared" ca="1" si="34"/>
        <v>410</v>
      </c>
      <c r="AM116" s="5">
        <f t="shared" ca="1" si="35"/>
        <v>0</v>
      </c>
      <c r="AN116" s="5" t="str">
        <f>IF(Demand!BE125="Yes","Yes","")</f>
        <v/>
      </c>
      <c r="AP116" s="37" t="str">
        <f ca="1">Demand!B125</f>
        <v xml:space="preserve"> </v>
      </c>
      <c r="AQ116" t="str">
        <f ca="1">IF(TEXT(Demand!D125,"MMM")&lt;&gt;TEXT(Demand!D124,"MMM"),TEXT(Demand!D125,"MMM"),"")</f>
        <v/>
      </c>
      <c r="AT116" s="5">
        <f t="shared" ca="1" si="37"/>
        <v>60</v>
      </c>
      <c r="BQ116">
        <f ca="1">IF($AN116="",OFFSET(Demand!$A$13,ROW(A113)-1,4+((QUOTIENT(COLUMN(BQ$2)-69,3))*5)+MOD(COLUMN(BQ$2),3),1,1),"")</f>
        <v>0</v>
      </c>
      <c r="BR116">
        <f ca="1">IF($AN116="",OFFSET(Demand!$A$13,ROW(B113)-1,4+((QUOTIENT(COLUMN(BR$2)-69,3))*5)+MOD(COLUMN(BR$2),3),1,1),"")</f>
        <v>0</v>
      </c>
      <c r="BS116">
        <f ca="1">IF($AN116="",OFFSET(Demand!$A$13,ROW(C113)-1,4+((QUOTIENT(COLUMN(BS$2)-69,3))*5)+MOD(COLUMN(BS$2),3),1,1),"")</f>
        <v>3</v>
      </c>
      <c r="BT116">
        <f ca="1">IF($AN116="",OFFSET(Demand!$A$13,ROW(D113)-1,4+((QUOTIENT(COLUMN(BT$2)-69,3))*5)+MOD(COLUMN(BT$2),3),1,1),"")</f>
        <v>0</v>
      </c>
      <c r="BU116">
        <f ca="1">IF($AN116="",OFFSET(Demand!$A$13,ROW(E113)-1,4+((QUOTIENT(COLUMN(BU$2)-69,3))*5)+MOD(COLUMN(BU$2),3),1,1),"")</f>
        <v>2</v>
      </c>
      <c r="BV116">
        <f ca="1">IF($AN116="",OFFSET(Demand!$A$13,ROW(F113)-1,4+((QUOTIENT(COLUMN(BV$2)-69,3))*5)+MOD(COLUMN(BV$2),3),1,1),"")</f>
        <v>6</v>
      </c>
      <c r="BW116">
        <f ca="1">IF($AN116="",OFFSET(Demand!$A$13,ROW(G113)-1,4+((QUOTIENT(COLUMN(BW$2)-69,3))*5)+MOD(COLUMN(BW$2),3),1,1),"")</f>
        <v>0</v>
      </c>
      <c r="BX116">
        <f ca="1">IF($AN116="",OFFSET(Demand!$A$13,ROW(H113)-1,4+((QUOTIENT(COLUMN(BX$2)-69,3))*5)+MOD(COLUMN(BX$2),3),1,1),"")</f>
        <v>0</v>
      </c>
      <c r="BY116">
        <f ca="1">IF($AN116="",OFFSET(Demand!$A$13,ROW(I113)-1,4+((QUOTIENT(COLUMN(BY$2)-69,3))*5)+MOD(COLUMN(BY$2),3),1,1),"")</f>
        <v>0</v>
      </c>
      <c r="BZ116">
        <f ca="1">IF($AN116="",OFFSET(Demand!$A$13,ROW(J113)-1,4+((QUOTIENT(COLUMN(BZ$2)-69,3))*5)+MOD(COLUMN(BZ$2),3),1,1),"")</f>
        <v>0</v>
      </c>
      <c r="CA116">
        <f ca="1">IF($AN116="",OFFSET(Demand!$A$13,ROW(K113)-1,4+((QUOTIENT(COLUMN(CA$2)-69,3))*5)+MOD(COLUMN(CA$2),3),1,1),"")</f>
        <v>0</v>
      </c>
      <c r="CB116">
        <f ca="1">IF($AN116="",OFFSET(Demand!$A$13,ROW(L113)-1,4+((QUOTIENT(COLUMN(CB$2)-69,3))*5)+MOD(COLUMN(CB$2),3),1,1),"")</f>
        <v>0</v>
      </c>
      <c r="CC116">
        <f ca="1">IF($AN116="",OFFSET(Demand!$A$13,ROW(M113)-1,4+((QUOTIENT(COLUMN(CC$2)-69,3))*5)+MOD(COLUMN(CC$2),3),1,1),"")</f>
        <v>0</v>
      </c>
      <c r="CD116">
        <f ca="1">IF($AN116="",OFFSET(Demand!$A$13,ROW(N113)-1,4+((QUOTIENT(COLUMN(CD$2)-69,3))*5)+MOD(COLUMN(CD$2),3),1,1),"")</f>
        <v>0</v>
      </c>
      <c r="CE116">
        <f ca="1">IF($AN116="",OFFSET(Demand!$A$13,ROW(O113)-1,4+((QUOTIENT(COLUMN(CE$2)-69,3))*5)+MOD(COLUMN(CE$2),3),1,1),"")</f>
        <v>0</v>
      </c>
      <c r="CF116">
        <f ca="1">IF($AN116="",OFFSET(Demand!$A$13,ROW(P113)-1,4+((QUOTIENT(COLUMN(CF$2)-69,3))*5)+MOD(COLUMN(CF$2),3),1,1),"")</f>
        <v>0</v>
      </c>
      <c r="CG116">
        <f ca="1">IF($AN116="",OFFSET(Demand!$A$13,ROW(Q113)-1,4+((QUOTIENT(COLUMN(CG$2)-69,3))*5)+MOD(COLUMN(CG$2),3),1,1),"")</f>
        <v>0</v>
      </c>
      <c r="CH116">
        <f ca="1">IF($AN116="",OFFSET(Demand!$A$13,ROW(R113)-1,4+((QUOTIENT(COLUMN(CH$2)-69,3))*5)+MOD(COLUMN(CH$2),3),1,1),"")</f>
        <v>0</v>
      </c>
      <c r="CI116">
        <f ca="1">IF($AN116="",OFFSET(Demand!$A$13,ROW(S113)-1,4+((QUOTIENT(COLUMN(CI$2)-69,3))*5)+MOD(COLUMN(CI$2),3),1,1),"")</f>
        <v>0</v>
      </c>
      <c r="CJ116">
        <f ca="1">IF($AN116="",OFFSET(Demand!$A$13,ROW(T113)-1,4+((QUOTIENT(COLUMN(CJ$2)-69,3))*5)+MOD(COLUMN(CJ$2),3),1,1),"")</f>
        <v>0</v>
      </c>
      <c r="CK116">
        <f ca="1">IF($AN116="",OFFSET(Demand!$A$13,ROW(U113)-1,4+((QUOTIENT(COLUMN(CK$2)-69,3))*5)+MOD(COLUMN(CK$2),3),1,1),"")</f>
        <v>0</v>
      </c>
      <c r="CL116">
        <f ca="1">IF($AN116="",OFFSET(Demand!$A$13,ROW(V113)-1,4+((QUOTIENT(COLUMN(CL$2)-69,3))*5)+MOD(COLUMN(CL$2),3),1,1),"")</f>
        <v>0</v>
      </c>
      <c r="CM116">
        <f ca="1">IF($AN116="",OFFSET(Demand!$A$13,ROW(W113)-1,4+((QUOTIENT(COLUMN(CM$2)-69,3))*5)+MOD(COLUMN(CM$2),3),1,1),"")</f>
        <v>0</v>
      </c>
      <c r="CN116">
        <f ca="1">IF($AN116="",OFFSET(Demand!$A$13,ROW(X113)-1,4+((QUOTIENT(COLUMN(CN$2)-69,3))*5)+MOD(COLUMN(CN$2),3),1,1),"")</f>
        <v>0</v>
      </c>
      <c r="CO116">
        <f ca="1">IF($AN116="",OFFSET(Demand!$A$13,ROW(Y113)-1,4+((QUOTIENT(COLUMN(CO$2)-69,3))*5)+MOD(COLUMN(CO$2),3),1,1),"")</f>
        <v>0</v>
      </c>
      <c r="CP116">
        <f ca="1">IF($AN116="",OFFSET(Demand!$A$13,ROW(Z113)-1,4+((QUOTIENT(COLUMN(CP$2)-69,3))*5)+MOD(COLUMN(CP$2),3),1,1),"")</f>
        <v>0</v>
      </c>
      <c r="CQ116">
        <f ca="1">IF($AN116="",OFFSET(Demand!$A$13,ROW(AA113)-1,4+((QUOTIENT(COLUMN(CQ$2)-69,3))*5)+MOD(COLUMN(CQ$2),3),1,1),"")</f>
        <v>0</v>
      </c>
      <c r="CR116">
        <f ca="1">IF($AN116="",OFFSET(Demand!$A$13,ROW(AB113)-1,4+((QUOTIENT(COLUMN(CR$2)-69,3))*5)+MOD(COLUMN(CR$2),3),1,1),"")</f>
        <v>0</v>
      </c>
      <c r="CS116">
        <f ca="1">IF($AN116="",OFFSET(Demand!$A$13,ROW(AC113)-1,4+((QUOTIENT(COLUMN(CS$2)-69,3))*5)+MOD(COLUMN(CS$2),3),1,1),"")</f>
        <v>0</v>
      </c>
      <c r="CT116">
        <f ca="1">IF($AN116="",OFFSET(Demand!$A$13,ROW(AD113)-1,4+((QUOTIENT(COLUMN(CT$2)-69,3))*5)+MOD(COLUMN(CT$2),3),1,1),"")</f>
        <v>0</v>
      </c>
      <c r="CW116" s="5">
        <f ca="1">SUM(OFFSET(Demand!$H$43,ROW(A113)-1,(COLUMN(A113)-1)*5,1,1))*N$2</f>
        <v>0</v>
      </c>
      <c r="CX116" s="5">
        <f ca="1">SUM(OFFSET(Demand!$H$43,ROW(B113)-1,(COLUMN(B113)-1)*5,1,1))*O$2</f>
        <v>0</v>
      </c>
      <c r="CY116" s="5">
        <f ca="1">SUM(OFFSET(Demand!$H$43,ROW(C113)-1,(COLUMN(C113)-1)*5,1,1))*P$2</f>
        <v>0</v>
      </c>
      <c r="CZ116" s="5">
        <f ca="1">SUM(OFFSET(Demand!$H$43,ROW(D113)-1,(COLUMN(D113)-1)*5,1,1))*Q$2</f>
        <v>0</v>
      </c>
      <c r="DA116" s="5">
        <f ca="1">SUM(OFFSET(Demand!$H$43,ROW(E113)-1,(COLUMN(E113)-1)*5,1,1))*R$2</f>
        <v>0</v>
      </c>
      <c r="DB116" s="5">
        <f ca="1">SUM(OFFSET(Demand!$H$43,ROW(F113)-1,(COLUMN(F113)-1)*5,1,1))*S$2</f>
        <v>0</v>
      </c>
      <c r="DC116" s="5">
        <f ca="1">SUM(OFFSET(Demand!$H$43,ROW(G113)-1,(COLUMN(G113)-1)*5,1,1))*T$2</f>
        <v>0</v>
      </c>
      <c r="DD116" s="5">
        <f ca="1">SUM(OFFSET(Demand!$H$43,ROW(H113)-1,(COLUMN(H113)-1)*5,1,1))*U$2</f>
        <v>0</v>
      </c>
      <c r="DE116" s="5">
        <f ca="1">SUM(OFFSET(Demand!$H$43,ROW(I113)-1,(COLUMN(I113)-1)*5,1,1))*V$2</f>
        <v>0</v>
      </c>
      <c r="DF116" s="5">
        <f ca="1">SUM(OFFSET(Demand!$H$43,ROW(J113)-1,(COLUMN(J113)-1)*5,1,1))*W$2</f>
        <v>0</v>
      </c>
      <c r="DG116" s="5">
        <f t="shared" ca="1" si="36"/>
        <v>0</v>
      </c>
    </row>
    <row r="117" spans="1:111" x14ac:dyDescent="0.2">
      <c r="A117" s="5">
        <f t="shared" ca="1" si="30"/>
        <v>0</v>
      </c>
      <c r="B117" s="5">
        <f ca="1">COUNTBLANK(OFFSET(Demand!$I126,0,(COLUMN(A114)-1)*5,1,1))</f>
        <v>0</v>
      </c>
      <c r="C117" s="5">
        <f ca="1">COUNTBLANK(OFFSET(Demand!$I126,0,(COLUMN(B114)-1)*5,1,1))</f>
        <v>0</v>
      </c>
      <c r="D117" s="5">
        <f ca="1">COUNTBLANK(OFFSET(Demand!$I126,0,(COLUMN(C114)-1)*5,1,1))</f>
        <v>1</v>
      </c>
      <c r="E117" s="5">
        <f ca="1">COUNTBLANK(OFFSET(Demand!$I126,0,(COLUMN(D114)-1)*5,1,1))</f>
        <v>1</v>
      </c>
      <c r="F117" s="5">
        <f ca="1">COUNTBLANK(OFFSET(Demand!$I126,0,(COLUMN(E114)-1)*5,1,1))</f>
        <v>1</v>
      </c>
      <c r="G117" s="5">
        <f ca="1">COUNTBLANK(OFFSET(Demand!$I126,0,(COLUMN(F114)-1)*5,1,1))</f>
        <v>1</v>
      </c>
      <c r="H117" s="5">
        <f ca="1">COUNTBLANK(OFFSET(Demand!$I126,0,(COLUMN(G114)-1)*5,1,1))</f>
        <v>1</v>
      </c>
      <c r="I117" s="5">
        <f ca="1">COUNTBLANK(OFFSET(Demand!$I126,0,(COLUMN(H114)-1)*5,1,1))</f>
        <v>1</v>
      </c>
      <c r="J117" s="5">
        <f ca="1">COUNTBLANK(OFFSET(Demand!$I126,0,(COLUMN(I114)-1)*5,1,1))</f>
        <v>1</v>
      </c>
      <c r="K117" s="5">
        <f ca="1">COUNTBLANK(OFFSET(Demand!$I126,0,(COLUMN(J114)-1)*5,1,1))</f>
        <v>1</v>
      </c>
      <c r="N117" s="5">
        <f ca="1">SUM(OFFSET(Demand!$E126,0,(COLUMN(A114)-1)*5,1,3))*N$2</f>
        <v>90</v>
      </c>
      <c r="O117" s="5">
        <f ca="1">SUM(OFFSET(Demand!$E126,0,(COLUMN(B114)-1)*5,1,3))*O$2</f>
        <v>280</v>
      </c>
      <c r="P117" s="5">
        <f ca="1">SUM(OFFSET(Demand!$E126,0,(COLUMN(C114)-1)*5,1,3))*P$2</f>
        <v>0</v>
      </c>
      <c r="Q117" s="5">
        <f ca="1">SUM(OFFSET(Demand!$E126,0,(COLUMN(D114)-1)*5,1,3))*Q$2</f>
        <v>0</v>
      </c>
      <c r="R117" s="5">
        <f ca="1">SUM(OFFSET(Demand!$E126,0,(COLUMN(E114)-1)*5,1,3))*R$2</f>
        <v>0</v>
      </c>
      <c r="S117" s="5">
        <f ca="1">SUM(OFFSET(Demand!$E126,0,(COLUMN(F114)-1)*5,1,3))*S$2</f>
        <v>0</v>
      </c>
      <c r="T117" s="5">
        <f ca="1">SUM(OFFSET(Demand!$E126,0,(COLUMN(G114)-1)*5,1,3))*T$2</f>
        <v>0</v>
      </c>
      <c r="U117" s="5">
        <f ca="1">SUM(OFFSET(Demand!$E126,0,(COLUMN(H114)-1)*5,1,3))*U$2</f>
        <v>0</v>
      </c>
      <c r="V117" s="5">
        <f ca="1">SUM(OFFSET(Demand!$E126,0,(COLUMN(I114)-1)*5,1,3))*V$2</f>
        <v>0</v>
      </c>
      <c r="W117" s="5">
        <f ca="1">SUM(OFFSET(Demand!$E126,0,(COLUMN(J114)-1)*5,1,3))*W$2</f>
        <v>0</v>
      </c>
      <c r="X117" s="5">
        <f t="shared" ca="1" si="31"/>
        <v>370</v>
      </c>
      <c r="Y117">
        <f t="shared" ca="1" si="32"/>
        <v>370</v>
      </c>
      <c r="Z117" s="5">
        <f ca="1">SUM(OFFSET(Demand!$H126,0,(COLUMN(A114)-1)*5,1,1))*N$2</f>
        <v>0</v>
      </c>
      <c r="AA117" s="5">
        <f ca="1">SUM(OFFSET(Demand!$H126,0,(COLUMN(B114)-1)*5,1,1))*O$2</f>
        <v>0</v>
      </c>
      <c r="AB117" s="5">
        <f ca="1">SUM(OFFSET(Demand!$H126,0,(COLUMN(C114)-1)*5,1,1))*P$2</f>
        <v>0</v>
      </c>
      <c r="AC117" s="5">
        <f ca="1">SUM(OFFSET(Demand!$H126,0,(COLUMN(D114)-1)*5,1,1))*Q$2</f>
        <v>0</v>
      </c>
      <c r="AD117" s="5">
        <f ca="1">SUM(OFFSET(Demand!$H126,0,(COLUMN(E114)-1)*5,1,1))*R$2</f>
        <v>0</v>
      </c>
      <c r="AE117" s="5">
        <f ca="1">SUM(OFFSET(Demand!$H126,0,(COLUMN(F114)-1)*5,1,1))*S$2</f>
        <v>0</v>
      </c>
      <c r="AF117" s="5">
        <f ca="1">SUM(OFFSET(Demand!$H126,0,(COLUMN(G114)-1)*5,1,1))*T$2</f>
        <v>0</v>
      </c>
      <c r="AG117" s="5">
        <f ca="1">SUM(OFFSET(Demand!$H126,0,(COLUMN(H114)-1)*5,1,1))*U$2</f>
        <v>0</v>
      </c>
      <c r="AH117" s="5">
        <f ca="1">SUM(OFFSET(Demand!$H126,0,(COLUMN(I114)-1)*5,1,1))*V$2</f>
        <v>0</v>
      </c>
      <c r="AI117" s="5">
        <f ca="1">SUM(OFFSET(Demand!$H126,0,(COLUMN(J114)-1)*5,1,1))*W$2</f>
        <v>0</v>
      </c>
      <c r="AJ117" s="5">
        <f t="shared" ca="1" si="33"/>
        <v>0</v>
      </c>
      <c r="AL117" s="5">
        <f t="shared" ca="1" si="34"/>
        <v>370</v>
      </c>
      <c r="AM117" s="5">
        <f t="shared" ca="1" si="35"/>
        <v>0</v>
      </c>
      <c r="AN117" s="5" t="str">
        <f>IF(Demand!BE126="Yes","Yes","")</f>
        <v/>
      </c>
      <c r="AP117" s="37" t="str">
        <f ca="1">Demand!B126</f>
        <v xml:space="preserve"> </v>
      </c>
      <c r="AQ117" t="str">
        <f ca="1">IF(TEXT(Demand!D126,"MMM")&lt;&gt;TEXT(Demand!D125,"MMM"),TEXT(Demand!D126,"MMM"),"")</f>
        <v>Jun</v>
      </c>
      <c r="AT117" s="5">
        <f t="shared" ca="1" si="37"/>
        <v>40</v>
      </c>
      <c r="BQ117">
        <f ca="1">IF($AN117="",OFFSET(Demand!$A$13,ROW(A114)-1,4+((QUOTIENT(COLUMN(BQ$2)-69,3))*5)+MOD(COLUMN(BQ$2),3),1,1),"")</f>
        <v>0</v>
      </c>
      <c r="BR117">
        <f ca="1">IF($AN117="",OFFSET(Demand!$A$13,ROW(B114)-1,4+((QUOTIENT(COLUMN(BR$2)-69,3))*5)+MOD(COLUMN(BR$2),3),1,1),"")</f>
        <v>0</v>
      </c>
      <c r="BS117">
        <f ca="1">IF($AN117="",OFFSET(Demand!$A$13,ROW(C114)-1,4+((QUOTIENT(COLUMN(BS$2)-69,3))*5)+MOD(COLUMN(BS$2),3),1,1),"")</f>
        <v>3</v>
      </c>
      <c r="BT117">
        <f ca="1">IF($AN117="",OFFSET(Demand!$A$13,ROW(D114)-1,4+((QUOTIENT(COLUMN(BT$2)-69,3))*5)+MOD(COLUMN(BT$2),3),1,1),"")</f>
        <v>0</v>
      </c>
      <c r="BU117">
        <f ca="1">IF($AN117="",OFFSET(Demand!$A$13,ROW(E114)-1,4+((QUOTIENT(COLUMN(BU$2)-69,3))*5)+MOD(COLUMN(BU$2),3),1,1),"")</f>
        <v>1</v>
      </c>
      <c r="BV117">
        <f ca="1">IF($AN117="",OFFSET(Demand!$A$13,ROW(F114)-1,4+((QUOTIENT(COLUMN(BV$2)-69,3))*5)+MOD(COLUMN(BV$2),3),1,1),"")</f>
        <v>6</v>
      </c>
      <c r="BW117">
        <f ca="1">IF($AN117="",OFFSET(Demand!$A$13,ROW(G114)-1,4+((QUOTIENT(COLUMN(BW$2)-69,3))*5)+MOD(COLUMN(BW$2),3),1,1),"")</f>
        <v>0</v>
      </c>
      <c r="BX117">
        <f ca="1">IF($AN117="",OFFSET(Demand!$A$13,ROW(H114)-1,4+((QUOTIENT(COLUMN(BX$2)-69,3))*5)+MOD(COLUMN(BX$2),3),1,1),"")</f>
        <v>0</v>
      </c>
      <c r="BY117">
        <f ca="1">IF($AN117="",OFFSET(Demand!$A$13,ROW(I114)-1,4+((QUOTIENT(COLUMN(BY$2)-69,3))*5)+MOD(COLUMN(BY$2),3),1,1),"")</f>
        <v>0</v>
      </c>
      <c r="BZ117">
        <f ca="1">IF($AN117="",OFFSET(Demand!$A$13,ROW(J114)-1,4+((QUOTIENT(COLUMN(BZ$2)-69,3))*5)+MOD(COLUMN(BZ$2),3),1,1),"")</f>
        <v>0</v>
      </c>
      <c r="CA117">
        <f ca="1">IF($AN117="",OFFSET(Demand!$A$13,ROW(K114)-1,4+((QUOTIENT(COLUMN(CA$2)-69,3))*5)+MOD(COLUMN(CA$2),3),1,1),"")</f>
        <v>0</v>
      </c>
      <c r="CB117">
        <f ca="1">IF($AN117="",OFFSET(Demand!$A$13,ROW(L114)-1,4+((QUOTIENT(COLUMN(CB$2)-69,3))*5)+MOD(COLUMN(CB$2),3),1,1),"")</f>
        <v>0</v>
      </c>
      <c r="CC117">
        <f ca="1">IF($AN117="",OFFSET(Demand!$A$13,ROW(M114)-1,4+((QUOTIENT(COLUMN(CC$2)-69,3))*5)+MOD(COLUMN(CC$2),3),1,1),"")</f>
        <v>0</v>
      </c>
      <c r="CD117">
        <f ca="1">IF($AN117="",OFFSET(Demand!$A$13,ROW(N114)-1,4+((QUOTIENT(COLUMN(CD$2)-69,3))*5)+MOD(COLUMN(CD$2),3),1,1),"")</f>
        <v>0</v>
      </c>
      <c r="CE117">
        <f ca="1">IF($AN117="",OFFSET(Demand!$A$13,ROW(O114)-1,4+((QUOTIENT(COLUMN(CE$2)-69,3))*5)+MOD(COLUMN(CE$2),3),1,1),"")</f>
        <v>0</v>
      </c>
      <c r="CF117">
        <f ca="1">IF($AN117="",OFFSET(Demand!$A$13,ROW(P114)-1,4+((QUOTIENT(COLUMN(CF$2)-69,3))*5)+MOD(COLUMN(CF$2),3),1,1),"")</f>
        <v>0</v>
      </c>
      <c r="CG117">
        <f ca="1">IF($AN117="",OFFSET(Demand!$A$13,ROW(Q114)-1,4+((QUOTIENT(COLUMN(CG$2)-69,3))*5)+MOD(COLUMN(CG$2),3),1,1),"")</f>
        <v>0</v>
      </c>
      <c r="CH117">
        <f ca="1">IF($AN117="",OFFSET(Demand!$A$13,ROW(R114)-1,4+((QUOTIENT(COLUMN(CH$2)-69,3))*5)+MOD(COLUMN(CH$2),3),1,1),"")</f>
        <v>0</v>
      </c>
      <c r="CI117">
        <f ca="1">IF($AN117="",OFFSET(Demand!$A$13,ROW(S114)-1,4+((QUOTIENT(COLUMN(CI$2)-69,3))*5)+MOD(COLUMN(CI$2),3),1,1),"")</f>
        <v>0</v>
      </c>
      <c r="CJ117">
        <f ca="1">IF($AN117="",OFFSET(Demand!$A$13,ROW(T114)-1,4+((QUOTIENT(COLUMN(CJ$2)-69,3))*5)+MOD(COLUMN(CJ$2),3),1,1),"")</f>
        <v>0</v>
      </c>
      <c r="CK117">
        <f ca="1">IF($AN117="",OFFSET(Demand!$A$13,ROW(U114)-1,4+((QUOTIENT(COLUMN(CK$2)-69,3))*5)+MOD(COLUMN(CK$2),3),1,1),"")</f>
        <v>0</v>
      </c>
      <c r="CL117">
        <f ca="1">IF($AN117="",OFFSET(Demand!$A$13,ROW(V114)-1,4+((QUOTIENT(COLUMN(CL$2)-69,3))*5)+MOD(COLUMN(CL$2),3),1,1),"")</f>
        <v>0</v>
      </c>
      <c r="CM117">
        <f ca="1">IF($AN117="",OFFSET(Demand!$A$13,ROW(W114)-1,4+((QUOTIENT(COLUMN(CM$2)-69,3))*5)+MOD(COLUMN(CM$2),3),1,1),"")</f>
        <v>0</v>
      </c>
      <c r="CN117">
        <f ca="1">IF($AN117="",OFFSET(Demand!$A$13,ROW(X114)-1,4+((QUOTIENT(COLUMN(CN$2)-69,3))*5)+MOD(COLUMN(CN$2),3),1,1),"")</f>
        <v>0</v>
      </c>
      <c r="CO117">
        <f ca="1">IF($AN117="",OFFSET(Demand!$A$13,ROW(Y114)-1,4+((QUOTIENT(COLUMN(CO$2)-69,3))*5)+MOD(COLUMN(CO$2),3),1,1),"")</f>
        <v>0</v>
      </c>
      <c r="CP117">
        <f ca="1">IF($AN117="",OFFSET(Demand!$A$13,ROW(Z114)-1,4+((QUOTIENT(COLUMN(CP$2)-69,3))*5)+MOD(COLUMN(CP$2),3),1,1),"")</f>
        <v>0</v>
      </c>
      <c r="CQ117">
        <f ca="1">IF($AN117="",OFFSET(Demand!$A$13,ROW(AA114)-1,4+((QUOTIENT(COLUMN(CQ$2)-69,3))*5)+MOD(COLUMN(CQ$2),3),1,1),"")</f>
        <v>0</v>
      </c>
      <c r="CR117">
        <f ca="1">IF($AN117="",OFFSET(Demand!$A$13,ROW(AB114)-1,4+((QUOTIENT(COLUMN(CR$2)-69,3))*5)+MOD(COLUMN(CR$2),3),1,1),"")</f>
        <v>0</v>
      </c>
      <c r="CS117">
        <f ca="1">IF($AN117="",OFFSET(Demand!$A$13,ROW(AC114)-1,4+((QUOTIENT(COLUMN(CS$2)-69,3))*5)+MOD(COLUMN(CS$2),3),1,1),"")</f>
        <v>0</v>
      </c>
      <c r="CT117">
        <f ca="1">IF($AN117="",OFFSET(Demand!$A$13,ROW(AD114)-1,4+((QUOTIENT(COLUMN(CT$2)-69,3))*5)+MOD(COLUMN(CT$2),3),1,1),"")</f>
        <v>0</v>
      </c>
      <c r="CW117" s="5">
        <f ca="1">SUM(OFFSET(Demand!$H$43,ROW(A114)-1,(COLUMN(A114)-1)*5,1,1))*N$2</f>
        <v>0</v>
      </c>
      <c r="CX117" s="5">
        <f ca="1">SUM(OFFSET(Demand!$H$43,ROW(B114)-1,(COLUMN(B114)-1)*5,1,1))*O$2</f>
        <v>0</v>
      </c>
      <c r="CY117" s="5">
        <f ca="1">SUM(OFFSET(Demand!$H$43,ROW(C114)-1,(COLUMN(C114)-1)*5,1,1))*P$2</f>
        <v>0</v>
      </c>
      <c r="CZ117" s="5">
        <f ca="1">SUM(OFFSET(Demand!$H$43,ROW(D114)-1,(COLUMN(D114)-1)*5,1,1))*Q$2</f>
        <v>0</v>
      </c>
      <c r="DA117" s="5">
        <f ca="1">SUM(OFFSET(Demand!$H$43,ROW(E114)-1,(COLUMN(E114)-1)*5,1,1))*R$2</f>
        <v>0</v>
      </c>
      <c r="DB117" s="5">
        <f ca="1">SUM(OFFSET(Demand!$H$43,ROW(F114)-1,(COLUMN(F114)-1)*5,1,1))*S$2</f>
        <v>0</v>
      </c>
      <c r="DC117" s="5">
        <f ca="1">SUM(OFFSET(Demand!$H$43,ROW(G114)-1,(COLUMN(G114)-1)*5,1,1))*T$2</f>
        <v>0</v>
      </c>
      <c r="DD117" s="5">
        <f ca="1">SUM(OFFSET(Demand!$H$43,ROW(H114)-1,(COLUMN(H114)-1)*5,1,1))*U$2</f>
        <v>0</v>
      </c>
      <c r="DE117" s="5">
        <f ca="1">SUM(OFFSET(Demand!$H$43,ROW(I114)-1,(COLUMN(I114)-1)*5,1,1))*V$2</f>
        <v>0</v>
      </c>
      <c r="DF117" s="5">
        <f ca="1">SUM(OFFSET(Demand!$H$43,ROW(J114)-1,(COLUMN(J114)-1)*5,1,1))*W$2</f>
        <v>0</v>
      </c>
      <c r="DG117" s="5">
        <f t="shared" ca="1" si="36"/>
        <v>0</v>
      </c>
    </row>
    <row r="118" spans="1:111" x14ac:dyDescent="0.2">
      <c r="A118" s="5">
        <f t="shared" ca="1" si="30"/>
        <v>0</v>
      </c>
      <c r="B118" s="5">
        <f ca="1">COUNTBLANK(OFFSET(Demand!$I127,0,(COLUMN(A115)-1)*5,1,1))</f>
        <v>0</v>
      </c>
      <c r="C118" s="5">
        <f ca="1">COUNTBLANK(OFFSET(Demand!$I127,0,(COLUMN(B115)-1)*5,1,1))</f>
        <v>0</v>
      </c>
      <c r="D118" s="5">
        <f ca="1">COUNTBLANK(OFFSET(Demand!$I127,0,(COLUMN(C115)-1)*5,1,1))</f>
        <v>1</v>
      </c>
      <c r="E118" s="5">
        <f ca="1">COUNTBLANK(OFFSET(Demand!$I127,0,(COLUMN(D115)-1)*5,1,1))</f>
        <v>1</v>
      </c>
      <c r="F118" s="5">
        <f ca="1">COUNTBLANK(OFFSET(Demand!$I127,0,(COLUMN(E115)-1)*5,1,1))</f>
        <v>1</v>
      </c>
      <c r="G118" s="5">
        <f ca="1">COUNTBLANK(OFFSET(Demand!$I127,0,(COLUMN(F115)-1)*5,1,1))</f>
        <v>1</v>
      </c>
      <c r="H118" s="5">
        <f ca="1">COUNTBLANK(OFFSET(Demand!$I127,0,(COLUMN(G115)-1)*5,1,1))</f>
        <v>1</v>
      </c>
      <c r="I118" s="5">
        <f ca="1">COUNTBLANK(OFFSET(Demand!$I127,0,(COLUMN(H115)-1)*5,1,1))</f>
        <v>1</v>
      </c>
      <c r="J118" s="5">
        <f ca="1">COUNTBLANK(OFFSET(Demand!$I127,0,(COLUMN(I115)-1)*5,1,1))</f>
        <v>1</v>
      </c>
      <c r="K118" s="5">
        <f ca="1">COUNTBLANK(OFFSET(Demand!$I127,0,(COLUMN(J115)-1)*5,1,1))</f>
        <v>1</v>
      </c>
      <c r="N118" s="5">
        <f ca="1">SUM(OFFSET(Demand!$E127,0,(COLUMN(A115)-1)*5,1,3))*N$2</f>
        <v>150</v>
      </c>
      <c r="O118" s="5">
        <f ca="1">SUM(OFFSET(Demand!$E127,0,(COLUMN(B115)-1)*5,1,3))*O$2</f>
        <v>280</v>
      </c>
      <c r="P118" s="5">
        <f ca="1">SUM(OFFSET(Demand!$E127,0,(COLUMN(C115)-1)*5,1,3))*P$2</f>
        <v>0</v>
      </c>
      <c r="Q118" s="5">
        <f ca="1">SUM(OFFSET(Demand!$E127,0,(COLUMN(D115)-1)*5,1,3))*Q$2</f>
        <v>0</v>
      </c>
      <c r="R118" s="5">
        <f ca="1">SUM(OFFSET(Demand!$E127,0,(COLUMN(E115)-1)*5,1,3))*R$2</f>
        <v>0</v>
      </c>
      <c r="S118" s="5">
        <f ca="1">SUM(OFFSET(Demand!$E127,0,(COLUMN(F115)-1)*5,1,3))*S$2</f>
        <v>0</v>
      </c>
      <c r="T118" s="5">
        <f ca="1">SUM(OFFSET(Demand!$E127,0,(COLUMN(G115)-1)*5,1,3))*T$2</f>
        <v>0</v>
      </c>
      <c r="U118" s="5">
        <f ca="1">SUM(OFFSET(Demand!$E127,0,(COLUMN(H115)-1)*5,1,3))*U$2</f>
        <v>0</v>
      </c>
      <c r="V118" s="5">
        <f ca="1">SUM(OFFSET(Demand!$E127,0,(COLUMN(I115)-1)*5,1,3))*V$2</f>
        <v>0</v>
      </c>
      <c r="W118" s="5">
        <f ca="1">SUM(OFFSET(Demand!$E127,0,(COLUMN(J115)-1)*5,1,3))*W$2</f>
        <v>0</v>
      </c>
      <c r="X118" s="5">
        <f t="shared" ca="1" si="31"/>
        <v>430</v>
      </c>
      <c r="Y118">
        <f t="shared" ca="1" si="32"/>
        <v>430</v>
      </c>
      <c r="Z118" s="5">
        <f ca="1">SUM(OFFSET(Demand!$H127,0,(COLUMN(A115)-1)*5,1,1))*N$2</f>
        <v>0</v>
      </c>
      <c r="AA118" s="5">
        <f ca="1">SUM(OFFSET(Demand!$H127,0,(COLUMN(B115)-1)*5,1,1))*O$2</f>
        <v>0</v>
      </c>
      <c r="AB118" s="5">
        <f ca="1">SUM(OFFSET(Demand!$H127,0,(COLUMN(C115)-1)*5,1,1))*P$2</f>
        <v>0</v>
      </c>
      <c r="AC118" s="5">
        <f ca="1">SUM(OFFSET(Demand!$H127,0,(COLUMN(D115)-1)*5,1,1))*Q$2</f>
        <v>0</v>
      </c>
      <c r="AD118" s="5">
        <f ca="1">SUM(OFFSET(Demand!$H127,0,(COLUMN(E115)-1)*5,1,1))*R$2</f>
        <v>0</v>
      </c>
      <c r="AE118" s="5">
        <f ca="1">SUM(OFFSET(Demand!$H127,0,(COLUMN(F115)-1)*5,1,1))*S$2</f>
        <v>0</v>
      </c>
      <c r="AF118" s="5">
        <f ca="1">SUM(OFFSET(Demand!$H127,0,(COLUMN(G115)-1)*5,1,1))*T$2</f>
        <v>0</v>
      </c>
      <c r="AG118" s="5">
        <f ca="1">SUM(OFFSET(Demand!$H127,0,(COLUMN(H115)-1)*5,1,1))*U$2</f>
        <v>0</v>
      </c>
      <c r="AH118" s="5">
        <f ca="1">SUM(OFFSET(Demand!$H127,0,(COLUMN(I115)-1)*5,1,1))*V$2</f>
        <v>0</v>
      </c>
      <c r="AI118" s="5">
        <f ca="1">SUM(OFFSET(Demand!$H127,0,(COLUMN(J115)-1)*5,1,1))*W$2</f>
        <v>0</v>
      </c>
      <c r="AJ118" s="5">
        <f t="shared" ca="1" si="33"/>
        <v>0</v>
      </c>
      <c r="AL118" s="5">
        <f t="shared" ca="1" si="34"/>
        <v>430</v>
      </c>
      <c r="AM118" s="5">
        <f t="shared" ca="1" si="35"/>
        <v>0</v>
      </c>
      <c r="AN118" s="5" t="str">
        <f>IF(Demand!BE127="Yes","Yes","")</f>
        <v/>
      </c>
      <c r="AP118" s="37" t="str">
        <f ca="1">Demand!B127</f>
        <v xml:space="preserve"> </v>
      </c>
      <c r="AQ118" t="str">
        <f ca="1">IF(TEXT(Demand!D127,"MMM")&lt;&gt;TEXT(Demand!D126,"MMM"),TEXT(Demand!D127,"MMM"),"")</f>
        <v/>
      </c>
      <c r="AT118" s="5">
        <f t="shared" ca="1" si="37"/>
        <v>60</v>
      </c>
      <c r="BQ118">
        <f ca="1">IF($AN118="",OFFSET(Demand!$A$13,ROW(A115)-1,4+((QUOTIENT(COLUMN(BQ$2)-69,3))*5)+MOD(COLUMN(BQ$2),3),1,1),"")</f>
        <v>0</v>
      </c>
      <c r="BR118">
        <f ca="1">IF($AN118="",OFFSET(Demand!$A$13,ROW(B115)-1,4+((QUOTIENT(COLUMN(BR$2)-69,3))*5)+MOD(COLUMN(BR$2),3),1,1),"")</f>
        <v>1</v>
      </c>
      <c r="BS118">
        <f ca="1">IF($AN118="",OFFSET(Demand!$A$13,ROW(C115)-1,4+((QUOTIENT(COLUMN(BS$2)-69,3))*5)+MOD(COLUMN(BS$2),3),1,1),"")</f>
        <v>4</v>
      </c>
      <c r="BT118">
        <f ca="1">IF($AN118="",OFFSET(Demand!$A$13,ROW(D115)-1,4+((QUOTIENT(COLUMN(BT$2)-69,3))*5)+MOD(COLUMN(BT$2),3),1,1),"")</f>
        <v>0</v>
      </c>
      <c r="BU118">
        <f ca="1">IF($AN118="",OFFSET(Demand!$A$13,ROW(E115)-1,4+((QUOTIENT(COLUMN(BU$2)-69,3))*5)+MOD(COLUMN(BU$2),3),1,1),"")</f>
        <v>2</v>
      </c>
      <c r="BV118">
        <f ca="1">IF($AN118="",OFFSET(Demand!$A$13,ROW(F115)-1,4+((QUOTIENT(COLUMN(BV$2)-69,3))*5)+MOD(COLUMN(BV$2),3),1,1),"")</f>
        <v>5</v>
      </c>
      <c r="BW118">
        <f ca="1">IF($AN118="",OFFSET(Demand!$A$13,ROW(G115)-1,4+((QUOTIENT(COLUMN(BW$2)-69,3))*5)+MOD(COLUMN(BW$2),3),1,1),"")</f>
        <v>0</v>
      </c>
      <c r="BX118">
        <f ca="1">IF($AN118="",OFFSET(Demand!$A$13,ROW(H115)-1,4+((QUOTIENT(COLUMN(BX$2)-69,3))*5)+MOD(COLUMN(BX$2),3),1,1),"")</f>
        <v>0</v>
      </c>
      <c r="BY118">
        <f ca="1">IF($AN118="",OFFSET(Demand!$A$13,ROW(I115)-1,4+((QUOTIENT(COLUMN(BY$2)-69,3))*5)+MOD(COLUMN(BY$2),3),1,1),"")</f>
        <v>0</v>
      </c>
      <c r="BZ118">
        <f ca="1">IF($AN118="",OFFSET(Demand!$A$13,ROW(J115)-1,4+((QUOTIENT(COLUMN(BZ$2)-69,3))*5)+MOD(COLUMN(BZ$2),3),1,1),"")</f>
        <v>0</v>
      </c>
      <c r="CA118">
        <f ca="1">IF($AN118="",OFFSET(Demand!$A$13,ROW(K115)-1,4+((QUOTIENT(COLUMN(CA$2)-69,3))*5)+MOD(COLUMN(CA$2),3),1,1),"")</f>
        <v>0</v>
      </c>
      <c r="CB118">
        <f ca="1">IF($AN118="",OFFSET(Demand!$A$13,ROW(L115)-1,4+((QUOTIENT(COLUMN(CB$2)-69,3))*5)+MOD(COLUMN(CB$2),3),1,1),"")</f>
        <v>0</v>
      </c>
      <c r="CC118">
        <f ca="1">IF($AN118="",OFFSET(Demand!$A$13,ROW(M115)-1,4+((QUOTIENT(COLUMN(CC$2)-69,3))*5)+MOD(COLUMN(CC$2),3),1,1),"")</f>
        <v>0</v>
      </c>
      <c r="CD118">
        <f ca="1">IF($AN118="",OFFSET(Demand!$A$13,ROW(N115)-1,4+((QUOTIENT(COLUMN(CD$2)-69,3))*5)+MOD(COLUMN(CD$2),3),1,1),"")</f>
        <v>0</v>
      </c>
      <c r="CE118">
        <f ca="1">IF($AN118="",OFFSET(Demand!$A$13,ROW(O115)-1,4+((QUOTIENT(COLUMN(CE$2)-69,3))*5)+MOD(COLUMN(CE$2),3),1,1),"")</f>
        <v>0</v>
      </c>
      <c r="CF118">
        <f ca="1">IF($AN118="",OFFSET(Demand!$A$13,ROW(P115)-1,4+((QUOTIENT(COLUMN(CF$2)-69,3))*5)+MOD(COLUMN(CF$2),3),1,1),"")</f>
        <v>0</v>
      </c>
      <c r="CG118">
        <f ca="1">IF($AN118="",OFFSET(Demand!$A$13,ROW(Q115)-1,4+((QUOTIENT(COLUMN(CG$2)-69,3))*5)+MOD(COLUMN(CG$2),3),1,1),"")</f>
        <v>0</v>
      </c>
      <c r="CH118">
        <f ca="1">IF($AN118="",OFFSET(Demand!$A$13,ROW(R115)-1,4+((QUOTIENT(COLUMN(CH$2)-69,3))*5)+MOD(COLUMN(CH$2),3),1,1),"")</f>
        <v>0</v>
      </c>
      <c r="CI118">
        <f ca="1">IF($AN118="",OFFSET(Demand!$A$13,ROW(S115)-1,4+((QUOTIENT(COLUMN(CI$2)-69,3))*5)+MOD(COLUMN(CI$2),3),1,1),"")</f>
        <v>0</v>
      </c>
      <c r="CJ118">
        <f ca="1">IF($AN118="",OFFSET(Demand!$A$13,ROW(T115)-1,4+((QUOTIENT(COLUMN(CJ$2)-69,3))*5)+MOD(COLUMN(CJ$2),3),1,1),"")</f>
        <v>0</v>
      </c>
      <c r="CK118">
        <f ca="1">IF($AN118="",OFFSET(Demand!$A$13,ROW(U115)-1,4+((QUOTIENT(COLUMN(CK$2)-69,3))*5)+MOD(COLUMN(CK$2),3),1,1),"")</f>
        <v>0</v>
      </c>
      <c r="CL118">
        <f ca="1">IF($AN118="",OFFSET(Demand!$A$13,ROW(V115)-1,4+((QUOTIENT(COLUMN(CL$2)-69,3))*5)+MOD(COLUMN(CL$2),3),1,1),"")</f>
        <v>0</v>
      </c>
      <c r="CM118">
        <f ca="1">IF($AN118="",OFFSET(Demand!$A$13,ROW(W115)-1,4+((QUOTIENT(COLUMN(CM$2)-69,3))*5)+MOD(COLUMN(CM$2),3),1,1),"")</f>
        <v>0</v>
      </c>
      <c r="CN118">
        <f ca="1">IF($AN118="",OFFSET(Demand!$A$13,ROW(X115)-1,4+((QUOTIENT(COLUMN(CN$2)-69,3))*5)+MOD(COLUMN(CN$2),3),1,1),"")</f>
        <v>0</v>
      </c>
      <c r="CO118">
        <f ca="1">IF($AN118="",OFFSET(Demand!$A$13,ROW(Y115)-1,4+((QUOTIENT(COLUMN(CO$2)-69,3))*5)+MOD(COLUMN(CO$2),3),1,1),"")</f>
        <v>0</v>
      </c>
      <c r="CP118">
        <f ca="1">IF($AN118="",OFFSET(Demand!$A$13,ROW(Z115)-1,4+((QUOTIENT(COLUMN(CP$2)-69,3))*5)+MOD(COLUMN(CP$2),3),1,1),"")</f>
        <v>0</v>
      </c>
      <c r="CQ118">
        <f ca="1">IF($AN118="",OFFSET(Demand!$A$13,ROW(AA115)-1,4+((QUOTIENT(COLUMN(CQ$2)-69,3))*5)+MOD(COLUMN(CQ$2),3),1,1),"")</f>
        <v>0</v>
      </c>
      <c r="CR118">
        <f ca="1">IF($AN118="",OFFSET(Demand!$A$13,ROW(AB115)-1,4+((QUOTIENT(COLUMN(CR$2)-69,3))*5)+MOD(COLUMN(CR$2),3),1,1),"")</f>
        <v>0</v>
      </c>
      <c r="CS118">
        <f ca="1">IF($AN118="",OFFSET(Demand!$A$13,ROW(AC115)-1,4+((QUOTIENT(COLUMN(CS$2)-69,3))*5)+MOD(COLUMN(CS$2),3),1,1),"")</f>
        <v>0</v>
      </c>
      <c r="CT118">
        <f ca="1">IF($AN118="",OFFSET(Demand!$A$13,ROW(AD115)-1,4+((QUOTIENT(COLUMN(CT$2)-69,3))*5)+MOD(COLUMN(CT$2),3),1,1),"")</f>
        <v>0</v>
      </c>
      <c r="CW118" s="5">
        <f ca="1">SUM(OFFSET(Demand!$H$43,ROW(A115)-1,(COLUMN(A115)-1)*5,1,1))*N$2</f>
        <v>0</v>
      </c>
      <c r="CX118" s="5">
        <f ca="1">SUM(OFFSET(Demand!$H$43,ROW(B115)-1,(COLUMN(B115)-1)*5,1,1))*O$2</f>
        <v>0</v>
      </c>
      <c r="CY118" s="5">
        <f ca="1">SUM(OFFSET(Demand!$H$43,ROW(C115)-1,(COLUMN(C115)-1)*5,1,1))*P$2</f>
        <v>0</v>
      </c>
      <c r="CZ118" s="5">
        <f ca="1">SUM(OFFSET(Demand!$H$43,ROW(D115)-1,(COLUMN(D115)-1)*5,1,1))*Q$2</f>
        <v>0</v>
      </c>
      <c r="DA118" s="5">
        <f ca="1">SUM(OFFSET(Demand!$H$43,ROW(E115)-1,(COLUMN(E115)-1)*5,1,1))*R$2</f>
        <v>0</v>
      </c>
      <c r="DB118" s="5">
        <f ca="1">SUM(OFFSET(Demand!$H$43,ROW(F115)-1,(COLUMN(F115)-1)*5,1,1))*S$2</f>
        <v>0</v>
      </c>
      <c r="DC118" s="5">
        <f ca="1">SUM(OFFSET(Demand!$H$43,ROW(G115)-1,(COLUMN(G115)-1)*5,1,1))*T$2</f>
        <v>0</v>
      </c>
      <c r="DD118" s="5">
        <f ca="1">SUM(OFFSET(Demand!$H$43,ROW(H115)-1,(COLUMN(H115)-1)*5,1,1))*U$2</f>
        <v>0</v>
      </c>
      <c r="DE118" s="5">
        <f ca="1">SUM(OFFSET(Demand!$H$43,ROW(I115)-1,(COLUMN(I115)-1)*5,1,1))*V$2</f>
        <v>0</v>
      </c>
      <c r="DF118" s="5">
        <f ca="1">SUM(OFFSET(Demand!$H$43,ROW(J115)-1,(COLUMN(J115)-1)*5,1,1))*W$2</f>
        <v>0</v>
      </c>
      <c r="DG118" s="5">
        <f t="shared" ca="1" si="36"/>
        <v>0</v>
      </c>
    </row>
    <row r="119" spans="1:111" x14ac:dyDescent="0.2">
      <c r="A119" s="5">
        <f t="shared" ca="1" si="30"/>
        <v>0</v>
      </c>
      <c r="B119" s="5">
        <f ca="1">COUNTBLANK(OFFSET(Demand!$I128,0,(COLUMN(A116)-1)*5,1,1))</f>
        <v>0</v>
      </c>
      <c r="C119" s="5">
        <f ca="1">COUNTBLANK(OFFSET(Demand!$I128,0,(COLUMN(B116)-1)*5,1,1))</f>
        <v>0</v>
      </c>
      <c r="D119" s="5">
        <f ca="1">COUNTBLANK(OFFSET(Demand!$I128,0,(COLUMN(C116)-1)*5,1,1))</f>
        <v>1</v>
      </c>
      <c r="E119" s="5">
        <f ca="1">COUNTBLANK(OFFSET(Demand!$I128,0,(COLUMN(D116)-1)*5,1,1))</f>
        <v>1</v>
      </c>
      <c r="F119" s="5">
        <f ca="1">COUNTBLANK(OFFSET(Demand!$I128,0,(COLUMN(E116)-1)*5,1,1))</f>
        <v>1</v>
      </c>
      <c r="G119" s="5">
        <f ca="1">COUNTBLANK(OFFSET(Demand!$I128,0,(COLUMN(F116)-1)*5,1,1))</f>
        <v>1</v>
      </c>
      <c r="H119" s="5">
        <f ca="1">COUNTBLANK(OFFSET(Demand!$I128,0,(COLUMN(G116)-1)*5,1,1))</f>
        <v>1</v>
      </c>
      <c r="I119" s="5">
        <f ca="1">COUNTBLANK(OFFSET(Demand!$I128,0,(COLUMN(H116)-1)*5,1,1))</f>
        <v>1</v>
      </c>
      <c r="J119" s="5">
        <f ca="1">COUNTBLANK(OFFSET(Demand!$I128,0,(COLUMN(I116)-1)*5,1,1))</f>
        <v>1</v>
      </c>
      <c r="K119" s="5">
        <f ca="1">COUNTBLANK(OFFSET(Demand!$I128,0,(COLUMN(J116)-1)*5,1,1))</f>
        <v>1</v>
      </c>
      <c r="N119" s="5">
        <f ca="1">SUM(OFFSET(Demand!$E128,0,(COLUMN(A116)-1)*5,1,3))*N$2</f>
        <v>150</v>
      </c>
      <c r="O119" s="5">
        <f ca="1">SUM(OFFSET(Demand!$E128,0,(COLUMN(B116)-1)*5,1,3))*O$2</f>
        <v>480</v>
      </c>
      <c r="P119" s="5">
        <f ca="1">SUM(OFFSET(Demand!$E128,0,(COLUMN(C116)-1)*5,1,3))*P$2</f>
        <v>0</v>
      </c>
      <c r="Q119" s="5">
        <f ca="1">SUM(OFFSET(Demand!$E128,0,(COLUMN(D116)-1)*5,1,3))*Q$2</f>
        <v>0</v>
      </c>
      <c r="R119" s="5">
        <f ca="1">SUM(OFFSET(Demand!$E128,0,(COLUMN(E116)-1)*5,1,3))*R$2</f>
        <v>0</v>
      </c>
      <c r="S119" s="5">
        <f ca="1">SUM(OFFSET(Demand!$E128,0,(COLUMN(F116)-1)*5,1,3))*S$2</f>
        <v>0</v>
      </c>
      <c r="T119" s="5">
        <f ca="1">SUM(OFFSET(Demand!$E128,0,(COLUMN(G116)-1)*5,1,3))*T$2</f>
        <v>0</v>
      </c>
      <c r="U119" s="5">
        <f ca="1">SUM(OFFSET(Demand!$E128,0,(COLUMN(H116)-1)*5,1,3))*U$2</f>
        <v>0</v>
      </c>
      <c r="V119" s="5">
        <f ca="1">SUM(OFFSET(Demand!$E128,0,(COLUMN(I116)-1)*5,1,3))*V$2</f>
        <v>0</v>
      </c>
      <c r="W119" s="5">
        <f ca="1">SUM(OFFSET(Demand!$E128,0,(COLUMN(J116)-1)*5,1,3))*W$2</f>
        <v>0</v>
      </c>
      <c r="X119" s="5">
        <f t="shared" ca="1" si="31"/>
        <v>630</v>
      </c>
      <c r="Y119">
        <f t="shared" ca="1" si="32"/>
        <v>630</v>
      </c>
      <c r="Z119" s="5">
        <f ca="1">SUM(OFFSET(Demand!$H128,0,(COLUMN(A116)-1)*5,1,1))*N$2</f>
        <v>0</v>
      </c>
      <c r="AA119" s="5">
        <f ca="1">SUM(OFFSET(Demand!$H128,0,(COLUMN(B116)-1)*5,1,1))*O$2</f>
        <v>0</v>
      </c>
      <c r="AB119" s="5">
        <f ca="1">SUM(OFFSET(Demand!$H128,0,(COLUMN(C116)-1)*5,1,1))*P$2</f>
        <v>0</v>
      </c>
      <c r="AC119" s="5">
        <f ca="1">SUM(OFFSET(Demand!$H128,0,(COLUMN(D116)-1)*5,1,1))*Q$2</f>
        <v>0</v>
      </c>
      <c r="AD119" s="5">
        <f ca="1">SUM(OFFSET(Demand!$H128,0,(COLUMN(E116)-1)*5,1,1))*R$2</f>
        <v>0</v>
      </c>
      <c r="AE119" s="5">
        <f ca="1">SUM(OFFSET(Demand!$H128,0,(COLUMN(F116)-1)*5,1,1))*S$2</f>
        <v>0</v>
      </c>
      <c r="AF119" s="5">
        <f ca="1">SUM(OFFSET(Demand!$H128,0,(COLUMN(G116)-1)*5,1,1))*T$2</f>
        <v>0</v>
      </c>
      <c r="AG119" s="5">
        <f ca="1">SUM(OFFSET(Demand!$H128,0,(COLUMN(H116)-1)*5,1,1))*U$2</f>
        <v>0</v>
      </c>
      <c r="AH119" s="5">
        <f ca="1">SUM(OFFSET(Demand!$H128,0,(COLUMN(I116)-1)*5,1,1))*V$2</f>
        <v>0</v>
      </c>
      <c r="AI119" s="5">
        <f ca="1">SUM(OFFSET(Demand!$H128,0,(COLUMN(J116)-1)*5,1,1))*W$2</f>
        <v>0</v>
      </c>
      <c r="AJ119" s="5">
        <f t="shared" ca="1" si="33"/>
        <v>0</v>
      </c>
      <c r="AL119" s="5">
        <f t="shared" ca="1" si="34"/>
        <v>630</v>
      </c>
      <c r="AM119" s="5">
        <f t="shared" ca="1" si="35"/>
        <v>0</v>
      </c>
      <c r="AN119" s="5" t="str">
        <f>IF(Demand!BE128="Yes","Yes","")</f>
        <v/>
      </c>
      <c r="AP119" s="37" t="str">
        <f ca="1">Demand!B128</f>
        <v xml:space="preserve"> </v>
      </c>
      <c r="AQ119" t="str">
        <f ca="1">IF(TEXT(Demand!D128,"MMM")&lt;&gt;TEXT(Demand!D127,"MMM"),TEXT(Demand!D128,"MMM"),"")</f>
        <v/>
      </c>
      <c r="AT119" s="5">
        <f t="shared" ca="1" si="37"/>
        <v>200</v>
      </c>
      <c r="BQ119">
        <f ca="1">IF($AN119="",OFFSET(Demand!$A$13,ROW(A116)-1,4+((QUOTIENT(COLUMN(BQ$2)-69,3))*5)+MOD(COLUMN(BQ$2),3),1,1),"")</f>
        <v>0</v>
      </c>
      <c r="BR119">
        <f ca="1">IF($AN119="",OFFSET(Demand!$A$13,ROW(B116)-1,4+((QUOTIENT(COLUMN(BR$2)-69,3))*5)+MOD(COLUMN(BR$2),3),1,1),"")</f>
        <v>0</v>
      </c>
      <c r="BS119">
        <f ca="1">IF($AN119="",OFFSET(Demand!$A$13,ROW(C116)-1,4+((QUOTIENT(COLUMN(BS$2)-69,3))*5)+MOD(COLUMN(BS$2),3),1,1),"")</f>
        <v>5</v>
      </c>
      <c r="BT119">
        <f ca="1">IF($AN119="",OFFSET(Demand!$A$13,ROW(D116)-1,4+((QUOTIENT(COLUMN(BT$2)-69,3))*5)+MOD(COLUMN(BT$2),3),1,1),"")</f>
        <v>0</v>
      </c>
      <c r="BU119">
        <f ca="1">IF($AN119="",OFFSET(Demand!$A$13,ROW(E116)-1,4+((QUOTIENT(COLUMN(BU$2)-69,3))*5)+MOD(COLUMN(BU$2),3),1,1),"")</f>
        <v>1</v>
      </c>
      <c r="BV119">
        <f ca="1">IF($AN119="",OFFSET(Demand!$A$13,ROW(F116)-1,4+((QUOTIENT(COLUMN(BV$2)-69,3))*5)+MOD(COLUMN(BV$2),3),1,1),"")</f>
        <v>11</v>
      </c>
      <c r="BW119">
        <f ca="1">IF($AN119="",OFFSET(Demand!$A$13,ROW(G116)-1,4+((QUOTIENT(COLUMN(BW$2)-69,3))*5)+MOD(COLUMN(BW$2),3),1,1),"")</f>
        <v>0</v>
      </c>
      <c r="BX119">
        <f ca="1">IF($AN119="",OFFSET(Demand!$A$13,ROW(H116)-1,4+((QUOTIENT(COLUMN(BX$2)-69,3))*5)+MOD(COLUMN(BX$2),3),1,1),"")</f>
        <v>0</v>
      </c>
      <c r="BY119">
        <f ca="1">IF($AN119="",OFFSET(Demand!$A$13,ROW(I116)-1,4+((QUOTIENT(COLUMN(BY$2)-69,3))*5)+MOD(COLUMN(BY$2),3),1,1),"")</f>
        <v>0</v>
      </c>
      <c r="BZ119">
        <f ca="1">IF($AN119="",OFFSET(Demand!$A$13,ROW(J116)-1,4+((QUOTIENT(COLUMN(BZ$2)-69,3))*5)+MOD(COLUMN(BZ$2),3),1,1),"")</f>
        <v>0</v>
      </c>
      <c r="CA119">
        <f ca="1">IF($AN119="",OFFSET(Demand!$A$13,ROW(K116)-1,4+((QUOTIENT(COLUMN(CA$2)-69,3))*5)+MOD(COLUMN(CA$2),3),1,1),"")</f>
        <v>0</v>
      </c>
      <c r="CB119">
        <f ca="1">IF($AN119="",OFFSET(Demand!$A$13,ROW(L116)-1,4+((QUOTIENT(COLUMN(CB$2)-69,3))*5)+MOD(COLUMN(CB$2),3),1,1),"")</f>
        <v>0</v>
      </c>
      <c r="CC119">
        <f ca="1">IF($AN119="",OFFSET(Demand!$A$13,ROW(M116)-1,4+((QUOTIENT(COLUMN(CC$2)-69,3))*5)+MOD(COLUMN(CC$2),3),1,1),"")</f>
        <v>0</v>
      </c>
      <c r="CD119">
        <f ca="1">IF($AN119="",OFFSET(Demand!$A$13,ROW(N116)-1,4+((QUOTIENT(COLUMN(CD$2)-69,3))*5)+MOD(COLUMN(CD$2),3),1,1),"")</f>
        <v>0</v>
      </c>
      <c r="CE119">
        <f ca="1">IF($AN119="",OFFSET(Demand!$A$13,ROW(O116)-1,4+((QUOTIENT(COLUMN(CE$2)-69,3))*5)+MOD(COLUMN(CE$2),3),1,1),"")</f>
        <v>0</v>
      </c>
      <c r="CF119">
        <f ca="1">IF($AN119="",OFFSET(Demand!$A$13,ROW(P116)-1,4+((QUOTIENT(COLUMN(CF$2)-69,3))*5)+MOD(COLUMN(CF$2),3),1,1),"")</f>
        <v>0</v>
      </c>
      <c r="CG119">
        <f ca="1">IF($AN119="",OFFSET(Demand!$A$13,ROW(Q116)-1,4+((QUOTIENT(COLUMN(CG$2)-69,3))*5)+MOD(COLUMN(CG$2),3),1,1),"")</f>
        <v>0</v>
      </c>
      <c r="CH119">
        <f ca="1">IF($AN119="",OFFSET(Demand!$A$13,ROW(R116)-1,4+((QUOTIENT(COLUMN(CH$2)-69,3))*5)+MOD(COLUMN(CH$2),3),1,1),"")</f>
        <v>0</v>
      </c>
      <c r="CI119">
        <f ca="1">IF($AN119="",OFFSET(Demand!$A$13,ROW(S116)-1,4+((QUOTIENT(COLUMN(CI$2)-69,3))*5)+MOD(COLUMN(CI$2),3),1,1),"")</f>
        <v>0</v>
      </c>
      <c r="CJ119">
        <f ca="1">IF($AN119="",OFFSET(Demand!$A$13,ROW(T116)-1,4+((QUOTIENT(COLUMN(CJ$2)-69,3))*5)+MOD(COLUMN(CJ$2),3),1,1),"")</f>
        <v>0</v>
      </c>
      <c r="CK119">
        <f ca="1">IF($AN119="",OFFSET(Demand!$A$13,ROW(U116)-1,4+((QUOTIENT(COLUMN(CK$2)-69,3))*5)+MOD(COLUMN(CK$2),3),1,1),"")</f>
        <v>0</v>
      </c>
      <c r="CL119">
        <f ca="1">IF($AN119="",OFFSET(Demand!$A$13,ROW(V116)-1,4+((QUOTIENT(COLUMN(CL$2)-69,3))*5)+MOD(COLUMN(CL$2),3),1,1),"")</f>
        <v>0</v>
      </c>
      <c r="CM119">
        <f ca="1">IF($AN119="",OFFSET(Demand!$A$13,ROW(W116)-1,4+((QUOTIENT(COLUMN(CM$2)-69,3))*5)+MOD(COLUMN(CM$2),3),1,1),"")</f>
        <v>0</v>
      </c>
      <c r="CN119">
        <f ca="1">IF($AN119="",OFFSET(Demand!$A$13,ROW(X116)-1,4+((QUOTIENT(COLUMN(CN$2)-69,3))*5)+MOD(COLUMN(CN$2),3),1,1),"")</f>
        <v>0</v>
      </c>
      <c r="CO119">
        <f ca="1">IF($AN119="",OFFSET(Demand!$A$13,ROW(Y116)-1,4+((QUOTIENT(COLUMN(CO$2)-69,3))*5)+MOD(COLUMN(CO$2),3),1,1),"")</f>
        <v>0</v>
      </c>
      <c r="CP119">
        <f ca="1">IF($AN119="",OFFSET(Demand!$A$13,ROW(Z116)-1,4+((QUOTIENT(COLUMN(CP$2)-69,3))*5)+MOD(COLUMN(CP$2),3),1,1),"")</f>
        <v>0</v>
      </c>
      <c r="CQ119">
        <f ca="1">IF($AN119="",OFFSET(Demand!$A$13,ROW(AA116)-1,4+((QUOTIENT(COLUMN(CQ$2)-69,3))*5)+MOD(COLUMN(CQ$2),3),1,1),"")</f>
        <v>0</v>
      </c>
      <c r="CR119">
        <f ca="1">IF($AN119="",OFFSET(Demand!$A$13,ROW(AB116)-1,4+((QUOTIENT(COLUMN(CR$2)-69,3))*5)+MOD(COLUMN(CR$2),3),1,1),"")</f>
        <v>0</v>
      </c>
      <c r="CS119">
        <f ca="1">IF($AN119="",OFFSET(Demand!$A$13,ROW(AC116)-1,4+((QUOTIENT(COLUMN(CS$2)-69,3))*5)+MOD(COLUMN(CS$2),3),1,1),"")</f>
        <v>0</v>
      </c>
      <c r="CT119">
        <f ca="1">IF($AN119="",OFFSET(Demand!$A$13,ROW(AD116)-1,4+((QUOTIENT(COLUMN(CT$2)-69,3))*5)+MOD(COLUMN(CT$2),3),1,1),"")</f>
        <v>0</v>
      </c>
      <c r="CW119" s="5">
        <f ca="1">SUM(OFFSET(Demand!$H$43,ROW(A116)-1,(COLUMN(A116)-1)*5,1,1))*N$2</f>
        <v>0</v>
      </c>
      <c r="CX119" s="5">
        <f ca="1">SUM(OFFSET(Demand!$H$43,ROW(B116)-1,(COLUMN(B116)-1)*5,1,1))*O$2</f>
        <v>0</v>
      </c>
      <c r="CY119" s="5">
        <f ca="1">SUM(OFFSET(Demand!$H$43,ROW(C116)-1,(COLUMN(C116)-1)*5,1,1))*P$2</f>
        <v>0</v>
      </c>
      <c r="CZ119" s="5">
        <f ca="1">SUM(OFFSET(Demand!$H$43,ROW(D116)-1,(COLUMN(D116)-1)*5,1,1))*Q$2</f>
        <v>0</v>
      </c>
      <c r="DA119" s="5">
        <f ca="1">SUM(OFFSET(Demand!$H$43,ROW(E116)-1,(COLUMN(E116)-1)*5,1,1))*R$2</f>
        <v>0</v>
      </c>
      <c r="DB119" s="5">
        <f ca="1">SUM(OFFSET(Demand!$H$43,ROW(F116)-1,(COLUMN(F116)-1)*5,1,1))*S$2</f>
        <v>0</v>
      </c>
      <c r="DC119" s="5">
        <f ca="1">SUM(OFFSET(Demand!$H$43,ROW(G116)-1,(COLUMN(G116)-1)*5,1,1))*T$2</f>
        <v>0</v>
      </c>
      <c r="DD119" s="5">
        <f ca="1">SUM(OFFSET(Demand!$H$43,ROW(H116)-1,(COLUMN(H116)-1)*5,1,1))*U$2</f>
        <v>0</v>
      </c>
      <c r="DE119" s="5">
        <f ca="1">SUM(OFFSET(Demand!$H$43,ROW(I116)-1,(COLUMN(I116)-1)*5,1,1))*V$2</f>
        <v>0</v>
      </c>
      <c r="DF119" s="5">
        <f ca="1">SUM(OFFSET(Demand!$H$43,ROW(J116)-1,(COLUMN(J116)-1)*5,1,1))*W$2</f>
        <v>0</v>
      </c>
      <c r="DG119" s="5">
        <f t="shared" ca="1" si="36"/>
        <v>0</v>
      </c>
    </row>
    <row r="120" spans="1:111" x14ac:dyDescent="0.2">
      <c r="A120" s="5">
        <f t="shared" ref="A120:A183" ca="1" si="38">SUM(OFFSET(B120,0,0,1,Num_Modalities))</f>
        <v>0</v>
      </c>
      <c r="B120" s="5">
        <f ca="1">COUNTBLANK(OFFSET(Demand!$I129,0,(COLUMN(A117)-1)*5,1,1))</f>
        <v>0</v>
      </c>
      <c r="C120" s="5">
        <f ca="1">COUNTBLANK(OFFSET(Demand!$I129,0,(COLUMN(B117)-1)*5,1,1))</f>
        <v>0</v>
      </c>
      <c r="D120" s="5">
        <f ca="1">COUNTBLANK(OFFSET(Demand!$I129,0,(COLUMN(C117)-1)*5,1,1))</f>
        <v>1</v>
      </c>
      <c r="E120" s="5">
        <f ca="1">COUNTBLANK(OFFSET(Demand!$I129,0,(COLUMN(D117)-1)*5,1,1))</f>
        <v>1</v>
      </c>
      <c r="F120" s="5">
        <f ca="1">COUNTBLANK(OFFSET(Demand!$I129,0,(COLUMN(E117)-1)*5,1,1))</f>
        <v>1</v>
      </c>
      <c r="G120" s="5">
        <f ca="1">COUNTBLANK(OFFSET(Demand!$I129,0,(COLUMN(F117)-1)*5,1,1))</f>
        <v>1</v>
      </c>
      <c r="H120" s="5">
        <f ca="1">COUNTBLANK(OFFSET(Demand!$I129,0,(COLUMN(G117)-1)*5,1,1))</f>
        <v>1</v>
      </c>
      <c r="I120" s="5">
        <f ca="1">COUNTBLANK(OFFSET(Demand!$I129,0,(COLUMN(H117)-1)*5,1,1))</f>
        <v>1</v>
      </c>
      <c r="J120" s="5">
        <f ca="1">COUNTBLANK(OFFSET(Demand!$I129,0,(COLUMN(I117)-1)*5,1,1))</f>
        <v>1</v>
      </c>
      <c r="K120" s="5">
        <f ca="1">COUNTBLANK(OFFSET(Demand!$I129,0,(COLUMN(J117)-1)*5,1,1))</f>
        <v>1</v>
      </c>
      <c r="N120" s="5">
        <f ca="1">SUM(OFFSET(Demand!$E129,0,(COLUMN(A117)-1)*5,1,3))*N$2</f>
        <v>180</v>
      </c>
      <c r="O120" s="5">
        <f ca="1">SUM(OFFSET(Demand!$E129,0,(COLUMN(B117)-1)*5,1,3))*O$2</f>
        <v>360</v>
      </c>
      <c r="P120" s="5">
        <f ca="1">SUM(OFFSET(Demand!$E129,0,(COLUMN(C117)-1)*5,1,3))*P$2</f>
        <v>0</v>
      </c>
      <c r="Q120" s="5">
        <f ca="1">SUM(OFFSET(Demand!$E129,0,(COLUMN(D117)-1)*5,1,3))*Q$2</f>
        <v>0</v>
      </c>
      <c r="R120" s="5">
        <f ca="1">SUM(OFFSET(Demand!$E129,0,(COLUMN(E117)-1)*5,1,3))*R$2</f>
        <v>0</v>
      </c>
      <c r="S120" s="5">
        <f ca="1">SUM(OFFSET(Demand!$E129,0,(COLUMN(F117)-1)*5,1,3))*S$2</f>
        <v>0</v>
      </c>
      <c r="T120" s="5">
        <f ca="1">SUM(OFFSET(Demand!$E129,0,(COLUMN(G117)-1)*5,1,3))*T$2</f>
        <v>0</v>
      </c>
      <c r="U120" s="5">
        <f ca="1">SUM(OFFSET(Demand!$E129,0,(COLUMN(H117)-1)*5,1,3))*U$2</f>
        <v>0</v>
      </c>
      <c r="V120" s="5">
        <f ca="1">SUM(OFFSET(Demand!$E129,0,(COLUMN(I117)-1)*5,1,3))*V$2</f>
        <v>0</v>
      </c>
      <c r="W120" s="5">
        <f ca="1">SUM(OFFSET(Demand!$E129,0,(COLUMN(J117)-1)*5,1,3))*W$2</f>
        <v>0</v>
      </c>
      <c r="X120" s="5">
        <f t="shared" ca="1" si="31"/>
        <v>540</v>
      </c>
      <c r="Y120">
        <f t="shared" ca="1" si="32"/>
        <v>540</v>
      </c>
      <c r="Z120" s="5">
        <f ca="1">SUM(OFFSET(Demand!$H129,0,(COLUMN(A117)-1)*5,1,1))*N$2</f>
        <v>0</v>
      </c>
      <c r="AA120" s="5">
        <f ca="1">SUM(OFFSET(Demand!$H129,0,(COLUMN(B117)-1)*5,1,1))*O$2</f>
        <v>0</v>
      </c>
      <c r="AB120" s="5">
        <f ca="1">SUM(OFFSET(Demand!$H129,0,(COLUMN(C117)-1)*5,1,1))*P$2</f>
        <v>0</v>
      </c>
      <c r="AC120" s="5">
        <f ca="1">SUM(OFFSET(Demand!$H129,0,(COLUMN(D117)-1)*5,1,1))*Q$2</f>
        <v>0</v>
      </c>
      <c r="AD120" s="5">
        <f ca="1">SUM(OFFSET(Demand!$H129,0,(COLUMN(E117)-1)*5,1,1))*R$2</f>
        <v>0</v>
      </c>
      <c r="AE120" s="5">
        <f ca="1">SUM(OFFSET(Demand!$H129,0,(COLUMN(F117)-1)*5,1,1))*S$2</f>
        <v>0</v>
      </c>
      <c r="AF120" s="5">
        <f ca="1">SUM(OFFSET(Demand!$H129,0,(COLUMN(G117)-1)*5,1,1))*T$2</f>
        <v>0</v>
      </c>
      <c r="AG120" s="5">
        <f ca="1">SUM(OFFSET(Demand!$H129,0,(COLUMN(H117)-1)*5,1,1))*U$2</f>
        <v>0</v>
      </c>
      <c r="AH120" s="5">
        <f ca="1">SUM(OFFSET(Demand!$H129,0,(COLUMN(I117)-1)*5,1,1))*V$2</f>
        <v>0</v>
      </c>
      <c r="AI120" s="5">
        <f ca="1">SUM(OFFSET(Demand!$H129,0,(COLUMN(J117)-1)*5,1,1))*W$2</f>
        <v>0</v>
      </c>
      <c r="AJ120" s="5">
        <f t="shared" ca="1" si="33"/>
        <v>0</v>
      </c>
      <c r="AL120" s="5">
        <f t="shared" ca="1" si="34"/>
        <v>540</v>
      </c>
      <c r="AM120" s="5">
        <f t="shared" ca="1" si="35"/>
        <v>0</v>
      </c>
      <c r="AN120" s="5" t="str">
        <f>IF(Demand!BE129="Yes","Yes","")</f>
        <v/>
      </c>
      <c r="AP120" s="37" t="str">
        <f ca="1">Demand!B129</f>
        <v xml:space="preserve"> </v>
      </c>
      <c r="AQ120" t="str">
        <f ca="1">IF(TEXT(Demand!D129,"MMM")&lt;&gt;TEXT(Demand!D128,"MMM"),TEXT(Demand!D129,"MMM"),"")</f>
        <v/>
      </c>
      <c r="AT120" s="5">
        <f t="shared" ca="1" si="37"/>
        <v>90</v>
      </c>
      <c r="BQ120">
        <f ca="1">IF($AN120="",OFFSET(Demand!$A$13,ROW(A117)-1,4+((QUOTIENT(COLUMN(BQ$2)-69,3))*5)+MOD(COLUMN(BQ$2),3),1,1),"")</f>
        <v>0</v>
      </c>
      <c r="BR120">
        <f ca="1">IF($AN120="",OFFSET(Demand!$A$13,ROW(B117)-1,4+((QUOTIENT(COLUMN(BR$2)-69,3))*5)+MOD(COLUMN(BR$2),3),1,1),"")</f>
        <v>3</v>
      </c>
      <c r="BS120">
        <f ca="1">IF($AN120="",OFFSET(Demand!$A$13,ROW(C117)-1,4+((QUOTIENT(COLUMN(BS$2)-69,3))*5)+MOD(COLUMN(BS$2),3),1,1),"")</f>
        <v>3</v>
      </c>
      <c r="BT120">
        <f ca="1">IF($AN120="",OFFSET(Demand!$A$13,ROW(D117)-1,4+((QUOTIENT(COLUMN(BT$2)-69,3))*5)+MOD(COLUMN(BT$2),3),1,1),"")</f>
        <v>0</v>
      </c>
      <c r="BU120">
        <f ca="1">IF($AN120="",OFFSET(Demand!$A$13,ROW(E117)-1,4+((QUOTIENT(COLUMN(BU$2)-69,3))*5)+MOD(COLUMN(BU$2),3),1,1),"")</f>
        <v>0</v>
      </c>
      <c r="BV120">
        <f ca="1">IF($AN120="",OFFSET(Demand!$A$13,ROW(F117)-1,4+((QUOTIENT(COLUMN(BV$2)-69,3))*5)+MOD(COLUMN(BV$2),3),1,1),"")</f>
        <v>9</v>
      </c>
      <c r="BW120">
        <f ca="1">IF($AN120="",OFFSET(Demand!$A$13,ROW(G117)-1,4+((QUOTIENT(COLUMN(BW$2)-69,3))*5)+MOD(COLUMN(BW$2),3),1,1),"")</f>
        <v>0</v>
      </c>
      <c r="BX120">
        <f ca="1">IF($AN120="",OFFSET(Demand!$A$13,ROW(H117)-1,4+((QUOTIENT(COLUMN(BX$2)-69,3))*5)+MOD(COLUMN(BX$2),3),1,1),"")</f>
        <v>0</v>
      </c>
      <c r="BY120">
        <f ca="1">IF($AN120="",OFFSET(Demand!$A$13,ROW(I117)-1,4+((QUOTIENT(COLUMN(BY$2)-69,3))*5)+MOD(COLUMN(BY$2),3),1,1),"")</f>
        <v>0</v>
      </c>
      <c r="BZ120">
        <f ca="1">IF($AN120="",OFFSET(Demand!$A$13,ROW(J117)-1,4+((QUOTIENT(COLUMN(BZ$2)-69,3))*5)+MOD(COLUMN(BZ$2),3),1,1),"")</f>
        <v>0</v>
      </c>
      <c r="CA120">
        <f ca="1">IF($AN120="",OFFSET(Demand!$A$13,ROW(K117)-1,4+((QUOTIENT(COLUMN(CA$2)-69,3))*5)+MOD(COLUMN(CA$2),3),1,1),"")</f>
        <v>0</v>
      </c>
      <c r="CB120">
        <f ca="1">IF($AN120="",OFFSET(Demand!$A$13,ROW(L117)-1,4+((QUOTIENT(COLUMN(CB$2)-69,3))*5)+MOD(COLUMN(CB$2),3),1,1),"")</f>
        <v>0</v>
      </c>
      <c r="CC120">
        <f ca="1">IF($AN120="",OFFSET(Demand!$A$13,ROW(M117)-1,4+((QUOTIENT(COLUMN(CC$2)-69,3))*5)+MOD(COLUMN(CC$2),3),1,1),"")</f>
        <v>0</v>
      </c>
      <c r="CD120">
        <f ca="1">IF($AN120="",OFFSET(Demand!$A$13,ROW(N117)-1,4+((QUOTIENT(COLUMN(CD$2)-69,3))*5)+MOD(COLUMN(CD$2),3),1,1),"")</f>
        <v>0</v>
      </c>
      <c r="CE120">
        <f ca="1">IF($AN120="",OFFSET(Demand!$A$13,ROW(O117)-1,4+((QUOTIENT(COLUMN(CE$2)-69,3))*5)+MOD(COLUMN(CE$2),3),1,1),"")</f>
        <v>0</v>
      </c>
      <c r="CF120">
        <f ca="1">IF($AN120="",OFFSET(Demand!$A$13,ROW(P117)-1,4+((QUOTIENT(COLUMN(CF$2)-69,3))*5)+MOD(COLUMN(CF$2),3),1,1),"")</f>
        <v>0</v>
      </c>
      <c r="CG120">
        <f ca="1">IF($AN120="",OFFSET(Demand!$A$13,ROW(Q117)-1,4+((QUOTIENT(COLUMN(CG$2)-69,3))*5)+MOD(COLUMN(CG$2),3),1,1),"")</f>
        <v>0</v>
      </c>
      <c r="CH120">
        <f ca="1">IF($AN120="",OFFSET(Demand!$A$13,ROW(R117)-1,4+((QUOTIENT(COLUMN(CH$2)-69,3))*5)+MOD(COLUMN(CH$2),3),1,1),"")</f>
        <v>0</v>
      </c>
      <c r="CI120">
        <f ca="1">IF($AN120="",OFFSET(Demand!$A$13,ROW(S117)-1,4+((QUOTIENT(COLUMN(CI$2)-69,3))*5)+MOD(COLUMN(CI$2),3),1,1),"")</f>
        <v>0</v>
      </c>
      <c r="CJ120">
        <f ca="1">IF($AN120="",OFFSET(Demand!$A$13,ROW(T117)-1,4+((QUOTIENT(COLUMN(CJ$2)-69,3))*5)+MOD(COLUMN(CJ$2),3),1,1),"")</f>
        <v>0</v>
      </c>
      <c r="CK120">
        <f ca="1">IF($AN120="",OFFSET(Demand!$A$13,ROW(U117)-1,4+((QUOTIENT(COLUMN(CK$2)-69,3))*5)+MOD(COLUMN(CK$2),3),1,1),"")</f>
        <v>0</v>
      </c>
      <c r="CL120">
        <f ca="1">IF($AN120="",OFFSET(Demand!$A$13,ROW(V117)-1,4+((QUOTIENT(COLUMN(CL$2)-69,3))*5)+MOD(COLUMN(CL$2),3),1,1),"")</f>
        <v>0</v>
      </c>
      <c r="CM120">
        <f ca="1">IF($AN120="",OFFSET(Demand!$A$13,ROW(W117)-1,4+((QUOTIENT(COLUMN(CM$2)-69,3))*5)+MOD(COLUMN(CM$2),3),1,1),"")</f>
        <v>0</v>
      </c>
      <c r="CN120">
        <f ca="1">IF($AN120="",OFFSET(Demand!$A$13,ROW(X117)-1,4+((QUOTIENT(COLUMN(CN$2)-69,3))*5)+MOD(COLUMN(CN$2),3),1,1),"")</f>
        <v>0</v>
      </c>
      <c r="CO120">
        <f ca="1">IF($AN120="",OFFSET(Demand!$A$13,ROW(Y117)-1,4+((QUOTIENT(COLUMN(CO$2)-69,3))*5)+MOD(COLUMN(CO$2),3),1,1),"")</f>
        <v>0</v>
      </c>
      <c r="CP120">
        <f ca="1">IF($AN120="",OFFSET(Demand!$A$13,ROW(Z117)-1,4+((QUOTIENT(COLUMN(CP$2)-69,3))*5)+MOD(COLUMN(CP$2),3),1,1),"")</f>
        <v>0</v>
      </c>
      <c r="CQ120">
        <f ca="1">IF($AN120="",OFFSET(Demand!$A$13,ROW(AA117)-1,4+((QUOTIENT(COLUMN(CQ$2)-69,3))*5)+MOD(COLUMN(CQ$2),3),1,1),"")</f>
        <v>0</v>
      </c>
      <c r="CR120">
        <f ca="1">IF($AN120="",OFFSET(Demand!$A$13,ROW(AB117)-1,4+((QUOTIENT(COLUMN(CR$2)-69,3))*5)+MOD(COLUMN(CR$2),3),1,1),"")</f>
        <v>0</v>
      </c>
      <c r="CS120">
        <f ca="1">IF($AN120="",OFFSET(Demand!$A$13,ROW(AC117)-1,4+((QUOTIENT(COLUMN(CS$2)-69,3))*5)+MOD(COLUMN(CS$2),3),1,1),"")</f>
        <v>0</v>
      </c>
      <c r="CT120">
        <f ca="1">IF($AN120="",OFFSET(Demand!$A$13,ROW(AD117)-1,4+((QUOTIENT(COLUMN(CT$2)-69,3))*5)+MOD(COLUMN(CT$2),3),1,1),"")</f>
        <v>0</v>
      </c>
      <c r="CW120" s="5">
        <f ca="1">SUM(OFFSET(Demand!$H$43,ROW(A117)-1,(COLUMN(A117)-1)*5,1,1))*N$2</f>
        <v>0</v>
      </c>
      <c r="CX120" s="5">
        <f ca="1">SUM(OFFSET(Demand!$H$43,ROW(B117)-1,(COLUMN(B117)-1)*5,1,1))*O$2</f>
        <v>0</v>
      </c>
      <c r="CY120" s="5">
        <f ca="1">SUM(OFFSET(Demand!$H$43,ROW(C117)-1,(COLUMN(C117)-1)*5,1,1))*P$2</f>
        <v>0</v>
      </c>
      <c r="CZ120" s="5">
        <f ca="1">SUM(OFFSET(Demand!$H$43,ROW(D117)-1,(COLUMN(D117)-1)*5,1,1))*Q$2</f>
        <v>0</v>
      </c>
      <c r="DA120" s="5">
        <f ca="1">SUM(OFFSET(Demand!$H$43,ROW(E117)-1,(COLUMN(E117)-1)*5,1,1))*R$2</f>
        <v>0</v>
      </c>
      <c r="DB120" s="5">
        <f ca="1">SUM(OFFSET(Demand!$H$43,ROW(F117)-1,(COLUMN(F117)-1)*5,1,1))*S$2</f>
        <v>0</v>
      </c>
      <c r="DC120" s="5">
        <f ca="1">SUM(OFFSET(Demand!$H$43,ROW(G117)-1,(COLUMN(G117)-1)*5,1,1))*T$2</f>
        <v>0</v>
      </c>
      <c r="DD120" s="5">
        <f ca="1">SUM(OFFSET(Demand!$H$43,ROW(H117)-1,(COLUMN(H117)-1)*5,1,1))*U$2</f>
        <v>0</v>
      </c>
      <c r="DE120" s="5">
        <f ca="1">SUM(OFFSET(Demand!$H$43,ROW(I117)-1,(COLUMN(I117)-1)*5,1,1))*V$2</f>
        <v>0</v>
      </c>
      <c r="DF120" s="5">
        <f ca="1">SUM(OFFSET(Demand!$H$43,ROW(J117)-1,(COLUMN(J117)-1)*5,1,1))*W$2</f>
        <v>0</v>
      </c>
      <c r="DG120" s="5">
        <f t="shared" ca="1" si="36"/>
        <v>0</v>
      </c>
    </row>
    <row r="121" spans="1:111" x14ac:dyDescent="0.2">
      <c r="A121" s="5">
        <f t="shared" ca="1" si="38"/>
        <v>0</v>
      </c>
      <c r="B121" s="5">
        <f ca="1">COUNTBLANK(OFFSET(Demand!$I130,0,(COLUMN(A118)-1)*5,1,1))</f>
        <v>0</v>
      </c>
      <c r="C121" s="5">
        <f ca="1">COUNTBLANK(OFFSET(Demand!$I130,0,(COLUMN(B118)-1)*5,1,1))</f>
        <v>0</v>
      </c>
      <c r="D121" s="5">
        <f ca="1">COUNTBLANK(OFFSET(Demand!$I130,0,(COLUMN(C118)-1)*5,1,1))</f>
        <v>1</v>
      </c>
      <c r="E121" s="5">
        <f ca="1">COUNTBLANK(OFFSET(Demand!$I130,0,(COLUMN(D118)-1)*5,1,1))</f>
        <v>1</v>
      </c>
      <c r="F121" s="5">
        <f ca="1">COUNTBLANK(OFFSET(Demand!$I130,0,(COLUMN(E118)-1)*5,1,1))</f>
        <v>1</v>
      </c>
      <c r="G121" s="5">
        <f ca="1">COUNTBLANK(OFFSET(Demand!$I130,0,(COLUMN(F118)-1)*5,1,1))</f>
        <v>1</v>
      </c>
      <c r="H121" s="5">
        <f ca="1">COUNTBLANK(OFFSET(Demand!$I130,0,(COLUMN(G118)-1)*5,1,1))</f>
        <v>1</v>
      </c>
      <c r="I121" s="5">
        <f ca="1">COUNTBLANK(OFFSET(Demand!$I130,0,(COLUMN(H118)-1)*5,1,1))</f>
        <v>1</v>
      </c>
      <c r="J121" s="5">
        <f ca="1">COUNTBLANK(OFFSET(Demand!$I130,0,(COLUMN(I118)-1)*5,1,1))</f>
        <v>1</v>
      </c>
      <c r="K121" s="5">
        <f ca="1">COUNTBLANK(OFFSET(Demand!$I130,0,(COLUMN(J118)-1)*5,1,1))</f>
        <v>1</v>
      </c>
      <c r="N121" s="5">
        <f ca="1">SUM(OFFSET(Demand!$E130,0,(COLUMN(A118)-1)*5,1,3))*N$2</f>
        <v>90</v>
      </c>
      <c r="O121" s="5">
        <f ca="1">SUM(OFFSET(Demand!$E130,0,(COLUMN(B118)-1)*5,1,3))*O$2</f>
        <v>320</v>
      </c>
      <c r="P121" s="5">
        <f ca="1">SUM(OFFSET(Demand!$E130,0,(COLUMN(C118)-1)*5,1,3))*P$2</f>
        <v>0</v>
      </c>
      <c r="Q121" s="5">
        <f ca="1">SUM(OFFSET(Demand!$E130,0,(COLUMN(D118)-1)*5,1,3))*Q$2</f>
        <v>0</v>
      </c>
      <c r="R121" s="5">
        <f ca="1">SUM(OFFSET(Demand!$E130,0,(COLUMN(E118)-1)*5,1,3))*R$2</f>
        <v>0</v>
      </c>
      <c r="S121" s="5">
        <f ca="1">SUM(OFFSET(Demand!$E130,0,(COLUMN(F118)-1)*5,1,3))*S$2</f>
        <v>0</v>
      </c>
      <c r="T121" s="5">
        <f ca="1">SUM(OFFSET(Demand!$E130,0,(COLUMN(G118)-1)*5,1,3))*T$2</f>
        <v>0</v>
      </c>
      <c r="U121" s="5">
        <f ca="1">SUM(OFFSET(Demand!$E130,0,(COLUMN(H118)-1)*5,1,3))*U$2</f>
        <v>0</v>
      </c>
      <c r="V121" s="5">
        <f ca="1">SUM(OFFSET(Demand!$E130,0,(COLUMN(I118)-1)*5,1,3))*V$2</f>
        <v>0</v>
      </c>
      <c r="W121" s="5">
        <f ca="1">SUM(OFFSET(Demand!$E130,0,(COLUMN(J118)-1)*5,1,3))*W$2</f>
        <v>0</v>
      </c>
      <c r="X121" s="5">
        <f t="shared" ca="1" si="31"/>
        <v>410</v>
      </c>
      <c r="Y121">
        <f t="shared" ca="1" si="32"/>
        <v>410</v>
      </c>
      <c r="Z121" s="5">
        <f ca="1">SUM(OFFSET(Demand!$H130,0,(COLUMN(A118)-1)*5,1,1))*N$2</f>
        <v>0</v>
      </c>
      <c r="AA121" s="5">
        <f ca="1">SUM(OFFSET(Demand!$H130,0,(COLUMN(B118)-1)*5,1,1))*O$2</f>
        <v>0</v>
      </c>
      <c r="AB121" s="5">
        <f ca="1">SUM(OFFSET(Demand!$H130,0,(COLUMN(C118)-1)*5,1,1))*P$2</f>
        <v>0</v>
      </c>
      <c r="AC121" s="5">
        <f ca="1">SUM(OFFSET(Demand!$H130,0,(COLUMN(D118)-1)*5,1,1))*Q$2</f>
        <v>0</v>
      </c>
      <c r="AD121" s="5">
        <f ca="1">SUM(OFFSET(Demand!$H130,0,(COLUMN(E118)-1)*5,1,1))*R$2</f>
        <v>0</v>
      </c>
      <c r="AE121" s="5">
        <f ca="1">SUM(OFFSET(Demand!$H130,0,(COLUMN(F118)-1)*5,1,1))*S$2</f>
        <v>0</v>
      </c>
      <c r="AF121" s="5">
        <f ca="1">SUM(OFFSET(Demand!$H130,0,(COLUMN(G118)-1)*5,1,1))*T$2</f>
        <v>0</v>
      </c>
      <c r="AG121" s="5">
        <f ca="1">SUM(OFFSET(Demand!$H130,0,(COLUMN(H118)-1)*5,1,1))*U$2</f>
        <v>0</v>
      </c>
      <c r="AH121" s="5">
        <f ca="1">SUM(OFFSET(Demand!$H130,0,(COLUMN(I118)-1)*5,1,1))*V$2</f>
        <v>0</v>
      </c>
      <c r="AI121" s="5">
        <f ca="1">SUM(OFFSET(Demand!$H130,0,(COLUMN(J118)-1)*5,1,1))*W$2</f>
        <v>0</v>
      </c>
      <c r="AJ121" s="5">
        <f t="shared" ca="1" si="33"/>
        <v>0</v>
      </c>
      <c r="AL121" s="5">
        <f t="shared" ca="1" si="34"/>
        <v>410</v>
      </c>
      <c r="AM121" s="5">
        <f t="shared" ca="1" si="35"/>
        <v>0</v>
      </c>
      <c r="AN121" s="5" t="str">
        <f>IF(Demand!BE130="Yes","Yes","")</f>
        <v/>
      </c>
      <c r="AP121" s="37" t="str">
        <f ca="1">Demand!B130</f>
        <v xml:space="preserve"> </v>
      </c>
      <c r="AQ121" t="str">
        <f ca="1">IF(TEXT(Demand!D130,"MMM")&lt;&gt;TEXT(Demand!D129,"MMM"),TEXT(Demand!D130,"MMM"),"")</f>
        <v/>
      </c>
      <c r="AT121" s="5">
        <f t="shared" ca="1" si="37"/>
        <v>130</v>
      </c>
      <c r="BQ121">
        <f ca="1">IF($AN121="",OFFSET(Demand!$A$13,ROW(A118)-1,4+((QUOTIENT(COLUMN(BQ$2)-69,3))*5)+MOD(COLUMN(BQ$2),3),1,1),"")</f>
        <v>0</v>
      </c>
      <c r="BR121">
        <f ca="1">IF($AN121="",OFFSET(Demand!$A$13,ROW(B118)-1,4+((QUOTIENT(COLUMN(BR$2)-69,3))*5)+MOD(COLUMN(BR$2),3),1,1),"")</f>
        <v>0</v>
      </c>
      <c r="BS121">
        <f ca="1">IF($AN121="",OFFSET(Demand!$A$13,ROW(C118)-1,4+((QUOTIENT(COLUMN(BS$2)-69,3))*5)+MOD(COLUMN(BS$2),3),1,1),"")</f>
        <v>3</v>
      </c>
      <c r="BT121">
        <f ca="1">IF($AN121="",OFFSET(Demand!$A$13,ROW(D118)-1,4+((QUOTIENT(COLUMN(BT$2)-69,3))*5)+MOD(COLUMN(BT$2),3),1,1),"")</f>
        <v>0</v>
      </c>
      <c r="BU121">
        <f ca="1">IF($AN121="",OFFSET(Demand!$A$13,ROW(E118)-1,4+((QUOTIENT(COLUMN(BU$2)-69,3))*5)+MOD(COLUMN(BU$2),3),1,1),"")</f>
        <v>2</v>
      </c>
      <c r="BV121">
        <f ca="1">IF($AN121="",OFFSET(Demand!$A$13,ROW(F118)-1,4+((QUOTIENT(COLUMN(BV$2)-69,3))*5)+MOD(COLUMN(BV$2),3),1,1),"")</f>
        <v>6</v>
      </c>
      <c r="BW121">
        <f ca="1">IF($AN121="",OFFSET(Demand!$A$13,ROW(G118)-1,4+((QUOTIENT(COLUMN(BW$2)-69,3))*5)+MOD(COLUMN(BW$2),3),1,1),"")</f>
        <v>0</v>
      </c>
      <c r="BX121">
        <f ca="1">IF($AN121="",OFFSET(Demand!$A$13,ROW(H118)-1,4+((QUOTIENT(COLUMN(BX$2)-69,3))*5)+MOD(COLUMN(BX$2),3),1,1),"")</f>
        <v>0</v>
      </c>
      <c r="BY121">
        <f ca="1">IF($AN121="",OFFSET(Demand!$A$13,ROW(I118)-1,4+((QUOTIENT(COLUMN(BY$2)-69,3))*5)+MOD(COLUMN(BY$2),3),1,1),"")</f>
        <v>0</v>
      </c>
      <c r="BZ121">
        <f ca="1">IF($AN121="",OFFSET(Demand!$A$13,ROW(J118)-1,4+((QUOTIENT(COLUMN(BZ$2)-69,3))*5)+MOD(COLUMN(BZ$2),3),1,1),"")</f>
        <v>0</v>
      </c>
      <c r="CA121">
        <f ca="1">IF($AN121="",OFFSET(Demand!$A$13,ROW(K118)-1,4+((QUOTIENT(COLUMN(CA$2)-69,3))*5)+MOD(COLUMN(CA$2),3),1,1),"")</f>
        <v>0</v>
      </c>
      <c r="CB121">
        <f ca="1">IF($AN121="",OFFSET(Demand!$A$13,ROW(L118)-1,4+((QUOTIENT(COLUMN(CB$2)-69,3))*5)+MOD(COLUMN(CB$2),3),1,1),"")</f>
        <v>0</v>
      </c>
      <c r="CC121">
        <f ca="1">IF($AN121="",OFFSET(Demand!$A$13,ROW(M118)-1,4+((QUOTIENT(COLUMN(CC$2)-69,3))*5)+MOD(COLUMN(CC$2),3),1,1),"")</f>
        <v>0</v>
      </c>
      <c r="CD121">
        <f ca="1">IF($AN121="",OFFSET(Demand!$A$13,ROW(N118)-1,4+((QUOTIENT(COLUMN(CD$2)-69,3))*5)+MOD(COLUMN(CD$2),3),1,1),"")</f>
        <v>0</v>
      </c>
      <c r="CE121">
        <f ca="1">IF($AN121="",OFFSET(Demand!$A$13,ROW(O118)-1,4+((QUOTIENT(COLUMN(CE$2)-69,3))*5)+MOD(COLUMN(CE$2),3),1,1),"")</f>
        <v>0</v>
      </c>
      <c r="CF121">
        <f ca="1">IF($AN121="",OFFSET(Demand!$A$13,ROW(P118)-1,4+((QUOTIENT(COLUMN(CF$2)-69,3))*5)+MOD(COLUMN(CF$2),3),1,1),"")</f>
        <v>0</v>
      </c>
      <c r="CG121">
        <f ca="1">IF($AN121="",OFFSET(Demand!$A$13,ROW(Q118)-1,4+((QUOTIENT(COLUMN(CG$2)-69,3))*5)+MOD(COLUMN(CG$2),3),1,1),"")</f>
        <v>0</v>
      </c>
      <c r="CH121">
        <f ca="1">IF($AN121="",OFFSET(Demand!$A$13,ROW(R118)-1,4+((QUOTIENT(COLUMN(CH$2)-69,3))*5)+MOD(COLUMN(CH$2),3),1,1),"")</f>
        <v>0</v>
      </c>
      <c r="CI121">
        <f ca="1">IF($AN121="",OFFSET(Demand!$A$13,ROW(S118)-1,4+((QUOTIENT(COLUMN(CI$2)-69,3))*5)+MOD(COLUMN(CI$2),3),1,1),"")</f>
        <v>0</v>
      </c>
      <c r="CJ121">
        <f ca="1">IF($AN121="",OFFSET(Demand!$A$13,ROW(T118)-1,4+((QUOTIENT(COLUMN(CJ$2)-69,3))*5)+MOD(COLUMN(CJ$2),3),1,1),"")</f>
        <v>0</v>
      </c>
      <c r="CK121">
        <f ca="1">IF($AN121="",OFFSET(Demand!$A$13,ROW(U118)-1,4+((QUOTIENT(COLUMN(CK$2)-69,3))*5)+MOD(COLUMN(CK$2),3),1,1),"")</f>
        <v>0</v>
      </c>
      <c r="CL121">
        <f ca="1">IF($AN121="",OFFSET(Demand!$A$13,ROW(V118)-1,4+((QUOTIENT(COLUMN(CL$2)-69,3))*5)+MOD(COLUMN(CL$2),3),1,1),"")</f>
        <v>0</v>
      </c>
      <c r="CM121">
        <f ca="1">IF($AN121="",OFFSET(Demand!$A$13,ROW(W118)-1,4+((QUOTIENT(COLUMN(CM$2)-69,3))*5)+MOD(COLUMN(CM$2),3),1,1),"")</f>
        <v>0</v>
      </c>
      <c r="CN121">
        <f ca="1">IF($AN121="",OFFSET(Demand!$A$13,ROW(X118)-1,4+((QUOTIENT(COLUMN(CN$2)-69,3))*5)+MOD(COLUMN(CN$2),3),1,1),"")</f>
        <v>0</v>
      </c>
      <c r="CO121">
        <f ca="1">IF($AN121="",OFFSET(Demand!$A$13,ROW(Y118)-1,4+((QUOTIENT(COLUMN(CO$2)-69,3))*5)+MOD(COLUMN(CO$2),3),1,1),"")</f>
        <v>0</v>
      </c>
      <c r="CP121">
        <f ca="1">IF($AN121="",OFFSET(Demand!$A$13,ROW(Z118)-1,4+((QUOTIENT(COLUMN(CP$2)-69,3))*5)+MOD(COLUMN(CP$2),3),1,1),"")</f>
        <v>0</v>
      </c>
      <c r="CQ121">
        <f ca="1">IF($AN121="",OFFSET(Demand!$A$13,ROW(AA118)-1,4+((QUOTIENT(COLUMN(CQ$2)-69,3))*5)+MOD(COLUMN(CQ$2),3),1,1),"")</f>
        <v>0</v>
      </c>
      <c r="CR121">
        <f ca="1">IF($AN121="",OFFSET(Demand!$A$13,ROW(AB118)-1,4+((QUOTIENT(COLUMN(CR$2)-69,3))*5)+MOD(COLUMN(CR$2),3),1,1),"")</f>
        <v>0</v>
      </c>
      <c r="CS121">
        <f ca="1">IF($AN121="",OFFSET(Demand!$A$13,ROW(AC118)-1,4+((QUOTIENT(COLUMN(CS$2)-69,3))*5)+MOD(COLUMN(CS$2),3),1,1),"")</f>
        <v>0</v>
      </c>
      <c r="CT121">
        <f ca="1">IF($AN121="",OFFSET(Demand!$A$13,ROW(AD118)-1,4+((QUOTIENT(COLUMN(CT$2)-69,3))*5)+MOD(COLUMN(CT$2),3),1,1),"")</f>
        <v>0</v>
      </c>
      <c r="CW121" s="5">
        <f ca="1">SUM(OFFSET(Demand!$H$43,ROW(A118)-1,(COLUMN(A118)-1)*5,1,1))*N$2</f>
        <v>0</v>
      </c>
      <c r="CX121" s="5">
        <f ca="1">SUM(OFFSET(Demand!$H$43,ROW(B118)-1,(COLUMN(B118)-1)*5,1,1))*O$2</f>
        <v>0</v>
      </c>
      <c r="CY121" s="5">
        <f ca="1">SUM(OFFSET(Demand!$H$43,ROW(C118)-1,(COLUMN(C118)-1)*5,1,1))*P$2</f>
        <v>0</v>
      </c>
      <c r="CZ121" s="5">
        <f ca="1">SUM(OFFSET(Demand!$H$43,ROW(D118)-1,(COLUMN(D118)-1)*5,1,1))*Q$2</f>
        <v>0</v>
      </c>
      <c r="DA121" s="5">
        <f ca="1">SUM(OFFSET(Demand!$H$43,ROW(E118)-1,(COLUMN(E118)-1)*5,1,1))*R$2</f>
        <v>0</v>
      </c>
      <c r="DB121" s="5">
        <f ca="1">SUM(OFFSET(Demand!$H$43,ROW(F118)-1,(COLUMN(F118)-1)*5,1,1))*S$2</f>
        <v>0</v>
      </c>
      <c r="DC121" s="5">
        <f ca="1">SUM(OFFSET(Demand!$H$43,ROW(G118)-1,(COLUMN(G118)-1)*5,1,1))*T$2</f>
        <v>0</v>
      </c>
      <c r="DD121" s="5">
        <f ca="1">SUM(OFFSET(Demand!$H$43,ROW(H118)-1,(COLUMN(H118)-1)*5,1,1))*U$2</f>
        <v>0</v>
      </c>
      <c r="DE121" s="5">
        <f ca="1">SUM(OFFSET(Demand!$H$43,ROW(I118)-1,(COLUMN(I118)-1)*5,1,1))*V$2</f>
        <v>0</v>
      </c>
      <c r="DF121" s="5">
        <f ca="1">SUM(OFFSET(Demand!$H$43,ROW(J118)-1,(COLUMN(J118)-1)*5,1,1))*W$2</f>
        <v>0</v>
      </c>
      <c r="DG121" s="5">
        <f t="shared" ca="1" si="36"/>
        <v>0</v>
      </c>
    </row>
    <row r="122" spans="1:111" x14ac:dyDescent="0.2">
      <c r="A122" s="5">
        <f t="shared" ca="1" si="38"/>
        <v>0</v>
      </c>
      <c r="B122" s="5">
        <f ca="1">COUNTBLANK(OFFSET(Demand!$I131,0,(COLUMN(A119)-1)*5,1,1))</f>
        <v>0</v>
      </c>
      <c r="C122" s="5">
        <f ca="1">COUNTBLANK(OFFSET(Demand!$I131,0,(COLUMN(B119)-1)*5,1,1))</f>
        <v>0</v>
      </c>
      <c r="D122" s="5">
        <f ca="1">COUNTBLANK(OFFSET(Demand!$I131,0,(COLUMN(C119)-1)*5,1,1))</f>
        <v>1</v>
      </c>
      <c r="E122" s="5">
        <f ca="1">COUNTBLANK(OFFSET(Demand!$I131,0,(COLUMN(D119)-1)*5,1,1))</f>
        <v>1</v>
      </c>
      <c r="F122" s="5">
        <f ca="1">COUNTBLANK(OFFSET(Demand!$I131,0,(COLUMN(E119)-1)*5,1,1))</f>
        <v>1</v>
      </c>
      <c r="G122" s="5">
        <f ca="1">COUNTBLANK(OFFSET(Demand!$I131,0,(COLUMN(F119)-1)*5,1,1))</f>
        <v>1</v>
      </c>
      <c r="H122" s="5">
        <f ca="1">COUNTBLANK(OFFSET(Demand!$I131,0,(COLUMN(G119)-1)*5,1,1))</f>
        <v>1</v>
      </c>
      <c r="I122" s="5">
        <f ca="1">COUNTBLANK(OFFSET(Demand!$I131,0,(COLUMN(H119)-1)*5,1,1))</f>
        <v>1</v>
      </c>
      <c r="J122" s="5">
        <f ca="1">COUNTBLANK(OFFSET(Demand!$I131,0,(COLUMN(I119)-1)*5,1,1))</f>
        <v>1</v>
      </c>
      <c r="K122" s="5">
        <f ca="1">COUNTBLANK(OFFSET(Demand!$I131,0,(COLUMN(J119)-1)*5,1,1))</f>
        <v>1</v>
      </c>
      <c r="N122" s="5">
        <f ca="1">SUM(OFFSET(Demand!$E131,0,(COLUMN(A119)-1)*5,1,3))*N$2</f>
        <v>180</v>
      </c>
      <c r="O122" s="5">
        <f ca="1">SUM(OFFSET(Demand!$E131,0,(COLUMN(B119)-1)*5,1,3))*O$2</f>
        <v>280</v>
      </c>
      <c r="P122" s="5">
        <f ca="1">SUM(OFFSET(Demand!$E131,0,(COLUMN(C119)-1)*5,1,3))*P$2</f>
        <v>0</v>
      </c>
      <c r="Q122" s="5">
        <f ca="1">SUM(OFFSET(Demand!$E131,0,(COLUMN(D119)-1)*5,1,3))*Q$2</f>
        <v>0</v>
      </c>
      <c r="R122" s="5">
        <f ca="1">SUM(OFFSET(Demand!$E131,0,(COLUMN(E119)-1)*5,1,3))*R$2</f>
        <v>0</v>
      </c>
      <c r="S122" s="5">
        <f ca="1">SUM(OFFSET(Demand!$E131,0,(COLUMN(F119)-1)*5,1,3))*S$2</f>
        <v>0</v>
      </c>
      <c r="T122" s="5">
        <f ca="1">SUM(OFFSET(Demand!$E131,0,(COLUMN(G119)-1)*5,1,3))*T$2</f>
        <v>0</v>
      </c>
      <c r="U122" s="5">
        <f ca="1">SUM(OFFSET(Demand!$E131,0,(COLUMN(H119)-1)*5,1,3))*U$2</f>
        <v>0</v>
      </c>
      <c r="V122" s="5">
        <f ca="1">SUM(OFFSET(Demand!$E131,0,(COLUMN(I119)-1)*5,1,3))*V$2</f>
        <v>0</v>
      </c>
      <c r="W122" s="5">
        <f ca="1">SUM(OFFSET(Demand!$E131,0,(COLUMN(J119)-1)*5,1,3))*W$2</f>
        <v>0</v>
      </c>
      <c r="X122" s="5">
        <f t="shared" ca="1" si="31"/>
        <v>460</v>
      </c>
      <c r="Y122">
        <f t="shared" ca="1" si="32"/>
        <v>460</v>
      </c>
      <c r="Z122" s="5">
        <f ca="1">SUM(OFFSET(Demand!$H131,0,(COLUMN(A119)-1)*5,1,1))*N$2</f>
        <v>0</v>
      </c>
      <c r="AA122" s="5">
        <f ca="1">SUM(OFFSET(Demand!$H131,0,(COLUMN(B119)-1)*5,1,1))*O$2</f>
        <v>0</v>
      </c>
      <c r="AB122" s="5">
        <f ca="1">SUM(OFFSET(Demand!$H131,0,(COLUMN(C119)-1)*5,1,1))*P$2</f>
        <v>0</v>
      </c>
      <c r="AC122" s="5">
        <f ca="1">SUM(OFFSET(Demand!$H131,0,(COLUMN(D119)-1)*5,1,1))*Q$2</f>
        <v>0</v>
      </c>
      <c r="AD122" s="5">
        <f ca="1">SUM(OFFSET(Demand!$H131,0,(COLUMN(E119)-1)*5,1,1))*R$2</f>
        <v>0</v>
      </c>
      <c r="AE122" s="5">
        <f ca="1">SUM(OFFSET(Demand!$H131,0,(COLUMN(F119)-1)*5,1,1))*S$2</f>
        <v>0</v>
      </c>
      <c r="AF122" s="5">
        <f ca="1">SUM(OFFSET(Demand!$H131,0,(COLUMN(G119)-1)*5,1,1))*T$2</f>
        <v>0</v>
      </c>
      <c r="AG122" s="5">
        <f ca="1">SUM(OFFSET(Demand!$H131,0,(COLUMN(H119)-1)*5,1,1))*U$2</f>
        <v>0</v>
      </c>
      <c r="AH122" s="5">
        <f ca="1">SUM(OFFSET(Demand!$H131,0,(COLUMN(I119)-1)*5,1,1))*V$2</f>
        <v>0</v>
      </c>
      <c r="AI122" s="5">
        <f ca="1">SUM(OFFSET(Demand!$H131,0,(COLUMN(J119)-1)*5,1,1))*W$2</f>
        <v>0</v>
      </c>
      <c r="AJ122" s="5">
        <f t="shared" ca="1" si="33"/>
        <v>0</v>
      </c>
      <c r="AL122" s="5">
        <f t="shared" ca="1" si="34"/>
        <v>460</v>
      </c>
      <c r="AM122" s="5">
        <f t="shared" ca="1" si="35"/>
        <v>0</v>
      </c>
      <c r="AN122" s="5" t="str">
        <f>IF(Demand!BE131="Yes","Yes","")</f>
        <v/>
      </c>
      <c r="AP122" s="37" t="str">
        <f ca="1">Demand!B131</f>
        <v xml:space="preserve"> </v>
      </c>
      <c r="AQ122" t="str">
        <f ca="1">IF(TEXT(Demand!D131,"MMM")&lt;&gt;TEXT(Demand!D130,"MMM"),TEXT(Demand!D131,"MMM"),"")</f>
        <v>Jul</v>
      </c>
      <c r="AT122" s="5">
        <f t="shared" ca="1" si="37"/>
        <v>50</v>
      </c>
      <c r="BQ122">
        <f ca="1">IF($AN122="",OFFSET(Demand!$A$13,ROW(A119)-1,4+((QUOTIENT(COLUMN(BQ$2)-69,3))*5)+MOD(COLUMN(BQ$2),3),1,1),"")</f>
        <v>0</v>
      </c>
      <c r="BR122">
        <f ca="1">IF($AN122="",OFFSET(Demand!$A$13,ROW(B119)-1,4+((QUOTIENT(COLUMN(BR$2)-69,3))*5)+MOD(COLUMN(BR$2),3),1,1),"")</f>
        <v>3</v>
      </c>
      <c r="BS122">
        <f ca="1">IF($AN122="",OFFSET(Demand!$A$13,ROW(C119)-1,4+((QUOTIENT(COLUMN(BS$2)-69,3))*5)+MOD(COLUMN(BS$2),3),1,1),"")</f>
        <v>3</v>
      </c>
      <c r="BT122">
        <f ca="1">IF($AN122="",OFFSET(Demand!$A$13,ROW(D119)-1,4+((QUOTIENT(COLUMN(BT$2)-69,3))*5)+MOD(COLUMN(BT$2),3),1,1),"")</f>
        <v>0</v>
      </c>
      <c r="BU122">
        <f ca="1">IF($AN122="",OFFSET(Demand!$A$13,ROW(E119)-1,4+((QUOTIENT(COLUMN(BU$2)-69,3))*5)+MOD(COLUMN(BU$2),3),1,1),"")</f>
        <v>1</v>
      </c>
      <c r="BV122">
        <f ca="1">IF($AN122="",OFFSET(Demand!$A$13,ROW(F119)-1,4+((QUOTIENT(COLUMN(BV$2)-69,3))*5)+MOD(COLUMN(BV$2),3),1,1),"")</f>
        <v>6</v>
      </c>
      <c r="BW122">
        <f ca="1">IF($AN122="",OFFSET(Demand!$A$13,ROW(G119)-1,4+((QUOTIENT(COLUMN(BW$2)-69,3))*5)+MOD(COLUMN(BW$2),3),1,1),"")</f>
        <v>0</v>
      </c>
      <c r="BX122">
        <f ca="1">IF($AN122="",OFFSET(Demand!$A$13,ROW(H119)-1,4+((QUOTIENT(COLUMN(BX$2)-69,3))*5)+MOD(COLUMN(BX$2),3),1,1),"")</f>
        <v>0</v>
      </c>
      <c r="BY122">
        <f ca="1">IF($AN122="",OFFSET(Demand!$A$13,ROW(I119)-1,4+((QUOTIENT(COLUMN(BY$2)-69,3))*5)+MOD(COLUMN(BY$2),3),1,1),"")</f>
        <v>0</v>
      </c>
      <c r="BZ122">
        <f ca="1">IF($AN122="",OFFSET(Demand!$A$13,ROW(J119)-1,4+((QUOTIENT(COLUMN(BZ$2)-69,3))*5)+MOD(COLUMN(BZ$2),3),1,1),"")</f>
        <v>0</v>
      </c>
      <c r="CA122">
        <f ca="1">IF($AN122="",OFFSET(Demand!$A$13,ROW(K119)-1,4+((QUOTIENT(COLUMN(CA$2)-69,3))*5)+MOD(COLUMN(CA$2),3),1,1),"")</f>
        <v>0</v>
      </c>
      <c r="CB122">
        <f ca="1">IF($AN122="",OFFSET(Demand!$A$13,ROW(L119)-1,4+((QUOTIENT(COLUMN(CB$2)-69,3))*5)+MOD(COLUMN(CB$2),3),1,1),"")</f>
        <v>0</v>
      </c>
      <c r="CC122">
        <f ca="1">IF($AN122="",OFFSET(Demand!$A$13,ROW(M119)-1,4+((QUOTIENT(COLUMN(CC$2)-69,3))*5)+MOD(COLUMN(CC$2),3),1,1),"")</f>
        <v>0</v>
      </c>
      <c r="CD122">
        <f ca="1">IF($AN122="",OFFSET(Demand!$A$13,ROW(N119)-1,4+((QUOTIENT(COLUMN(CD$2)-69,3))*5)+MOD(COLUMN(CD$2),3),1,1),"")</f>
        <v>0</v>
      </c>
      <c r="CE122">
        <f ca="1">IF($AN122="",OFFSET(Demand!$A$13,ROW(O119)-1,4+((QUOTIENT(COLUMN(CE$2)-69,3))*5)+MOD(COLUMN(CE$2),3),1,1),"")</f>
        <v>0</v>
      </c>
      <c r="CF122">
        <f ca="1">IF($AN122="",OFFSET(Demand!$A$13,ROW(P119)-1,4+((QUOTIENT(COLUMN(CF$2)-69,3))*5)+MOD(COLUMN(CF$2),3),1,1),"")</f>
        <v>0</v>
      </c>
      <c r="CG122">
        <f ca="1">IF($AN122="",OFFSET(Demand!$A$13,ROW(Q119)-1,4+((QUOTIENT(COLUMN(CG$2)-69,3))*5)+MOD(COLUMN(CG$2),3),1,1),"")</f>
        <v>0</v>
      </c>
      <c r="CH122">
        <f ca="1">IF($AN122="",OFFSET(Demand!$A$13,ROW(R119)-1,4+((QUOTIENT(COLUMN(CH$2)-69,3))*5)+MOD(COLUMN(CH$2),3),1,1),"")</f>
        <v>0</v>
      </c>
      <c r="CI122">
        <f ca="1">IF($AN122="",OFFSET(Demand!$A$13,ROW(S119)-1,4+((QUOTIENT(COLUMN(CI$2)-69,3))*5)+MOD(COLUMN(CI$2),3),1,1),"")</f>
        <v>0</v>
      </c>
      <c r="CJ122">
        <f ca="1">IF($AN122="",OFFSET(Demand!$A$13,ROW(T119)-1,4+((QUOTIENT(COLUMN(CJ$2)-69,3))*5)+MOD(COLUMN(CJ$2),3),1,1),"")</f>
        <v>0</v>
      </c>
      <c r="CK122">
        <f ca="1">IF($AN122="",OFFSET(Demand!$A$13,ROW(U119)-1,4+((QUOTIENT(COLUMN(CK$2)-69,3))*5)+MOD(COLUMN(CK$2),3),1,1),"")</f>
        <v>0</v>
      </c>
      <c r="CL122">
        <f ca="1">IF($AN122="",OFFSET(Demand!$A$13,ROW(V119)-1,4+((QUOTIENT(COLUMN(CL$2)-69,3))*5)+MOD(COLUMN(CL$2),3),1,1),"")</f>
        <v>0</v>
      </c>
      <c r="CM122">
        <f ca="1">IF($AN122="",OFFSET(Demand!$A$13,ROW(W119)-1,4+((QUOTIENT(COLUMN(CM$2)-69,3))*5)+MOD(COLUMN(CM$2),3),1,1),"")</f>
        <v>0</v>
      </c>
      <c r="CN122">
        <f ca="1">IF($AN122="",OFFSET(Demand!$A$13,ROW(X119)-1,4+((QUOTIENT(COLUMN(CN$2)-69,3))*5)+MOD(COLUMN(CN$2),3),1,1),"")</f>
        <v>0</v>
      </c>
      <c r="CO122">
        <f ca="1">IF($AN122="",OFFSET(Demand!$A$13,ROW(Y119)-1,4+((QUOTIENT(COLUMN(CO$2)-69,3))*5)+MOD(COLUMN(CO$2),3),1,1),"")</f>
        <v>0</v>
      </c>
      <c r="CP122">
        <f ca="1">IF($AN122="",OFFSET(Demand!$A$13,ROW(Z119)-1,4+((QUOTIENT(COLUMN(CP$2)-69,3))*5)+MOD(COLUMN(CP$2),3),1,1),"")</f>
        <v>0</v>
      </c>
      <c r="CQ122">
        <f ca="1">IF($AN122="",OFFSET(Demand!$A$13,ROW(AA119)-1,4+((QUOTIENT(COLUMN(CQ$2)-69,3))*5)+MOD(COLUMN(CQ$2),3),1,1),"")</f>
        <v>0</v>
      </c>
      <c r="CR122">
        <f ca="1">IF($AN122="",OFFSET(Demand!$A$13,ROW(AB119)-1,4+((QUOTIENT(COLUMN(CR$2)-69,3))*5)+MOD(COLUMN(CR$2),3),1,1),"")</f>
        <v>0</v>
      </c>
      <c r="CS122">
        <f ca="1">IF($AN122="",OFFSET(Demand!$A$13,ROW(AC119)-1,4+((QUOTIENT(COLUMN(CS$2)-69,3))*5)+MOD(COLUMN(CS$2),3),1,1),"")</f>
        <v>0</v>
      </c>
      <c r="CT122">
        <f ca="1">IF($AN122="",OFFSET(Demand!$A$13,ROW(AD119)-1,4+((QUOTIENT(COLUMN(CT$2)-69,3))*5)+MOD(COLUMN(CT$2),3),1,1),"")</f>
        <v>0</v>
      </c>
      <c r="CW122" s="5">
        <f ca="1">SUM(OFFSET(Demand!$H$43,ROW(A119)-1,(COLUMN(A119)-1)*5,1,1))*N$2</f>
        <v>0</v>
      </c>
      <c r="CX122" s="5">
        <f ca="1">SUM(OFFSET(Demand!$H$43,ROW(B119)-1,(COLUMN(B119)-1)*5,1,1))*O$2</f>
        <v>0</v>
      </c>
      <c r="CY122" s="5">
        <f ca="1">SUM(OFFSET(Demand!$H$43,ROW(C119)-1,(COLUMN(C119)-1)*5,1,1))*P$2</f>
        <v>0</v>
      </c>
      <c r="CZ122" s="5">
        <f ca="1">SUM(OFFSET(Demand!$H$43,ROW(D119)-1,(COLUMN(D119)-1)*5,1,1))*Q$2</f>
        <v>0</v>
      </c>
      <c r="DA122" s="5">
        <f ca="1">SUM(OFFSET(Demand!$H$43,ROW(E119)-1,(COLUMN(E119)-1)*5,1,1))*R$2</f>
        <v>0</v>
      </c>
      <c r="DB122" s="5">
        <f ca="1">SUM(OFFSET(Demand!$H$43,ROW(F119)-1,(COLUMN(F119)-1)*5,1,1))*S$2</f>
        <v>0</v>
      </c>
      <c r="DC122" s="5">
        <f ca="1">SUM(OFFSET(Demand!$H$43,ROW(G119)-1,(COLUMN(G119)-1)*5,1,1))*T$2</f>
        <v>0</v>
      </c>
      <c r="DD122" s="5">
        <f ca="1">SUM(OFFSET(Demand!$H$43,ROW(H119)-1,(COLUMN(H119)-1)*5,1,1))*U$2</f>
        <v>0</v>
      </c>
      <c r="DE122" s="5">
        <f ca="1">SUM(OFFSET(Demand!$H$43,ROW(I119)-1,(COLUMN(I119)-1)*5,1,1))*V$2</f>
        <v>0</v>
      </c>
      <c r="DF122" s="5">
        <f ca="1">SUM(OFFSET(Demand!$H$43,ROW(J119)-1,(COLUMN(J119)-1)*5,1,1))*W$2</f>
        <v>0</v>
      </c>
      <c r="DG122" s="5">
        <f t="shared" ca="1" si="36"/>
        <v>0</v>
      </c>
    </row>
    <row r="123" spans="1:111" x14ac:dyDescent="0.2">
      <c r="A123" s="5">
        <f t="shared" ca="1" si="38"/>
        <v>0</v>
      </c>
      <c r="B123" s="5">
        <f ca="1">COUNTBLANK(OFFSET(Demand!$I132,0,(COLUMN(A120)-1)*5,1,1))</f>
        <v>0</v>
      </c>
      <c r="C123" s="5">
        <f ca="1">COUNTBLANK(OFFSET(Demand!$I132,0,(COLUMN(B120)-1)*5,1,1))</f>
        <v>0</v>
      </c>
      <c r="D123" s="5">
        <f ca="1">COUNTBLANK(OFFSET(Demand!$I132,0,(COLUMN(C120)-1)*5,1,1))</f>
        <v>1</v>
      </c>
      <c r="E123" s="5">
        <f ca="1">COUNTBLANK(OFFSET(Demand!$I132,0,(COLUMN(D120)-1)*5,1,1))</f>
        <v>1</v>
      </c>
      <c r="F123" s="5">
        <f ca="1">COUNTBLANK(OFFSET(Demand!$I132,0,(COLUMN(E120)-1)*5,1,1))</f>
        <v>1</v>
      </c>
      <c r="G123" s="5">
        <f ca="1">COUNTBLANK(OFFSET(Demand!$I132,0,(COLUMN(F120)-1)*5,1,1))</f>
        <v>1</v>
      </c>
      <c r="H123" s="5">
        <f ca="1">COUNTBLANK(OFFSET(Demand!$I132,0,(COLUMN(G120)-1)*5,1,1))</f>
        <v>1</v>
      </c>
      <c r="I123" s="5">
        <f ca="1">COUNTBLANK(OFFSET(Demand!$I132,0,(COLUMN(H120)-1)*5,1,1))</f>
        <v>1</v>
      </c>
      <c r="J123" s="5">
        <f ca="1">COUNTBLANK(OFFSET(Demand!$I132,0,(COLUMN(I120)-1)*5,1,1))</f>
        <v>1</v>
      </c>
      <c r="K123" s="5">
        <f ca="1">COUNTBLANK(OFFSET(Demand!$I132,0,(COLUMN(J120)-1)*5,1,1))</f>
        <v>1</v>
      </c>
      <c r="N123" s="5">
        <f ca="1">SUM(OFFSET(Demand!$E132,0,(COLUMN(A120)-1)*5,1,3))*N$2</f>
        <v>180</v>
      </c>
      <c r="O123" s="5">
        <f ca="1">SUM(OFFSET(Demand!$E132,0,(COLUMN(B120)-1)*5,1,3))*O$2</f>
        <v>440</v>
      </c>
      <c r="P123" s="5">
        <f ca="1">SUM(OFFSET(Demand!$E132,0,(COLUMN(C120)-1)*5,1,3))*P$2</f>
        <v>0</v>
      </c>
      <c r="Q123" s="5">
        <f ca="1">SUM(OFFSET(Demand!$E132,0,(COLUMN(D120)-1)*5,1,3))*Q$2</f>
        <v>0</v>
      </c>
      <c r="R123" s="5">
        <f ca="1">SUM(OFFSET(Demand!$E132,0,(COLUMN(E120)-1)*5,1,3))*R$2</f>
        <v>0</v>
      </c>
      <c r="S123" s="5">
        <f ca="1">SUM(OFFSET(Demand!$E132,0,(COLUMN(F120)-1)*5,1,3))*S$2</f>
        <v>0</v>
      </c>
      <c r="T123" s="5">
        <f ca="1">SUM(OFFSET(Demand!$E132,0,(COLUMN(G120)-1)*5,1,3))*T$2</f>
        <v>0</v>
      </c>
      <c r="U123" s="5">
        <f ca="1">SUM(OFFSET(Demand!$E132,0,(COLUMN(H120)-1)*5,1,3))*U$2</f>
        <v>0</v>
      </c>
      <c r="V123" s="5">
        <f ca="1">SUM(OFFSET(Demand!$E132,0,(COLUMN(I120)-1)*5,1,3))*V$2</f>
        <v>0</v>
      </c>
      <c r="W123" s="5">
        <f ca="1">SUM(OFFSET(Demand!$E132,0,(COLUMN(J120)-1)*5,1,3))*W$2</f>
        <v>0</v>
      </c>
      <c r="X123" s="5">
        <f t="shared" ca="1" si="31"/>
        <v>620</v>
      </c>
      <c r="Y123">
        <f t="shared" ca="1" si="32"/>
        <v>620</v>
      </c>
      <c r="Z123" s="5">
        <f ca="1">SUM(OFFSET(Demand!$H132,0,(COLUMN(A120)-1)*5,1,1))*N$2</f>
        <v>0</v>
      </c>
      <c r="AA123" s="5">
        <f ca="1">SUM(OFFSET(Demand!$H132,0,(COLUMN(B120)-1)*5,1,1))*O$2</f>
        <v>0</v>
      </c>
      <c r="AB123" s="5">
        <f ca="1">SUM(OFFSET(Demand!$H132,0,(COLUMN(C120)-1)*5,1,1))*P$2</f>
        <v>0</v>
      </c>
      <c r="AC123" s="5">
        <f ca="1">SUM(OFFSET(Demand!$H132,0,(COLUMN(D120)-1)*5,1,1))*Q$2</f>
        <v>0</v>
      </c>
      <c r="AD123" s="5">
        <f ca="1">SUM(OFFSET(Demand!$H132,0,(COLUMN(E120)-1)*5,1,1))*R$2</f>
        <v>0</v>
      </c>
      <c r="AE123" s="5">
        <f ca="1">SUM(OFFSET(Demand!$H132,0,(COLUMN(F120)-1)*5,1,1))*S$2</f>
        <v>0</v>
      </c>
      <c r="AF123" s="5">
        <f ca="1">SUM(OFFSET(Demand!$H132,0,(COLUMN(G120)-1)*5,1,1))*T$2</f>
        <v>0</v>
      </c>
      <c r="AG123" s="5">
        <f ca="1">SUM(OFFSET(Demand!$H132,0,(COLUMN(H120)-1)*5,1,1))*U$2</f>
        <v>0</v>
      </c>
      <c r="AH123" s="5">
        <f ca="1">SUM(OFFSET(Demand!$H132,0,(COLUMN(I120)-1)*5,1,1))*V$2</f>
        <v>0</v>
      </c>
      <c r="AI123" s="5">
        <f ca="1">SUM(OFFSET(Demand!$H132,0,(COLUMN(J120)-1)*5,1,1))*W$2</f>
        <v>0</v>
      </c>
      <c r="AJ123" s="5">
        <f t="shared" ca="1" si="33"/>
        <v>0</v>
      </c>
      <c r="AL123" s="5">
        <f t="shared" ca="1" si="34"/>
        <v>620</v>
      </c>
      <c r="AM123" s="5">
        <f t="shared" ca="1" si="35"/>
        <v>0</v>
      </c>
      <c r="AN123" s="5" t="str">
        <f>IF(Demand!BE132="Yes","Yes","")</f>
        <v/>
      </c>
      <c r="AP123" s="37" t="str">
        <f ca="1">Demand!B132</f>
        <v xml:space="preserve"> </v>
      </c>
      <c r="AQ123" t="str">
        <f ca="1">IF(TEXT(Demand!D132,"MMM")&lt;&gt;TEXT(Demand!D131,"MMM"),TEXT(Demand!D132,"MMM"),"")</f>
        <v/>
      </c>
      <c r="AT123" s="5">
        <f t="shared" ca="1" si="37"/>
        <v>160</v>
      </c>
      <c r="BQ123">
        <f ca="1">IF($AN123="",OFFSET(Demand!$A$13,ROW(A120)-1,4+((QUOTIENT(COLUMN(BQ$2)-69,3))*5)+MOD(COLUMN(BQ$2),3),1,1),"")</f>
        <v>0</v>
      </c>
      <c r="BR123">
        <f ca="1">IF($AN123="",OFFSET(Demand!$A$13,ROW(B120)-1,4+((QUOTIENT(COLUMN(BR$2)-69,3))*5)+MOD(COLUMN(BR$2),3),1,1),"")</f>
        <v>1</v>
      </c>
      <c r="BS123">
        <f ca="1">IF($AN123="",OFFSET(Demand!$A$13,ROW(C120)-1,4+((QUOTIENT(COLUMN(BS$2)-69,3))*5)+MOD(COLUMN(BS$2),3),1,1),"")</f>
        <v>5</v>
      </c>
      <c r="BT123">
        <f ca="1">IF($AN123="",OFFSET(Demand!$A$13,ROW(D120)-1,4+((QUOTIENT(COLUMN(BT$2)-69,3))*5)+MOD(COLUMN(BT$2),3),1,1),"")</f>
        <v>0</v>
      </c>
      <c r="BU123">
        <f ca="1">IF($AN123="",OFFSET(Demand!$A$13,ROW(E120)-1,4+((QUOTIENT(COLUMN(BU$2)-69,3))*5)+MOD(COLUMN(BU$2),3),1,1),"")</f>
        <v>4</v>
      </c>
      <c r="BV123">
        <f ca="1">IF($AN123="",OFFSET(Demand!$A$13,ROW(F120)-1,4+((QUOTIENT(COLUMN(BV$2)-69,3))*5)+MOD(COLUMN(BV$2),3),1,1),"")</f>
        <v>7</v>
      </c>
      <c r="BW123">
        <f ca="1">IF($AN123="",OFFSET(Demand!$A$13,ROW(G120)-1,4+((QUOTIENT(COLUMN(BW$2)-69,3))*5)+MOD(COLUMN(BW$2),3),1,1),"")</f>
        <v>0</v>
      </c>
      <c r="BX123">
        <f ca="1">IF($AN123="",OFFSET(Demand!$A$13,ROW(H120)-1,4+((QUOTIENT(COLUMN(BX$2)-69,3))*5)+MOD(COLUMN(BX$2),3),1,1),"")</f>
        <v>0</v>
      </c>
      <c r="BY123">
        <f ca="1">IF($AN123="",OFFSET(Demand!$A$13,ROW(I120)-1,4+((QUOTIENT(COLUMN(BY$2)-69,3))*5)+MOD(COLUMN(BY$2),3),1,1),"")</f>
        <v>0</v>
      </c>
      <c r="BZ123">
        <f ca="1">IF($AN123="",OFFSET(Demand!$A$13,ROW(J120)-1,4+((QUOTIENT(COLUMN(BZ$2)-69,3))*5)+MOD(COLUMN(BZ$2),3),1,1),"")</f>
        <v>0</v>
      </c>
      <c r="CA123">
        <f ca="1">IF($AN123="",OFFSET(Demand!$A$13,ROW(K120)-1,4+((QUOTIENT(COLUMN(CA$2)-69,3))*5)+MOD(COLUMN(CA$2),3),1,1),"")</f>
        <v>0</v>
      </c>
      <c r="CB123">
        <f ca="1">IF($AN123="",OFFSET(Demand!$A$13,ROW(L120)-1,4+((QUOTIENT(COLUMN(CB$2)-69,3))*5)+MOD(COLUMN(CB$2),3),1,1),"")</f>
        <v>0</v>
      </c>
      <c r="CC123">
        <f ca="1">IF($AN123="",OFFSET(Demand!$A$13,ROW(M120)-1,4+((QUOTIENT(COLUMN(CC$2)-69,3))*5)+MOD(COLUMN(CC$2),3),1,1),"")</f>
        <v>0</v>
      </c>
      <c r="CD123">
        <f ca="1">IF($AN123="",OFFSET(Demand!$A$13,ROW(N120)-1,4+((QUOTIENT(COLUMN(CD$2)-69,3))*5)+MOD(COLUMN(CD$2),3),1,1),"")</f>
        <v>0</v>
      </c>
      <c r="CE123">
        <f ca="1">IF($AN123="",OFFSET(Demand!$A$13,ROW(O120)-1,4+((QUOTIENT(COLUMN(CE$2)-69,3))*5)+MOD(COLUMN(CE$2),3),1,1),"")</f>
        <v>0</v>
      </c>
      <c r="CF123">
        <f ca="1">IF($AN123="",OFFSET(Demand!$A$13,ROW(P120)-1,4+((QUOTIENT(COLUMN(CF$2)-69,3))*5)+MOD(COLUMN(CF$2),3),1,1),"")</f>
        <v>0</v>
      </c>
      <c r="CG123">
        <f ca="1">IF($AN123="",OFFSET(Demand!$A$13,ROW(Q120)-1,4+((QUOTIENT(COLUMN(CG$2)-69,3))*5)+MOD(COLUMN(CG$2),3),1,1),"")</f>
        <v>0</v>
      </c>
      <c r="CH123">
        <f ca="1">IF($AN123="",OFFSET(Demand!$A$13,ROW(R120)-1,4+((QUOTIENT(COLUMN(CH$2)-69,3))*5)+MOD(COLUMN(CH$2),3),1,1),"")</f>
        <v>0</v>
      </c>
      <c r="CI123">
        <f ca="1">IF($AN123="",OFFSET(Demand!$A$13,ROW(S120)-1,4+((QUOTIENT(COLUMN(CI$2)-69,3))*5)+MOD(COLUMN(CI$2),3),1,1),"")</f>
        <v>0</v>
      </c>
      <c r="CJ123">
        <f ca="1">IF($AN123="",OFFSET(Demand!$A$13,ROW(T120)-1,4+((QUOTIENT(COLUMN(CJ$2)-69,3))*5)+MOD(COLUMN(CJ$2),3),1,1),"")</f>
        <v>0</v>
      </c>
      <c r="CK123">
        <f ca="1">IF($AN123="",OFFSET(Demand!$A$13,ROW(U120)-1,4+((QUOTIENT(COLUMN(CK$2)-69,3))*5)+MOD(COLUMN(CK$2),3),1,1),"")</f>
        <v>0</v>
      </c>
      <c r="CL123">
        <f ca="1">IF($AN123="",OFFSET(Demand!$A$13,ROW(V120)-1,4+((QUOTIENT(COLUMN(CL$2)-69,3))*5)+MOD(COLUMN(CL$2),3),1,1),"")</f>
        <v>0</v>
      </c>
      <c r="CM123">
        <f ca="1">IF($AN123="",OFFSET(Demand!$A$13,ROW(W120)-1,4+((QUOTIENT(COLUMN(CM$2)-69,3))*5)+MOD(COLUMN(CM$2),3),1,1),"")</f>
        <v>0</v>
      </c>
      <c r="CN123">
        <f ca="1">IF($AN123="",OFFSET(Demand!$A$13,ROW(X120)-1,4+((QUOTIENT(COLUMN(CN$2)-69,3))*5)+MOD(COLUMN(CN$2),3),1,1),"")</f>
        <v>0</v>
      </c>
      <c r="CO123">
        <f ca="1">IF($AN123="",OFFSET(Demand!$A$13,ROW(Y120)-1,4+((QUOTIENT(COLUMN(CO$2)-69,3))*5)+MOD(COLUMN(CO$2),3),1,1),"")</f>
        <v>0</v>
      </c>
      <c r="CP123">
        <f ca="1">IF($AN123="",OFFSET(Demand!$A$13,ROW(Z120)-1,4+((QUOTIENT(COLUMN(CP$2)-69,3))*5)+MOD(COLUMN(CP$2),3),1,1),"")</f>
        <v>0</v>
      </c>
      <c r="CQ123">
        <f ca="1">IF($AN123="",OFFSET(Demand!$A$13,ROW(AA120)-1,4+((QUOTIENT(COLUMN(CQ$2)-69,3))*5)+MOD(COLUMN(CQ$2),3),1,1),"")</f>
        <v>0</v>
      </c>
      <c r="CR123">
        <f ca="1">IF($AN123="",OFFSET(Demand!$A$13,ROW(AB120)-1,4+((QUOTIENT(COLUMN(CR$2)-69,3))*5)+MOD(COLUMN(CR$2),3),1,1),"")</f>
        <v>0</v>
      </c>
      <c r="CS123">
        <f ca="1">IF($AN123="",OFFSET(Demand!$A$13,ROW(AC120)-1,4+((QUOTIENT(COLUMN(CS$2)-69,3))*5)+MOD(COLUMN(CS$2),3),1,1),"")</f>
        <v>0</v>
      </c>
      <c r="CT123">
        <f ca="1">IF($AN123="",OFFSET(Demand!$A$13,ROW(AD120)-1,4+((QUOTIENT(COLUMN(CT$2)-69,3))*5)+MOD(COLUMN(CT$2),3),1,1),"")</f>
        <v>0</v>
      </c>
      <c r="CW123" s="5">
        <f ca="1">SUM(OFFSET(Demand!$H$43,ROW(A120)-1,(COLUMN(A120)-1)*5,1,1))*N$2</f>
        <v>0</v>
      </c>
      <c r="CX123" s="5">
        <f ca="1">SUM(OFFSET(Demand!$H$43,ROW(B120)-1,(COLUMN(B120)-1)*5,1,1))*O$2</f>
        <v>0</v>
      </c>
      <c r="CY123" s="5">
        <f ca="1">SUM(OFFSET(Demand!$H$43,ROW(C120)-1,(COLUMN(C120)-1)*5,1,1))*P$2</f>
        <v>0</v>
      </c>
      <c r="CZ123" s="5">
        <f ca="1">SUM(OFFSET(Demand!$H$43,ROW(D120)-1,(COLUMN(D120)-1)*5,1,1))*Q$2</f>
        <v>0</v>
      </c>
      <c r="DA123" s="5">
        <f ca="1">SUM(OFFSET(Demand!$H$43,ROW(E120)-1,(COLUMN(E120)-1)*5,1,1))*R$2</f>
        <v>0</v>
      </c>
      <c r="DB123" s="5">
        <f ca="1">SUM(OFFSET(Demand!$H$43,ROW(F120)-1,(COLUMN(F120)-1)*5,1,1))*S$2</f>
        <v>0</v>
      </c>
      <c r="DC123" s="5">
        <f ca="1">SUM(OFFSET(Demand!$H$43,ROW(G120)-1,(COLUMN(G120)-1)*5,1,1))*T$2</f>
        <v>0</v>
      </c>
      <c r="DD123" s="5">
        <f ca="1">SUM(OFFSET(Demand!$H$43,ROW(H120)-1,(COLUMN(H120)-1)*5,1,1))*U$2</f>
        <v>0</v>
      </c>
      <c r="DE123" s="5">
        <f ca="1">SUM(OFFSET(Demand!$H$43,ROW(I120)-1,(COLUMN(I120)-1)*5,1,1))*V$2</f>
        <v>0</v>
      </c>
      <c r="DF123" s="5">
        <f ca="1">SUM(OFFSET(Demand!$H$43,ROW(J120)-1,(COLUMN(J120)-1)*5,1,1))*W$2</f>
        <v>0</v>
      </c>
      <c r="DG123" s="5">
        <f t="shared" ca="1" si="36"/>
        <v>0</v>
      </c>
    </row>
    <row r="124" spans="1:111" x14ac:dyDescent="0.2">
      <c r="A124" s="5">
        <f t="shared" ca="1" si="38"/>
        <v>0</v>
      </c>
      <c r="B124" s="5">
        <f ca="1">COUNTBLANK(OFFSET(Demand!$I133,0,(COLUMN(A121)-1)*5,1,1))</f>
        <v>0</v>
      </c>
      <c r="C124" s="5">
        <f ca="1">COUNTBLANK(OFFSET(Demand!$I133,0,(COLUMN(B121)-1)*5,1,1))</f>
        <v>0</v>
      </c>
      <c r="D124" s="5">
        <f ca="1">COUNTBLANK(OFFSET(Demand!$I133,0,(COLUMN(C121)-1)*5,1,1))</f>
        <v>1</v>
      </c>
      <c r="E124" s="5">
        <f ca="1">COUNTBLANK(OFFSET(Demand!$I133,0,(COLUMN(D121)-1)*5,1,1))</f>
        <v>1</v>
      </c>
      <c r="F124" s="5">
        <f ca="1">COUNTBLANK(OFFSET(Demand!$I133,0,(COLUMN(E121)-1)*5,1,1))</f>
        <v>1</v>
      </c>
      <c r="G124" s="5">
        <f ca="1">COUNTBLANK(OFFSET(Demand!$I133,0,(COLUMN(F121)-1)*5,1,1))</f>
        <v>1</v>
      </c>
      <c r="H124" s="5">
        <f ca="1">COUNTBLANK(OFFSET(Demand!$I133,0,(COLUMN(G121)-1)*5,1,1))</f>
        <v>1</v>
      </c>
      <c r="I124" s="5">
        <f ca="1">COUNTBLANK(OFFSET(Demand!$I133,0,(COLUMN(H121)-1)*5,1,1))</f>
        <v>1</v>
      </c>
      <c r="J124" s="5">
        <f ca="1">COUNTBLANK(OFFSET(Demand!$I133,0,(COLUMN(I121)-1)*5,1,1))</f>
        <v>1</v>
      </c>
      <c r="K124" s="5">
        <f ca="1">COUNTBLANK(OFFSET(Demand!$I133,0,(COLUMN(J121)-1)*5,1,1))</f>
        <v>1</v>
      </c>
      <c r="N124" s="5">
        <f ca="1">SUM(OFFSET(Demand!$E133,0,(COLUMN(A121)-1)*5,1,3))*N$2</f>
        <v>90</v>
      </c>
      <c r="O124" s="5">
        <f ca="1">SUM(OFFSET(Demand!$E133,0,(COLUMN(B121)-1)*5,1,3))*O$2</f>
        <v>320</v>
      </c>
      <c r="P124" s="5">
        <f ca="1">SUM(OFFSET(Demand!$E133,0,(COLUMN(C121)-1)*5,1,3))*P$2</f>
        <v>0</v>
      </c>
      <c r="Q124" s="5">
        <f ca="1">SUM(OFFSET(Demand!$E133,0,(COLUMN(D121)-1)*5,1,3))*Q$2</f>
        <v>0</v>
      </c>
      <c r="R124" s="5">
        <f ca="1">SUM(OFFSET(Demand!$E133,0,(COLUMN(E121)-1)*5,1,3))*R$2</f>
        <v>0</v>
      </c>
      <c r="S124" s="5">
        <f ca="1">SUM(OFFSET(Demand!$E133,0,(COLUMN(F121)-1)*5,1,3))*S$2</f>
        <v>0</v>
      </c>
      <c r="T124" s="5">
        <f ca="1">SUM(OFFSET(Demand!$E133,0,(COLUMN(G121)-1)*5,1,3))*T$2</f>
        <v>0</v>
      </c>
      <c r="U124" s="5">
        <f ca="1">SUM(OFFSET(Demand!$E133,0,(COLUMN(H121)-1)*5,1,3))*U$2</f>
        <v>0</v>
      </c>
      <c r="V124" s="5">
        <f ca="1">SUM(OFFSET(Demand!$E133,0,(COLUMN(I121)-1)*5,1,3))*V$2</f>
        <v>0</v>
      </c>
      <c r="W124" s="5">
        <f ca="1">SUM(OFFSET(Demand!$E133,0,(COLUMN(J121)-1)*5,1,3))*W$2</f>
        <v>0</v>
      </c>
      <c r="X124" s="5">
        <f t="shared" ca="1" si="31"/>
        <v>410</v>
      </c>
      <c r="Y124">
        <f t="shared" ca="1" si="32"/>
        <v>410</v>
      </c>
      <c r="Z124" s="5">
        <f ca="1">SUM(OFFSET(Demand!$H133,0,(COLUMN(A121)-1)*5,1,1))*N$2</f>
        <v>0</v>
      </c>
      <c r="AA124" s="5">
        <f ca="1">SUM(OFFSET(Demand!$H133,0,(COLUMN(B121)-1)*5,1,1))*O$2</f>
        <v>0</v>
      </c>
      <c r="AB124" s="5">
        <f ca="1">SUM(OFFSET(Demand!$H133,0,(COLUMN(C121)-1)*5,1,1))*P$2</f>
        <v>0</v>
      </c>
      <c r="AC124" s="5">
        <f ca="1">SUM(OFFSET(Demand!$H133,0,(COLUMN(D121)-1)*5,1,1))*Q$2</f>
        <v>0</v>
      </c>
      <c r="AD124" s="5">
        <f ca="1">SUM(OFFSET(Demand!$H133,0,(COLUMN(E121)-1)*5,1,1))*R$2</f>
        <v>0</v>
      </c>
      <c r="AE124" s="5">
        <f ca="1">SUM(OFFSET(Demand!$H133,0,(COLUMN(F121)-1)*5,1,1))*S$2</f>
        <v>0</v>
      </c>
      <c r="AF124" s="5">
        <f ca="1">SUM(OFFSET(Demand!$H133,0,(COLUMN(G121)-1)*5,1,1))*T$2</f>
        <v>0</v>
      </c>
      <c r="AG124" s="5">
        <f ca="1">SUM(OFFSET(Demand!$H133,0,(COLUMN(H121)-1)*5,1,1))*U$2</f>
        <v>0</v>
      </c>
      <c r="AH124" s="5">
        <f ca="1">SUM(OFFSET(Demand!$H133,0,(COLUMN(I121)-1)*5,1,1))*V$2</f>
        <v>0</v>
      </c>
      <c r="AI124" s="5">
        <f ca="1">SUM(OFFSET(Demand!$H133,0,(COLUMN(J121)-1)*5,1,1))*W$2</f>
        <v>0</v>
      </c>
      <c r="AJ124" s="5">
        <f t="shared" ca="1" si="33"/>
        <v>0</v>
      </c>
      <c r="AL124" s="5">
        <f t="shared" ca="1" si="34"/>
        <v>410</v>
      </c>
      <c r="AM124" s="5">
        <f t="shared" ca="1" si="35"/>
        <v>0</v>
      </c>
      <c r="AN124" s="5" t="str">
        <f>IF(Demand!BE133="Yes","Yes","")</f>
        <v/>
      </c>
      <c r="AP124" s="37" t="str">
        <f ca="1">Demand!B133</f>
        <v xml:space="preserve"> </v>
      </c>
      <c r="AQ124" t="str">
        <f ca="1">IF(TEXT(Demand!D133,"MMM")&lt;&gt;TEXT(Demand!D132,"MMM"),TEXT(Demand!D133,"MMM"),"")</f>
        <v/>
      </c>
      <c r="AT124" s="5">
        <f t="shared" ca="1" si="37"/>
        <v>210</v>
      </c>
      <c r="BQ124">
        <f ca="1">IF($AN124="",OFFSET(Demand!$A$13,ROW(A121)-1,4+((QUOTIENT(COLUMN(BQ$2)-69,3))*5)+MOD(COLUMN(BQ$2),3),1,1),"")</f>
        <v>0</v>
      </c>
      <c r="BR124">
        <f ca="1">IF($AN124="",OFFSET(Demand!$A$13,ROW(B121)-1,4+((QUOTIENT(COLUMN(BR$2)-69,3))*5)+MOD(COLUMN(BR$2),3),1,1),"")</f>
        <v>0</v>
      </c>
      <c r="BS124">
        <f ca="1">IF($AN124="",OFFSET(Demand!$A$13,ROW(C121)-1,4+((QUOTIENT(COLUMN(BS$2)-69,3))*5)+MOD(COLUMN(BS$2),3),1,1),"")</f>
        <v>3</v>
      </c>
      <c r="BT124">
        <f ca="1">IF($AN124="",OFFSET(Demand!$A$13,ROW(D121)-1,4+((QUOTIENT(COLUMN(BT$2)-69,3))*5)+MOD(COLUMN(BT$2),3),1,1),"")</f>
        <v>0</v>
      </c>
      <c r="BU124">
        <f ca="1">IF($AN124="",OFFSET(Demand!$A$13,ROW(E121)-1,4+((QUOTIENT(COLUMN(BU$2)-69,3))*5)+MOD(COLUMN(BU$2),3),1,1),"")</f>
        <v>2</v>
      </c>
      <c r="BV124">
        <f ca="1">IF($AN124="",OFFSET(Demand!$A$13,ROW(F121)-1,4+((QUOTIENT(COLUMN(BV$2)-69,3))*5)+MOD(COLUMN(BV$2),3),1,1),"")</f>
        <v>6</v>
      </c>
      <c r="BW124">
        <f ca="1">IF($AN124="",OFFSET(Demand!$A$13,ROW(G121)-1,4+((QUOTIENT(COLUMN(BW$2)-69,3))*5)+MOD(COLUMN(BW$2),3),1,1),"")</f>
        <v>0</v>
      </c>
      <c r="BX124">
        <f ca="1">IF($AN124="",OFFSET(Demand!$A$13,ROW(H121)-1,4+((QUOTIENT(COLUMN(BX$2)-69,3))*5)+MOD(COLUMN(BX$2),3),1,1),"")</f>
        <v>0</v>
      </c>
      <c r="BY124">
        <f ca="1">IF($AN124="",OFFSET(Demand!$A$13,ROW(I121)-1,4+((QUOTIENT(COLUMN(BY$2)-69,3))*5)+MOD(COLUMN(BY$2),3),1,1),"")</f>
        <v>0</v>
      </c>
      <c r="BZ124">
        <f ca="1">IF($AN124="",OFFSET(Demand!$A$13,ROW(J121)-1,4+((QUOTIENT(COLUMN(BZ$2)-69,3))*5)+MOD(COLUMN(BZ$2),3),1,1),"")</f>
        <v>0</v>
      </c>
      <c r="CA124">
        <f ca="1">IF($AN124="",OFFSET(Demand!$A$13,ROW(K121)-1,4+((QUOTIENT(COLUMN(CA$2)-69,3))*5)+MOD(COLUMN(CA$2),3),1,1),"")</f>
        <v>0</v>
      </c>
      <c r="CB124">
        <f ca="1">IF($AN124="",OFFSET(Demand!$A$13,ROW(L121)-1,4+((QUOTIENT(COLUMN(CB$2)-69,3))*5)+MOD(COLUMN(CB$2),3),1,1),"")</f>
        <v>0</v>
      </c>
      <c r="CC124">
        <f ca="1">IF($AN124="",OFFSET(Demand!$A$13,ROW(M121)-1,4+((QUOTIENT(COLUMN(CC$2)-69,3))*5)+MOD(COLUMN(CC$2),3),1,1),"")</f>
        <v>0</v>
      </c>
      <c r="CD124">
        <f ca="1">IF($AN124="",OFFSET(Demand!$A$13,ROW(N121)-1,4+((QUOTIENT(COLUMN(CD$2)-69,3))*5)+MOD(COLUMN(CD$2),3),1,1),"")</f>
        <v>0</v>
      </c>
      <c r="CE124">
        <f ca="1">IF($AN124="",OFFSET(Demand!$A$13,ROW(O121)-1,4+((QUOTIENT(COLUMN(CE$2)-69,3))*5)+MOD(COLUMN(CE$2),3),1,1),"")</f>
        <v>0</v>
      </c>
      <c r="CF124">
        <f ca="1">IF($AN124="",OFFSET(Demand!$A$13,ROW(P121)-1,4+((QUOTIENT(COLUMN(CF$2)-69,3))*5)+MOD(COLUMN(CF$2),3),1,1),"")</f>
        <v>0</v>
      </c>
      <c r="CG124">
        <f ca="1">IF($AN124="",OFFSET(Demand!$A$13,ROW(Q121)-1,4+((QUOTIENT(COLUMN(CG$2)-69,3))*5)+MOD(COLUMN(CG$2),3),1,1),"")</f>
        <v>0</v>
      </c>
      <c r="CH124">
        <f ca="1">IF($AN124="",OFFSET(Demand!$A$13,ROW(R121)-1,4+((QUOTIENT(COLUMN(CH$2)-69,3))*5)+MOD(COLUMN(CH$2),3),1,1),"")</f>
        <v>0</v>
      </c>
      <c r="CI124">
        <f ca="1">IF($AN124="",OFFSET(Demand!$A$13,ROW(S121)-1,4+((QUOTIENT(COLUMN(CI$2)-69,3))*5)+MOD(COLUMN(CI$2),3),1,1),"")</f>
        <v>0</v>
      </c>
      <c r="CJ124">
        <f ca="1">IF($AN124="",OFFSET(Demand!$A$13,ROW(T121)-1,4+((QUOTIENT(COLUMN(CJ$2)-69,3))*5)+MOD(COLUMN(CJ$2),3),1,1),"")</f>
        <v>0</v>
      </c>
      <c r="CK124">
        <f ca="1">IF($AN124="",OFFSET(Demand!$A$13,ROW(U121)-1,4+((QUOTIENT(COLUMN(CK$2)-69,3))*5)+MOD(COLUMN(CK$2),3),1,1),"")</f>
        <v>0</v>
      </c>
      <c r="CL124">
        <f ca="1">IF($AN124="",OFFSET(Demand!$A$13,ROW(V121)-1,4+((QUOTIENT(COLUMN(CL$2)-69,3))*5)+MOD(COLUMN(CL$2),3),1,1),"")</f>
        <v>0</v>
      </c>
      <c r="CM124">
        <f ca="1">IF($AN124="",OFFSET(Demand!$A$13,ROW(W121)-1,4+((QUOTIENT(COLUMN(CM$2)-69,3))*5)+MOD(COLUMN(CM$2),3),1,1),"")</f>
        <v>0</v>
      </c>
      <c r="CN124">
        <f ca="1">IF($AN124="",OFFSET(Demand!$A$13,ROW(X121)-1,4+((QUOTIENT(COLUMN(CN$2)-69,3))*5)+MOD(COLUMN(CN$2),3),1,1),"")</f>
        <v>0</v>
      </c>
      <c r="CO124">
        <f ca="1">IF($AN124="",OFFSET(Demand!$A$13,ROW(Y121)-1,4+((QUOTIENT(COLUMN(CO$2)-69,3))*5)+MOD(COLUMN(CO$2),3),1,1),"")</f>
        <v>0</v>
      </c>
      <c r="CP124">
        <f ca="1">IF($AN124="",OFFSET(Demand!$A$13,ROW(Z121)-1,4+((QUOTIENT(COLUMN(CP$2)-69,3))*5)+MOD(COLUMN(CP$2),3),1,1),"")</f>
        <v>0</v>
      </c>
      <c r="CQ124">
        <f ca="1">IF($AN124="",OFFSET(Demand!$A$13,ROW(AA121)-1,4+((QUOTIENT(COLUMN(CQ$2)-69,3))*5)+MOD(COLUMN(CQ$2),3),1,1),"")</f>
        <v>0</v>
      </c>
      <c r="CR124">
        <f ca="1">IF($AN124="",OFFSET(Demand!$A$13,ROW(AB121)-1,4+((QUOTIENT(COLUMN(CR$2)-69,3))*5)+MOD(COLUMN(CR$2),3),1,1),"")</f>
        <v>0</v>
      </c>
      <c r="CS124">
        <f ca="1">IF($AN124="",OFFSET(Demand!$A$13,ROW(AC121)-1,4+((QUOTIENT(COLUMN(CS$2)-69,3))*5)+MOD(COLUMN(CS$2),3),1,1),"")</f>
        <v>0</v>
      </c>
      <c r="CT124">
        <f ca="1">IF($AN124="",OFFSET(Demand!$A$13,ROW(AD121)-1,4+((QUOTIENT(COLUMN(CT$2)-69,3))*5)+MOD(COLUMN(CT$2),3),1,1),"")</f>
        <v>0</v>
      </c>
      <c r="CW124" s="5">
        <f ca="1">SUM(OFFSET(Demand!$H$43,ROW(A121)-1,(COLUMN(A121)-1)*5,1,1))*N$2</f>
        <v>0</v>
      </c>
      <c r="CX124" s="5">
        <f ca="1">SUM(OFFSET(Demand!$H$43,ROW(B121)-1,(COLUMN(B121)-1)*5,1,1))*O$2</f>
        <v>0</v>
      </c>
      <c r="CY124" s="5">
        <f ca="1">SUM(OFFSET(Demand!$H$43,ROW(C121)-1,(COLUMN(C121)-1)*5,1,1))*P$2</f>
        <v>0</v>
      </c>
      <c r="CZ124" s="5">
        <f ca="1">SUM(OFFSET(Demand!$H$43,ROW(D121)-1,(COLUMN(D121)-1)*5,1,1))*Q$2</f>
        <v>0</v>
      </c>
      <c r="DA124" s="5">
        <f ca="1">SUM(OFFSET(Demand!$H$43,ROW(E121)-1,(COLUMN(E121)-1)*5,1,1))*R$2</f>
        <v>0</v>
      </c>
      <c r="DB124" s="5">
        <f ca="1">SUM(OFFSET(Demand!$H$43,ROW(F121)-1,(COLUMN(F121)-1)*5,1,1))*S$2</f>
        <v>0</v>
      </c>
      <c r="DC124" s="5">
        <f ca="1">SUM(OFFSET(Demand!$H$43,ROW(G121)-1,(COLUMN(G121)-1)*5,1,1))*T$2</f>
        <v>0</v>
      </c>
      <c r="DD124" s="5">
        <f ca="1">SUM(OFFSET(Demand!$H$43,ROW(H121)-1,(COLUMN(H121)-1)*5,1,1))*U$2</f>
        <v>0</v>
      </c>
      <c r="DE124" s="5">
        <f ca="1">SUM(OFFSET(Demand!$H$43,ROW(I121)-1,(COLUMN(I121)-1)*5,1,1))*V$2</f>
        <v>0</v>
      </c>
      <c r="DF124" s="5">
        <f ca="1">SUM(OFFSET(Demand!$H$43,ROW(J121)-1,(COLUMN(J121)-1)*5,1,1))*W$2</f>
        <v>0</v>
      </c>
      <c r="DG124" s="5">
        <f t="shared" ca="1" si="36"/>
        <v>0</v>
      </c>
    </row>
    <row r="125" spans="1:111" x14ac:dyDescent="0.2">
      <c r="A125" s="5">
        <f t="shared" ca="1" si="38"/>
        <v>0</v>
      </c>
      <c r="B125" s="5">
        <f ca="1">COUNTBLANK(OFFSET(Demand!$I134,0,(COLUMN(A122)-1)*5,1,1))</f>
        <v>0</v>
      </c>
      <c r="C125" s="5">
        <f ca="1">COUNTBLANK(OFFSET(Demand!$I134,0,(COLUMN(B122)-1)*5,1,1))</f>
        <v>0</v>
      </c>
      <c r="D125" s="5">
        <f ca="1">COUNTBLANK(OFFSET(Demand!$I134,0,(COLUMN(C122)-1)*5,1,1))</f>
        <v>1</v>
      </c>
      <c r="E125" s="5">
        <f ca="1">COUNTBLANK(OFFSET(Demand!$I134,0,(COLUMN(D122)-1)*5,1,1))</f>
        <v>1</v>
      </c>
      <c r="F125" s="5">
        <f ca="1">COUNTBLANK(OFFSET(Demand!$I134,0,(COLUMN(E122)-1)*5,1,1))</f>
        <v>1</v>
      </c>
      <c r="G125" s="5">
        <f ca="1">COUNTBLANK(OFFSET(Demand!$I134,0,(COLUMN(F122)-1)*5,1,1))</f>
        <v>1</v>
      </c>
      <c r="H125" s="5">
        <f ca="1">COUNTBLANK(OFFSET(Demand!$I134,0,(COLUMN(G122)-1)*5,1,1))</f>
        <v>1</v>
      </c>
      <c r="I125" s="5">
        <f ca="1">COUNTBLANK(OFFSET(Demand!$I134,0,(COLUMN(H122)-1)*5,1,1))</f>
        <v>1</v>
      </c>
      <c r="J125" s="5">
        <f ca="1">COUNTBLANK(OFFSET(Demand!$I134,0,(COLUMN(I122)-1)*5,1,1))</f>
        <v>1</v>
      </c>
      <c r="K125" s="5">
        <f ca="1">COUNTBLANK(OFFSET(Demand!$I134,0,(COLUMN(J122)-1)*5,1,1))</f>
        <v>1</v>
      </c>
      <c r="N125" s="5">
        <f ca="1">SUM(OFFSET(Demand!$E134,0,(COLUMN(A122)-1)*5,1,3))*N$2</f>
        <v>60</v>
      </c>
      <c r="O125" s="5">
        <f ca="1">SUM(OFFSET(Demand!$E134,0,(COLUMN(B122)-1)*5,1,3))*O$2</f>
        <v>360</v>
      </c>
      <c r="P125" s="5">
        <f ca="1">SUM(OFFSET(Demand!$E134,0,(COLUMN(C122)-1)*5,1,3))*P$2</f>
        <v>0</v>
      </c>
      <c r="Q125" s="5">
        <f ca="1">SUM(OFFSET(Demand!$E134,0,(COLUMN(D122)-1)*5,1,3))*Q$2</f>
        <v>0</v>
      </c>
      <c r="R125" s="5">
        <f ca="1">SUM(OFFSET(Demand!$E134,0,(COLUMN(E122)-1)*5,1,3))*R$2</f>
        <v>0</v>
      </c>
      <c r="S125" s="5">
        <f ca="1">SUM(OFFSET(Demand!$E134,0,(COLUMN(F122)-1)*5,1,3))*S$2</f>
        <v>0</v>
      </c>
      <c r="T125" s="5">
        <f ca="1">SUM(OFFSET(Demand!$E134,0,(COLUMN(G122)-1)*5,1,3))*T$2</f>
        <v>0</v>
      </c>
      <c r="U125" s="5">
        <f ca="1">SUM(OFFSET(Demand!$E134,0,(COLUMN(H122)-1)*5,1,3))*U$2</f>
        <v>0</v>
      </c>
      <c r="V125" s="5">
        <f ca="1">SUM(OFFSET(Demand!$E134,0,(COLUMN(I122)-1)*5,1,3))*V$2</f>
        <v>0</v>
      </c>
      <c r="W125" s="5">
        <f ca="1">SUM(OFFSET(Demand!$E134,0,(COLUMN(J122)-1)*5,1,3))*W$2</f>
        <v>0</v>
      </c>
      <c r="X125" s="5">
        <f t="shared" ca="1" si="31"/>
        <v>420</v>
      </c>
      <c r="Y125">
        <f t="shared" ca="1" si="32"/>
        <v>420</v>
      </c>
      <c r="Z125" s="5">
        <f ca="1">SUM(OFFSET(Demand!$H134,0,(COLUMN(A122)-1)*5,1,1))*N$2</f>
        <v>0</v>
      </c>
      <c r="AA125" s="5">
        <f ca="1">SUM(OFFSET(Demand!$H134,0,(COLUMN(B122)-1)*5,1,1))*O$2</f>
        <v>0</v>
      </c>
      <c r="AB125" s="5">
        <f ca="1">SUM(OFFSET(Demand!$H134,0,(COLUMN(C122)-1)*5,1,1))*P$2</f>
        <v>0</v>
      </c>
      <c r="AC125" s="5">
        <f ca="1">SUM(OFFSET(Demand!$H134,0,(COLUMN(D122)-1)*5,1,1))*Q$2</f>
        <v>0</v>
      </c>
      <c r="AD125" s="5">
        <f ca="1">SUM(OFFSET(Demand!$H134,0,(COLUMN(E122)-1)*5,1,1))*R$2</f>
        <v>0</v>
      </c>
      <c r="AE125" s="5">
        <f ca="1">SUM(OFFSET(Demand!$H134,0,(COLUMN(F122)-1)*5,1,1))*S$2</f>
        <v>0</v>
      </c>
      <c r="AF125" s="5">
        <f ca="1">SUM(OFFSET(Demand!$H134,0,(COLUMN(G122)-1)*5,1,1))*T$2</f>
        <v>0</v>
      </c>
      <c r="AG125" s="5">
        <f ca="1">SUM(OFFSET(Demand!$H134,0,(COLUMN(H122)-1)*5,1,1))*U$2</f>
        <v>0</v>
      </c>
      <c r="AH125" s="5">
        <f ca="1">SUM(OFFSET(Demand!$H134,0,(COLUMN(I122)-1)*5,1,1))*V$2</f>
        <v>0</v>
      </c>
      <c r="AI125" s="5">
        <f ca="1">SUM(OFFSET(Demand!$H134,0,(COLUMN(J122)-1)*5,1,1))*W$2</f>
        <v>0</v>
      </c>
      <c r="AJ125" s="5">
        <f t="shared" ca="1" si="33"/>
        <v>0</v>
      </c>
      <c r="AL125" s="5">
        <f t="shared" ca="1" si="34"/>
        <v>420</v>
      </c>
      <c r="AM125" s="5">
        <f t="shared" ca="1" si="35"/>
        <v>0</v>
      </c>
      <c r="AN125" s="5" t="str">
        <f>IF(Demand!BE134="Yes","Yes","")</f>
        <v/>
      </c>
      <c r="AP125" s="37" t="str">
        <f ca="1">Demand!B134</f>
        <v xml:space="preserve"> </v>
      </c>
      <c r="AQ125" t="str">
        <f ca="1">IF(TEXT(Demand!D134,"MMM")&lt;&gt;TEXT(Demand!D133,"MMM"),TEXT(Demand!D134,"MMM"),"")</f>
        <v/>
      </c>
      <c r="AT125" s="5">
        <f t="shared" ca="1" si="37"/>
        <v>10</v>
      </c>
      <c r="BQ125">
        <f ca="1">IF($AN125="",OFFSET(Demand!$A$13,ROW(A122)-1,4+((QUOTIENT(COLUMN(BQ$2)-69,3))*5)+MOD(COLUMN(BQ$2),3),1,1),"")</f>
        <v>0</v>
      </c>
      <c r="BR125">
        <f ca="1">IF($AN125="",OFFSET(Demand!$A$13,ROW(B122)-1,4+((QUOTIENT(COLUMN(BR$2)-69,3))*5)+MOD(COLUMN(BR$2),3),1,1),"")</f>
        <v>0</v>
      </c>
      <c r="BS125">
        <f ca="1">IF($AN125="",OFFSET(Demand!$A$13,ROW(C122)-1,4+((QUOTIENT(COLUMN(BS$2)-69,3))*5)+MOD(COLUMN(BS$2),3),1,1),"")</f>
        <v>2</v>
      </c>
      <c r="BT125">
        <f ca="1">IF($AN125="",OFFSET(Demand!$A$13,ROW(D122)-1,4+((QUOTIENT(COLUMN(BT$2)-69,3))*5)+MOD(COLUMN(BT$2),3),1,1),"")</f>
        <v>0</v>
      </c>
      <c r="BU125">
        <f ca="1">IF($AN125="",OFFSET(Demand!$A$13,ROW(E122)-1,4+((QUOTIENT(COLUMN(BU$2)-69,3))*5)+MOD(COLUMN(BU$2),3),1,1),"")</f>
        <v>1</v>
      </c>
      <c r="BV125">
        <f ca="1">IF($AN125="",OFFSET(Demand!$A$13,ROW(F122)-1,4+((QUOTIENT(COLUMN(BV$2)-69,3))*5)+MOD(COLUMN(BV$2),3),1,1),"")</f>
        <v>8</v>
      </c>
      <c r="BW125">
        <f ca="1">IF($AN125="",OFFSET(Demand!$A$13,ROW(G122)-1,4+((QUOTIENT(COLUMN(BW$2)-69,3))*5)+MOD(COLUMN(BW$2),3),1,1),"")</f>
        <v>0</v>
      </c>
      <c r="BX125">
        <f ca="1">IF($AN125="",OFFSET(Demand!$A$13,ROW(H122)-1,4+((QUOTIENT(COLUMN(BX$2)-69,3))*5)+MOD(COLUMN(BX$2),3),1,1),"")</f>
        <v>0</v>
      </c>
      <c r="BY125">
        <f ca="1">IF($AN125="",OFFSET(Demand!$A$13,ROW(I122)-1,4+((QUOTIENT(COLUMN(BY$2)-69,3))*5)+MOD(COLUMN(BY$2),3),1,1),"")</f>
        <v>0</v>
      </c>
      <c r="BZ125">
        <f ca="1">IF($AN125="",OFFSET(Demand!$A$13,ROW(J122)-1,4+((QUOTIENT(COLUMN(BZ$2)-69,3))*5)+MOD(COLUMN(BZ$2),3),1,1),"")</f>
        <v>0</v>
      </c>
      <c r="CA125">
        <f ca="1">IF($AN125="",OFFSET(Demand!$A$13,ROW(K122)-1,4+((QUOTIENT(COLUMN(CA$2)-69,3))*5)+MOD(COLUMN(CA$2),3),1,1),"")</f>
        <v>0</v>
      </c>
      <c r="CB125">
        <f ca="1">IF($AN125="",OFFSET(Demand!$A$13,ROW(L122)-1,4+((QUOTIENT(COLUMN(CB$2)-69,3))*5)+MOD(COLUMN(CB$2),3),1,1),"")</f>
        <v>0</v>
      </c>
      <c r="CC125">
        <f ca="1">IF($AN125="",OFFSET(Demand!$A$13,ROW(M122)-1,4+((QUOTIENT(COLUMN(CC$2)-69,3))*5)+MOD(COLUMN(CC$2),3),1,1),"")</f>
        <v>0</v>
      </c>
      <c r="CD125">
        <f ca="1">IF($AN125="",OFFSET(Demand!$A$13,ROW(N122)-1,4+((QUOTIENT(COLUMN(CD$2)-69,3))*5)+MOD(COLUMN(CD$2),3),1,1),"")</f>
        <v>0</v>
      </c>
      <c r="CE125">
        <f ca="1">IF($AN125="",OFFSET(Demand!$A$13,ROW(O122)-1,4+((QUOTIENT(COLUMN(CE$2)-69,3))*5)+MOD(COLUMN(CE$2),3),1,1),"")</f>
        <v>0</v>
      </c>
      <c r="CF125">
        <f ca="1">IF($AN125="",OFFSET(Demand!$A$13,ROW(P122)-1,4+((QUOTIENT(COLUMN(CF$2)-69,3))*5)+MOD(COLUMN(CF$2),3),1,1),"")</f>
        <v>0</v>
      </c>
      <c r="CG125">
        <f ca="1">IF($AN125="",OFFSET(Demand!$A$13,ROW(Q122)-1,4+((QUOTIENT(COLUMN(CG$2)-69,3))*5)+MOD(COLUMN(CG$2),3),1,1),"")</f>
        <v>0</v>
      </c>
      <c r="CH125">
        <f ca="1">IF($AN125="",OFFSET(Demand!$A$13,ROW(R122)-1,4+((QUOTIENT(COLUMN(CH$2)-69,3))*5)+MOD(COLUMN(CH$2),3),1,1),"")</f>
        <v>0</v>
      </c>
      <c r="CI125">
        <f ca="1">IF($AN125="",OFFSET(Demand!$A$13,ROW(S122)-1,4+((QUOTIENT(COLUMN(CI$2)-69,3))*5)+MOD(COLUMN(CI$2),3),1,1),"")</f>
        <v>0</v>
      </c>
      <c r="CJ125">
        <f ca="1">IF($AN125="",OFFSET(Demand!$A$13,ROW(T122)-1,4+((QUOTIENT(COLUMN(CJ$2)-69,3))*5)+MOD(COLUMN(CJ$2),3),1,1),"")</f>
        <v>0</v>
      </c>
      <c r="CK125">
        <f ca="1">IF($AN125="",OFFSET(Demand!$A$13,ROW(U122)-1,4+((QUOTIENT(COLUMN(CK$2)-69,3))*5)+MOD(COLUMN(CK$2),3),1,1),"")</f>
        <v>0</v>
      </c>
      <c r="CL125">
        <f ca="1">IF($AN125="",OFFSET(Demand!$A$13,ROW(V122)-1,4+((QUOTIENT(COLUMN(CL$2)-69,3))*5)+MOD(COLUMN(CL$2),3),1,1),"")</f>
        <v>0</v>
      </c>
      <c r="CM125">
        <f ca="1">IF($AN125="",OFFSET(Demand!$A$13,ROW(W122)-1,4+((QUOTIENT(COLUMN(CM$2)-69,3))*5)+MOD(COLUMN(CM$2),3),1,1),"")</f>
        <v>0</v>
      </c>
      <c r="CN125">
        <f ca="1">IF($AN125="",OFFSET(Demand!$A$13,ROW(X122)-1,4+((QUOTIENT(COLUMN(CN$2)-69,3))*5)+MOD(COLUMN(CN$2),3),1,1),"")</f>
        <v>0</v>
      </c>
      <c r="CO125">
        <f ca="1">IF($AN125="",OFFSET(Demand!$A$13,ROW(Y122)-1,4+((QUOTIENT(COLUMN(CO$2)-69,3))*5)+MOD(COLUMN(CO$2),3),1,1),"")</f>
        <v>0</v>
      </c>
      <c r="CP125">
        <f ca="1">IF($AN125="",OFFSET(Demand!$A$13,ROW(Z122)-1,4+((QUOTIENT(COLUMN(CP$2)-69,3))*5)+MOD(COLUMN(CP$2),3),1,1),"")</f>
        <v>0</v>
      </c>
      <c r="CQ125">
        <f ca="1">IF($AN125="",OFFSET(Demand!$A$13,ROW(AA122)-1,4+((QUOTIENT(COLUMN(CQ$2)-69,3))*5)+MOD(COLUMN(CQ$2),3),1,1),"")</f>
        <v>0</v>
      </c>
      <c r="CR125">
        <f ca="1">IF($AN125="",OFFSET(Demand!$A$13,ROW(AB122)-1,4+((QUOTIENT(COLUMN(CR$2)-69,3))*5)+MOD(COLUMN(CR$2),3),1,1),"")</f>
        <v>0</v>
      </c>
      <c r="CS125">
        <f ca="1">IF($AN125="",OFFSET(Demand!$A$13,ROW(AC122)-1,4+((QUOTIENT(COLUMN(CS$2)-69,3))*5)+MOD(COLUMN(CS$2),3),1,1),"")</f>
        <v>0</v>
      </c>
      <c r="CT125">
        <f ca="1">IF($AN125="",OFFSET(Demand!$A$13,ROW(AD122)-1,4+((QUOTIENT(COLUMN(CT$2)-69,3))*5)+MOD(COLUMN(CT$2),3),1,1),"")</f>
        <v>0</v>
      </c>
      <c r="CW125" s="5">
        <f ca="1">SUM(OFFSET(Demand!$H$43,ROW(A122)-1,(COLUMN(A122)-1)*5,1,1))*N$2</f>
        <v>0</v>
      </c>
      <c r="CX125" s="5">
        <f ca="1">SUM(OFFSET(Demand!$H$43,ROW(B122)-1,(COLUMN(B122)-1)*5,1,1))*O$2</f>
        <v>0</v>
      </c>
      <c r="CY125" s="5">
        <f ca="1">SUM(OFFSET(Demand!$H$43,ROW(C122)-1,(COLUMN(C122)-1)*5,1,1))*P$2</f>
        <v>0</v>
      </c>
      <c r="CZ125" s="5">
        <f ca="1">SUM(OFFSET(Demand!$H$43,ROW(D122)-1,(COLUMN(D122)-1)*5,1,1))*Q$2</f>
        <v>0</v>
      </c>
      <c r="DA125" s="5">
        <f ca="1">SUM(OFFSET(Demand!$H$43,ROW(E122)-1,(COLUMN(E122)-1)*5,1,1))*R$2</f>
        <v>0</v>
      </c>
      <c r="DB125" s="5">
        <f ca="1">SUM(OFFSET(Demand!$H$43,ROW(F122)-1,(COLUMN(F122)-1)*5,1,1))*S$2</f>
        <v>0</v>
      </c>
      <c r="DC125" s="5">
        <f ca="1">SUM(OFFSET(Demand!$H$43,ROW(G122)-1,(COLUMN(G122)-1)*5,1,1))*T$2</f>
        <v>0</v>
      </c>
      <c r="DD125" s="5">
        <f ca="1">SUM(OFFSET(Demand!$H$43,ROW(H122)-1,(COLUMN(H122)-1)*5,1,1))*U$2</f>
        <v>0</v>
      </c>
      <c r="DE125" s="5">
        <f ca="1">SUM(OFFSET(Demand!$H$43,ROW(I122)-1,(COLUMN(I122)-1)*5,1,1))*V$2</f>
        <v>0</v>
      </c>
      <c r="DF125" s="5">
        <f ca="1">SUM(OFFSET(Demand!$H$43,ROW(J122)-1,(COLUMN(J122)-1)*5,1,1))*W$2</f>
        <v>0</v>
      </c>
      <c r="DG125" s="5">
        <f t="shared" ca="1" si="36"/>
        <v>0</v>
      </c>
    </row>
    <row r="126" spans="1:111" x14ac:dyDescent="0.2">
      <c r="A126" s="5">
        <f t="shared" ca="1" si="38"/>
        <v>0</v>
      </c>
      <c r="B126" s="5">
        <f ca="1">COUNTBLANK(OFFSET(Demand!$I135,0,(COLUMN(A123)-1)*5,1,1))</f>
        <v>0</v>
      </c>
      <c r="C126" s="5">
        <f ca="1">COUNTBLANK(OFFSET(Demand!$I135,0,(COLUMN(B123)-1)*5,1,1))</f>
        <v>0</v>
      </c>
      <c r="D126" s="5">
        <f ca="1">COUNTBLANK(OFFSET(Demand!$I135,0,(COLUMN(C123)-1)*5,1,1))</f>
        <v>1</v>
      </c>
      <c r="E126" s="5">
        <f ca="1">COUNTBLANK(OFFSET(Demand!$I135,0,(COLUMN(D123)-1)*5,1,1))</f>
        <v>1</v>
      </c>
      <c r="F126" s="5">
        <f ca="1">COUNTBLANK(OFFSET(Demand!$I135,0,(COLUMN(E123)-1)*5,1,1))</f>
        <v>1</v>
      </c>
      <c r="G126" s="5">
        <f ca="1">COUNTBLANK(OFFSET(Demand!$I135,0,(COLUMN(F123)-1)*5,1,1))</f>
        <v>1</v>
      </c>
      <c r="H126" s="5">
        <f ca="1">COUNTBLANK(OFFSET(Demand!$I135,0,(COLUMN(G123)-1)*5,1,1))</f>
        <v>1</v>
      </c>
      <c r="I126" s="5">
        <f ca="1">COUNTBLANK(OFFSET(Demand!$I135,0,(COLUMN(H123)-1)*5,1,1))</f>
        <v>1</v>
      </c>
      <c r="J126" s="5">
        <f ca="1">COUNTBLANK(OFFSET(Demand!$I135,0,(COLUMN(I123)-1)*5,1,1))</f>
        <v>1</v>
      </c>
      <c r="K126" s="5">
        <f ca="1">COUNTBLANK(OFFSET(Demand!$I135,0,(COLUMN(J123)-1)*5,1,1))</f>
        <v>1</v>
      </c>
      <c r="N126" s="5">
        <f ca="1">SUM(OFFSET(Demand!$E135,0,(COLUMN(A123)-1)*5,1,3))*N$2</f>
        <v>30</v>
      </c>
      <c r="O126" s="5">
        <f ca="1">SUM(OFFSET(Demand!$E135,0,(COLUMN(B123)-1)*5,1,3))*O$2</f>
        <v>240</v>
      </c>
      <c r="P126" s="5">
        <f ca="1">SUM(OFFSET(Demand!$E135,0,(COLUMN(C123)-1)*5,1,3))*P$2</f>
        <v>0</v>
      </c>
      <c r="Q126" s="5">
        <f ca="1">SUM(OFFSET(Demand!$E135,0,(COLUMN(D123)-1)*5,1,3))*Q$2</f>
        <v>0</v>
      </c>
      <c r="R126" s="5">
        <f ca="1">SUM(OFFSET(Demand!$E135,0,(COLUMN(E123)-1)*5,1,3))*R$2</f>
        <v>0</v>
      </c>
      <c r="S126" s="5">
        <f ca="1">SUM(OFFSET(Demand!$E135,0,(COLUMN(F123)-1)*5,1,3))*S$2</f>
        <v>0</v>
      </c>
      <c r="T126" s="5">
        <f ca="1">SUM(OFFSET(Demand!$E135,0,(COLUMN(G123)-1)*5,1,3))*T$2</f>
        <v>0</v>
      </c>
      <c r="U126" s="5">
        <f ca="1">SUM(OFFSET(Demand!$E135,0,(COLUMN(H123)-1)*5,1,3))*U$2</f>
        <v>0</v>
      </c>
      <c r="V126" s="5">
        <f ca="1">SUM(OFFSET(Demand!$E135,0,(COLUMN(I123)-1)*5,1,3))*V$2</f>
        <v>0</v>
      </c>
      <c r="W126" s="5">
        <f ca="1">SUM(OFFSET(Demand!$E135,0,(COLUMN(J123)-1)*5,1,3))*W$2</f>
        <v>0</v>
      </c>
      <c r="X126" s="5">
        <f t="shared" ca="1" si="31"/>
        <v>270</v>
      </c>
      <c r="Y126">
        <f t="shared" ca="1" si="32"/>
        <v>270</v>
      </c>
      <c r="Z126" s="5">
        <f ca="1">SUM(OFFSET(Demand!$H135,0,(COLUMN(A123)-1)*5,1,1))*N$2</f>
        <v>0</v>
      </c>
      <c r="AA126" s="5">
        <f ca="1">SUM(OFFSET(Demand!$H135,0,(COLUMN(B123)-1)*5,1,1))*O$2</f>
        <v>0</v>
      </c>
      <c r="AB126" s="5">
        <f ca="1">SUM(OFFSET(Demand!$H135,0,(COLUMN(C123)-1)*5,1,1))*P$2</f>
        <v>0</v>
      </c>
      <c r="AC126" s="5">
        <f ca="1">SUM(OFFSET(Demand!$H135,0,(COLUMN(D123)-1)*5,1,1))*Q$2</f>
        <v>0</v>
      </c>
      <c r="AD126" s="5">
        <f ca="1">SUM(OFFSET(Demand!$H135,0,(COLUMN(E123)-1)*5,1,1))*R$2</f>
        <v>0</v>
      </c>
      <c r="AE126" s="5">
        <f ca="1">SUM(OFFSET(Demand!$H135,0,(COLUMN(F123)-1)*5,1,1))*S$2</f>
        <v>0</v>
      </c>
      <c r="AF126" s="5">
        <f ca="1">SUM(OFFSET(Demand!$H135,0,(COLUMN(G123)-1)*5,1,1))*T$2</f>
        <v>0</v>
      </c>
      <c r="AG126" s="5">
        <f ca="1">SUM(OFFSET(Demand!$H135,0,(COLUMN(H123)-1)*5,1,1))*U$2</f>
        <v>0</v>
      </c>
      <c r="AH126" s="5">
        <f ca="1">SUM(OFFSET(Demand!$H135,0,(COLUMN(I123)-1)*5,1,1))*V$2</f>
        <v>0</v>
      </c>
      <c r="AI126" s="5">
        <f ca="1">SUM(OFFSET(Demand!$H135,0,(COLUMN(J123)-1)*5,1,1))*W$2</f>
        <v>0</v>
      </c>
      <c r="AJ126" s="5">
        <f t="shared" ca="1" si="33"/>
        <v>0</v>
      </c>
      <c r="AL126" s="5">
        <f t="shared" ca="1" si="34"/>
        <v>270</v>
      </c>
      <c r="AM126" s="5">
        <f t="shared" ca="1" si="35"/>
        <v>0</v>
      </c>
      <c r="AN126" s="5" t="str">
        <f>IF(Demand!BE135="Yes","Yes","")</f>
        <v/>
      </c>
      <c r="AP126" s="37" t="str">
        <f ca="1">Demand!B135</f>
        <v xml:space="preserve"> </v>
      </c>
      <c r="AQ126" t="str">
        <f ca="1">IF(TEXT(Demand!D135,"MMM")&lt;&gt;TEXT(Demand!D134,"MMM"),TEXT(Demand!D135,"MMM"),"")</f>
        <v>Aug</v>
      </c>
      <c r="AT126" s="5">
        <f t="shared" ca="1" si="37"/>
        <v>150</v>
      </c>
      <c r="BQ126">
        <f ca="1">IF($AN126="",OFFSET(Demand!$A$13,ROW(A123)-1,4+((QUOTIENT(COLUMN(BQ$2)-69,3))*5)+MOD(COLUMN(BQ$2),3),1,1),"")</f>
        <v>0</v>
      </c>
      <c r="BR126">
        <f ca="1">IF($AN126="",OFFSET(Demand!$A$13,ROW(B123)-1,4+((QUOTIENT(COLUMN(BR$2)-69,3))*5)+MOD(COLUMN(BR$2),3),1,1),"")</f>
        <v>0</v>
      </c>
      <c r="BS126">
        <f ca="1">IF($AN126="",OFFSET(Demand!$A$13,ROW(C123)-1,4+((QUOTIENT(COLUMN(BS$2)-69,3))*5)+MOD(COLUMN(BS$2),3),1,1),"")</f>
        <v>1</v>
      </c>
      <c r="BT126">
        <f ca="1">IF($AN126="",OFFSET(Demand!$A$13,ROW(D123)-1,4+((QUOTIENT(COLUMN(BT$2)-69,3))*5)+MOD(COLUMN(BT$2),3),1,1),"")</f>
        <v>0</v>
      </c>
      <c r="BU126">
        <f ca="1">IF($AN126="",OFFSET(Demand!$A$13,ROW(E123)-1,4+((QUOTIENT(COLUMN(BU$2)-69,3))*5)+MOD(COLUMN(BU$2),3),1,1),"")</f>
        <v>1</v>
      </c>
      <c r="BV126">
        <f ca="1">IF($AN126="",OFFSET(Demand!$A$13,ROW(F123)-1,4+((QUOTIENT(COLUMN(BV$2)-69,3))*5)+MOD(COLUMN(BV$2),3),1,1),"")</f>
        <v>5</v>
      </c>
      <c r="BW126">
        <f ca="1">IF($AN126="",OFFSET(Demand!$A$13,ROW(G123)-1,4+((QUOTIENT(COLUMN(BW$2)-69,3))*5)+MOD(COLUMN(BW$2),3),1,1),"")</f>
        <v>0</v>
      </c>
      <c r="BX126">
        <f ca="1">IF($AN126="",OFFSET(Demand!$A$13,ROW(H123)-1,4+((QUOTIENT(COLUMN(BX$2)-69,3))*5)+MOD(COLUMN(BX$2),3),1,1),"")</f>
        <v>0</v>
      </c>
      <c r="BY126">
        <f ca="1">IF($AN126="",OFFSET(Demand!$A$13,ROW(I123)-1,4+((QUOTIENT(COLUMN(BY$2)-69,3))*5)+MOD(COLUMN(BY$2),3),1,1),"")</f>
        <v>0</v>
      </c>
      <c r="BZ126">
        <f ca="1">IF($AN126="",OFFSET(Demand!$A$13,ROW(J123)-1,4+((QUOTIENT(COLUMN(BZ$2)-69,3))*5)+MOD(COLUMN(BZ$2),3),1,1),"")</f>
        <v>0</v>
      </c>
      <c r="CA126">
        <f ca="1">IF($AN126="",OFFSET(Demand!$A$13,ROW(K123)-1,4+((QUOTIENT(COLUMN(CA$2)-69,3))*5)+MOD(COLUMN(CA$2),3),1,1),"")</f>
        <v>0</v>
      </c>
      <c r="CB126">
        <f ca="1">IF($AN126="",OFFSET(Demand!$A$13,ROW(L123)-1,4+((QUOTIENT(COLUMN(CB$2)-69,3))*5)+MOD(COLUMN(CB$2),3),1,1),"")</f>
        <v>0</v>
      </c>
      <c r="CC126">
        <f ca="1">IF($AN126="",OFFSET(Demand!$A$13,ROW(M123)-1,4+((QUOTIENT(COLUMN(CC$2)-69,3))*5)+MOD(COLUMN(CC$2),3),1,1),"")</f>
        <v>0</v>
      </c>
      <c r="CD126">
        <f ca="1">IF($AN126="",OFFSET(Demand!$A$13,ROW(N123)-1,4+((QUOTIENT(COLUMN(CD$2)-69,3))*5)+MOD(COLUMN(CD$2),3),1,1),"")</f>
        <v>0</v>
      </c>
      <c r="CE126">
        <f ca="1">IF($AN126="",OFFSET(Demand!$A$13,ROW(O123)-1,4+((QUOTIENT(COLUMN(CE$2)-69,3))*5)+MOD(COLUMN(CE$2),3),1,1),"")</f>
        <v>0</v>
      </c>
      <c r="CF126">
        <f ca="1">IF($AN126="",OFFSET(Demand!$A$13,ROW(P123)-1,4+((QUOTIENT(COLUMN(CF$2)-69,3))*5)+MOD(COLUMN(CF$2),3),1,1),"")</f>
        <v>0</v>
      </c>
      <c r="CG126">
        <f ca="1">IF($AN126="",OFFSET(Demand!$A$13,ROW(Q123)-1,4+((QUOTIENT(COLUMN(CG$2)-69,3))*5)+MOD(COLUMN(CG$2),3),1,1),"")</f>
        <v>0</v>
      </c>
      <c r="CH126">
        <f ca="1">IF($AN126="",OFFSET(Demand!$A$13,ROW(R123)-1,4+((QUOTIENT(COLUMN(CH$2)-69,3))*5)+MOD(COLUMN(CH$2),3),1,1),"")</f>
        <v>0</v>
      </c>
      <c r="CI126">
        <f ca="1">IF($AN126="",OFFSET(Demand!$A$13,ROW(S123)-1,4+((QUOTIENT(COLUMN(CI$2)-69,3))*5)+MOD(COLUMN(CI$2),3),1,1),"")</f>
        <v>0</v>
      </c>
      <c r="CJ126">
        <f ca="1">IF($AN126="",OFFSET(Demand!$A$13,ROW(T123)-1,4+((QUOTIENT(COLUMN(CJ$2)-69,3))*5)+MOD(COLUMN(CJ$2),3),1,1),"")</f>
        <v>0</v>
      </c>
      <c r="CK126">
        <f ca="1">IF($AN126="",OFFSET(Demand!$A$13,ROW(U123)-1,4+((QUOTIENT(COLUMN(CK$2)-69,3))*5)+MOD(COLUMN(CK$2),3),1,1),"")</f>
        <v>0</v>
      </c>
      <c r="CL126">
        <f ca="1">IF($AN126="",OFFSET(Demand!$A$13,ROW(V123)-1,4+((QUOTIENT(COLUMN(CL$2)-69,3))*5)+MOD(COLUMN(CL$2),3),1,1),"")</f>
        <v>0</v>
      </c>
      <c r="CM126">
        <f ca="1">IF($AN126="",OFFSET(Demand!$A$13,ROW(W123)-1,4+((QUOTIENT(COLUMN(CM$2)-69,3))*5)+MOD(COLUMN(CM$2),3),1,1),"")</f>
        <v>0</v>
      </c>
      <c r="CN126">
        <f ca="1">IF($AN126="",OFFSET(Demand!$A$13,ROW(X123)-1,4+((QUOTIENT(COLUMN(CN$2)-69,3))*5)+MOD(COLUMN(CN$2),3),1,1),"")</f>
        <v>0</v>
      </c>
      <c r="CO126">
        <f ca="1">IF($AN126="",OFFSET(Demand!$A$13,ROW(Y123)-1,4+((QUOTIENT(COLUMN(CO$2)-69,3))*5)+MOD(COLUMN(CO$2),3),1,1),"")</f>
        <v>0</v>
      </c>
      <c r="CP126">
        <f ca="1">IF($AN126="",OFFSET(Demand!$A$13,ROW(Z123)-1,4+((QUOTIENT(COLUMN(CP$2)-69,3))*5)+MOD(COLUMN(CP$2),3),1,1),"")</f>
        <v>0</v>
      </c>
      <c r="CQ126">
        <f ca="1">IF($AN126="",OFFSET(Demand!$A$13,ROW(AA123)-1,4+((QUOTIENT(COLUMN(CQ$2)-69,3))*5)+MOD(COLUMN(CQ$2),3),1,1),"")</f>
        <v>0</v>
      </c>
      <c r="CR126">
        <f ca="1">IF($AN126="",OFFSET(Demand!$A$13,ROW(AB123)-1,4+((QUOTIENT(COLUMN(CR$2)-69,3))*5)+MOD(COLUMN(CR$2),3),1,1),"")</f>
        <v>0</v>
      </c>
      <c r="CS126">
        <f ca="1">IF($AN126="",OFFSET(Demand!$A$13,ROW(AC123)-1,4+((QUOTIENT(COLUMN(CS$2)-69,3))*5)+MOD(COLUMN(CS$2),3),1,1),"")</f>
        <v>0</v>
      </c>
      <c r="CT126">
        <f ca="1">IF($AN126="",OFFSET(Demand!$A$13,ROW(AD123)-1,4+((QUOTIENT(COLUMN(CT$2)-69,3))*5)+MOD(COLUMN(CT$2),3),1,1),"")</f>
        <v>0</v>
      </c>
      <c r="CW126" s="5">
        <f ca="1">SUM(OFFSET(Demand!$H$43,ROW(A123)-1,(COLUMN(A123)-1)*5,1,1))*N$2</f>
        <v>0</v>
      </c>
      <c r="CX126" s="5">
        <f ca="1">SUM(OFFSET(Demand!$H$43,ROW(B123)-1,(COLUMN(B123)-1)*5,1,1))*O$2</f>
        <v>0</v>
      </c>
      <c r="CY126" s="5">
        <f ca="1">SUM(OFFSET(Demand!$H$43,ROW(C123)-1,(COLUMN(C123)-1)*5,1,1))*P$2</f>
        <v>0</v>
      </c>
      <c r="CZ126" s="5">
        <f ca="1">SUM(OFFSET(Demand!$H$43,ROW(D123)-1,(COLUMN(D123)-1)*5,1,1))*Q$2</f>
        <v>0</v>
      </c>
      <c r="DA126" s="5">
        <f ca="1">SUM(OFFSET(Demand!$H$43,ROW(E123)-1,(COLUMN(E123)-1)*5,1,1))*R$2</f>
        <v>0</v>
      </c>
      <c r="DB126" s="5">
        <f ca="1">SUM(OFFSET(Demand!$H$43,ROW(F123)-1,(COLUMN(F123)-1)*5,1,1))*S$2</f>
        <v>0</v>
      </c>
      <c r="DC126" s="5">
        <f ca="1">SUM(OFFSET(Demand!$H$43,ROW(G123)-1,(COLUMN(G123)-1)*5,1,1))*T$2</f>
        <v>0</v>
      </c>
      <c r="DD126" s="5">
        <f ca="1">SUM(OFFSET(Demand!$H$43,ROW(H123)-1,(COLUMN(H123)-1)*5,1,1))*U$2</f>
        <v>0</v>
      </c>
      <c r="DE126" s="5">
        <f ca="1">SUM(OFFSET(Demand!$H$43,ROW(I123)-1,(COLUMN(I123)-1)*5,1,1))*V$2</f>
        <v>0</v>
      </c>
      <c r="DF126" s="5">
        <f ca="1">SUM(OFFSET(Demand!$H$43,ROW(J123)-1,(COLUMN(J123)-1)*5,1,1))*W$2</f>
        <v>0</v>
      </c>
      <c r="DG126" s="5">
        <f t="shared" ca="1" si="36"/>
        <v>0</v>
      </c>
    </row>
    <row r="127" spans="1:111" x14ac:dyDescent="0.2">
      <c r="A127" s="5">
        <f t="shared" ca="1" si="38"/>
        <v>0</v>
      </c>
      <c r="B127" s="5">
        <f ca="1">COUNTBLANK(OFFSET(Demand!$I136,0,(COLUMN(A124)-1)*5,1,1))</f>
        <v>0</v>
      </c>
      <c r="C127" s="5">
        <f ca="1">COUNTBLANK(OFFSET(Demand!$I136,0,(COLUMN(B124)-1)*5,1,1))</f>
        <v>0</v>
      </c>
      <c r="D127" s="5">
        <f ca="1">COUNTBLANK(OFFSET(Demand!$I136,0,(COLUMN(C124)-1)*5,1,1))</f>
        <v>1</v>
      </c>
      <c r="E127" s="5">
        <f ca="1">COUNTBLANK(OFFSET(Demand!$I136,0,(COLUMN(D124)-1)*5,1,1))</f>
        <v>1</v>
      </c>
      <c r="F127" s="5">
        <f ca="1">COUNTBLANK(OFFSET(Demand!$I136,0,(COLUMN(E124)-1)*5,1,1))</f>
        <v>1</v>
      </c>
      <c r="G127" s="5">
        <f ca="1">COUNTBLANK(OFFSET(Demand!$I136,0,(COLUMN(F124)-1)*5,1,1))</f>
        <v>1</v>
      </c>
      <c r="H127" s="5">
        <f ca="1">COUNTBLANK(OFFSET(Demand!$I136,0,(COLUMN(G124)-1)*5,1,1))</f>
        <v>1</v>
      </c>
      <c r="I127" s="5">
        <f ca="1">COUNTBLANK(OFFSET(Demand!$I136,0,(COLUMN(H124)-1)*5,1,1))</f>
        <v>1</v>
      </c>
      <c r="J127" s="5">
        <f ca="1">COUNTBLANK(OFFSET(Demand!$I136,0,(COLUMN(I124)-1)*5,1,1))</f>
        <v>1</v>
      </c>
      <c r="K127" s="5">
        <f ca="1">COUNTBLANK(OFFSET(Demand!$I136,0,(COLUMN(J124)-1)*5,1,1))</f>
        <v>1</v>
      </c>
      <c r="N127" s="5">
        <f ca="1">SUM(OFFSET(Demand!$E136,0,(COLUMN(A124)-1)*5,1,3))*N$2</f>
        <v>150</v>
      </c>
      <c r="O127" s="5">
        <f ca="1">SUM(OFFSET(Demand!$E136,0,(COLUMN(B124)-1)*5,1,3))*O$2</f>
        <v>360</v>
      </c>
      <c r="P127" s="5">
        <f ca="1">SUM(OFFSET(Demand!$E136,0,(COLUMN(C124)-1)*5,1,3))*P$2</f>
        <v>0</v>
      </c>
      <c r="Q127" s="5">
        <f ca="1">SUM(OFFSET(Demand!$E136,0,(COLUMN(D124)-1)*5,1,3))*Q$2</f>
        <v>0</v>
      </c>
      <c r="R127" s="5">
        <f ca="1">SUM(OFFSET(Demand!$E136,0,(COLUMN(E124)-1)*5,1,3))*R$2</f>
        <v>0</v>
      </c>
      <c r="S127" s="5">
        <f ca="1">SUM(OFFSET(Demand!$E136,0,(COLUMN(F124)-1)*5,1,3))*S$2</f>
        <v>0</v>
      </c>
      <c r="T127" s="5">
        <f ca="1">SUM(OFFSET(Demand!$E136,0,(COLUMN(G124)-1)*5,1,3))*T$2</f>
        <v>0</v>
      </c>
      <c r="U127" s="5">
        <f ca="1">SUM(OFFSET(Demand!$E136,0,(COLUMN(H124)-1)*5,1,3))*U$2</f>
        <v>0</v>
      </c>
      <c r="V127" s="5">
        <f ca="1">SUM(OFFSET(Demand!$E136,0,(COLUMN(I124)-1)*5,1,3))*V$2</f>
        <v>0</v>
      </c>
      <c r="W127" s="5">
        <f ca="1">SUM(OFFSET(Demand!$E136,0,(COLUMN(J124)-1)*5,1,3))*W$2</f>
        <v>0</v>
      </c>
      <c r="X127" s="5">
        <f t="shared" ca="1" si="31"/>
        <v>510</v>
      </c>
      <c r="Y127">
        <f t="shared" ca="1" si="32"/>
        <v>510</v>
      </c>
      <c r="Z127" s="5">
        <f ca="1">SUM(OFFSET(Demand!$H136,0,(COLUMN(A124)-1)*5,1,1))*N$2</f>
        <v>0</v>
      </c>
      <c r="AA127" s="5">
        <f ca="1">SUM(OFFSET(Demand!$H136,0,(COLUMN(B124)-1)*5,1,1))*O$2</f>
        <v>0</v>
      </c>
      <c r="AB127" s="5">
        <f ca="1">SUM(OFFSET(Demand!$H136,0,(COLUMN(C124)-1)*5,1,1))*P$2</f>
        <v>0</v>
      </c>
      <c r="AC127" s="5">
        <f ca="1">SUM(OFFSET(Demand!$H136,0,(COLUMN(D124)-1)*5,1,1))*Q$2</f>
        <v>0</v>
      </c>
      <c r="AD127" s="5">
        <f ca="1">SUM(OFFSET(Demand!$H136,0,(COLUMN(E124)-1)*5,1,1))*R$2</f>
        <v>0</v>
      </c>
      <c r="AE127" s="5">
        <f ca="1">SUM(OFFSET(Demand!$H136,0,(COLUMN(F124)-1)*5,1,1))*S$2</f>
        <v>0</v>
      </c>
      <c r="AF127" s="5">
        <f ca="1">SUM(OFFSET(Demand!$H136,0,(COLUMN(G124)-1)*5,1,1))*T$2</f>
        <v>0</v>
      </c>
      <c r="AG127" s="5">
        <f ca="1">SUM(OFFSET(Demand!$H136,0,(COLUMN(H124)-1)*5,1,1))*U$2</f>
        <v>0</v>
      </c>
      <c r="AH127" s="5">
        <f ca="1">SUM(OFFSET(Demand!$H136,0,(COLUMN(I124)-1)*5,1,1))*V$2</f>
        <v>0</v>
      </c>
      <c r="AI127" s="5">
        <f ca="1">SUM(OFFSET(Demand!$H136,0,(COLUMN(J124)-1)*5,1,1))*W$2</f>
        <v>0</v>
      </c>
      <c r="AJ127" s="5">
        <f t="shared" ca="1" si="33"/>
        <v>0</v>
      </c>
      <c r="AL127" s="5">
        <f t="shared" ca="1" si="34"/>
        <v>510</v>
      </c>
      <c r="AM127" s="5">
        <f t="shared" ca="1" si="35"/>
        <v>0</v>
      </c>
      <c r="AN127" s="5" t="str">
        <f>IF(Demand!BE136="Yes","Yes","")</f>
        <v/>
      </c>
      <c r="AP127" s="37" t="str">
        <f ca="1">Demand!B136</f>
        <v xml:space="preserve"> </v>
      </c>
      <c r="AQ127" t="str">
        <f ca="1">IF(TEXT(Demand!D136,"MMM")&lt;&gt;TEXT(Demand!D135,"MMM"),TEXT(Demand!D136,"MMM"),"")</f>
        <v/>
      </c>
      <c r="AT127" s="5">
        <f t="shared" ca="1" si="37"/>
        <v>240</v>
      </c>
      <c r="BQ127">
        <f ca="1">IF($AN127="",OFFSET(Demand!$A$13,ROW(A124)-1,4+((QUOTIENT(COLUMN(BQ$2)-69,3))*5)+MOD(COLUMN(BQ$2),3),1,1),"")</f>
        <v>0</v>
      </c>
      <c r="BR127">
        <f ca="1">IF($AN127="",OFFSET(Demand!$A$13,ROW(B124)-1,4+((QUOTIENT(COLUMN(BR$2)-69,3))*5)+MOD(COLUMN(BR$2),3),1,1),"")</f>
        <v>1</v>
      </c>
      <c r="BS127">
        <f ca="1">IF($AN127="",OFFSET(Demand!$A$13,ROW(C124)-1,4+((QUOTIENT(COLUMN(BS$2)-69,3))*5)+MOD(COLUMN(BS$2),3),1,1),"")</f>
        <v>4</v>
      </c>
      <c r="BT127">
        <f ca="1">IF($AN127="",OFFSET(Demand!$A$13,ROW(D124)-1,4+((QUOTIENT(COLUMN(BT$2)-69,3))*5)+MOD(COLUMN(BT$2),3),1,1),"")</f>
        <v>0</v>
      </c>
      <c r="BU127">
        <f ca="1">IF($AN127="",OFFSET(Demand!$A$13,ROW(E124)-1,4+((QUOTIENT(COLUMN(BU$2)-69,3))*5)+MOD(COLUMN(BU$2),3),1,1),"")</f>
        <v>1</v>
      </c>
      <c r="BV127">
        <f ca="1">IF($AN127="",OFFSET(Demand!$A$13,ROW(F124)-1,4+((QUOTIENT(COLUMN(BV$2)-69,3))*5)+MOD(COLUMN(BV$2),3),1,1),"")</f>
        <v>8</v>
      </c>
      <c r="BW127">
        <f ca="1">IF($AN127="",OFFSET(Demand!$A$13,ROW(G124)-1,4+((QUOTIENT(COLUMN(BW$2)-69,3))*5)+MOD(COLUMN(BW$2),3),1,1),"")</f>
        <v>0</v>
      </c>
      <c r="BX127">
        <f ca="1">IF($AN127="",OFFSET(Demand!$A$13,ROW(H124)-1,4+((QUOTIENT(COLUMN(BX$2)-69,3))*5)+MOD(COLUMN(BX$2),3),1,1),"")</f>
        <v>0</v>
      </c>
      <c r="BY127">
        <f ca="1">IF($AN127="",OFFSET(Demand!$A$13,ROW(I124)-1,4+((QUOTIENT(COLUMN(BY$2)-69,3))*5)+MOD(COLUMN(BY$2),3),1,1),"")</f>
        <v>0</v>
      </c>
      <c r="BZ127">
        <f ca="1">IF($AN127="",OFFSET(Demand!$A$13,ROW(J124)-1,4+((QUOTIENT(COLUMN(BZ$2)-69,3))*5)+MOD(COLUMN(BZ$2),3),1,1),"")</f>
        <v>0</v>
      </c>
      <c r="CA127">
        <f ca="1">IF($AN127="",OFFSET(Demand!$A$13,ROW(K124)-1,4+((QUOTIENT(COLUMN(CA$2)-69,3))*5)+MOD(COLUMN(CA$2),3),1,1),"")</f>
        <v>0</v>
      </c>
      <c r="CB127">
        <f ca="1">IF($AN127="",OFFSET(Demand!$A$13,ROW(L124)-1,4+((QUOTIENT(COLUMN(CB$2)-69,3))*5)+MOD(COLUMN(CB$2),3),1,1),"")</f>
        <v>0</v>
      </c>
      <c r="CC127">
        <f ca="1">IF($AN127="",OFFSET(Demand!$A$13,ROW(M124)-1,4+((QUOTIENT(COLUMN(CC$2)-69,3))*5)+MOD(COLUMN(CC$2),3),1,1),"")</f>
        <v>0</v>
      </c>
      <c r="CD127">
        <f ca="1">IF($AN127="",OFFSET(Demand!$A$13,ROW(N124)-1,4+((QUOTIENT(COLUMN(CD$2)-69,3))*5)+MOD(COLUMN(CD$2),3),1,1),"")</f>
        <v>0</v>
      </c>
      <c r="CE127">
        <f ca="1">IF($AN127="",OFFSET(Demand!$A$13,ROW(O124)-1,4+((QUOTIENT(COLUMN(CE$2)-69,3))*5)+MOD(COLUMN(CE$2),3),1,1),"")</f>
        <v>0</v>
      </c>
      <c r="CF127">
        <f ca="1">IF($AN127="",OFFSET(Demand!$A$13,ROW(P124)-1,4+((QUOTIENT(COLUMN(CF$2)-69,3))*5)+MOD(COLUMN(CF$2),3),1,1),"")</f>
        <v>0</v>
      </c>
      <c r="CG127">
        <f ca="1">IF($AN127="",OFFSET(Demand!$A$13,ROW(Q124)-1,4+((QUOTIENT(COLUMN(CG$2)-69,3))*5)+MOD(COLUMN(CG$2),3),1,1),"")</f>
        <v>0</v>
      </c>
      <c r="CH127">
        <f ca="1">IF($AN127="",OFFSET(Demand!$A$13,ROW(R124)-1,4+((QUOTIENT(COLUMN(CH$2)-69,3))*5)+MOD(COLUMN(CH$2),3),1,1),"")</f>
        <v>0</v>
      </c>
      <c r="CI127">
        <f ca="1">IF($AN127="",OFFSET(Demand!$A$13,ROW(S124)-1,4+((QUOTIENT(COLUMN(CI$2)-69,3))*5)+MOD(COLUMN(CI$2),3),1,1),"")</f>
        <v>0</v>
      </c>
      <c r="CJ127">
        <f ca="1">IF($AN127="",OFFSET(Demand!$A$13,ROW(T124)-1,4+((QUOTIENT(COLUMN(CJ$2)-69,3))*5)+MOD(COLUMN(CJ$2),3),1,1),"")</f>
        <v>0</v>
      </c>
      <c r="CK127">
        <f ca="1">IF($AN127="",OFFSET(Demand!$A$13,ROW(U124)-1,4+((QUOTIENT(COLUMN(CK$2)-69,3))*5)+MOD(COLUMN(CK$2),3),1,1),"")</f>
        <v>0</v>
      </c>
      <c r="CL127">
        <f ca="1">IF($AN127="",OFFSET(Demand!$A$13,ROW(V124)-1,4+((QUOTIENT(COLUMN(CL$2)-69,3))*5)+MOD(COLUMN(CL$2),3),1,1),"")</f>
        <v>0</v>
      </c>
      <c r="CM127">
        <f ca="1">IF($AN127="",OFFSET(Demand!$A$13,ROW(W124)-1,4+((QUOTIENT(COLUMN(CM$2)-69,3))*5)+MOD(COLUMN(CM$2),3),1,1),"")</f>
        <v>0</v>
      </c>
      <c r="CN127">
        <f ca="1">IF($AN127="",OFFSET(Demand!$A$13,ROW(X124)-1,4+((QUOTIENT(COLUMN(CN$2)-69,3))*5)+MOD(COLUMN(CN$2),3),1,1),"")</f>
        <v>0</v>
      </c>
      <c r="CO127">
        <f ca="1">IF($AN127="",OFFSET(Demand!$A$13,ROW(Y124)-1,4+((QUOTIENT(COLUMN(CO$2)-69,3))*5)+MOD(COLUMN(CO$2),3),1,1),"")</f>
        <v>0</v>
      </c>
      <c r="CP127">
        <f ca="1">IF($AN127="",OFFSET(Demand!$A$13,ROW(Z124)-1,4+((QUOTIENT(COLUMN(CP$2)-69,3))*5)+MOD(COLUMN(CP$2),3),1,1),"")</f>
        <v>0</v>
      </c>
      <c r="CQ127">
        <f ca="1">IF($AN127="",OFFSET(Demand!$A$13,ROW(AA124)-1,4+((QUOTIENT(COLUMN(CQ$2)-69,3))*5)+MOD(COLUMN(CQ$2),3),1,1),"")</f>
        <v>0</v>
      </c>
      <c r="CR127">
        <f ca="1">IF($AN127="",OFFSET(Demand!$A$13,ROW(AB124)-1,4+((QUOTIENT(COLUMN(CR$2)-69,3))*5)+MOD(COLUMN(CR$2),3),1,1),"")</f>
        <v>0</v>
      </c>
      <c r="CS127">
        <f ca="1">IF($AN127="",OFFSET(Demand!$A$13,ROW(AC124)-1,4+((QUOTIENT(COLUMN(CS$2)-69,3))*5)+MOD(COLUMN(CS$2),3),1,1),"")</f>
        <v>0</v>
      </c>
      <c r="CT127">
        <f ca="1">IF($AN127="",OFFSET(Demand!$A$13,ROW(AD124)-1,4+((QUOTIENT(COLUMN(CT$2)-69,3))*5)+MOD(COLUMN(CT$2),3),1,1),"")</f>
        <v>0</v>
      </c>
      <c r="CW127" s="5">
        <f ca="1">SUM(OFFSET(Demand!$H$43,ROW(A124)-1,(COLUMN(A124)-1)*5,1,1))*N$2</f>
        <v>0</v>
      </c>
      <c r="CX127" s="5">
        <f ca="1">SUM(OFFSET(Demand!$H$43,ROW(B124)-1,(COLUMN(B124)-1)*5,1,1))*O$2</f>
        <v>0</v>
      </c>
      <c r="CY127" s="5">
        <f ca="1">SUM(OFFSET(Demand!$H$43,ROW(C124)-1,(COLUMN(C124)-1)*5,1,1))*P$2</f>
        <v>0</v>
      </c>
      <c r="CZ127" s="5">
        <f ca="1">SUM(OFFSET(Demand!$H$43,ROW(D124)-1,(COLUMN(D124)-1)*5,1,1))*Q$2</f>
        <v>0</v>
      </c>
      <c r="DA127" s="5">
        <f ca="1">SUM(OFFSET(Demand!$H$43,ROW(E124)-1,(COLUMN(E124)-1)*5,1,1))*R$2</f>
        <v>0</v>
      </c>
      <c r="DB127" s="5">
        <f ca="1">SUM(OFFSET(Demand!$H$43,ROW(F124)-1,(COLUMN(F124)-1)*5,1,1))*S$2</f>
        <v>0</v>
      </c>
      <c r="DC127" s="5">
        <f ca="1">SUM(OFFSET(Demand!$H$43,ROW(G124)-1,(COLUMN(G124)-1)*5,1,1))*T$2</f>
        <v>0</v>
      </c>
      <c r="DD127" s="5">
        <f ca="1">SUM(OFFSET(Demand!$H$43,ROW(H124)-1,(COLUMN(H124)-1)*5,1,1))*U$2</f>
        <v>0</v>
      </c>
      <c r="DE127" s="5">
        <f ca="1">SUM(OFFSET(Demand!$H$43,ROW(I124)-1,(COLUMN(I124)-1)*5,1,1))*V$2</f>
        <v>0</v>
      </c>
      <c r="DF127" s="5">
        <f ca="1">SUM(OFFSET(Demand!$H$43,ROW(J124)-1,(COLUMN(J124)-1)*5,1,1))*W$2</f>
        <v>0</v>
      </c>
      <c r="DG127" s="5">
        <f t="shared" ca="1" si="36"/>
        <v>0</v>
      </c>
    </row>
    <row r="128" spans="1:111" x14ac:dyDescent="0.2">
      <c r="A128" s="5">
        <f t="shared" ca="1" si="38"/>
        <v>0</v>
      </c>
      <c r="B128" s="5">
        <f ca="1">COUNTBLANK(OFFSET(Demand!$I137,0,(COLUMN(A125)-1)*5,1,1))</f>
        <v>0</v>
      </c>
      <c r="C128" s="5">
        <f ca="1">COUNTBLANK(OFFSET(Demand!$I137,0,(COLUMN(B125)-1)*5,1,1))</f>
        <v>0</v>
      </c>
      <c r="D128" s="5">
        <f ca="1">COUNTBLANK(OFFSET(Demand!$I137,0,(COLUMN(C125)-1)*5,1,1))</f>
        <v>1</v>
      </c>
      <c r="E128" s="5">
        <f ca="1">COUNTBLANK(OFFSET(Demand!$I137,0,(COLUMN(D125)-1)*5,1,1))</f>
        <v>1</v>
      </c>
      <c r="F128" s="5">
        <f ca="1">COUNTBLANK(OFFSET(Demand!$I137,0,(COLUMN(E125)-1)*5,1,1))</f>
        <v>1</v>
      </c>
      <c r="G128" s="5">
        <f ca="1">COUNTBLANK(OFFSET(Demand!$I137,0,(COLUMN(F125)-1)*5,1,1))</f>
        <v>1</v>
      </c>
      <c r="H128" s="5">
        <f ca="1">COUNTBLANK(OFFSET(Demand!$I137,0,(COLUMN(G125)-1)*5,1,1))</f>
        <v>1</v>
      </c>
      <c r="I128" s="5">
        <f ca="1">COUNTBLANK(OFFSET(Demand!$I137,0,(COLUMN(H125)-1)*5,1,1))</f>
        <v>1</v>
      </c>
      <c r="J128" s="5">
        <f ca="1">COUNTBLANK(OFFSET(Demand!$I137,0,(COLUMN(I125)-1)*5,1,1))</f>
        <v>1</v>
      </c>
      <c r="K128" s="5">
        <f ca="1">COUNTBLANK(OFFSET(Demand!$I137,0,(COLUMN(J125)-1)*5,1,1))</f>
        <v>1</v>
      </c>
      <c r="N128" s="5">
        <f ca="1">SUM(OFFSET(Demand!$E137,0,(COLUMN(A125)-1)*5,1,3))*N$2</f>
        <v>150</v>
      </c>
      <c r="O128" s="5">
        <f ca="1">SUM(OFFSET(Demand!$E137,0,(COLUMN(B125)-1)*5,1,3))*O$2</f>
        <v>560</v>
      </c>
      <c r="P128" s="5">
        <f ca="1">SUM(OFFSET(Demand!$E137,0,(COLUMN(C125)-1)*5,1,3))*P$2</f>
        <v>0</v>
      </c>
      <c r="Q128" s="5">
        <f ca="1">SUM(OFFSET(Demand!$E137,0,(COLUMN(D125)-1)*5,1,3))*Q$2</f>
        <v>0</v>
      </c>
      <c r="R128" s="5">
        <f ca="1">SUM(OFFSET(Demand!$E137,0,(COLUMN(E125)-1)*5,1,3))*R$2</f>
        <v>0</v>
      </c>
      <c r="S128" s="5">
        <f ca="1">SUM(OFFSET(Demand!$E137,0,(COLUMN(F125)-1)*5,1,3))*S$2</f>
        <v>0</v>
      </c>
      <c r="T128" s="5">
        <f ca="1">SUM(OFFSET(Demand!$E137,0,(COLUMN(G125)-1)*5,1,3))*T$2</f>
        <v>0</v>
      </c>
      <c r="U128" s="5">
        <f ca="1">SUM(OFFSET(Demand!$E137,0,(COLUMN(H125)-1)*5,1,3))*U$2</f>
        <v>0</v>
      </c>
      <c r="V128" s="5">
        <f ca="1">SUM(OFFSET(Demand!$E137,0,(COLUMN(I125)-1)*5,1,3))*V$2</f>
        <v>0</v>
      </c>
      <c r="W128" s="5">
        <f ca="1">SUM(OFFSET(Demand!$E137,0,(COLUMN(J125)-1)*5,1,3))*W$2</f>
        <v>0</v>
      </c>
      <c r="X128" s="5">
        <f t="shared" ca="1" si="31"/>
        <v>710</v>
      </c>
      <c r="Y128">
        <f t="shared" ca="1" si="32"/>
        <v>710</v>
      </c>
      <c r="Z128" s="5">
        <f ca="1">SUM(OFFSET(Demand!$H137,0,(COLUMN(A125)-1)*5,1,1))*N$2</f>
        <v>0</v>
      </c>
      <c r="AA128" s="5">
        <f ca="1">SUM(OFFSET(Demand!$H137,0,(COLUMN(B125)-1)*5,1,1))*O$2</f>
        <v>0</v>
      </c>
      <c r="AB128" s="5">
        <f ca="1">SUM(OFFSET(Demand!$H137,0,(COLUMN(C125)-1)*5,1,1))*P$2</f>
        <v>0</v>
      </c>
      <c r="AC128" s="5">
        <f ca="1">SUM(OFFSET(Demand!$H137,0,(COLUMN(D125)-1)*5,1,1))*Q$2</f>
        <v>0</v>
      </c>
      <c r="AD128" s="5">
        <f ca="1">SUM(OFFSET(Demand!$H137,0,(COLUMN(E125)-1)*5,1,1))*R$2</f>
        <v>0</v>
      </c>
      <c r="AE128" s="5">
        <f ca="1">SUM(OFFSET(Demand!$H137,0,(COLUMN(F125)-1)*5,1,1))*S$2</f>
        <v>0</v>
      </c>
      <c r="AF128" s="5">
        <f ca="1">SUM(OFFSET(Demand!$H137,0,(COLUMN(G125)-1)*5,1,1))*T$2</f>
        <v>0</v>
      </c>
      <c r="AG128" s="5">
        <f ca="1">SUM(OFFSET(Demand!$H137,0,(COLUMN(H125)-1)*5,1,1))*U$2</f>
        <v>0</v>
      </c>
      <c r="AH128" s="5">
        <f ca="1">SUM(OFFSET(Demand!$H137,0,(COLUMN(I125)-1)*5,1,1))*V$2</f>
        <v>0</v>
      </c>
      <c r="AI128" s="5">
        <f ca="1">SUM(OFFSET(Demand!$H137,0,(COLUMN(J125)-1)*5,1,1))*W$2</f>
        <v>0</v>
      </c>
      <c r="AJ128" s="5">
        <f t="shared" ca="1" si="33"/>
        <v>0</v>
      </c>
      <c r="AL128" s="5">
        <f t="shared" ca="1" si="34"/>
        <v>710</v>
      </c>
      <c r="AM128" s="5">
        <f t="shared" ca="1" si="35"/>
        <v>0</v>
      </c>
      <c r="AN128" s="5" t="str">
        <f>IF(Demand!BE137="Yes","Yes","")</f>
        <v/>
      </c>
      <c r="AP128" s="37" t="str">
        <f ca="1">Demand!B137</f>
        <v xml:space="preserve"> </v>
      </c>
      <c r="AQ128" t="str">
        <f ca="1">IF(TEXT(Demand!D137,"MMM")&lt;&gt;TEXT(Demand!D136,"MMM"),TEXT(Demand!D137,"MMM"),"")</f>
        <v/>
      </c>
      <c r="AT128" s="5">
        <f t="shared" ca="1" si="37"/>
        <v>200</v>
      </c>
      <c r="BQ128">
        <f ca="1">IF($AN128="",OFFSET(Demand!$A$13,ROW(A125)-1,4+((QUOTIENT(COLUMN(BQ$2)-69,3))*5)+MOD(COLUMN(BQ$2),3),1,1),"")</f>
        <v>0</v>
      </c>
      <c r="BR128">
        <f ca="1">IF($AN128="",OFFSET(Demand!$A$13,ROW(B125)-1,4+((QUOTIENT(COLUMN(BR$2)-69,3))*5)+MOD(COLUMN(BR$2),3),1,1),"")</f>
        <v>1</v>
      </c>
      <c r="BS128">
        <f ca="1">IF($AN128="",OFFSET(Demand!$A$13,ROW(C125)-1,4+((QUOTIENT(COLUMN(BS$2)-69,3))*5)+MOD(COLUMN(BS$2),3),1,1),"")</f>
        <v>4</v>
      </c>
      <c r="BT128">
        <f ca="1">IF($AN128="",OFFSET(Demand!$A$13,ROW(D125)-1,4+((QUOTIENT(COLUMN(BT$2)-69,3))*5)+MOD(COLUMN(BT$2),3),1,1),"")</f>
        <v>0</v>
      </c>
      <c r="BU128">
        <f ca="1">IF($AN128="",OFFSET(Demand!$A$13,ROW(E125)-1,4+((QUOTIENT(COLUMN(BU$2)-69,3))*5)+MOD(COLUMN(BU$2),3),1,1),"")</f>
        <v>3</v>
      </c>
      <c r="BV128">
        <f ca="1">IF($AN128="",OFFSET(Demand!$A$13,ROW(F125)-1,4+((QUOTIENT(COLUMN(BV$2)-69,3))*5)+MOD(COLUMN(BV$2),3),1,1),"")</f>
        <v>11</v>
      </c>
      <c r="BW128">
        <f ca="1">IF($AN128="",OFFSET(Demand!$A$13,ROW(G125)-1,4+((QUOTIENT(COLUMN(BW$2)-69,3))*5)+MOD(COLUMN(BW$2),3),1,1),"")</f>
        <v>0</v>
      </c>
      <c r="BX128">
        <f ca="1">IF($AN128="",OFFSET(Demand!$A$13,ROW(H125)-1,4+((QUOTIENT(COLUMN(BX$2)-69,3))*5)+MOD(COLUMN(BX$2),3),1,1),"")</f>
        <v>0</v>
      </c>
      <c r="BY128">
        <f ca="1">IF($AN128="",OFFSET(Demand!$A$13,ROW(I125)-1,4+((QUOTIENT(COLUMN(BY$2)-69,3))*5)+MOD(COLUMN(BY$2),3),1,1),"")</f>
        <v>0</v>
      </c>
      <c r="BZ128">
        <f ca="1">IF($AN128="",OFFSET(Demand!$A$13,ROW(J125)-1,4+((QUOTIENT(COLUMN(BZ$2)-69,3))*5)+MOD(COLUMN(BZ$2),3),1,1),"")</f>
        <v>0</v>
      </c>
      <c r="CA128">
        <f ca="1">IF($AN128="",OFFSET(Demand!$A$13,ROW(K125)-1,4+((QUOTIENT(COLUMN(CA$2)-69,3))*5)+MOD(COLUMN(CA$2),3),1,1),"")</f>
        <v>0</v>
      </c>
      <c r="CB128">
        <f ca="1">IF($AN128="",OFFSET(Demand!$A$13,ROW(L125)-1,4+((QUOTIENT(COLUMN(CB$2)-69,3))*5)+MOD(COLUMN(CB$2),3),1,1),"")</f>
        <v>0</v>
      </c>
      <c r="CC128">
        <f ca="1">IF($AN128="",OFFSET(Demand!$A$13,ROW(M125)-1,4+((QUOTIENT(COLUMN(CC$2)-69,3))*5)+MOD(COLUMN(CC$2),3),1,1),"")</f>
        <v>0</v>
      </c>
      <c r="CD128">
        <f ca="1">IF($AN128="",OFFSET(Demand!$A$13,ROW(N125)-1,4+((QUOTIENT(COLUMN(CD$2)-69,3))*5)+MOD(COLUMN(CD$2),3),1,1),"")</f>
        <v>0</v>
      </c>
      <c r="CE128">
        <f ca="1">IF($AN128="",OFFSET(Demand!$A$13,ROW(O125)-1,4+((QUOTIENT(COLUMN(CE$2)-69,3))*5)+MOD(COLUMN(CE$2),3),1,1),"")</f>
        <v>0</v>
      </c>
      <c r="CF128">
        <f ca="1">IF($AN128="",OFFSET(Demand!$A$13,ROW(P125)-1,4+((QUOTIENT(COLUMN(CF$2)-69,3))*5)+MOD(COLUMN(CF$2),3),1,1),"")</f>
        <v>0</v>
      </c>
      <c r="CG128">
        <f ca="1">IF($AN128="",OFFSET(Demand!$A$13,ROW(Q125)-1,4+((QUOTIENT(COLUMN(CG$2)-69,3))*5)+MOD(COLUMN(CG$2),3),1,1),"")</f>
        <v>0</v>
      </c>
      <c r="CH128">
        <f ca="1">IF($AN128="",OFFSET(Demand!$A$13,ROW(R125)-1,4+((QUOTIENT(COLUMN(CH$2)-69,3))*5)+MOD(COLUMN(CH$2),3),1,1),"")</f>
        <v>0</v>
      </c>
      <c r="CI128">
        <f ca="1">IF($AN128="",OFFSET(Demand!$A$13,ROW(S125)-1,4+((QUOTIENT(COLUMN(CI$2)-69,3))*5)+MOD(COLUMN(CI$2),3),1,1),"")</f>
        <v>0</v>
      </c>
      <c r="CJ128">
        <f ca="1">IF($AN128="",OFFSET(Demand!$A$13,ROW(T125)-1,4+((QUOTIENT(COLUMN(CJ$2)-69,3))*5)+MOD(COLUMN(CJ$2),3),1,1),"")</f>
        <v>0</v>
      </c>
      <c r="CK128">
        <f ca="1">IF($AN128="",OFFSET(Demand!$A$13,ROW(U125)-1,4+((QUOTIENT(COLUMN(CK$2)-69,3))*5)+MOD(COLUMN(CK$2),3),1,1),"")</f>
        <v>0</v>
      </c>
      <c r="CL128">
        <f ca="1">IF($AN128="",OFFSET(Demand!$A$13,ROW(V125)-1,4+((QUOTIENT(COLUMN(CL$2)-69,3))*5)+MOD(COLUMN(CL$2),3),1,1),"")</f>
        <v>0</v>
      </c>
      <c r="CM128">
        <f ca="1">IF($AN128="",OFFSET(Demand!$A$13,ROW(W125)-1,4+((QUOTIENT(COLUMN(CM$2)-69,3))*5)+MOD(COLUMN(CM$2),3),1,1),"")</f>
        <v>0</v>
      </c>
      <c r="CN128">
        <f ca="1">IF($AN128="",OFFSET(Demand!$A$13,ROW(X125)-1,4+((QUOTIENT(COLUMN(CN$2)-69,3))*5)+MOD(COLUMN(CN$2),3),1,1),"")</f>
        <v>0</v>
      </c>
      <c r="CO128">
        <f ca="1">IF($AN128="",OFFSET(Demand!$A$13,ROW(Y125)-1,4+((QUOTIENT(COLUMN(CO$2)-69,3))*5)+MOD(COLUMN(CO$2),3),1,1),"")</f>
        <v>0</v>
      </c>
      <c r="CP128">
        <f ca="1">IF($AN128="",OFFSET(Demand!$A$13,ROW(Z125)-1,4+((QUOTIENT(COLUMN(CP$2)-69,3))*5)+MOD(COLUMN(CP$2),3),1,1),"")</f>
        <v>0</v>
      </c>
      <c r="CQ128">
        <f ca="1">IF($AN128="",OFFSET(Demand!$A$13,ROW(AA125)-1,4+((QUOTIENT(COLUMN(CQ$2)-69,3))*5)+MOD(COLUMN(CQ$2),3),1,1),"")</f>
        <v>0</v>
      </c>
      <c r="CR128">
        <f ca="1">IF($AN128="",OFFSET(Demand!$A$13,ROW(AB125)-1,4+((QUOTIENT(COLUMN(CR$2)-69,3))*5)+MOD(COLUMN(CR$2),3),1,1),"")</f>
        <v>0</v>
      </c>
      <c r="CS128">
        <f ca="1">IF($AN128="",OFFSET(Demand!$A$13,ROW(AC125)-1,4+((QUOTIENT(COLUMN(CS$2)-69,3))*5)+MOD(COLUMN(CS$2),3),1,1),"")</f>
        <v>0</v>
      </c>
      <c r="CT128">
        <f ca="1">IF($AN128="",OFFSET(Demand!$A$13,ROW(AD125)-1,4+((QUOTIENT(COLUMN(CT$2)-69,3))*5)+MOD(COLUMN(CT$2),3),1,1),"")</f>
        <v>0</v>
      </c>
      <c r="CW128" s="5">
        <f ca="1">SUM(OFFSET(Demand!$H$43,ROW(A125)-1,(COLUMN(A125)-1)*5,1,1))*N$2</f>
        <v>0</v>
      </c>
      <c r="CX128" s="5">
        <f ca="1">SUM(OFFSET(Demand!$H$43,ROW(B125)-1,(COLUMN(B125)-1)*5,1,1))*O$2</f>
        <v>0</v>
      </c>
      <c r="CY128" s="5">
        <f ca="1">SUM(OFFSET(Demand!$H$43,ROW(C125)-1,(COLUMN(C125)-1)*5,1,1))*P$2</f>
        <v>0</v>
      </c>
      <c r="CZ128" s="5">
        <f ca="1">SUM(OFFSET(Demand!$H$43,ROW(D125)-1,(COLUMN(D125)-1)*5,1,1))*Q$2</f>
        <v>0</v>
      </c>
      <c r="DA128" s="5">
        <f ca="1">SUM(OFFSET(Demand!$H$43,ROW(E125)-1,(COLUMN(E125)-1)*5,1,1))*R$2</f>
        <v>0</v>
      </c>
      <c r="DB128" s="5">
        <f ca="1">SUM(OFFSET(Demand!$H$43,ROW(F125)-1,(COLUMN(F125)-1)*5,1,1))*S$2</f>
        <v>0</v>
      </c>
      <c r="DC128" s="5">
        <f ca="1">SUM(OFFSET(Demand!$H$43,ROW(G125)-1,(COLUMN(G125)-1)*5,1,1))*T$2</f>
        <v>0</v>
      </c>
      <c r="DD128" s="5">
        <f ca="1">SUM(OFFSET(Demand!$H$43,ROW(H125)-1,(COLUMN(H125)-1)*5,1,1))*U$2</f>
        <v>0</v>
      </c>
      <c r="DE128" s="5">
        <f ca="1">SUM(OFFSET(Demand!$H$43,ROW(I125)-1,(COLUMN(I125)-1)*5,1,1))*V$2</f>
        <v>0</v>
      </c>
      <c r="DF128" s="5">
        <f ca="1">SUM(OFFSET(Demand!$H$43,ROW(J125)-1,(COLUMN(J125)-1)*5,1,1))*W$2</f>
        <v>0</v>
      </c>
      <c r="DG128" s="5">
        <f t="shared" ca="1" si="36"/>
        <v>0</v>
      </c>
    </row>
    <row r="129" spans="1:111" x14ac:dyDescent="0.2">
      <c r="A129" s="5">
        <f t="shared" ca="1" si="38"/>
        <v>0</v>
      </c>
      <c r="B129" s="5">
        <f ca="1">COUNTBLANK(OFFSET(Demand!$I138,0,(COLUMN(A126)-1)*5,1,1))</f>
        <v>0</v>
      </c>
      <c r="C129" s="5">
        <f ca="1">COUNTBLANK(OFFSET(Demand!$I138,0,(COLUMN(B126)-1)*5,1,1))</f>
        <v>0</v>
      </c>
      <c r="D129" s="5">
        <f ca="1">COUNTBLANK(OFFSET(Demand!$I138,0,(COLUMN(C126)-1)*5,1,1))</f>
        <v>1</v>
      </c>
      <c r="E129" s="5">
        <f ca="1">COUNTBLANK(OFFSET(Demand!$I138,0,(COLUMN(D126)-1)*5,1,1))</f>
        <v>1</v>
      </c>
      <c r="F129" s="5">
        <f ca="1">COUNTBLANK(OFFSET(Demand!$I138,0,(COLUMN(E126)-1)*5,1,1))</f>
        <v>1</v>
      </c>
      <c r="G129" s="5">
        <f ca="1">COUNTBLANK(OFFSET(Demand!$I138,0,(COLUMN(F126)-1)*5,1,1))</f>
        <v>1</v>
      </c>
      <c r="H129" s="5">
        <f ca="1">COUNTBLANK(OFFSET(Demand!$I138,0,(COLUMN(G126)-1)*5,1,1))</f>
        <v>1</v>
      </c>
      <c r="I129" s="5">
        <f ca="1">COUNTBLANK(OFFSET(Demand!$I138,0,(COLUMN(H126)-1)*5,1,1))</f>
        <v>1</v>
      </c>
      <c r="J129" s="5">
        <f ca="1">COUNTBLANK(OFFSET(Demand!$I138,0,(COLUMN(I126)-1)*5,1,1))</f>
        <v>1</v>
      </c>
      <c r="K129" s="5">
        <f ca="1">COUNTBLANK(OFFSET(Demand!$I138,0,(COLUMN(J126)-1)*5,1,1))</f>
        <v>1</v>
      </c>
      <c r="N129" s="5">
        <f ca="1">SUM(OFFSET(Demand!$E138,0,(COLUMN(A126)-1)*5,1,3))*N$2</f>
        <v>90</v>
      </c>
      <c r="O129" s="5">
        <f ca="1">SUM(OFFSET(Demand!$E138,0,(COLUMN(B126)-1)*5,1,3))*O$2</f>
        <v>600</v>
      </c>
      <c r="P129" s="5">
        <f ca="1">SUM(OFFSET(Demand!$E138,0,(COLUMN(C126)-1)*5,1,3))*P$2</f>
        <v>0</v>
      </c>
      <c r="Q129" s="5">
        <f ca="1">SUM(OFFSET(Demand!$E138,0,(COLUMN(D126)-1)*5,1,3))*Q$2</f>
        <v>0</v>
      </c>
      <c r="R129" s="5">
        <f ca="1">SUM(OFFSET(Demand!$E138,0,(COLUMN(E126)-1)*5,1,3))*R$2</f>
        <v>0</v>
      </c>
      <c r="S129" s="5">
        <f ca="1">SUM(OFFSET(Demand!$E138,0,(COLUMN(F126)-1)*5,1,3))*S$2</f>
        <v>0</v>
      </c>
      <c r="T129" s="5">
        <f ca="1">SUM(OFFSET(Demand!$E138,0,(COLUMN(G126)-1)*5,1,3))*T$2</f>
        <v>0</v>
      </c>
      <c r="U129" s="5">
        <f ca="1">SUM(OFFSET(Demand!$E138,0,(COLUMN(H126)-1)*5,1,3))*U$2</f>
        <v>0</v>
      </c>
      <c r="V129" s="5">
        <f ca="1">SUM(OFFSET(Demand!$E138,0,(COLUMN(I126)-1)*5,1,3))*V$2</f>
        <v>0</v>
      </c>
      <c r="W129" s="5">
        <f ca="1">SUM(OFFSET(Demand!$E138,0,(COLUMN(J126)-1)*5,1,3))*W$2</f>
        <v>0</v>
      </c>
      <c r="X129" s="5">
        <f t="shared" ca="1" si="31"/>
        <v>690</v>
      </c>
      <c r="Y129">
        <f t="shared" ca="1" si="32"/>
        <v>690</v>
      </c>
      <c r="Z129" s="5">
        <f ca="1">SUM(OFFSET(Demand!$H138,0,(COLUMN(A126)-1)*5,1,1))*N$2</f>
        <v>0</v>
      </c>
      <c r="AA129" s="5">
        <f ca="1">SUM(OFFSET(Demand!$H138,0,(COLUMN(B126)-1)*5,1,1))*O$2</f>
        <v>0</v>
      </c>
      <c r="AB129" s="5">
        <f ca="1">SUM(OFFSET(Demand!$H138,0,(COLUMN(C126)-1)*5,1,1))*P$2</f>
        <v>0</v>
      </c>
      <c r="AC129" s="5">
        <f ca="1">SUM(OFFSET(Demand!$H138,0,(COLUMN(D126)-1)*5,1,1))*Q$2</f>
        <v>0</v>
      </c>
      <c r="AD129" s="5">
        <f ca="1">SUM(OFFSET(Demand!$H138,0,(COLUMN(E126)-1)*5,1,1))*R$2</f>
        <v>0</v>
      </c>
      <c r="AE129" s="5">
        <f ca="1">SUM(OFFSET(Demand!$H138,0,(COLUMN(F126)-1)*5,1,1))*S$2</f>
        <v>0</v>
      </c>
      <c r="AF129" s="5">
        <f ca="1">SUM(OFFSET(Demand!$H138,0,(COLUMN(G126)-1)*5,1,1))*T$2</f>
        <v>0</v>
      </c>
      <c r="AG129" s="5">
        <f ca="1">SUM(OFFSET(Demand!$H138,0,(COLUMN(H126)-1)*5,1,1))*U$2</f>
        <v>0</v>
      </c>
      <c r="AH129" s="5">
        <f ca="1">SUM(OFFSET(Demand!$H138,0,(COLUMN(I126)-1)*5,1,1))*V$2</f>
        <v>0</v>
      </c>
      <c r="AI129" s="5">
        <f ca="1">SUM(OFFSET(Demand!$H138,0,(COLUMN(J126)-1)*5,1,1))*W$2</f>
        <v>0</v>
      </c>
      <c r="AJ129" s="5">
        <f t="shared" ca="1" si="33"/>
        <v>0</v>
      </c>
      <c r="AL129" s="5">
        <f t="shared" ca="1" si="34"/>
        <v>690</v>
      </c>
      <c r="AM129" s="5">
        <f t="shared" ca="1" si="35"/>
        <v>0</v>
      </c>
      <c r="AN129" s="5" t="str">
        <f>IF(Demand!BE138="Yes","Yes","")</f>
        <v/>
      </c>
      <c r="AP129" s="37" t="str">
        <f ca="1">Demand!B138</f>
        <v xml:space="preserve"> </v>
      </c>
      <c r="AQ129" t="str">
        <f ca="1">IF(TEXT(Demand!D138,"MMM")&lt;&gt;TEXT(Demand!D137,"MMM"),TEXT(Demand!D138,"MMM"),"")</f>
        <v/>
      </c>
      <c r="AT129" s="5">
        <f t="shared" ca="1" si="37"/>
        <v>20</v>
      </c>
      <c r="BQ129">
        <f ca="1">IF($AN129="",OFFSET(Demand!$A$13,ROW(A126)-1,4+((QUOTIENT(COLUMN(BQ$2)-69,3))*5)+MOD(COLUMN(BQ$2),3),1,1),"")</f>
        <v>0</v>
      </c>
      <c r="BR129">
        <f ca="1">IF($AN129="",OFFSET(Demand!$A$13,ROW(B126)-1,4+((QUOTIENT(COLUMN(BR$2)-69,3))*5)+MOD(COLUMN(BR$2),3),1,1),"")</f>
        <v>1</v>
      </c>
      <c r="BS129">
        <f ca="1">IF($AN129="",OFFSET(Demand!$A$13,ROW(C126)-1,4+((QUOTIENT(COLUMN(BS$2)-69,3))*5)+MOD(COLUMN(BS$2),3),1,1),"")</f>
        <v>2</v>
      </c>
      <c r="BT129">
        <f ca="1">IF($AN129="",OFFSET(Demand!$A$13,ROW(D126)-1,4+((QUOTIENT(COLUMN(BT$2)-69,3))*5)+MOD(COLUMN(BT$2),3),1,1),"")</f>
        <v>0</v>
      </c>
      <c r="BU129">
        <f ca="1">IF($AN129="",OFFSET(Demand!$A$13,ROW(E126)-1,4+((QUOTIENT(COLUMN(BU$2)-69,3))*5)+MOD(COLUMN(BU$2),3),1,1),"")</f>
        <v>6</v>
      </c>
      <c r="BV129">
        <f ca="1">IF($AN129="",OFFSET(Demand!$A$13,ROW(F126)-1,4+((QUOTIENT(COLUMN(BV$2)-69,3))*5)+MOD(COLUMN(BV$2),3),1,1),"")</f>
        <v>9</v>
      </c>
      <c r="BW129">
        <f ca="1">IF($AN129="",OFFSET(Demand!$A$13,ROW(G126)-1,4+((QUOTIENT(COLUMN(BW$2)-69,3))*5)+MOD(COLUMN(BW$2),3),1,1),"")</f>
        <v>0</v>
      </c>
      <c r="BX129">
        <f ca="1">IF($AN129="",OFFSET(Demand!$A$13,ROW(H126)-1,4+((QUOTIENT(COLUMN(BX$2)-69,3))*5)+MOD(COLUMN(BX$2),3),1,1),"")</f>
        <v>0</v>
      </c>
      <c r="BY129">
        <f ca="1">IF($AN129="",OFFSET(Demand!$A$13,ROW(I126)-1,4+((QUOTIENT(COLUMN(BY$2)-69,3))*5)+MOD(COLUMN(BY$2),3),1,1),"")</f>
        <v>0</v>
      </c>
      <c r="BZ129">
        <f ca="1">IF($AN129="",OFFSET(Demand!$A$13,ROW(J126)-1,4+((QUOTIENT(COLUMN(BZ$2)-69,3))*5)+MOD(COLUMN(BZ$2),3),1,1),"")</f>
        <v>0</v>
      </c>
      <c r="CA129">
        <f ca="1">IF($AN129="",OFFSET(Demand!$A$13,ROW(K126)-1,4+((QUOTIENT(COLUMN(CA$2)-69,3))*5)+MOD(COLUMN(CA$2),3),1,1),"")</f>
        <v>0</v>
      </c>
      <c r="CB129">
        <f ca="1">IF($AN129="",OFFSET(Demand!$A$13,ROW(L126)-1,4+((QUOTIENT(COLUMN(CB$2)-69,3))*5)+MOD(COLUMN(CB$2),3),1,1),"")</f>
        <v>0</v>
      </c>
      <c r="CC129">
        <f ca="1">IF($AN129="",OFFSET(Demand!$A$13,ROW(M126)-1,4+((QUOTIENT(COLUMN(CC$2)-69,3))*5)+MOD(COLUMN(CC$2),3),1,1),"")</f>
        <v>0</v>
      </c>
      <c r="CD129">
        <f ca="1">IF($AN129="",OFFSET(Demand!$A$13,ROW(N126)-1,4+((QUOTIENT(COLUMN(CD$2)-69,3))*5)+MOD(COLUMN(CD$2),3),1,1),"")</f>
        <v>0</v>
      </c>
      <c r="CE129">
        <f ca="1">IF($AN129="",OFFSET(Demand!$A$13,ROW(O126)-1,4+((QUOTIENT(COLUMN(CE$2)-69,3))*5)+MOD(COLUMN(CE$2),3),1,1),"")</f>
        <v>0</v>
      </c>
      <c r="CF129">
        <f ca="1">IF($AN129="",OFFSET(Demand!$A$13,ROW(P126)-1,4+((QUOTIENT(COLUMN(CF$2)-69,3))*5)+MOD(COLUMN(CF$2),3),1,1),"")</f>
        <v>0</v>
      </c>
      <c r="CG129">
        <f ca="1">IF($AN129="",OFFSET(Demand!$A$13,ROW(Q126)-1,4+((QUOTIENT(COLUMN(CG$2)-69,3))*5)+MOD(COLUMN(CG$2),3),1,1),"")</f>
        <v>0</v>
      </c>
      <c r="CH129">
        <f ca="1">IF($AN129="",OFFSET(Demand!$A$13,ROW(R126)-1,4+((QUOTIENT(COLUMN(CH$2)-69,3))*5)+MOD(COLUMN(CH$2),3),1,1),"")</f>
        <v>0</v>
      </c>
      <c r="CI129">
        <f ca="1">IF($AN129="",OFFSET(Demand!$A$13,ROW(S126)-1,4+((QUOTIENT(COLUMN(CI$2)-69,3))*5)+MOD(COLUMN(CI$2),3),1,1),"")</f>
        <v>0</v>
      </c>
      <c r="CJ129">
        <f ca="1">IF($AN129="",OFFSET(Demand!$A$13,ROW(T126)-1,4+((QUOTIENT(COLUMN(CJ$2)-69,3))*5)+MOD(COLUMN(CJ$2),3),1,1),"")</f>
        <v>0</v>
      </c>
      <c r="CK129">
        <f ca="1">IF($AN129="",OFFSET(Demand!$A$13,ROW(U126)-1,4+((QUOTIENT(COLUMN(CK$2)-69,3))*5)+MOD(COLUMN(CK$2),3),1,1),"")</f>
        <v>0</v>
      </c>
      <c r="CL129">
        <f ca="1">IF($AN129="",OFFSET(Demand!$A$13,ROW(V126)-1,4+((QUOTIENT(COLUMN(CL$2)-69,3))*5)+MOD(COLUMN(CL$2),3),1,1),"")</f>
        <v>0</v>
      </c>
      <c r="CM129">
        <f ca="1">IF($AN129="",OFFSET(Demand!$A$13,ROW(W126)-1,4+((QUOTIENT(COLUMN(CM$2)-69,3))*5)+MOD(COLUMN(CM$2),3),1,1),"")</f>
        <v>0</v>
      </c>
      <c r="CN129">
        <f ca="1">IF($AN129="",OFFSET(Demand!$A$13,ROW(X126)-1,4+((QUOTIENT(COLUMN(CN$2)-69,3))*5)+MOD(COLUMN(CN$2),3),1,1),"")</f>
        <v>0</v>
      </c>
      <c r="CO129">
        <f ca="1">IF($AN129="",OFFSET(Demand!$A$13,ROW(Y126)-1,4+((QUOTIENT(COLUMN(CO$2)-69,3))*5)+MOD(COLUMN(CO$2),3),1,1),"")</f>
        <v>0</v>
      </c>
      <c r="CP129">
        <f ca="1">IF($AN129="",OFFSET(Demand!$A$13,ROW(Z126)-1,4+((QUOTIENT(COLUMN(CP$2)-69,3))*5)+MOD(COLUMN(CP$2),3),1,1),"")</f>
        <v>0</v>
      </c>
      <c r="CQ129">
        <f ca="1">IF($AN129="",OFFSET(Demand!$A$13,ROW(AA126)-1,4+((QUOTIENT(COLUMN(CQ$2)-69,3))*5)+MOD(COLUMN(CQ$2),3),1,1),"")</f>
        <v>0</v>
      </c>
      <c r="CR129">
        <f ca="1">IF($AN129="",OFFSET(Demand!$A$13,ROW(AB126)-1,4+((QUOTIENT(COLUMN(CR$2)-69,3))*5)+MOD(COLUMN(CR$2),3),1,1),"")</f>
        <v>0</v>
      </c>
      <c r="CS129">
        <f ca="1">IF($AN129="",OFFSET(Demand!$A$13,ROW(AC126)-1,4+((QUOTIENT(COLUMN(CS$2)-69,3))*5)+MOD(COLUMN(CS$2),3),1,1),"")</f>
        <v>0</v>
      </c>
      <c r="CT129">
        <f ca="1">IF($AN129="",OFFSET(Demand!$A$13,ROW(AD126)-1,4+((QUOTIENT(COLUMN(CT$2)-69,3))*5)+MOD(COLUMN(CT$2),3),1,1),"")</f>
        <v>0</v>
      </c>
      <c r="CW129" s="5">
        <f ca="1">SUM(OFFSET(Demand!$H$43,ROW(A126)-1,(COLUMN(A126)-1)*5,1,1))*N$2</f>
        <v>0</v>
      </c>
      <c r="CX129" s="5">
        <f ca="1">SUM(OFFSET(Demand!$H$43,ROW(B126)-1,(COLUMN(B126)-1)*5,1,1))*O$2</f>
        <v>0</v>
      </c>
      <c r="CY129" s="5">
        <f ca="1">SUM(OFFSET(Demand!$H$43,ROW(C126)-1,(COLUMN(C126)-1)*5,1,1))*P$2</f>
        <v>0</v>
      </c>
      <c r="CZ129" s="5">
        <f ca="1">SUM(OFFSET(Demand!$H$43,ROW(D126)-1,(COLUMN(D126)-1)*5,1,1))*Q$2</f>
        <v>0</v>
      </c>
      <c r="DA129" s="5">
        <f ca="1">SUM(OFFSET(Demand!$H$43,ROW(E126)-1,(COLUMN(E126)-1)*5,1,1))*R$2</f>
        <v>0</v>
      </c>
      <c r="DB129" s="5">
        <f ca="1">SUM(OFFSET(Demand!$H$43,ROW(F126)-1,(COLUMN(F126)-1)*5,1,1))*S$2</f>
        <v>0</v>
      </c>
      <c r="DC129" s="5">
        <f ca="1">SUM(OFFSET(Demand!$H$43,ROW(G126)-1,(COLUMN(G126)-1)*5,1,1))*T$2</f>
        <v>0</v>
      </c>
      <c r="DD129" s="5">
        <f ca="1">SUM(OFFSET(Demand!$H$43,ROW(H126)-1,(COLUMN(H126)-1)*5,1,1))*U$2</f>
        <v>0</v>
      </c>
      <c r="DE129" s="5">
        <f ca="1">SUM(OFFSET(Demand!$H$43,ROW(I126)-1,(COLUMN(I126)-1)*5,1,1))*V$2</f>
        <v>0</v>
      </c>
      <c r="DF129" s="5">
        <f ca="1">SUM(OFFSET(Demand!$H$43,ROW(J126)-1,(COLUMN(J126)-1)*5,1,1))*W$2</f>
        <v>0</v>
      </c>
      <c r="DG129" s="5">
        <f t="shared" ca="1" si="36"/>
        <v>0</v>
      </c>
    </row>
    <row r="130" spans="1:111" x14ac:dyDescent="0.2">
      <c r="A130" s="5">
        <f t="shared" ca="1" si="38"/>
        <v>0</v>
      </c>
      <c r="B130" s="5">
        <f ca="1">COUNTBLANK(OFFSET(Demand!$I139,0,(COLUMN(A127)-1)*5,1,1))</f>
        <v>0</v>
      </c>
      <c r="C130" s="5">
        <f ca="1">COUNTBLANK(OFFSET(Demand!$I139,0,(COLUMN(B127)-1)*5,1,1))</f>
        <v>0</v>
      </c>
      <c r="D130" s="5">
        <f ca="1">COUNTBLANK(OFFSET(Demand!$I139,0,(COLUMN(C127)-1)*5,1,1))</f>
        <v>1</v>
      </c>
      <c r="E130" s="5">
        <f ca="1">COUNTBLANK(OFFSET(Demand!$I139,0,(COLUMN(D127)-1)*5,1,1))</f>
        <v>1</v>
      </c>
      <c r="F130" s="5">
        <f ca="1">COUNTBLANK(OFFSET(Demand!$I139,0,(COLUMN(E127)-1)*5,1,1))</f>
        <v>1</v>
      </c>
      <c r="G130" s="5">
        <f ca="1">COUNTBLANK(OFFSET(Demand!$I139,0,(COLUMN(F127)-1)*5,1,1))</f>
        <v>1</v>
      </c>
      <c r="H130" s="5">
        <f ca="1">COUNTBLANK(OFFSET(Demand!$I139,0,(COLUMN(G127)-1)*5,1,1))</f>
        <v>1</v>
      </c>
      <c r="I130" s="5">
        <f ca="1">COUNTBLANK(OFFSET(Demand!$I139,0,(COLUMN(H127)-1)*5,1,1))</f>
        <v>1</v>
      </c>
      <c r="J130" s="5">
        <f ca="1">COUNTBLANK(OFFSET(Demand!$I139,0,(COLUMN(I127)-1)*5,1,1))</f>
        <v>1</v>
      </c>
      <c r="K130" s="5">
        <f ca="1">COUNTBLANK(OFFSET(Demand!$I139,0,(COLUMN(J127)-1)*5,1,1))</f>
        <v>1</v>
      </c>
      <c r="N130" s="5">
        <f ca="1">SUM(OFFSET(Demand!$E139,0,(COLUMN(A127)-1)*5,1,3))*N$2</f>
        <v>180</v>
      </c>
      <c r="O130" s="5">
        <f ca="1">SUM(OFFSET(Demand!$E139,0,(COLUMN(B127)-1)*5,1,3))*O$2</f>
        <v>400</v>
      </c>
      <c r="P130" s="5">
        <f ca="1">SUM(OFFSET(Demand!$E139,0,(COLUMN(C127)-1)*5,1,3))*P$2</f>
        <v>0</v>
      </c>
      <c r="Q130" s="5">
        <f ca="1">SUM(OFFSET(Demand!$E139,0,(COLUMN(D127)-1)*5,1,3))*Q$2</f>
        <v>0</v>
      </c>
      <c r="R130" s="5">
        <f ca="1">SUM(OFFSET(Demand!$E139,0,(COLUMN(E127)-1)*5,1,3))*R$2</f>
        <v>0</v>
      </c>
      <c r="S130" s="5">
        <f ca="1">SUM(OFFSET(Demand!$E139,0,(COLUMN(F127)-1)*5,1,3))*S$2</f>
        <v>0</v>
      </c>
      <c r="T130" s="5">
        <f ca="1">SUM(OFFSET(Demand!$E139,0,(COLUMN(G127)-1)*5,1,3))*T$2</f>
        <v>0</v>
      </c>
      <c r="U130" s="5">
        <f ca="1">SUM(OFFSET(Demand!$E139,0,(COLUMN(H127)-1)*5,1,3))*U$2</f>
        <v>0</v>
      </c>
      <c r="V130" s="5">
        <f ca="1">SUM(OFFSET(Demand!$E139,0,(COLUMN(I127)-1)*5,1,3))*V$2</f>
        <v>0</v>
      </c>
      <c r="W130" s="5">
        <f ca="1">SUM(OFFSET(Demand!$E139,0,(COLUMN(J127)-1)*5,1,3))*W$2</f>
        <v>0</v>
      </c>
      <c r="X130" s="5">
        <f t="shared" ca="1" si="31"/>
        <v>580</v>
      </c>
      <c r="Y130">
        <f t="shared" ca="1" si="32"/>
        <v>580</v>
      </c>
      <c r="Z130" s="5">
        <f ca="1">SUM(OFFSET(Demand!$H139,0,(COLUMN(A127)-1)*5,1,1))*N$2</f>
        <v>0</v>
      </c>
      <c r="AA130" s="5">
        <f ca="1">SUM(OFFSET(Demand!$H139,0,(COLUMN(B127)-1)*5,1,1))*O$2</f>
        <v>0</v>
      </c>
      <c r="AB130" s="5">
        <f ca="1">SUM(OFFSET(Demand!$H139,0,(COLUMN(C127)-1)*5,1,1))*P$2</f>
        <v>0</v>
      </c>
      <c r="AC130" s="5">
        <f ca="1">SUM(OFFSET(Demand!$H139,0,(COLUMN(D127)-1)*5,1,1))*Q$2</f>
        <v>0</v>
      </c>
      <c r="AD130" s="5">
        <f ca="1">SUM(OFFSET(Demand!$H139,0,(COLUMN(E127)-1)*5,1,1))*R$2</f>
        <v>0</v>
      </c>
      <c r="AE130" s="5">
        <f ca="1">SUM(OFFSET(Demand!$H139,0,(COLUMN(F127)-1)*5,1,1))*S$2</f>
        <v>0</v>
      </c>
      <c r="AF130" s="5">
        <f ca="1">SUM(OFFSET(Demand!$H139,0,(COLUMN(G127)-1)*5,1,1))*T$2</f>
        <v>0</v>
      </c>
      <c r="AG130" s="5">
        <f ca="1">SUM(OFFSET(Demand!$H139,0,(COLUMN(H127)-1)*5,1,1))*U$2</f>
        <v>0</v>
      </c>
      <c r="AH130" s="5">
        <f ca="1">SUM(OFFSET(Demand!$H139,0,(COLUMN(I127)-1)*5,1,1))*V$2</f>
        <v>0</v>
      </c>
      <c r="AI130" s="5">
        <f ca="1">SUM(OFFSET(Demand!$H139,0,(COLUMN(J127)-1)*5,1,1))*W$2</f>
        <v>0</v>
      </c>
      <c r="AJ130" s="5">
        <f t="shared" ca="1" si="33"/>
        <v>0</v>
      </c>
      <c r="AL130" s="5">
        <f t="shared" ca="1" si="34"/>
        <v>580</v>
      </c>
      <c r="AM130" s="5">
        <f t="shared" ca="1" si="35"/>
        <v>0</v>
      </c>
      <c r="AN130" s="5" t="str">
        <f>IF(Demand!BE139="Yes","Yes","")</f>
        <v/>
      </c>
      <c r="AP130" s="37" t="str">
        <f ca="1">Demand!B139</f>
        <v xml:space="preserve"> </v>
      </c>
      <c r="AQ130" t="str">
        <f ca="1">IF(TEXT(Demand!D139,"MMM")&lt;&gt;TEXT(Demand!D138,"MMM"),TEXT(Demand!D139,"MMM"),"")</f>
        <v/>
      </c>
      <c r="AT130" s="5">
        <f t="shared" ca="1" si="37"/>
        <v>110</v>
      </c>
      <c r="BQ130">
        <f ca="1">IF($AN130="",OFFSET(Demand!$A$13,ROW(A127)-1,4+((QUOTIENT(COLUMN(BQ$2)-69,3))*5)+MOD(COLUMN(BQ$2),3),1,1),"")</f>
        <v>0</v>
      </c>
      <c r="BR130">
        <f ca="1">IF($AN130="",OFFSET(Demand!$A$13,ROW(B127)-1,4+((QUOTIENT(COLUMN(BR$2)-69,3))*5)+MOD(COLUMN(BR$2),3),1,1),"")</f>
        <v>2</v>
      </c>
      <c r="BS130">
        <f ca="1">IF($AN130="",OFFSET(Demand!$A$13,ROW(C127)-1,4+((QUOTIENT(COLUMN(BS$2)-69,3))*5)+MOD(COLUMN(BS$2),3),1,1),"")</f>
        <v>4</v>
      </c>
      <c r="BT130">
        <f ca="1">IF($AN130="",OFFSET(Demand!$A$13,ROW(D127)-1,4+((QUOTIENT(COLUMN(BT$2)-69,3))*5)+MOD(COLUMN(BT$2),3),1,1),"")</f>
        <v>0</v>
      </c>
      <c r="BU130">
        <f ca="1">IF($AN130="",OFFSET(Demand!$A$13,ROW(E127)-1,4+((QUOTIENT(COLUMN(BU$2)-69,3))*5)+MOD(COLUMN(BU$2),3),1,1),"")</f>
        <v>3</v>
      </c>
      <c r="BV130">
        <f ca="1">IF($AN130="",OFFSET(Demand!$A$13,ROW(F127)-1,4+((QUOTIENT(COLUMN(BV$2)-69,3))*5)+MOD(COLUMN(BV$2),3),1,1),"")</f>
        <v>7</v>
      </c>
      <c r="BW130">
        <f ca="1">IF($AN130="",OFFSET(Demand!$A$13,ROW(G127)-1,4+((QUOTIENT(COLUMN(BW$2)-69,3))*5)+MOD(COLUMN(BW$2),3),1,1),"")</f>
        <v>0</v>
      </c>
      <c r="BX130">
        <f ca="1">IF($AN130="",OFFSET(Demand!$A$13,ROW(H127)-1,4+((QUOTIENT(COLUMN(BX$2)-69,3))*5)+MOD(COLUMN(BX$2),3),1,1),"")</f>
        <v>0</v>
      </c>
      <c r="BY130">
        <f ca="1">IF($AN130="",OFFSET(Demand!$A$13,ROW(I127)-1,4+((QUOTIENT(COLUMN(BY$2)-69,3))*5)+MOD(COLUMN(BY$2),3),1,1),"")</f>
        <v>0</v>
      </c>
      <c r="BZ130">
        <f ca="1">IF($AN130="",OFFSET(Demand!$A$13,ROW(J127)-1,4+((QUOTIENT(COLUMN(BZ$2)-69,3))*5)+MOD(COLUMN(BZ$2),3),1,1),"")</f>
        <v>0</v>
      </c>
      <c r="CA130">
        <f ca="1">IF($AN130="",OFFSET(Demand!$A$13,ROW(K127)-1,4+((QUOTIENT(COLUMN(CA$2)-69,3))*5)+MOD(COLUMN(CA$2),3),1,1),"")</f>
        <v>0</v>
      </c>
      <c r="CB130">
        <f ca="1">IF($AN130="",OFFSET(Demand!$A$13,ROW(L127)-1,4+((QUOTIENT(COLUMN(CB$2)-69,3))*5)+MOD(COLUMN(CB$2),3),1,1),"")</f>
        <v>0</v>
      </c>
      <c r="CC130">
        <f ca="1">IF($AN130="",OFFSET(Demand!$A$13,ROW(M127)-1,4+((QUOTIENT(COLUMN(CC$2)-69,3))*5)+MOD(COLUMN(CC$2),3),1,1),"")</f>
        <v>0</v>
      </c>
      <c r="CD130">
        <f ca="1">IF($AN130="",OFFSET(Demand!$A$13,ROW(N127)-1,4+((QUOTIENT(COLUMN(CD$2)-69,3))*5)+MOD(COLUMN(CD$2),3),1,1),"")</f>
        <v>0</v>
      </c>
      <c r="CE130">
        <f ca="1">IF($AN130="",OFFSET(Demand!$A$13,ROW(O127)-1,4+((QUOTIENT(COLUMN(CE$2)-69,3))*5)+MOD(COLUMN(CE$2),3),1,1),"")</f>
        <v>0</v>
      </c>
      <c r="CF130">
        <f ca="1">IF($AN130="",OFFSET(Demand!$A$13,ROW(P127)-1,4+((QUOTIENT(COLUMN(CF$2)-69,3))*5)+MOD(COLUMN(CF$2),3),1,1),"")</f>
        <v>0</v>
      </c>
      <c r="CG130">
        <f ca="1">IF($AN130="",OFFSET(Demand!$A$13,ROW(Q127)-1,4+((QUOTIENT(COLUMN(CG$2)-69,3))*5)+MOD(COLUMN(CG$2),3),1,1),"")</f>
        <v>0</v>
      </c>
      <c r="CH130">
        <f ca="1">IF($AN130="",OFFSET(Demand!$A$13,ROW(R127)-1,4+((QUOTIENT(COLUMN(CH$2)-69,3))*5)+MOD(COLUMN(CH$2),3),1,1),"")</f>
        <v>0</v>
      </c>
      <c r="CI130">
        <f ca="1">IF($AN130="",OFFSET(Demand!$A$13,ROW(S127)-1,4+((QUOTIENT(COLUMN(CI$2)-69,3))*5)+MOD(COLUMN(CI$2),3),1,1),"")</f>
        <v>0</v>
      </c>
      <c r="CJ130">
        <f ca="1">IF($AN130="",OFFSET(Demand!$A$13,ROW(T127)-1,4+((QUOTIENT(COLUMN(CJ$2)-69,3))*5)+MOD(COLUMN(CJ$2),3),1,1),"")</f>
        <v>0</v>
      </c>
      <c r="CK130">
        <f ca="1">IF($AN130="",OFFSET(Demand!$A$13,ROW(U127)-1,4+((QUOTIENT(COLUMN(CK$2)-69,3))*5)+MOD(COLUMN(CK$2),3),1,1),"")</f>
        <v>0</v>
      </c>
      <c r="CL130">
        <f ca="1">IF($AN130="",OFFSET(Demand!$A$13,ROW(V127)-1,4+((QUOTIENT(COLUMN(CL$2)-69,3))*5)+MOD(COLUMN(CL$2),3),1,1),"")</f>
        <v>0</v>
      </c>
      <c r="CM130">
        <f ca="1">IF($AN130="",OFFSET(Demand!$A$13,ROW(W127)-1,4+((QUOTIENT(COLUMN(CM$2)-69,3))*5)+MOD(COLUMN(CM$2),3),1,1),"")</f>
        <v>0</v>
      </c>
      <c r="CN130">
        <f ca="1">IF($AN130="",OFFSET(Demand!$A$13,ROW(X127)-1,4+((QUOTIENT(COLUMN(CN$2)-69,3))*5)+MOD(COLUMN(CN$2),3),1,1),"")</f>
        <v>0</v>
      </c>
      <c r="CO130">
        <f ca="1">IF($AN130="",OFFSET(Demand!$A$13,ROW(Y127)-1,4+((QUOTIENT(COLUMN(CO$2)-69,3))*5)+MOD(COLUMN(CO$2),3),1,1),"")</f>
        <v>0</v>
      </c>
      <c r="CP130">
        <f ca="1">IF($AN130="",OFFSET(Demand!$A$13,ROW(Z127)-1,4+((QUOTIENT(COLUMN(CP$2)-69,3))*5)+MOD(COLUMN(CP$2),3),1,1),"")</f>
        <v>0</v>
      </c>
      <c r="CQ130">
        <f ca="1">IF($AN130="",OFFSET(Demand!$A$13,ROW(AA127)-1,4+((QUOTIENT(COLUMN(CQ$2)-69,3))*5)+MOD(COLUMN(CQ$2),3),1,1),"")</f>
        <v>0</v>
      </c>
      <c r="CR130">
        <f ca="1">IF($AN130="",OFFSET(Demand!$A$13,ROW(AB127)-1,4+((QUOTIENT(COLUMN(CR$2)-69,3))*5)+MOD(COLUMN(CR$2),3),1,1),"")</f>
        <v>0</v>
      </c>
      <c r="CS130">
        <f ca="1">IF($AN130="",OFFSET(Demand!$A$13,ROW(AC127)-1,4+((QUOTIENT(COLUMN(CS$2)-69,3))*5)+MOD(COLUMN(CS$2),3),1,1),"")</f>
        <v>0</v>
      </c>
      <c r="CT130">
        <f ca="1">IF($AN130="",OFFSET(Demand!$A$13,ROW(AD127)-1,4+((QUOTIENT(COLUMN(CT$2)-69,3))*5)+MOD(COLUMN(CT$2),3),1,1),"")</f>
        <v>0</v>
      </c>
      <c r="CW130" s="5">
        <f ca="1">SUM(OFFSET(Demand!$H$43,ROW(A127)-1,(COLUMN(A127)-1)*5,1,1))*N$2</f>
        <v>0</v>
      </c>
      <c r="CX130" s="5">
        <f ca="1">SUM(OFFSET(Demand!$H$43,ROW(B127)-1,(COLUMN(B127)-1)*5,1,1))*O$2</f>
        <v>0</v>
      </c>
      <c r="CY130" s="5">
        <f ca="1">SUM(OFFSET(Demand!$H$43,ROW(C127)-1,(COLUMN(C127)-1)*5,1,1))*P$2</f>
        <v>0</v>
      </c>
      <c r="CZ130" s="5">
        <f ca="1">SUM(OFFSET(Demand!$H$43,ROW(D127)-1,(COLUMN(D127)-1)*5,1,1))*Q$2</f>
        <v>0</v>
      </c>
      <c r="DA130" s="5">
        <f ca="1">SUM(OFFSET(Demand!$H$43,ROW(E127)-1,(COLUMN(E127)-1)*5,1,1))*R$2</f>
        <v>0</v>
      </c>
      <c r="DB130" s="5">
        <f ca="1">SUM(OFFSET(Demand!$H$43,ROW(F127)-1,(COLUMN(F127)-1)*5,1,1))*S$2</f>
        <v>0</v>
      </c>
      <c r="DC130" s="5">
        <f ca="1">SUM(OFFSET(Demand!$H$43,ROW(G127)-1,(COLUMN(G127)-1)*5,1,1))*T$2</f>
        <v>0</v>
      </c>
      <c r="DD130" s="5">
        <f ca="1">SUM(OFFSET(Demand!$H$43,ROW(H127)-1,(COLUMN(H127)-1)*5,1,1))*U$2</f>
        <v>0</v>
      </c>
      <c r="DE130" s="5">
        <f ca="1">SUM(OFFSET(Demand!$H$43,ROW(I127)-1,(COLUMN(I127)-1)*5,1,1))*V$2</f>
        <v>0</v>
      </c>
      <c r="DF130" s="5">
        <f ca="1">SUM(OFFSET(Demand!$H$43,ROW(J127)-1,(COLUMN(J127)-1)*5,1,1))*W$2</f>
        <v>0</v>
      </c>
      <c r="DG130" s="5">
        <f t="shared" ca="1" si="36"/>
        <v>0</v>
      </c>
    </row>
    <row r="131" spans="1:111" x14ac:dyDescent="0.2">
      <c r="A131" s="5">
        <f t="shared" ca="1" si="38"/>
        <v>0</v>
      </c>
      <c r="B131" s="5">
        <f ca="1">COUNTBLANK(OFFSET(Demand!$I140,0,(COLUMN(A128)-1)*5,1,1))</f>
        <v>0</v>
      </c>
      <c r="C131" s="5">
        <f ca="1">COUNTBLANK(OFFSET(Demand!$I140,0,(COLUMN(B128)-1)*5,1,1))</f>
        <v>0</v>
      </c>
      <c r="D131" s="5">
        <f ca="1">COUNTBLANK(OFFSET(Demand!$I140,0,(COLUMN(C128)-1)*5,1,1))</f>
        <v>1</v>
      </c>
      <c r="E131" s="5">
        <f ca="1">COUNTBLANK(OFFSET(Demand!$I140,0,(COLUMN(D128)-1)*5,1,1))</f>
        <v>1</v>
      </c>
      <c r="F131" s="5">
        <f ca="1">COUNTBLANK(OFFSET(Demand!$I140,0,(COLUMN(E128)-1)*5,1,1))</f>
        <v>1</v>
      </c>
      <c r="G131" s="5">
        <f ca="1">COUNTBLANK(OFFSET(Demand!$I140,0,(COLUMN(F128)-1)*5,1,1))</f>
        <v>1</v>
      </c>
      <c r="H131" s="5">
        <f ca="1">COUNTBLANK(OFFSET(Demand!$I140,0,(COLUMN(G128)-1)*5,1,1))</f>
        <v>1</v>
      </c>
      <c r="I131" s="5">
        <f ca="1">COUNTBLANK(OFFSET(Demand!$I140,0,(COLUMN(H128)-1)*5,1,1))</f>
        <v>1</v>
      </c>
      <c r="J131" s="5">
        <f ca="1">COUNTBLANK(OFFSET(Demand!$I140,0,(COLUMN(I128)-1)*5,1,1))</f>
        <v>1</v>
      </c>
      <c r="K131" s="5">
        <f ca="1">COUNTBLANK(OFFSET(Demand!$I140,0,(COLUMN(J128)-1)*5,1,1))</f>
        <v>1</v>
      </c>
      <c r="N131" s="5">
        <f ca="1">SUM(OFFSET(Demand!$E140,0,(COLUMN(A128)-1)*5,1,3))*N$2</f>
        <v>90</v>
      </c>
      <c r="O131" s="5">
        <f ca="1">SUM(OFFSET(Demand!$E140,0,(COLUMN(B128)-1)*5,1,3))*O$2</f>
        <v>320</v>
      </c>
      <c r="P131" s="5">
        <f ca="1">SUM(OFFSET(Demand!$E140,0,(COLUMN(C128)-1)*5,1,3))*P$2</f>
        <v>0</v>
      </c>
      <c r="Q131" s="5">
        <f ca="1">SUM(OFFSET(Demand!$E140,0,(COLUMN(D128)-1)*5,1,3))*Q$2</f>
        <v>0</v>
      </c>
      <c r="R131" s="5">
        <f ca="1">SUM(OFFSET(Demand!$E140,0,(COLUMN(E128)-1)*5,1,3))*R$2</f>
        <v>0</v>
      </c>
      <c r="S131" s="5">
        <f ca="1">SUM(OFFSET(Demand!$E140,0,(COLUMN(F128)-1)*5,1,3))*S$2</f>
        <v>0</v>
      </c>
      <c r="T131" s="5">
        <f ca="1">SUM(OFFSET(Demand!$E140,0,(COLUMN(G128)-1)*5,1,3))*T$2</f>
        <v>0</v>
      </c>
      <c r="U131" s="5">
        <f ca="1">SUM(OFFSET(Demand!$E140,0,(COLUMN(H128)-1)*5,1,3))*U$2</f>
        <v>0</v>
      </c>
      <c r="V131" s="5">
        <f ca="1">SUM(OFFSET(Demand!$E140,0,(COLUMN(I128)-1)*5,1,3))*V$2</f>
        <v>0</v>
      </c>
      <c r="W131" s="5">
        <f ca="1">SUM(OFFSET(Demand!$E140,0,(COLUMN(J128)-1)*5,1,3))*W$2</f>
        <v>0</v>
      </c>
      <c r="X131" s="5">
        <f t="shared" ca="1" si="31"/>
        <v>410</v>
      </c>
      <c r="Y131">
        <f t="shared" ca="1" si="32"/>
        <v>410</v>
      </c>
      <c r="Z131" s="5">
        <f ca="1">SUM(OFFSET(Demand!$H140,0,(COLUMN(A128)-1)*5,1,1))*N$2</f>
        <v>0</v>
      </c>
      <c r="AA131" s="5">
        <f ca="1">SUM(OFFSET(Demand!$H140,0,(COLUMN(B128)-1)*5,1,1))*O$2</f>
        <v>0</v>
      </c>
      <c r="AB131" s="5">
        <f ca="1">SUM(OFFSET(Demand!$H140,0,(COLUMN(C128)-1)*5,1,1))*P$2</f>
        <v>0</v>
      </c>
      <c r="AC131" s="5">
        <f ca="1">SUM(OFFSET(Demand!$H140,0,(COLUMN(D128)-1)*5,1,1))*Q$2</f>
        <v>0</v>
      </c>
      <c r="AD131" s="5">
        <f ca="1">SUM(OFFSET(Demand!$H140,0,(COLUMN(E128)-1)*5,1,1))*R$2</f>
        <v>0</v>
      </c>
      <c r="AE131" s="5">
        <f ca="1">SUM(OFFSET(Demand!$H140,0,(COLUMN(F128)-1)*5,1,1))*S$2</f>
        <v>0</v>
      </c>
      <c r="AF131" s="5">
        <f ca="1">SUM(OFFSET(Demand!$H140,0,(COLUMN(G128)-1)*5,1,1))*T$2</f>
        <v>0</v>
      </c>
      <c r="AG131" s="5">
        <f ca="1">SUM(OFFSET(Demand!$H140,0,(COLUMN(H128)-1)*5,1,1))*U$2</f>
        <v>0</v>
      </c>
      <c r="AH131" s="5">
        <f ca="1">SUM(OFFSET(Demand!$H140,0,(COLUMN(I128)-1)*5,1,1))*V$2</f>
        <v>0</v>
      </c>
      <c r="AI131" s="5">
        <f ca="1">SUM(OFFSET(Demand!$H140,0,(COLUMN(J128)-1)*5,1,1))*W$2</f>
        <v>0</v>
      </c>
      <c r="AJ131" s="5">
        <f t="shared" ca="1" si="33"/>
        <v>0</v>
      </c>
      <c r="AL131" s="5">
        <f t="shared" ca="1" si="34"/>
        <v>410</v>
      </c>
      <c r="AM131" s="5">
        <f t="shared" ca="1" si="35"/>
        <v>0</v>
      </c>
      <c r="AN131" s="5" t="str">
        <f>IF(Demand!BE140="Yes","Yes","")</f>
        <v/>
      </c>
      <c r="AP131" s="37" t="str">
        <f ca="1">Demand!B140</f>
        <v xml:space="preserve"> </v>
      </c>
      <c r="AQ131" t="str">
        <f ca="1">IF(TEXT(Demand!D140,"MMM")&lt;&gt;TEXT(Demand!D139,"MMM"),TEXT(Demand!D140,"MMM"),"")</f>
        <v>Sep</v>
      </c>
      <c r="AT131" s="5">
        <f t="shared" ca="1" si="37"/>
        <v>170</v>
      </c>
      <c r="BQ131">
        <f ca="1">IF($AN131="",OFFSET(Demand!$A$13,ROW(A128)-1,4+((QUOTIENT(COLUMN(BQ$2)-69,3))*5)+MOD(COLUMN(BQ$2),3),1,1),"")</f>
        <v>0</v>
      </c>
      <c r="BR131">
        <f ca="1">IF($AN131="",OFFSET(Demand!$A$13,ROW(B128)-1,4+((QUOTIENT(COLUMN(BR$2)-69,3))*5)+MOD(COLUMN(BR$2),3),1,1),"")</f>
        <v>0</v>
      </c>
      <c r="BS131">
        <f ca="1">IF($AN131="",OFFSET(Demand!$A$13,ROW(C128)-1,4+((QUOTIENT(COLUMN(BS$2)-69,3))*5)+MOD(COLUMN(BS$2),3),1,1),"")</f>
        <v>3</v>
      </c>
      <c r="BT131">
        <f ca="1">IF($AN131="",OFFSET(Demand!$A$13,ROW(D128)-1,4+((QUOTIENT(COLUMN(BT$2)-69,3))*5)+MOD(COLUMN(BT$2),3),1,1),"")</f>
        <v>0</v>
      </c>
      <c r="BU131">
        <f ca="1">IF($AN131="",OFFSET(Demand!$A$13,ROW(E128)-1,4+((QUOTIENT(COLUMN(BU$2)-69,3))*5)+MOD(COLUMN(BU$2),3),1,1),"")</f>
        <v>3</v>
      </c>
      <c r="BV131">
        <f ca="1">IF($AN131="",OFFSET(Demand!$A$13,ROW(F128)-1,4+((QUOTIENT(COLUMN(BV$2)-69,3))*5)+MOD(COLUMN(BV$2),3),1,1),"")</f>
        <v>5</v>
      </c>
      <c r="BW131">
        <f ca="1">IF($AN131="",OFFSET(Demand!$A$13,ROW(G128)-1,4+((QUOTIENT(COLUMN(BW$2)-69,3))*5)+MOD(COLUMN(BW$2),3),1,1),"")</f>
        <v>0</v>
      </c>
      <c r="BX131">
        <f ca="1">IF($AN131="",OFFSET(Demand!$A$13,ROW(H128)-1,4+((QUOTIENT(COLUMN(BX$2)-69,3))*5)+MOD(COLUMN(BX$2),3),1,1),"")</f>
        <v>0</v>
      </c>
      <c r="BY131">
        <f ca="1">IF($AN131="",OFFSET(Demand!$A$13,ROW(I128)-1,4+((QUOTIENT(COLUMN(BY$2)-69,3))*5)+MOD(COLUMN(BY$2),3),1,1),"")</f>
        <v>0</v>
      </c>
      <c r="BZ131">
        <f ca="1">IF($AN131="",OFFSET(Demand!$A$13,ROW(J128)-1,4+((QUOTIENT(COLUMN(BZ$2)-69,3))*5)+MOD(COLUMN(BZ$2),3),1,1),"")</f>
        <v>0</v>
      </c>
      <c r="CA131">
        <f ca="1">IF($AN131="",OFFSET(Demand!$A$13,ROW(K128)-1,4+((QUOTIENT(COLUMN(CA$2)-69,3))*5)+MOD(COLUMN(CA$2),3),1,1),"")</f>
        <v>0</v>
      </c>
      <c r="CB131">
        <f ca="1">IF($AN131="",OFFSET(Demand!$A$13,ROW(L128)-1,4+((QUOTIENT(COLUMN(CB$2)-69,3))*5)+MOD(COLUMN(CB$2),3),1,1),"")</f>
        <v>0</v>
      </c>
      <c r="CC131">
        <f ca="1">IF($AN131="",OFFSET(Demand!$A$13,ROW(M128)-1,4+((QUOTIENT(COLUMN(CC$2)-69,3))*5)+MOD(COLUMN(CC$2),3),1,1),"")</f>
        <v>0</v>
      </c>
      <c r="CD131">
        <f ca="1">IF($AN131="",OFFSET(Demand!$A$13,ROW(N128)-1,4+((QUOTIENT(COLUMN(CD$2)-69,3))*5)+MOD(COLUMN(CD$2),3),1,1),"")</f>
        <v>0</v>
      </c>
      <c r="CE131">
        <f ca="1">IF($AN131="",OFFSET(Demand!$A$13,ROW(O128)-1,4+((QUOTIENT(COLUMN(CE$2)-69,3))*5)+MOD(COLUMN(CE$2),3),1,1),"")</f>
        <v>0</v>
      </c>
      <c r="CF131">
        <f ca="1">IF($AN131="",OFFSET(Demand!$A$13,ROW(P128)-1,4+((QUOTIENT(COLUMN(CF$2)-69,3))*5)+MOD(COLUMN(CF$2),3),1,1),"")</f>
        <v>0</v>
      </c>
      <c r="CG131">
        <f ca="1">IF($AN131="",OFFSET(Demand!$A$13,ROW(Q128)-1,4+((QUOTIENT(COLUMN(CG$2)-69,3))*5)+MOD(COLUMN(CG$2),3),1,1),"")</f>
        <v>0</v>
      </c>
      <c r="CH131">
        <f ca="1">IF($AN131="",OFFSET(Demand!$A$13,ROW(R128)-1,4+((QUOTIENT(COLUMN(CH$2)-69,3))*5)+MOD(COLUMN(CH$2),3),1,1),"")</f>
        <v>0</v>
      </c>
      <c r="CI131">
        <f ca="1">IF($AN131="",OFFSET(Demand!$A$13,ROW(S128)-1,4+((QUOTIENT(COLUMN(CI$2)-69,3))*5)+MOD(COLUMN(CI$2),3),1,1),"")</f>
        <v>0</v>
      </c>
      <c r="CJ131">
        <f ca="1">IF($AN131="",OFFSET(Demand!$A$13,ROW(T128)-1,4+((QUOTIENT(COLUMN(CJ$2)-69,3))*5)+MOD(COLUMN(CJ$2),3),1,1),"")</f>
        <v>0</v>
      </c>
      <c r="CK131">
        <f ca="1">IF($AN131="",OFFSET(Demand!$A$13,ROW(U128)-1,4+((QUOTIENT(COLUMN(CK$2)-69,3))*5)+MOD(COLUMN(CK$2),3),1,1),"")</f>
        <v>0</v>
      </c>
      <c r="CL131">
        <f ca="1">IF($AN131="",OFFSET(Demand!$A$13,ROW(V128)-1,4+((QUOTIENT(COLUMN(CL$2)-69,3))*5)+MOD(COLUMN(CL$2),3),1,1),"")</f>
        <v>0</v>
      </c>
      <c r="CM131">
        <f ca="1">IF($AN131="",OFFSET(Demand!$A$13,ROW(W128)-1,4+((QUOTIENT(COLUMN(CM$2)-69,3))*5)+MOD(COLUMN(CM$2),3),1,1),"")</f>
        <v>0</v>
      </c>
      <c r="CN131">
        <f ca="1">IF($AN131="",OFFSET(Demand!$A$13,ROW(X128)-1,4+((QUOTIENT(COLUMN(CN$2)-69,3))*5)+MOD(COLUMN(CN$2),3),1,1),"")</f>
        <v>0</v>
      </c>
      <c r="CO131">
        <f ca="1">IF($AN131="",OFFSET(Demand!$A$13,ROW(Y128)-1,4+((QUOTIENT(COLUMN(CO$2)-69,3))*5)+MOD(COLUMN(CO$2),3),1,1),"")</f>
        <v>0</v>
      </c>
      <c r="CP131">
        <f ca="1">IF($AN131="",OFFSET(Demand!$A$13,ROW(Z128)-1,4+((QUOTIENT(COLUMN(CP$2)-69,3))*5)+MOD(COLUMN(CP$2),3),1,1),"")</f>
        <v>0</v>
      </c>
      <c r="CQ131">
        <f ca="1">IF($AN131="",OFFSET(Demand!$A$13,ROW(AA128)-1,4+((QUOTIENT(COLUMN(CQ$2)-69,3))*5)+MOD(COLUMN(CQ$2),3),1,1),"")</f>
        <v>0</v>
      </c>
      <c r="CR131">
        <f ca="1">IF($AN131="",OFFSET(Demand!$A$13,ROW(AB128)-1,4+((QUOTIENT(COLUMN(CR$2)-69,3))*5)+MOD(COLUMN(CR$2),3),1,1),"")</f>
        <v>0</v>
      </c>
      <c r="CS131">
        <f ca="1">IF($AN131="",OFFSET(Demand!$A$13,ROW(AC128)-1,4+((QUOTIENT(COLUMN(CS$2)-69,3))*5)+MOD(COLUMN(CS$2),3),1,1),"")</f>
        <v>0</v>
      </c>
      <c r="CT131">
        <f ca="1">IF($AN131="",OFFSET(Demand!$A$13,ROW(AD128)-1,4+((QUOTIENT(COLUMN(CT$2)-69,3))*5)+MOD(COLUMN(CT$2),3),1,1),"")</f>
        <v>0</v>
      </c>
      <c r="CW131" s="5">
        <f ca="1">SUM(OFFSET(Demand!$H$43,ROW(A128)-1,(COLUMN(A128)-1)*5,1,1))*N$2</f>
        <v>0</v>
      </c>
      <c r="CX131" s="5">
        <f ca="1">SUM(OFFSET(Demand!$H$43,ROW(B128)-1,(COLUMN(B128)-1)*5,1,1))*O$2</f>
        <v>0</v>
      </c>
      <c r="CY131" s="5">
        <f ca="1">SUM(OFFSET(Demand!$H$43,ROW(C128)-1,(COLUMN(C128)-1)*5,1,1))*P$2</f>
        <v>0</v>
      </c>
      <c r="CZ131" s="5">
        <f ca="1">SUM(OFFSET(Demand!$H$43,ROW(D128)-1,(COLUMN(D128)-1)*5,1,1))*Q$2</f>
        <v>0</v>
      </c>
      <c r="DA131" s="5">
        <f ca="1">SUM(OFFSET(Demand!$H$43,ROW(E128)-1,(COLUMN(E128)-1)*5,1,1))*R$2</f>
        <v>0</v>
      </c>
      <c r="DB131" s="5">
        <f ca="1">SUM(OFFSET(Demand!$H$43,ROW(F128)-1,(COLUMN(F128)-1)*5,1,1))*S$2</f>
        <v>0</v>
      </c>
      <c r="DC131" s="5">
        <f ca="1">SUM(OFFSET(Demand!$H$43,ROW(G128)-1,(COLUMN(G128)-1)*5,1,1))*T$2</f>
        <v>0</v>
      </c>
      <c r="DD131" s="5">
        <f ca="1">SUM(OFFSET(Demand!$H$43,ROW(H128)-1,(COLUMN(H128)-1)*5,1,1))*U$2</f>
        <v>0</v>
      </c>
      <c r="DE131" s="5">
        <f ca="1">SUM(OFFSET(Demand!$H$43,ROW(I128)-1,(COLUMN(I128)-1)*5,1,1))*V$2</f>
        <v>0</v>
      </c>
      <c r="DF131" s="5">
        <f ca="1">SUM(OFFSET(Demand!$H$43,ROW(J128)-1,(COLUMN(J128)-1)*5,1,1))*W$2</f>
        <v>0</v>
      </c>
      <c r="DG131" s="5">
        <f t="shared" ca="1" si="36"/>
        <v>0</v>
      </c>
    </row>
    <row r="132" spans="1:111" x14ac:dyDescent="0.2">
      <c r="A132" s="5">
        <f t="shared" ca="1" si="38"/>
        <v>0</v>
      </c>
      <c r="B132" s="5">
        <f ca="1">COUNTBLANK(OFFSET(Demand!$I141,0,(COLUMN(A129)-1)*5,1,1))</f>
        <v>0</v>
      </c>
      <c r="C132" s="5">
        <f ca="1">COUNTBLANK(OFFSET(Demand!$I141,0,(COLUMN(B129)-1)*5,1,1))</f>
        <v>0</v>
      </c>
      <c r="D132" s="5">
        <f ca="1">COUNTBLANK(OFFSET(Demand!$I141,0,(COLUMN(C129)-1)*5,1,1))</f>
        <v>1</v>
      </c>
      <c r="E132" s="5">
        <f ca="1">COUNTBLANK(OFFSET(Demand!$I141,0,(COLUMN(D129)-1)*5,1,1))</f>
        <v>1</v>
      </c>
      <c r="F132" s="5">
        <f ca="1">COUNTBLANK(OFFSET(Demand!$I141,0,(COLUMN(E129)-1)*5,1,1))</f>
        <v>1</v>
      </c>
      <c r="G132" s="5">
        <f ca="1">COUNTBLANK(OFFSET(Demand!$I141,0,(COLUMN(F129)-1)*5,1,1))</f>
        <v>1</v>
      </c>
      <c r="H132" s="5">
        <f ca="1">COUNTBLANK(OFFSET(Demand!$I141,0,(COLUMN(G129)-1)*5,1,1))</f>
        <v>1</v>
      </c>
      <c r="I132" s="5">
        <f ca="1">COUNTBLANK(OFFSET(Demand!$I141,0,(COLUMN(H129)-1)*5,1,1))</f>
        <v>1</v>
      </c>
      <c r="J132" s="5">
        <f ca="1">COUNTBLANK(OFFSET(Demand!$I141,0,(COLUMN(I129)-1)*5,1,1))</f>
        <v>1</v>
      </c>
      <c r="K132" s="5">
        <f ca="1">COUNTBLANK(OFFSET(Demand!$I141,0,(COLUMN(J129)-1)*5,1,1))</f>
        <v>1</v>
      </c>
      <c r="N132" s="5">
        <f ca="1">SUM(OFFSET(Demand!$E141,0,(COLUMN(A129)-1)*5,1,3))*N$2</f>
        <v>90</v>
      </c>
      <c r="O132" s="5">
        <f ca="1">SUM(OFFSET(Demand!$E141,0,(COLUMN(B129)-1)*5,1,3))*O$2</f>
        <v>280</v>
      </c>
      <c r="P132" s="5">
        <f ca="1">SUM(OFFSET(Demand!$E141,0,(COLUMN(C129)-1)*5,1,3))*P$2</f>
        <v>0</v>
      </c>
      <c r="Q132" s="5">
        <f ca="1">SUM(OFFSET(Demand!$E141,0,(COLUMN(D129)-1)*5,1,3))*Q$2</f>
        <v>0</v>
      </c>
      <c r="R132" s="5">
        <f ca="1">SUM(OFFSET(Demand!$E141,0,(COLUMN(E129)-1)*5,1,3))*R$2</f>
        <v>0</v>
      </c>
      <c r="S132" s="5">
        <f ca="1">SUM(OFFSET(Demand!$E141,0,(COLUMN(F129)-1)*5,1,3))*S$2</f>
        <v>0</v>
      </c>
      <c r="T132" s="5">
        <f ca="1">SUM(OFFSET(Demand!$E141,0,(COLUMN(G129)-1)*5,1,3))*T$2</f>
        <v>0</v>
      </c>
      <c r="U132" s="5">
        <f ca="1">SUM(OFFSET(Demand!$E141,0,(COLUMN(H129)-1)*5,1,3))*U$2</f>
        <v>0</v>
      </c>
      <c r="V132" s="5">
        <f ca="1">SUM(OFFSET(Demand!$E141,0,(COLUMN(I129)-1)*5,1,3))*V$2</f>
        <v>0</v>
      </c>
      <c r="W132" s="5">
        <f ca="1">SUM(OFFSET(Demand!$E141,0,(COLUMN(J129)-1)*5,1,3))*W$2</f>
        <v>0</v>
      </c>
      <c r="X132" s="5">
        <f t="shared" ref="X132:X195" ca="1" si="39">IF(AN132="",SUM(OFFSET(N132,0,0,1,Num_Modalities)),"")</f>
        <v>370</v>
      </c>
      <c r="Y132">
        <f t="shared" ref="Y132:Y195" ca="1" si="40">SUM(OFFSET(N132,0,0,1,Num_Modalities))</f>
        <v>370</v>
      </c>
      <c r="Z132" s="5">
        <f ca="1">SUM(OFFSET(Demand!$H141,0,(COLUMN(A129)-1)*5,1,1))*N$2</f>
        <v>0</v>
      </c>
      <c r="AA132" s="5">
        <f ca="1">SUM(OFFSET(Demand!$H141,0,(COLUMN(B129)-1)*5,1,1))*O$2</f>
        <v>0</v>
      </c>
      <c r="AB132" s="5">
        <f ca="1">SUM(OFFSET(Demand!$H141,0,(COLUMN(C129)-1)*5,1,1))*P$2</f>
        <v>0</v>
      </c>
      <c r="AC132" s="5">
        <f ca="1">SUM(OFFSET(Demand!$H141,0,(COLUMN(D129)-1)*5,1,1))*Q$2</f>
        <v>0</v>
      </c>
      <c r="AD132" s="5">
        <f ca="1">SUM(OFFSET(Demand!$H141,0,(COLUMN(E129)-1)*5,1,1))*R$2</f>
        <v>0</v>
      </c>
      <c r="AE132" s="5">
        <f ca="1">SUM(OFFSET(Demand!$H141,0,(COLUMN(F129)-1)*5,1,1))*S$2</f>
        <v>0</v>
      </c>
      <c r="AF132" s="5">
        <f ca="1">SUM(OFFSET(Demand!$H141,0,(COLUMN(G129)-1)*5,1,1))*T$2</f>
        <v>0</v>
      </c>
      <c r="AG132" s="5">
        <f ca="1">SUM(OFFSET(Demand!$H141,0,(COLUMN(H129)-1)*5,1,1))*U$2</f>
        <v>0</v>
      </c>
      <c r="AH132" s="5">
        <f ca="1">SUM(OFFSET(Demand!$H141,0,(COLUMN(I129)-1)*5,1,1))*V$2</f>
        <v>0</v>
      </c>
      <c r="AI132" s="5">
        <f ca="1">SUM(OFFSET(Demand!$H141,0,(COLUMN(J129)-1)*5,1,1))*W$2</f>
        <v>0</v>
      </c>
      <c r="AJ132" s="5">
        <f t="shared" ref="AJ132:AJ195" ca="1" si="41">SUM(OFFSET(Z132,0,0,1,Num_Modalities))</f>
        <v>0</v>
      </c>
      <c r="AL132" s="5">
        <f t="shared" ca="1" si="34"/>
        <v>370</v>
      </c>
      <c r="AM132" s="5">
        <f t="shared" ca="1" si="35"/>
        <v>0</v>
      </c>
      <c r="AN132" s="5" t="str">
        <f>IF(Demand!BE141="Yes","Yes","")</f>
        <v/>
      </c>
      <c r="AP132" s="37" t="str">
        <f ca="1">Demand!B141</f>
        <v xml:space="preserve"> </v>
      </c>
      <c r="AQ132" t="str">
        <f ca="1">IF(TEXT(Demand!D141,"MMM")&lt;&gt;TEXT(Demand!D140,"MMM"),TEXT(Demand!D141,"MMM"),"")</f>
        <v/>
      </c>
      <c r="AT132" s="5">
        <f t="shared" ca="1" si="37"/>
        <v>40</v>
      </c>
      <c r="BQ132">
        <f ca="1">IF($AN132="",OFFSET(Demand!$A$13,ROW(A129)-1,4+((QUOTIENT(COLUMN(BQ$2)-69,3))*5)+MOD(COLUMN(BQ$2),3),1,1),"")</f>
        <v>0</v>
      </c>
      <c r="BR132">
        <f ca="1">IF($AN132="",OFFSET(Demand!$A$13,ROW(B129)-1,4+((QUOTIENT(COLUMN(BR$2)-69,3))*5)+MOD(COLUMN(BR$2),3),1,1),"")</f>
        <v>0</v>
      </c>
      <c r="BS132">
        <f ca="1">IF($AN132="",OFFSET(Demand!$A$13,ROW(C129)-1,4+((QUOTIENT(COLUMN(BS$2)-69,3))*5)+MOD(COLUMN(BS$2),3),1,1),"")</f>
        <v>3</v>
      </c>
      <c r="BT132">
        <f ca="1">IF($AN132="",OFFSET(Demand!$A$13,ROW(D129)-1,4+((QUOTIENT(COLUMN(BT$2)-69,3))*5)+MOD(COLUMN(BT$2),3),1,1),"")</f>
        <v>0</v>
      </c>
      <c r="BU132">
        <f ca="1">IF($AN132="",OFFSET(Demand!$A$13,ROW(E129)-1,4+((QUOTIENT(COLUMN(BU$2)-69,3))*5)+MOD(COLUMN(BU$2),3),1,1),"")</f>
        <v>1</v>
      </c>
      <c r="BV132">
        <f ca="1">IF($AN132="",OFFSET(Demand!$A$13,ROW(F129)-1,4+((QUOTIENT(COLUMN(BV$2)-69,3))*5)+MOD(COLUMN(BV$2),3),1,1),"")</f>
        <v>6</v>
      </c>
      <c r="BW132">
        <f ca="1">IF($AN132="",OFFSET(Demand!$A$13,ROW(G129)-1,4+((QUOTIENT(COLUMN(BW$2)-69,3))*5)+MOD(COLUMN(BW$2),3),1,1),"")</f>
        <v>0</v>
      </c>
      <c r="BX132">
        <f ca="1">IF($AN132="",OFFSET(Demand!$A$13,ROW(H129)-1,4+((QUOTIENT(COLUMN(BX$2)-69,3))*5)+MOD(COLUMN(BX$2),3),1,1),"")</f>
        <v>0</v>
      </c>
      <c r="BY132">
        <f ca="1">IF($AN132="",OFFSET(Demand!$A$13,ROW(I129)-1,4+((QUOTIENT(COLUMN(BY$2)-69,3))*5)+MOD(COLUMN(BY$2),3),1,1),"")</f>
        <v>0</v>
      </c>
      <c r="BZ132">
        <f ca="1">IF($AN132="",OFFSET(Demand!$A$13,ROW(J129)-1,4+((QUOTIENT(COLUMN(BZ$2)-69,3))*5)+MOD(COLUMN(BZ$2),3),1,1),"")</f>
        <v>0</v>
      </c>
      <c r="CA132">
        <f ca="1">IF($AN132="",OFFSET(Demand!$A$13,ROW(K129)-1,4+((QUOTIENT(COLUMN(CA$2)-69,3))*5)+MOD(COLUMN(CA$2),3),1,1),"")</f>
        <v>0</v>
      </c>
      <c r="CB132">
        <f ca="1">IF($AN132="",OFFSET(Demand!$A$13,ROW(L129)-1,4+((QUOTIENT(COLUMN(CB$2)-69,3))*5)+MOD(COLUMN(CB$2),3),1,1),"")</f>
        <v>0</v>
      </c>
      <c r="CC132">
        <f ca="1">IF($AN132="",OFFSET(Demand!$A$13,ROW(M129)-1,4+((QUOTIENT(COLUMN(CC$2)-69,3))*5)+MOD(COLUMN(CC$2),3),1,1),"")</f>
        <v>0</v>
      </c>
      <c r="CD132">
        <f ca="1">IF($AN132="",OFFSET(Demand!$A$13,ROW(N129)-1,4+((QUOTIENT(COLUMN(CD$2)-69,3))*5)+MOD(COLUMN(CD$2),3),1,1),"")</f>
        <v>0</v>
      </c>
      <c r="CE132">
        <f ca="1">IF($AN132="",OFFSET(Demand!$A$13,ROW(O129)-1,4+((QUOTIENT(COLUMN(CE$2)-69,3))*5)+MOD(COLUMN(CE$2),3),1,1),"")</f>
        <v>0</v>
      </c>
      <c r="CF132">
        <f ca="1">IF($AN132="",OFFSET(Demand!$A$13,ROW(P129)-1,4+((QUOTIENT(COLUMN(CF$2)-69,3))*5)+MOD(COLUMN(CF$2),3),1,1),"")</f>
        <v>0</v>
      </c>
      <c r="CG132">
        <f ca="1">IF($AN132="",OFFSET(Demand!$A$13,ROW(Q129)-1,4+((QUOTIENT(COLUMN(CG$2)-69,3))*5)+MOD(COLUMN(CG$2),3),1,1),"")</f>
        <v>0</v>
      </c>
      <c r="CH132">
        <f ca="1">IF($AN132="",OFFSET(Demand!$A$13,ROW(R129)-1,4+((QUOTIENT(COLUMN(CH$2)-69,3))*5)+MOD(COLUMN(CH$2),3),1,1),"")</f>
        <v>0</v>
      </c>
      <c r="CI132">
        <f ca="1">IF($AN132="",OFFSET(Demand!$A$13,ROW(S129)-1,4+((QUOTIENT(COLUMN(CI$2)-69,3))*5)+MOD(COLUMN(CI$2),3),1,1),"")</f>
        <v>0</v>
      </c>
      <c r="CJ132">
        <f ca="1">IF($AN132="",OFFSET(Demand!$A$13,ROW(T129)-1,4+((QUOTIENT(COLUMN(CJ$2)-69,3))*5)+MOD(COLUMN(CJ$2),3),1,1),"")</f>
        <v>0</v>
      </c>
      <c r="CK132">
        <f ca="1">IF($AN132="",OFFSET(Demand!$A$13,ROW(U129)-1,4+((QUOTIENT(COLUMN(CK$2)-69,3))*5)+MOD(COLUMN(CK$2),3),1,1),"")</f>
        <v>0</v>
      </c>
      <c r="CL132">
        <f ca="1">IF($AN132="",OFFSET(Demand!$A$13,ROW(V129)-1,4+((QUOTIENT(COLUMN(CL$2)-69,3))*5)+MOD(COLUMN(CL$2),3),1,1),"")</f>
        <v>0</v>
      </c>
      <c r="CM132">
        <f ca="1">IF($AN132="",OFFSET(Demand!$A$13,ROW(W129)-1,4+((QUOTIENT(COLUMN(CM$2)-69,3))*5)+MOD(COLUMN(CM$2),3),1,1),"")</f>
        <v>0</v>
      </c>
      <c r="CN132">
        <f ca="1">IF($AN132="",OFFSET(Demand!$A$13,ROW(X129)-1,4+((QUOTIENT(COLUMN(CN$2)-69,3))*5)+MOD(COLUMN(CN$2),3),1,1),"")</f>
        <v>0</v>
      </c>
      <c r="CO132">
        <f ca="1">IF($AN132="",OFFSET(Demand!$A$13,ROW(Y129)-1,4+((QUOTIENT(COLUMN(CO$2)-69,3))*5)+MOD(COLUMN(CO$2),3),1,1),"")</f>
        <v>0</v>
      </c>
      <c r="CP132">
        <f ca="1">IF($AN132="",OFFSET(Demand!$A$13,ROW(Z129)-1,4+((QUOTIENT(COLUMN(CP$2)-69,3))*5)+MOD(COLUMN(CP$2),3),1,1),"")</f>
        <v>0</v>
      </c>
      <c r="CQ132">
        <f ca="1">IF($AN132="",OFFSET(Demand!$A$13,ROW(AA129)-1,4+((QUOTIENT(COLUMN(CQ$2)-69,3))*5)+MOD(COLUMN(CQ$2),3),1,1),"")</f>
        <v>0</v>
      </c>
      <c r="CR132">
        <f ca="1">IF($AN132="",OFFSET(Demand!$A$13,ROW(AB129)-1,4+((QUOTIENT(COLUMN(CR$2)-69,3))*5)+MOD(COLUMN(CR$2),3),1,1),"")</f>
        <v>0</v>
      </c>
      <c r="CS132">
        <f ca="1">IF($AN132="",OFFSET(Demand!$A$13,ROW(AC129)-1,4+((QUOTIENT(COLUMN(CS$2)-69,3))*5)+MOD(COLUMN(CS$2),3),1,1),"")</f>
        <v>0</v>
      </c>
      <c r="CT132">
        <f ca="1">IF($AN132="",OFFSET(Demand!$A$13,ROW(AD129)-1,4+((QUOTIENT(COLUMN(CT$2)-69,3))*5)+MOD(COLUMN(CT$2),3),1,1),"")</f>
        <v>0</v>
      </c>
      <c r="CW132" s="5">
        <f ca="1">SUM(OFFSET(Demand!$H$43,ROW(A129)-1,(COLUMN(A129)-1)*5,1,1))*N$2</f>
        <v>0</v>
      </c>
      <c r="CX132" s="5">
        <f ca="1">SUM(OFFSET(Demand!$H$43,ROW(B129)-1,(COLUMN(B129)-1)*5,1,1))*O$2</f>
        <v>0</v>
      </c>
      <c r="CY132" s="5">
        <f ca="1">SUM(OFFSET(Demand!$H$43,ROW(C129)-1,(COLUMN(C129)-1)*5,1,1))*P$2</f>
        <v>0</v>
      </c>
      <c r="CZ132" s="5">
        <f ca="1">SUM(OFFSET(Demand!$H$43,ROW(D129)-1,(COLUMN(D129)-1)*5,1,1))*Q$2</f>
        <v>0</v>
      </c>
      <c r="DA132" s="5">
        <f ca="1">SUM(OFFSET(Demand!$H$43,ROW(E129)-1,(COLUMN(E129)-1)*5,1,1))*R$2</f>
        <v>0</v>
      </c>
      <c r="DB132" s="5">
        <f ca="1">SUM(OFFSET(Demand!$H$43,ROW(F129)-1,(COLUMN(F129)-1)*5,1,1))*S$2</f>
        <v>0</v>
      </c>
      <c r="DC132" s="5">
        <f ca="1">SUM(OFFSET(Demand!$H$43,ROW(G129)-1,(COLUMN(G129)-1)*5,1,1))*T$2</f>
        <v>0</v>
      </c>
      <c r="DD132" s="5">
        <f ca="1">SUM(OFFSET(Demand!$H$43,ROW(H129)-1,(COLUMN(H129)-1)*5,1,1))*U$2</f>
        <v>0</v>
      </c>
      <c r="DE132" s="5">
        <f ca="1">SUM(OFFSET(Demand!$H$43,ROW(I129)-1,(COLUMN(I129)-1)*5,1,1))*V$2</f>
        <v>0</v>
      </c>
      <c r="DF132" s="5">
        <f ca="1">SUM(OFFSET(Demand!$H$43,ROW(J129)-1,(COLUMN(J129)-1)*5,1,1))*W$2</f>
        <v>0</v>
      </c>
      <c r="DG132" s="5">
        <f t="shared" ca="1" si="36"/>
        <v>0</v>
      </c>
    </row>
    <row r="133" spans="1:111" x14ac:dyDescent="0.2">
      <c r="A133" s="5">
        <f t="shared" ca="1" si="38"/>
        <v>0</v>
      </c>
      <c r="B133" s="5">
        <f ca="1">COUNTBLANK(OFFSET(Demand!$I142,0,(COLUMN(A130)-1)*5,1,1))</f>
        <v>0</v>
      </c>
      <c r="C133" s="5">
        <f ca="1">COUNTBLANK(OFFSET(Demand!$I142,0,(COLUMN(B130)-1)*5,1,1))</f>
        <v>0</v>
      </c>
      <c r="D133" s="5">
        <f ca="1">COUNTBLANK(OFFSET(Demand!$I142,0,(COLUMN(C130)-1)*5,1,1))</f>
        <v>1</v>
      </c>
      <c r="E133" s="5">
        <f ca="1">COUNTBLANK(OFFSET(Demand!$I142,0,(COLUMN(D130)-1)*5,1,1))</f>
        <v>1</v>
      </c>
      <c r="F133" s="5">
        <f ca="1">COUNTBLANK(OFFSET(Demand!$I142,0,(COLUMN(E130)-1)*5,1,1))</f>
        <v>1</v>
      </c>
      <c r="G133" s="5">
        <f ca="1">COUNTBLANK(OFFSET(Demand!$I142,0,(COLUMN(F130)-1)*5,1,1))</f>
        <v>1</v>
      </c>
      <c r="H133" s="5">
        <f ca="1">COUNTBLANK(OFFSET(Demand!$I142,0,(COLUMN(G130)-1)*5,1,1))</f>
        <v>1</v>
      </c>
      <c r="I133" s="5">
        <f ca="1">COUNTBLANK(OFFSET(Demand!$I142,0,(COLUMN(H130)-1)*5,1,1))</f>
        <v>1</v>
      </c>
      <c r="J133" s="5">
        <f ca="1">COUNTBLANK(OFFSET(Demand!$I142,0,(COLUMN(I130)-1)*5,1,1))</f>
        <v>1</v>
      </c>
      <c r="K133" s="5">
        <f ca="1">COUNTBLANK(OFFSET(Demand!$I142,0,(COLUMN(J130)-1)*5,1,1))</f>
        <v>1</v>
      </c>
      <c r="N133" s="5">
        <f ca="1">SUM(OFFSET(Demand!$E142,0,(COLUMN(A130)-1)*5,1,3))*N$2</f>
        <v>150</v>
      </c>
      <c r="O133" s="5">
        <f ca="1">SUM(OFFSET(Demand!$E142,0,(COLUMN(B130)-1)*5,1,3))*O$2</f>
        <v>440</v>
      </c>
      <c r="P133" s="5">
        <f ca="1">SUM(OFFSET(Demand!$E142,0,(COLUMN(C130)-1)*5,1,3))*P$2</f>
        <v>0</v>
      </c>
      <c r="Q133" s="5">
        <f ca="1">SUM(OFFSET(Demand!$E142,0,(COLUMN(D130)-1)*5,1,3))*Q$2</f>
        <v>0</v>
      </c>
      <c r="R133" s="5">
        <f ca="1">SUM(OFFSET(Demand!$E142,0,(COLUMN(E130)-1)*5,1,3))*R$2</f>
        <v>0</v>
      </c>
      <c r="S133" s="5">
        <f ca="1">SUM(OFFSET(Demand!$E142,0,(COLUMN(F130)-1)*5,1,3))*S$2</f>
        <v>0</v>
      </c>
      <c r="T133" s="5">
        <f ca="1">SUM(OFFSET(Demand!$E142,0,(COLUMN(G130)-1)*5,1,3))*T$2</f>
        <v>0</v>
      </c>
      <c r="U133" s="5">
        <f ca="1">SUM(OFFSET(Demand!$E142,0,(COLUMN(H130)-1)*5,1,3))*U$2</f>
        <v>0</v>
      </c>
      <c r="V133" s="5">
        <f ca="1">SUM(OFFSET(Demand!$E142,0,(COLUMN(I130)-1)*5,1,3))*V$2</f>
        <v>0</v>
      </c>
      <c r="W133" s="5">
        <f ca="1">SUM(OFFSET(Demand!$E142,0,(COLUMN(J130)-1)*5,1,3))*W$2</f>
        <v>0</v>
      </c>
      <c r="X133" s="5">
        <f t="shared" ca="1" si="39"/>
        <v>590</v>
      </c>
      <c r="Y133">
        <f t="shared" ca="1" si="40"/>
        <v>590</v>
      </c>
      <c r="Z133" s="5">
        <f ca="1">SUM(OFFSET(Demand!$H142,0,(COLUMN(A130)-1)*5,1,1))*N$2</f>
        <v>0</v>
      </c>
      <c r="AA133" s="5">
        <f ca="1">SUM(OFFSET(Demand!$H142,0,(COLUMN(B130)-1)*5,1,1))*O$2</f>
        <v>0</v>
      </c>
      <c r="AB133" s="5">
        <f ca="1">SUM(OFFSET(Demand!$H142,0,(COLUMN(C130)-1)*5,1,1))*P$2</f>
        <v>0</v>
      </c>
      <c r="AC133" s="5">
        <f ca="1">SUM(OFFSET(Demand!$H142,0,(COLUMN(D130)-1)*5,1,1))*Q$2</f>
        <v>0</v>
      </c>
      <c r="AD133" s="5">
        <f ca="1">SUM(OFFSET(Demand!$H142,0,(COLUMN(E130)-1)*5,1,1))*R$2</f>
        <v>0</v>
      </c>
      <c r="AE133" s="5">
        <f ca="1">SUM(OFFSET(Demand!$H142,0,(COLUMN(F130)-1)*5,1,1))*S$2</f>
        <v>0</v>
      </c>
      <c r="AF133" s="5">
        <f ca="1">SUM(OFFSET(Demand!$H142,0,(COLUMN(G130)-1)*5,1,1))*T$2</f>
        <v>0</v>
      </c>
      <c r="AG133" s="5">
        <f ca="1">SUM(OFFSET(Demand!$H142,0,(COLUMN(H130)-1)*5,1,1))*U$2</f>
        <v>0</v>
      </c>
      <c r="AH133" s="5">
        <f ca="1">SUM(OFFSET(Demand!$H142,0,(COLUMN(I130)-1)*5,1,1))*V$2</f>
        <v>0</v>
      </c>
      <c r="AI133" s="5">
        <f ca="1">SUM(OFFSET(Demand!$H142,0,(COLUMN(J130)-1)*5,1,1))*W$2</f>
        <v>0</v>
      </c>
      <c r="AJ133" s="5">
        <f t="shared" ca="1" si="41"/>
        <v>0</v>
      </c>
      <c r="AL133" s="5">
        <f t="shared" ref="AL133:AL196" ca="1" si="42">X133</f>
        <v>590</v>
      </c>
      <c r="AM133" s="5">
        <f t="shared" ref="AM133:AM196" ca="1" si="43">IF(AN133&lt;&gt;"","",AJ133)</f>
        <v>0</v>
      </c>
      <c r="AN133" s="5" t="str">
        <f>IF(Demand!BE142="Yes","Yes","")</f>
        <v/>
      </c>
      <c r="AP133" s="37" t="str">
        <f ca="1">Demand!B142</f>
        <v xml:space="preserve"> </v>
      </c>
      <c r="AQ133" t="str">
        <f ca="1">IF(TEXT(Demand!D142,"MMM")&lt;&gt;TEXT(Demand!D141,"MMM"),TEXT(Demand!D142,"MMM"),"")</f>
        <v/>
      </c>
      <c r="AT133" s="5">
        <f t="shared" ca="1" si="37"/>
        <v>220</v>
      </c>
      <c r="BQ133">
        <f ca="1">IF($AN133="",OFFSET(Demand!$A$13,ROW(A130)-1,4+((QUOTIENT(COLUMN(BQ$2)-69,3))*5)+MOD(COLUMN(BQ$2),3),1,1),"")</f>
        <v>0</v>
      </c>
      <c r="BR133">
        <f ca="1">IF($AN133="",OFFSET(Demand!$A$13,ROW(B130)-1,4+((QUOTIENT(COLUMN(BR$2)-69,3))*5)+MOD(COLUMN(BR$2),3),1,1),"")</f>
        <v>2</v>
      </c>
      <c r="BS133">
        <f ca="1">IF($AN133="",OFFSET(Demand!$A$13,ROW(C130)-1,4+((QUOTIENT(COLUMN(BS$2)-69,3))*5)+MOD(COLUMN(BS$2),3),1,1),"")</f>
        <v>3</v>
      </c>
      <c r="BT133">
        <f ca="1">IF($AN133="",OFFSET(Demand!$A$13,ROW(D130)-1,4+((QUOTIENT(COLUMN(BT$2)-69,3))*5)+MOD(COLUMN(BT$2),3),1,1),"")</f>
        <v>0</v>
      </c>
      <c r="BU133">
        <f ca="1">IF($AN133="",OFFSET(Demand!$A$13,ROW(E130)-1,4+((QUOTIENT(COLUMN(BU$2)-69,3))*5)+MOD(COLUMN(BU$2),3),1,1),"")</f>
        <v>1</v>
      </c>
      <c r="BV133">
        <f ca="1">IF($AN133="",OFFSET(Demand!$A$13,ROW(F130)-1,4+((QUOTIENT(COLUMN(BV$2)-69,3))*5)+MOD(COLUMN(BV$2),3),1,1),"")</f>
        <v>10</v>
      </c>
      <c r="BW133">
        <f ca="1">IF($AN133="",OFFSET(Demand!$A$13,ROW(G130)-1,4+((QUOTIENT(COLUMN(BW$2)-69,3))*5)+MOD(COLUMN(BW$2),3),1,1),"")</f>
        <v>0</v>
      </c>
      <c r="BX133">
        <f ca="1">IF($AN133="",OFFSET(Demand!$A$13,ROW(H130)-1,4+((QUOTIENT(COLUMN(BX$2)-69,3))*5)+MOD(COLUMN(BX$2),3),1,1),"")</f>
        <v>0</v>
      </c>
      <c r="BY133">
        <f ca="1">IF($AN133="",OFFSET(Demand!$A$13,ROW(I130)-1,4+((QUOTIENT(COLUMN(BY$2)-69,3))*5)+MOD(COLUMN(BY$2),3),1,1),"")</f>
        <v>0</v>
      </c>
      <c r="BZ133">
        <f ca="1">IF($AN133="",OFFSET(Demand!$A$13,ROW(J130)-1,4+((QUOTIENT(COLUMN(BZ$2)-69,3))*5)+MOD(COLUMN(BZ$2),3),1,1),"")</f>
        <v>0</v>
      </c>
      <c r="CA133">
        <f ca="1">IF($AN133="",OFFSET(Demand!$A$13,ROW(K130)-1,4+((QUOTIENT(COLUMN(CA$2)-69,3))*5)+MOD(COLUMN(CA$2),3),1,1),"")</f>
        <v>0</v>
      </c>
      <c r="CB133">
        <f ca="1">IF($AN133="",OFFSET(Demand!$A$13,ROW(L130)-1,4+((QUOTIENT(COLUMN(CB$2)-69,3))*5)+MOD(COLUMN(CB$2),3),1,1),"")</f>
        <v>0</v>
      </c>
      <c r="CC133">
        <f ca="1">IF($AN133="",OFFSET(Demand!$A$13,ROW(M130)-1,4+((QUOTIENT(COLUMN(CC$2)-69,3))*5)+MOD(COLUMN(CC$2),3),1,1),"")</f>
        <v>0</v>
      </c>
      <c r="CD133">
        <f ca="1">IF($AN133="",OFFSET(Demand!$A$13,ROW(N130)-1,4+((QUOTIENT(COLUMN(CD$2)-69,3))*5)+MOD(COLUMN(CD$2),3),1,1),"")</f>
        <v>0</v>
      </c>
      <c r="CE133">
        <f ca="1">IF($AN133="",OFFSET(Demand!$A$13,ROW(O130)-1,4+((QUOTIENT(COLUMN(CE$2)-69,3))*5)+MOD(COLUMN(CE$2),3),1,1),"")</f>
        <v>0</v>
      </c>
      <c r="CF133">
        <f ca="1">IF($AN133="",OFFSET(Demand!$A$13,ROW(P130)-1,4+((QUOTIENT(COLUMN(CF$2)-69,3))*5)+MOD(COLUMN(CF$2),3),1,1),"")</f>
        <v>0</v>
      </c>
      <c r="CG133">
        <f ca="1">IF($AN133="",OFFSET(Demand!$A$13,ROW(Q130)-1,4+((QUOTIENT(COLUMN(CG$2)-69,3))*5)+MOD(COLUMN(CG$2),3),1,1),"")</f>
        <v>0</v>
      </c>
      <c r="CH133">
        <f ca="1">IF($AN133="",OFFSET(Demand!$A$13,ROW(R130)-1,4+((QUOTIENT(COLUMN(CH$2)-69,3))*5)+MOD(COLUMN(CH$2),3),1,1),"")</f>
        <v>0</v>
      </c>
      <c r="CI133">
        <f ca="1">IF($AN133="",OFFSET(Demand!$A$13,ROW(S130)-1,4+((QUOTIENT(COLUMN(CI$2)-69,3))*5)+MOD(COLUMN(CI$2),3),1,1),"")</f>
        <v>0</v>
      </c>
      <c r="CJ133">
        <f ca="1">IF($AN133="",OFFSET(Demand!$A$13,ROW(T130)-1,4+((QUOTIENT(COLUMN(CJ$2)-69,3))*5)+MOD(COLUMN(CJ$2),3),1,1),"")</f>
        <v>0</v>
      </c>
      <c r="CK133">
        <f ca="1">IF($AN133="",OFFSET(Demand!$A$13,ROW(U130)-1,4+((QUOTIENT(COLUMN(CK$2)-69,3))*5)+MOD(COLUMN(CK$2),3),1,1),"")</f>
        <v>0</v>
      </c>
      <c r="CL133">
        <f ca="1">IF($AN133="",OFFSET(Demand!$A$13,ROW(V130)-1,4+((QUOTIENT(COLUMN(CL$2)-69,3))*5)+MOD(COLUMN(CL$2),3),1,1),"")</f>
        <v>0</v>
      </c>
      <c r="CM133">
        <f ca="1">IF($AN133="",OFFSET(Demand!$A$13,ROW(W130)-1,4+((QUOTIENT(COLUMN(CM$2)-69,3))*5)+MOD(COLUMN(CM$2),3),1,1),"")</f>
        <v>0</v>
      </c>
      <c r="CN133">
        <f ca="1">IF($AN133="",OFFSET(Demand!$A$13,ROW(X130)-1,4+((QUOTIENT(COLUMN(CN$2)-69,3))*5)+MOD(COLUMN(CN$2),3),1,1),"")</f>
        <v>0</v>
      </c>
      <c r="CO133">
        <f ca="1">IF($AN133="",OFFSET(Demand!$A$13,ROW(Y130)-1,4+((QUOTIENT(COLUMN(CO$2)-69,3))*5)+MOD(COLUMN(CO$2),3),1,1),"")</f>
        <v>0</v>
      </c>
      <c r="CP133">
        <f ca="1">IF($AN133="",OFFSET(Demand!$A$13,ROW(Z130)-1,4+((QUOTIENT(COLUMN(CP$2)-69,3))*5)+MOD(COLUMN(CP$2),3),1,1),"")</f>
        <v>0</v>
      </c>
      <c r="CQ133">
        <f ca="1">IF($AN133="",OFFSET(Demand!$A$13,ROW(AA130)-1,4+((QUOTIENT(COLUMN(CQ$2)-69,3))*5)+MOD(COLUMN(CQ$2),3),1,1),"")</f>
        <v>0</v>
      </c>
      <c r="CR133">
        <f ca="1">IF($AN133="",OFFSET(Demand!$A$13,ROW(AB130)-1,4+((QUOTIENT(COLUMN(CR$2)-69,3))*5)+MOD(COLUMN(CR$2),3),1,1),"")</f>
        <v>0</v>
      </c>
      <c r="CS133">
        <f ca="1">IF($AN133="",OFFSET(Demand!$A$13,ROW(AC130)-1,4+((QUOTIENT(COLUMN(CS$2)-69,3))*5)+MOD(COLUMN(CS$2),3),1,1),"")</f>
        <v>0</v>
      </c>
      <c r="CT133">
        <f ca="1">IF($AN133="",OFFSET(Demand!$A$13,ROW(AD130)-1,4+((QUOTIENT(COLUMN(CT$2)-69,3))*5)+MOD(COLUMN(CT$2),3),1,1),"")</f>
        <v>0</v>
      </c>
      <c r="CW133" s="5">
        <f ca="1">SUM(OFFSET(Demand!$H$43,ROW(A130)-1,(COLUMN(A130)-1)*5,1,1))*N$2</f>
        <v>0</v>
      </c>
      <c r="CX133" s="5">
        <f ca="1">SUM(OFFSET(Demand!$H$43,ROW(B130)-1,(COLUMN(B130)-1)*5,1,1))*O$2</f>
        <v>0</v>
      </c>
      <c r="CY133" s="5">
        <f ca="1">SUM(OFFSET(Demand!$H$43,ROW(C130)-1,(COLUMN(C130)-1)*5,1,1))*P$2</f>
        <v>0</v>
      </c>
      <c r="CZ133" s="5">
        <f ca="1">SUM(OFFSET(Demand!$H$43,ROW(D130)-1,(COLUMN(D130)-1)*5,1,1))*Q$2</f>
        <v>0</v>
      </c>
      <c r="DA133" s="5">
        <f ca="1">SUM(OFFSET(Demand!$H$43,ROW(E130)-1,(COLUMN(E130)-1)*5,1,1))*R$2</f>
        <v>0</v>
      </c>
      <c r="DB133" s="5">
        <f ca="1">SUM(OFFSET(Demand!$H$43,ROW(F130)-1,(COLUMN(F130)-1)*5,1,1))*S$2</f>
        <v>0</v>
      </c>
      <c r="DC133" s="5">
        <f ca="1">SUM(OFFSET(Demand!$H$43,ROW(G130)-1,(COLUMN(G130)-1)*5,1,1))*T$2</f>
        <v>0</v>
      </c>
      <c r="DD133" s="5">
        <f ca="1">SUM(OFFSET(Demand!$H$43,ROW(H130)-1,(COLUMN(H130)-1)*5,1,1))*U$2</f>
        <v>0</v>
      </c>
      <c r="DE133" s="5">
        <f ca="1">SUM(OFFSET(Demand!$H$43,ROW(I130)-1,(COLUMN(I130)-1)*5,1,1))*V$2</f>
        <v>0</v>
      </c>
      <c r="DF133" s="5">
        <f ca="1">SUM(OFFSET(Demand!$H$43,ROW(J130)-1,(COLUMN(J130)-1)*5,1,1))*W$2</f>
        <v>0</v>
      </c>
      <c r="DG133" s="5">
        <f t="shared" ref="DG133:DG196" ca="1" si="44">IF(AN133="",SUM(CW133:DF133),"")</f>
        <v>0</v>
      </c>
    </row>
    <row r="134" spans="1:111" x14ac:dyDescent="0.2">
      <c r="A134" s="5">
        <f t="shared" ca="1" si="38"/>
        <v>0</v>
      </c>
      <c r="B134" s="5">
        <f ca="1">COUNTBLANK(OFFSET(Demand!$I143,0,(COLUMN(A131)-1)*5,1,1))</f>
        <v>0</v>
      </c>
      <c r="C134" s="5">
        <f ca="1">COUNTBLANK(OFFSET(Demand!$I143,0,(COLUMN(B131)-1)*5,1,1))</f>
        <v>0</v>
      </c>
      <c r="D134" s="5">
        <f ca="1">COUNTBLANK(OFFSET(Demand!$I143,0,(COLUMN(C131)-1)*5,1,1))</f>
        <v>1</v>
      </c>
      <c r="E134" s="5">
        <f ca="1">COUNTBLANK(OFFSET(Demand!$I143,0,(COLUMN(D131)-1)*5,1,1))</f>
        <v>1</v>
      </c>
      <c r="F134" s="5">
        <f ca="1">COUNTBLANK(OFFSET(Demand!$I143,0,(COLUMN(E131)-1)*5,1,1))</f>
        <v>1</v>
      </c>
      <c r="G134" s="5">
        <f ca="1">COUNTBLANK(OFFSET(Demand!$I143,0,(COLUMN(F131)-1)*5,1,1))</f>
        <v>1</v>
      </c>
      <c r="H134" s="5">
        <f ca="1">COUNTBLANK(OFFSET(Demand!$I143,0,(COLUMN(G131)-1)*5,1,1))</f>
        <v>1</v>
      </c>
      <c r="I134" s="5">
        <f ca="1">COUNTBLANK(OFFSET(Demand!$I143,0,(COLUMN(H131)-1)*5,1,1))</f>
        <v>1</v>
      </c>
      <c r="J134" s="5">
        <f ca="1">COUNTBLANK(OFFSET(Demand!$I143,0,(COLUMN(I131)-1)*5,1,1))</f>
        <v>1</v>
      </c>
      <c r="K134" s="5">
        <f ca="1">COUNTBLANK(OFFSET(Demand!$I143,0,(COLUMN(J131)-1)*5,1,1))</f>
        <v>1</v>
      </c>
      <c r="N134" s="5">
        <f ca="1">SUM(OFFSET(Demand!$E143,0,(COLUMN(A131)-1)*5,1,3))*N$2</f>
        <v>90</v>
      </c>
      <c r="O134" s="5">
        <f ca="1">SUM(OFFSET(Demand!$E143,0,(COLUMN(B131)-1)*5,1,3))*O$2</f>
        <v>480</v>
      </c>
      <c r="P134" s="5">
        <f ca="1">SUM(OFFSET(Demand!$E143,0,(COLUMN(C131)-1)*5,1,3))*P$2</f>
        <v>0</v>
      </c>
      <c r="Q134" s="5">
        <f ca="1">SUM(OFFSET(Demand!$E143,0,(COLUMN(D131)-1)*5,1,3))*Q$2</f>
        <v>0</v>
      </c>
      <c r="R134" s="5">
        <f ca="1">SUM(OFFSET(Demand!$E143,0,(COLUMN(E131)-1)*5,1,3))*R$2</f>
        <v>0</v>
      </c>
      <c r="S134" s="5">
        <f ca="1">SUM(OFFSET(Demand!$E143,0,(COLUMN(F131)-1)*5,1,3))*S$2</f>
        <v>0</v>
      </c>
      <c r="T134" s="5">
        <f ca="1">SUM(OFFSET(Demand!$E143,0,(COLUMN(G131)-1)*5,1,3))*T$2</f>
        <v>0</v>
      </c>
      <c r="U134" s="5">
        <f ca="1">SUM(OFFSET(Demand!$E143,0,(COLUMN(H131)-1)*5,1,3))*U$2</f>
        <v>0</v>
      </c>
      <c r="V134" s="5">
        <f ca="1">SUM(OFFSET(Demand!$E143,0,(COLUMN(I131)-1)*5,1,3))*V$2</f>
        <v>0</v>
      </c>
      <c r="W134" s="5">
        <f ca="1">SUM(OFFSET(Demand!$E143,0,(COLUMN(J131)-1)*5,1,3))*W$2</f>
        <v>0</v>
      </c>
      <c r="X134" s="5">
        <f t="shared" ca="1" si="39"/>
        <v>570</v>
      </c>
      <c r="Y134">
        <f t="shared" ca="1" si="40"/>
        <v>570</v>
      </c>
      <c r="Z134" s="5">
        <f ca="1">SUM(OFFSET(Demand!$H143,0,(COLUMN(A131)-1)*5,1,1))*N$2</f>
        <v>0</v>
      </c>
      <c r="AA134" s="5">
        <f ca="1">SUM(OFFSET(Demand!$H143,0,(COLUMN(B131)-1)*5,1,1))*O$2</f>
        <v>0</v>
      </c>
      <c r="AB134" s="5">
        <f ca="1">SUM(OFFSET(Demand!$H143,0,(COLUMN(C131)-1)*5,1,1))*P$2</f>
        <v>0</v>
      </c>
      <c r="AC134" s="5">
        <f ca="1">SUM(OFFSET(Demand!$H143,0,(COLUMN(D131)-1)*5,1,1))*Q$2</f>
        <v>0</v>
      </c>
      <c r="AD134" s="5">
        <f ca="1">SUM(OFFSET(Demand!$H143,0,(COLUMN(E131)-1)*5,1,1))*R$2</f>
        <v>0</v>
      </c>
      <c r="AE134" s="5">
        <f ca="1">SUM(OFFSET(Demand!$H143,0,(COLUMN(F131)-1)*5,1,1))*S$2</f>
        <v>0</v>
      </c>
      <c r="AF134" s="5">
        <f ca="1">SUM(OFFSET(Demand!$H143,0,(COLUMN(G131)-1)*5,1,1))*T$2</f>
        <v>0</v>
      </c>
      <c r="AG134" s="5">
        <f ca="1">SUM(OFFSET(Demand!$H143,0,(COLUMN(H131)-1)*5,1,1))*U$2</f>
        <v>0</v>
      </c>
      <c r="AH134" s="5">
        <f ca="1">SUM(OFFSET(Demand!$H143,0,(COLUMN(I131)-1)*5,1,1))*V$2</f>
        <v>0</v>
      </c>
      <c r="AI134" s="5">
        <f ca="1">SUM(OFFSET(Demand!$H143,0,(COLUMN(J131)-1)*5,1,1))*W$2</f>
        <v>0</v>
      </c>
      <c r="AJ134" s="5">
        <f t="shared" ca="1" si="41"/>
        <v>0</v>
      </c>
      <c r="AL134" s="5">
        <f t="shared" ca="1" si="42"/>
        <v>570</v>
      </c>
      <c r="AM134" s="5">
        <f t="shared" ca="1" si="43"/>
        <v>0</v>
      </c>
      <c r="AN134" s="5" t="str">
        <f>IF(Demand!BE143="Yes","Yes","")</f>
        <v/>
      </c>
      <c r="AP134" s="37" t="str">
        <f ca="1">Demand!B143</f>
        <v xml:space="preserve"> </v>
      </c>
      <c r="AQ134" t="str">
        <f ca="1">IF(TEXT(Demand!D143,"MMM")&lt;&gt;TEXT(Demand!D142,"MMM"),TEXT(Demand!D143,"MMM"),"")</f>
        <v/>
      </c>
      <c r="AT134" s="5">
        <f t="shared" ref="AT134:AT197" ca="1" si="45">IF(OR(AL134="",AL133=""),"",ABS(AL134-AL133))</f>
        <v>20</v>
      </c>
      <c r="BQ134">
        <f ca="1">IF($AN134="",OFFSET(Demand!$A$13,ROW(A131)-1,4+((QUOTIENT(COLUMN(BQ$2)-69,3))*5)+MOD(COLUMN(BQ$2),3),1,1),"")</f>
        <v>0</v>
      </c>
      <c r="BR134">
        <f ca="1">IF($AN134="",OFFSET(Demand!$A$13,ROW(B131)-1,4+((QUOTIENT(COLUMN(BR$2)-69,3))*5)+MOD(COLUMN(BR$2),3),1,1),"")</f>
        <v>0</v>
      </c>
      <c r="BS134">
        <f ca="1">IF($AN134="",OFFSET(Demand!$A$13,ROW(C131)-1,4+((QUOTIENT(COLUMN(BS$2)-69,3))*5)+MOD(COLUMN(BS$2),3),1,1),"")</f>
        <v>3</v>
      </c>
      <c r="BT134">
        <f ca="1">IF($AN134="",OFFSET(Demand!$A$13,ROW(D131)-1,4+((QUOTIENT(COLUMN(BT$2)-69,3))*5)+MOD(COLUMN(BT$2),3),1,1),"")</f>
        <v>0</v>
      </c>
      <c r="BU134">
        <f ca="1">IF($AN134="",OFFSET(Demand!$A$13,ROW(E131)-1,4+((QUOTIENT(COLUMN(BU$2)-69,3))*5)+MOD(COLUMN(BU$2),3),1,1),"")</f>
        <v>3</v>
      </c>
      <c r="BV134">
        <f ca="1">IF($AN134="",OFFSET(Demand!$A$13,ROW(F131)-1,4+((QUOTIENT(COLUMN(BV$2)-69,3))*5)+MOD(COLUMN(BV$2),3),1,1),"")</f>
        <v>9</v>
      </c>
      <c r="BW134">
        <f ca="1">IF($AN134="",OFFSET(Demand!$A$13,ROW(G131)-1,4+((QUOTIENT(COLUMN(BW$2)-69,3))*5)+MOD(COLUMN(BW$2),3),1,1),"")</f>
        <v>0</v>
      </c>
      <c r="BX134">
        <f ca="1">IF($AN134="",OFFSET(Demand!$A$13,ROW(H131)-1,4+((QUOTIENT(COLUMN(BX$2)-69,3))*5)+MOD(COLUMN(BX$2),3),1,1),"")</f>
        <v>0</v>
      </c>
      <c r="BY134">
        <f ca="1">IF($AN134="",OFFSET(Demand!$A$13,ROW(I131)-1,4+((QUOTIENT(COLUMN(BY$2)-69,3))*5)+MOD(COLUMN(BY$2),3),1,1),"")</f>
        <v>0</v>
      </c>
      <c r="BZ134">
        <f ca="1">IF($AN134="",OFFSET(Demand!$A$13,ROW(J131)-1,4+((QUOTIENT(COLUMN(BZ$2)-69,3))*5)+MOD(COLUMN(BZ$2),3),1,1),"")</f>
        <v>0</v>
      </c>
      <c r="CA134">
        <f ca="1">IF($AN134="",OFFSET(Demand!$A$13,ROW(K131)-1,4+((QUOTIENT(COLUMN(CA$2)-69,3))*5)+MOD(COLUMN(CA$2),3),1,1),"")</f>
        <v>0</v>
      </c>
      <c r="CB134">
        <f ca="1">IF($AN134="",OFFSET(Demand!$A$13,ROW(L131)-1,4+((QUOTIENT(COLUMN(CB$2)-69,3))*5)+MOD(COLUMN(CB$2),3),1,1),"")</f>
        <v>0</v>
      </c>
      <c r="CC134">
        <f ca="1">IF($AN134="",OFFSET(Demand!$A$13,ROW(M131)-1,4+((QUOTIENT(COLUMN(CC$2)-69,3))*5)+MOD(COLUMN(CC$2),3),1,1),"")</f>
        <v>0</v>
      </c>
      <c r="CD134">
        <f ca="1">IF($AN134="",OFFSET(Demand!$A$13,ROW(N131)-1,4+((QUOTIENT(COLUMN(CD$2)-69,3))*5)+MOD(COLUMN(CD$2),3),1,1),"")</f>
        <v>0</v>
      </c>
      <c r="CE134">
        <f ca="1">IF($AN134="",OFFSET(Demand!$A$13,ROW(O131)-1,4+((QUOTIENT(COLUMN(CE$2)-69,3))*5)+MOD(COLUMN(CE$2),3),1,1),"")</f>
        <v>0</v>
      </c>
      <c r="CF134">
        <f ca="1">IF($AN134="",OFFSET(Demand!$A$13,ROW(P131)-1,4+((QUOTIENT(COLUMN(CF$2)-69,3))*5)+MOD(COLUMN(CF$2),3),1,1),"")</f>
        <v>0</v>
      </c>
      <c r="CG134">
        <f ca="1">IF($AN134="",OFFSET(Demand!$A$13,ROW(Q131)-1,4+((QUOTIENT(COLUMN(CG$2)-69,3))*5)+MOD(COLUMN(CG$2),3),1,1),"")</f>
        <v>0</v>
      </c>
      <c r="CH134">
        <f ca="1">IF($AN134="",OFFSET(Demand!$A$13,ROW(R131)-1,4+((QUOTIENT(COLUMN(CH$2)-69,3))*5)+MOD(COLUMN(CH$2),3),1,1),"")</f>
        <v>0</v>
      </c>
      <c r="CI134">
        <f ca="1">IF($AN134="",OFFSET(Demand!$A$13,ROW(S131)-1,4+((QUOTIENT(COLUMN(CI$2)-69,3))*5)+MOD(COLUMN(CI$2),3),1,1),"")</f>
        <v>0</v>
      </c>
      <c r="CJ134">
        <f ca="1">IF($AN134="",OFFSET(Demand!$A$13,ROW(T131)-1,4+((QUOTIENT(COLUMN(CJ$2)-69,3))*5)+MOD(COLUMN(CJ$2),3),1,1),"")</f>
        <v>0</v>
      </c>
      <c r="CK134">
        <f ca="1">IF($AN134="",OFFSET(Demand!$A$13,ROW(U131)-1,4+((QUOTIENT(COLUMN(CK$2)-69,3))*5)+MOD(COLUMN(CK$2),3),1,1),"")</f>
        <v>0</v>
      </c>
      <c r="CL134">
        <f ca="1">IF($AN134="",OFFSET(Demand!$A$13,ROW(V131)-1,4+((QUOTIENT(COLUMN(CL$2)-69,3))*5)+MOD(COLUMN(CL$2),3),1,1),"")</f>
        <v>0</v>
      </c>
      <c r="CM134">
        <f ca="1">IF($AN134="",OFFSET(Demand!$A$13,ROW(W131)-1,4+((QUOTIENT(COLUMN(CM$2)-69,3))*5)+MOD(COLUMN(CM$2),3),1,1),"")</f>
        <v>0</v>
      </c>
      <c r="CN134">
        <f ca="1">IF($AN134="",OFFSET(Demand!$A$13,ROW(X131)-1,4+((QUOTIENT(COLUMN(CN$2)-69,3))*5)+MOD(COLUMN(CN$2),3),1,1),"")</f>
        <v>0</v>
      </c>
      <c r="CO134">
        <f ca="1">IF($AN134="",OFFSET(Demand!$A$13,ROW(Y131)-1,4+((QUOTIENT(COLUMN(CO$2)-69,3))*5)+MOD(COLUMN(CO$2),3),1,1),"")</f>
        <v>0</v>
      </c>
      <c r="CP134">
        <f ca="1">IF($AN134="",OFFSET(Demand!$A$13,ROW(Z131)-1,4+((QUOTIENT(COLUMN(CP$2)-69,3))*5)+MOD(COLUMN(CP$2),3),1,1),"")</f>
        <v>0</v>
      </c>
      <c r="CQ134">
        <f ca="1">IF($AN134="",OFFSET(Demand!$A$13,ROW(AA131)-1,4+((QUOTIENT(COLUMN(CQ$2)-69,3))*5)+MOD(COLUMN(CQ$2),3),1,1),"")</f>
        <v>0</v>
      </c>
      <c r="CR134">
        <f ca="1">IF($AN134="",OFFSET(Demand!$A$13,ROW(AB131)-1,4+((QUOTIENT(COLUMN(CR$2)-69,3))*5)+MOD(COLUMN(CR$2),3),1,1),"")</f>
        <v>0</v>
      </c>
      <c r="CS134">
        <f ca="1">IF($AN134="",OFFSET(Demand!$A$13,ROW(AC131)-1,4+((QUOTIENT(COLUMN(CS$2)-69,3))*5)+MOD(COLUMN(CS$2),3),1,1),"")</f>
        <v>0</v>
      </c>
      <c r="CT134">
        <f ca="1">IF($AN134="",OFFSET(Demand!$A$13,ROW(AD131)-1,4+((QUOTIENT(COLUMN(CT$2)-69,3))*5)+MOD(COLUMN(CT$2),3),1,1),"")</f>
        <v>0</v>
      </c>
      <c r="CW134" s="5">
        <f ca="1">SUM(OFFSET(Demand!$H$43,ROW(A131)-1,(COLUMN(A131)-1)*5,1,1))*N$2</f>
        <v>0</v>
      </c>
      <c r="CX134" s="5">
        <f ca="1">SUM(OFFSET(Demand!$H$43,ROW(B131)-1,(COLUMN(B131)-1)*5,1,1))*O$2</f>
        <v>0</v>
      </c>
      <c r="CY134" s="5">
        <f ca="1">SUM(OFFSET(Demand!$H$43,ROW(C131)-1,(COLUMN(C131)-1)*5,1,1))*P$2</f>
        <v>0</v>
      </c>
      <c r="CZ134" s="5">
        <f ca="1">SUM(OFFSET(Demand!$H$43,ROW(D131)-1,(COLUMN(D131)-1)*5,1,1))*Q$2</f>
        <v>0</v>
      </c>
      <c r="DA134" s="5">
        <f ca="1">SUM(OFFSET(Demand!$H$43,ROW(E131)-1,(COLUMN(E131)-1)*5,1,1))*R$2</f>
        <v>0</v>
      </c>
      <c r="DB134" s="5">
        <f ca="1">SUM(OFFSET(Demand!$H$43,ROW(F131)-1,(COLUMN(F131)-1)*5,1,1))*S$2</f>
        <v>0</v>
      </c>
      <c r="DC134" s="5">
        <f ca="1">SUM(OFFSET(Demand!$H$43,ROW(G131)-1,(COLUMN(G131)-1)*5,1,1))*T$2</f>
        <v>0</v>
      </c>
      <c r="DD134" s="5">
        <f ca="1">SUM(OFFSET(Demand!$H$43,ROW(H131)-1,(COLUMN(H131)-1)*5,1,1))*U$2</f>
        <v>0</v>
      </c>
      <c r="DE134" s="5">
        <f ca="1">SUM(OFFSET(Demand!$H$43,ROW(I131)-1,(COLUMN(I131)-1)*5,1,1))*V$2</f>
        <v>0</v>
      </c>
      <c r="DF134" s="5">
        <f ca="1">SUM(OFFSET(Demand!$H$43,ROW(J131)-1,(COLUMN(J131)-1)*5,1,1))*W$2</f>
        <v>0</v>
      </c>
      <c r="DG134" s="5">
        <f t="shared" ca="1" si="44"/>
        <v>0</v>
      </c>
    </row>
    <row r="135" spans="1:111" x14ac:dyDescent="0.2">
      <c r="A135" s="5">
        <f t="shared" ca="1" si="38"/>
        <v>0</v>
      </c>
      <c r="B135" s="5">
        <f ca="1">COUNTBLANK(OFFSET(Demand!$I144,0,(COLUMN(A132)-1)*5,1,1))</f>
        <v>0</v>
      </c>
      <c r="C135" s="5">
        <f ca="1">COUNTBLANK(OFFSET(Demand!$I144,0,(COLUMN(B132)-1)*5,1,1))</f>
        <v>0</v>
      </c>
      <c r="D135" s="5">
        <f ca="1">COUNTBLANK(OFFSET(Demand!$I144,0,(COLUMN(C132)-1)*5,1,1))</f>
        <v>1</v>
      </c>
      <c r="E135" s="5">
        <f ca="1">COUNTBLANK(OFFSET(Demand!$I144,0,(COLUMN(D132)-1)*5,1,1))</f>
        <v>1</v>
      </c>
      <c r="F135" s="5">
        <f ca="1">COUNTBLANK(OFFSET(Demand!$I144,0,(COLUMN(E132)-1)*5,1,1))</f>
        <v>1</v>
      </c>
      <c r="G135" s="5">
        <f ca="1">COUNTBLANK(OFFSET(Demand!$I144,0,(COLUMN(F132)-1)*5,1,1))</f>
        <v>1</v>
      </c>
      <c r="H135" s="5">
        <f ca="1">COUNTBLANK(OFFSET(Demand!$I144,0,(COLUMN(G132)-1)*5,1,1))</f>
        <v>1</v>
      </c>
      <c r="I135" s="5">
        <f ca="1">COUNTBLANK(OFFSET(Demand!$I144,0,(COLUMN(H132)-1)*5,1,1))</f>
        <v>1</v>
      </c>
      <c r="J135" s="5">
        <f ca="1">COUNTBLANK(OFFSET(Demand!$I144,0,(COLUMN(I132)-1)*5,1,1))</f>
        <v>1</v>
      </c>
      <c r="K135" s="5">
        <f ca="1">COUNTBLANK(OFFSET(Demand!$I144,0,(COLUMN(J132)-1)*5,1,1))</f>
        <v>1</v>
      </c>
      <c r="N135" s="5">
        <f ca="1">SUM(OFFSET(Demand!$E144,0,(COLUMN(A132)-1)*5,1,3))*N$2</f>
        <v>90</v>
      </c>
      <c r="O135" s="5">
        <f ca="1">SUM(OFFSET(Demand!$E144,0,(COLUMN(B132)-1)*5,1,3))*O$2</f>
        <v>400</v>
      </c>
      <c r="P135" s="5">
        <f ca="1">SUM(OFFSET(Demand!$E144,0,(COLUMN(C132)-1)*5,1,3))*P$2</f>
        <v>0</v>
      </c>
      <c r="Q135" s="5">
        <f ca="1">SUM(OFFSET(Demand!$E144,0,(COLUMN(D132)-1)*5,1,3))*Q$2</f>
        <v>0</v>
      </c>
      <c r="R135" s="5">
        <f ca="1">SUM(OFFSET(Demand!$E144,0,(COLUMN(E132)-1)*5,1,3))*R$2</f>
        <v>0</v>
      </c>
      <c r="S135" s="5">
        <f ca="1">SUM(OFFSET(Demand!$E144,0,(COLUMN(F132)-1)*5,1,3))*S$2</f>
        <v>0</v>
      </c>
      <c r="T135" s="5">
        <f ca="1">SUM(OFFSET(Demand!$E144,0,(COLUMN(G132)-1)*5,1,3))*T$2</f>
        <v>0</v>
      </c>
      <c r="U135" s="5">
        <f ca="1">SUM(OFFSET(Demand!$E144,0,(COLUMN(H132)-1)*5,1,3))*U$2</f>
        <v>0</v>
      </c>
      <c r="V135" s="5">
        <f ca="1">SUM(OFFSET(Demand!$E144,0,(COLUMN(I132)-1)*5,1,3))*V$2</f>
        <v>0</v>
      </c>
      <c r="W135" s="5">
        <f ca="1">SUM(OFFSET(Demand!$E144,0,(COLUMN(J132)-1)*5,1,3))*W$2</f>
        <v>0</v>
      </c>
      <c r="X135" s="5">
        <f t="shared" ca="1" si="39"/>
        <v>490</v>
      </c>
      <c r="Y135">
        <f t="shared" ca="1" si="40"/>
        <v>490</v>
      </c>
      <c r="Z135" s="5">
        <f ca="1">SUM(OFFSET(Demand!$H144,0,(COLUMN(A132)-1)*5,1,1))*N$2</f>
        <v>0</v>
      </c>
      <c r="AA135" s="5">
        <f ca="1">SUM(OFFSET(Demand!$H144,0,(COLUMN(B132)-1)*5,1,1))*O$2</f>
        <v>0</v>
      </c>
      <c r="AB135" s="5">
        <f ca="1">SUM(OFFSET(Demand!$H144,0,(COLUMN(C132)-1)*5,1,1))*P$2</f>
        <v>0</v>
      </c>
      <c r="AC135" s="5">
        <f ca="1">SUM(OFFSET(Demand!$H144,0,(COLUMN(D132)-1)*5,1,1))*Q$2</f>
        <v>0</v>
      </c>
      <c r="AD135" s="5">
        <f ca="1">SUM(OFFSET(Demand!$H144,0,(COLUMN(E132)-1)*5,1,1))*R$2</f>
        <v>0</v>
      </c>
      <c r="AE135" s="5">
        <f ca="1">SUM(OFFSET(Demand!$H144,0,(COLUMN(F132)-1)*5,1,1))*S$2</f>
        <v>0</v>
      </c>
      <c r="AF135" s="5">
        <f ca="1">SUM(OFFSET(Demand!$H144,0,(COLUMN(G132)-1)*5,1,1))*T$2</f>
        <v>0</v>
      </c>
      <c r="AG135" s="5">
        <f ca="1">SUM(OFFSET(Demand!$H144,0,(COLUMN(H132)-1)*5,1,1))*U$2</f>
        <v>0</v>
      </c>
      <c r="AH135" s="5">
        <f ca="1">SUM(OFFSET(Demand!$H144,0,(COLUMN(I132)-1)*5,1,1))*V$2</f>
        <v>0</v>
      </c>
      <c r="AI135" s="5">
        <f ca="1">SUM(OFFSET(Demand!$H144,0,(COLUMN(J132)-1)*5,1,1))*W$2</f>
        <v>0</v>
      </c>
      <c r="AJ135" s="5">
        <f t="shared" ca="1" si="41"/>
        <v>0</v>
      </c>
      <c r="AL135" s="5">
        <f t="shared" ca="1" si="42"/>
        <v>490</v>
      </c>
      <c r="AM135" s="5">
        <f t="shared" ca="1" si="43"/>
        <v>0</v>
      </c>
      <c r="AN135" s="5" t="str">
        <f>IF(Demand!BE144="Yes","Yes","")</f>
        <v/>
      </c>
      <c r="AP135" s="37" t="str">
        <f ca="1">Demand!B144</f>
        <v xml:space="preserve"> </v>
      </c>
      <c r="AQ135" t="str">
        <f ca="1">IF(TEXT(Demand!D144,"MMM")&lt;&gt;TEXT(Demand!D143,"MMM"),TEXT(Demand!D144,"MMM"),"")</f>
        <v>Oct</v>
      </c>
      <c r="AT135" s="5">
        <f t="shared" ca="1" si="45"/>
        <v>80</v>
      </c>
      <c r="BQ135">
        <f ca="1">IF($AN135="",OFFSET(Demand!$A$13,ROW(A132)-1,4+((QUOTIENT(COLUMN(BQ$2)-69,3))*5)+MOD(COLUMN(BQ$2),3),1,1),"")</f>
        <v>0</v>
      </c>
      <c r="BR135">
        <f ca="1">IF($AN135="",OFFSET(Demand!$A$13,ROW(B132)-1,4+((QUOTIENT(COLUMN(BR$2)-69,3))*5)+MOD(COLUMN(BR$2),3),1,1),"")</f>
        <v>0</v>
      </c>
      <c r="BS135">
        <f ca="1">IF($AN135="",OFFSET(Demand!$A$13,ROW(C132)-1,4+((QUOTIENT(COLUMN(BS$2)-69,3))*5)+MOD(COLUMN(BS$2),3),1,1),"")</f>
        <v>3</v>
      </c>
      <c r="BT135">
        <f ca="1">IF($AN135="",OFFSET(Demand!$A$13,ROW(D132)-1,4+((QUOTIENT(COLUMN(BT$2)-69,3))*5)+MOD(COLUMN(BT$2),3),1,1),"")</f>
        <v>0</v>
      </c>
      <c r="BU135">
        <f ca="1">IF($AN135="",OFFSET(Demand!$A$13,ROW(E132)-1,4+((QUOTIENT(COLUMN(BU$2)-69,3))*5)+MOD(COLUMN(BU$2),3),1,1),"")</f>
        <v>3</v>
      </c>
      <c r="BV135">
        <f ca="1">IF($AN135="",OFFSET(Demand!$A$13,ROW(F132)-1,4+((QUOTIENT(COLUMN(BV$2)-69,3))*5)+MOD(COLUMN(BV$2),3),1,1),"")</f>
        <v>7</v>
      </c>
      <c r="BW135">
        <f ca="1">IF($AN135="",OFFSET(Demand!$A$13,ROW(G132)-1,4+((QUOTIENT(COLUMN(BW$2)-69,3))*5)+MOD(COLUMN(BW$2),3),1,1),"")</f>
        <v>0</v>
      </c>
      <c r="BX135">
        <f ca="1">IF($AN135="",OFFSET(Demand!$A$13,ROW(H132)-1,4+((QUOTIENT(COLUMN(BX$2)-69,3))*5)+MOD(COLUMN(BX$2),3),1,1),"")</f>
        <v>0</v>
      </c>
      <c r="BY135">
        <f ca="1">IF($AN135="",OFFSET(Demand!$A$13,ROW(I132)-1,4+((QUOTIENT(COLUMN(BY$2)-69,3))*5)+MOD(COLUMN(BY$2),3),1,1),"")</f>
        <v>0</v>
      </c>
      <c r="BZ135">
        <f ca="1">IF($AN135="",OFFSET(Demand!$A$13,ROW(J132)-1,4+((QUOTIENT(COLUMN(BZ$2)-69,3))*5)+MOD(COLUMN(BZ$2),3),1,1),"")</f>
        <v>0</v>
      </c>
      <c r="CA135">
        <f ca="1">IF($AN135="",OFFSET(Demand!$A$13,ROW(K132)-1,4+((QUOTIENT(COLUMN(CA$2)-69,3))*5)+MOD(COLUMN(CA$2),3),1,1),"")</f>
        <v>0</v>
      </c>
      <c r="CB135">
        <f ca="1">IF($AN135="",OFFSET(Demand!$A$13,ROW(L132)-1,4+((QUOTIENT(COLUMN(CB$2)-69,3))*5)+MOD(COLUMN(CB$2),3),1,1),"")</f>
        <v>0</v>
      </c>
      <c r="CC135">
        <f ca="1">IF($AN135="",OFFSET(Demand!$A$13,ROW(M132)-1,4+((QUOTIENT(COLUMN(CC$2)-69,3))*5)+MOD(COLUMN(CC$2),3),1,1),"")</f>
        <v>0</v>
      </c>
      <c r="CD135">
        <f ca="1">IF($AN135="",OFFSET(Demand!$A$13,ROW(N132)-1,4+((QUOTIENT(COLUMN(CD$2)-69,3))*5)+MOD(COLUMN(CD$2),3),1,1),"")</f>
        <v>0</v>
      </c>
      <c r="CE135">
        <f ca="1">IF($AN135="",OFFSET(Demand!$A$13,ROW(O132)-1,4+((QUOTIENT(COLUMN(CE$2)-69,3))*5)+MOD(COLUMN(CE$2),3),1,1),"")</f>
        <v>0</v>
      </c>
      <c r="CF135">
        <f ca="1">IF($AN135="",OFFSET(Demand!$A$13,ROW(P132)-1,4+((QUOTIENT(COLUMN(CF$2)-69,3))*5)+MOD(COLUMN(CF$2),3),1,1),"")</f>
        <v>0</v>
      </c>
      <c r="CG135">
        <f ca="1">IF($AN135="",OFFSET(Demand!$A$13,ROW(Q132)-1,4+((QUOTIENT(COLUMN(CG$2)-69,3))*5)+MOD(COLUMN(CG$2),3),1,1),"")</f>
        <v>0</v>
      </c>
      <c r="CH135">
        <f ca="1">IF($AN135="",OFFSET(Demand!$A$13,ROW(R132)-1,4+((QUOTIENT(COLUMN(CH$2)-69,3))*5)+MOD(COLUMN(CH$2),3),1,1),"")</f>
        <v>0</v>
      </c>
      <c r="CI135">
        <f ca="1">IF($AN135="",OFFSET(Demand!$A$13,ROW(S132)-1,4+((QUOTIENT(COLUMN(CI$2)-69,3))*5)+MOD(COLUMN(CI$2),3),1,1),"")</f>
        <v>0</v>
      </c>
      <c r="CJ135">
        <f ca="1">IF($AN135="",OFFSET(Demand!$A$13,ROW(T132)-1,4+((QUOTIENT(COLUMN(CJ$2)-69,3))*5)+MOD(COLUMN(CJ$2),3),1,1),"")</f>
        <v>0</v>
      </c>
      <c r="CK135">
        <f ca="1">IF($AN135="",OFFSET(Demand!$A$13,ROW(U132)-1,4+((QUOTIENT(COLUMN(CK$2)-69,3))*5)+MOD(COLUMN(CK$2),3),1,1),"")</f>
        <v>0</v>
      </c>
      <c r="CL135">
        <f ca="1">IF($AN135="",OFFSET(Demand!$A$13,ROW(V132)-1,4+((QUOTIENT(COLUMN(CL$2)-69,3))*5)+MOD(COLUMN(CL$2),3),1,1),"")</f>
        <v>0</v>
      </c>
      <c r="CM135">
        <f ca="1">IF($AN135="",OFFSET(Demand!$A$13,ROW(W132)-1,4+((QUOTIENT(COLUMN(CM$2)-69,3))*5)+MOD(COLUMN(CM$2),3),1,1),"")</f>
        <v>0</v>
      </c>
      <c r="CN135">
        <f ca="1">IF($AN135="",OFFSET(Demand!$A$13,ROW(X132)-1,4+((QUOTIENT(COLUMN(CN$2)-69,3))*5)+MOD(COLUMN(CN$2),3),1,1),"")</f>
        <v>0</v>
      </c>
      <c r="CO135">
        <f ca="1">IF($AN135="",OFFSET(Demand!$A$13,ROW(Y132)-1,4+((QUOTIENT(COLUMN(CO$2)-69,3))*5)+MOD(COLUMN(CO$2),3),1,1),"")</f>
        <v>0</v>
      </c>
      <c r="CP135">
        <f ca="1">IF($AN135="",OFFSET(Demand!$A$13,ROW(Z132)-1,4+((QUOTIENT(COLUMN(CP$2)-69,3))*5)+MOD(COLUMN(CP$2),3),1,1),"")</f>
        <v>0</v>
      </c>
      <c r="CQ135">
        <f ca="1">IF($AN135="",OFFSET(Demand!$A$13,ROW(AA132)-1,4+((QUOTIENT(COLUMN(CQ$2)-69,3))*5)+MOD(COLUMN(CQ$2),3),1,1),"")</f>
        <v>0</v>
      </c>
      <c r="CR135">
        <f ca="1">IF($AN135="",OFFSET(Demand!$A$13,ROW(AB132)-1,4+((QUOTIENT(COLUMN(CR$2)-69,3))*5)+MOD(COLUMN(CR$2),3),1,1),"")</f>
        <v>0</v>
      </c>
      <c r="CS135">
        <f ca="1">IF($AN135="",OFFSET(Demand!$A$13,ROW(AC132)-1,4+((QUOTIENT(COLUMN(CS$2)-69,3))*5)+MOD(COLUMN(CS$2),3),1,1),"")</f>
        <v>0</v>
      </c>
      <c r="CT135">
        <f ca="1">IF($AN135="",OFFSET(Demand!$A$13,ROW(AD132)-1,4+((QUOTIENT(COLUMN(CT$2)-69,3))*5)+MOD(COLUMN(CT$2),3),1,1),"")</f>
        <v>0</v>
      </c>
      <c r="CW135" s="5">
        <f ca="1">SUM(OFFSET(Demand!$H$43,ROW(A132)-1,(COLUMN(A132)-1)*5,1,1))*N$2</f>
        <v>0</v>
      </c>
      <c r="CX135" s="5">
        <f ca="1">SUM(OFFSET(Demand!$H$43,ROW(B132)-1,(COLUMN(B132)-1)*5,1,1))*O$2</f>
        <v>0</v>
      </c>
      <c r="CY135" s="5">
        <f ca="1">SUM(OFFSET(Demand!$H$43,ROW(C132)-1,(COLUMN(C132)-1)*5,1,1))*P$2</f>
        <v>0</v>
      </c>
      <c r="CZ135" s="5">
        <f ca="1">SUM(OFFSET(Demand!$H$43,ROW(D132)-1,(COLUMN(D132)-1)*5,1,1))*Q$2</f>
        <v>0</v>
      </c>
      <c r="DA135" s="5">
        <f ca="1">SUM(OFFSET(Demand!$H$43,ROW(E132)-1,(COLUMN(E132)-1)*5,1,1))*R$2</f>
        <v>0</v>
      </c>
      <c r="DB135" s="5">
        <f ca="1">SUM(OFFSET(Demand!$H$43,ROW(F132)-1,(COLUMN(F132)-1)*5,1,1))*S$2</f>
        <v>0</v>
      </c>
      <c r="DC135" s="5">
        <f ca="1">SUM(OFFSET(Demand!$H$43,ROW(G132)-1,(COLUMN(G132)-1)*5,1,1))*T$2</f>
        <v>0</v>
      </c>
      <c r="DD135" s="5">
        <f ca="1">SUM(OFFSET(Demand!$H$43,ROW(H132)-1,(COLUMN(H132)-1)*5,1,1))*U$2</f>
        <v>0</v>
      </c>
      <c r="DE135" s="5">
        <f ca="1">SUM(OFFSET(Demand!$H$43,ROW(I132)-1,(COLUMN(I132)-1)*5,1,1))*V$2</f>
        <v>0</v>
      </c>
      <c r="DF135" s="5">
        <f ca="1">SUM(OFFSET(Demand!$H$43,ROW(J132)-1,(COLUMN(J132)-1)*5,1,1))*W$2</f>
        <v>0</v>
      </c>
      <c r="DG135" s="5">
        <f t="shared" ca="1" si="44"/>
        <v>0</v>
      </c>
    </row>
    <row r="136" spans="1:111" x14ac:dyDescent="0.2">
      <c r="A136" s="5">
        <f t="shared" ca="1" si="38"/>
        <v>0</v>
      </c>
      <c r="B136" s="5">
        <f ca="1">COUNTBLANK(OFFSET(Demand!$I145,0,(COLUMN(A133)-1)*5,1,1))</f>
        <v>0</v>
      </c>
      <c r="C136" s="5">
        <f ca="1">COUNTBLANK(OFFSET(Demand!$I145,0,(COLUMN(B133)-1)*5,1,1))</f>
        <v>0</v>
      </c>
      <c r="D136" s="5">
        <f ca="1">COUNTBLANK(OFFSET(Demand!$I145,0,(COLUMN(C133)-1)*5,1,1))</f>
        <v>1</v>
      </c>
      <c r="E136" s="5">
        <f ca="1">COUNTBLANK(OFFSET(Demand!$I145,0,(COLUMN(D133)-1)*5,1,1))</f>
        <v>1</v>
      </c>
      <c r="F136" s="5">
        <f ca="1">COUNTBLANK(OFFSET(Demand!$I145,0,(COLUMN(E133)-1)*5,1,1))</f>
        <v>1</v>
      </c>
      <c r="G136" s="5">
        <f ca="1">COUNTBLANK(OFFSET(Demand!$I145,0,(COLUMN(F133)-1)*5,1,1))</f>
        <v>1</v>
      </c>
      <c r="H136" s="5">
        <f ca="1">COUNTBLANK(OFFSET(Demand!$I145,0,(COLUMN(G133)-1)*5,1,1))</f>
        <v>1</v>
      </c>
      <c r="I136" s="5">
        <f ca="1">COUNTBLANK(OFFSET(Demand!$I145,0,(COLUMN(H133)-1)*5,1,1))</f>
        <v>1</v>
      </c>
      <c r="J136" s="5">
        <f ca="1">COUNTBLANK(OFFSET(Demand!$I145,0,(COLUMN(I133)-1)*5,1,1))</f>
        <v>1</v>
      </c>
      <c r="K136" s="5">
        <f ca="1">COUNTBLANK(OFFSET(Demand!$I145,0,(COLUMN(J133)-1)*5,1,1))</f>
        <v>1</v>
      </c>
      <c r="N136" s="5">
        <f ca="1">SUM(OFFSET(Demand!$E145,0,(COLUMN(A133)-1)*5,1,3))*N$2</f>
        <v>210</v>
      </c>
      <c r="O136" s="5">
        <f ca="1">SUM(OFFSET(Demand!$E145,0,(COLUMN(B133)-1)*5,1,3))*O$2</f>
        <v>360</v>
      </c>
      <c r="P136" s="5">
        <f ca="1">SUM(OFFSET(Demand!$E145,0,(COLUMN(C133)-1)*5,1,3))*P$2</f>
        <v>0</v>
      </c>
      <c r="Q136" s="5">
        <f ca="1">SUM(OFFSET(Demand!$E145,0,(COLUMN(D133)-1)*5,1,3))*Q$2</f>
        <v>0</v>
      </c>
      <c r="R136" s="5">
        <f ca="1">SUM(OFFSET(Demand!$E145,0,(COLUMN(E133)-1)*5,1,3))*R$2</f>
        <v>0</v>
      </c>
      <c r="S136" s="5">
        <f ca="1">SUM(OFFSET(Demand!$E145,0,(COLUMN(F133)-1)*5,1,3))*S$2</f>
        <v>0</v>
      </c>
      <c r="T136" s="5">
        <f ca="1">SUM(OFFSET(Demand!$E145,0,(COLUMN(G133)-1)*5,1,3))*T$2</f>
        <v>0</v>
      </c>
      <c r="U136" s="5">
        <f ca="1">SUM(OFFSET(Demand!$E145,0,(COLUMN(H133)-1)*5,1,3))*U$2</f>
        <v>0</v>
      </c>
      <c r="V136" s="5">
        <f ca="1">SUM(OFFSET(Demand!$E145,0,(COLUMN(I133)-1)*5,1,3))*V$2</f>
        <v>0</v>
      </c>
      <c r="W136" s="5">
        <f ca="1">SUM(OFFSET(Demand!$E145,0,(COLUMN(J133)-1)*5,1,3))*W$2</f>
        <v>0</v>
      </c>
      <c r="X136" s="5">
        <f t="shared" ca="1" si="39"/>
        <v>570</v>
      </c>
      <c r="Y136">
        <f t="shared" ca="1" si="40"/>
        <v>570</v>
      </c>
      <c r="Z136" s="5">
        <f ca="1">SUM(OFFSET(Demand!$H145,0,(COLUMN(A133)-1)*5,1,1))*N$2</f>
        <v>0</v>
      </c>
      <c r="AA136" s="5">
        <f ca="1">SUM(OFFSET(Demand!$H145,0,(COLUMN(B133)-1)*5,1,1))*O$2</f>
        <v>0</v>
      </c>
      <c r="AB136" s="5">
        <f ca="1">SUM(OFFSET(Demand!$H145,0,(COLUMN(C133)-1)*5,1,1))*P$2</f>
        <v>0</v>
      </c>
      <c r="AC136" s="5">
        <f ca="1">SUM(OFFSET(Demand!$H145,0,(COLUMN(D133)-1)*5,1,1))*Q$2</f>
        <v>0</v>
      </c>
      <c r="AD136" s="5">
        <f ca="1">SUM(OFFSET(Demand!$H145,0,(COLUMN(E133)-1)*5,1,1))*R$2</f>
        <v>0</v>
      </c>
      <c r="AE136" s="5">
        <f ca="1">SUM(OFFSET(Demand!$H145,0,(COLUMN(F133)-1)*5,1,1))*S$2</f>
        <v>0</v>
      </c>
      <c r="AF136" s="5">
        <f ca="1">SUM(OFFSET(Demand!$H145,0,(COLUMN(G133)-1)*5,1,1))*T$2</f>
        <v>0</v>
      </c>
      <c r="AG136" s="5">
        <f ca="1">SUM(OFFSET(Demand!$H145,0,(COLUMN(H133)-1)*5,1,1))*U$2</f>
        <v>0</v>
      </c>
      <c r="AH136" s="5">
        <f ca="1">SUM(OFFSET(Demand!$H145,0,(COLUMN(I133)-1)*5,1,1))*V$2</f>
        <v>0</v>
      </c>
      <c r="AI136" s="5">
        <f ca="1">SUM(OFFSET(Demand!$H145,0,(COLUMN(J133)-1)*5,1,1))*W$2</f>
        <v>0</v>
      </c>
      <c r="AJ136" s="5">
        <f t="shared" ca="1" si="41"/>
        <v>0</v>
      </c>
      <c r="AL136" s="5">
        <f t="shared" ca="1" si="42"/>
        <v>570</v>
      </c>
      <c r="AM136" s="5">
        <f t="shared" ca="1" si="43"/>
        <v>0</v>
      </c>
      <c r="AN136" s="5" t="str">
        <f>IF(Demand!BE145="Yes","Yes","")</f>
        <v/>
      </c>
      <c r="AP136" s="37" t="str">
        <f ca="1">Demand!B145</f>
        <v xml:space="preserve"> </v>
      </c>
      <c r="AQ136" t="str">
        <f ca="1">IF(TEXT(Demand!D145,"MMM")&lt;&gt;TEXT(Demand!D144,"MMM"),TEXT(Demand!D145,"MMM"),"")</f>
        <v/>
      </c>
      <c r="AT136" s="5">
        <f t="shared" ca="1" si="45"/>
        <v>80</v>
      </c>
      <c r="BQ136">
        <f ca="1">IF($AN136="",OFFSET(Demand!$A$13,ROW(A133)-1,4+((QUOTIENT(COLUMN(BQ$2)-69,3))*5)+MOD(COLUMN(BQ$2),3),1,1),"")</f>
        <v>0</v>
      </c>
      <c r="BR136">
        <f ca="1">IF($AN136="",OFFSET(Demand!$A$13,ROW(B133)-1,4+((QUOTIENT(COLUMN(BR$2)-69,3))*5)+MOD(COLUMN(BR$2),3),1,1),"")</f>
        <v>1</v>
      </c>
      <c r="BS136">
        <f ca="1">IF($AN136="",OFFSET(Demand!$A$13,ROW(C133)-1,4+((QUOTIENT(COLUMN(BS$2)-69,3))*5)+MOD(COLUMN(BS$2),3),1,1),"")</f>
        <v>6</v>
      </c>
      <c r="BT136">
        <f ca="1">IF($AN136="",OFFSET(Demand!$A$13,ROW(D133)-1,4+((QUOTIENT(COLUMN(BT$2)-69,3))*5)+MOD(COLUMN(BT$2),3),1,1),"")</f>
        <v>0</v>
      </c>
      <c r="BU136">
        <f ca="1">IF($AN136="",OFFSET(Demand!$A$13,ROW(E133)-1,4+((QUOTIENT(COLUMN(BU$2)-69,3))*5)+MOD(COLUMN(BU$2),3),1,1),"")</f>
        <v>2</v>
      </c>
      <c r="BV136">
        <f ca="1">IF($AN136="",OFFSET(Demand!$A$13,ROW(F133)-1,4+((QUOTIENT(COLUMN(BV$2)-69,3))*5)+MOD(COLUMN(BV$2),3),1,1),"")</f>
        <v>7</v>
      </c>
      <c r="BW136">
        <f ca="1">IF($AN136="",OFFSET(Demand!$A$13,ROW(G133)-1,4+((QUOTIENT(COLUMN(BW$2)-69,3))*5)+MOD(COLUMN(BW$2),3),1,1),"")</f>
        <v>0</v>
      </c>
      <c r="BX136">
        <f ca="1">IF($AN136="",OFFSET(Demand!$A$13,ROW(H133)-1,4+((QUOTIENT(COLUMN(BX$2)-69,3))*5)+MOD(COLUMN(BX$2),3),1,1),"")</f>
        <v>0</v>
      </c>
      <c r="BY136">
        <f ca="1">IF($AN136="",OFFSET(Demand!$A$13,ROW(I133)-1,4+((QUOTIENT(COLUMN(BY$2)-69,3))*5)+MOD(COLUMN(BY$2),3),1,1),"")</f>
        <v>0</v>
      </c>
      <c r="BZ136">
        <f ca="1">IF($AN136="",OFFSET(Demand!$A$13,ROW(J133)-1,4+((QUOTIENT(COLUMN(BZ$2)-69,3))*5)+MOD(COLUMN(BZ$2),3),1,1),"")</f>
        <v>0</v>
      </c>
      <c r="CA136">
        <f ca="1">IF($AN136="",OFFSET(Demand!$A$13,ROW(K133)-1,4+((QUOTIENT(COLUMN(CA$2)-69,3))*5)+MOD(COLUMN(CA$2),3),1,1),"")</f>
        <v>0</v>
      </c>
      <c r="CB136">
        <f ca="1">IF($AN136="",OFFSET(Demand!$A$13,ROW(L133)-1,4+((QUOTIENT(COLUMN(CB$2)-69,3))*5)+MOD(COLUMN(CB$2),3),1,1),"")</f>
        <v>0</v>
      </c>
      <c r="CC136">
        <f ca="1">IF($AN136="",OFFSET(Demand!$A$13,ROW(M133)-1,4+((QUOTIENT(COLUMN(CC$2)-69,3))*5)+MOD(COLUMN(CC$2),3),1,1),"")</f>
        <v>0</v>
      </c>
      <c r="CD136">
        <f ca="1">IF($AN136="",OFFSET(Demand!$A$13,ROW(N133)-1,4+((QUOTIENT(COLUMN(CD$2)-69,3))*5)+MOD(COLUMN(CD$2),3),1,1),"")</f>
        <v>0</v>
      </c>
      <c r="CE136">
        <f ca="1">IF($AN136="",OFFSET(Demand!$A$13,ROW(O133)-1,4+((QUOTIENT(COLUMN(CE$2)-69,3))*5)+MOD(COLUMN(CE$2),3),1,1),"")</f>
        <v>0</v>
      </c>
      <c r="CF136">
        <f ca="1">IF($AN136="",OFFSET(Demand!$A$13,ROW(P133)-1,4+((QUOTIENT(COLUMN(CF$2)-69,3))*5)+MOD(COLUMN(CF$2),3),1,1),"")</f>
        <v>0</v>
      </c>
      <c r="CG136">
        <f ca="1">IF($AN136="",OFFSET(Demand!$A$13,ROW(Q133)-1,4+((QUOTIENT(COLUMN(CG$2)-69,3))*5)+MOD(COLUMN(CG$2),3),1,1),"")</f>
        <v>0</v>
      </c>
      <c r="CH136">
        <f ca="1">IF($AN136="",OFFSET(Demand!$A$13,ROW(R133)-1,4+((QUOTIENT(COLUMN(CH$2)-69,3))*5)+MOD(COLUMN(CH$2),3),1,1),"")</f>
        <v>0</v>
      </c>
      <c r="CI136">
        <f ca="1">IF($AN136="",OFFSET(Demand!$A$13,ROW(S133)-1,4+((QUOTIENT(COLUMN(CI$2)-69,3))*5)+MOD(COLUMN(CI$2),3),1,1),"")</f>
        <v>0</v>
      </c>
      <c r="CJ136">
        <f ca="1">IF($AN136="",OFFSET(Demand!$A$13,ROW(T133)-1,4+((QUOTIENT(COLUMN(CJ$2)-69,3))*5)+MOD(COLUMN(CJ$2),3),1,1),"")</f>
        <v>0</v>
      </c>
      <c r="CK136">
        <f ca="1">IF($AN136="",OFFSET(Demand!$A$13,ROW(U133)-1,4+((QUOTIENT(COLUMN(CK$2)-69,3))*5)+MOD(COLUMN(CK$2),3),1,1),"")</f>
        <v>0</v>
      </c>
      <c r="CL136">
        <f ca="1">IF($AN136="",OFFSET(Demand!$A$13,ROW(V133)-1,4+((QUOTIENT(COLUMN(CL$2)-69,3))*5)+MOD(COLUMN(CL$2),3),1,1),"")</f>
        <v>0</v>
      </c>
      <c r="CM136">
        <f ca="1">IF($AN136="",OFFSET(Demand!$A$13,ROW(W133)-1,4+((QUOTIENT(COLUMN(CM$2)-69,3))*5)+MOD(COLUMN(CM$2),3),1,1),"")</f>
        <v>0</v>
      </c>
      <c r="CN136">
        <f ca="1">IF($AN136="",OFFSET(Demand!$A$13,ROW(X133)-1,4+((QUOTIENT(COLUMN(CN$2)-69,3))*5)+MOD(COLUMN(CN$2),3),1,1),"")</f>
        <v>0</v>
      </c>
      <c r="CO136">
        <f ca="1">IF($AN136="",OFFSET(Demand!$A$13,ROW(Y133)-1,4+((QUOTIENT(COLUMN(CO$2)-69,3))*5)+MOD(COLUMN(CO$2),3),1,1),"")</f>
        <v>0</v>
      </c>
      <c r="CP136">
        <f ca="1">IF($AN136="",OFFSET(Demand!$A$13,ROW(Z133)-1,4+((QUOTIENT(COLUMN(CP$2)-69,3))*5)+MOD(COLUMN(CP$2),3),1,1),"")</f>
        <v>0</v>
      </c>
      <c r="CQ136">
        <f ca="1">IF($AN136="",OFFSET(Demand!$A$13,ROW(AA133)-1,4+((QUOTIENT(COLUMN(CQ$2)-69,3))*5)+MOD(COLUMN(CQ$2),3),1,1),"")</f>
        <v>0</v>
      </c>
      <c r="CR136">
        <f ca="1">IF($AN136="",OFFSET(Demand!$A$13,ROW(AB133)-1,4+((QUOTIENT(COLUMN(CR$2)-69,3))*5)+MOD(COLUMN(CR$2),3),1,1),"")</f>
        <v>0</v>
      </c>
      <c r="CS136">
        <f ca="1">IF($AN136="",OFFSET(Demand!$A$13,ROW(AC133)-1,4+((QUOTIENT(COLUMN(CS$2)-69,3))*5)+MOD(COLUMN(CS$2),3),1,1),"")</f>
        <v>0</v>
      </c>
      <c r="CT136">
        <f ca="1">IF($AN136="",OFFSET(Demand!$A$13,ROW(AD133)-1,4+((QUOTIENT(COLUMN(CT$2)-69,3))*5)+MOD(COLUMN(CT$2),3),1,1),"")</f>
        <v>0</v>
      </c>
      <c r="CW136" s="5">
        <f ca="1">SUM(OFFSET(Demand!$H$43,ROW(A133)-1,(COLUMN(A133)-1)*5,1,1))*N$2</f>
        <v>0</v>
      </c>
      <c r="CX136" s="5">
        <f ca="1">SUM(OFFSET(Demand!$H$43,ROW(B133)-1,(COLUMN(B133)-1)*5,1,1))*O$2</f>
        <v>0</v>
      </c>
      <c r="CY136" s="5">
        <f ca="1">SUM(OFFSET(Demand!$H$43,ROW(C133)-1,(COLUMN(C133)-1)*5,1,1))*P$2</f>
        <v>0</v>
      </c>
      <c r="CZ136" s="5">
        <f ca="1">SUM(OFFSET(Demand!$H$43,ROW(D133)-1,(COLUMN(D133)-1)*5,1,1))*Q$2</f>
        <v>0</v>
      </c>
      <c r="DA136" s="5">
        <f ca="1">SUM(OFFSET(Demand!$H$43,ROW(E133)-1,(COLUMN(E133)-1)*5,1,1))*R$2</f>
        <v>0</v>
      </c>
      <c r="DB136" s="5">
        <f ca="1">SUM(OFFSET(Demand!$H$43,ROW(F133)-1,(COLUMN(F133)-1)*5,1,1))*S$2</f>
        <v>0</v>
      </c>
      <c r="DC136" s="5">
        <f ca="1">SUM(OFFSET(Demand!$H$43,ROW(G133)-1,(COLUMN(G133)-1)*5,1,1))*T$2</f>
        <v>0</v>
      </c>
      <c r="DD136" s="5">
        <f ca="1">SUM(OFFSET(Demand!$H$43,ROW(H133)-1,(COLUMN(H133)-1)*5,1,1))*U$2</f>
        <v>0</v>
      </c>
      <c r="DE136" s="5">
        <f ca="1">SUM(OFFSET(Demand!$H$43,ROW(I133)-1,(COLUMN(I133)-1)*5,1,1))*V$2</f>
        <v>0</v>
      </c>
      <c r="DF136" s="5">
        <f ca="1">SUM(OFFSET(Demand!$H$43,ROW(J133)-1,(COLUMN(J133)-1)*5,1,1))*W$2</f>
        <v>0</v>
      </c>
      <c r="DG136" s="5">
        <f t="shared" ca="1" si="44"/>
        <v>0</v>
      </c>
    </row>
    <row r="137" spans="1:111" x14ac:dyDescent="0.2">
      <c r="A137" s="5">
        <f t="shared" ca="1" si="38"/>
        <v>0</v>
      </c>
      <c r="B137" s="5">
        <f ca="1">COUNTBLANK(OFFSET(Demand!$I146,0,(COLUMN(A134)-1)*5,1,1))</f>
        <v>0</v>
      </c>
      <c r="C137" s="5">
        <f ca="1">COUNTBLANK(OFFSET(Demand!$I146,0,(COLUMN(B134)-1)*5,1,1))</f>
        <v>0</v>
      </c>
      <c r="D137" s="5">
        <f ca="1">COUNTBLANK(OFFSET(Demand!$I146,0,(COLUMN(C134)-1)*5,1,1))</f>
        <v>1</v>
      </c>
      <c r="E137" s="5">
        <f ca="1">COUNTBLANK(OFFSET(Demand!$I146,0,(COLUMN(D134)-1)*5,1,1))</f>
        <v>1</v>
      </c>
      <c r="F137" s="5">
        <f ca="1">COUNTBLANK(OFFSET(Demand!$I146,0,(COLUMN(E134)-1)*5,1,1))</f>
        <v>1</v>
      </c>
      <c r="G137" s="5">
        <f ca="1">COUNTBLANK(OFFSET(Demand!$I146,0,(COLUMN(F134)-1)*5,1,1))</f>
        <v>1</v>
      </c>
      <c r="H137" s="5">
        <f ca="1">COUNTBLANK(OFFSET(Demand!$I146,0,(COLUMN(G134)-1)*5,1,1))</f>
        <v>1</v>
      </c>
      <c r="I137" s="5">
        <f ca="1">COUNTBLANK(OFFSET(Demand!$I146,0,(COLUMN(H134)-1)*5,1,1))</f>
        <v>1</v>
      </c>
      <c r="J137" s="5">
        <f ca="1">COUNTBLANK(OFFSET(Demand!$I146,0,(COLUMN(I134)-1)*5,1,1))</f>
        <v>1</v>
      </c>
      <c r="K137" s="5">
        <f ca="1">COUNTBLANK(OFFSET(Demand!$I146,0,(COLUMN(J134)-1)*5,1,1))</f>
        <v>1</v>
      </c>
      <c r="N137" s="5">
        <f ca="1">SUM(OFFSET(Demand!$E146,0,(COLUMN(A134)-1)*5,1,3))*N$2</f>
        <v>90</v>
      </c>
      <c r="O137" s="5">
        <f ca="1">SUM(OFFSET(Demand!$E146,0,(COLUMN(B134)-1)*5,1,3))*O$2</f>
        <v>240</v>
      </c>
      <c r="P137" s="5">
        <f ca="1">SUM(OFFSET(Demand!$E146,0,(COLUMN(C134)-1)*5,1,3))*P$2</f>
        <v>0</v>
      </c>
      <c r="Q137" s="5">
        <f ca="1">SUM(OFFSET(Demand!$E146,0,(COLUMN(D134)-1)*5,1,3))*Q$2</f>
        <v>0</v>
      </c>
      <c r="R137" s="5">
        <f ca="1">SUM(OFFSET(Demand!$E146,0,(COLUMN(E134)-1)*5,1,3))*R$2</f>
        <v>0</v>
      </c>
      <c r="S137" s="5">
        <f ca="1">SUM(OFFSET(Demand!$E146,0,(COLUMN(F134)-1)*5,1,3))*S$2</f>
        <v>0</v>
      </c>
      <c r="T137" s="5">
        <f ca="1">SUM(OFFSET(Demand!$E146,0,(COLUMN(G134)-1)*5,1,3))*T$2</f>
        <v>0</v>
      </c>
      <c r="U137" s="5">
        <f ca="1">SUM(OFFSET(Demand!$E146,0,(COLUMN(H134)-1)*5,1,3))*U$2</f>
        <v>0</v>
      </c>
      <c r="V137" s="5">
        <f ca="1">SUM(OFFSET(Demand!$E146,0,(COLUMN(I134)-1)*5,1,3))*V$2</f>
        <v>0</v>
      </c>
      <c r="W137" s="5">
        <f ca="1">SUM(OFFSET(Demand!$E146,0,(COLUMN(J134)-1)*5,1,3))*W$2</f>
        <v>0</v>
      </c>
      <c r="X137" s="5">
        <f t="shared" ca="1" si="39"/>
        <v>330</v>
      </c>
      <c r="Y137">
        <f t="shared" ca="1" si="40"/>
        <v>330</v>
      </c>
      <c r="Z137" s="5">
        <f ca="1">SUM(OFFSET(Demand!$H146,0,(COLUMN(A134)-1)*5,1,1))*N$2</f>
        <v>0</v>
      </c>
      <c r="AA137" s="5">
        <f ca="1">SUM(OFFSET(Demand!$H146,0,(COLUMN(B134)-1)*5,1,1))*O$2</f>
        <v>0</v>
      </c>
      <c r="AB137" s="5">
        <f ca="1">SUM(OFFSET(Demand!$H146,0,(COLUMN(C134)-1)*5,1,1))*P$2</f>
        <v>0</v>
      </c>
      <c r="AC137" s="5">
        <f ca="1">SUM(OFFSET(Demand!$H146,0,(COLUMN(D134)-1)*5,1,1))*Q$2</f>
        <v>0</v>
      </c>
      <c r="AD137" s="5">
        <f ca="1">SUM(OFFSET(Demand!$H146,0,(COLUMN(E134)-1)*5,1,1))*R$2</f>
        <v>0</v>
      </c>
      <c r="AE137" s="5">
        <f ca="1">SUM(OFFSET(Demand!$H146,0,(COLUMN(F134)-1)*5,1,1))*S$2</f>
        <v>0</v>
      </c>
      <c r="AF137" s="5">
        <f ca="1">SUM(OFFSET(Demand!$H146,0,(COLUMN(G134)-1)*5,1,1))*T$2</f>
        <v>0</v>
      </c>
      <c r="AG137" s="5">
        <f ca="1">SUM(OFFSET(Demand!$H146,0,(COLUMN(H134)-1)*5,1,1))*U$2</f>
        <v>0</v>
      </c>
      <c r="AH137" s="5">
        <f ca="1">SUM(OFFSET(Demand!$H146,0,(COLUMN(I134)-1)*5,1,1))*V$2</f>
        <v>0</v>
      </c>
      <c r="AI137" s="5">
        <f ca="1">SUM(OFFSET(Demand!$H146,0,(COLUMN(J134)-1)*5,1,1))*W$2</f>
        <v>0</v>
      </c>
      <c r="AJ137" s="5">
        <f t="shared" ca="1" si="41"/>
        <v>0</v>
      </c>
      <c r="AL137" s="5">
        <f t="shared" ca="1" si="42"/>
        <v>330</v>
      </c>
      <c r="AM137" s="5">
        <f t="shared" ca="1" si="43"/>
        <v>0</v>
      </c>
      <c r="AN137" s="5" t="str">
        <f>IF(Demand!BE146="Yes","Yes","")</f>
        <v/>
      </c>
      <c r="AP137" s="37" t="str">
        <f ca="1">Demand!B146</f>
        <v xml:space="preserve"> </v>
      </c>
      <c r="AQ137" t="str">
        <f ca="1">IF(TEXT(Demand!D146,"MMM")&lt;&gt;TEXT(Demand!D145,"MMM"),TEXT(Demand!D146,"MMM"),"")</f>
        <v/>
      </c>
      <c r="AT137" s="5">
        <f t="shared" ca="1" si="45"/>
        <v>240</v>
      </c>
      <c r="BQ137">
        <f ca="1">IF($AN137="",OFFSET(Demand!$A$13,ROW(A134)-1,4+((QUOTIENT(COLUMN(BQ$2)-69,3))*5)+MOD(COLUMN(BQ$2),3),1,1),"")</f>
        <v>0</v>
      </c>
      <c r="BR137">
        <f ca="1">IF($AN137="",OFFSET(Demand!$A$13,ROW(B134)-1,4+((QUOTIENT(COLUMN(BR$2)-69,3))*5)+MOD(COLUMN(BR$2),3),1,1),"")</f>
        <v>0</v>
      </c>
      <c r="BS137">
        <f ca="1">IF($AN137="",OFFSET(Demand!$A$13,ROW(C134)-1,4+((QUOTIENT(COLUMN(BS$2)-69,3))*5)+MOD(COLUMN(BS$2),3),1,1),"")</f>
        <v>3</v>
      </c>
      <c r="BT137">
        <f ca="1">IF($AN137="",OFFSET(Demand!$A$13,ROW(D134)-1,4+((QUOTIENT(COLUMN(BT$2)-69,3))*5)+MOD(COLUMN(BT$2),3),1,1),"")</f>
        <v>0</v>
      </c>
      <c r="BU137">
        <f ca="1">IF($AN137="",OFFSET(Demand!$A$13,ROW(E134)-1,4+((QUOTIENT(COLUMN(BU$2)-69,3))*5)+MOD(COLUMN(BU$2),3),1,1),"")</f>
        <v>1</v>
      </c>
      <c r="BV137">
        <f ca="1">IF($AN137="",OFFSET(Demand!$A$13,ROW(F134)-1,4+((QUOTIENT(COLUMN(BV$2)-69,3))*5)+MOD(COLUMN(BV$2),3),1,1),"")</f>
        <v>5</v>
      </c>
      <c r="BW137">
        <f ca="1">IF($AN137="",OFFSET(Demand!$A$13,ROW(G134)-1,4+((QUOTIENT(COLUMN(BW$2)-69,3))*5)+MOD(COLUMN(BW$2),3),1,1),"")</f>
        <v>0</v>
      </c>
      <c r="BX137">
        <f ca="1">IF($AN137="",OFFSET(Demand!$A$13,ROW(H134)-1,4+((QUOTIENT(COLUMN(BX$2)-69,3))*5)+MOD(COLUMN(BX$2),3),1,1),"")</f>
        <v>0</v>
      </c>
      <c r="BY137">
        <f ca="1">IF($AN137="",OFFSET(Demand!$A$13,ROW(I134)-1,4+((QUOTIENT(COLUMN(BY$2)-69,3))*5)+MOD(COLUMN(BY$2),3),1,1),"")</f>
        <v>0</v>
      </c>
      <c r="BZ137">
        <f ca="1">IF($AN137="",OFFSET(Demand!$A$13,ROW(J134)-1,4+((QUOTIENT(COLUMN(BZ$2)-69,3))*5)+MOD(COLUMN(BZ$2),3),1,1),"")</f>
        <v>0</v>
      </c>
      <c r="CA137">
        <f ca="1">IF($AN137="",OFFSET(Demand!$A$13,ROW(K134)-1,4+((QUOTIENT(COLUMN(CA$2)-69,3))*5)+MOD(COLUMN(CA$2),3),1,1),"")</f>
        <v>0</v>
      </c>
      <c r="CB137">
        <f ca="1">IF($AN137="",OFFSET(Demand!$A$13,ROW(L134)-1,4+((QUOTIENT(COLUMN(CB$2)-69,3))*5)+MOD(COLUMN(CB$2),3),1,1),"")</f>
        <v>0</v>
      </c>
      <c r="CC137">
        <f ca="1">IF($AN137="",OFFSET(Demand!$A$13,ROW(M134)-1,4+((QUOTIENT(COLUMN(CC$2)-69,3))*5)+MOD(COLUMN(CC$2),3),1,1),"")</f>
        <v>0</v>
      </c>
      <c r="CD137">
        <f ca="1">IF($AN137="",OFFSET(Demand!$A$13,ROW(N134)-1,4+((QUOTIENT(COLUMN(CD$2)-69,3))*5)+MOD(COLUMN(CD$2),3),1,1),"")</f>
        <v>0</v>
      </c>
      <c r="CE137">
        <f ca="1">IF($AN137="",OFFSET(Demand!$A$13,ROW(O134)-1,4+((QUOTIENT(COLUMN(CE$2)-69,3))*5)+MOD(COLUMN(CE$2),3),1,1),"")</f>
        <v>0</v>
      </c>
      <c r="CF137">
        <f ca="1">IF($AN137="",OFFSET(Demand!$A$13,ROW(P134)-1,4+((QUOTIENT(COLUMN(CF$2)-69,3))*5)+MOD(COLUMN(CF$2),3),1,1),"")</f>
        <v>0</v>
      </c>
      <c r="CG137">
        <f ca="1">IF($AN137="",OFFSET(Demand!$A$13,ROW(Q134)-1,4+((QUOTIENT(COLUMN(CG$2)-69,3))*5)+MOD(COLUMN(CG$2),3),1,1),"")</f>
        <v>0</v>
      </c>
      <c r="CH137">
        <f ca="1">IF($AN137="",OFFSET(Demand!$A$13,ROW(R134)-1,4+((QUOTIENT(COLUMN(CH$2)-69,3))*5)+MOD(COLUMN(CH$2),3),1,1),"")</f>
        <v>0</v>
      </c>
      <c r="CI137">
        <f ca="1">IF($AN137="",OFFSET(Demand!$A$13,ROW(S134)-1,4+((QUOTIENT(COLUMN(CI$2)-69,3))*5)+MOD(COLUMN(CI$2),3),1,1),"")</f>
        <v>0</v>
      </c>
      <c r="CJ137">
        <f ca="1">IF($AN137="",OFFSET(Demand!$A$13,ROW(T134)-1,4+((QUOTIENT(COLUMN(CJ$2)-69,3))*5)+MOD(COLUMN(CJ$2),3),1,1),"")</f>
        <v>0</v>
      </c>
      <c r="CK137">
        <f ca="1">IF($AN137="",OFFSET(Demand!$A$13,ROW(U134)-1,4+((QUOTIENT(COLUMN(CK$2)-69,3))*5)+MOD(COLUMN(CK$2),3),1,1),"")</f>
        <v>0</v>
      </c>
      <c r="CL137">
        <f ca="1">IF($AN137="",OFFSET(Demand!$A$13,ROW(V134)-1,4+((QUOTIENT(COLUMN(CL$2)-69,3))*5)+MOD(COLUMN(CL$2),3),1,1),"")</f>
        <v>0</v>
      </c>
      <c r="CM137">
        <f ca="1">IF($AN137="",OFFSET(Demand!$A$13,ROW(W134)-1,4+((QUOTIENT(COLUMN(CM$2)-69,3))*5)+MOD(COLUMN(CM$2),3),1,1),"")</f>
        <v>0</v>
      </c>
      <c r="CN137">
        <f ca="1">IF($AN137="",OFFSET(Demand!$A$13,ROW(X134)-1,4+((QUOTIENT(COLUMN(CN$2)-69,3))*5)+MOD(COLUMN(CN$2),3),1,1),"")</f>
        <v>0</v>
      </c>
      <c r="CO137">
        <f ca="1">IF($AN137="",OFFSET(Demand!$A$13,ROW(Y134)-1,4+((QUOTIENT(COLUMN(CO$2)-69,3))*5)+MOD(COLUMN(CO$2),3),1,1),"")</f>
        <v>0</v>
      </c>
      <c r="CP137">
        <f ca="1">IF($AN137="",OFFSET(Demand!$A$13,ROW(Z134)-1,4+((QUOTIENT(COLUMN(CP$2)-69,3))*5)+MOD(COLUMN(CP$2),3),1,1),"")</f>
        <v>0</v>
      </c>
      <c r="CQ137">
        <f ca="1">IF($AN137="",OFFSET(Demand!$A$13,ROW(AA134)-1,4+((QUOTIENT(COLUMN(CQ$2)-69,3))*5)+MOD(COLUMN(CQ$2),3),1,1),"")</f>
        <v>0</v>
      </c>
      <c r="CR137">
        <f ca="1">IF($AN137="",OFFSET(Demand!$A$13,ROW(AB134)-1,4+((QUOTIENT(COLUMN(CR$2)-69,3))*5)+MOD(COLUMN(CR$2),3),1,1),"")</f>
        <v>0</v>
      </c>
      <c r="CS137">
        <f ca="1">IF($AN137="",OFFSET(Demand!$A$13,ROW(AC134)-1,4+((QUOTIENT(COLUMN(CS$2)-69,3))*5)+MOD(COLUMN(CS$2),3),1,1),"")</f>
        <v>0</v>
      </c>
      <c r="CT137">
        <f ca="1">IF($AN137="",OFFSET(Demand!$A$13,ROW(AD134)-1,4+((QUOTIENT(COLUMN(CT$2)-69,3))*5)+MOD(COLUMN(CT$2),3),1,1),"")</f>
        <v>0</v>
      </c>
      <c r="CW137" s="5">
        <f ca="1">SUM(OFFSET(Demand!$H$43,ROW(A134)-1,(COLUMN(A134)-1)*5,1,1))*N$2</f>
        <v>0</v>
      </c>
      <c r="CX137" s="5">
        <f ca="1">SUM(OFFSET(Demand!$H$43,ROW(B134)-1,(COLUMN(B134)-1)*5,1,1))*O$2</f>
        <v>0</v>
      </c>
      <c r="CY137" s="5">
        <f ca="1">SUM(OFFSET(Demand!$H$43,ROW(C134)-1,(COLUMN(C134)-1)*5,1,1))*P$2</f>
        <v>0</v>
      </c>
      <c r="CZ137" s="5">
        <f ca="1">SUM(OFFSET(Demand!$H$43,ROW(D134)-1,(COLUMN(D134)-1)*5,1,1))*Q$2</f>
        <v>0</v>
      </c>
      <c r="DA137" s="5">
        <f ca="1">SUM(OFFSET(Demand!$H$43,ROW(E134)-1,(COLUMN(E134)-1)*5,1,1))*R$2</f>
        <v>0</v>
      </c>
      <c r="DB137" s="5">
        <f ca="1">SUM(OFFSET(Demand!$H$43,ROW(F134)-1,(COLUMN(F134)-1)*5,1,1))*S$2</f>
        <v>0</v>
      </c>
      <c r="DC137" s="5">
        <f ca="1">SUM(OFFSET(Demand!$H$43,ROW(G134)-1,(COLUMN(G134)-1)*5,1,1))*T$2</f>
        <v>0</v>
      </c>
      <c r="DD137" s="5">
        <f ca="1">SUM(OFFSET(Demand!$H$43,ROW(H134)-1,(COLUMN(H134)-1)*5,1,1))*U$2</f>
        <v>0</v>
      </c>
      <c r="DE137" s="5">
        <f ca="1">SUM(OFFSET(Demand!$H$43,ROW(I134)-1,(COLUMN(I134)-1)*5,1,1))*V$2</f>
        <v>0</v>
      </c>
      <c r="DF137" s="5">
        <f ca="1">SUM(OFFSET(Demand!$H$43,ROW(J134)-1,(COLUMN(J134)-1)*5,1,1))*W$2</f>
        <v>0</v>
      </c>
      <c r="DG137" s="5">
        <f t="shared" ca="1" si="44"/>
        <v>0</v>
      </c>
    </row>
    <row r="138" spans="1:111" x14ac:dyDescent="0.2">
      <c r="A138" s="5">
        <f t="shared" ca="1" si="38"/>
        <v>0</v>
      </c>
      <c r="B138" s="5">
        <f ca="1">COUNTBLANK(OFFSET(Demand!$I147,0,(COLUMN(A135)-1)*5,1,1))</f>
        <v>0</v>
      </c>
      <c r="C138" s="5">
        <f ca="1">COUNTBLANK(OFFSET(Demand!$I147,0,(COLUMN(B135)-1)*5,1,1))</f>
        <v>0</v>
      </c>
      <c r="D138" s="5">
        <f ca="1">COUNTBLANK(OFFSET(Demand!$I147,0,(COLUMN(C135)-1)*5,1,1))</f>
        <v>1</v>
      </c>
      <c r="E138" s="5">
        <f ca="1">COUNTBLANK(OFFSET(Demand!$I147,0,(COLUMN(D135)-1)*5,1,1))</f>
        <v>1</v>
      </c>
      <c r="F138" s="5">
        <f ca="1">COUNTBLANK(OFFSET(Demand!$I147,0,(COLUMN(E135)-1)*5,1,1))</f>
        <v>1</v>
      </c>
      <c r="G138" s="5">
        <f ca="1">COUNTBLANK(OFFSET(Demand!$I147,0,(COLUMN(F135)-1)*5,1,1))</f>
        <v>1</v>
      </c>
      <c r="H138" s="5">
        <f ca="1">COUNTBLANK(OFFSET(Demand!$I147,0,(COLUMN(G135)-1)*5,1,1))</f>
        <v>1</v>
      </c>
      <c r="I138" s="5">
        <f ca="1">COUNTBLANK(OFFSET(Demand!$I147,0,(COLUMN(H135)-1)*5,1,1))</f>
        <v>1</v>
      </c>
      <c r="J138" s="5">
        <f ca="1">COUNTBLANK(OFFSET(Demand!$I147,0,(COLUMN(I135)-1)*5,1,1))</f>
        <v>1</v>
      </c>
      <c r="K138" s="5">
        <f ca="1">COUNTBLANK(OFFSET(Demand!$I147,0,(COLUMN(J135)-1)*5,1,1))</f>
        <v>1</v>
      </c>
      <c r="N138" s="5">
        <f ca="1">SUM(OFFSET(Demand!$E147,0,(COLUMN(A135)-1)*5,1,3))*N$2</f>
        <v>60</v>
      </c>
      <c r="O138" s="5">
        <f ca="1">SUM(OFFSET(Demand!$E147,0,(COLUMN(B135)-1)*5,1,3))*O$2</f>
        <v>400</v>
      </c>
      <c r="P138" s="5">
        <f ca="1">SUM(OFFSET(Demand!$E147,0,(COLUMN(C135)-1)*5,1,3))*P$2</f>
        <v>0</v>
      </c>
      <c r="Q138" s="5">
        <f ca="1">SUM(OFFSET(Demand!$E147,0,(COLUMN(D135)-1)*5,1,3))*Q$2</f>
        <v>0</v>
      </c>
      <c r="R138" s="5">
        <f ca="1">SUM(OFFSET(Demand!$E147,0,(COLUMN(E135)-1)*5,1,3))*R$2</f>
        <v>0</v>
      </c>
      <c r="S138" s="5">
        <f ca="1">SUM(OFFSET(Demand!$E147,0,(COLUMN(F135)-1)*5,1,3))*S$2</f>
        <v>0</v>
      </c>
      <c r="T138" s="5">
        <f ca="1">SUM(OFFSET(Demand!$E147,0,(COLUMN(G135)-1)*5,1,3))*T$2</f>
        <v>0</v>
      </c>
      <c r="U138" s="5">
        <f ca="1">SUM(OFFSET(Demand!$E147,0,(COLUMN(H135)-1)*5,1,3))*U$2</f>
        <v>0</v>
      </c>
      <c r="V138" s="5">
        <f ca="1">SUM(OFFSET(Demand!$E147,0,(COLUMN(I135)-1)*5,1,3))*V$2</f>
        <v>0</v>
      </c>
      <c r="W138" s="5">
        <f ca="1">SUM(OFFSET(Demand!$E147,0,(COLUMN(J135)-1)*5,1,3))*W$2</f>
        <v>0</v>
      </c>
      <c r="X138" s="5">
        <f t="shared" ca="1" si="39"/>
        <v>460</v>
      </c>
      <c r="Y138">
        <f t="shared" ca="1" si="40"/>
        <v>460</v>
      </c>
      <c r="Z138" s="5">
        <f ca="1">SUM(OFFSET(Demand!$H147,0,(COLUMN(A135)-1)*5,1,1))*N$2</f>
        <v>0</v>
      </c>
      <c r="AA138" s="5">
        <f ca="1">SUM(OFFSET(Demand!$H147,0,(COLUMN(B135)-1)*5,1,1))*O$2</f>
        <v>0</v>
      </c>
      <c r="AB138" s="5">
        <f ca="1">SUM(OFFSET(Demand!$H147,0,(COLUMN(C135)-1)*5,1,1))*P$2</f>
        <v>0</v>
      </c>
      <c r="AC138" s="5">
        <f ca="1">SUM(OFFSET(Demand!$H147,0,(COLUMN(D135)-1)*5,1,1))*Q$2</f>
        <v>0</v>
      </c>
      <c r="AD138" s="5">
        <f ca="1">SUM(OFFSET(Demand!$H147,0,(COLUMN(E135)-1)*5,1,1))*R$2</f>
        <v>0</v>
      </c>
      <c r="AE138" s="5">
        <f ca="1">SUM(OFFSET(Demand!$H147,0,(COLUMN(F135)-1)*5,1,1))*S$2</f>
        <v>0</v>
      </c>
      <c r="AF138" s="5">
        <f ca="1">SUM(OFFSET(Demand!$H147,0,(COLUMN(G135)-1)*5,1,1))*T$2</f>
        <v>0</v>
      </c>
      <c r="AG138" s="5">
        <f ca="1">SUM(OFFSET(Demand!$H147,0,(COLUMN(H135)-1)*5,1,1))*U$2</f>
        <v>0</v>
      </c>
      <c r="AH138" s="5">
        <f ca="1">SUM(OFFSET(Demand!$H147,0,(COLUMN(I135)-1)*5,1,1))*V$2</f>
        <v>0</v>
      </c>
      <c r="AI138" s="5">
        <f ca="1">SUM(OFFSET(Demand!$H147,0,(COLUMN(J135)-1)*5,1,1))*W$2</f>
        <v>0</v>
      </c>
      <c r="AJ138" s="5">
        <f t="shared" ca="1" si="41"/>
        <v>0</v>
      </c>
      <c r="AL138" s="5">
        <f t="shared" ca="1" si="42"/>
        <v>460</v>
      </c>
      <c r="AM138" s="5">
        <f t="shared" ca="1" si="43"/>
        <v>0</v>
      </c>
      <c r="AN138" s="5" t="str">
        <f>IF(Demand!BE147="Yes","Yes","")</f>
        <v/>
      </c>
      <c r="AP138" s="37" t="str">
        <f ca="1">Demand!B147</f>
        <v xml:space="preserve"> </v>
      </c>
      <c r="AQ138" t="str">
        <f ca="1">IF(TEXT(Demand!D147,"MMM")&lt;&gt;TEXT(Demand!D146,"MMM"),TEXT(Demand!D147,"MMM"),"")</f>
        <v/>
      </c>
      <c r="AT138" s="5">
        <f t="shared" ca="1" si="45"/>
        <v>130</v>
      </c>
      <c r="BQ138">
        <f ca="1">IF($AN138="",OFFSET(Demand!$A$13,ROW(A135)-1,4+((QUOTIENT(COLUMN(BQ$2)-69,3))*5)+MOD(COLUMN(BQ$2),3),1,1),"")</f>
        <v>0</v>
      </c>
      <c r="BR138">
        <f ca="1">IF($AN138="",OFFSET(Demand!$A$13,ROW(B135)-1,4+((QUOTIENT(COLUMN(BR$2)-69,3))*5)+MOD(COLUMN(BR$2),3),1,1),"")</f>
        <v>0</v>
      </c>
      <c r="BS138">
        <f ca="1">IF($AN138="",OFFSET(Demand!$A$13,ROW(C135)-1,4+((QUOTIENT(COLUMN(BS$2)-69,3))*5)+MOD(COLUMN(BS$2),3),1,1),"")</f>
        <v>2</v>
      </c>
      <c r="BT138">
        <f ca="1">IF($AN138="",OFFSET(Demand!$A$13,ROW(D135)-1,4+((QUOTIENT(COLUMN(BT$2)-69,3))*5)+MOD(COLUMN(BT$2),3),1,1),"")</f>
        <v>0</v>
      </c>
      <c r="BU138">
        <f ca="1">IF($AN138="",OFFSET(Demand!$A$13,ROW(E135)-1,4+((QUOTIENT(COLUMN(BU$2)-69,3))*5)+MOD(COLUMN(BU$2),3),1,1),"")</f>
        <v>1</v>
      </c>
      <c r="BV138">
        <f ca="1">IF($AN138="",OFFSET(Demand!$A$13,ROW(F135)-1,4+((QUOTIENT(COLUMN(BV$2)-69,3))*5)+MOD(COLUMN(BV$2),3),1,1),"")</f>
        <v>9</v>
      </c>
      <c r="BW138">
        <f ca="1">IF($AN138="",OFFSET(Demand!$A$13,ROW(G135)-1,4+((QUOTIENT(COLUMN(BW$2)-69,3))*5)+MOD(COLUMN(BW$2),3),1,1),"")</f>
        <v>0</v>
      </c>
      <c r="BX138">
        <f ca="1">IF($AN138="",OFFSET(Demand!$A$13,ROW(H135)-1,4+((QUOTIENT(COLUMN(BX$2)-69,3))*5)+MOD(COLUMN(BX$2),3),1,1),"")</f>
        <v>0</v>
      </c>
      <c r="BY138">
        <f ca="1">IF($AN138="",OFFSET(Demand!$A$13,ROW(I135)-1,4+((QUOTIENT(COLUMN(BY$2)-69,3))*5)+MOD(COLUMN(BY$2),3),1,1),"")</f>
        <v>0</v>
      </c>
      <c r="BZ138">
        <f ca="1">IF($AN138="",OFFSET(Demand!$A$13,ROW(J135)-1,4+((QUOTIENT(COLUMN(BZ$2)-69,3))*5)+MOD(COLUMN(BZ$2),3),1,1),"")</f>
        <v>0</v>
      </c>
      <c r="CA138">
        <f ca="1">IF($AN138="",OFFSET(Demand!$A$13,ROW(K135)-1,4+((QUOTIENT(COLUMN(CA$2)-69,3))*5)+MOD(COLUMN(CA$2),3),1,1),"")</f>
        <v>0</v>
      </c>
      <c r="CB138">
        <f ca="1">IF($AN138="",OFFSET(Demand!$A$13,ROW(L135)-1,4+((QUOTIENT(COLUMN(CB$2)-69,3))*5)+MOD(COLUMN(CB$2),3),1,1),"")</f>
        <v>0</v>
      </c>
      <c r="CC138">
        <f ca="1">IF($AN138="",OFFSET(Demand!$A$13,ROW(M135)-1,4+((QUOTIENT(COLUMN(CC$2)-69,3))*5)+MOD(COLUMN(CC$2),3),1,1),"")</f>
        <v>0</v>
      </c>
      <c r="CD138">
        <f ca="1">IF($AN138="",OFFSET(Demand!$A$13,ROW(N135)-1,4+((QUOTIENT(COLUMN(CD$2)-69,3))*5)+MOD(COLUMN(CD$2),3),1,1),"")</f>
        <v>0</v>
      </c>
      <c r="CE138">
        <f ca="1">IF($AN138="",OFFSET(Demand!$A$13,ROW(O135)-1,4+((QUOTIENT(COLUMN(CE$2)-69,3))*5)+MOD(COLUMN(CE$2),3),1,1),"")</f>
        <v>0</v>
      </c>
      <c r="CF138">
        <f ca="1">IF($AN138="",OFFSET(Demand!$A$13,ROW(P135)-1,4+((QUOTIENT(COLUMN(CF$2)-69,3))*5)+MOD(COLUMN(CF$2),3),1,1),"")</f>
        <v>0</v>
      </c>
      <c r="CG138">
        <f ca="1">IF($AN138="",OFFSET(Demand!$A$13,ROW(Q135)-1,4+((QUOTIENT(COLUMN(CG$2)-69,3))*5)+MOD(COLUMN(CG$2),3),1,1),"")</f>
        <v>0</v>
      </c>
      <c r="CH138">
        <f ca="1">IF($AN138="",OFFSET(Demand!$A$13,ROW(R135)-1,4+((QUOTIENT(COLUMN(CH$2)-69,3))*5)+MOD(COLUMN(CH$2),3),1,1),"")</f>
        <v>0</v>
      </c>
      <c r="CI138">
        <f ca="1">IF($AN138="",OFFSET(Demand!$A$13,ROW(S135)-1,4+((QUOTIENT(COLUMN(CI$2)-69,3))*5)+MOD(COLUMN(CI$2),3),1,1),"")</f>
        <v>0</v>
      </c>
      <c r="CJ138">
        <f ca="1">IF($AN138="",OFFSET(Demand!$A$13,ROW(T135)-1,4+((QUOTIENT(COLUMN(CJ$2)-69,3))*5)+MOD(COLUMN(CJ$2),3),1,1),"")</f>
        <v>0</v>
      </c>
      <c r="CK138">
        <f ca="1">IF($AN138="",OFFSET(Demand!$A$13,ROW(U135)-1,4+((QUOTIENT(COLUMN(CK$2)-69,3))*5)+MOD(COLUMN(CK$2),3),1,1),"")</f>
        <v>0</v>
      </c>
      <c r="CL138">
        <f ca="1">IF($AN138="",OFFSET(Demand!$A$13,ROW(V135)-1,4+((QUOTIENT(COLUMN(CL$2)-69,3))*5)+MOD(COLUMN(CL$2),3),1,1),"")</f>
        <v>0</v>
      </c>
      <c r="CM138">
        <f ca="1">IF($AN138="",OFFSET(Demand!$A$13,ROW(W135)-1,4+((QUOTIENT(COLUMN(CM$2)-69,3))*5)+MOD(COLUMN(CM$2),3),1,1),"")</f>
        <v>0</v>
      </c>
      <c r="CN138">
        <f ca="1">IF($AN138="",OFFSET(Demand!$A$13,ROW(X135)-1,4+((QUOTIENT(COLUMN(CN$2)-69,3))*5)+MOD(COLUMN(CN$2),3),1,1),"")</f>
        <v>0</v>
      </c>
      <c r="CO138">
        <f ca="1">IF($AN138="",OFFSET(Demand!$A$13,ROW(Y135)-1,4+((QUOTIENT(COLUMN(CO$2)-69,3))*5)+MOD(COLUMN(CO$2),3),1,1),"")</f>
        <v>0</v>
      </c>
      <c r="CP138">
        <f ca="1">IF($AN138="",OFFSET(Demand!$A$13,ROW(Z135)-1,4+((QUOTIENT(COLUMN(CP$2)-69,3))*5)+MOD(COLUMN(CP$2),3),1,1),"")</f>
        <v>0</v>
      </c>
      <c r="CQ138">
        <f ca="1">IF($AN138="",OFFSET(Demand!$A$13,ROW(AA135)-1,4+((QUOTIENT(COLUMN(CQ$2)-69,3))*5)+MOD(COLUMN(CQ$2),3),1,1),"")</f>
        <v>0</v>
      </c>
      <c r="CR138">
        <f ca="1">IF($AN138="",OFFSET(Demand!$A$13,ROW(AB135)-1,4+((QUOTIENT(COLUMN(CR$2)-69,3))*5)+MOD(COLUMN(CR$2),3),1,1),"")</f>
        <v>0</v>
      </c>
      <c r="CS138">
        <f ca="1">IF($AN138="",OFFSET(Demand!$A$13,ROW(AC135)-1,4+((QUOTIENT(COLUMN(CS$2)-69,3))*5)+MOD(COLUMN(CS$2),3),1,1),"")</f>
        <v>0</v>
      </c>
      <c r="CT138">
        <f ca="1">IF($AN138="",OFFSET(Demand!$A$13,ROW(AD135)-1,4+((QUOTIENT(COLUMN(CT$2)-69,3))*5)+MOD(COLUMN(CT$2),3),1,1),"")</f>
        <v>0</v>
      </c>
      <c r="CW138" s="5">
        <f ca="1">SUM(OFFSET(Demand!$H$43,ROW(A135)-1,(COLUMN(A135)-1)*5,1,1))*N$2</f>
        <v>0</v>
      </c>
      <c r="CX138" s="5">
        <f ca="1">SUM(OFFSET(Demand!$H$43,ROW(B135)-1,(COLUMN(B135)-1)*5,1,1))*O$2</f>
        <v>0</v>
      </c>
      <c r="CY138" s="5">
        <f ca="1">SUM(OFFSET(Demand!$H$43,ROW(C135)-1,(COLUMN(C135)-1)*5,1,1))*P$2</f>
        <v>0</v>
      </c>
      <c r="CZ138" s="5">
        <f ca="1">SUM(OFFSET(Demand!$H$43,ROW(D135)-1,(COLUMN(D135)-1)*5,1,1))*Q$2</f>
        <v>0</v>
      </c>
      <c r="DA138" s="5">
        <f ca="1">SUM(OFFSET(Demand!$H$43,ROW(E135)-1,(COLUMN(E135)-1)*5,1,1))*R$2</f>
        <v>0</v>
      </c>
      <c r="DB138" s="5">
        <f ca="1">SUM(OFFSET(Demand!$H$43,ROW(F135)-1,(COLUMN(F135)-1)*5,1,1))*S$2</f>
        <v>0</v>
      </c>
      <c r="DC138" s="5">
        <f ca="1">SUM(OFFSET(Demand!$H$43,ROW(G135)-1,(COLUMN(G135)-1)*5,1,1))*T$2</f>
        <v>0</v>
      </c>
      <c r="DD138" s="5">
        <f ca="1">SUM(OFFSET(Demand!$H$43,ROW(H135)-1,(COLUMN(H135)-1)*5,1,1))*U$2</f>
        <v>0</v>
      </c>
      <c r="DE138" s="5">
        <f ca="1">SUM(OFFSET(Demand!$H$43,ROW(I135)-1,(COLUMN(I135)-1)*5,1,1))*V$2</f>
        <v>0</v>
      </c>
      <c r="DF138" s="5">
        <f ca="1">SUM(OFFSET(Demand!$H$43,ROW(J135)-1,(COLUMN(J135)-1)*5,1,1))*W$2</f>
        <v>0</v>
      </c>
      <c r="DG138" s="5">
        <f t="shared" ca="1" si="44"/>
        <v>0</v>
      </c>
    </row>
    <row r="139" spans="1:111" x14ac:dyDescent="0.2">
      <c r="A139" s="5">
        <f t="shared" ca="1" si="38"/>
        <v>0</v>
      </c>
      <c r="B139" s="5">
        <f ca="1">COUNTBLANK(OFFSET(Demand!$I148,0,(COLUMN(A136)-1)*5,1,1))</f>
        <v>0</v>
      </c>
      <c r="C139" s="5">
        <f ca="1">COUNTBLANK(OFFSET(Demand!$I148,0,(COLUMN(B136)-1)*5,1,1))</f>
        <v>0</v>
      </c>
      <c r="D139" s="5">
        <f ca="1">COUNTBLANK(OFFSET(Demand!$I148,0,(COLUMN(C136)-1)*5,1,1))</f>
        <v>1</v>
      </c>
      <c r="E139" s="5">
        <f ca="1">COUNTBLANK(OFFSET(Demand!$I148,0,(COLUMN(D136)-1)*5,1,1))</f>
        <v>1</v>
      </c>
      <c r="F139" s="5">
        <f ca="1">COUNTBLANK(OFFSET(Demand!$I148,0,(COLUMN(E136)-1)*5,1,1))</f>
        <v>1</v>
      </c>
      <c r="G139" s="5">
        <f ca="1">COUNTBLANK(OFFSET(Demand!$I148,0,(COLUMN(F136)-1)*5,1,1))</f>
        <v>1</v>
      </c>
      <c r="H139" s="5">
        <f ca="1">COUNTBLANK(OFFSET(Demand!$I148,0,(COLUMN(G136)-1)*5,1,1))</f>
        <v>1</v>
      </c>
      <c r="I139" s="5">
        <f ca="1">COUNTBLANK(OFFSET(Demand!$I148,0,(COLUMN(H136)-1)*5,1,1))</f>
        <v>1</v>
      </c>
      <c r="J139" s="5">
        <f ca="1">COUNTBLANK(OFFSET(Demand!$I148,0,(COLUMN(I136)-1)*5,1,1))</f>
        <v>1</v>
      </c>
      <c r="K139" s="5">
        <f ca="1">COUNTBLANK(OFFSET(Demand!$I148,0,(COLUMN(J136)-1)*5,1,1))</f>
        <v>1</v>
      </c>
      <c r="N139" s="5">
        <f ca="1">SUM(OFFSET(Demand!$E148,0,(COLUMN(A136)-1)*5,1,3))*N$2</f>
        <v>150</v>
      </c>
      <c r="O139" s="5">
        <f ca="1">SUM(OFFSET(Demand!$E148,0,(COLUMN(B136)-1)*5,1,3))*O$2</f>
        <v>320</v>
      </c>
      <c r="P139" s="5">
        <f ca="1">SUM(OFFSET(Demand!$E148,0,(COLUMN(C136)-1)*5,1,3))*P$2</f>
        <v>0</v>
      </c>
      <c r="Q139" s="5">
        <f ca="1">SUM(OFFSET(Demand!$E148,0,(COLUMN(D136)-1)*5,1,3))*Q$2</f>
        <v>0</v>
      </c>
      <c r="R139" s="5">
        <f ca="1">SUM(OFFSET(Demand!$E148,0,(COLUMN(E136)-1)*5,1,3))*R$2</f>
        <v>0</v>
      </c>
      <c r="S139" s="5">
        <f ca="1">SUM(OFFSET(Demand!$E148,0,(COLUMN(F136)-1)*5,1,3))*S$2</f>
        <v>0</v>
      </c>
      <c r="T139" s="5">
        <f ca="1">SUM(OFFSET(Demand!$E148,0,(COLUMN(G136)-1)*5,1,3))*T$2</f>
        <v>0</v>
      </c>
      <c r="U139" s="5">
        <f ca="1">SUM(OFFSET(Demand!$E148,0,(COLUMN(H136)-1)*5,1,3))*U$2</f>
        <v>0</v>
      </c>
      <c r="V139" s="5">
        <f ca="1">SUM(OFFSET(Demand!$E148,0,(COLUMN(I136)-1)*5,1,3))*V$2</f>
        <v>0</v>
      </c>
      <c r="W139" s="5">
        <f ca="1">SUM(OFFSET(Demand!$E148,0,(COLUMN(J136)-1)*5,1,3))*W$2</f>
        <v>0</v>
      </c>
      <c r="X139" s="5">
        <f t="shared" ca="1" si="39"/>
        <v>470</v>
      </c>
      <c r="Y139">
        <f t="shared" ca="1" si="40"/>
        <v>470</v>
      </c>
      <c r="Z139" s="5">
        <f ca="1">SUM(OFFSET(Demand!$H148,0,(COLUMN(A136)-1)*5,1,1))*N$2</f>
        <v>0</v>
      </c>
      <c r="AA139" s="5">
        <f ca="1">SUM(OFFSET(Demand!$H148,0,(COLUMN(B136)-1)*5,1,1))*O$2</f>
        <v>0</v>
      </c>
      <c r="AB139" s="5">
        <f ca="1">SUM(OFFSET(Demand!$H148,0,(COLUMN(C136)-1)*5,1,1))*P$2</f>
        <v>0</v>
      </c>
      <c r="AC139" s="5">
        <f ca="1">SUM(OFFSET(Demand!$H148,0,(COLUMN(D136)-1)*5,1,1))*Q$2</f>
        <v>0</v>
      </c>
      <c r="AD139" s="5">
        <f ca="1">SUM(OFFSET(Demand!$H148,0,(COLUMN(E136)-1)*5,1,1))*R$2</f>
        <v>0</v>
      </c>
      <c r="AE139" s="5">
        <f ca="1">SUM(OFFSET(Demand!$H148,0,(COLUMN(F136)-1)*5,1,1))*S$2</f>
        <v>0</v>
      </c>
      <c r="AF139" s="5">
        <f ca="1">SUM(OFFSET(Demand!$H148,0,(COLUMN(G136)-1)*5,1,1))*T$2</f>
        <v>0</v>
      </c>
      <c r="AG139" s="5">
        <f ca="1">SUM(OFFSET(Demand!$H148,0,(COLUMN(H136)-1)*5,1,1))*U$2</f>
        <v>0</v>
      </c>
      <c r="AH139" s="5">
        <f ca="1">SUM(OFFSET(Demand!$H148,0,(COLUMN(I136)-1)*5,1,1))*V$2</f>
        <v>0</v>
      </c>
      <c r="AI139" s="5">
        <f ca="1">SUM(OFFSET(Demand!$H148,0,(COLUMN(J136)-1)*5,1,1))*W$2</f>
        <v>0</v>
      </c>
      <c r="AJ139" s="5">
        <f t="shared" ca="1" si="41"/>
        <v>0</v>
      </c>
      <c r="AL139" s="5">
        <f t="shared" ca="1" si="42"/>
        <v>470</v>
      </c>
      <c r="AM139" s="5">
        <f t="shared" ca="1" si="43"/>
        <v>0</v>
      </c>
      <c r="AN139" s="5" t="str">
        <f>IF(Demand!BE148="Yes","Yes","")</f>
        <v/>
      </c>
      <c r="AP139" s="37" t="str">
        <f ca="1">Demand!B148</f>
        <v xml:space="preserve"> </v>
      </c>
      <c r="AQ139" t="str">
        <f ca="1">IF(TEXT(Demand!D148,"MMM")&lt;&gt;TEXT(Demand!D147,"MMM"),TEXT(Demand!D148,"MMM"),"")</f>
        <v>Nov</v>
      </c>
      <c r="AT139" s="5">
        <f t="shared" ca="1" si="45"/>
        <v>10</v>
      </c>
      <c r="BQ139">
        <f ca="1">IF($AN139="",OFFSET(Demand!$A$13,ROW(A136)-1,4+((QUOTIENT(COLUMN(BQ$2)-69,3))*5)+MOD(COLUMN(BQ$2),3),1,1),"")</f>
        <v>0</v>
      </c>
      <c r="BR139">
        <f ca="1">IF($AN139="",OFFSET(Demand!$A$13,ROW(B136)-1,4+((QUOTIENT(COLUMN(BR$2)-69,3))*5)+MOD(COLUMN(BR$2),3),1,1),"")</f>
        <v>1</v>
      </c>
      <c r="BS139">
        <f ca="1">IF($AN139="",OFFSET(Demand!$A$13,ROW(C136)-1,4+((QUOTIENT(COLUMN(BS$2)-69,3))*5)+MOD(COLUMN(BS$2),3),1,1),"")</f>
        <v>4</v>
      </c>
      <c r="BT139">
        <f ca="1">IF($AN139="",OFFSET(Demand!$A$13,ROW(D136)-1,4+((QUOTIENT(COLUMN(BT$2)-69,3))*5)+MOD(COLUMN(BT$2),3),1,1),"")</f>
        <v>0</v>
      </c>
      <c r="BU139">
        <f ca="1">IF($AN139="",OFFSET(Demand!$A$13,ROW(E136)-1,4+((QUOTIENT(COLUMN(BU$2)-69,3))*5)+MOD(COLUMN(BU$2),3),1,1),"")</f>
        <v>3</v>
      </c>
      <c r="BV139">
        <f ca="1">IF($AN139="",OFFSET(Demand!$A$13,ROW(F136)-1,4+((QUOTIENT(COLUMN(BV$2)-69,3))*5)+MOD(COLUMN(BV$2),3),1,1),"")</f>
        <v>5</v>
      </c>
      <c r="BW139">
        <f ca="1">IF($AN139="",OFFSET(Demand!$A$13,ROW(G136)-1,4+((QUOTIENT(COLUMN(BW$2)-69,3))*5)+MOD(COLUMN(BW$2),3),1,1),"")</f>
        <v>0</v>
      </c>
      <c r="BX139">
        <f ca="1">IF($AN139="",OFFSET(Demand!$A$13,ROW(H136)-1,4+((QUOTIENT(COLUMN(BX$2)-69,3))*5)+MOD(COLUMN(BX$2),3),1,1),"")</f>
        <v>0</v>
      </c>
      <c r="BY139">
        <f ca="1">IF($AN139="",OFFSET(Demand!$A$13,ROW(I136)-1,4+((QUOTIENT(COLUMN(BY$2)-69,3))*5)+MOD(COLUMN(BY$2),3),1,1),"")</f>
        <v>0</v>
      </c>
      <c r="BZ139">
        <f ca="1">IF($AN139="",OFFSET(Demand!$A$13,ROW(J136)-1,4+((QUOTIENT(COLUMN(BZ$2)-69,3))*5)+MOD(COLUMN(BZ$2),3),1,1),"")</f>
        <v>0</v>
      </c>
      <c r="CA139">
        <f ca="1">IF($AN139="",OFFSET(Demand!$A$13,ROW(K136)-1,4+((QUOTIENT(COLUMN(CA$2)-69,3))*5)+MOD(COLUMN(CA$2),3),1,1),"")</f>
        <v>0</v>
      </c>
      <c r="CB139">
        <f ca="1">IF($AN139="",OFFSET(Demand!$A$13,ROW(L136)-1,4+((QUOTIENT(COLUMN(CB$2)-69,3))*5)+MOD(COLUMN(CB$2),3),1,1),"")</f>
        <v>0</v>
      </c>
      <c r="CC139">
        <f ca="1">IF($AN139="",OFFSET(Demand!$A$13,ROW(M136)-1,4+((QUOTIENT(COLUMN(CC$2)-69,3))*5)+MOD(COLUMN(CC$2),3),1,1),"")</f>
        <v>0</v>
      </c>
      <c r="CD139">
        <f ca="1">IF($AN139="",OFFSET(Demand!$A$13,ROW(N136)-1,4+((QUOTIENT(COLUMN(CD$2)-69,3))*5)+MOD(COLUMN(CD$2),3),1,1),"")</f>
        <v>0</v>
      </c>
      <c r="CE139">
        <f ca="1">IF($AN139="",OFFSET(Demand!$A$13,ROW(O136)-1,4+((QUOTIENT(COLUMN(CE$2)-69,3))*5)+MOD(COLUMN(CE$2),3),1,1),"")</f>
        <v>0</v>
      </c>
      <c r="CF139">
        <f ca="1">IF($AN139="",OFFSET(Demand!$A$13,ROW(P136)-1,4+((QUOTIENT(COLUMN(CF$2)-69,3))*5)+MOD(COLUMN(CF$2),3),1,1),"")</f>
        <v>0</v>
      </c>
      <c r="CG139">
        <f ca="1">IF($AN139="",OFFSET(Demand!$A$13,ROW(Q136)-1,4+((QUOTIENT(COLUMN(CG$2)-69,3))*5)+MOD(COLUMN(CG$2),3),1,1),"")</f>
        <v>0</v>
      </c>
      <c r="CH139">
        <f ca="1">IF($AN139="",OFFSET(Demand!$A$13,ROW(R136)-1,4+((QUOTIENT(COLUMN(CH$2)-69,3))*5)+MOD(COLUMN(CH$2),3),1,1),"")</f>
        <v>0</v>
      </c>
      <c r="CI139">
        <f ca="1">IF($AN139="",OFFSET(Demand!$A$13,ROW(S136)-1,4+((QUOTIENT(COLUMN(CI$2)-69,3))*5)+MOD(COLUMN(CI$2),3),1,1),"")</f>
        <v>0</v>
      </c>
      <c r="CJ139">
        <f ca="1">IF($AN139="",OFFSET(Demand!$A$13,ROW(T136)-1,4+((QUOTIENT(COLUMN(CJ$2)-69,3))*5)+MOD(COLUMN(CJ$2),3),1,1),"")</f>
        <v>0</v>
      </c>
      <c r="CK139">
        <f ca="1">IF($AN139="",OFFSET(Demand!$A$13,ROW(U136)-1,4+((QUOTIENT(COLUMN(CK$2)-69,3))*5)+MOD(COLUMN(CK$2),3),1,1),"")</f>
        <v>0</v>
      </c>
      <c r="CL139">
        <f ca="1">IF($AN139="",OFFSET(Demand!$A$13,ROW(V136)-1,4+((QUOTIENT(COLUMN(CL$2)-69,3))*5)+MOD(COLUMN(CL$2),3),1,1),"")</f>
        <v>0</v>
      </c>
      <c r="CM139">
        <f ca="1">IF($AN139="",OFFSET(Demand!$A$13,ROW(W136)-1,4+((QUOTIENT(COLUMN(CM$2)-69,3))*5)+MOD(COLUMN(CM$2),3),1,1),"")</f>
        <v>0</v>
      </c>
      <c r="CN139">
        <f ca="1">IF($AN139="",OFFSET(Demand!$A$13,ROW(X136)-1,4+((QUOTIENT(COLUMN(CN$2)-69,3))*5)+MOD(COLUMN(CN$2),3),1,1),"")</f>
        <v>0</v>
      </c>
      <c r="CO139">
        <f ca="1">IF($AN139="",OFFSET(Demand!$A$13,ROW(Y136)-1,4+((QUOTIENT(COLUMN(CO$2)-69,3))*5)+MOD(COLUMN(CO$2),3),1,1),"")</f>
        <v>0</v>
      </c>
      <c r="CP139">
        <f ca="1">IF($AN139="",OFFSET(Demand!$A$13,ROW(Z136)-1,4+((QUOTIENT(COLUMN(CP$2)-69,3))*5)+MOD(COLUMN(CP$2),3),1,1),"")</f>
        <v>0</v>
      </c>
      <c r="CQ139">
        <f ca="1">IF($AN139="",OFFSET(Demand!$A$13,ROW(AA136)-1,4+((QUOTIENT(COLUMN(CQ$2)-69,3))*5)+MOD(COLUMN(CQ$2),3),1,1),"")</f>
        <v>0</v>
      </c>
      <c r="CR139">
        <f ca="1">IF($AN139="",OFFSET(Demand!$A$13,ROW(AB136)-1,4+((QUOTIENT(COLUMN(CR$2)-69,3))*5)+MOD(COLUMN(CR$2),3),1,1),"")</f>
        <v>0</v>
      </c>
      <c r="CS139">
        <f ca="1">IF($AN139="",OFFSET(Demand!$A$13,ROW(AC136)-1,4+((QUOTIENT(COLUMN(CS$2)-69,3))*5)+MOD(COLUMN(CS$2),3),1,1),"")</f>
        <v>0</v>
      </c>
      <c r="CT139">
        <f ca="1">IF($AN139="",OFFSET(Demand!$A$13,ROW(AD136)-1,4+((QUOTIENT(COLUMN(CT$2)-69,3))*5)+MOD(COLUMN(CT$2),3),1,1),"")</f>
        <v>0</v>
      </c>
      <c r="CW139" s="5">
        <f ca="1">SUM(OFFSET(Demand!$H$43,ROW(A136)-1,(COLUMN(A136)-1)*5,1,1))*N$2</f>
        <v>0</v>
      </c>
      <c r="CX139" s="5">
        <f ca="1">SUM(OFFSET(Demand!$H$43,ROW(B136)-1,(COLUMN(B136)-1)*5,1,1))*O$2</f>
        <v>0</v>
      </c>
      <c r="CY139" s="5">
        <f ca="1">SUM(OFFSET(Demand!$H$43,ROW(C136)-1,(COLUMN(C136)-1)*5,1,1))*P$2</f>
        <v>0</v>
      </c>
      <c r="CZ139" s="5">
        <f ca="1">SUM(OFFSET(Demand!$H$43,ROW(D136)-1,(COLUMN(D136)-1)*5,1,1))*Q$2</f>
        <v>0</v>
      </c>
      <c r="DA139" s="5">
        <f ca="1">SUM(OFFSET(Demand!$H$43,ROW(E136)-1,(COLUMN(E136)-1)*5,1,1))*R$2</f>
        <v>0</v>
      </c>
      <c r="DB139" s="5">
        <f ca="1">SUM(OFFSET(Demand!$H$43,ROW(F136)-1,(COLUMN(F136)-1)*5,1,1))*S$2</f>
        <v>0</v>
      </c>
      <c r="DC139" s="5">
        <f ca="1">SUM(OFFSET(Demand!$H$43,ROW(G136)-1,(COLUMN(G136)-1)*5,1,1))*T$2</f>
        <v>0</v>
      </c>
      <c r="DD139" s="5">
        <f ca="1">SUM(OFFSET(Demand!$H$43,ROW(H136)-1,(COLUMN(H136)-1)*5,1,1))*U$2</f>
        <v>0</v>
      </c>
      <c r="DE139" s="5">
        <f ca="1">SUM(OFFSET(Demand!$H$43,ROW(I136)-1,(COLUMN(I136)-1)*5,1,1))*V$2</f>
        <v>0</v>
      </c>
      <c r="DF139" s="5">
        <f ca="1">SUM(OFFSET(Demand!$H$43,ROW(J136)-1,(COLUMN(J136)-1)*5,1,1))*W$2</f>
        <v>0</v>
      </c>
      <c r="DG139" s="5">
        <f t="shared" ca="1" si="44"/>
        <v>0</v>
      </c>
    </row>
    <row r="140" spans="1:111" x14ac:dyDescent="0.2">
      <c r="A140" s="5">
        <f t="shared" ca="1" si="38"/>
        <v>0</v>
      </c>
      <c r="B140" s="5">
        <f ca="1">COUNTBLANK(OFFSET(Demand!$I149,0,(COLUMN(A137)-1)*5,1,1))</f>
        <v>0</v>
      </c>
      <c r="C140" s="5">
        <f ca="1">COUNTBLANK(OFFSET(Demand!$I149,0,(COLUMN(B137)-1)*5,1,1))</f>
        <v>0</v>
      </c>
      <c r="D140" s="5">
        <f ca="1">COUNTBLANK(OFFSET(Demand!$I149,0,(COLUMN(C137)-1)*5,1,1))</f>
        <v>1</v>
      </c>
      <c r="E140" s="5">
        <f ca="1">COUNTBLANK(OFFSET(Demand!$I149,0,(COLUMN(D137)-1)*5,1,1))</f>
        <v>1</v>
      </c>
      <c r="F140" s="5">
        <f ca="1">COUNTBLANK(OFFSET(Demand!$I149,0,(COLUMN(E137)-1)*5,1,1))</f>
        <v>1</v>
      </c>
      <c r="G140" s="5">
        <f ca="1">COUNTBLANK(OFFSET(Demand!$I149,0,(COLUMN(F137)-1)*5,1,1))</f>
        <v>1</v>
      </c>
      <c r="H140" s="5">
        <f ca="1">COUNTBLANK(OFFSET(Demand!$I149,0,(COLUMN(G137)-1)*5,1,1))</f>
        <v>1</v>
      </c>
      <c r="I140" s="5">
        <f ca="1">COUNTBLANK(OFFSET(Demand!$I149,0,(COLUMN(H137)-1)*5,1,1))</f>
        <v>1</v>
      </c>
      <c r="J140" s="5">
        <f ca="1">COUNTBLANK(OFFSET(Demand!$I149,0,(COLUMN(I137)-1)*5,1,1))</f>
        <v>1</v>
      </c>
      <c r="K140" s="5">
        <f ca="1">COUNTBLANK(OFFSET(Demand!$I149,0,(COLUMN(J137)-1)*5,1,1))</f>
        <v>1</v>
      </c>
      <c r="N140" s="5">
        <f ca="1">SUM(OFFSET(Demand!$E149,0,(COLUMN(A137)-1)*5,1,3))*N$2</f>
        <v>210</v>
      </c>
      <c r="O140" s="5">
        <f ca="1">SUM(OFFSET(Demand!$E149,0,(COLUMN(B137)-1)*5,1,3))*O$2</f>
        <v>280</v>
      </c>
      <c r="P140" s="5">
        <f ca="1">SUM(OFFSET(Demand!$E149,0,(COLUMN(C137)-1)*5,1,3))*P$2</f>
        <v>0</v>
      </c>
      <c r="Q140" s="5">
        <f ca="1">SUM(OFFSET(Demand!$E149,0,(COLUMN(D137)-1)*5,1,3))*Q$2</f>
        <v>0</v>
      </c>
      <c r="R140" s="5">
        <f ca="1">SUM(OFFSET(Demand!$E149,0,(COLUMN(E137)-1)*5,1,3))*R$2</f>
        <v>0</v>
      </c>
      <c r="S140" s="5">
        <f ca="1">SUM(OFFSET(Demand!$E149,0,(COLUMN(F137)-1)*5,1,3))*S$2</f>
        <v>0</v>
      </c>
      <c r="T140" s="5">
        <f ca="1">SUM(OFFSET(Demand!$E149,0,(COLUMN(G137)-1)*5,1,3))*T$2</f>
        <v>0</v>
      </c>
      <c r="U140" s="5">
        <f ca="1">SUM(OFFSET(Demand!$E149,0,(COLUMN(H137)-1)*5,1,3))*U$2</f>
        <v>0</v>
      </c>
      <c r="V140" s="5">
        <f ca="1">SUM(OFFSET(Demand!$E149,0,(COLUMN(I137)-1)*5,1,3))*V$2</f>
        <v>0</v>
      </c>
      <c r="W140" s="5">
        <f ca="1">SUM(OFFSET(Demand!$E149,0,(COLUMN(J137)-1)*5,1,3))*W$2</f>
        <v>0</v>
      </c>
      <c r="X140" s="5">
        <f t="shared" ca="1" si="39"/>
        <v>490</v>
      </c>
      <c r="Y140">
        <f t="shared" ca="1" si="40"/>
        <v>490</v>
      </c>
      <c r="Z140" s="5">
        <f ca="1">SUM(OFFSET(Demand!$H149,0,(COLUMN(A137)-1)*5,1,1))*N$2</f>
        <v>0</v>
      </c>
      <c r="AA140" s="5">
        <f ca="1">SUM(OFFSET(Demand!$H149,0,(COLUMN(B137)-1)*5,1,1))*O$2</f>
        <v>0</v>
      </c>
      <c r="AB140" s="5">
        <f ca="1">SUM(OFFSET(Demand!$H149,0,(COLUMN(C137)-1)*5,1,1))*P$2</f>
        <v>0</v>
      </c>
      <c r="AC140" s="5">
        <f ca="1">SUM(OFFSET(Demand!$H149,0,(COLUMN(D137)-1)*5,1,1))*Q$2</f>
        <v>0</v>
      </c>
      <c r="AD140" s="5">
        <f ca="1">SUM(OFFSET(Demand!$H149,0,(COLUMN(E137)-1)*5,1,1))*R$2</f>
        <v>0</v>
      </c>
      <c r="AE140" s="5">
        <f ca="1">SUM(OFFSET(Demand!$H149,0,(COLUMN(F137)-1)*5,1,1))*S$2</f>
        <v>0</v>
      </c>
      <c r="AF140" s="5">
        <f ca="1">SUM(OFFSET(Demand!$H149,0,(COLUMN(G137)-1)*5,1,1))*T$2</f>
        <v>0</v>
      </c>
      <c r="AG140" s="5">
        <f ca="1">SUM(OFFSET(Demand!$H149,0,(COLUMN(H137)-1)*5,1,1))*U$2</f>
        <v>0</v>
      </c>
      <c r="AH140" s="5">
        <f ca="1">SUM(OFFSET(Demand!$H149,0,(COLUMN(I137)-1)*5,1,1))*V$2</f>
        <v>0</v>
      </c>
      <c r="AI140" s="5">
        <f ca="1">SUM(OFFSET(Demand!$H149,0,(COLUMN(J137)-1)*5,1,1))*W$2</f>
        <v>0</v>
      </c>
      <c r="AJ140" s="5">
        <f t="shared" ca="1" si="41"/>
        <v>0</v>
      </c>
      <c r="AL140" s="5">
        <f t="shared" ca="1" si="42"/>
        <v>490</v>
      </c>
      <c r="AM140" s="5">
        <f t="shared" ca="1" si="43"/>
        <v>0</v>
      </c>
      <c r="AN140" s="5" t="str">
        <f>IF(Demand!BE149="Yes","Yes","")</f>
        <v/>
      </c>
      <c r="AP140" s="37" t="str">
        <f ca="1">Demand!B149</f>
        <v xml:space="preserve"> </v>
      </c>
      <c r="AQ140" t="str">
        <f ca="1">IF(TEXT(Demand!D149,"MMM")&lt;&gt;TEXT(Demand!D148,"MMM"),TEXT(Demand!D149,"MMM"),"")</f>
        <v/>
      </c>
      <c r="AT140" s="5">
        <f t="shared" ca="1" si="45"/>
        <v>20</v>
      </c>
      <c r="BQ140">
        <f ca="1">IF($AN140="",OFFSET(Demand!$A$13,ROW(A137)-1,4+((QUOTIENT(COLUMN(BQ$2)-69,3))*5)+MOD(COLUMN(BQ$2),3),1,1),"")</f>
        <v>0</v>
      </c>
      <c r="BR140">
        <f ca="1">IF($AN140="",OFFSET(Demand!$A$13,ROW(B137)-1,4+((QUOTIENT(COLUMN(BR$2)-69,3))*5)+MOD(COLUMN(BR$2),3),1,1),"")</f>
        <v>3</v>
      </c>
      <c r="BS140">
        <f ca="1">IF($AN140="",OFFSET(Demand!$A$13,ROW(C137)-1,4+((QUOTIENT(COLUMN(BS$2)-69,3))*5)+MOD(COLUMN(BS$2),3),1,1),"")</f>
        <v>4</v>
      </c>
      <c r="BT140">
        <f ca="1">IF($AN140="",OFFSET(Demand!$A$13,ROW(D137)-1,4+((QUOTIENT(COLUMN(BT$2)-69,3))*5)+MOD(COLUMN(BT$2),3),1,1),"")</f>
        <v>0</v>
      </c>
      <c r="BU140">
        <f ca="1">IF($AN140="",OFFSET(Demand!$A$13,ROW(E137)-1,4+((QUOTIENT(COLUMN(BU$2)-69,3))*5)+MOD(COLUMN(BU$2),3),1,1),"")</f>
        <v>0</v>
      </c>
      <c r="BV140">
        <f ca="1">IF($AN140="",OFFSET(Demand!$A$13,ROW(F137)-1,4+((QUOTIENT(COLUMN(BV$2)-69,3))*5)+MOD(COLUMN(BV$2),3),1,1),"")</f>
        <v>7</v>
      </c>
      <c r="BW140">
        <f ca="1">IF($AN140="",OFFSET(Demand!$A$13,ROW(G137)-1,4+((QUOTIENT(COLUMN(BW$2)-69,3))*5)+MOD(COLUMN(BW$2),3),1,1),"")</f>
        <v>0</v>
      </c>
      <c r="BX140">
        <f ca="1">IF($AN140="",OFFSET(Demand!$A$13,ROW(H137)-1,4+((QUOTIENT(COLUMN(BX$2)-69,3))*5)+MOD(COLUMN(BX$2),3),1,1),"")</f>
        <v>0</v>
      </c>
      <c r="BY140">
        <f ca="1">IF($AN140="",OFFSET(Demand!$A$13,ROW(I137)-1,4+((QUOTIENT(COLUMN(BY$2)-69,3))*5)+MOD(COLUMN(BY$2),3),1,1),"")</f>
        <v>0</v>
      </c>
      <c r="BZ140">
        <f ca="1">IF($AN140="",OFFSET(Demand!$A$13,ROW(J137)-1,4+((QUOTIENT(COLUMN(BZ$2)-69,3))*5)+MOD(COLUMN(BZ$2),3),1,1),"")</f>
        <v>0</v>
      </c>
      <c r="CA140">
        <f ca="1">IF($AN140="",OFFSET(Demand!$A$13,ROW(K137)-1,4+((QUOTIENT(COLUMN(CA$2)-69,3))*5)+MOD(COLUMN(CA$2),3),1,1),"")</f>
        <v>0</v>
      </c>
      <c r="CB140">
        <f ca="1">IF($AN140="",OFFSET(Demand!$A$13,ROW(L137)-1,4+((QUOTIENT(COLUMN(CB$2)-69,3))*5)+MOD(COLUMN(CB$2),3),1,1),"")</f>
        <v>0</v>
      </c>
      <c r="CC140">
        <f ca="1">IF($AN140="",OFFSET(Demand!$A$13,ROW(M137)-1,4+((QUOTIENT(COLUMN(CC$2)-69,3))*5)+MOD(COLUMN(CC$2),3),1,1),"")</f>
        <v>0</v>
      </c>
      <c r="CD140">
        <f ca="1">IF($AN140="",OFFSET(Demand!$A$13,ROW(N137)-1,4+((QUOTIENT(COLUMN(CD$2)-69,3))*5)+MOD(COLUMN(CD$2),3),1,1),"")</f>
        <v>0</v>
      </c>
      <c r="CE140">
        <f ca="1">IF($AN140="",OFFSET(Demand!$A$13,ROW(O137)-1,4+((QUOTIENT(COLUMN(CE$2)-69,3))*5)+MOD(COLUMN(CE$2),3),1,1),"")</f>
        <v>0</v>
      </c>
      <c r="CF140">
        <f ca="1">IF($AN140="",OFFSET(Demand!$A$13,ROW(P137)-1,4+((QUOTIENT(COLUMN(CF$2)-69,3))*5)+MOD(COLUMN(CF$2),3),1,1),"")</f>
        <v>0</v>
      </c>
      <c r="CG140">
        <f ca="1">IF($AN140="",OFFSET(Demand!$A$13,ROW(Q137)-1,4+((QUOTIENT(COLUMN(CG$2)-69,3))*5)+MOD(COLUMN(CG$2),3),1,1),"")</f>
        <v>0</v>
      </c>
      <c r="CH140">
        <f ca="1">IF($AN140="",OFFSET(Demand!$A$13,ROW(R137)-1,4+((QUOTIENT(COLUMN(CH$2)-69,3))*5)+MOD(COLUMN(CH$2),3),1,1),"")</f>
        <v>0</v>
      </c>
      <c r="CI140">
        <f ca="1">IF($AN140="",OFFSET(Demand!$A$13,ROW(S137)-1,4+((QUOTIENT(COLUMN(CI$2)-69,3))*5)+MOD(COLUMN(CI$2),3),1,1),"")</f>
        <v>0</v>
      </c>
      <c r="CJ140">
        <f ca="1">IF($AN140="",OFFSET(Demand!$A$13,ROW(T137)-1,4+((QUOTIENT(COLUMN(CJ$2)-69,3))*5)+MOD(COLUMN(CJ$2),3),1,1),"")</f>
        <v>0</v>
      </c>
      <c r="CK140">
        <f ca="1">IF($AN140="",OFFSET(Demand!$A$13,ROW(U137)-1,4+((QUOTIENT(COLUMN(CK$2)-69,3))*5)+MOD(COLUMN(CK$2),3),1,1),"")</f>
        <v>0</v>
      </c>
      <c r="CL140">
        <f ca="1">IF($AN140="",OFFSET(Demand!$A$13,ROW(V137)-1,4+((QUOTIENT(COLUMN(CL$2)-69,3))*5)+MOD(COLUMN(CL$2),3),1,1),"")</f>
        <v>0</v>
      </c>
      <c r="CM140">
        <f ca="1">IF($AN140="",OFFSET(Demand!$A$13,ROW(W137)-1,4+((QUOTIENT(COLUMN(CM$2)-69,3))*5)+MOD(COLUMN(CM$2),3),1,1),"")</f>
        <v>0</v>
      </c>
      <c r="CN140">
        <f ca="1">IF($AN140="",OFFSET(Demand!$A$13,ROW(X137)-1,4+((QUOTIENT(COLUMN(CN$2)-69,3))*5)+MOD(COLUMN(CN$2),3),1,1),"")</f>
        <v>0</v>
      </c>
      <c r="CO140">
        <f ca="1">IF($AN140="",OFFSET(Demand!$A$13,ROW(Y137)-1,4+((QUOTIENT(COLUMN(CO$2)-69,3))*5)+MOD(COLUMN(CO$2),3),1,1),"")</f>
        <v>0</v>
      </c>
      <c r="CP140">
        <f ca="1">IF($AN140="",OFFSET(Demand!$A$13,ROW(Z137)-1,4+((QUOTIENT(COLUMN(CP$2)-69,3))*5)+MOD(COLUMN(CP$2),3),1,1),"")</f>
        <v>0</v>
      </c>
      <c r="CQ140">
        <f ca="1">IF($AN140="",OFFSET(Demand!$A$13,ROW(AA137)-1,4+((QUOTIENT(COLUMN(CQ$2)-69,3))*5)+MOD(COLUMN(CQ$2),3),1,1),"")</f>
        <v>0</v>
      </c>
      <c r="CR140">
        <f ca="1">IF($AN140="",OFFSET(Demand!$A$13,ROW(AB137)-1,4+((QUOTIENT(COLUMN(CR$2)-69,3))*5)+MOD(COLUMN(CR$2),3),1,1),"")</f>
        <v>0</v>
      </c>
      <c r="CS140">
        <f ca="1">IF($AN140="",OFFSET(Demand!$A$13,ROW(AC137)-1,4+((QUOTIENT(COLUMN(CS$2)-69,3))*5)+MOD(COLUMN(CS$2),3),1,1),"")</f>
        <v>0</v>
      </c>
      <c r="CT140">
        <f ca="1">IF($AN140="",OFFSET(Demand!$A$13,ROW(AD137)-1,4+((QUOTIENT(COLUMN(CT$2)-69,3))*5)+MOD(COLUMN(CT$2),3),1,1),"")</f>
        <v>0</v>
      </c>
      <c r="CW140" s="5">
        <f ca="1">SUM(OFFSET(Demand!$H$43,ROW(A137)-1,(COLUMN(A137)-1)*5,1,1))*N$2</f>
        <v>0</v>
      </c>
      <c r="CX140" s="5">
        <f ca="1">SUM(OFFSET(Demand!$H$43,ROW(B137)-1,(COLUMN(B137)-1)*5,1,1))*O$2</f>
        <v>0</v>
      </c>
      <c r="CY140" s="5">
        <f ca="1">SUM(OFFSET(Demand!$H$43,ROW(C137)-1,(COLUMN(C137)-1)*5,1,1))*P$2</f>
        <v>0</v>
      </c>
      <c r="CZ140" s="5">
        <f ca="1">SUM(OFFSET(Demand!$H$43,ROW(D137)-1,(COLUMN(D137)-1)*5,1,1))*Q$2</f>
        <v>0</v>
      </c>
      <c r="DA140" s="5">
        <f ca="1">SUM(OFFSET(Demand!$H$43,ROW(E137)-1,(COLUMN(E137)-1)*5,1,1))*R$2</f>
        <v>0</v>
      </c>
      <c r="DB140" s="5">
        <f ca="1">SUM(OFFSET(Demand!$H$43,ROW(F137)-1,(COLUMN(F137)-1)*5,1,1))*S$2</f>
        <v>0</v>
      </c>
      <c r="DC140" s="5">
        <f ca="1">SUM(OFFSET(Demand!$H$43,ROW(G137)-1,(COLUMN(G137)-1)*5,1,1))*T$2</f>
        <v>0</v>
      </c>
      <c r="DD140" s="5">
        <f ca="1">SUM(OFFSET(Demand!$H$43,ROW(H137)-1,(COLUMN(H137)-1)*5,1,1))*U$2</f>
        <v>0</v>
      </c>
      <c r="DE140" s="5">
        <f ca="1">SUM(OFFSET(Demand!$H$43,ROW(I137)-1,(COLUMN(I137)-1)*5,1,1))*V$2</f>
        <v>0</v>
      </c>
      <c r="DF140" s="5">
        <f ca="1">SUM(OFFSET(Demand!$H$43,ROW(J137)-1,(COLUMN(J137)-1)*5,1,1))*W$2</f>
        <v>0</v>
      </c>
      <c r="DG140" s="5">
        <f t="shared" ca="1" si="44"/>
        <v>0</v>
      </c>
    </row>
    <row r="141" spans="1:111" x14ac:dyDescent="0.2">
      <c r="A141" s="5">
        <f t="shared" ca="1" si="38"/>
        <v>0</v>
      </c>
      <c r="B141" s="5">
        <f ca="1">COUNTBLANK(OFFSET(Demand!$I150,0,(COLUMN(A138)-1)*5,1,1))</f>
        <v>0</v>
      </c>
      <c r="C141" s="5">
        <f ca="1">COUNTBLANK(OFFSET(Demand!$I150,0,(COLUMN(B138)-1)*5,1,1))</f>
        <v>0</v>
      </c>
      <c r="D141" s="5">
        <f ca="1">COUNTBLANK(OFFSET(Demand!$I150,0,(COLUMN(C138)-1)*5,1,1))</f>
        <v>1</v>
      </c>
      <c r="E141" s="5">
        <f ca="1">COUNTBLANK(OFFSET(Demand!$I150,0,(COLUMN(D138)-1)*5,1,1))</f>
        <v>1</v>
      </c>
      <c r="F141" s="5">
        <f ca="1">COUNTBLANK(OFFSET(Demand!$I150,0,(COLUMN(E138)-1)*5,1,1))</f>
        <v>1</v>
      </c>
      <c r="G141" s="5">
        <f ca="1">COUNTBLANK(OFFSET(Demand!$I150,0,(COLUMN(F138)-1)*5,1,1))</f>
        <v>1</v>
      </c>
      <c r="H141" s="5">
        <f ca="1">COUNTBLANK(OFFSET(Demand!$I150,0,(COLUMN(G138)-1)*5,1,1))</f>
        <v>1</v>
      </c>
      <c r="I141" s="5">
        <f ca="1">COUNTBLANK(OFFSET(Demand!$I150,0,(COLUMN(H138)-1)*5,1,1))</f>
        <v>1</v>
      </c>
      <c r="J141" s="5">
        <f ca="1">COUNTBLANK(OFFSET(Demand!$I150,0,(COLUMN(I138)-1)*5,1,1))</f>
        <v>1</v>
      </c>
      <c r="K141" s="5">
        <f ca="1">COUNTBLANK(OFFSET(Demand!$I150,0,(COLUMN(J138)-1)*5,1,1))</f>
        <v>1</v>
      </c>
      <c r="N141" s="5">
        <f ca="1">SUM(OFFSET(Demand!$E150,0,(COLUMN(A138)-1)*5,1,3))*N$2</f>
        <v>150</v>
      </c>
      <c r="O141" s="5">
        <f ca="1">SUM(OFFSET(Demand!$E150,0,(COLUMN(B138)-1)*5,1,3))*O$2</f>
        <v>280</v>
      </c>
      <c r="P141" s="5">
        <f ca="1">SUM(OFFSET(Demand!$E150,0,(COLUMN(C138)-1)*5,1,3))*P$2</f>
        <v>0</v>
      </c>
      <c r="Q141" s="5">
        <f ca="1">SUM(OFFSET(Demand!$E150,0,(COLUMN(D138)-1)*5,1,3))*Q$2</f>
        <v>0</v>
      </c>
      <c r="R141" s="5">
        <f ca="1">SUM(OFFSET(Demand!$E150,0,(COLUMN(E138)-1)*5,1,3))*R$2</f>
        <v>0</v>
      </c>
      <c r="S141" s="5">
        <f ca="1">SUM(OFFSET(Demand!$E150,0,(COLUMN(F138)-1)*5,1,3))*S$2</f>
        <v>0</v>
      </c>
      <c r="T141" s="5">
        <f ca="1">SUM(OFFSET(Demand!$E150,0,(COLUMN(G138)-1)*5,1,3))*T$2</f>
        <v>0</v>
      </c>
      <c r="U141" s="5">
        <f ca="1">SUM(OFFSET(Demand!$E150,0,(COLUMN(H138)-1)*5,1,3))*U$2</f>
        <v>0</v>
      </c>
      <c r="V141" s="5">
        <f ca="1">SUM(OFFSET(Demand!$E150,0,(COLUMN(I138)-1)*5,1,3))*V$2</f>
        <v>0</v>
      </c>
      <c r="W141" s="5">
        <f ca="1">SUM(OFFSET(Demand!$E150,0,(COLUMN(J138)-1)*5,1,3))*W$2</f>
        <v>0</v>
      </c>
      <c r="X141" s="5">
        <f t="shared" ca="1" si="39"/>
        <v>430</v>
      </c>
      <c r="Y141">
        <f t="shared" ca="1" si="40"/>
        <v>430</v>
      </c>
      <c r="Z141" s="5">
        <f ca="1">SUM(OFFSET(Demand!$H150,0,(COLUMN(A138)-1)*5,1,1))*N$2</f>
        <v>0</v>
      </c>
      <c r="AA141" s="5">
        <f ca="1">SUM(OFFSET(Demand!$H150,0,(COLUMN(B138)-1)*5,1,1))*O$2</f>
        <v>0</v>
      </c>
      <c r="AB141" s="5">
        <f ca="1">SUM(OFFSET(Demand!$H150,0,(COLUMN(C138)-1)*5,1,1))*P$2</f>
        <v>0</v>
      </c>
      <c r="AC141" s="5">
        <f ca="1">SUM(OFFSET(Demand!$H150,0,(COLUMN(D138)-1)*5,1,1))*Q$2</f>
        <v>0</v>
      </c>
      <c r="AD141" s="5">
        <f ca="1">SUM(OFFSET(Demand!$H150,0,(COLUMN(E138)-1)*5,1,1))*R$2</f>
        <v>0</v>
      </c>
      <c r="AE141" s="5">
        <f ca="1">SUM(OFFSET(Demand!$H150,0,(COLUMN(F138)-1)*5,1,1))*S$2</f>
        <v>0</v>
      </c>
      <c r="AF141" s="5">
        <f ca="1">SUM(OFFSET(Demand!$H150,0,(COLUMN(G138)-1)*5,1,1))*T$2</f>
        <v>0</v>
      </c>
      <c r="AG141" s="5">
        <f ca="1">SUM(OFFSET(Demand!$H150,0,(COLUMN(H138)-1)*5,1,1))*U$2</f>
        <v>0</v>
      </c>
      <c r="AH141" s="5">
        <f ca="1">SUM(OFFSET(Demand!$H150,0,(COLUMN(I138)-1)*5,1,1))*V$2</f>
        <v>0</v>
      </c>
      <c r="AI141" s="5">
        <f ca="1">SUM(OFFSET(Demand!$H150,0,(COLUMN(J138)-1)*5,1,1))*W$2</f>
        <v>0</v>
      </c>
      <c r="AJ141" s="5">
        <f t="shared" ca="1" si="41"/>
        <v>0</v>
      </c>
      <c r="AL141" s="5">
        <f t="shared" ca="1" si="42"/>
        <v>430</v>
      </c>
      <c r="AM141" s="5">
        <f t="shared" ca="1" si="43"/>
        <v>0</v>
      </c>
      <c r="AN141" s="5" t="str">
        <f>IF(Demand!BE150="Yes","Yes","")</f>
        <v/>
      </c>
      <c r="AP141" s="37" t="str">
        <f ca="1">Demand!B150</f>
        <v xml:space="preserve"> </v>
      </c>
      <c r="AQ141" t="str">
        <f ca="1">IF(TEXT(Demand!D150,"MMM")&lt;&gt;TEXT(Demand!D149,"MMM"),TEXT(Demand!D150,"MMM"),"")</f>
        <v/>
      </c>
      <c r="AT141" s="5">
        <f t="shared" ca="1" si="45"/>
        <v>60</v>
      </c>
      <c r="BQ141">
        <f ca="1">IF($AN141="",OFFSET(Demand!$A$13,ROW(A138)-1,4+((QUOTIENT(COLUMN(BQ$2)-69,3))*5)+MOD(COLUMN(BQ$2),3),1,1),"")</f>
        <v>0</v>
      </c>
      <c r="BR141">
        <f ca="1">IF($AN141="",OFFSET(Demand!$A$13,ROW(B138)-1,4+((QUOTIENT(COLUMN(BR$2)-69,3))*5)+MOD(COLUMN(BR$2),3),1,1),"")</f>
        <v>0</v>
      </c>
      <c r="BS141">
        <f ca="1">IF($AN141="",OFFSET(Demand!$A$13,ROW(C138)-1,4+((QUOTIENT(COLUMN(BS$2)-69,3))*5)+MOD(COLUMN(BS$2),3),1,1),"")</f>
        <v>5</v>
      </c>
      <c r="BT141">
        <f ca="1">IF($AN141="",OFFSET(Demand!$A$13,ROW(D138)-1,4+((QUOTIENT(COLUMN(BT$2)-69,3))*5)+MOD(COLUMN(BT$2),3),1,1),"")</f>
        <v>0</v>
      </c>
      <c r="BU141">
        <f ca="1">IF($AN141="",OFFSET(Demand!$A$13,ROW(E138)-1,4+((QUOTIENT(COLUMN(BU$2)-69,3))*5)+MOD(COLUMN(BU$2),3),1,1),"")</f>
        <v>1</v>
      </c>
      <c r="BV141">
        <f ca="1">IF($AN141="",OFFSET(Demand!$A$13,ROW(F138)-1,4+((QUOTIENT(COLUMN(BV$2)-69,3))*5)+MOD(COLUMN(BV$2),3),1,1),"")</f>
        <v>6</v>
      </c>
      <c r="BW141">
        <f ca="1">IF($AN141="",OFFSET(Demand!$A$13,ROW(G138)-1,4+((QUOTIENT(COLUMN(BW$2)-69,3))*5)+MOD(COLUMN(BW$2),3),1,1),"")</f>
        <v>0</v>
      </c>
      <c r="BX141">
        <f ca="1">IF($AN141="",OFFSET(Demand!$A$13,ROW(H138)-1,4+((QUOTIENT(COLUMN(BX$2)-69,3))*5)+MOD(COLUMN(BX$2),3),1,1),"")</f>
        <v>0</v>
      </c>
      <c r="BY141">
        <f ca="1">IF($AN141="",OFFSET(Demand!$A$13,ROW(I138)-1,4+((QUOTIENT(COLUMN(BY$2)-69,3))*5)+MOD(COLUMN(BY$2),3),1,1),"")</f>
        <v>0</v>
      </c>
      <c r="BZ141">
        <f ca="1">IF($AN141="",OFFSET(Demand!$A$13,ROW(J138)-1,4+((QUOTIENT(COLUMN(BZ$2)-69,3))*5)+MOD(COLUMN(BZ$2),3),1,1),"")</f>
        <v>0</v>
      </c>
      <c r="CA141">
        <f ca="1">IF($AN141="",OFFSET(Demand!$A$13,ROW(K138)-1,4+((QUOTIENT(COLUMN(CA$2)-69,3))*5)+MOD(COLUMN(CA$2),3),1,1),"")</f>
        <v>0</v>
      </c>
      <c r="CB141">
        <f ca="1">IF($AN141="",OFFSET(Demand!$A$13,ROW(L138)-1,4+((QUOTIENT(COLUMN(CB$2)-69,3))*5)+MOD(COLUMN(CB$2),3),1,1),"")</f>
        <v>0</v>
      </c>
      <c r="CC141">
        <f ca="1">IF($AN141="",OFFSET(Demand!$A$13,ROW(M138)-1,4+((QUOTIENT(COLUMN(CC$2)-69,3))*5)+MOD(COLUMN(CC$2),3),1,1),"")</f>
        <v>0</v>
      </c>
      <c r="CD141">
        <f ca="1">IF($AN141="",OFFSET(Demand!$A$13,ROW(N138)-1,4+((QUOTIENT(COLUMN(CD$2)-69,3))*5)+MOD(COLUMN(CD$2),3),1,1),"")</f>
        <v>0</v>
      </c>
      <c r="CE141">
        <f ca="1">IF($AN141="",OFFSET(Demand!$A$13,ROW(O138)-1,4+((QUOTIENT(COLUMN(CE$2)-69,3))*5)+MOD(COLUMN(CE$2),3),1,1),"")</f>
        <v>0</v>
      </c>
      <c r="CF141">
        <f ca="1">IF($AN141="",OFFSET(Demand!$A$13,ROW(P138)-1,4+((QUOTIENT(COLUMN(CF$2)-69,3))*5)+MOD(COLUMN(CF$2),3),1,1),"")</f>
        <v>0</v>
      </c>
      <c r="CG141">
        <f ca="1">IF($AN141="",OFFSET(Demand!$A$13,ROW(Q138)-1,4+((QUOTIENT(COLUMN(CG$2)-69,3))*5)+MOD(COLUMN(CG$2),3),1,1),"")</f>
        <v>0</v>
      </c>
      <c r="CH141">
        <f ca="1">IF($AN141="",OFFSET(Demand!$A$13,ROW(R138)-1,4+((QUOTIENT(COLUMN(CH$2)-69,3))*5)+MOD(COLUMN(CH$2),3),1,1),"")</f>
        <v>0</v>
      </c>
      <c r="CI141">
        <f ca="1">IF($AN141="",OFFSET(Demand!$A$13,ROW(S138)-1,4+((QUOTIENT(COLUMN(CI$2)-69,3))*5)+MOD(COLUMN(CI$2),3),1,1),"")</f>
        <v>0</v>
      </c>
      <c r="CJ141">
        <f ca="1">IF($AN141="",OFFSET(Demand!$A$13,ROW(T138)-1,4+((QUOTIENT(COLUMN(CJ$2)-69,3))*5)+MOD(COLUMN(CJ$2),3),1,1),"")</f>
        <v>0</v>
      </c>
      <c r="CK141">
        <f ca="1">IF($AN141="",OFFSET(Demand!$A$13,ROW(U138)-1,4+((QUOTIENT(COLUMN(CK$2)-69,3))*5)+MOD(COLUMN(CK$2),3),1,1),"")</f>
        <v>0</v>
      </c>
      <c r="CL141">
        <f ca="1">IF($AN141="",OFFSET(Demand!$A$13,ROW(V138)-1,4+((QUOTIENT(COLUMN(CL$2)-69,3))*5)+MOD(COLUMN(CL$2),3),1,1),"")</f>
        <v>0</v>
      </c>
      <c r="CM141">
        <f ca="1">IF($AN141="",OFFSET(Demand!$A$13,ROW(W138)-1,4+((QUOTIENT(COLUMN(CM$2)-69,3))*5)+MOD(COLUMN(CM$2),3),1,1),"")</f>
        <v>0</v>
      </c>
      <c r="CN141">
        <f ca="1">IF($AN141="",OFFSET(Demand!$A$13,ROW(X138)-1,4+((QUOTIENT(COLUMN(CN$2)-69,3))*5)+MOD(COLUMN(CN$2),3),1,1),"")</f>
        <v>0</v>
      </c>
      <c r="CO141">
        <f ca="1">IF($AN141="",OFFSET(Demand!$A$13,ROW(Y138)-1,4+((QUOTIENT(COLUMN(CO$2)-69,3))*5)+MOD(COLUMN(CO$2),3),1,1),"")</f>
        <v>0</v>
      </c>
      <c r="CP141">
        <f ca="1">IF($AN141="",OFFSET(Demand!$A$13,ROW(Z138)-1,4+((QUOTIENT(COLUMN(CP$2)-69,3))*5)+MOD(COLUMN(CP$2),3),1,1),"")</f>
        <v>0</v>
      </c>
      <c r="CQ141">
        <f ca="1">IF($AN141="",OFFSET(Demand!$A$13,ROW(AA138)-1,4+((QUOTIENT(COLUMN(CQ$2)-69,3))*5)+MOD(COLUMN(CQ$2),3),1,1),"")</f>
        <v>0</v>
      </c>
      <c r="CR141">
        <f ca="1">IF($AN141="",OFFSET(Demand!$A$13,ROW(AB138)-1,4+((QUOTIENT(COLUMN(CR$2)-69,3))*5)+MOD(COLUMN(CR$2),3),1,1),"")</f>
        <v>0</v>
      </c>
      <c r="CS141">
        <f ca="1">IF($AN141="",OFFSET(Demand!$A$13,ROW(AC138)-1,4+((QUOTIENT(COLUMN(CS$2)-69,3))*5)+MOD(COLUMN(CS$2),3),1,1),"")</f>
        <v>0</v>
      </c>
      <c r="CT141">
        <f ca="1">IF($AN141="",OFFSET(Demand!$A$13,ROW(AD138)-1,4+((QUOTIENT(COLUMN(CT$2)-69,3))*5)+MOD(COLUMN(CT$2),3),1,1),"")</f>
        <v>0</v>
      </c>
      <c r="CW141" s="5">
        <f ca="1">SUM(OFFSET(Demand!$H$43,ROW(A138)-1,(COLUMN(A138)-1)*5,1,1))*N$2</f>
        <v>0</v>
      </c>
      <c r="CX141" s="5">
        <f ca="1">SUM(OFFSET(Demand!$H$43,ROW(B138)-1,(COLUMN(B138)-1)*5,1,1))*O$2</f>
        <v>0</v>
      </c>
      <c r="CY141" s="5">
        <f ca="1">SUM(OFFSET(Demand!$H$43,ROW(C138)-1,(COLUMN(C138)-1)*5,1,1))*P$2</f>
        <v>0</v>
      </c>
      <c r="CZ141" s="5">
        <f ca="1">SUM(OFFSET(Demand!$H$43,ROW(D138)-1,(COLUMN(D138)-1)*5,1,1))*Q$2</f>
        <v>0</v>
      </c>
      <c r="DA141" s="5">
        <f ca="1">SUM(OFFSET(Demand!$H$43,ROW(E138)-1,(COLUMN(E138)-1)*5,1,1))*R$2</f>
        <v>0</v>
      </c>
      <c r="DB141" s="5">
        <f ca="1">SUM(OFFSET(Demand!$H$43,ROW(F138)-1,(COLUMN(F138)-1)*5,1,1))*S$2</f>
        <v>0</v>
      </c>
      <c r="DC141" s="5">
        <f ca="1">SUM(OFFSET(Demand!$H$43,ROW(G138)-1,(COLUMN(G138)-1)*5,1,1))*T$2</f>
        <v>0</v>
      </c>
      <c r="DD141" s="5">
        <f ca="1">SUM(OFFSET(Demand!$H$43,ROW(H138)-1,(COLUMN(H138)-1)*5,1,1))*U$2</f>
        <v>0</v>
      </c>
      <c r="DE141" s="5">
        <f ca="1">SUM(OFFSET(Demand!$H$43,ROW(I138)-1,(COLUMN(I138)-1)*5,1,1))*V$2</f>
        <v>0</v>
      </c>
      <c r="DF141" s="5">
        <f ca="1">SUM(OFFSET(Demand!$H$43,ROW(J138)-1,(COLUMN(J138)-1)*5,1,1))*W$2</f>
        <v>0</v>
      </c>
      <c r="DG141" s="5">
        <f t="shared" ca="1" si="44"/>
        <v>0</v>
      </c>
    </row>
    <row r="142" spans="1:111" x14ac:dyDescent="0.2">
      <c r="A142" s="5">
        <f t="shared" ca="1" si="38"/>
        <v>0</v>
      </c>
      <c r="B142" s="5">
        <f ca="1">COUNTBLANK(OFFSET(Demand!$I151,0,(COLUMN(A139)-1)*5,1,1))</f>
        <v>0</v>
      </c>
      <c r="C142" s="5">
        <f ca="1">COUNTBLANK(OFFSET(Demand!$I151,0,(COLUMN(B139)-1)*5,1,1))</f>
        <v>0</v>
      </c>
      <c r="D142" s="5">
        <f ca="1">COUNTBLANK(OFFSET(Demand!$I151,0,(COLUMN(C139)-1)*5,1,1))</f>
        <v>1</v>
      </c>
      <c r="E142" s="5">
        <f ca="1">COUNTBLANK(OFFSET(Demand!$I151,0,(COLUMN(D139)-1)*5,1,1))</f>
        <v>1</v>
      </c>
      <c r="F142" s="5">
        <f ca="1">COUNTBLANK(OFFSET(Demand!$I151,0,(COLUMN(E139)-1)*5,1,1))</f>
        <v>1</v>
      </c>
      <c r="G142" s="5">
        <f ca="1">COUNTBLANK(OFFSET(Demand!$I151,0,(COLUMN(F139)-1)*5,1,1))</f>
        <v>1</v>
      </c>
      <c r="H142" s="5">
        <f ca="1">COUNTBLANK(OFFSET(Demand!$I151,0,(COLUMN(G139)-1)*5,1,1))</f>
        <v>1</v>
      </c>
      <c r="I142" s="5">
        <f ca="1">COUNTBLANK(OFFSET(Demand!$I151,0,(COLUMN(H139)-1)*5,1,1))</f>
        <v>1</v>
      </c>
      <c r="J142" s="5">
        <f ca="1">COUNTBLANK(OFFSET(Demand!$I151,0,(COLUMN(I139)-1)*5,1,1))</f>
        <v>1</v>
      </c>
      <c r="K142" s="5">
        <f ca="1">COUNTBLANK(OFFSET(Demand!$I151,0,(COLUMN(J139)-1)*5,1,1))</f>
        <v>1</v>
      </c>
      <c r="N142" s="5">
        <f ca="1">SUM(OFFSET(Demand!$E151,0,(COLUMN(A139)-1)*5,1,3))*N$2</f>
        <v>150</v>
      </c>
      <c r="O142" s="5">
        <f ca="1">SUM(OFFSET(Demand!$E151,0,(COLUMN(B139)-1)*5,1,3))*O$2</f>
        <v>320</v>
      </c>
      <c r="P142" s="5">
        <f ca="1">SUM(OFFSET(Demand!$E151,0,(COLUMN(C139)-1)*5,1,3))*P$2</f>
        <v>0</v>
      </c>
      <c r="Q142" s="5">
        <f ca="1">SUM(OFFSET(Demand!$E151,0,(COLUMN(D139)-1)*5,1,3))*Q$2</f>
        <v>0</v>
      </c>
      <c r="R142" s="5">
        <f ca="1">SUM(OFFSET(Demand!$E151,0,(COLUMN(E139)-1)*5,1,3))*R$2</f>
        <v>0</v>
      </c>
      <c r="S142" s="5">
        <f ca="1">SUM(OFFSET(Demand!$E151,0,(COLUMN(F139)-1)*5,1,3))*S$2</f>
        <v>0</v>
      </c>
      <c r="T142" s="5">
        <f ca="1">SUM(OFFSET(Demand!$E151,0,(COLUMN(G139)-1)*5,1,3))*T$2</f>
        <v>0</v>
      </c>
      <c r="U142" s="5">
        <f ca="1">SUM(OFFSET(Demand!$E151,0,(COLUMN(H139)-1)*5,1,3))*U$2</f>
        <v>0</v>
      </c>
      <c r="V142" s="5">
        <f ca="1">SUM(OFFSET(Demand!$E151,0,(COLUMN(I139)-1)*5,1,3))*V$2</f>
        <v>0</v>
      </c>
      <c r="W142" s="5">
        <f ca="1">SUM(OFFSET(Demand!$E151,0,(COLUMN(J139)-1)*5,1,3))*W$2</f>
        <v>0</v>
      </c>
      <c r="X142" s="5">
        <f t="shared" ca="1" si="39"/>
        <v>470</v>
      </c>
      <c r="Y142">
        <f t="shared" ca="1" si="40"/>
        <v>470</v>
      </c>
      <c r="Z142" s="5">
        <f ca="1">SUM(OFFSET(Demand!$H151,0,(COLUMN(A139)-1)*5,1,1))*N$2</f>
        <v>0</v>
      </c>
      <c r="AA142" s="5">
        <f ca="1">SUM(OFFSET(Demand!$H151,0,(COLUMN(B139)-1)*5,1,1))*O$2</f>
        <v>0</v>
      </c>
      <c r="AB142" s="5">
        <f ca="1">SUM(OFFSET(Demand!$H151,0,(COLUMN(C139)-1)*5,1,1))*P$2</f>
        <v>0</v>
      </c>
      <c r="AC142" s="5">
        <f ca="1">SUM(OFFSET(Demand!$H151,0,(COLUMN(D139)-1)*5,1,1))*Q$2</f>
        <v>0</v>
      </c>
      <c r="AD142" s="5">
        <f ca="1">SUM(OFFSET(Demand!$H151,0,(COLUMN(E139)-1)*5,1,1))*R$2</f>
        <v>0</v>
      </c>
      <c r="AE142" s="5">
        <f ca="1">SUM(OFFSET(Demand!$H151,0,(COLUMN(F139)-1)*5,1,1))*S$2</f>
        <v>0</v>
      </c>
      <c r="AF142" s="5">
        <f ca="1">SUM(OFFSET(Demand!$H151,0,(COLUMN(G139)-1)*5,1,1))*T$2</f>
        <v>0</v>
      </c>
      <c r="AG142" s="5">
        <f ca="1">SUM(OFFSET(Demand!$H151,0,(COLUMN(H139)-1)*5,1,1))*U$2</f>
        <v>0</v>
      </c>
      <c r="AH142" s="5">
        <f ca="1">SUM(OFFSET(Demand!$H151,0,(COLUMN(I139)-1)*5,1,1))*V$2</f>
        <v>0</v>
      </c>
      <c r="AI142" s="5">
        <f ca="1">SUM(OFFSET(Demand!$H151,0,(COLUMN(J139)-1)*5,1,1))*W$2</f>
        <v>0</v>
      </c>
      <c r="AJ142" s="5">
        <f t="shared" ca="1" si="41"/>
        <v>0</v>
      </c>
      <c r="AL142" s="5">
        <f t="shared" ca="1" si="42"/>
        <v>470</v>
      </c>
      <c r="AM142" s="5">
        <f t="shared" ca="1" si="43"/>
        <v>0</v>
      </c>
      <c r="AN142" s="5" t="str">
        <f>IF(Demand!BE151="Yes","Yes","")</f>
        <v/>
      </c>
      <c r="AP142" s="37" t="str">
        <f ca="1">Demand!B151</f>
        <v xml:space="preserve"> </v>
      </c>
      <c r="AQ142" t="str">
        <f ca="1">IF(TEXT(Demand!D151,"MMM")&lt;&gt;TEXT(Demand!D150,"MMM"),TEXT(Demand!D151,"MMM"),"")</f>
        <v/>
      </c>
      <c r="AT142" s="5">
        <f t="shared" ca="1" si="45"/>
        <v>40</v>
      </c>
      <c r="BQ142">
        <f ca="1">IF($AN142="",OFFSET(Demand!$A$13,ROW(A139)-1,4+((QUOTIENT(COLUMN(BQ$2)-69,3))*5)+MOD(COLUMN(BQ$2),3),1,1),"")</f>
        <v>0</v>
      </c>
      <c r="BR142">
        <f ca="1">IF($AN142="",OFFSET(Demand!$A$13,ROW(B139)-1,4+((QUOTIENT(COLUMN(BR$2)-69,3))*5)+MOD(COLUMN(BR$2),3),1,1),"")</f>
        <v>2</v>
      </c>
      <c r="BS142">
        <f ca="1">IF($AN142="",OFFSET(Demand!$A$13,ROW(C139)-1,4+((QUOTIENT(COLUMN(BS$2)-69,3))*5)+MOD(COLUMN(BS$2),3),1,1),"")</f>
        <v>3</v>
      </c>
      <c r="BT142">
        <f ca="1">IF($AN142="",OFFSET(Demand!$A$13,ROW(D139)-1,4+((QUOTIENT(COLUMN(BT$2)-69,3))*5)+MOD(COLUMN(BT$2),3),1,1),"")</f>
        <v>0</v>
      </c>
      <c r="BU142">
        <f ca="1">IF($AN142="",OFFSET(Demand!$A$13,ROW(E139)-1,4+((QUOTIENT(COLUMN(BU$2)-69,3))*5)+MOD(COLUMN(BU$2),3),1,1),"")</f>
        <v>0</v>
      </c>
      <c r="BV142">
        <f ca="1">IF($AN142="",OFFSET(Demand!$A$13,ROW(F139)-1,4+((QUOTIENT(COLUMN(BV$2)-69,3))*5)+MOD(COLUMN(BV$2),3),1,1),"")</f>
        <v>8</v>
      </c>
      <c r="BW142">
        <f ca="1">IF($AN142="",OFFSET(Demand!$A$13,ROW(G139)-1,4+((QUOTIENT(COLUMN(BW$2)-69,3))*5)+MOD(COLUMN(BW$2),3),1,1),"")</f>
        <v>0</v>
      </c>
      <c r="BX142">
        <f ca="1">IF($AN142="",OFFSET(Demand!$A$13,ROW(H139)-1,4+((QUOTIENT(COLUMN(BX$2)-69,3))*5)+MOD(COLUMN(BX$2),3),1,1),"")</f>
        <v>0</v>
      </c>
      <c r="BY142">
        <f ca="1">IF($AN142="",OFFSET(Demand!$A$13,ROW(I139)-1,4+((QUOTIENT(COLUMN(BY$2)-69,3))*5)+MOD(COLUMN(BY$2),3),1,1),"")</f>
        <v>0</v>
      </c>
      <c r="BZ142">
        <f ca="1">IF($AN142="",OFFSET(Demand!$A$13,ROW(J139)-1,4+((QUOTIENT(COLUMN(BZ$2)-69,3))*5)+MOD(COLUMN(BZ$2),3),1,1),"")</f>
        <v>0</v>
      </c>
      <c r="CA142">
        <f ca="1">IF($AN142="",OFFSET(Demand!$A$13,ROW(K139)-1,4+((QUOTIENT(COLUMN(CA$2)-69,3))*5)+MOD(COLUMN(CA$2),3),1,1),"")</f>
        <v>0</v>
      </c>
      <c r="CB142">
        <f ca="1">IF($AN142="",OFFSET(Demand!$A$13,ROW(L139)-1,4+((QUOTIENT(COLUMN(CB$2)-69,3))*5)+MOD(COLUMN(CB$2),3),1,1),"")</f>
        <v>0</v>
      </c>
      <c r="CC142">
        <f ca="1">IF($AN142="",OFFSET(Demand!$A$13,ROW(M139)-1,4+((QUOTIENT(COLUMN(CC$2)-69,3))*5)+MOD(COLUMN(CC$2),3),1,1),"")</f>
        <v>0</v>
      </c>
      <c r="CD142">
        <f ca="1">IF($AN142="",OFFSET(Demand!$A$13,ROW(N139)-1,4+((QUOTIENT(COLUMN(CD$2)-69,3))*5)+MOD(COLUMN(CD$2),3),1,1),"")</f>
        <v>0</v>
      </c>
      <c r="CE142">
        <f ca="1">IF($AN142="",OFFSET(Demand!$A$13,ROW(O139)-1,4+((QUOTIENT(COLUMN(CE$2)-69,3))*5)+MOD(COLUMN(CE$2),3),1,1),"")</f>
        <v>0</v>
      </c>
      <c r="CF142">
        <f ca="1">IF($AN142="",OFFSET(Demand!$A$13,ROW(P139)-1,4+((QUOTIENT(COLUMN(CF$2)-69,3))*5)+MOD(COLUMN(CF$2),3),1,1),"")</f>
        <v>0</v>
      </c>
      <c r="CG142">
        <f ca="1">IF($AN142="",OFFSET(Demand!$A$13,ROW(Q139)-1,4+((QUOTIENT(COLUMN(CG$2)-69,3))*5)+MOD(COLUMN(CG$2),3),1,1),"")</f>
        <v>0</v>
      </c>
      <c r="CH142">
        <f ca="1">IF($AN142="",OFFSET(Demand!$A$13,ROW(R139)-1,4+((QUOTIENT(COLUMN(CH$2)-69,3))*5)+MOD(COLUMN(CH$2),3),1,1),"")</f>
        <v>0</v>
      </c>
      <c r="CI142">
        <f ca="1">IF($AN142="",OFFSET(Demand!$A$13,ROW(S139)-1,4+((QUOTIENT(COLUMN(CI$2)-69,3))*5)+MOD(COLUMN(CI$2),3),1,1),"")</f>
        <v>0</v>
      </c>
      <c r="CJ142">
        <f ca="1">IF($AN142="",OFFSET(Demand!$A$13,ROW(T139)-1,4+((QUOTIENT(COLUMN(CJ$2)-69,3))*5)+MOD(COLUMN(CJ$2),3),1,1),"")</f>
        <v>0</v>
      </c>
      <c r="CK142">
        <f ca="1">IF($AN142="",OFFSET(Demand!$A$13,ROW(U139)-1,4+((QUOTIENT(COLUMN(CK$2)-69,3))*5)+MOD(COLUMN(CK$2),3),1,1),"")</f>
        <v>0</v>
      </c>
      <c r="CL142">
        <f ca="1">IF($AN142="",OFFSET(Demand!$A$13,ROW(V139)-1,4+((QUOTIENT(COLUMN(CL$2)-69,3))*5)+MOD(COLUMN(CL$2),3),1,1),"")</f>
        <v>0</v>
      </c>
      <c r="CM142">
        <f ca="1">IF($AN142="",OFFSET(Demand!$A$13,ROW(W139)-1,4+((QUOTIENT(COLUMN(CM$2)-69,3))*5)+MOD(COLUMN(CM$2),3),1,1),"")</f>
        <v>0</v>
      </c>
      <c r="CN142">
        <f ca="1">IF($AN142="",OFFSET(Demand!$A$13,ROW(X139)-1,4+((QUOTIENT(COLUMN(CN$2)-69,3))*5)+MOD(COLUMN(CN$2),3),1,1),"")</f>
        <v>0</v>
      </c>
      <c r="CO142">
        <f ca="1">IF($AN142="",OFFSET(Demand!$A$13,ROW(Y139)-1,4+((QUOTIENT(COLUMN(CO$2)-69,3))*5)+MOD(COLUMN(CO$2),3),1,1),"")</f>
        <v>0</v>
      </c>
      <c r="CP142">
        <f ca="1">IF($AN142="",OFFSET(Demand!$A$13,ROW(Z139)-1,4+((QUOTIENT(COLUMN(CP$2)-69,3))*5)+MOD(COLUMN(CP$2),3),1,1),"")</f>
        <v>0</v>
      </c>
      <c r="CQ142">
        <f ca="1">IF($AN142="",OFFSET(Demand!$A$13,ROW(AA139)-1,4+((QUOTIENT(COLUMN(CQ$2)-69,3))*5)+MOD(COLUMN(CQ$2),3),1,1),"")</f>
        <v>0</v>
      </c>
      <c r="CR142">
        <f ca="1">IF($AN142="",OFFSET(Demand!$A$13,ROW(AB139)-1,4+((QUOTIENT(COLUMN(CR$2)-69,3))*5)+MOD(COLUMN(CR$2),3),1,1),"")</f>
        <v>0</v>
      </c>
      <c r="CS142">
        <f ca="1">IF($AN142="",OFFSET(Demand!$A$13,ROW(AC139)-1,4+((QUOTIENT(COLUMN(CS$2)-69,3))*5)+MOD(COLUMN(CS$2),3),1,1),"")</f>
        <v>0</v>
      </c>
      <c r="CT142">
        <f ca="1">IF($AN142="",OFFSET(Demand!$A$13,ROW(AD139)-1,4+((QUOTIENT(COLUMN(CT$2)-69,3))*5)+MOD(COLUMN(CT$2),3),1,1),"")</f>
        <v>0</v>
      </c>
      <c r="CW142" s="5">
        <f ca="1">SUM(OFFSET(Demand!$H$43,ROW(A139)-1,(COLUMN(A139)-1)*5,1,1))*N$2</f>
        <v>0</v>
      </c>
      <c r="CX142" s="5">
        <f ca="1">SUM(OFFSET(Demand!$H$43,ROW(B139)-1,(COLUMN(B139)-1)*5,1,1))*O$2</f>
        <v>0</v>
      </c>
      <c r="CY142" s="5">
        <f ca="1">SUM(OFFSET(Demand!$H$43,ROW(C139)-1,(COLUMN(C139)-1)*5,1,1))*P$2</f>
        <v>0</v>
      </c>
      <c r="CZ142" s="5">
        <f ca="1">SUM(OFFSET(Demand!$H$43,ROW(D139)-1,(COLUMN(D139)-1)*5,1,1))*Q$2</f>
        <v>0</v>
      </c>
      <c r="DA142" s="5">
        <f ca="1">SUM(OFFSET(Demand!$H$43,ROW(E139)-1,(COLUMN(E139)-1)*5,1,1))*R$2</f>
        <v>0</v>
      </c>
      <c r="DB142" s="5">
        <f ca="1">SUM(OFFSET(Demand!$H$43,ROW(F139)-1,(COLUMN(F139)-1)*5,1,1))*S$2</f>
        <v>0</v>
      </c>
      <c r="DC142" s="5">
        <f ca="1">SUM(OFFSET(Demand!$H$43,ROW(G139)-1,(COLUMN(G139)-1)*5,1,1))*T$2</f>
        <v>0</v>
      </c>
      <c r="DD142" s="5">
        <f ca="1">SUM(OFFSET(Demand!$H$43,ROW(H139)-1,(COLUMN(H139)-1)*5,1,1))*U$2</f>
        <v>0</v>
      </c>
      <c r="DE142" s="5">
        <f ca="1">SUM(OFFSET(Demand!$H$43,ROW(I139)-1,(COLUMN(I139)-1)*5,1,1))*V$2</f>
        <v>0</v>
      </c>
      <c r="DF142" s="5">
        <f ca="1">SUM(OFFSET(Demand!$H$43,ROW(J139)-1,(COLUMN(J139)-1)*5,1,1))*W$2</f>
        <v>0</v>
      </c>
      <c r="DG142" s="5">
        <f t="shared" ca="1" si="44"/>
        <v>0</v>
      </c>
    </row>
    <row r="143" spans="1:111" x14ac:dyDescent="0.2">
      <c r="A143" s="5">
        <f t="shared" ca="1" si="38"/>
        <v>0</v>
      </c>
      <c r="B143" s="5">
        <f ca="1">COUNTBLANK(OFFSET(Demand!$I152,0,(COLUMN(A140)-1)*5,1,1))</f>
        <v>0</v>
      </c>
      <c r="C143" s="5">
        <f ca="1">COUNTBLANK(OFFSET(Demand!$I152,0,(COLUMN(B140)-1)*5,1,1))</f>
        <v>0</v>
      </c>
      <c r="D143" s="5">
        <f ca="1">COUNTBLANK(OFFSET(Demand!$I152,0,(COLUMN(C140)-1)*5,1,1))</f>
        <v>1</v>
      </c>
      <c r="E143" s="5">
        <f ca="1">COUNTBLANK(OFFSET(Demand!$I152,0,(COLUMN(D140)-1)*5,1,1))</f>
        <v>1</v>
      </c>
      <c r="F143" s="5">
        <f ca="1">COUNTBLANK(OFFSET(Demand!$I152,0,(COLUMN(E140)-1)*5,1,1))</f>
        <v>1</v>
      </c>
      <c r="G143" s="5">
        <f ca="1">COUNTBLANK(OFFSET(Demand!$I152,0,(COLUMN(F140)-1)*5,1,1))</f>
        <v>1</v>
      </c>
      <c r="H143" s="5">
        <f ca="1">COUNTBLANK(OFFSET(Demand!$I152,0,(COLUMN(G140)-1)*5,1,1))</f>
        <v>1</v>
      </c>
      <c r="I143" s="5">
        <f ca="1">COUNTBLANK(OFFSET(Demand!$I152,0,(COLUMN(H140)-1)*5,1,1))</f>
        <v>1</v>
      </c>
      <c r="J143" s="5">
        <f ca="1">COUNTBLANK(OFFSET(Demand!$I152,0,(COLUMN(I140)-1)*5,1,1))</f>
        <v>1</v>
      </c>
      <c r="K143" s="5">
        <f ca="1">COUNTBLANK(OFFSET(Demand!$I152,0,(COLUMN(J140)-1)*5,1,1))</f>
        <v>1</v>
      </c>
      <c r="N143" s="5">
        <f ca="1">SUM(OFFSET(Demand!$E152,0,(COLUMN(A140)-1)*5,1,3))*N$2</f>
        <v>120</v>
      </c>
      <c r="O143" s="5">
        <f ca="1">SUM(OFFSET(Demand!$E152,0,(COLUMN(B140)-1)*5,1,3))*O$2</f>
        <v>600</v>
      </c>
      <c r="P143" s="5">
        <f ca="1">SUM(OFFSET(Demand!$E152,0,(COLUMN(C140)-1)*5,1,3))*P$2</f>
        <v>0</v>
      </c>
      <c r="Q143" s="5">
        <f ca="1">SUM(OFFSET(Demand!$E152,0,(COLUMN(D140)-1)*5,1,3))*Q$2</f>
        <v>0</v>
      </c>
      <c r="R143" s="5">
        <f ca="1">SUM(OFFSET(Demand!$E152,0,(COLUMN(E140)-1)*5,1,3))*R$2</f>
        <v>0</v>
      </c>
      <c r="S143" s="5">
        <f ca="1">SUM(OFFSET(Demand!$E152,0,(COLUMN(F140)-1)*5,1,3))*S$2</f>
        <v>0</v>
      </c>
      <c r="T143" s="5">
        <f ca="1">SUM(OFFSET(Demand!$E152,0,(COLUMN(G140)-1)*5,1,3))*T$2</f>
        <v>0</v>
      </c>
      <c r="U143" s="5">
        <f ca="1">SUM(OFFSET(Demand!$E152,0,(COLUMN(H140)-1)*5,1,3))*U$2</f>
        <v>0</v>
      </c>
      <c r="V143" s="5">
        <f ca="1">SUM(OFFSET(Demand!$E152,0,(COLUMN(I140)-1)*5,1,3))*V$2</f>
        <v>0</v>
      </c>
      <c r="W143" s="5">
        <f ca="1">SUM(OFFSET(Demand!$E152,0,(COLUMN(J140)-1)*5,1,3))*W$2</f>
        <v>0</v>
      </c>
      <c r="X143" s="5">
        <f t="shared" ca="1" si="39"/>
        <v>720</v>
      </c>
      <c r="Y143">
        <f t="shared" ca="1" si="40"/>
        <v>720</v>
      </c>
      <c r="Z143" s="5">
        <f ca="1">SUM(OFFSET(Demand!$H152,0,(COLUMN(A140)-1)*5,1,1))*N$2</f>
        <v>0</v>
      </c>
      <c r="AA143" s="5">
        <f ca="1">SUM(OFFSET(Demand!$H152,0,(COLUMN(B140)-1)*5,1,1))*O$2</f>
        <v>0</v>
      </c>
      <c r="AB143" s="5">
        <f ca="1">SUM(OFFSET(Demand!$H152,0,(COLUMN(C140)-1)*5,1,1))*P$2</f>
        <v>0</v>
      </c>
      <c r="AC143" s="5">
        <f ca="1">SUM(OFFSET(Demand!$H152,0,(COLUMN(D140)-1)*5,1,1))*Q$2</f>
        <v>0</v>
      </c>
      <c r="AD143" s="5">
        <f ca="1">SUM(OFFSET(Demand!$H152,0,(COLUMN(E140)-1)*5,1,1))*R$2</f>
        <v>0</v>
      </c>
      <c r="AE143" s="5">
        <f ca="1">SUM(OFFSET(Demand!$H152,0,(COLUMN(F140)-1)*5,1,1))*S$2</f>
        <v>0</v>
      </c>
      <c r="AF143" s="5">
        <f ca="1">SUM(OFFSET(Demand!$H152,0,(COLUMN(G140)-1)*5,1,1))*T$2</f>
        <v>0</v>
      </c>
      <c r="AG143" s="5">
        <f ca="1">SUM(OFFSET(Demand!$H152,0,(COLUMN(H140)-1)*5,1,1))*U$2</f>
        <v>0</v>
      </c>
      <c r="AH143" s="5">
        <f ca="1">SUM(OFFSET(Demand!$H152,0,(COLUMN(I140)-1)*5,1,1))*V$2</f>
        <v>0</v>
      </c>
      <c r="AI143" s="5">
        <f ca="1">SUM(OFFSET(Demand!$H152,0,(COLUMN(J140)-1)*5,1,1))*W$2</f>
        <v>0</v>
      </c>
      <c r="AJ143" s="5">
        <f t="shared" ca="1" si="41"/>
        <v>0</v>
      </c>
      <c r="AL143" s="5">
        <f t="shared" ca="1" si="42"/>
        <v>720</v>
      </c>
      <c r="AM143" s="5">
        <f t="shared" ca="1" si="43"/>
        <v>0</v>
      </c>
      <c r="AN143" s="5" t="str">
        <f>IF(Demand!BE152="Yes","Yes","")</f>
        <v/>
      </c>
      <c r="AP143" s="37" t="str">
        <f ca="1">Demand!B152</f>
        <v xml:space="preserve"> </v>
      </c>
      <c r="AQ143" t="str">
        <f ca="1">IF(TEXT(Demand!D152,"MMM")&lt;&gt;TEXT(Demand!D151,"MMM"),TEXT(Demand!D152,"MMM"),"")</f>
        <v/>
      </c>
      <c r="AT143" s="5">
        <f t="shared" ca="1" si="45"/>
        <v>250</v>
      </c>
      <c r="BQ143">
        <f ca="1">IF($AN143="",OFFSET(Demand!$A$13,ROW(A140)-1,4+((QUOTIENT(COLUMN(BQ$2)-69,3))*5)+MOD(COLUMN(BQ$2),3),1,1),"")</f>
        <v>0</v>
      </c>
      <c r="BR143">
        <f ca="1">IF($AN143="",OFFSET(Demand!$A$13,ROW(B140)-1,4+((QUOTIENT(COLUMN(BR$2)-69,3))*5)+MOD(COLUMN(BR$2),3),1,1),"")</f>
        <v>1</v>
      </c>
      <c r="BS143">
        <f ca="1">IF($AN143="",OFFSET(Demand!$A$13,ROW(C140)-1,4+((QUOTIENT(COLUMN(BS$2)-69,3))*5)+MOD(COLUMN(BS$2),3),1,1),"")</f>
        <v>3</v>
      </c>
      <c r="BT143">
        <f ca="1">IF($AN143="",OFFSET(Demand!$A$13,ROW(D140)-1,4+((QUOTIENT(COLUMN(BT$2)-69,3))*5)+MOD(COLUMN(BT$2),3),1,1),"")</f>
        <v>0</v>
      </c>
      <c r="BU143">
        <f ca="1">IF($AN143="",OFFSET(Demand!$A$13,ROW(E140)-1,4+((QUOTIENT(COLUMN(BU$2)-69,3))*5)+MOD(COLUMN(BU$2),3),1,1),"")</f>
        <v>1</v>
      </c>
      <c r="BV143">
        <f ca="1">IF($AN143="",OFFSET(Demand!$A$13,ROW(F140)-1,4+((QUOTIENT(COLUMN(BV$2)-69,3))*5)+MOD(COLUMN(BV$2),3),1,1),"")</f>
        <v>14</v>
      </c>
      <c r="BW143">
        <f ca="1">IF($AN143="",OFFSET(Demand!$A$13,ROW(G140)-1,4+((QUOTIENT(COLUMN(BW$2)-69,3))*5)+MOD(COLUMN(BW$2),3),1,1),"")</f>
        <v>0</v>
      </c>
      <c r="BX143">
        <f ca="1">IF($AN143="",OFFSET(Demand!$A$13,ROW(H140)-1,4+((QUOTIENT(COLUMN(BX$2)-69,3))*5)+MOD(COLUMN(BX$2),3),1,1),"")</f>
        <v>0</v>
      </c>
      <c r="BY143">
        <f ca="1">IF($AN143="",OFFSET(Demand!$A$13,ROW(I140)-1,4+((QUOTIENT(COLUMN(BY$2)-69,3))*5)+MOD(COLUMN(BY$2),3),1,1),"")</f>
        <v>0</v>
      </c>
      <c r="BZ143">
        <f ca="1">IF($AN143="",OFFSET(Demand!$A$13,ROW(J140)-1,4+((QUOTIENT(COLUMN(BZ$2)-69,3))*5)+MOD(COLUMN(BZ$2),3),1,1),"")</f>
        <v>0</v>
      </c>
      <c r="CA143">
        <f ca="1">IF($AN143="",OFFSET(Demand!$A$13,ROW(K140)-1,4+((QUOTIENT(COLUMN(CA$2)-69,3))*5)+MOD(COLUMN(CA$2),3),1,1),"")</f>
        <v>0</v>
      </c>
      <c r="CB143">
        <f ca="1">IF($AN143="",OFFSET(Demand!$A$13,ROW(L140)-1,4+((QUOTIENT(COLUMN(CB$2)-69,3))*5)+MOD(COLUMN(CB$2),3),1,1),"")</f>
        <v>0</v>
      </c>
      <c r="CC143">
        <f ca="1">IF($AN143="",OFFSET(Demand!$A$13,ROW(M140)-1,4+((QUOTIENT(COLUMN(CC$2)-69,3))*5)+MOD(COLUMN(CC$2),3),1,1),"")</f>
        <v>0</v>
      </c>
      <c r="CD143">
        <f ca="1">IF($AN143="",OFFSET(Demand!$A$13,ROW(N140)-1,4+((QUOTIENT(COLUMN(CD$2)-69,3))*5)+MOD(COLUMN(CD$2),3),1,1),"")</f>
        <v>0</v>
      </c>
      <c r="CE143">
        <f ca="1">IF($AN143="",OFFSET(Demand!$A$13,ROW(O140)-1,4+((QUOTIENT(COLUMN(CE$2)-69,3))*5)+MOD(COLUMN(CE$2),3),1,1),"")</f>
        <v>0</v>
      </c>
      <c r="CF143">
        <f ca="1">IF($AN143="",OFFSET(Demand!$A$13,ROW(P140)-1,4+((QUOTIENT(COLUMN(CF$2)-69,3))*5)+MOD(COLUMN(CF$2),3),1,1),"")</f>
        <v>0</v>
      </c>
      <c r="CG143">
        <f ca="1">IF($AN143="",OFFSET(Demand!$A$13,ROW(Q140)-1,4+((QUOTIENT(COLUMN(CG$2)-69,3))*5)+MOD(COLUMN(CG$2),3),1,1),"")</f>
        <v>0</v>
      </c>
      <c r="CH143">
        <f ca="1">IF($AN143="",OFFSET(Demand!$A$13,ROW(R140)-1,4+((QUOTIENT(COLUMN(CH$2)-69,3))*5)+MOD(COLUMN(CH$2),3),1,1),"")</f>
        <v>0</v>
      </c>
      <c r="CI143">
        <f ca="1">IF($AN143="",OFFSET(Demand!$A$13,ROW(S140)-1,4+((QUOTIENT(COLUMN(CI$2)-69,3))*5)+MOD(COLUMN(CI$2),3),1,1),"")</f>
        <v>0</v>
      </c>
      <c r="CJ143">
        <f ca="1">IF($AN143="",OFFSET(Demand!$A$13,ROW(T140)-1,4+((QUOTIENT(COLUMN(CJ$2)-69,3))*5)+MOD(COLUMN(CJ$2),3),1,1),"")</f>
        <v>0</v>
      </c>
      <c r="CK143">
        <f ca="1">IF($AN143="",OFFSET(Demand!$A$13,ROW(U140)-1,4+((QUOTIENT(COLUMN(CK$2)-69,3))*5)+MOD(COLUMN(CK$2),3),1,1),"")</f>
        <v>0</v>
      </c>
      <c r="CL143">
        <f ca="1">IF($AN143="",OFFSET(Demand!$A$13,ROW(V140)-1,4+((QUOTIENT(COLUMN(CL$2)-69,3))*5)+MOD(COLUMN(CL$2),3),1,1),"")</f>
        <v>0</v>
      </c>
      <c r="CM143">
        <f ca="1">IF($AN143="",OFFSET(Demand!$A$13,ROW(W140)-1,4+((QUOTIENT(COLUMN(CM$2)-69,3))*5)+MOD(COLUMN(CM$2),3),1,1),"")</f>
        <v>0</v>
      </c>
      <c r="CN143">
        <f ca="1">IF($AN143="",OFFSET(Demand!$A$13,ROW(X140)-1,4+((QUOTIENT(COLUMN(CN$2)-69,3))*5)+MOD(COLUMN(CN$2),3),1,1),"")</f>
        <v>0</v>
      </c>
      <c r="CO143">
        <f ca="1">IF($AN143="",OFFSET(Demand!$A$13,ROW(Y140)-1,4+((QUOTIENT(COLUMN(CO$2)-69,3))*5)+MOD(COLUMN(CO$2),3),1,1),"")</f>
        <v>0</v>
      </c>
      <c r="CP143">
        <f ca="1">IF($AN143="",OFFSET(Demand!$A$13,ROW(Z140)-1,4+((QUOTIENT(COLUMN(CP$2)-69,3))*5)+MOD(COLUMN(CP$2),3),1,1),"")</f>
        <v>0</v>
      </c>
      <c r="CQ143">
        <f ca="1">IF($AN143="",OFFSET(Demand!$A$13,ROW(AA140)-1,4+((QUOTIENT(COLUMN(CQ$2)-69,3))*5)+MOD(COLUMN(CQ$2),3),1,1),"")</f>
        <v>0</v>
      </c>
      <c r="CR143">
        <f ca="1">IF($AN143="",OFFSET(Demand!$A$13,ROW(AB140)-1,4+((QUOTIENT(COLUMN(CR$2)-69,3))*5)+MOD(COLUMN(CR$2),3),1,1),"")</f>
        <v>0</v>
      </c>
      <c r="CS143">
        <f ca="1">IF($AN143="",OFFSET(Demand!$A$13,ROW(AC140)-1,4+((QUOTIENT(COLUMN(CS$2)-69,3))*5)+MOD(COLUMN(CS$2),3),1,1),"")</f>
        <v>0</v>
      </c>
      <c r="CT143">
        <f ca="1">IF($AN143="",OFFSET(Demand!$A$13,ROW(AD140)-1,4+((QUOTIENT(COLUMN(CT$2)-69,3))*5)+MOD(COLUMN(CT$2),3),1,1),"")</f>
        <v>0</v>
      </c>
      <c r="CW143" s="5">
        <f ca="1">SUM(OFFSET(Demand!$H$43,ROW(A140)-1,(COLUMN(A140)-1)*5,1,1))*N$2</f>
        <v>0</v>
      </c>
      <c r="CX143" s="5">
        <f ca="1">SUM(OFFSET(Demand!$H$43,ROW(B140)-1,(COLUMN(B140)-1)*5,1,1))*O$2</f>
        <v>0</v>
      </c>
      <c r="CY143" s="5">
        <f ca="1">SUM(OFFSET(Demand!$H$43,ROW(C140)-1,(COLUMN(C140)-1)*5,1,1))*P$2</f>
        <v>0</v>
      </c>
      <c r="CZ143" s="5">
        <f ca="1">SUM(OFFSET(Demand!$H$43,ROW(D140)-1,(COLUMN(D140)-1)*5,1,1))*Q$2</f>
        <v>0</v>
      </c>
      <c r="DA143" s="5">
        <f ca="1">SUM(OFFSET(Demand!$H$43,ROW(E140)-1,(COLUMN(E140)-1)*5,1,1))*R$2</f>
        <v>0</v>
      </c>
      <c r="DB143" s="5">
        <f ca="1">SUM(OFFSET(Demand!$H$43,ROW(F140)-1,(COLUMN(F140)-1)*5,1,1))*S$2</f>
        <v>0</v>
      </c>
      <c r="DC143" s="5">
        <f ca="1">SUM(OFFSET(Demand!$H$43,ROW(G140)-1,(COLUMN(G140)-1)*5,1,1))*T$2</f>
        <v>0</v>
      </c>
      <c r="DD143" s="5">
        <f ca="1">SUM(OFFSET(Demand!$H$43,ROW(H140)-1,(COLUMN(H140)-1)*5,1,1))*U$2</f>
        <v>0</v>
      </c>
      <c r="DE143" s="5">
        <f ca="1">SUM(OFFSET(Demand!$H$43,ROW(I140)-1,(COLUMN(I140)-1)*5,1,1))*V$2</f>
        <v>0</v>
      </c>
      <c r="DF143" s="5">
        <f ca="1">SUM(OFFSET(Demand!$H$43,ROW(J140)-1,(COLUMN(J140)-1)*5,1,1))*W$2</f>
        <v>0</v>
      </c>
      <c r="DG143" s="5">
        <f t="shared" ca="1" si="44"/>
        <v>0</v>
      </c>
    </row>
    <row r="144" spans="1:111" x14ac:dyDescent="0.2">
      <c r="A144" s="5">
        <f t="shared" ca="1" si="38"/>
        <v>0</v>
      </c>
      <c r="B144" s="5">
        <f ca="1">COUNTBLANK(OFFSET(Demand!$I153,0,(COLUMN(A141)-1)*5,1,1))</f>
        <v>0</v>
      </c>
      <c r="C144" s="5">
        <f ca="1">COUNTBLANK(OFFSET(Demand!$I153,0,(COLUMN(B141)-1)*5,1,1))</f>
        <v>0</v>
      </c>
      <c r="D144" s="5">
        <f ca="1">COUNTBLANK(OFFSET(Demand!$I153,0,(COLUMN(C141)-1)*5,1,1))</f>
        <v>1</v>
      </c>
      <c r="E144" s="5">
        <f ca="1">COUNTBLANK(OFFSET(Demand!$I153,0,(COLUMN(D141)-1)*5,1,1))</f>
        <v>1</v>
      </c>
      <c r="F144" s="5">
        <f ca="1">COUNTBLANK(OFFSET(Demand!$I153,0,(COLUMN(E141)-1)*5,1,1))</f>
        <v>1</v>
      </c>
      <c r="G144" s="5">
        <f ca="1">COUNTBLANK(OFFSET(Demand!$I153,0,(COLUMN(F141)-1)*5,1,1))</f>
        <v>1</v>
      </c>
      <c r="H144" s="5">
        <f ca="1">COUNTBLANK(OFFSET(Demand!$I153,0,(COLUMN(G141)-1)*5,1,1))</f>
        <v>1</v>
      </c>
      <c r="I144" s="5">
        <f ca="1">COUNTBLANK(OFFSET(Demand!$I153,0,(COLUMN(H141)-1)*5,1,1))</f>
        <v>1</v>
      </c>
      <c r="J144" s="5">
        <f ca="1">COUNTBLANK(OFFSET(Demand!$I153,0,(COLUMN(I141)-1)*5,1,1))</f>
        <v>1</v>
      </c>
      <c r="K144" s="5">
        <f ca="1">COUNTBLANK(OFFSET(Demand!$I153,0,(COLUMN(J141)-1)*5,1,1))</f>
        <v>1</v>
      </c>
      <c r="N144" s="5">
        <f ca="1">SUM(OFFSET(Demand!$E153,0,(COLUMN(A141)-1)*5,1,3))*N$2</f>
        <v>90</v>
      </c>
      <c r="O144" s="5">
        <f ca="1">SUM(OFFSET(Demand!$E153,0,(COLUMN(B141)-1)*5,1,3))*O$2</f>
        <v>160</v>
      </c>
      <c r="P144" s="5">
        <f ca="1">SUM(OFFSET(Demand!$E153,0,(COLUMN(C141)-1)*5,1,3))*P$2</f>
        <v>0</v>
      </c>
      <c r="Q144" s="5">
        <f ca="1">SUM(OFFSET(Demand!$E153,0,(COLUMN(D141)-1)*5,1,3))*Q$2</f>
        <v>0</v>
      </c>
      <c r="R144" s="5">
        <f ca="1">SUM(OFFSET(Demand!$E153,0,(COLUMN(E141)-1)*5,1,3))*R$2</f>
        <v>0</v>
      </c>
      <c r="S144" s="5">
        <f ca="1">SUM(OFFSET(Demand!$E153,0,(COLUMN(F141)-1)*5,1,3))*S$2</f>
        <v>0</v>
      </c>
      <c r="T144" s="5">
        <f ca="1">SUM(OFFSET(Demand!$E153,0,(COLUMN(G141)-1)*5,1,3))*T$2</f>
        <v>0</v>
      </c>
      <c r="U144" s="5">
        <f ca="1">SUM(OFFSET(Demand!$E153,0,(COLUMN(H141)-1)*5,1,3))*U$2</f>
        <v>0</v>
      </c>
      <c r="V144" s="5">
        <f ca="1">SUM(OFFSET(Demand!$E153,0,(COLUMN(I141)-1)*5,1,3))*V$2</f>
        <v>0</v>
      </c>
      <c r="W144" s="5">
        <f ca="1">SUM(OFFSET(Demand!$E153,0,(COLUMN(J141)-1)*5,1,3))*W$2</f>
        <v>0</v>
      </c>
      <c r="X144" s="5">
        <f t="shared" ca="1" si="39"/>
        <v>250</v>
      </c>
      <c r="Y144">
        <f t="shared" ca="1" si="40"/>
        <v>250</v>
      </c>
      <c r="Z144" s="5">
        <f ca="1">SUM(OFFSET(Demand!$H153,0,(COLUMN(A141)-1)*5,1,1))*N$2</f>
        <v>0</v>
      </c>
      <c r="AA144" s="5">
        <f ca="1">SUM(OFFSET(Demand!$H153,0,(COLUMN(B141)-1)*5,1,1))*O$2</f>
        <v>0</v>
      </c>
      <c r="AB144" s="5">
        <f ca="1">SUM(OFFSET(Demand!$H153,0,(COLUMN(C141)-1)*5,1,1))*P$2</f>
        <v>0</v>
      </c>
      <c r="AC144" s="5">
        <f ca="1">SUM(OFFSET(Demand!$H153,0,(COLUMN(D141)-1)*5,1,1))*Q$2</f>
        <v>0</v>
      </c>
      <c r="AD144" s="5">
        <f ca="1">SUM(OFFSET(Demand!$H153,0,(COLUMN(E141)-1)*5,1,1))*R$2</f>
        <v>0</v>
      </c>
      <c r="AE144" s="5">
        <f ca="1">SUM(OFFSET(Demand!$H153,0,(COLUMN(F141)-1)*5,1,1))*S$2</f>
        <v>0</v>
      </c>
      <c r="AF144" s="5">
        <f ca="1">SUM(OFFSET(Demand!$H153,0,(COLUMN(G141)-1)*5,1,1))*T$2</f>
        <v>0</v>
      </c>
      <c r="AG144" s="5">
        <f ca="1">SUM(OFFSET(Demand!$H153,0,(COLUMN(H141)-1)*5,1,1))*U$2</f>
        <v>0</v>
      </c>
      <c r="AH144" s="5">
        <f ca="1">SUM(OFFSET(Demand!$H153,0,(COLUMN(I141)-1)*5,1,1))*V$2</f>
        <v>0</v>
      </c>
      <c r="AI144" s="5">
        <f ca="1">SUM(OFFSET(Demand!$H153,0,(COLUMN(J141)-1)*5,1,1))*W$2</f>
        <v>0</v>
      </c>
      <c r="AJ144" s="5">
        <f t="shared" ca="1" si="41"/>
        <v>0</v>
      </c>
      <c r="AL144" s="5">
        <f t="shared" ca="1" si="42"/>
        <v>250</v>
      </c>
      <c r="AM144" s="5">
        <f t="shared" ca="1" si="43"/>
        <v>0</v>
      </c>
      <c r="AN144" s="5" t="str">
        <f>IF(Demand!BE153="Yes","Yes","")</f>
        <v/>
      </c>
      <c r="AP144" s="37" t="str">
        <f ca="1">Demand!B153</f>
        <v xml:space="preserve"> </v>
      </c>
      <c r="AQ144" t="str">
        <f ca="1">IF(TEXT(Demand!D153,"MMM")&lt;&gt;TEXT(Demand!D152,"MMM"),TEXT(Demand!D153,"MMM"),"")</f>
        <v>Dec</v>
      </c>
      <c r="AT144" s="5">
        <f t="shared" ca="1" si="45"/>
        <v>470</v>
      </c>
      <c r="BQ144">
        <f ca="1">IF($AN144="",OFFSET(Demand!$A$13,ROW(A141)-1,4+((QUOTIENT(COLUMN(BQ$2)-69,3))*5)+MOD(COLUMN(BQ$2),3),1,1),"")</f>
        <v>0</v>
      </c>
      <c r="BR144">
        <f ca="1">IF($AN144="",OFFSET(Demand!$A$13,ROW(B141)-1,4+((QUOTIENT(COLUMN(BR$2)-69,3))*5)+MOD(COLUMN(BR$2),3),1,1),"")</f>
        <v>0</v>
      </c>
      <c r="BS144">
        <f ca="1">IF($AN144="",OFFSET(Demand!$A$13,ROW(C141)-1,4+((QUOTIENT(COLUMN(BS$2)-69,3))*5)+MOD(COLUMN(BS$2),3),1,1),"")</f>
        <v>3</v>
      </c>
      <c r="BT144">
        <f ca="1">IF($AN144="",OFFSET(Demand!$A$13,ROW(D141)-1,4+((QUOTIENT(COLUMN(BT$2)-69,3))*5)+MOD(COLUMN(BT$2),3),1,1),"")</f>
        <v>0</v>
      </c>
      <c r="BU144">
        <f ca="1">IF($AN144="",OFFSET(Demand!$A$13,ROW(E141)-1,4+((QUOTIENT(COLUMN(BU$2)-69,3))*5)+MOD(COLUMN(BU$2),3),1,1),"")</f>
        <v>2</v>
      </c>
      <c r="BV144">
        <f ca="1">IF($AN144="",OFFSET(Demand!$A$13,ROW(F141)-1,4+((QUOTIENT(COLUMN(BV$2)-69,3))*5)+MOD(COLUMN(BV$2),3),1,1),"")</f>
        <v>2</v>
      </c>
      <c r="BW144">
        <f ca="1">IF($AN144="",OFFSET(Demand!$A$13,ROW(G141)-1,4+((QUOTIENT(COLUMN(BW$2)-69,3))*5)+MOD(COLUMN(BW$2),3),1,1),"")</f>
        <v>0</v>
      </c>
      <c r="BX144">
        <f ca="1">IF($AN144="",OFFSET(Demand!$A$13,ROW(H141)-1,4+((QUOTIENT(COLUMN(BX$2)-69,3))*5)+MOD(COLUMN(BX$2),3),1,1),"")</f>
        <v>0</v>
      </c>
      <c r="BY144">
        <f ca="1">IF($AN144="",OFFSET(Demand!$A$13,ROW(I141)-1,4+((QUOTIENT(COLUMN(BY$2)-69,3))*5)+MOD(COLUMN(BY$2),3),1,1),"")</f>
        <v>0</v>
      </c>
      <c r="BZ144">
        <f ca="1">IF($AN144="",OFFSET(Demand!$A$13,ROW(J141)-1,4+((QUOTIENT(COLUMN(BZ$2)-69,3))*5)+MOD(COLUMN(BZ$2),3),1,1),"")</f>
        <v>0</v>
      </c>
      <c r="CA144">
        <f ca="1">IF($AN144="",OFFSET(Demand!$A$13,ROW(K141)-1,4+((QUOTIENT(COLUMN(CA$2)-69,3))*5)+MOD(COLUMN(CA$2),3),1,1),"")</f>
        <v>0</v>
      </c>
      <c r="CB144">
        <f ca="1">IF($AN144="",OFFSET(Demand!$A$13,ROW(L141)-1,4+((QUOTIENT(COLUMN(CB$2)-69,3))*5)+MOD(COLUMN(CB$2),3),1,1),"")</f>
        <v>0</v>
      </c>
      <c r="CC144">
        <f ca="1">IF($AN144="",OFFSET(Demand!$A$13,ROW(M141)-1,4+((QUOTIENT(COLUMN(CC$2)-69,3))*5)+MOD(COLUMN(CC$2),3),1,1),"")</f>
        <v>0</v>
      </c>
      <c r="CD144">
        <f ca="1">IF($AN144="",OFFSET(Demand!$A$13,ROW(N141)-1,4+((QUOTIENT(COLUMN(CD$2)-69,3))*5)+MOD(COLUMN(CD$2),3),1,1),"")</f>
        <v>0</v>
      </c>
      <c r="CE144">
        <f ca="1">IF($AN144="",OFFSET(Demand!$A$13,ROW(O141)-1,4+((QUOTIENT(COLUMN(CE$2)-69,3))*5)+MOD(COLUMN(CE$2),3),1,1),"")</f>
        <v>0</v>
      </c>
      <c r="CF144">
        <f ca="1">IF($AN144="",OFFSET(Demand!$A$13,ROW(P141)-1,4+((QUOTIENT(COLUMN(CF$2)-69,3))*5)+MOD(COLUMN(CF$2),3),1,1),"")</f>
        <v>0</v>
      </c>
      <c r="CG144">
        <f ca="1">IF($AN144="",OFFSET(Demand!$A$13,ROW(Q141)-1,4+((QUOTIENT(COLUMN(CG$2)-69,3))*5)+MOD(COLUMN(CG$2),3),1,1),"")</f>
        <v>0</v>
      </c>
      <c r="CH144">
        <f ca="1">IF($AN144="",OFFSET(Demand!$A$13,ROW(R141)-1,4+((QUOTIENT(COLUMN(CH$2)-69,3))*5)+MOD(COLUMN(CH$2),3),1,1),"")</f>
        <v>0</v>
      </c>
      <c r="CI144">
        <f ca="1">IF($AN144="",OFFSET(Demand!$A$13,ROW(S141)-1,4+((QUOTIENT(COLUMN(CI$2)-69,3))*5)+MOD(COLUMN(CI$2),3),1,1),"")</f>
        <v>0</v>
      </c>
      <c r="CJ144">
        <f ca="1">IF($AN144="",OFFSET(Demand!$A$13,ROW(T141)-1,4+((QUOTIENT(COLUMN(CJ$2)-69,3))*5)+MOD(COLUMN(CJ$2),3),1,1),"")</f>
        <v>0</v>
      </c>
      <c r="CK144">
        <f ca="1">IF($AN144="",OFFSET(Demand!$A$13,ROW(U141)-1,4+((QUOTIENT(COLUMN(CK$2)-69,3))*5)+MOD(COLUMN(CK$2),3),1,1),"")</f>
        <v>0</v>
      </c>
      <c r="CL144">
        <f ca="1">IF($AN144="",OFFSET(Demand!$A$13,ROW(V141)-1,4+((QUOTIENT(COLUMN(CL$2)-69,3))*5)+MOD(COLUMN(CL$2),3),1,1),"")</f>
        <v>0</v>
      </c>
      <c r="CM144">
        <f ca="1">IF($AN144="",OFFSET(Demand!$A$13,ROW(W141)-1,4+((QUOTIENT(COLUMN(CM$2)-69,3))*5)+MOD(COLUMN(CM$2),3),1,1),"")</f>
        <v>0</v>
      </c>
      <c r="CN144">
        <f ca="1">IF($AN144="",OFFSET(Demand!$A$13,ROW(X141)-1,4+((QUOTIENT(COLUMN(CN$2)-69,3))*5)+MOD(COLUMN(CN$2),3),1,1),"")</f>
        <v>0</v>
      </c>
      <c r="CO144">
        <f ca="1">IF($AN144="",OFFSET(Demand!$A$13,ROW(Y141)-1,4+((QUOTIENT(COLUMN(CO$2)-69,3))*5)+MOD(COLUMN(CO$2),3),1,1),"")</f>
        <v>0</v>
      </c>
      <c r="CP144">
        <f ca="1">IF($AN144="",OFFSET(Demand!$A$13,ROW(Z141)-1,4+((QUOTIENT(COLUMN(CP$2)-69,3))*5)+MOD(COLUMN(CP$2),3),1,1),"")</f>
        <v>0</v>
      </c>
      <c r="CQ144">
        <f ca="1">IF($AN144="",OFFSET(Demand!$A$13,ROW(AA141)-1,4+((QUOTIENT(COLUMN(CQ$2)-69,3))*5)+MOD(COLUMN(CQ$2),3),1,1),"")</f>
        <v>0</v>
      </c>
      <c r="CR144">
        <f ca="1">IF($AN144="",OFFSET(Demand!$A$13,ROW(AB141)-1,4+((QUOTIENT(COLUMN(CR$2)-69,3))*5)+MOD(COLUMN(CR$2),3),1,1),"")</f>
        <v>0</v>
      </c>
      <c r="CS144">
        <f ca="1">IF($AN144="",OFFSET(Demand!$A$13,ROW(AC141)-1,4+((QUOTIENT(COLUMN(CS$2)-69,3))*5)+MOD(COLUMN(CS$2),3),1,1),"")</f>
        <v>0</v>
      </c>
      <c r="CT144">
        <f ca="1">IF($AN144="",OFFSET(Demand!$A$13,ROW(AD141)-1,4+((QUOTIENT(COLUMN(CT$2)-69,3))*5)+MOD(COLUMN(CT$2),3),1,1),"")</f>
        <v>0</v>
      </c>
      <c r="CW144" s="5">
        <f ca="1">SUM(OFFSET(Demand!$H$43,ROW(A141)-1,(COLUMN(A141)-1)*5,1,1))*N$2</f>
        <v>0</v>
      </c>
      <c r="CX144" s="5">
        <f ca="1">SUM(OFFSET(Demand!$H$43,ROW(B141)-1,(COLUMN(B141)-1)*5,1,1))*O$2</f>
        <v>0</v>
      </c>
      <c r="CY144" s="5">
        <f ca="1">SUM(OFFSET(Demand!$H$43,ROW(C141)-1,(COLUMN(C141)-1)*5,1,1))*P$2</f>
        <v>0</v>
      </c>
      <c r="CZ144" s="5">
        <f ca="1">SUM(OFFSET(Demand!$H$43,ROW(D141)-1,(COLUMN(D141)-1)*5,1,1))*Q$2</f>
        <v>0</v>
      </c>
      <c r="DA144" s="5">
        <f ca="1">SUM(OFFSET(Demand!$H$43,ROW(E141)-1,(COLUMN(E141)-1)*5,1,1))*R$2</f>
        <v>0</v>
      </c>
      <c r="DB144" s="5">
        <f ca="1">SUM(OFFSET(Demand!$H$43,ROW(F141)-1,(COLUMN(F141)-1)*5,1,1))*S$2</f>
        <v>0</v>
      </c>
      <c r="DC144" s="5">
        <f ca="1">SUM(OFFSET(Demand!$H$43,ROW(G141)-1,(COLUMN(G141)-1)*5,1,1))*T$2</f>
        <v>0</v>
      </c>
      <c r="DD144" s="5">
        <f ca="1">SUM(OFFSET(Demand!$H$43,ROW(H141)-1,(COLUMN(H141)-1)*5,1,1))*U$2</f>
        <v>0</v>
      </c>
      <c r="DE144" s="5">
        <f ca="1">SUM(OFFSET(Demand!$H$43,ROW(I141)-1,(COLUMN(I141)-1)*5,1,1))*V$2</f>
        <v>0</v>
      </c>
      <c r="DF144" s="5">
        <f ca="1">SUM(OFFSET(Demand!$H$43,ROW(J141)-1,(COLUMN(J141)-1)*5,1,1))*W$2</f>
        <v>0</v>
      </c>
      <c r="DG144" s="5">
        <f t="shared" ca="1" si="44"/>
        <v>0</v>
      </c>
    </row>
    <row r="145" spans="1:111" x14ac:dyDescent="0.2">
      <c r="A145" s="5">
        <f t="shared" ca="1" si="38"/>
        <v>0</v>
      </c>
      <c r="B145" s="5">
        <f ca="1">COUNTBLANK(OFFSET(Demand!$I154,0,(COLUMN(A142)-1)*5,1,1))</f>
        <v>0</v>
      </c>
      <c r="C145" s="5">
        <f ca="1">COUNTBLANK(OFFSET(Demand!$I154,0,(COLUMN(B142)-1)*5,1,1))</f>
        <v>0</v>
      </c>
      <c r="D145" s="5">
        <f ca="1">COUNTBLANK(OFFSET(Demand!$I154,0,(COLUMN(C142)-1)*5,1,1))</f>
        <v>1</v>
      </c>
      <c r="E145" s="5">
        <f ca="1">COUNTBLANK(OFFSET(Demand!$I154,0,(COLUMN(D142)-1)*5,1,1))</f>
        <v>1</v>
      </c>
      <c r="F145" s="5">
        <f ca="1">COUNTBLANK(OFFSET(Demand!$I154,0,(COLUMN(E142)-1)*5,1,1))</f>
        <v>1</v>
      </c>
      <c r="G145" s="5">
        <f ca="1">COUNTBLANK(OFFSET(Demand!$I154,0,(COLUMN(F142)-1)*5,1,1))</f>
        <v>1</v>
      </c>
      <c r="H145" s="5">
        <f ca="1">COUNTBLANK(OFFSET(Demand!$I154,0,(COLUMN(G142)-1)*5,1,1))</f>
        <v>1</v>
      </c>
      <c r="I145" s="5">
        <f ca="1">COUNTBLANK(OFFSET(Demand!$I154,0,(COLUMN(H142)-1)*5,1,1))</f>
        <v>1</v>
      </c>
      <c r="J145" s="5">
        <f ca="1">COUNTBLANK(OFFSET(Demand!$I154,0,(COLUMN(I142)-1)*5,1,1))</f>
        <v>1</v>
      </c>
      <c r="K145" s="5">
        <f ca="1">COUNTBLANK(OFFSET(Demand!$I154,0,(COLUMN(J142)-1)*5,1,1))</f>
        <v>1</v>
      </c>
      <c r="N145" s="5">
        <f ca="1">SUM(OFFSET(Demand!$E154,0,(COLUMN(A142)-1)*5,1,3))*N$2</f>
        <v>150</v>
      </c>
      <c r="O145" s="5">
        <f ca="1">SUM(OFFSET(Demand!$E154,0,(COLUMN(B142)-1)*5,1,3))*O$2</f>
        <v>400</v>
      </c>
      <c r="P145" s="5">
        <f ca="1">SUM(OFFSET(Demand!$E154,0,(COLUMN(C142)-1)*5,1,3))*P$2</f>
        <v>0</v>
      </c>
      <c r="Q145" s="5">
        <f ca="1">SUM(OFFSET(Demand!$E154,0,(COLUMN(D142)-1)*5,1,3))*Q$2</f>
        <v>0</v>
      </c>
      <c r="R145" s="5">
        <f ca="1">SUM(OFFSET(Demand!$E154,0,(COLUMN(E142)-1)*5,1,3))*R$2</f>
        <v>0</v>
      </c>
      <c r="S145" s="5">
        <f ca="1">SUM(OFFSET(Demand!$E154,0,(COLUMN(F142)-1)*5,1,3))*S$2</f>
        <v>0</v>
      </c>
      <c r="T145" s="5">
        <f ca="1">SUM(OFFSET(Demand!$E154,0,(COLUMN(G142)-1)*5,1,3))*T$2</f>
        <v>0</v>
      </c>
      <c r="U145" s="5">
        <f ca="1">SUM(OFFSET(Demand!$E154,0,(COLUMN(H142)-1)*5,1,3))*U$2</f>
        <v>0</v>
      </c>
      <c r="V145" s="5">
        <f ca="1">SUM(OFFSET(Demand!$E154,0,(COLUMN(I142)-1)*5,1,3))*V$2</f>
        <v>0</v>
      </c>
      <c r="W145" s="5">
        <f ca="1">SUM(OFFSET(Demand!$E154,0,(COLUMN(J142)-1)*5,1,3))*W$2</f>
        <v>0</v>
      </c>
      <c r="X145" s="5">
        <f t="shared" ca="1" si="39"/>
        <v>550</v>
      </c>
      <c r="Y145">
        <f t="shared" ca="1" si="40"/>
        <v>550</v>
      </c>
      <c r="Z145" s="5">
        <f ca="1">SUM(OFFSET(Demand!$H154,0,(COLUMN(A142)-1)*5,1,1))*N$2</f>
        <v>0</v>
      </c>
      <c r="AA145" s="5">
        <f ca="1">SUM(OFFSET(Demand!$H154,0,(COLUMN(B142)-1)*5,1,1))*O$2</f>
        <v>0</v>
      </c>
      <c r="AB145" s="5">
        <f ca="1">SUM(OFFSET(Demand!$H154,0,(COLUMN(C142)-1)*5,1,1))*P$2</f>
        <v>0</v>
      </c>
      <c r="AC145" s="5">
        <f ca="1">SUM(OFFSET(Demand!$H154,0,(COLUMN(D142)-1)*5,1,1))*Q$2</f>
        <v>0</v>
      </c>
      <c r="AD145" s="5">
        <f ca="1">SUM(OFFSET(Demand!$H154,0,(COLUMN(E142)-1)*5,1,1))*R$2</f>
        <v>0</v>
      </c>
      <c r="AE145" s="5">
        <f ca="1">SUM(OFFSET(Demand!$H154,0,(COLUMN(F142)-1)*5,1,1))*S$2</f>
        <v>0</v>
      </c>
      <c r="AF145" s="5">
        <f ca="1">SUM(OFFSET(Demand!$H154,0,(COLUMN(G142)-1)*5,1,1))*T$2</f>
        <v>0</v>
      </c>
      <c r="AG145" s="5">
        <f ca="1">SUM(OFFSET(Demand!$H154,0,(COLUMN(H142)-1)*5,1,1))*U$2</f>
        <v>0</v>
      </c>
      <c r="AH145" s="5">
        <f ca="1">SUM(OFFSET(Demand!$H154,0,(COLUMN(I142)-1)*5,1,1))*V$2</f>
        <v>0</v>
      </c>
      <c r="AI145" s="5">
        <f ca="1">SUM(OFFSET(Demand!$H154,0,(COLUMN(J142)-1)*5,1,1))*W$2</f>
        <v>0</v>
      </c>
      <c r="AJ145" s="5">
        <f t="shared" ca="1" si="41"/>
        <v>0</v>
      </c>
      <c r="AL145" s="5">
        <f t="shared" ca="1" si="42"/>
        <v>550</v>
      </c>
      <c r="AM145" s="5">
        <f t="shared" ca="1" si="43"/>
        <v>0</v>
      </c>
      <c r="AN145" s="5" t="str">
        <f>IF(Demand!BE154="Yes","Yes","")</f>
        <v/>
      </c>
      <c r="AP145" s="37" t="str">
        <f ca="1">Demand!B154</f>
        <v xml:space="preserve"> </v>
      </c>
      <c r="AQ145" t="str">
        <f ca="1">IF(TEXT(Demand!D154,"MMM")&lt;&gt;TEXT(Demand!D153,"MMM"),TEXT(Demand!D154,"MMM"),"")</f>
        <v/>
      </c>
      <c r="AT145" s="5">
        <f t="shared" ca="1" si="45"/>
        <v>300</v>
      </c>
      <c r="BQ145">
        <f ca="1">IF($AN145="",OFFSET(Demand!$A$13,ROW(A142)-1,4+((QUOTIENT(COLUMN(BQ$2)-69,3))*5)+MOD(COLUMN(BQ$2),3),1,1),"")</f>
        <v>0</v>
      </c>
      <c r="BR145">
        <f ca="1">IF($AN145="",OFFSET(Demand!$A$13,ROW(B142)-1,4+((QUOTIENT(COLUMN(BR$2)-69,3))*5)+MOD(COLUMN(BR$2),3),1,1),"")</f>
        <v>0</v>
      </c>
      <c r="BS145">
        <f ca="1">IF($AN145="",OFFSET(Demand!$A$13,ROW(C142)-1,4+((QUOTIENT(COLUMN(BS$2)-69,3))*5)+MOD(COLUMN(BS$2),3),1,1),"")</f>
        <v>5</v>
      </c>
      <c r="BT145">
        <f ca="1">IF($AN145="",OFFSET(Demand!$A$13,ROW(D142)-1,4+((QUOTIENT(COLUMN(BT$2)-69,3))*5)+MOD(COLUMN(BT$2),3),1,1),"")</f>
        <v>0</v>
      </c>
      <c r="BU145">
        <f ca="1">IF($AN145="",OFFSET(Demand!$A$13,ROW(E142)-1,4+((QUOTIENT(COLUMN(BU$2)-69,3))*5)+MOD(COLUMN(BU$2),3),1,1),"")</f>
        <v>3</v>
      </c>
      <c r="BV145">
        <f ca="1">IF($AN145="",OFFSET(Demand!$A$13,ROW(F142)-1,4+((QUOTIENT(COLUMN(BV$2)-69,3))*5)+MOD(COLUMN(BV$2),3),1,1),"")</f>
        <v>7</v>
      </c>
      <c r="BW145">
        <f ca="1">IF($AN145="",OFFSET(Demand!$A$13,ROW(G142)-1,4+((QUOTIENT(COLUMN(BW$2)-69,3))*5)+MOD(COLUMN(BW$2),3),1,1),"")</f>
        <v>0</v>
      </c>
      <c r="BX145">
        <f ca="1">IF($AN145="",OFFSET(Demand!$A$13,ROW(H142)-1,4+((QUOTIENT(COLUMN(BX$2)-69,3))*5)+MOD(COLUMN(BX$2),3),1,1),"")</f>
        <v>0</v>
      </c>
      <c r="BY145">
        <f ca="1">IF($AN145="",OFFSET(Demand!$A$13,ROW(I142)-1,4+((QUOTIENT(COLUMN(BY$2)-69,3))*5)+MOD(COLUMN(BY$2),3),1,1),"")</f>
        <v>0</v>
      </c>
      <c r="BZ145">
        <f ca="1">IF($AN145="",OFFSET(Demand!$A$13,ROW(J142)-1,4+((QUOTIENT(COLUMN(BZ$2)-69,3))*5)+MOD(COLUMN(BZ$2),3),1,1),"")</f>
        <v>0</v>
      </c>
      <c r="CA145">
        <f ca="1">IF($AN145="",OFFSET(Demand!$A$13,ROW(K142)-1,4+((QUOTIENT(COLUMN(CA$2)-69,3))*5)+MOD(COLUMN(CA$2),3),1,1),"")</f>
        <v>0</v>
      </c>
      <c r="CB145">
        <f ca="1">IF($AN145="",OFFSET(Demand!$A$13,ROW(L142)-1,4+((QUOTIENT(COLUMN(CB$2)-69,3))*5)+MOD(COLUMN(CB$2),3),1,1),"")</f>
        <v>0</v>
      </c>
      <c r="CC145">
        <f ca="1">IF($AN145="",OFFSET(Demand!$A$13,ROW(M142)-1,4+((QUOTIENT(COLUMN(CC$2)-69,3))*5)+MOD(COLUMN(CC$2),3),1,1),"")</f>
        <v>0</v>
      </c>
      <c r="CD145">
        <f ca="1">IF($AN145="",OFFSET(Demand!$A$13,ROW(N142)-1,4+((QUOTIENT(COLUMN(CD$2)-69,3))*5)+MOD(COLUMN(CD$2),3),1,1),"")</f>
        <v>0</v>
      </c>
      <c r="CE145">
        <f ca="1">IF($AN145="",OFFSET(Demand!$A$13,ROW(O142)-1,4+((QUOTIENT(COLUMN(CE$2)-69,3))*5)+MOD(COLUMN(CE$2),3),1,1),"")</f>
        <v>0</v>
      </c>
      <c r="CF145">
        <f ca="1">IF($AN145="",OFFSET(Demand!$A$13,ROW(P142)-1,4+((QUOTIENT(COLUMN(CF$2)-69,3))*5)+MOD(COLUMN(CF$2),3),1,1),"")</f>
        <v>0</v>
      </c>
      <c r="CG145">
        <f ca="1">IF($AN145="",OFFSET(Demand!$A$13,ROW(Q142)-1,4+((QUOTIENT(COLUMN(CG$2)-69,3))*5)+MOD(COLUMN(CG$2),3),1,1),"")</f>
        <v>0</v>
      </c>
      <c r="CH145">
        <f ca="1">IF($AN145="",OFFSET(Demand!$A$13,ROW(R142)-1,4+((QUOTIENT(COLUMN(CH$2)-69,3))*5)+MOD(COLUMN(CH$2),3),1,1),"")</f>
        <v>0</v>
      </c>
      <c r="CI145">
        <f ca="1">IF($AN145="",OFFSET(Demand!$A$13,ROW(S142)-1,4+((QUOTIENT(COLUMN(CI$2)-69,3))*5)+MOD(COLUMN(CI$2),3),1,1),"")</f>
        <v>0</v>
      </c>
      <c r="CJ145">
        <f ca="1">IF($AN145="",OFFSET(Demand!$A$13,ROW(T142)-1,4+((QUOTIENT(COLUMN(CJ$2)-69,3))*5)+MOD(COLUMN(CJ$2),3),1,1),"")</f>
        <v>0</v>
      </c>
      <c r="CK145">
        <f ca="1">IF($AN145="",OFFSET(Demand!$A$13,ROW(U142)-1,4+((QUOTIENT(COLUMN(CK$2)-69,3))*5)+MOD(COLUMN(CK$2),3),1,1),"")</f>
        <v>0</v>
      </c>
      <c r="CL145">
        <f ca="1">IF($AN145="",OFFSET(Demand!$A$13,ROW(V142)-1,4+((QUOTIENT(COLUMN(CL$2)-69,3))*5)+MOD(COLUMN(CL$2),3),1,1),"")</f>
        <v>0</v>
      </c>
      <c r="CM145">
        <f ca="1">IF($AN145="",OFFSET(Demand!$A$13,ROW(W142)-1,4+((QUOTIENT(COLUMN(CM$2)-69,3))*5)+MOD(COLUMN(CM$2),3),1,1),"")</f>
        <v>0</v>
      </c>
      <c r="CN145">
        <f ca="1">IF($AN145="",OFFSET(Demand!$A$13,ROW(X142)-1,4+((QUOTIENT(COLUMN(CN$2)-69,3))*5)+MOD(COLUMN(CN$2),3),1,1),"")</f>
        <v>0</v>
      </c>
      <c r="CO145">
        <f ca="1">IF($AN145="",OFFSET(Demand!$A$13,ROW(Y142)-1,4+((QUOTIENT(COLUMN(CO$2)-69,3))*5)+MOD(COLUMN(CO$2),3),1,1),"")</f>
        <v>0</v>
      </c>
      <c r="CP145">
        <f ca="1">IF($AN145="",OFFSET(Demand!$A$13,ROW(Z142)-1,4+((QUOTIENT(COLUMN(CP$2)-69,3))*5)+MOD(COLUMN(CP$2),3),1,1),"")</f>
        <v>0</v>
      </c>
      <c r="CQ145">
        <f ca="1">IF($AN145="",OFFSET(Demand!$A$13,ROW(AA142)-1,4+((QUOTIENT(COLUMN(CQ$2)-69,3))*5)+MOD(COLUMN(CQ$2),3),1,1),"")</f>
        <v>0</v>
      </c>
      <c r="CR145">
        <f ca="1">IF($AN145="",OFFSET(Demand!$A$13,ROW(AB142)-1,4+((QUOTIENT(COLUMN(CR$2)-69,3))*5)+MOD(COLUMN(CR$2),3),1,1),"")</f>
        <v>0</v>
      </c>
      <c r="CS145">
        <f ca="1">IF($AN145="",OFFSET(Demand!$A$13,ROW(AC142)-1,4+((QUOTIENT(COLUMN(CS$2)-69,3))*5)+MOD(COLUMN(CS$2),3),1,1),"")</f>
        <v>0</v>
      </c>
      <c r="CT145">
        <f ca="1">IF($AN145="",OFFSET(Demand!$A$13,ROW(AD142)-1,4+((QUOTIENT(COLUMN(CT$2)-69,3))*5)+MOD(COLUMN(CT$2),3),1,1),"")</f>
        <v>0</v>
      </c>
      <c r="CW145" s="5">
        <f ca="1">SUM(OFFSET(Demand!$H$43,ROW(A142)-1,(COLUMN(A142)-1)*5,1,1))*N$2</f>
        <v>0</v>
      </c>
      <c r="CX145" s="5">
        <f ca="1">SUM(OFFSET(Demand!$H$43,ROW(B142)-1,(COLUMN(B142)-1)*5,1,1))*O$2</f>
        <v>0</v>
      </c>
      <c r="CY145" s="5">
        <f ca="1">SUM(OFFSET(Demand!$H$43,ROW(C142)-1,(COLUMN(C142)-1)*5,1,1))*P$2</f>
        <v>0</v>
      </c>
      <c r="CZ145" s="5">
        <f ca="1">SUM(OFFSET(Demand!$H$43,ROW(D142)-1,(COLUMN(D142)-1)*5,1,1))*Q$2</f>
        <v>0</v>
      </c>
      <c r="DA145" s="5">
        <f ca="1">SUM(OFFSET(Demand!$H$43,ROW(E142)-1,(COLUMN(E142)-1)*5,1,1))*R$2</f>
        <v>0</v>
      </c>
      <c r="DB145" s="5">
        <f ca="1">SUM(OFFSET(Demand!$H$43,ROW(F142)-1,(COLUMN(F142)-1)*5,1,1))*S$2</f>
        <v>0</v>
      </c>
      <c r="DC145" s="5">
        <f ca="1">SUM(OFFSET(Demand!$H$43,ROW(G142)-1,(COLUMN(G142)-1)*5,1,1))*T$2</f>
        <v>0</v>
      </c>
      <c r="DD145" s="5">
        <f ca="1">SUM(OFFSET(Demand!$H$43,ROW(H142)-1,(COLUMN(H142)-1)*5,1,1))*U$2</f>
        <v>0</v>
      </c>
      <c r="DE145" s="5">
        <f ca="1">SUM(OFFSET(Demand!$H$43,ROW(I142)-1,(COLUMN(I142)-1)*5,1,1))*V$2</f>
        <v>0</v>
      </c>
      <c r="DF145" s="5">
        <f ca="1">SUM(OFFSET(Demand!$H$43,ROW(J142)-1,(COLUMN(J142)-1)*5,1,1))*W$2</f>
        <v>0</v>
      </c>
      <c r="DG145" s="5">
        <f t="shared" ca="1" si="44"/>
        <v>0</v>
      </c>
    </row>
    <row r="146" spans="1:111" x14ac:dyDescent="0.2">
      <c r="A146" s="5">
        <f t="shared" ca="1" si="38"/>
        <v>0</v>
      </c>
      <c r="B146" s="5">
        <f ca="1">COUNTBLANK(OFFSET(Demand!$I155,0,(COLUMN(A143)-1)*5,1,1))</f>
        <v>0</v>
      </c>
      <c r="C146" s="5">
        <f ca="1">COUNTBLANK(OFFSET(Demand!$I155,0,(COLUMN(B143)-1)*5,1,1))</f>
        <v>0</v>
      </c>
      <c r="D146" s="5">
        <f ca="1">COUNTBLANK(OFFSET(Demand!$I155,0,(COLUMN(C143)-1)*5,1,1))</f>
        <v>1</v>
      </c>
      <c r="E146" s="5">
        <f ca="1">COUNTBLANK(OFFSET(Demand!$I155,0,(COLUMN(D143)-1)*5,1,1))</f>
        <v>1</v>
      </c>
      <c r="F146" s="5">
        <f ca="1">COUNTBLANK(OFFSET(Demand!$I155,0,(COLUMN(E143)-1)*5,1,1))</f>
        <v>1</v>
      </c>
      <c r="G146" s="5">
        <f ca="1">COUNTBLANK(OFFSET(Demand!$I155,0,(COLUMN(F143)-1)*5,1,1))</f>
        <v>1</v>
      </c>
      <c r="H146" s="5">
        <f ca="1">COUNTBLANK(OFFSET(Demand!$I155,0,(COLUMN(G143)-1)*5,1,1))</f>
        <v>1</v>
      </c>
      <c r="I146" s="5">
        <f ca="1">COUNTBLANK(OFFSET(Demand!$I155,0,(COLUMN(H143)-1)*5,1,1))</f>
        <v>1</v>
      </c>
      <c r="J146" s="5">
        <f ca="1">COUNTBLANK(OFFSET(Demand!$I155,0,(COLUMN(I143)-1)*5,1,1))</f>
        <v>1</v>
      </c>
      <c r="K146" s="5">
        <f ca="1">COUNTBLANK(OFFSET(Demand!$I155,0,(COLUMN(J143)-1)*5,1,1))</f>
        <v>1</v>
      </c>
      <c r="N146" s="5">
        <f ca="1">SUM(OFFSET(Demand!$E155,0,(COLUMN(A143)-1)*5,1,3))*N$2</f>
        <v>90</v>
      </c>
      <c r="O146" s="5">
        <f ca="1">SUM(OFFSET(Demand!$E155,0,(COLUMN(B143)-1)*5,1,3))*O$2</f>
        <v>600</v>
      </c>
      <c r="P146" s="5">
        <f ca="1">SUM(OFFSET(Demand!$E155,0,(COLUMN(C143)-1)*5,1,3))*P$2</f>
        <v>0</v>
      </c>
      <c r="Q146" s="5">
        <f ca="1">SUM(OFFSET(Demand!$E155,0,(COLUMN(D143)-1)*5,1,3))*Q$2</f>
        <v>0</v>
      </c>
      <c r="R146" s="5">
        <f ca="1">SUM(OFFSET(Demand!$E155,0,(COLUMN(E143)-1)*5,1,3))*R$2</f>
        <v>0</v>
      </c>
      <c r="S146" s="5">
        <f ca="1">SUM(OFFSET(Demand!$E155,0,(COLUMN(F143)-1)*5,1,3))*S$2</f>
        <v>0</v>
      </c>
      <c r="T146" s="5">
        <f ca="1">SUM(OFFSET(Demand!$E155,0,(COLUMN(G143)-1)*5,1,3))*T$2</f>
        <v>0</v>
      </c>
      <c r="U146" s="5">
        <f ca="1">SUM(OFFSET(Demand!$E155,0,(COLUMN(H143)-1)*5,1,3))*U$2</f>
        <v>0</v>
      </c>
      <c r="V146" s="5">
        <f ca="1">SUM(OFFSET(Demand!$E155,0,(COLUMN(I143)-1)*5,1,3))*V$2</f>
        <v>0</v>
      </c>
      <c r="W146" s="5">
        <f ca="1">SUM(OFFSET(Demand!$E155,0,(COLUMN(J143)-1)*5,1,3))*W$2</f>
        <v>0</v>
      </c>
      <c r="X146" s="5">
        <f t="shared" ca="1" si="39"/>
        <v>690</v>
      </c>
      <c r="Y146">
        <f t="shared" ca="1" si="40"/>
        <v>690</v>
      </c>
      <c r="Z146" s="5">
        <f ca="1">SUM(OFFSET(Demand!$H155,0,(COLUMN(A143)-1)*5,1,1))*N$2</f>
        <v>0</v>
      </c>
      <c r="AA146" s="5">
        <f ca="1">SUM(OFFSET(Demand!$H155,0,(COLUMN(B143)-1)*5,1,1))*O$2</f>
        <v>0</v>
      </c>
      <c r="AB146" s="5">
        <f ca="1">SUM(OFFSET(Demand!$H155,0,(COLUMN(C143)-1)*5,1,1))*P$2</f>
        <v>0</v>
      </c>
      <c r="AC146" s="5">
        <f ca="1">SUM(OFFSET(Demand!$H155,0,(COLUMN(D143)-1)*5,1,1))*Q$2</f>
        <v>0</v>
      </c>
      <c r="AD146" s="5">
        <f ca="1">SUM(OFFSET(Demand!$H155,0,(COLUMN(E143)-1)*5,1,1))*R$2</f>
        <v>0</v>
      </c>
      <c r="AE146" s="5">
        <f ca="1">SUM(OFFSET(Demand!$H155,0,(COLUMN(F143)-1)*5,1,1))*S$2</f>
        <v>0</v>
      </c>
      <c r="AF146" s="5">
        <f ca="1">SUM(OFFSET(Demand!$H155,0,(COLUMN(G143)-1)*5,1,1))*T$2</f>
        <v>0</v>
      </c>
      <c r="AG146" s="5">
        <f ca="1">SUM(OFFSET(Demand!$H155,0,(COLUMN(H143)-1)*5,1,1))*U$2</f>
        <v>0</v>
      </c>
      <c r="AH146" s="5">
        <f ca="1">SUM(OFFSET(Demand!$H155,0,(COLUMN(I143)-1)*5,1,1))*V$2</f>
        <v>0</v>
      </c>
      <c r="AI146" s="5">
        <f ca="1">SUM(OFFSET(Demand!$H155,0,(COLUMN(J143)-1)*5,1,1))*W$2</f>
        <v>0</v>
      </c>
      <c r="AJ146" s="5">
        <f t="shared" ca="1" si="41"/>
        <v>0</v>
      </c>
      <c r="AL146" s="5">
        <f t="shared" ca="1" si="42"/>
        <v>690</v>
      </c>
      <c r="AM146" s="5">
        <f t="shared" ca="1" si="43"/>
        <v>0</v>
      </c>
      <c r="AN146" s="5" t="str">
        <f>IF(Demand!BE155="Yes","Yes","")</f>
        <v/>
      </c>
      <c r="AP146" s="37" t="str">
        <f ca="1">Demand!B155</f>
        <v xml:space="preserve"> </v>
      </c>
      <c r="AQ146" t="str">
        <f ca="1">IF(TEXT(Demand!D155,"MMM")&lt;&gt;TEXT(Demand!D154,"MMM"),TEXT(Demand!D155,"MMM"),"")</f>
        <v/>
      </c>
      <c r="AT146" s="5">
        <f t="shared" ca="1" si="45"/>
        <v>140</v>
      </c>
      <c r="BQ146">
        <f ca="1">IF($AN146="",OFFSET(Demand!$A$13,ROW(A143)-1,4+((QUOTIENT(COLUMN(BQ$2)-69,3))*5)+MOD(COLUMN(BQ$2),3),1,1),"")</f>
        <v>0</v>
      </c>
      <c r="BR146">
        <f ca="1">IF($AN146="",OFFSET(Demand!$A$13,ROW(B143)-1,4+((QUOTIENT(COLUMN(BR$2)-69,3))*5)+MOD(COLUMN(BR$2),3),1,1),"")</f>
        <v>1</v>
      </c>
      <c r="BS146">
        <f ca="1">IF($AN146="",OFFSET(Demand!$A$13,ROW(C143)-1,4+((QUOTIENT(COLUMN(BS$2)-69,3))*5)+MOD(COLUMN(BS$2),3),1,1),"")</f>
        <v>2</v>
      </c>
      <c r="BT146">
        <f ca="1">IF($AN146="",OFFSET(Demand!$A$13,ROW(D143)-1,4+((QUOTIENT(COLUMN(BT$2)-69,3))*5)+MOD(COLUMN(BT$2),3),1,1),"")</f>
        <v>0</v>
      </c>
      <c r="BU146">
        <f ca="1">IF($AN146="",OFFSET(Demand!$A$13,ROW(E143)-1,4+((QUOTIENT(COLUMN(BU$2)-69,3))*5)+MOD(COLUMN(BU$2),3),1,1),"")</f>
        <v>2</v>
      </c>
      <c r="BV146">
        <f ca="1">IF($AN146="",OFFSET(Demand!$A$13,ROW(F143)-1,4+((QUOTIENT(COLUMN(BV$2)-69,3))*5)+MOD(COLUMN(BV$2),3),1,1),"")</f>
        <v>13</v>
      </c>
      <c r="BW146">
        <f ca="1">IF($AN146="",OFFSET(Demand!$A$13,ROW(G143)-1,4+((QUOTIENT(COLUMN(BW$2)-69,3))*5)+MOD(COLUMN(BW$2),3),1,1),"")</f>
        <v>0</v>
      </c>
      <c r="BX146">
        <f ca="1">IF($AN146="",OFFSET(Demand!$A$13,ROW(H143)-1,4+((QUOTIENT(COLUMN(BX$2)-69,3))*5)+MOD(COLUMN(BX$2),3),1,1),"")</f>
        <v>0</v>
      </c>
      <c r="BY146">
        <f ca="1">IF($AN146="",OFFSET(Demand!$A$13,ROW(I143)-1,4+((QUOTIENT(COLUMN(BY$2)-69,3))*5)+MOD(COLUMN(BY$2),3),1,1),"")</f>
        <v>0</v>
      </c>
      <c r="BZ146">
        <f ca="1">IF($AN146="",OFFSET(Demand!$A$13,ROW(J143)-1,4+((QUOTIENT(COLUMN(BZ$2)-69,3))*5)+MOD(COLUMN(BZ$2),3),1,1),"")</f>
        <v>0</v>
      </c>
      <c r="CA146">
        <f ca="1">IF($AN146="",OFFSET(Demand!$A$13,ROW(K143)-1,4+((QUOTIENT(COLUMN(CA$2)-69,3))*5)+MOD(COLUMN(CA$2),3),1,1),"")</f>
        <v>0</v>
      </c>
      <c r="CB146">
        <f ca="1">IF($AN146="",OFFSET(Demand!$A$13,ROW(L143)-1,4+((QUOTIENT(COLUMN(CB$2)-69,3))*5)+MOD(COLUMN(CB$2),3),1,1),"")</f>
        <v>0</v>
      </c>
      <c r="CC146">
        <f ca="1">IF($AN146="",OFFSET(Demand!$A$13,ROW(M143)-1,4+((QUOTIENT(COLUMN(CC$2)-69,3))*5)+MOD(COLUMN(CC$2),3),1,1),"")</f>
        <v>0</v>
      </c>
      <c r="CD146">
        <f ca="1">IF($AN146="",OFFSET(Demand!$A$13,ROW(N143)-1,4+((QUOTIENT(COLUMN(CD$2)-69,3))*5)+MOD(COLUMN(CD$2),3),1,1),"")</f>
        <v>0</v>
      </c>
      <c r="CE146">
        <f ca="1">IF($AN146="",OFFSET(Demand!$A$13,ROW(O143)-1,4+((QUOTIENT(COLUMN(CE$2)-69,3))*5)+MOD(COLUMN(CE$2),3),1,1),"")</f>
        <v>0</v>
      </c>
      <c r="CF146">
        <f ca="1">IF($AN146="",OFFSET(Demand!$A$13,ROW(P143)-1,4+((QUOTIENT(COLUMN(CF$2)-69,3))*5)+MOD(COLUMN(CF$2),3),1,1),"")</f>
        <v>0</v>
      </c>
      <c r="CG146">
        <f ca="1">IF($AN146="",OFFSET(Demand!$A$13,ROW(Q143)-1,4+((QUOTIENT(COLUMN(CG$2)-69,3))*5)+MOD(COLUMN(CG$2),3),1,1),"")</f>
        <v>0</v>
      </c>
      <c r="CH146">
        <f ca="1">IF($AN146="",OFFSET(Demand!$A$13,ROW(R143)-1,4+((QUOTIENT(COLUMN(CH$2)-69,3))*5)+MOD(COLUMN(CH$2),3),1,1),"")</f>
        <v>0</v>
      </c>
      <c r="CI146">
        <f ca="1">IF($AN146="",OFFSET(Demand!$A$13,ROW(S143)-1,4+((QUOTIENT(COLUMN(CI$2)-69,3))*5)+MOD(COLUMN(CI$2),3),1,1),"")</f>
        <v>0</v>
      </c>
      <c r="CJ146">
        <f ca="1">IF($AN146="",OFFSET(Demand!$A$13,ROW(T143)-1,4+((QUOTIENT(COLUMN(CJ$2)-69,3))*5)+MOD(COLUMN(CJ$2),3),1,1),"")</f>
        <v>0</v>
      </c>
      <c r="CK146">
        <f ca="1">IF($AN146="",OFFSET(Demand!$A$13,ROW(U143)-1,4+((QUOTIENT(COLUMN(CK$2)-69,3))*5)+MOD(COLUMN(CK$2),3),1,1),"")</f>
        <v>0</v>
      </c>
      <c r="CL146">
        <f ca="1">IF($AN146="",OFFSET(Demand!$A$13,ROW(V143)-1,4+((QUOTIENT(COLUMN(CL$2)-69,3))*5)+MOD(COLUMN(CL$2),3),1,1),"")</f>
        <v>0</v>
      </c>
      <c r="CM146">
        <f ca="1">IF($AN146="",OFFSET(Demand!$A$13,ROW(W143)-1,4+((QUOTIENT(COLUMN(CM$2)-69,3))*5)+MOD(COLUMN(CM$2),3),1,1),"")</f>
        <v>0</v>
      </c>
      <c r="CN146">
        <f ca="1">IF($AN146="",OFFSET(Demand!$A$13,ROW(X143)-1,4+((QUOTIENT(COLUMN(CN$2)-69,3))*5)+MOD(COLUMN(CN$2),3),1,1),"")</f>
        <v>0</v>
      </c>
      <c r="CO146">
        <f ca="1">IF($AN146="",OFFSET(Demand!$A$13,ROW(Y143)-1,4+((QUOTIENT(COLUMN(CO$2)-69,3))*5)+MOD(COLUMN(CO$2),3),1,1),"")</f>
        <v>0</v>
      </c>
      <c r="CP146">
        <f ca="1">IF($AN146="",OFFSET(Demand!$A$13,ROW(Z143)-1,4+((QUOTIENT(COLUMN(CP$2)-69,3))*5)+MOD(COLUMN(CP$2),3),1,1),"")</f>
        <v>0</v>
      </c>
      <c r="CQ146">
        <f ca="1">IF($AN146="",OFFSET(Demand!$A$13,ROW(AA143)-1,4+((QUOTIENT(COLUMN(CQ$2)-69,3))*5)+MOD(COLUMN(CQ$2),3),1,1),"")</f>
        <v>0</v>
      </c>
      <c r="CR146">
        <f ca="1">IF($AN146="",OFFSET(Demand!$A$13,ROW(AB143)-1,4+((QUOTIENT(COLUMN(CR$2)-69,3))*5)+MOD(COLUMN(CR$2),3),1,1),"")</f>
        <v>0</v>
      </c>
      <c r="CS146">
        <f ca="1">IF($AN146="",OFFSET(Demand!$A$13,ROW(AC143)-1,4+((QUOTIENT(COLUMN(CS$2)-69,3))*5)+MOD(COLUMN(CS$2),3),1,1),"")</f>
        <v>0</v>
      </c>
      <c r="CT146">
        <f ca="1">IF($AN146="",OFFSET(Demand!$A$13,ROW(AD143)-1,4+((QUOTIENT(COLUMN(CT$2)-69,3))*5)+MOD(COLUMN(CT$2),3),1,1),"")</f>
        <v>0</v>
      </c>
      <c r="CW146" s="5">
        <f ca="1">SUM(OFFSET(Demand!$H$43,ROW(A143)-1,(COLUMN(A143)-1)*5,1,1))*N$2</f>
        <v>0</v>
      </c>
      <c r="CX146" s="5">
        <f ca="1">SUM(OFFSET(Demand!$H$43,ROW(B143)-1,(COLUMN(B143)-1)*5,1,1))*O$2</f>
        <v>0</v>
      </c>
      <c r="CY146" s="5">
        <f ca="1">SUM(OFFSET(Demand!$H$43,ROW(C143)-1,(COLUMN(C143)-1)*5,1,1))*P$2</f>
        <v>0</v>
      </c>
      <c r="CZ146" s="5">
        <f ca="1">SUM(OFFSET(Demand!$H$43,ROW(D143)-1,(COLUMN(D143)-1)*5,1,1))*Q$2</f>
        <v>0</v>
      </c>
      <c r="DA146" s="5">
        <f ca="1">SUM(OFFSET(Demand!$H$43,ROW(E143)-1,(COLUMN(E143)-1)*5,1,1))*R$2</f>
        <v>0</v>
      </c>
      <c r="DB146" s="5">
        <f ca="1">SUM(OFFSET(Demand!$H$43,ROW(F143)-1,(COLUMN(F143)-1)*5,1,1))*S$2</f>
        <v>0</v>
      </c>
      <c r="DC146" s="5">
        <f ca="1">SUM(OFFSET(Demand!$H$43,ROW(G143)-1,(COLUMN(G143)-1)*5,1,1))*T$2</f>
        <v>0</v>
      </c>
      <c r="DD146" s="5">
        <f ca="1">SUM(OFFSET(Demand!$H$43,ROW(H143)-1,(COLUMN(H143)-1)*5,1,1))*U$2</f>
        <v>0</v>
      </c>
      <c r="DE146" s="5">
        <f ca="1">SUM(OFFSET(Demand!$H$43,ROW(I143)-1,(COLUMN(I143)-1)*5,1,1))*V$2</f>
        <v>0</v>
      </c>
      <c r="DF146" s="5">
        <f ca="1">SUM(OFFSET(Demand!$H$43,ROW(J143)-1,(COLUMN(J143)-1)*5,1,1))*W$2</f>
        <v>0</v>
      </c>
      <c r="DG146" s="5">
        <f t="shared" ca="1" si="44"/>
        <v>0</v>
      </c>
    </row>
    <row r="147" spans="1:111" x14ac:dyDescent="0.2">
      <c r="A147" s="5">
        <f t="shared" ca="1" si="38"/>
        <v>0</v>
      </c>
      <c r="B147" s="5">
        <f ca="1">COUNTBLANK(OFFSET(Demand!$I156,0,(COLUMN(A144)-1)*5,1,1))</f>
        <v>0</v>
      </c>
      <c r="C147" s="5">
        <f ca="1">COUNTBLANK(OFFSET(Demand!$I156,0,(COLUMN(B144)-1)*5,1,1))</f>
        <v>0</v>
      </c>
      <c r="D147" s="5">
        <f ca="1">COUNTBLANK(OFFSET(Demand!$I156,0,(COLUMN(C144)-1)*5,1,1))</f>
        <v>1</v>
      </c>
      <c r="E147" s="5">
        <f ca="1">COUNTBLANK(OFFSET(Demand!$I156,0,(COLUMN(D144)-1)*5,1,1))</f>
        <v>1</v>
      </c>
      <c r="F147" s="5">
        <f ca="1">COUNTBLANK(OFFSET(Demand!$I156,0,(COLUMN(E144)-1)*5,1,1))</f>
        <v>1</v>
      </c>
      <c r="G147" s="5">
        <f ca="1">COUNTBLANK(OFFSET(Demand!$I156,0,(COLUMN(F144)-1)*5,1,1))</f>
        <v>1</v>
      </c>
      <c r="H147" s="5">
        <f ca="1">COUNTBLANK(OFFSET(Demand!$I156,0,(COLUMN(G144)-1)*5,1,1))</f>
        <v>1</v>
      </c>
      <c r="I147" s="5">
        <f ca="1">COUNTBLANK(OFFSET(Demand!$I156,0,(COLUMN(H144)-1)*5,1,1))</f>
        <v>1</v>
      </c>
      <c r="J147" s="5">
        <f ca="1">COUNTBLANK(OFFSET(Demand!$I156,0,(COLUMN(I144)-1)*5,1,1))</f>
        <v>1</v>
      </c>
      <c r="K147" s="5">
        <f ca="1">COUNTBLANK(OFFSET(Demand!$I156,0,(COLUMN(J144)-1)*5,1,1))</f>
        <v>1</v>
      </c>
      <c r="N147" s="5">
        <f ca="1">SUM(OFFSET(Demand!$E156,0,(COLUMN(A144)-1)*5,1,3))*N$2</f>
        <v>90</v>
      </c>
      <c r="O147" s="5">
        <f ca="1">SUM(OFFSET(Demand!$E156,0,(COLUMN(B144)-1)*5,1,3))*O$2</f>
        <v>280</v>
      </c>
      <c r="P147" s="5">
        <f ca="1">SUM(OFFSET(Demand!$E156,0,(COLUMN(C144)-1)*5,1,3))*P$2</f>
        <v>0</v>
      </c>
      <c r="Q147" s="5">
        <f ca="1">SUM(OFFSET(Demand!$E156,0,(COLUMN(D144)-1)*5,1,3))*Q$2</f>
        <v>0</v>
      </c>
      <c r="R147" s="5">
        <f ca="1">SUM(OFFSET(Demand!$E156,0,(COLUMN(E144)-1)*5,1,3))*R$2</f>
        <v>0</v>
      </c>
      <c r="S147" s="5">
        <f ca="1">SUM(OFFSET(Demand!$E156,0,(COLUMN(F144)-1)*5,1,3))*S$2</f>
        <v>0</v>
      </c>
      <c r="T147" s="5">
        <f ca="1">SUM(OFFSET(Demand!$E156,0,(COLUMN(G144)-1)*5,1,3))*T$2</f>
        <v>0</v>
      </c>
      <c r="U147" s="5">
        <f ca="1">SUM(OFFSET(Demand!$E156,0,(COLUMN(H144)-1)*5,1,3))*U$2</f>
        <v>0</v>
      </c>
      <c r="V147" s="5">
        <f ca="1">SUM(OFFSET(Demand!$E156,0,(COLUMN(I144)-1)*5,1,3))*V$2</f>
        <v>0</v>
      </c>
      <c r="W147" s="5">
        <f ca="1">SUM(OFFSET(Demand!$E156,0,(COLUMN(J144)-1)*5,1,3))*W$2</f>
        <v>0</v>
      </c>
      <c r="X147" s="5">
        <f t="shared" ca="1" si="39"/>
        <v>370</v>
      </c>
      <c r="Y147">
        <f t="shared" ca="1" si="40"/>
        <v>370</v>
      </c>
      <c r="Z147" s="5">
        <f ca="1">SUM(OFFSET(Demand!$H156,0,(COLUMN(A144)-1)*5,1,1))*N$2</f>
        <v>0</v>
      </c>
      <c r="AA147" s="5">
        <f ca="1">SUM(OFFSET(Demand!$H156,0,(COLUMN(B144)-1)*5,1,1))*O$2</f>
        <v>0</v>
      </c>
      <c r="AB147" s="5">
        <f ca="1">SUM(OFFSET(Demand!$H156,0,(COLUMN(C144)-1)*5,1,1))*P$2</f>
        <v>0</v>
      </c>
      <c r="AC147" s="5">
        <f ca="1">SUM(OFFSET(Demand!$H156,0,(COLUMN(D144)-1)*5,1,1))*Q$2</f>
        <v>0</v>
      </c>
      <c r="AD147" s="5">
        <f ca="1">SUM(OFFSET(Demand!$H156,0,(COLUMN(E144)-1)*5,1,1))*R$2</f>
        <v>0</v>
      </c>
      <c r="AE147" s="5">
        <f ca="1">SUM(OFFSET(Demand!$H156,0,(COLUMN(F144)-1)*5,1,1))*S$2</f>
        <v>0</v>
      </c>
      <c r="AF147" s="5">
        <f ca="1">SUM(OFFSET(Demand!$H156,0,(COLUMN(G144)-1)*5,1,1))*T$2</f>
        <v>0</v>
      </c>
      <c r="AG147" s="5">
        <f ca="1">SUM(OFFSET(Demand!$H156,0,(COLUMN(H144)-1)*5,1,1))*U$2</f>
        <v>0</v>
      </c>
      <c r="AH147" s="5">
        <f ca="1">SUM(OFFSET(Demand!$H156,0,(COLUMN(I144)-1)*5,1,1))*V$2</f>
        <v>0</v>
      </c>
      <c r="AI147" s="5">
        <f ca="1">SUM(OFFSET(Demand!$H156,0,(COLUMN(J144)-1)*5,1,1))*W$2</f>
        <v>0</v>
      </c>
      <c r="AJ147" s="5">
        <f t="shared" ca="1" si="41"/>
        <v>0</v>
      </c>
      <c r="AL147" s="5">
        <f t="shared" ca="1" si="42"/>
        <v>370</v>
      </c>
      <c r="AM147" s="5">
        <f t="shared" ca="1" si="43"/>
        <v>0</v>
      </c>
      <c r="AN147" s="5" t="str">
        <f>IF(Demand!BE156="Yes","Yes","")</f>
        <v/>
      </c>
      <c r="AP147" s="37" t="str">
        <f ca="1">Demand!B156</f>
        <v xml:space="preserve"> </v>
      </c>
      <c r="AQ147" t="str">
        <f ca="1">IF(TEXT(Demand!D156,"MMM")&lt;&gt;TEXT(Demand!D155,"MMM"),TEXT(Demand!D156,"MMM"),"")</f>
        <v/>
      </c>
      <c r="AT147" s="5">
        <f t="shared" ca="1" si="45"/>
        <v>320</v>
      </c>
      <c r="BQ147">
        <f ca="1">IF($AN147="",OFFSET(Demand!$A$13,ROW(A144)-1,4+((QUOTIENT(COLUMN(BQ$2)-69,3))*5)+MOD(COLUMN(BQ$2),3),1,1),"")</f>
        <v>0</v>
      </c>
      <c r="BR147">
        <f ca="1">IF($AN147="",OFFSET(Demand!$A$13,ROW(B144)-1,4+((QUOTIENT(COLUMN(BR$2)-69,3))*5)+MOD(COLUMN(BR$2),3),1,1),"")</f>
        <v>1</v>
      </c>
      <c r="BS147">
        <f ca="1">IF($AN147="",OFFSET(Demand!$A$13,ROW(C144)-1,4+((QUOTIENT(COLUMN(BS$2)-69,3))*5)+MOD(COLUMN(BS$2),3),1,1),"")</f>
        <v>2</v>
      </c>
      <c r="BT147">
        <f ca="1">IF($AN147="",OFFSET(Demand!$A$13,ROW(D144)-1,4+((QUOTIENT(COLUMN(BT$2)-69,3))*5)+MOD(COLUMN(BT$2),3),1,1),"")</f>
        <v>0</v>
      </c>
      <c r="BU147">
        <f ca="1">IF($AN147="",OFFSET(Demand!$A$13,ROW(E144)-1,4+((QUOTIENT(COLUMN(BU$2)-69,3))*5)+MOD(COLUMN(BU$2),3),1,1),"")</f>
        <v>1</v>
      </c>
      <c r="BV147">
        <f ca="1">IF($AN147="",OFFSET(Demand!$A$13,ROW(F144)-1,4+((QUOTIENT(COLUMN(BV$2)-69,3))*5)+MOD(COLUMN(BV$2),3),1,1),"")</f>
        <v>6</v>
      </c>
      <c r="BW147">
        <f ca="1">IF($AN147="",OFFSET(Demand!$A$13,ROW(G144)-1,4+((QUOTIENT(COLUMN(BW$2)-69,3))*5)+MOD(COLUMN(BW$2),3),1,1),"")</f>
        <v>0</v>
      </c>
      <c r="BX147">
        <f ca="1">IF($AN147="",OFFSET(Demand!$A$13,ROW(H144)-1,4+((QUOTIENT(COLUMN(BX$2)-69,3))*5)+MOD(COLUMN(BX$2),3),1,1),"")</f>
        <v>0</v>
      </c>
      <c r="BY147">
        <f ca="1">IF($AN147="",OFFSET(Demand!$A$13,ROW(I144)-1,4+((QUOTIENT(COLUMN(BY$2)-69,3))*5)+MOD(COLUMN(BY$2),3),1,1),"")</f>
        <v>0</v>
      </c>
      <c r="BZ147">
        <f ca="1">IF($AN147="",OFFSET(Demand!$A$13,ROW(J144)-1,4+((QUOTIENT(COLUMN(BZ$2)-69,3))*5)+MOD(COLUMN(BZ$2),3),1,1),"")</f>
        <v>0</v>
      </c>
      <c r="CA147">
        <f ca="1">IF($AN147="",OFFSET(Demand!$A$13,ROW(K144)-1,4+((QUOTIENT(COLUMN(CA$2)-69,3))*5)+MOD(COLUMN(CA$2),3),1,1),"")</f>
        <v>0</v>
      </c>
      <c r="CB147">
        <f ca="1">IF($AN147="",OFFSET(Demand!$A$13,ROW(L144)-1,4+((QUOTIENT(COLUMN(CB$2)-69,3))*5)+MOD(COLUMN(CB$2),3),1,1),"")</f>
        <v>0</v>
      </c>
      <c r="CC147">
        <f ca="1">IF($AN147="",OFFSET(Demand!$A$13,ROW(M144)-1,4+((QUOTIENT(COLUMN(CC$2)-69,3))*5)+MOD(COLUMN(CC$2),3),1,1),"")</f>
        <v>0</v>
      </c>
      <c r="CD147">
        <f ca="1">IF($AN147="",OFFSET(Demand!$A$13,ROW(N144)-1,4+((QUOTIENT(COLUMN(CD$2)-69,3))*5)+MOD(COLUMN(CD$2),3),1,1),"")</f>
        <v>0</v>
      </c>
      <c r="CE147">
        <f ca="1">IF($AN147="",OFFSET(Demand!$A$13,ROW(O144)-1,4+((QUOTIENT(COLUMN(CE$2)-69,3))*5)+MOD(COLUMN(CE$2),3),1,1),"")</f>
        <v>0</v>
      </c>
      <c r="CF147">
        <f ca="1">IF($AN147="",OFFSET(Demand!$A$13,ROW(P144)-1,4+((QUOTIENT(COLUMN(CF$2)-69,3))*5)+MOD(COLUMN(CF$2),3),1,1),"")</f>
        <v>0</v>
      </c>
      <c r="CG147">
        <f ca="1">IF($AN147="",OFFSET(Demand!$A$13,ROW(Q144)-1,4+((QUOTIENT(COLUMN(CG$2)-69,3))*5)+MOD(COLUMN(CG$2),3),1,1),"")</f>
        <v>0</v>
      </c>
      <c r="CH147">
        <f ca="1">IF($AN147="",OFFSET(Demand!$A$13,ROW(R144)-1,4+((QUOTIENT(COLUMN(CH$2)-69,3))*5)+MOD(COLUMN(CH$2),3),1,1),"")</f>
        <v>0</v>
      </c>
      <c r="CI147">
        <f ca="1">IF($AN147="",OFFSET(Demand!$A$13,ROW(S144)-1,4+((QUOTIENT(COLUMN(CI$2)-69,3))*5)+MOD(COLUMN(CI$2),3),1,1),"")</f>
        <v>0</v>
      </c>
      <c r="CJ147">
        <f ca="1">IF($AN147="",OFFSET(Demand!$A$13,ROW(T144)-1,4+((QUOTIENT(COLUMN(CJ$2)-69,3))*5)+MOD(COLUMN(CJ$2),3),1,1),"")</f>
        <v>0</v>
      </c>
      <c r="CK147">
        <f ca="1">IF($AN147="",OFFSET(Demand!$A$13,ROW(U144)-1,4+((QUOTIENT(COLUMN(CK$2)-69,3))*5)+MOD(COLUMN(CK$2),3),1,1),"")</f>
        <v>0</v>
      </c>
      <c r="CL147">
        <f ca="1">IF($AN147="",OFFSET(Demand!$A$13,ROW(V144)-1,4+((QUOTIENT(COLUMN(CL$2)-69,3))*5)+MOD(COLUMN(CL$2),3),1,1),"")</f>
        <v>0</v>
      </c>
      <c r="CM147">
        <f ca="1">IF($AN147="",OFFSET(Demand!$A$13,ROW(W144)-1,4+((QUOTIENT(COLUMN(CM$2)-69,3))*5)+MOD(COLUMN(CM$2),3),1,1),"")</f>
        <v>0</v>
      </c>
      <c r="CN147">
        <f ca="1">IF($AN147="",OFFSET(Demand!$A$13,ROW(X144)-1,4+((QUOTIENT(COLUMN(CN$2)-69,3))*5)+MOD(COLUMN(CN$2),3),1,1),"")</f>
        <v>0</v>
      </c>
      <c r="CO147">
        <f ca="1">IF($AN147="",OFFSET(Demand!$A$13,ROW(Y144)-1,4+((QUOTIENT(COLUMN(CO$2)-69,3))*5)+MOD(COLUMN(CO$2),3),1,1),"")</f>
        <v>0</v>
      </c>
      <c r="CP147">
        <f ca="1">IF($AN147="",OFFSET(Demand!$A$13,ROW(Z144)-1,4+((QUOTIENT(COLUMN(CP$2)-69,3))*5)+MOD(COLUMN(CP$2),3),1,1),"")</f>
        <v>0</v>
      </c>
      <c r="CQ147">
        <f ca="1">IF($AN147="",OFFSET(Demand!$A$13,ROW(AA144)-1,4+((QUOTIENT(COLUMN(CQ$2)-69,3))*5)+MOD(COLUMN(CQ$2),3),1,1),"")</f>
        <v>0</v>
      </c>
      <c r="CR147">
        <f ca="1">IF($AN147="",OFFSET(Demand!$A$13,ROW(AB144)-1,4+((QUOTIENT(COLUMN(CR$2)-69,3))*5)+MOD(COLUMN(CR$2),3),1,1),"")</f>
        <v>0</v>
      </c>
      <c r="CS147">
        <f ca="1">IF($AN147="",OFFSET(Demand!$A$13,ROW(AC144)-1,4+((QUOTIENT(COLUMN(CS$2)-69,3))*5)+MOD(COLUMN(CS$2),3),1,1),"")</f>
        <v>0</v>
      </c>
      <c r="CT147">
        <f ca="1">IF($AN147="",OFFSET(Demand!$A$13,ROW(AD144)-1,4+((QUOTIENT(COLUMN(CT$2)-69,3))*5)+MOD(COLUMN(CT$2),3),1,1),"")</f>
        <v>0</v>
      </c>
      <c r="CW147" s="5">
        <f ca="1">SUM(OFFSET(Demand!$H$43,ROW(A144)-1,(COLUMN(A144)-1)*5,1,1))*N$2</f>
        <v>0</v>
      </c>
      <c r="CX147" s="5">
        <f ca="1">SUM(OFFSET(Demand!$H$43,ROW(B144)-1,(COLUMN(B144)-1)*5,1,1))*O$2</f>
        <v>0</v>
      </c>
      <c r="CY147" s="5">
        <f ca="1">SUM(OFFSET(Demand!$H$43,ROW(C144)-1,(COLUMN(C144)-1)*5,1,1))*P$2</f>
        <v>0</v>
      </c>
      <c r="CZ147" s="5">
        <f ca="1">SUM(OFFSET(Demand!$H$43,ROW(D144)-1,(COLUMN(D144)-1)*5,1,1))*Q$2</f>
        <v>0</v>
      </c>
      <c r="DA147" s="5">
        <f ca="1">SUM(OFFSET(Demand!$H$43,ROW(E144)-1,(COLUMN(E144)-1)*5,1,1))*R$2</f>
        <v>0</v>
      </c>
      <c r="DB147" s="5">
        <f ca="1">SUM(OFFSET(Demand!$H$43,ROW(F144)-1,(COLUMN(F144)-1)*5,1,1))*S$2</f>
        <v>0</v>
      </c>
      <c r="DC147" s="5">
        <f ca="1">SUM(OFFSET(Demand!$H$43,ROW(G144)-1,(COLUMN(G144)-1)*5,1,1))*T$2</f>
        <v>0</v>
      </c>
      <c r="DD147" s="5">
        <f ca="1">SUM(OFFSET(Demand!$H$43,ROW(H144)-1,(COLUMN(H144)-1)*5,1,1))*U$2</f>
        <v>0</v>
      </c>
      <c r="DE147" s="5">
        <f ca="1">SUM(OFFSET(Demand!$H$43,ROW(I144)-1,(COLUMN(I144)-1)*5,1,1))*V$2</f>
        <v>0</v>
      </c>
      <c r="DF147" s="5">
        <f ca="1">SUM(OFFSET(Demand!$H$43,ROW(J144)-1,(COLUMN(J144)-1)*5,1,1))*W$2</f>
        <v>0</v>
      </c>
      <c r="DG147" s="5">
        <f t="shared" ca="1" si="44"/>
        <v>0</v>
      </c>
    </row>
    <row r="148" spans="1:111" x14ac:dyDescent="0.2">
      <c r="A148" s="5">
        <f t="shared" ca="1" si="38"/>
        <v>0</v>
      </c>
      <c r="B148" s="5">
        <f ca="1">COUNTBLANK(OFFSET(Demand!$I157,0,(COLUMN(A145)-1)*5,1,1))</f>
        <v>0</v>
      </c>
      <c r="C148" s="5">
        <f ca="1">COUNTBLANK(OFFSET(Demand!$I157,0,(COLUMN(B145)-1)*5,1,1))</f>
        <v>0</v>
      </c>
      <c r="D148" s="5">
        <f ca="1">COUNTBLANK(OFFSET(Demand!$I157,0,(COLUMN(C145)-1)*5,1,1))</f>
        <v>1</v>
      </c>
      <c r="E148" s="5">
        <f ca="1">COUNTBLANK(OFFSET(Demand!$I157,0,(COLUMN(D145)-1)*5,1,1))</f>
        <v>1</v>
      </c>
      <c r="F148" s="5">
        <f ca="1">COUNTBLANK(OFFSET(Demand!$I157,0,(COLUMN(E145)-1)*5,1,1))</f>
        <v>1</v>
      </c>
      <c r="G148" s="5">
        <f ca="1">COUNTBLANK(OFFSET(Demand!$I157,0,(COLUMN(F145)-1)*5,1,1))</f>
        <v>1</v>
      </c>
      <c r="H148" s="5">
        <f ca="1">COUNTBLANK(OFFSET(Demand!$I157,0,(COLUMN(G145)-1)*5,1,1))</f>
        <v>1</v>
      </c>
      <c r="I148" s="5">
        <f ca="1">COUNTBLANK(OFFSET(Demand!$I157,0,(COLUMN(H145)-1)*5,1,1))</f>
        <v>1</v>
      </c>
      <c r="J148" s="5">
        <f ca="1">COUNTBLANK(OFFSET(Demand!$I157,0,(COLUMN(I145)-1)*5,1,1))</f>
        <v>1</v>
      </c>
      <c r="K148" s="5">
        <f ca="1">COUNTBLANK(OFFSET(Demand!$I157,0,(COLUMN(J145)-1)*5,1,1))</f>
        <v>1</v>
      </c>
      <c r="N148" s="5">
        <f ca="1">SUM(OFFSET(Demand!$E157,0,(COLUMN(A145)-1)*5,1,3))*N$2</f>
        <v>120</v>
      </c>
      <c r="O148" s="5">
        <f ca="1">SUM(OFFSET(Demand!$E157,0,(COLUMN(B145)-1)*5,1,3))*O$2</f>
        <v>440</v>
      </c>
      <c r="P148" s="5">
        <f ca="1">SUM(OFFSET(Demand!$E157,0,(COLUMN(C145)-1)*5,1,3))*P$2</f>
        <v>0</v>
      </c>
      <c r="Q148" s="5">
        <f ca="1">SUM(OFFSET(Demand!$E157,0,(COLUMN(D145)-1)*5,1,3))*Q$2</f>
        <v>0</v>
      </c>
      <c r="R148" s="5">
        <f ca="1">SUM(OFFSET(Demand!$E157,0,(COLUMN(E145)-1)*5,1,3))*R$2</f>
        <v>0</v>
      </c>
      <c r="S148" s="5">
        <f ca="1">SUM(OFFSET(Demand!$E157,0,(COLUMN(F145)-1)*5,1,3))*S$2</f>
        <v>0</v>
      </c>
      <c r="T148" s="5">
        <f ca="1">SUM(OFFSET(Demand!$E157,0,(COLUMN(G145)-1)*5,1,3))*T$2</f>
        <v>0</v>
      </c>
      <c r="U148" s="5">
        <f ca="1">SUM(OFFSET(Demand!$E157,0,(COLUMN(H145)-1)*5,1,3))*U$2</f>
        <v>0</v>
      </c>
      <c r="V148" s="5">
        <f ca="1">SUM(OFFSET(Demand!$E157,0,(COLUMN(I145)-1)*5,1,3))*V$2</f>
        <v>0</v>
      </c>
      <c r="W148" s="5">
        <f ca="1">SUM(OFFSET(Demand!$E157,0,(COLUMN(J145)-1)*5,1,3))*W$2</f>
        <v>0</v>
      </c>
      <c r="X148" s="5">
        <f t="shared" ca="1" si="39"/>
        <v>560</v>
      </c>
      <c r="Y148">
        <f t="shared" ca="1" si="40"/>
        <v>560</v>
      </c>
      <c r="Z148" s="5">
        <f ca="1">SUM(OFFSET(Demand!$H157,0,(COLUMN(A145)-1)*5,1,1))*N$2</f>
        <v>0</v>
      </c>
      <c r="AA148" s="5">
        <f ca="1">SUM(OFFSET(Demand!$H157,0,(COLUMN(B145)-1)*5,1,1))*O$2</f>
        <v>0</v>
      </c>
      <c r="AB148" s="5">
        <f ca="1">SUM(OFFSET(Demand!$H157,0,(COLUMN(C145)-1)*5,1,1))*P$2</f>
        <v>0</v>
      </c>
      <c r="AC148" s="5">
        <f ca="1">SUM(OFFSET(Demand!$H157,0,(COLUMN(D145)-1)*5,1,1))*Q$2</f>
        <v>0</v>
      </c>
      <c r="AD148" s="5">
        <f ca="1">SUM(OFFSET(Demand!$H157,0,(COLUMN(E145)-1)*5,1,1))*R$2</f>
        <v>0</v>
      </c>
      <c r="AE148" s="5">
        <f ca="1">SUM(OFFSET(Demand!$H157,0,(COLUMN(F145)-1)*5,1,1))*S$2</f>
        <v>0</v>
      </c>
      <c r="AF148" s="5">
        <f ca="1">SUM(OFFSET(Demand!$H157,0,(COLUMN(G145)-1)*5,1,1))*T$2</f>
        <v>0</v>
      </c>
      <c r="AG148" s="5">
        <f ca="1">SUM(OFFSET(Demand!$H157,0,(COLUMN(H145)-1)*5,1,1))*U$2</f>
        <v>0</v>
      </c>
      <c r="AH148" s="5">
        <f ca="1">SUM(OFFSET(Demand!$H157,0,(COLUMN(I145)-1)*5,1,1))*V$2</f>
        <v>0</v>
      </c>
      <c r="AI148" s="5">
        <f ca="1">SUM(OFFSET(Demand!$H157,0,(COLUMN(J145)-1)*5,1,1))*W$2</f>
        <v>0</v>
      </c>
      <c r="AJ148" s="5">
        <f t="shared" ca="1" si="41"/>
        <v>0</v>
      </c>
      <c r="AL148" s="5">
        <f t="shared" ca="1" si="42"/>
        <v>560</v>
      </c>
      <c r="AM148" s="5">
        <f t="shared" ca="1" si="43"/>
        <v>0</v>
      </c>
      <c r="AN148" s="5" t="str">
        <f>IF(Demand!BE157="Yes","Yes","")</f>
        <v/>
      </c>
      <c r="AP148" s="37">
        <f ca="1">Demand!B157</f>
        <v>2019</v>
      </c>
      <c r="AQ148" t="str">
        <f ca="1">IF(TEXT(Demand!D157,"MMM")&lt;&gt;TEXT(Demand!D156,"MMM"),TEXT(Demand!D157,"MMM"),"")</f>
        <v>Jan</v>
      </c>
      <c r="AT148" s="5">
        <f t="shared" ca="1" si="45"/>
        <v>190</v>
      </c>
      <c r="BQ148">
        <f ca="1">IF($AN148="",OFFSET(Demand!$A$13,ROW(A145)-1,4+((QUOTIENT(COLUMN(BQ$2)-69,3))*5)+MOD(COLUMN(BQ$2),3),1,1),"")</f>
        <v>0</v>
      </c>
      <c r="BR148">
        <f ca="1">IF($AN148="",OFFSET(Demand!$A$13,ROW(B145)-1,4+((QUOTIENT(COLUMN(BR$2)-69,3))*5)+MOD(COLUMN(BR$2),3),1,1),"")</f>
        <v>1</v>
      </c>
      <c r="BS148">
        <f ca="1">IF($AN148="",OFFSET(Demand!$A$13,ROW(C145)-1,4+((QUOTIENT(COLUMN(BS$2)-69,3))*5)+MOD(COLUMN(BS$2),3),1,1),"")</f>
        <v>3</v>
      </c>
      <c r="BT148">
        <f ca="1">IF($AN148="",OFFSET(Demand!$A$13,ROW(D145)-1,4+((QUOTIENT(COLUMN(BT$2)-69,3))*5)+MOD(COLUMN(BT$2),3),1,1),"")</f>
        <v>0</v>
      </c>
      <c r="BU148">
        <f ca="1">IF($AN148="",OFFSET(Demand!$A$13,ROW(E145)-1,4+((QUOTIENT(COLUMN(BU$2)-69,3))*5)+MOD(COLUMN(BU$2),3),1,1),"")</f>
        <v>2</v>
      </c>
      <c r="BV148">
        <f ca="1">IF($AN148="",OFFSET(Demand!$A$13,ROW(F145)-1,4+((QUOTIENT(COLUMN(BV$2)-69,3))*5)+MOD(COLUMN(BV$2),3),1,1),"")</f>
        <v>9</v>
      </c>
      <c r="BW148">
        <f ca="1">IF($AN148="",OFFSET(Demand!$A$13,ROW(G145)-1,4+((QUOTIENT(COLUMN(BW$2)-69,3))*5)+MOD(COLUMN(BW$2),3),1,1),"")</f>
        <v>0</v>
      </c>
      <c r="BX148">
        <f ca="1">IF($AN148="",OFFSET(Demand!$A$13,ROW(H145)-1,4+((QUOTIENT(COLUMN(BX$2)-69,3))*5)+MOD(COLUMN(BX$2),3),1,1),"")</f>
        <v>0</v>
      </c>
      <c r="BY148">
        <f ca="1">IF($AN148="",OFFSET(Demand!$A$13,ROW(I145)-1,4+((QUOTIENT(COLUMN(BY$2)-69,3))*5)+MOD(COLUMN(BY$2),3),1,1),"")</f>
        <v>0</v>
      </c>
      <c r="BZ148">
        <f ca="1">IF($AN148="",OFFSET(Demand!$A$13,ROW(J145)-1,4+((QUOTIENT(COLUMN(BZ$2)-69,3))*5)+MOD(COLUMN(BZ$2),3),1,1),"")</f>
        <v>0</v>
      </c>
      <c r="CA148">
        <f ca="1">IF($AN148="",OFFSET(Demand!$A$13,ROW(K145)-1,4+((QUOTIENT(COLUMN(CA$2)-69,3))*5)+MOD(COLUMN(CA$2),3),1,1),"")</f>
        <v>0</v>
      </c>
      <c r="CB148">
        <f ca="1">IF($AN148="",OFFSET(Demand!$A$13,ROW(L145)-1,4+((QUOTIENT(COLUMN(CB$2)-69,3))*5)+MOD(COLUMN(CB$2),3),1,1),"")</f>
        <v>0</v>
      </c>
      <c r="CC148">
        <f ca="1">IF($AN148="",OFFSET(Demand!$A$13,ROW(M145)-1,4+((QUOTIENT(COLUMN(CC$2)-69,3))*5)+MOD(COLUMN(CC$2),3),1,1),"")</f>
        <v>0</v>
      </c>
      <c r="CD148">
        <f ca="1">IF($AN148="",OFFSET(Demand!$A$13,ROW(N145)-1,4+((QUOTIENT(COLUMN(CD$2)-69,3))*5)+MOD(COLUMN(CD$2),3),1,1),"")</f>
        <v>0</v>
      </c>
      <c r="CE148">
        <f ca="1">IF($AN148="",OFFSET(Demand!$A$13,ROW(O145)-1,4+((QUOTIENT(COLUMN(CE$2)-69,3))*5)+MOD(COLUMN(CE$2),3),1,1),"")</f>
        <v>0</v>
      </c>
      <c r="CF148">
        <f ca="1">IF($AN148="",OFFSET(Demand!$A$13,ROW(P145)-1,4+((QUOTIENT(COLUMN(CF$2)-69,3))*5)+MOD(COLUMN(CF$2),3),1,1),"")</f>
        <v>0</v>
      </c>
      <c r="CG148">
        <f ca="1">IF($AN148="",OFFSET(Demand!$A$13,ROW(Q145)-1,4+((QUOTIENT(COLUMN(CG$2)-69,3))*5)+MOD(COLUMN(CG$2),3),1,1),"")</f>
        <v>0</v>
      </c>
      <c r="CH148">
        <f ca="1">IF($AN148="",OFFSET(Demand!$A$13,ROW(R145)-1,4+((QUOTIENT(COLUMN(CH$2)-69,3))*5)+MOD(COLUMN(CH$2),3),1,1),"")</f>
        <v>0</v>
      </c>
      <c r="CI148">
        <f ca="1">IF($AN148="",OFFSET(Demand!$A$13,ROW(S145)-1,4+((QUOTIENT(COLUMN(CI$2)-69,3))*5)+MOD(COLUMN(CI$2),3),1,1),"")</f>
        <v>0</v>
      </c>
      <c r="CJ148">
        <f ca="1">IF($AN148="",OFFSET(Demand!$A$13,ROW(T145)-1,4+((QUOTIENT(COLUMN(CJ$2)-69,3))*5)+MOD(COLUMN(CJ$2),3),1,1),"")</f>
        <v>0</v>
      </c>
      <c r="CK148">
        <f ca="1">IF($AN148="",OFFSET(Demand!$A$13,ROW(U145)-1,4+((QUOTIENT(COLUMN(CK$2)-69,3))*5)+MOD(COLUMN(CK$2),3),1,1),"")</f>
        <v>0</v>
      </c>
      <c r="CL148">
        <f ca="1">IF($AN148="",OFFSET(Demand!$A$13,ROW(V145)-1,4+((QUOTIENT(COLUMN(CL$2)-69,3))*5)+MOD(COLUMN(CL$2),3),1,1),"")</f>
        <v>0</v>
      </c>
      <c r="CM148">
        <f ca="1">IF($AN148="",OFFSET(Demand!$A$13,ROW(W145)-1,4+((QUOTIENT(COLUMN(CM$2)-69,3))*5)+MOD(COLUMN(CM$2),3),1,1),"")</f>
        <v>0</v>
      </c>
      <c r="CN148">
        <f ca="1">IF($AN148="",OFFSET(Demand!$A$13,ROW(X145)-1,4+((QUOTIENT(COLUMN(CN$2)-69,3))*5)+MOD(COLUMN(CN$2),3),1,1),"")</f>
        <v>0</v>
      </c>
      <c r="CO148">
        <f ca="1">IF($AN148="",OFFSET(Demand!$A$13,ROW(Y145)-1,4+((QUOTIENT(COLUMN(CO$2)-69,3))*5)+MOD(COLUMN(CO$2),3),1,1),"")</f>
        <v>0</v>
      </c>
      <c r="CP148">
        <f ca="1">IF($AN148="",OFFSET(Demand!$A$13,ROW(Z145)-1,4+((QUOTIENT(COLUMN(CP$2)-69,3))*5)+MOD(COLUMN(CP$2),3),1,1),"")</f>
        <v>0</v>
      </c>
      <c r="CQ148">
        <f ca="1">IF($AN148="",OFFSET(Demand!$A$13,ROW(AA145)-1,4+((QUOTIENT(COLUMN(CQ$2)-69,3))*5)+MOD(COLUMN(CQ$2),3),1,1),"")</f>
        <v>0</v>
      </c>
      <c r="CR148">
        <f ca="1">IF($AN148="",OFFSET(Demand!$A$13,ROW(AB145)-1,4+((QUOTIENT(COLUMN(CR$2)-69,3))*5)+MOD(COLUMN(CR$2),3),1,1),"")</f>
        <v>0</v>
      </c>
      <c r="CS148">
        <f ca="1">IF($AN148="",OFFSET(Demand!$A$13,ROW(AC145)-1,4+((QUOTIENT(COLUMN(CS$2)-69,3))*5)+MOD(COLUMN(CS$2),3),1,1),"")</f>
        <v>0</v>
      </c>
      <c r="CT148">
        <f ca="1">IF($AN148="",OFFSET(Demand!$A$13,ROW(AD145)-1,4+((QUOTIENT(COLUMN(CT$2)-69,3))*5)+MOD(COLUMN(CT$2),3),1,1),"")</f>
        <v>0</v>
      </c>
      <c r="CW148" s="5">
        <f ca="1">SUM(OFFSET(Demand!$H$43,ROW(A145)-1,(COLUMN(A145)-1)*5,1,1))*N$2</f>
        <v>0</v>
      </c>
      <c r="CX148" s="5">
        <f ca="1">SUM(OFFSET(Demand!$H$43,ROW(B145)-1,(COLUMN(B145)-1)*5,1,1))*O$2</f>
        <v>0</v>
      </c>
      <c r="CY148" s="5">
        <f ca="1">SUM(OFFSET(Demand!$H$43,ROW(C145)-1,(COLUMN(C145)-1)*5,1,1))*P$2</f>
        <v>0</v>
      </c>
      <c r="CZ148" s="5">
        <f ca="1">SUM(OFFSET(Demand!$H$43,ROW(D145)-1,(COLUMN(D145)-1)*5,1,1))*Q$2</f>
        <v>0</v>
      </c>
      <c r="DA148" s="5">
        <f ca="1">SUM(OFFSET(Demand!$H$43,ROW(E145)-1,(COLUMN(E145)-1)*5,1,1))*R$2</f>
        <v>0</v>
      </c>
      <c r="DB148" s="5">
        <f ca="1">SUM(OFFSET(Demand!$H$43,ROW(F145)-1,(COLUMN(F145)-1)*5,1,1))*S$2</f>
        <v>0</v>
      </c>
      <c r="DC148" s="5">
        <f ca="1">SUM(OFFSET(Demand!$H$43,ROW(G145)-1,(COLUMN(G145)-1)*5,1,1))*T$2</f>
        <v>0</v>
      </c>
      <c r="DD148" s="5">
        <f ca="1">SUM(OFFSET(Demand!$H$43,ROW(H145)-1,(COLUMN(H145)-1)*5,1,1))*U$2</f>
        <v>0</v>
      </c>
      <c r="DE148" s="5">
        <f ca="1">SUM(OFFSET(Demand!$H$43,ROW(I145)-1,(COLUMN(I145)-1)*5,1,1))*V$2</f>
        <v>0</v>
      </c>
      <c r="DF148" s="5">
        <f ca="1">SUM(OFFSET(Demand!$H$43,ROW(J145)-1,(COLUMN(J145)-1)*5,1,1))*W$2</f>
        <v>0</v>
      </c>
      <c r="DG148" s="5">
        <f t="shared" ca="1" si="44"/>
        <v>0</v>
      </c>
    </row>
    <row r="149" spans="1:111" x14ac:dyDescent="0.2">
      <c r="A149" s="5">
        <f t="shared" ca="1" si="38"/>
        <v>0</v>
      </c>
      <c r="B149" s="5">
        <f ca="1">COUNTBLANK(OFFSET(Demand!$I158,0,(COLUMN(A146)-1)*5,1,1))</f>
        <v>0</v>
      </c>
      <c r="C149" s="5">
        <f ca="1">COUNTBLANK(OFFSET(Demand!$I158,0,(COLUMN(B146)-1)*5,1,1))</f>
        <v>0</v>
      </c>
      <c r="D149" s="5">
        <f ca="1">COUNTBLANK(OFFSET(Demand!$I158,0,(COLUMN(C146)-1)*5,1,1))</f>
        <v>1</v>
      </c>
      <c r="E149" s="5">
        <f ca="1">COUNTBLANK(OFFSET(Demand!$I158,0,(COLUMN(D146)-1)*5,1,1))</f>
        <v>1</v>
      </c>
      <c r="F149" s="5">
        <f ca="1">COUNTBLANK(OFFSET(Demand!$I158,0,(COLUMN(E146)-1)*5,1,1))</f>
        <v>1</v>
      </c>
      <c r="G149" s="5">
        <f ca="1">COUNTBLANK(OFFSET(Demand!$I158,0,(COLUMN(F146)-1)*5,1,1))</f>
        <v>1</v>
      </c>
      <c r="H149" s="5">
        <f ca="1">COUNTBLANK(OFFSET(Demand!$I158,0,(COLUMN(G146)-1)*5,1,1))</f>
        <v>1</v>
      </c>
      <c r="I149" s="5">
        <f ca="1">COUNTBLANK(OFFSET(Demand!$I158,0,(COLUMN(H146)-1)*5,1,1))</f>
        <v>1</v>
      </c>
      <c r="J149" s="5">
        <f ca="1">COUNTBLANK(OFFSET(Demand!$I158,0,(COLUMN(I146)-1)*5,1,1))</f>
        <v>1</v>
      </c>
      <c r="K149" s="5">
        <f ca="1">COUNTBLANK(OFFSET(Demand!$I158,0,(COLUMN(J146)-1)*5,1,1))</f>
        <v>1</v>
      </c>
      <c r="N149" s="5">
        <f ca="1">SUM(OFFSET(Demand!$E158,0,(COLUMN(A146)-1)*5,1,3))*N$2</f>
        <v>30</v>
      </c>
      <c r="O149" s="5">
        <f ca="1">SUM(OFFSET(Demand!$E158,0,(COLUMN(B146)-1)*5,1,3))*O$2</f>
        <v>240</v>
      </c>
      <c r="P149" s="5">
        <f ca="1">SUM(OFFSET(Demand!$E158,0,(COLUMN(C146)-1)*5,1,3))*P$2</f>
        <v>0</v>
      </c>
      <c r="Q149" s="5">
        <f ca="1">SUM(OFFSET(Demand!$E158,0,(COLUMN(D146)-1)*5,1,3))*Q$2</f>
        <v>0</v>
      </c>
      <c r="R149" s="5">
        <f ca="1">SUM(OFFSET(Demand!$E158,0,(COLUMN(E146)-1)*5,1,3))*R$2</f>
        <v>0</v>
      </c>
      <c r="S149" s="5">
        <f ca="1">SUM(OFFSET(Demand!$E158,0,(COLUMN(F146)-1)*5,1,3))*S$2</f>
        <v>0</v>
      </c>
      <c r="T149" s="5">
        <f ca="1">SUM(OFFSET(Demand!$E158,0,(COLUMN(G146)-1)*5,1,3))*T$2</f>
        <v>0</v>
      </c>
      <c r="U149" s="5">
        <f ca="1">SUM(OFFSET(Demand!$E158,0,(COLUMN(H146)-1)*5,1,3))*U$2</f>
        <v>0</v>
      </c>
      <c r="V149" s="5">
        <f ca="1">SUM(OFFSET(Demand!$E158,0,(COLUMN(I146)-1)*5,1,3))*V$2</f>
        <v>0</v>
      </c>
      <c r="W149" s="5">
        <f ca="1">SUM(OFFSET(Demand!$E158,0,(COLUMN(J146)-1)*5,1,3))*W$2</f>
        <v>0</v>
      </c>
      <c r="X149" s="5">
        <f t="shared" ca="1" si="39"/>
        <v>270</v>
      </c>
      <c r="Y149">
        <f t="shared" ca="1" si="40"/>
        <v>270</v>
      </c>
      <c r="Z149" s="5">
        <f ca="1">SUM(OFFSET(Demand!$H158,0,(COLUMN(A146)-1)*5,1,1))*N$2</f>
        <v>0</v>
      </c>
      <c r="AA149" s="5">
        <f ca="1">SUM(OFFSET(Demand!$H158,0,(COLUMN(B146)-1)*5,1,1))*O$2</f>
        <v>0</v>
      </c>
      <c r="AB149" s="5">
        <f ca="1">SUM(OFFSET(Demand!$H158,0,(COLUMN(C146)-1)*5,1,1))*P$2</f>
        <v>0</v>
      </c>
      <c r="AC149" s="5">
        <f ca="1">SUM(OFFSET(Demand!$H158,0,(COLUMN(D146)-1)*5,1,1))*Q$2</f>
        <v>0</v>
      </c>
      <c r="AD149" s="5">
        <f ca="1">SUM(OFFSET(Demand!$H158,0,(COLUMN(E146)-1)*5,1,1))*R$2</f>
        <v>0</v>
      </c>
      <c r="AE149" s="5">
        <f ca="1">SUM(OFFSET(Demand!$H158,0,(COLUMN(F146)-1)*5,1,1))*S$2</f>
        <v>0</v>
      </c>
      <c r="AF149" s="5">
        <f ca="1">SUM(OFFSET(Demand!$H158,0,(COLUMN(G146)-1)*5,1,1))*T$2</f>
        <v>0</v>
      </c>
      <c r="AG149" s="5">
        <f ca="1">SUM(OFFSET(Demand!$H158,0,(COLUMN(H146)-1)*5,1,1))*U$2</f>
        <v>0</v>
      </c>
      <c r="AH149" s="5">
        <f ca="1">SUM(OFFSET(Demand!$H158,0,(COLUMN(I146)-1)*5,1,1))*V$2</f>
        <v>0</v>
      </c>
      <c r="AI149" s="5">
        <f ca="1">SUM(OFFSET(Demand!$H158,0,(COLUMN(J146)-1)*5,1,1))*W$2</f>
        <v>0</v>
      </c>
      <c r="AJ149" s="5">
        <f t="shared" ca="1" si="41"/>
        <v>0</v>
      </c>
      <c r="AL149" s="5">
        <f t="shared" ca="1" si="42"/>
        <v>270</v>
      </c>
      <c r="AM149" s="5">
        <f t="shared" ca="1" si="43"/>
        <v>0</v>
      </c>
      <c r="AN149" s="5" t="str">
        <f>IF(Demand!BE158="Yes","Yes","")</f>
        <v/>
      </c>
      <c r="AP149" s="37" t="str">
        <f ca="1">Demand!B158</f>
        <v xml:space="preserve"> </v>
      </c>
      <c r="AQ149" t="str">
        <f ca="1">IF(TEXT(Demand!D158,"MMM")&lt;&gt;TEXT(Demand!D157,"MMM"),TEXT(Demand!D158,"MMM"),"")</f>
        <v/>
      </c>
      <c r="AT149" s="5">
        <f t="shared" ca="1" si="45"/>
        <v>290</v>
      </c>
      <c r="BQ149">
        <f ca="1">IF($AN149="",OFFSET(Demand!$A$13,ROW(A146)-1,4+((QUOTIENT(COLUMN(BQ$2)-69,3))*5)+MOD(COLUMN(BQ$2),3),1,1),"")</f>
        <v>0</v>
      </c>
      <c r="BR149">
        <f ca="1">IF($AN149="",OFFSET(Demand!$A$13,ROW(B146)-1,4+((QUOTIENT(COLUMN(BR$2)-69,3))*5)+MOD(COLUMN(BR$2),3),1,1),"")</f>
        <v>0</v>
      </c>
      <c r="BS149">
        <f ca="1">IF($AN149="",OFFSET(Demand!$A$13,ROW(C146)-1,4+((QUOTIENT(COLUMN(BS$2)-69,3))*5)+MOD(COLUMN(BS$2),3),1,1),"")</f>
        <v>1</v>
      </c>
      <c r="BT149">
        <f ca="1">IF($AN149="",OFFSET(Demand!$A$13,ROW(D146)-1,4+((QUOTIENT(COLUMN(BT$2)-69,3))*5)+MOD(COLUMN(BT$2),3),1,1),"")</f>
        <v>0</v>
      </c>
      <c r="BU149">
        <f ca="1">IF($AN149="",OFFSET(Demand!$A$13,ROW(E146)-1,4+((QUOTIENT(COLUMN(BU$2)-69,3))*5)+MOD(COLUMN(BU$2),3),1,1),"")</f>
        <v>2</v>
      </c>
      <c r="BV149">
        <f ca="1">IF($AN149="",OFFSET(Demand!$A$13,ROW(F146)-1,4+((QUOTIENT(COLUMN(BV$2)-69,3))*5)+MOD(COLUMN(BV$2),3),1,1),"")</f>
        <v>4</v>
      </c>
      <c r="BW149">
        <f ca="1">IF($AN149="",OFFSET(Demand!$A$13,ROW(G146)-1,4+((QUOTIENT(COLUMN(BW$2)-69,3))*5)+MOD(COLUMN(BW$2),3),1,1),"")</f>
        <v>0</v>
      </c>
      <c r="BX149">
        <f ca="1">IF($AN149="",OFFSET(Demand!$A$13,ROW(H146)-1,4+((QUOTIENT(COLUMN(BX$2)-69,3))*5)+MOD(COLUMN(BX$2),3),1,1),"")</f>
        <v>0</v>
      </c>
      <c r="BY149">
        <f ca="1">IF($AN149="",OFFSET(Demand!$A$13,ROW(I146)-1,4+((QUOTIENT(COLUMN(BY$2)-69,3))*5)+MOD(COLUMN(BY$2),3),1,1),"")</f>
        <v>0</v>
      </c>
      <c r="BZ149">
        <f ca="1">IF($AN149="",OFFSET(Demand!$A$13,ROW(J146)-1,4+((QUOTIENT(COLUMN(BZ$2)-69,3))*5)+MOD(COLUMN(BZ$2),3),1,1),"")</f>
        <v>0</v>
      </c>
      <c r="CA149">
        <f ca="1">IF($AN149="",OFFSET(Demand!$A$13,ROW(K146)-1,4+((QUOTIENT(COLUMN(CA$2)-69,3))*5)+MOD(COLUMN(CA$2),3),1,1),"")</f>
        <v>0</v>
      </c>
      <c r="CB149">
        <f ca="1">IF($AN149="",OFFSET(Demand!$A$13,ROW(L146)-1,4+((QUOTIENT(COLUMN(CB$2)-69,3))*5)+MOD(COLUMN(CB$2),3),1,1),"")</f>
        <v>0</v>
      </c>
      <c r="CC149">
        <f ca="1">IF($AN149="",OFFSET(Demand!$A$13,ROW(M146)-1,4+((QUOTIENT(COLUMN(CC$2)-69,3))*5)+MOD(COLUMN(CC$2),3),1,1),"")</f>
        <v>0</v>
      </c>
      <c r="CD149">
        <f ca="1">IF($AN149="",OFFSET(Demand!$A$13,ROW(N146)-1,4+((QUOTIENT(COLUMN(CD$2)-69,3))*5)+MOD(COLUMN(CD$2),3),1,1),"")</f>
        <v>0</v>
      </c>
      <c r="CE149">
        <f ca="1">IF($AN149="",OFFSET(Demand!$A$13,ROW(O146)-1,4+((QUOTIENT(COLUMN(CE$2)-69,3))*5)+MOD(COLUMN(CE$2),3),1,1),"")</f>
        <v>0</v>
      </c>
      <c r="CF149">
        <f ca="1">IF($AN149="",OFFSET(Demand!$A$13,ROW(P146)-1,4+((QUOTIENT(COLUMN(CF$2)-69,3))*5)+MOD(COLUMN(CF$2),3),1,1),"")</f>
        <v>0</v>
      </c>
      <c r="CG149">
        <f ca="1">IF($AN149="",OFFSET(Demand!$A$13,ROW(Q146)-1,4+((QUOTIENT(COLUMN(CG$2)-69,3))*5)+MOD(COLUMN(CG$2),3),1,1),"")</f>
        <v>0</v>
      </c>
      <c r="CH149">
        <f ca="1">IF($AN149="",OFFSET(Demand!$A$13,ROW(R146)-1,4+((QUOTIENT(COLUMN(CH$2)-69,3))*5)+MOD(COLUMN(CH$2),3),1,1),"")</f>
        <v>0</v>
      </c>
      <c r="CI149">
        <f ca="1">IF($AN149="",OFFSET(Demand!$A$13,ROW(S146)-1,4+((QUOTIENT(COLUMN(CI$2)-69,3))*5)+MOD(COLUMN(CI$2),3),1,1),"")</f>
        <v>0</v>
      </c>
      <c r="CJ149">
        <f ca="1">IF($AN149="",OFFSET(Demand!$A$13,ROW(T146)-1,4+((QUOTIENT(COLUMN(CJ$2)-69,3))*5)+MOD(COLUMN(CJ$2),3),1,1),"")</f>
        <v>0</v>
      </c>
      <c r="CK149">
        <f ca="1">IF($AN149="",OFFSET(Demand!$A$13,ROW(U146)-1,4+((QUOTIENT(COLUMN(CK$2)-69,3))*5)+MOD(COLUMN(CK$2),3),1,1),"")</f>
        <v>0</v>
      </c>
      <c r="CL149">
        <f ca="1">IF($AN149="",OFFSET(Demand!$A$13,ROW(V146)-1,4+((QUOTIENT(COLUMN(CL$2)-69,3))*5)+MOD(COLUMN(CL$2),3),1,1),"")</f>
        <v>0</v>
      </c>
      <c r="CM149">
        <f ca="1">IF($AN149="",OFFSET(Demand!$A$13,ROW(W146)-1,4+((QUOTIENT(COLUMN(CM$2)-69,3))*5)+MOD(COLUMN(CM$2),3),1,1),"")</f>
        <v>0</v>
      </c>
      <c r="CN149">
        <f ca="1">IF($AN149="",OFFSET(Demand!$A$13,ROW(X146)-1,4+((QUOTIENT(COLUMN(CN$2)-69,3))*5)+MOD(COLUMN(CN$2),3),1,1),"")</f>
        <v>0</v>
      </c>
      <c r="CO149">
        <f ca="1">IF($AN149="",OFFSET(Demand!$A$13,ROW(Y146)-1,4+((QUOTIENT(COLUMN(CO$2)-69,3))*5)+MOD(COLUMN(CO$2),3),1,1),"")</f>
        <v>0</v>
      </c>
      <c r="CP149">
        <f ca="1">IF($AN149="",OFFSET(Demand!$A$13,ROW(Z146)-1,4+((QUOTIENT(COLUMN(CP$2)-69,3))*5)+MOD(COLUMN(CP$2),3),1,1),"")</f>
        <v>0</v>
      </c>
      <c r="CQ149">
        <f ca="1">IF($AN149="",OFFSET(Demand!$A$13,ROW(AA146)-1,4+((QUOTIENT(COLUMN(CQ$2)-69,3))*5)+MOD(COLUMN(CQ$2),3),1,1),"")</f>
        <v>0</v>
      </c>
      <c r="CR149">
        <f ca="1">IF($AN149="",OFFSET(Demand!$A$13,ROW(AB146)-1,4+((QUOTIENT(COLUMN(CR$2)-69,3))*5)+MOD(COLUMN(CR$2),3),1,1),"")</f>
        <v>0</v>
      </c>
      <c r="CS149">
        <f ca="1">IF($AN149="",OFFSET(Demand!$A$13,ROW(AC146)-1,4+((QUOTIENT(COLUMN(CS$2)-69,3))*5)+MOD(COLUMN(CS$2),3),1,1),"")</f>
        <v>0</v>
      </c>
      <c r="CT149">
        <f ca="1">IF($AN149="",OFFSET(Demand!$A$13,ROW(AD146)-1,4+((QUOTIENT(COLUMN(CT$2)-69,3))*5)+MOD(COLUMN(CT$2),3),1,1),"")</f>
        <v>0</v>
      </c>
      <c r="CW149" s="5">
        <f ca="1">SUM(OFFSET(Demand!$H$43,ROW(A146)-1,(COLUMN(A146)-1)*5,1,1))*N$2</f>
        <v>0</v>
      </c>
      <c r="CX149" s="5">
        <f ca="1">SUM(OFFSET(Demand!$H$43,ROW(B146)-1,(COLUMN(B146)-1)*5,1,1))*O$2</f>
        <v>0</v>
      </c>
      <c r="CY149" s="5">
        <f ca="1">SUM(OFFSET(Demand!$H$43,ROW(C146)-1,(COLUMN(C146)-1)*5,1,1))*P$2</f>
        <v>0</v>
      </c>
      <c r="CZ149" s="5">
        <f ca="1">SUM(OFFSET(Demand!$H$43,ROW(D146)-1,(COLUMN(D146)-1)*5,1,1))*Q$2</f>
        <v>0</v>
      </c>
      <c r="DA149" s="5">
        <f ca="1">SUM(OFFSET(Demand!$H$43,ROW(E146)-1,(COLUMN(E146)-1)*5,1,1))*R$2</f>
        <v>0</v>
      </c>
      <c r="DB149" s="5">
        <f ca="1">SUM(OFFSET(Demand!$H$43,ROW(F146)-1,(COLUMN(F146)-1)*5,1,1))*S$2</f>
        <v>0</v>
      </c>
      <c r="DC149" s="5">
        <f ca="1">SUM(OFFSET(Demand!$H$43,ROW(G146)-1,(COLUMN(G146)-1)*5,1,1))*T$2</f>
        <v>0</v>
      </c>
      <c r="DD149" s="5">
        <f ca="1">SUM(OFFSET(Demand!$H$43,ROW(H146)-1,(COLUMN(H146)-1)*5,1,1))*U$2</f>
        <v>0</v>
      </c>
      <c r="DE149" s="5">
        <f ca="1">SUM(OFFSET(Demand!$H$43,ROW(I146)-1,(COLUMN(I146)-1)*5,1,1))*V$2</f>
        <v>0</v>
      </c>
      <c r="DF149" s="5">
        <f ca="1">SUM(OFFSET(Demand!$H$43,ROW(J146)-1,(COLUMN(J146)-1)*5,1,1))*W$2</f>
        <v>0</v>
      </c>
      <c r="DG149" s="5">
        <f t="shared" ca="1" si="44"/>
        <v>0</v>
      </c>
    </row>
    <row r="150" spans="1:111" x14ac:dyDescent="0.2">
      <c r="A150" s="5">
        <f t="shared" ca="1" si="38"/>
        <v>0</v>
      </c>
      <c r="B150" s="5">
        <f ca="1">COUNTBLANK(OFFSET(Demand!$I159,0,(COLUMN(A147)-1)*5,1,1))</f>
        <v>0</v>
      </c>
      <c r="C150" s="5">
        <f ca="1">COUNTBLANK(OFFSET(Demand!$I159,0,(COLUMN(B147)-1)*5,1,1))</f>
        <v>0</v>
      </c>
      <c r="D150" s="5">
        <f ca="1">COUNTBLANK(OFFSET(Demand!$I159,0,(COLUMN(C147)-1)*5,1,1))</f>
        <v>1</v>
      </c>
      <c r="E150" s="5">
        <f ca="1">COUNTBLANK(OFFSET(Demand!$I159,0,(COLUMN(D147)-1)*5,1,1))</f>
        <v>1</v>
      </c>
      <c r="F150" s="5">
        <f ca="1">COUNTBLANK(OFFSET(Demand!$I159,0,(COLUMN(E147)-1)*5,1,1))</f>
        <v>1</v>
      </c>
      <c r="G150" s="5">
        <f ca="1">COUNTBLANK(OFFSET(Demand!$I159,0,(COLUMN(F147)-1)*5,1,1))</f>
        <v>1</v>
      </c>
      <c r="H150" s="5">
        <f ca="1">COUNTBLANK(OFFSET(Demand!$I159,0,(COLUMN(G147)-1)*5,1,1))</f>
        <v>1</v>
      </c>
      <c r="I150" s="5">
        <f ca="1">COUNTBLANK(OFFSET(Demand!$I159,0,(COLUMN(H147)-1)*5,1,1))</f>
        <v>1</v>
      </c>
      <c r="J150" s="5">
        <f ca="1">COUNTBLANK(OFFSET(Demand!$I159,0,(COLUMN(I147)-1)*5,1,1))</f>
        <v>1</v>
      </c>
      <c r="K150" s="5">
        <f ca="1">COUNTBLANK(OFFSET(Demand!$I159,0,(COLUMN(J147)-1)*5,1,1))</f>
        <v>1</v>
      </c>
      <c r="N150" s="5">
        <f ca="1">SUM(OFFSET(Demand!$E159,0,(COLUMN(A147)-1)*5,1,3))*N$2</f>
        <v>90</v>
      </c>
      <c r="O150" s="5">
        <f ca="1">SUM(OFFSET(Demand!$E159,0,(COLUMN(B147)-1)*5,1,3))*O$2</f>
        <v>360</v>
      </c>
      <c r="P150" s="5">
        <f ca="1">SUM(OFFSET(Demand!$E159,0,(COLUMN(C147)-1)*5,1,3))*P$2</f>
        <v>0</v>
      </c>
      <c r="Q150" s="5">
        <f ca="1">SUM(OFFSET(Demand!$E159,0,(COLUMN(D147)-1)*5,1,3))*Q$2</f>
        <v>0</v>
      </c>
      <c r="R150" s="5">
        <f ca="1">SUM(OFFSET(Demand!$E159,0,(COLUMN(E147)-1)*5,1,3))*R$2</f>
        <v>0</v>
      </c>
      <c r="S150" s="5">
        <f ca="1">SUM(OFFSET(Demand!$E159,0,(COLUMN(F147)-1)*5,1,3))*S$2</f>
        <v>0</v>
      </c>
      <c r="T150" s="5">
        <f ca="1">SUM(OFFSET(Demand!$E159,0,(COLUMN(G147)-1)*5,1,3))*T$2</f>
        <v>0</v>
      </c>
      <c r="U150" s="5">
        <f ca="1">SUM(OFFSET(Demand!$E159,0,(COLUMN(H147)-1)*5,1,3))*U$2</f>
        <v>0</v>
      </c>
      <c r="V150" s="5">
        <f ca="1">SUM(OFFSET(Demand!$E159,0,(COLUMN(I147)-1)*5,1,3))*V$2</f>
        <v>0</v>
      </c>
      <c r="W150" s="5">
        <f ca="1">SUM(OFFSET(Demand!$E159,0,(COLUMN(J147)-1)*5,1,3))*W$2</f>
        <v>0</v>
      </c>
      <c r="X150" s="5">
        <f t="shared" ca="1" si="39"/>
        <v>450</v>
      </c>
      <c r="Y150">
        <f t="shared" ca="1" si="40"/>
        <v>450</v>
      </c>
      <c r="Z150" s="5">
        <f ca="1">SUM(OFFSET(Demand!$H159,0,(COLUMN(A147)-1)*5,1,1))*N$2</f>
        <v>0</v>
      </c>
      <c r="AA150" s="5">
        <f ca="1">SUM(OFFSET(Demand!$H159,0,(COLUMN(B147)-1)*5,1,1))*O$2</f>
        <v>0</v>
      </c>
      <c r="AB150" s="5">
        <f ca="1">SUM(OFFSET(Demand!$H159,0,(COLUMN(C147)-1)*5,1,1))*P$2</f>
        <v>0</v>
      </c>
      <c r="AC150" s="5">
        <f ca="1">SUM(OFFSET(Demand!$H159,0,(COLUMN(D147)-1)*5,1,1))*Q$2</f>
        <v>0</v>
      </c>
      <c r="AD150" s="5">
        <f ca="1">SUM(OFFSET(Demand!$H159,0,(COLUMN(E147)-1)*5,1,1))*R$2</f>
        <v>0</v>
      </c>
      <c r="AE150" s="5">
        <f ca="1">SUM(OFFSET(Demand!$H159,0,(COLUMN(F147)-1)*5,1,1))*S$2</f>
        <v>0</v>
      </c>
      <c r="AF150" s="5">
        <f ca="1">SUM(OFFSET(Demand!$H159,0,(COLUMN(G147)-1)*5,1,1))*T$2</f>
        <v>0</v>
      </c>
      <c r="AG150" s="5">
        <f ca="1">SUM(OFFSET(Demand!$H159,0,(COLUMN(H147)-1)*5,1,1))*U$2</f>
        <v>0</v>
      </c>
      <c r="AH150" s="5">
        <f ca="1">SUM(OFFSET(Demand!$H159,0,(COLUMN(I147)-1)*5,1,1))*V$2</f>
        <v>0</v>
      </c>
      <c r="AI150" s="5">
        <f ca="1">SUM(OFFSET(Demand!$H159,0,(COLUMN(J147)-1)*5,1,1))*W$2</f>
        <v>0</v>
      </c>
      <c r="AJ150" s="5">
        <f t="shared" ca="1" si="41"/>
        <v>0</v>
      </c>
      <c r="AL150" s="5">
        <f t="shared" ca="1" si="42"/>
        <v>450</v>
      </c>
      <c r="AM150" s="5">
        <f t="shared" ca="1" si="43"/>
        <v>0</v>
      </c>
      <c r="AN150" s="5" t="str">
        <f>IF(Demand!BE159="Yes","Yes","")</f>
        <v/>
      </c>
      <c r="AP150" s="37" t="str">
        <f ca="1">Demand!B159</f>
        <v xml:space="preserve"> </v>
      </c>
      <c r="AQ150" t="str">
        <f ca="1">IF(TEXT(Demand!D159,"MMM")&lt;&gt;TEXT(Demand!D158,"MMM"),TEXT(Demand!D159,"MMM"),"")</f>
        <v/>
      </c>
      <c r="AT150" s="5">
        <f t="shared" ca="1" si="45"/>
        <v>180</v>
      </c>
      <c r="BQ150">
        <f ca="1">IF($AN150="",OFFSET(Demand!$A$13,ROW(A147)-1,4+((QUOTIENT(COLUMN(BQ$2)-69,3))*5)+MOD(COLUMN(BQ$2),3),1,1),"")</f>
        <v>0</v>
      </c>
      <c r="BR150">
        <f ca="1">IF($AN150="",OFFSET(Demand!$A$13,ROW(B147)-1,4+((QUOTIENT(COLUMN(BR$2)-69,3))*5)+MOD(COLUMN(BR$2),3),1,1),"")</f>
        <v>1</v>
      </c>
      <c r="BS150">
        <f ca="1">IF($AN150="",OFFSET(Demand!$A$13,ROW(C147)-1,4+((QUOTIENT(COLUMN(BS$2)-69,3))*5)+MOD(COLUMN(BS$2),3),1,1),"")</f>
        <v>2</v>
      </c>
      <c r="BT150">
        <f ca="1">IF($AN150="",OFFSET(Demand!$A$13,ROW(D147)-1,4+((QUOTIENT(COLUMN(BT$2)-69,3))*5)+MOD(COLUMN(BT$2),3),1,1),"")</f>
        <v>0</v>
      </c>
      <c r="BU150">
        <f ca="1">IF($AN150="",OFFSET(Demand!$A$13,ROW(E147)-1,4+((QUOTIENT(COLUMN(BU$2)-69,3))*5)+MOD(COLUMN(BU$2),3),1,1),"")</f>
        <v>3</v>
      </c>
      <c r="BV150">
        <f ca="1">IF($AN150="",OFFSET(Demand!$A$13,ROW(F147)-1,4+((QUOTIENT(COLUMN(BV$2)-69,3))*5)+MOD(COLUMN(BV$2),3),1,1),"")</f>
        <v>6</v>
      </c>
      <c r="BW150">
        <f ca="1">IF($AN150="",OFFSET(Demand!$A$13,ROW(G147)-1,4+((QUOTIENT(COLUMN(BW$2)-69,3))*5)+MOD(COLUMN(BW$2),3),1,1),"")</f>
        <v>0</v>
      </c>
      <c r="BX150">
        <f ca="1">IF($AN150="",OFFSET(Demand!$A$13,ROW(H147)-1,4+((QUOTIENT(COLUMN(BX$2)-69,3))*5)+MOD(COLUMN(BX$2),3),1,1),"")</f>
        <v>0</v>
      </c>
      <c r="BY150">
        <f ca="1">IF($AN150="",OFFSET(Demand!$A$13,ROW(I147)-1,4+((QUOTIENT(COLUMN(BY$2)-69,3))*5)+MOD(COLUMN(BY$2),3),1,1),"")</f>
        <v>0</v>
      </c>
      <c r="BZ150">
        <f ca="1">IF($AN150="",OFFSET(Demand!$A$13,ROW(J147)-1,4+((QUOTIENT(COLUMN(BZ$2)-69,3))*5)+MOD(COLUMN(BZ$2),3),1,1),"")</f>
        <v>0</v>
      </c>
      <c r="CA150">
        <f ca="1">IF($AN150="",OFFSET(Demand!$A$13,ROW(K147)-1,4+((QUOTIENT(COLUMN(CA$2)-69,3))*5)+MOD(COLUMN(CA$2),3),1,1),"")</f>
        <v>0</v>
      </c>
      <c r="CB150">
        <f ca="1">IF($AN150="",OFFSET(Demand!$A$13,ROW(L147)-1,4+((QUOTIENT(COLUMN(CB$2)-69,3))*5)+MOD(COLUMN(CB$2),3),1,1),"")</f>
        <v>0</v>
      </c>
      <c r="CC150">
        <f ca="1">IF($AN150="",OFFSET(Demand!$A$13,ROW(M147)-1,4+((QUOTIENT(COLUMN(CC$2)-69,3))*5)+MOD(COLUMN(CC$2),3),1,1),"")</f>
        <v>0</v>
      </c>
      <c r="CD150">
        <f ca="1">IF($AN150="",OFFSET(Demand!$A$13,ROW(N147)-1,4+((QUOTIENT(COLUMN(CD$2)-69,3))*5)+MOD(COLUMN(CD$2),3),1,1),"")</f>
        <v>0</v>
      </c>
      <c r="CE150">
        <f ca="1">IF($AN150="",OFFSET(Demand!$A$13,ROW(O147)-1,4+((QUOTIENT(COLUMN(CE$2)-69,3))*5)+MOD(COLUMN(CE$2),3),1,1),"")</f>
        <v>0</v>
      </c>
      <c r="CF150">
        <f ca="1">IF($AN150="",OFFSET(Demand!$A$13,ROW(P147)-1,4+((QUOTIENT(COLUMN(CF$2)-69,3))*5)+MOD(COLUMN(CF$2),3),1,1),"")</f>
        <v>0</v>
      </c>
      <c r="CG150">
        <f ca="1">IF($AN150="",OFFSET(Demand!$A$13,ROW(Q147)-1,4+((QUOTIENT(COLUMN(CG$2)-69,3))*5)+MOD(COLUMN(CG$2),3),1,1),"")</f>
        <v>0</v>
      </c>
      <c r="CH150">
        <f ca="1">IF($AN150="",OFFSET(Demand!$A$13,ROW(R147)-1,4+((QUOTIENT(COLUMN(CH$2)-69,3))*5)+MOD(COLUMN(CH$2),3),1,1),"")</f>
        <v>0</v>
      </c>
      <c r="CI150">
        <f ca="1">IF($AN150="",OFFSET(Demand!$A$13,ROW(S147)-1,4+((QUOTIENT(COLUMN(CI$2)-69,3))*5)+MOD(COLUMN(CI$2),3),1,1),"")</f>
        <v>0</v>
      </c>
      <c r="CJ150">
        <f ca="1">IF($AN150="",OFFSET(Demand!$A$13,ROW(T147)-1,4+((QUOTIENT(COLUMN(CJ$2)-69,3))*5)+MOD(COLUMN(CJ$2),3),1,1),"")</f>
        <v>0</v>
      </c>
      <c r="CK150">
        <f ca="1">IF($AN150="",OFFSET(Demand!$A$13,ROW(U147)-1,4+((QUOTIENT(COLUMN(CK$2)-69,3))*5)+MOD(COLUMN(CK$2),3),1,1),"")</f>
        <v>0</v>
      </c>
      <c r="CL150">
        <f ca="1">IF($AN150="",OFFSET(Demand!$A$13,ROW(V147)-1,4+((QUOTIENT(COLUMN(CL$2)-69,3))*5)+MOD(COLUMN(CL$2),3),1,1),"")</f>
        <v>0</v>
      </c>
      <c r="CM150">
        <f ca="1">IF($AN150="",OFFSET(Demand!$A$13,ROW(W147)-1,4+((QUOTIENT(COLUMN(CM$2)-69,3))*5)+MOD(COLUMN(CM$2),3),1,1),"")</f>
        <v>0</v>
      </c>
      <c r="CN150">
        <f ca="1">IF($AN150="",OFFSET(Demand!$A$13,ROW(X147)-1,4+((QUOTIENT(COLUMN(CN$2)-69,3))*5)+MOD(COLUMN(CN$2),3),1,1),"")</f>
        <v>0</v>
      </c>
      <c r="CO150">
        <f ca="1">IF($AN150="",OFFSET(Demand!$A$13,ROW(Y147)-1,4+((QUOTIENT(COLUMN(CO$2)-69,3))*5)+MOD(COLUMN(CO$2),3),1,1),"")</f>
        <v>0</v>
      </c>
      <c r="CP150">
        <f ca="1">IF($AN150="",OFFSET(Demand!$A$13,ROW(Z147)-1,4+((QUOTIENT(COLUMN(CP$2)-69,3))*5)+MOD(COLUMN(CP$2),3),1,1),"")</f>
        <v>0</v>
      </c>
      <c r="CQ150">
        <f ca="1">IF($AN150="",OFFSET(Demand!$A$13,ROW(AA147)-1,4+((QUOTIENT(COLUMN(CQ$2)-69,3))*5)+MOD(COLUMN(CQ$2),3),1,1),"")</f>
        <v>0</v>
      </c>
      <c r="CR150">
        <f ca="1">IF($AN150="",OFFSET(Demand!$A$13,ROW(AB147)-1,4+((QUOTIENT(COLUMN(CR$2)-69,3))*5)+MOD(COLUMN(CR$2),3),1,1),"")</f>
        <v>0</v>
      </c>
      <c r="CS150">
        <f ca="1">IF($AN150="",OFFSET(Demand!$A$13,ROW(AC147)-1,4+((QUOTIENT(COLUMN(CS$2)-69,3))*5)+MOD(COLUMN(CS$2),3),1,1),"")</f>
        <v>0</v>
      </c>
      <c r="CT150">
        <f ca="1">IF($AN150="",OFFSET(Demand!$A$13,ROW(AD147)-1,4+((QUOTIENT(COLUMN(CT$2)-69,3))*5)+MOD(COLUMN(CT$2),3),1,1),"")</f>
        <v>0</v>
      </c>
      <c r="CW150" s="5">
        <f ca="1">SUM(OFFSET(Demand!$H$43,ROW(A147)-1,(COLUMN(A147)-1)*5,1,1))*N$2</f>
        <v>0</v>
      </c>
      <c r="CX150" s="5">
        <f ca="1">SUM(OFFSET(Demand!$H$43,ROW(B147)-1,(COLUMN(B147)-1)*5,1,1))*O$2</f>
        <v>0</v>
      </c>
      <c r="CY150" s="5">
        <f ca="1">SUM(OFFSET(Demand!$H$43,ROW(C147)-1,(COLUMN(C147)-1)*5,1,1))*P$2</f>
        <v>0</v>
      </c>
      <c r="CZ150" s="5">
        <f ca="1">SUM(OFFSET(Demand!$H$43,ROW(D147)-1,(COLUMN(D147)-1)*5,1,1))*Q$2</f>
        <v>0</v>
      </c>
      <c r="DA150" s="5">
        <f ca="1">SUM(OFFSET(Demand!$H$43,ROW(E147)-1,(COLUMN(E147)-1)*5,1,1))*R$2</f>
        <v>0</v>
      </c>
      <c r="DB150" s="5">
        <f ca="1">SUM(OFFSET(Demand!$H$43,ROW(F147)-1,(COLUMN(F147)-1)*5,1,1))*S$2</f>
        <v>0</v>
      </c>
      <c r="DC150" s="5">
        <f ca="1">SUM(OFFSET(Demand!$H$43,ROW(G147)-1,(COLUMN(G147)-1)*5,1,1))*T$2</f>
        <v>0</v>
      </c>
      <c r="DD150" s="5">
        <f ca="1">SUM(OFFSET(Demand!$H$43,ROW(H147)-1,(COLUMN(H147)-1)*5,1,1))*U$2</f>
        <v>0</v>
      </c>
      <c r="DE150" s="5">
        <f ca="1">SUM(OFFSET(Demand!$H$43,ROW(I147)-1,(COLUMN(I147)-1)*5,1,1))*V$2</f>
        <v>0</v>
      </c>
      <c r="DF150" s="5">
        <f ca="1">SUM(OFFSET(Demand!$H$43,ROW(J147)-1,(COLUMN(J147)-1)*5,1,1))*W$2</f>
        <v>0</v>
      </c>
      <c r="DG150" s="5">
        <f t="shared" ca="1" si="44"/>
        <v>0</v>
      </c>
    </row>
    <row r="151" spans="1:111" x14ac:dyDescent="0.2">
      <c r="A151" s="5">
        <f t="shared" ca="1" si="38"/>
        <v>0</v>
      </c>
      <c r="B151" s="5">
        <f ca="1">COUNTBLANK(OFFSET(Demand!$I160,0,(COLUMN(A148)-1)*5,1,1))</f>
        <v>0</v>
      </c>
      <c r="C151" s="5">
        <f ca="1">COUNTBLANK(OFFSET(Demand!$I160,0,(COLUMN(B148)-1)*5,1,1))</f>
        <v>0</v>
      </c>
      <c r="D151" s="5">
        <f ca="1">COUNTBLANK(OFFSET(Demand!$I160,0,(COLUMN(C148)-1)*5,1,1))</f>
        <v>1</v>
      </c>
      <c r="E151" s="5">
        <f ca="1">COUNTBLANK(OFFSET(Demand!$I160,0,(COLUMN(D148)-1)*5,1,1))</f>
        <v>1</v>
      </c>
      <c r="F151" s="5">
        <f ca="1">COUNTBLANK(OFFSET(Demand!$I160,0,(COLUMN(E148)-1)*5,1,1))</f>
        <v>1</v>
      </c>
      <c r="G151" s="5">
        <f ca="1">COUNTBLANK(OFFSET(Demand!$I160,0,(COLUMN(F148)-1)*5,1,1))</f>
        <v>1</v>
      </c>
      <c r="H151" s="5">
        <f ca="1">COUNTBLANK(OFFSET(Demand!$I160,0,(COLUMN(G148)-1)*5,1,1))</f>
        <v>1</v>
      </c>
      <c r="I151" s="5">
        <f ca="1">COUNTBLANK(OFFSET(Demand!$I160,0,(COLUMN(H148)-1)*5,1,1))</f>
        <v>1</v>
      </c>
      <c r="J151" s="5">
        <f ca="1">COUNTBLANK(OFFSET(Demand!$I160,0,(COLUMN(I148)-1)*5,1,1))</f>
        <v>1</v>
      </c>
      <c r="K151" s="5">
        <f ca="1">COUNTBLANK(OFFSET(Demand!$I160,0,(COLUMN(J148)-1)*5,1,1))</f>
        <v>1</v>
      </c>
      <c r="N151" s="5">
        <f ca="1">SUM(OFFSET(Demand!$E160,0,(COLUMN(A148)-1)*5,1,3))*N$2</f>
        <v>150</v>
      </c>
      <c r="O151" s="5">
        <f ca="1">SUM(OFFSET(Demand!$E160,0,(COLUMN(B148)-1)*5,1,3))*O$2</f>
        <v>600</v>
      </c>
      <c r="P151" s="5">
        <f ca="1">SUM(OFFSET(Demand!$E160,0,(COLUMN(C148)-1)*5,1,3))*P$2</f>
        <v>0</v>
      </c>
      <c r="Q151" s="5">
        <f ca="1">SUM(OFFSET(Demand!$E160,0,(COLUMN(D148)-1)*5,1,3))*Q$2</f>
        <v>0</v>
      </c>
      <c r="R151" s="5">
        <f ca="1">SUM(OFFSET(Demand!$E160,0,(COLUMN(E148)-1)*5,1,3))*R$2</f>
        <v>0</v>
      </c>
      <c r="S151" s="5">
        <f ca="1">SUM(OFFSET(Demand!$E160,0,(COLUMN(F148)-1)*5,1,3))*S$2</f>
        <v>0</v>
      </c>
      <c r="T151" s="5">
        <f ca="1">SUM(OFFSET(Demand!$E160,0,(COLUMN(G148)-1)*5,1,3))*T$2</f>
        <v>0</v>
      </c>
      <c r="U151" s="5">
        <f ca="1">SUM(OFFSET(Demand!$E160,0,(COLUMN(H148)-1)*5,1,3))*U$2</f>
        <v>0</v>
      </c>
      <c r="V151" s="5">
        <f ca="1">SUM(OFFSET(Demand!$E160,0,(COLUMN(I148)-1)*5,1,3))*V$2</f>
        <v>0</v>
      </c>
      <c r="W151" s="5">
        <f ca="1">SUM(OFFSET(Demand!$E160,0,(COLUMN(J148)-1)*5,1,3))*W$2</f>
        <v>0</v>
      </c>
      <c r="X151" s="5">
        <f t="shared" ca="1" si="39"/>
        <v>750</v>
      </c>
      <c r="Y151">
        <f t="shared" ca="1" si="40"/>
        <v>750</v>
      </c>
      <c r="Z151" s="5">
        <f ca="1">SUM(OFFSET(Demand!$H160,0,(COLUMN(A148)-1)*5,1,1))*N$2</f>
        <v>0</v>
      </c>
      <c r="AA151" s="5">
        <f ca="1">SUM(OFFSET(Demand!$H160,0,(COLUMN(B148)-1)*5,1,1))*O$2</f>
        <v>0</v>
      </c>
      <c r="AB151" s="5">
        <f ca="1">SUM(OFFSET(Demand!$H160,0,(COLUMN(C148)-1)*5,1,1))*P$2</f>
        <v>0</v>
      </c>
      <c r="AC151" s="5">
        <f ca="1">SUM(OFFSET(Demand!$H160,0,(COLUMN(D148)-1)*5,1,1))*Q$2</f>
        <v>0</v>
      </c>
      <c r="AD151" s="5">
        <f ca="1">SUM(OFFSET(Demand!$H160,0,(COLUMN(E148)-1)*5,1,1))*R$2</f>
        <v>0</v>
      </c>
      <c r="AE151" s="5">
        <f ca="1">SUM(OFFSET(Demand!$H160,0,(COLUMN(F148)-1)*5,1,1))*S$2</f>
        <v>0</v>
      </c>
      <c r="AF151" s="5">
        <f ca="1">SUM(OFFSET(Demand!$H160,0,(COLUMN(G148)-1)*5,1,1))*T$2</f>
        <v>0</v>
      </c>
      <c r="AG151" s="5">
        <f ca="1">SUM(OFFSET(Demand!$H160,0,(COLUMN(H148)-1)*5,1,1))*U$2</f>
        <v>0</v>
      </c>
      <c r="AH151" s="5">
        <f ca="1">SUM(OFFSET(Demand!$H160,0,(COLUMN(I148)-1)*5,1,1))*V$2</f>
        <v>0</v>
      </c>
      <c r="AI151" s="5">
        <f ca="1">SUM(OFFSET(Demand!$H160,0,(COLUMN(J148)-1)*5,1,1))*W$2</f>
        <v>0</v>
      </c>
      <c r="AJ151" s="5">
        <f t="shared" ca="1" si="41"/>
        <v>0</v>
      </c>
      <c r="AL151" s="5">
        <f t="shared" ca="1" si="42"/>
        <v>750</v>
      </c>
      <c r="AM151" s="5">
        <f t="shared" ca="1" si="43"/>
        <v>0</v>
      </c>
      <c r="AN151" s="5" t="str">
        <f>IF(Demand!BE160="Yes","Yes","")</f>
        <v/>
      </c>
      <c r="AP151" s="37" t="str">
        <f ca="1">Demand!B160</f>
        <v xml:space="preserve"> </v>
      </c>
      <c r="AQ151" t="str">
        <f ca="1">IF(TEXT(Demand!D160,"MMM")&lt;&gt;TEXT(Demand!D159,"MMM"),TEXT(Demand!D160,"MMM"),"")</f>
        <v/>
      </c>
      <c r="AT151" s="5">
        <f t="shared" ca="1" si="45"/>
        <v>300</v>
      </c>
      <c r="BQ151">
        <f ca="1">IF($AN151="",OFFSET(Demand!$A$13,ROW(A148)-1,4+((QUOTIENT(COLUMN(BQ$2)-69,3))*5)+MOD(COLUMN(BQ$2),3),1,1),"")</f>
        <v>0</v>
      </c>
      <c r="BR151">
        <f ca="1">IF($AN151="",OFFSET(Demand!$A$13,ROW(B148)-1,4+((QUOTIENT(COLUMN(BR$2)-69,3))*5)+MOD(COLUMN(BR$2),3),1,1),"")</f>
        <v>0</v>
      </c>
      <c r="BS151">
        <f ca="1">IF($AN151="",OFFSET(Demand!$A$13,ROW(C148)-1,4+((QUOTIENT(COLUMN(BS$2)-69,3))*5)+MOD(COLUMN(BS$2),3),1,1),"")</f>
        <v>5</v>
      </c>
      <c r="BT151">
        <f ca="1">IF($AN151="",OFFSET(Demand!$A$13,ROW(D148)-1,4+((QUOTIENT(COLUMN(BT$2)-69,3))*5)+MOD(COLUMN(BT$2),3),1,1),"")</f>
        <v>0</v>
      </c>
      <c r="BU151">
        <f ca="1">IF($AN151="",OFFSET(Demand!$A$13,ROW(E148)-1,4+((QUOTIENT(COLUMN(BU$2)-69,3))*5)+MOD(COLUMN(BU$2),3),1,1),"")</f>
        <v>3</v>
      </c>
      <c r="BV151">
        <f ca="1">IF($AN151="",OFFSET(Demand!$A$13,ROW(F148)-1,4+((QUOTIENT(COLUMN(BV$2)-69,3))*5)+MOD(COLUMN(BV$2),3),1,1),"")</f>
        <v>12</v>
      </c>
      <c r="BW151">
        <f ca="1">IF($AN151="",OFFSET(Demand!$A$13,ROW(G148)-1,4+((QUOTIENT(COLUMN(BW$2)-69,3))*5)+MOD(COLUMN(BW$2),3),1,1),"")</f>
        <v>0</v>
      </c>
      <c r="BX151">
        <f ca="1">IF($AN151="",OFFSET(Demand!$A$13,ROW(H148)-1,4+((QUOTIENT(COLUMN(BX$2)-69,3))*5)+MOD(COLUMN(BX$2),3),1,1),"")</f>
        <v>0</v>
      </c>
      <c r="BY151">
        <f ca="1">IF($AN151="",OFFSET(Demand!$A$13,ROW(I148)-1,4+((QUOTIENT(COLUMN(BY$2)-69,3))*5)+MOD(COLUMN(BY$2),3),1,1),"")</f>
        <v>0</v>
      </c>
      <c r="BZ151">
        <f ca="1">IF($AN151="",OFFSET(Demand!$A$13,ROW(J148)-1,4+((QUOTIENT(COLUMN(BZ$2)-69,3))*5)+MOD(COLUMN(BZ$2),3),1,1),"")</f>
        <v>0</v>
      </c>
      <c r="CA151">
        <f ca="1">IF($AN151="",OFFSET(Demand!$A$13,ROW(K148)-1,4+((QUOTIENT(COLUMN(CA$2)-69,3))*5)+MOD(COLUMN(CA$2),3),1,1),"")</f>
        <v>0</v>
      </c>
      <c r="CB151">
        <f ca="1">IF($AN151="",OFFSET(Demand!$A$13,ROW(L148)-1,4+((QUOTIENT(COLUMN(CB$2)-69,3))*5)+MOD(COLUMN(CB$2),3),1,1),"")</f>
        <v>0</v>
      </c>
      <c r="CC151">
        <f ca="1">IF($AN151="",OFFSET(Demand!$A$13,ROW(M148)-1,4+((QUOTIENT(COLUMN(CC$2)-69,3))*5)+MOD(COLUMN(CC$2),3),1,1),"")</f>
        <v>0</v>
      </c>
      <c r="CD151">
        <f ca="1">IF($AN151="",OFFSET(Demand!$A$13,ROW(N148)-1,4+((QUOTIENT(COLUMN(CD$2)-69,3))*5)+MOD(COLUMN(CD$2),3),1,1),"")</f>
        <v>0</v>
      </c>
      <c r="CE151">
        <f ca="1">IF($AN151="",OFFSET(Demand!$A$13,ROW(O148)-1,4+((QUOTIENT(COLUMN(CE$2)-69,3))*5)+MOD(COLUMN(CE$2),3),1,1),"")</f>
        <v>0</v>
      </c>
      <c r="CF151">
        <f ca="1">IF($AN151="",OFFSET(Demand!$A$13,ROW(P148)-1,4+((QUOTIENT(COLUMN(CF$2)-69,3))*5)+MOD(COLUMN(CF$2),3),1,1),"")</f>
        <v>0</v>
      </c>
      <c r="CG151">
        <f ca="1">IF($AN151="",OFFSET(Demand!$A$13,ROW(Q148)-1,4+((QUOTIENT(COLUMN(CG$2)-69,3))*5)+MOD(COLUMN(CG$2),3),1,1),"")</f>
        <v>0</v>
      </c>
      <c r="CH151">
        <f ca="1">IF($AN151="",OFFSET(Demand!$A$13,ROW(R148)-1,4+((QUOTIENT(COLUMN(CH$2)-69,3))*5)+MOD(COLUMN(CH$2),3),1,1),"")</f>
        <v>0</v>
      </c>
      <c r="CI151">
        <f ca="1">IF($AN151="",OFFSET(Demand!$A$13,ROW(S148)-1,4+((QUOTIENT(COLUMN(CI$2)-69,3))*5)+MOD(COLUMN(CI$2),3),1,1),"")</f>
        <v>0</v>
      </c>
      <c r="CJ151">
        <f ca="1">IF($AN151="",OFFSET(Demand!$A$13,ROW(T148)-1,4+((QUOTIENT(COLUMN(CJ$2)-69,3))*5)+MOD(COLUMN(CJ$2),3),1,1),"")</f>
        <v>0</v>
      </c>
      <c r="CK151">
        <f ca="1">IF($AN151="",OFFSET(Demand!$A$13,ROW(U148)-1,4+((QUOTIENT(COLUMN(CK$2)-69,3))*5)+MOD(COLUMN(CK$2),3),1,1),"")</f>
        <v>0</v>
      </c>
      <c r="CL151">
        <f ca="1">IF($AN151="",OFFSET(Demand!$A$13,ROW(V148)-1,4+((QUOTIENT(COLUMN(CL$2)-69,3))*5)+MOD(COLUMN(CL$2),3),1,1),"")</f>
        <v>0</v>
      </c>
      <c r="CM151">
        <f ca="1">IF($AN151="",OFFSET(Demand!$A$13,ROW(W148)-1,4+((QUOTIENT(COLUMN(CM$2)-69,3))*5)+MOD(COLUMN(CM$2),3),1,1),"")</f>
        <v>0</v>
      </c>
      <c r="CN151">
        <f ca="1">IF($AN151="",OFFSET(Demand!$A$13,ROW(X148)-1,4+((QUOTIENT(COLUMN(CN$2)-69,3))*5)+MOD(COLUMN(CN$2),3),1,1),"")</f>
        <v>0</v>
      </c>
      <c r="CO151">
        <f ca="1">IF($AN151="",OFFSET(Demand!$A$13,ROW(Y148)-1,4+((QUOTIENT(COLUMN(CO$2)-69,3))*5)+MOD(COLUMN(CO$2),3),1,1),"")</f>
        <v>0</v>
      </c>
      <c r="CP151">
        <f ca="1">IF($AN151="",OFFSET(Demand!$A$13,ROW(Z148)-1,4+((QUOTIENT(COLUMN(CP$2)-69,3))*5)+MOD(COLUMN(CP$2),3),1,1),"")</f>
        <v>0</v>
      </c>
      <c r="CQ151">
        <f ca="1">IF($AN151="",OFFSET(Demand!$A$13,ROW(AA148)-1,4+((QUOTIENT(COLUMN(CQ$2)-69,3))*5)+MOD(COLUMN(CQ$2),3),1,1),"")</f>
        <v>0</v>
      </c>
      <c r="CR151">
        <f ca="1">IF($AN151="",OFFSET(Demand!$A$13,ROW(AB148)-1,4+((QUOTIENT(COLUMN(CR$2)-69,3))*5)+MOD(COLUMN(CR$2),3),1,1),"")</f>
        <v>0</v>
      </c>
      <c r="CS151">
        <f ca="1">IF($AN151="",OFFSET(Demand!$A$13,ROW(AC148)-1,4+((QUOTIENT(COLUMN(CS$2)-69,3))*5)+MOD(COLUMN(CS$2),3),1,1),"")</f>
        <v>0</v>
      </c>
      <c r="CT151">
        <f ca="1">IF($AN151="",OFFSET(Demand!$A$13,ROW(AD148)-1,4+((QUOTIENT(COLUMN(CT$2)-69,3))*5)+MOD(COLUMN(CT$2),3),1,1),"")</f>
        <v>0</v>
      </c>
      <c r="CW151" s="5">
        <f ca="1">SUM(OFFSET(Demand!$H$43,ROW(A148)-1,(COLUMN(A148)-1)*5,1,1))*N$2</f>
        <v>0</v>
      </c>
      <c r="CX151" s="5">
        <f ca="1">SUM(OFFSET(Demand!$H$43,ROW(B148)-1,(COLUMN(B148)-1)*5,1,1))*O$2</f>
        <v>0</v>
      </c>
      <c r="CY151" s="5">
        <f ca="1">SUM(OFFSET(Demand!$H$43,ROW(C148)-1,(COLUMN(C148)-1)*5,1,1))*P$2</f>
        <v>0</v>
      </c>
      <c r="CZ151" s="5">
        <f ca="1">SUM(OFFSET(Demand!$H$43,ROW(D148)-1,(COLUMN(D148)-1)*5,1,1))*Q$2</f>
        <v>0</v>
      </c>
      <c r="DA151" s="5">
        <f ca="1">SUM(OFFSET(Demand!$H$43,ROW(E148)-1,(COLUMN(E148)-1)*5,1,1))*R$2</f>
        <v>0</v>
      </c>
      <c r="DB151" s="5">
        <f ca="1">SUM(OFFSET(Demand!$H$43,ROW(F148)-1,(COLUMN(F148)-1)*5,1,1))*S$2</f>
        <v>0</v>
      </c>
      <c r="DC151" s="5">
        <f ca="1">SUM(OFFSET(Demand!$H$43,ROW(G148)-1,(COLUMN(G148)-1)*5,1,1))*T$2</f>
        <v>0</v>
      </c>
      <c r="DD151" s="5">
        <f ca="1">SUM(OFFSET(Demand!$H$43,ROW(H148)-1,(COLUMN(H148)-1)*5,1,1))*U$2</f>
        <v>0</v>
      </c>
      <c r="DE151" s="5">
        <f ca="1">SUM(OFFSET(Demand!$H$43,ROW(I148)-1,(COLUMN(I148)-1)*5,1,1))*V$2</f>
        <v>0</v>
      </c>
      <c r="DF151" s="5">
        <f ca="1">SUM(OFFSET(Demand!$H$43,ROW(J148)-1,(COLUMN(J148)-1)*5,1,1))*W$2</f>
        <v>0</v>
      </c>
      <c r="DG151" s="5">
        <f t="shared" ca="1" si="44"/>
        <v>0</v>
      </c>
    </row>
    <row r="152" spans="1:111" x14ac:dyDescent="0.2">
      <c r="A152" s="5">
        <f t="shared" ca="1" si="38"/>
        <v>0</v>
      </c>
      <c r="B152" s="5">
        <f ca="1">COUNTBLANK(OFFSET(Demand!$I161,0,(COLUMN(A149)-1)*5,1,1))</f>
        <v>0</v>
      </c>
      <c r="C152" s="5">
        <f ca="1">COUNTBLANK(OFFSET(Demand!$I161,0,(COLUMN(B149)-1)*5,1,1))</f>
        <v>0</v>
      </c>
      <c r="D152" s="5">
        <f ca="1">COUNTBLANK(OFFSET(Demand!$I161,0,(COLUMN(C149)-1)*5,1,1))</f>
        <v>1</v>
      </c>
      <c r="E152" s="5">
        <f ca="1">COUNTBLANK(OFFSET(Demand!$I161,0,(COLUMN(D149)-1)*5,1,1))</f>
        <v>1</v>
      </c>
      <c r="F152" s="5">
        <f ca="1">COUNTBLANK(OFFSET(Demand!$I161,0,(COLUMN(E149)-1)*5,1,1))</f>
        <v>1</v>
      </c>
      <c r="G152" s="5">
        <f ca="1">COUNTBLANK(OFFSET(Demand!$I161,0,(COLUMN(F149)-1)*5,1,1))</f>
        <v>1</v>
      </c>
      <c r="H152" s="5">
        <f ca="1">COUNTBLANK(OFFSET(Demand!$I161,0,(COLUMN(G149)-1)*5,1,1))</f>
        <v>1</v>
      </c>
      <c r="I152" s="5">
        <f ca="1">COUNTBLANK(OFFSET(Demand!$I161,0,(COLUMN(H149)-1)*5,1,1))</f>
        <v>1</v>
      </c>
      <c r="J152" s="5">
        <f ca="1">COUNTBLANK(OFFSET(Demand!$I161,0,(COLUMN(I149)-1)*5,1,1))</f>
        <v>1</v>
      </c>
      <c r="K152" s="5">
        <f ca="1">COUNTBLANK(OFFSET(Demand!$I161,0,(COLUMN(J149)-1)*5,1,1))</f>
        <v>1</v>
      </c>
      <c r="N152" s="5">
        <f ca="1">SUM(OFFSET(Demand!$E161,0,(COLUMN(A149)-1)*5,1,3))*N$2</f>
        <v>150</v>
      </c>
      <c r="O152" s="5">
        <f ca="1">SUM(OFFSET(Demand!$E161,0,(COLUMN(B149)-1)*5,1,3))*O$2</f>
        <v>240</v>
      </c>
      <c r="P152" s="5">
        <f ca="1">SUM(OFFSET(Demand!$E161,0,(COLUMN(C149)-1)*5,1,3))*P$2</f>
        <v>0</v>
      </c>
      <c r="Q152" s="5">
        <f ca="1">SUM(OFFSET(Demand!$E161,0,(COLUMN(D149)-1)*5,1,3))*Q$2</f>
        <v>0</v>
      </c>
      <c r="R152" s="5">
        <f ca="1">SUM(OFFSET(Demand!$E161,0,(COLUMN(E149)-1)*5,1,3))*R$2</f>
        <v>0</v>
      </c>
      <c r="S152" s="5">
        <f ca="1">SUM(OFFSET(Demand!$E161,0,(COLUMN(F149)-1)*5,1,3))*S$2</f>
        <v>0</v>
      </c>
      <c r="T152" s="5">
        <f ca="1">SUM(OFFSET(Demand!$E161,0,(COLUMN(G149)-1)*5,1,3))*T$2</f>
        <v>0</v>
      </c>
      <c r="U152" s="5">
        <f ca="1">SUM(OFFSET(Demand!$E161,0,(COLUMN(H149)-1)*5,1,3))*U$2</f>
        <v>0</v>
      </c>
      <c r="V152" s="5">
        <f ca="1">SUM(OFFSET(Demand!$E161,0,(COLUMN(I149)-1)*5,1,3))*V$2</f>
        <v>0</v>
      </c>
      <c r="W152" s="5">
        <f ca="1">SUM(OFFSET(Demand!$E161,0,(COLUMN(J149)-1)*5,1,3))*W$2</f>
        <v>0</v>
      </c>
      <c r="X152" s="5">
        <f t="shared" ca="1" si="39"/>
        <v>390</v>
      </c>
      <c r="Y152">
        <f t="shared" ca="1" si="40"/>
        <v>390</v>
      </c>
      <c r="Z152" s="5">
        <f ca="1">SUM(OFFSET(Demand!$H161,0,(COLUMN(A149)-1)*5,1,1))*N$2</f>
        <v>0</v>
      </c>
      <c r="AA152" s="5">
        <f ca="1">SUM(OFFSET(Demand!$H161,0,(COLUMN(B149)-1)*5,1,1))*O$2</f>
        <v>0</v>
      </c>
      <c r="AB152" s="5">
        <f ca="1">SUM(OFFSET(Demand!$H161,0,(COLUMN(C149)-1)*5,1,1))*P$2</f>
        <v>0</v>
      </c>
      <c r="AC152" s="5">
        <f ca="1">SUM(OFFSET(Demand!$H161,0,(COLUMN(D149)-1)*5,1,1))*Q$2</f>
        <v>0</v>
      </c>
      <c r="AD152" s="5">
        <f ca="1">SUM(OFFSET(Demand!$H161,0,(COLUMN(E149)-1)*5,1,1))*R$2</f>
        <v>0</v>
      </c>
      <c r="AE152" s="5">
        <f ca="1">SUM(OFFSET(Demand!$H161,0,(COLUMN(F149)-1)*5,1,1))*S$2</f>
        <v>0</v>
      </c>
      <c r="AF152" s="5">
        <f ca="1">SUM(OFFSET(Demand!$H161,0,(COLUMN(G149)-1)*5,1,1))*T$2</f>
        <v>0</v>
      </c>
      <c r="AG152" s="5">
        <f ca="1">SUM(OFFSET(Demand!$H161,0,(COLUMN(H149)-1)*5,1,1))*U$2</f>
        <v>0</v>
      </c>
      <c r="AH152" s="5">
        <f ca="1">SUM(OFFSET(Demand!$H161,0,(COLUMN(I149)-1)*5,1,1))*V$2</f>
        <v>0</v>
      </c>
      <c r="AI152" s="5">
        <f ca="1">SUM(OFFSET(Demand!$H161,0,(COLUMN(J149)-1)*5,1,1))*W$2</f>
        <v>0</v>
      </c>
      <c r="AJ152" s="5">
        <f t="shared" ca="1" si="41"/>
        <v>0</v>
      </c>
      <c r="AL152" s="5">
        <f t="shared" ca="1" si="42"/>
        <v>390</v>
      </c>
      <c r="AM152" s="5">
        <f t="shared" ca="1" si="43"/>
        <v>0</v>
      </c>
      <c r="AN152" s="5" t="str">
        <f>IF(Demand!BE161="Yes","Yes","")</f>
        <v/>
      </c>
      <c r="AP152" s="37" t="str">
        <f ca="1">Demand!B161</f>
        <v xml:space="preserve"> </v>
      </c>
      <c r="AQ152" t="str">
        <f ca="1">IF(TEXT(Demand!D161,"MMM")&lt;&gt;TEXT(Demand!D160,"MMM"),TEXT(Demand!D161,"MMM"),"")</f>
        <v>Feb</v>
      </c>
      <c r="AT152" s="5">
        <f t="shared" ca="1" si="45"/>
        <v>360</v>
      </c>
      <c r="BQ152">
        <f ca="1">IF($AN152="",OFFSET(Demand!$A$13,ROW(A149)-1,4+((QUOTIENT(COLUMN(BQ$2)-69,3))*5)+MOD(COLUMN(BQ$2),3),1,1),"")</f>
        <v>0</v>
      </c>
      <c r="BR152">
        <f ca="1">IF($AN152="",OFFSET(Demand!$A$13,ROW(B149)-1,4+((QUOTIENT(COLUMN(BR$2)-69,3))*5)+MOD(COLUMN(BR$2),3),1,1),"")</f>
        <v>0</v>
      </c>
      <c r="BS152">
        <f ca="1">IF($AN152="",OFFSET(Demand!$A$13,ROW(C149)-1,4+((QUOTIENT(COLUMN(BS$2)-69,3))*5)+MOD(COLUMN(BS$2),3),1,1),"")</f>
        <v>5</v>
      </c>
      <c r="BT152">
        <f ca="1">IF($AN152="",OFFSET(Demand!$A$13,ROW(D149)-1,4+((QUOTIENT(COLUMN(BT$2)-69,3))*5)+MOD(COLUMN(BT$2),3),1,1),"")</f>
        <v>0</v>
      </c>
      <c r="BU152">
        <f ca="1">IF($AN152="",OFFSET(Demand!$A$13,ROW(E149)-1,4+((QUOTIENT(COLUMN(BU$2)-69,3))*5)+MOD(COLUMN(BU$2),3),1,1),"")</f>
        <v>2</v>
      </c>
      <c r="BV152">
        <f ca="1">IF($AN152="",OFFSET(Demand!$A$13,ROW(F149)-1,4+((QUOTIENT(COLUMN(BV$2)-69,3))*5)+MOD(COLUMN(BV$2),3),1,1),"")</f>
        <v>4</v>
      </c>
      <c r="BW152">
        <f ca="1">IF($AN152="",OFFSET(Demand!$A$13,ROW(G149)-1,4+((QUOTIENT(COLUMN(BW$2)-69,3))*5)+MOD(COLUMN(BW$2),3),1,1),"")</f>
        <v>0</v>
      </c>
      <c r="BX152">
        <f ca="1">IF($AN152="",OFFSET(Demand!$A$13,ROW(H149)-1,4+((QUOTIENT(COLUMN(BX$2)-69,3))*5)+MOD(COLUMN(BX$2),3),1,1),"")</f>
        <v>0</v>
      </c>
      <c r="BY152">
        <f ca="1">IF($AN152="",OFFSET(Demand!$A$13,ROW(I149)-1,4+((QUOTIENT(COLUMN(BY$2)-69,3))*5)+MOD(COLUMN(BY$2),3),1,1),"")</f>
        <v>0</v>
      </c>
      <c r="BZ152">
        <f ca="1">IF($AN152="",OFFSET(Demand!$A$13,ROW(J149)-1,4+((QUOTIENT(COLUMN(BZ$2)-69,3))*5)+MOD(COLUMN(BZ$2),3),1,1),"")</f>
        <v>0</v>
      </c>
      <c r="CA152">
        <f ca="1">IF($AN152="",OFFSET(Demand!$A$13,ROW(K149)-1,4+((QUOTIENT(COLUMN(CA$2)-69,3))*5)+MOD(COLUMN(CA$2),3),1,1),"")</f>
        <v>0</v>
      </c>
      <c r="CB152">
        <f ca="1">IF($AN152="",OFFSET(Demand!$A$13,ROW(L149)-1,4+((QUOTIENT(COLUMN(CB$2)-69,3))*5)+MOD(COLUMN(CB$2),3),1,1),"")</f>
        <v>0</v>
      </c>
      <c r="CC152">
        <f ca="1">IF($AN152="",OFFSET(Demand!$A$13,ROW(M149)-1,4+((QUOTIENT(COLUMN(CC$2)-69,3))*5)+MOD(COLUMN(CC$2),3),1,1),"")</f>
        <v>0</v>
      </c>
      <c r="CD152">
        <f ca="1">IF($AN152="",OFFSET(Demand!$A$13,ROW(N149)-1,4+((QUOTIENT(COLUMN(CD$2)-69,3))*5)+MOD(COLUMN(CD$2),3),1,1),"")</f>
        <v>0</v>
      </c>
      <c r="CE152">
        <f ca="1">IF($AN152="",OFFSET(Demand!$A$13,ROW(O149)-1,4+((QUOTIENT(COLUMN(CE$2)-69,3))*5)+MOD(COLUMN(CE$2),3),1,1),"")</f>
        <v>0</v>
      </c>
      <c r="CF152">
        <f ca="1">IF($AN152="",OFFSET(Demand!$A$13,ROW(P149)-1,4+((QUOTIENT(COLUMN(CF$2)-69,3))*5)+MOD(COLUMN(CF$2),3),1,1),"")</f>
        <v>0</v>
      </c>
      <c r="CG152">
        <f ca="1">IF($AN152="",OFFSET(Demand!$A$13,ROW(Q149)-1,4+((QUOTIENT(COLUMN(CG$2)-69,3))*5)+MOD(COLUMN(CG$2),3),1,1),"")</f>
        <v>0</v>
      </c>
      <c r="CH152">
        <f ca="1">IF($AN152="",OFFSET(Demand!$A$13,ROW(R149)-1,4+((QUOTIENT(COLUMN(CH$2)-69,3))*5)+MOD(COLUMN(CH$2),3),1,1),"")</f>
        <v>0</v>
      </c>
      <c r="CI152">
        <f ca="1">IF($AN152="",OFFSET(Demand!$A$13,ROW(S149)-1,4+((QUOTIENT(COLUMN(CI$2)-69,3))*5)+MOD(COLUMN(CI$2),3),1,1),"")</f>
        <v>0</v>
      </c>
      <c r="CJ152">
        <f ca="1">IF($AN152="",OFFSET(Demand!$A$13,ROW(T149)-1,4+((QUOTIENT(COLUMN(CJ$2)-69,3))*5)+MOD(COLUMN(CJ$2),3),1,1),"")</f>
        <v>0</v>
      </c>
      <c r="CK152">
        <f ca="1">IF($AN152="",OFFSET(Demand!$A$13,ROW(U149)-1,4+((QUOTIENT(COLUMN(CK$2)-69,3))*5)+MOD(COLUMN(CK$2),3),1,1),"")</f>
        <v>0</v>
      </c>
      <c r="CL152">
        <f ca="1">IF($AN152="",OFFSET(Demand!$A$13,ROW(V149)-1,4+((QUOTIENT(COLUMN(CL$2)-69,3))*5)+MOD(COLUMN(CL$2),3),1,1),"")</f>
        <v>0</v>
      </c>
      <c r="CM152">
        <f ca="1">IF($AN152="",OFFSET(Demand!$A$13,ROW(W149)-1,4+((QUOTIENT(COLUMN(CM$2)-69,3))*5)+MOD(COLUMN(CM$2),3),1,1),"")</f>
        <v>0</v>
      </c>
      <c r="CN152">
        <f ca="1">IF($AN152="",OFFSET(Demand!$A$13,ROW(X149)-1,4+((QUOTIENT(COLUMN(CN$2)-69,3))*5)+MOD(COLUMN(CN$2),3),1,1),"")</f>
        <v>0</v>
      </c>
      <c r="CO152">
        <f ca="1">IF($AN152="",OFFSET(Demand!$A$13,ROW(Y149)-1,4+((QUOTIENT(COLUMN(CO$2)-69,3))*5)+MOD(COLUMN(CO$2),3),1,1),"")</f>
        <v>0</v>
      </c>
      <c r="CP152">
        <f ca="1">IF($AN152="",OFFSET(Demand!$A$13,ROW(Z149)-1,4+((QUOTIENT(COLUMN(CP$2)-69,3))*5)+MOD(COLUMN(CP$2),3),1,1),"")</f>
        <v>0</v>
      </c>
      <c r="CQ152">
        <f ca="1">IF($AN152="",OFFSET(Demand!$A$13,ROW(AA149)-1,4+((QUOTIENT(COLUMN(CQ$2)-69,3))*5)+MOD(COLUMN(CQ$2),3),1,1),"")</f>
        <v>0</v>
      </c>
      <c r="CR152">
        <f ca="1">IF($AN152="",OFFSET(Demand!$A$13,ROW(AB149)-1,4+((QUOTIENT(COLUMN(CR$2)-69,3))*5)+MOD(COLUMN(CR$2),3),1,1),"")</f>
        <v>0</v>
      </c>
      <c r="CS152">
        <f ca="1">IF($AN152="",OFFSET(Demand!$A$13,ROW(AC149)-1,4+((QUOTIENT(COLUMN(CS$2)-69,3))*5)+MOD(COLUMN(CS$2),3),1,1),"")</f>
        <v>0</v>
      </c>
      <c r="CT152">
        <f ca="1">IF($AN152="",OFFSET(Demand!$A$13,ROW(AD149)-1,4+((QUOTIENT(COLUMN(CT$2)-69,3))*5)+MOD(COLUMN(CT$2),3),1,1),"")</f>
        <v>0</v>
      </c>
      <c r="CW152" s="5">
        <f ca="1">SUM(OFFSET(Demand!$H$43,ROW(A149)-1,(COLUMN(A149)-1)*5,1,1))*N$2</f>
        <v>0</v>
      </c>
      <c r="CX152" s="5">
        <f ca="1">SUM(OFFSET(Demand!$H$43,ROW(B149)-1,(COLUMN(B149)-1)*5,1,1))*O$2</f>
        <v>0</v>
      </c>
      <c r="CY152" s="5">
        <f ca="1">SUM(OFFSET(Demand!$H$43,ROW(C149)-1,(COLUMN(C149)-1)*5,1,1))*P$2</f>
        <v>0</v>
      </c>
      <c r="CZ152" s="5">
        <f ca="1">SUM(OFFSET(Demand!$H$43,ROW(D149)-1,(COLUMN(D149)-1)*5,1,1))*Q$2</f>
        <v>0</v>
      </c>
      <c r="DA152" s="5">
        <f ca="1">SUM(OFFSET(Demand!$H$43,ROW(E149)-1,(COLUMN(E149)-1)*5,1,1))*R$2</f>
        <v>0</v>
      </c>
      <c r="DB152" s="5">
        <f ca="1">SUM(OFFSET(Demand!$H$43,ROW(F149)-1,(COLUMN(F149)-1)*5,1,1))*S$2</f>
        <v>0</v>
      </c>
      <c r="DC152" s="5">
        <f ca="1">SUM(OFFSET(Demand!$H$43,ROW(G149)-1,(COLUMN(G149)-1)*5,1,1))*T$2</f>
        <v>0</v>
      </c>
      <c r="DD152" s="5">
        <f ca="1">SUM(OFFSET(Demand!$H$43,ROW(H149)-1,(COLUMN(H149)-1)*5,1,1))*U$2</f>
        <v>0</v>
      </c>
      <c r="DE152" s="5">
        <f ca="1">SUM(OFFSET(Demand!$H$43,ROW(I149)-1,(COLUMN(I149)-1)*5,1,1))*V$2</f>
        <v>0</v>
      </c>
      <c r="DF152" s="5">
        <f ca="1">SUM(OFFSET(Demand!$H$43,ROW(J149)-1,(COLUMN(J149)-1)*5,1,1))*W$2</f>
        <v>0</v>
      </c>
      <c r="DG152" s="5">
        <f t="shared" ca="1" si="44"/>
        <v>0</v>
      </c>
    </row>
    <row r="153" spans="1:111" x14ac:dyDescent="0.2">
      <c r="A153" s="5">
        <f t="shared" ca="1" si="38"/>
        <v>0</v>
      </c>
      <c r="B153" s="5">
        <f ca="1">COUNTBLANK(OFFSET(Demand!$I162,0,(COLUMN(A150)-1)*5,1,1))</f>
        <v>0</v>
      </c>
      <c r="C153" s="5">
        <f ca="1">COUNTBLANK(OFFSET(Demand!$I162,0,(COLUMN(B150)-1)*5,1,1))</f>
        <v>0</v>
      </c>
      <c r="D153" s="5">
        <f ca="1">COUNTBLANK(OFFSET(Demand!$I162,0,(COLUMN(C150)-1)*5,1,1))</f>
        <v>1</v>
      </c>
      <c r="E153" s="5">
        <f ca="1">COUNTBLANK(OFFSET(Demand!$I162,0,(COLUMN(D150)-1)*5,1,1))</f>
        <v>1</v>
      </c>
      <c r="F153" s="5">
        <f ca="1">COUNTBLANK(OFFSET(Demand!$I162,0,(COLUMN(E150)-1)*5,1,1))</f>
        <v>1</v>
      </c>
      <c r="G153" s="5">
        <f ca="1">COUNTBLANK(OFFSET(Demand!$I162,0,(COLUMN(F150)-1)*5,1,1))</f>
        <v>1</v>
      </c>
      <c r="H153" s="5">
        <f ca="1">COUNTBLANK(OFFSET(Demand!$I162,0,(COLUMN(G150)-1)*5,1,1))</f>
        <v>1</v>
      </c>
      <c r="I153" s="5">
        <f ca="1">COUNTBLANK(OFFSET(Demand!$I162,0,(COLUMN(H150)-1)*5,1,1))</f>
        <v>1</v>
      </c>
      <c r="J153" s="5">
        <f ca="1">COUNTBLANK(OFFSET(Demand!$I162,0,(COLUMN(I150)-1)*5,1,1))</f>
        <v>1</v>
      </c>
      <c r="K153" s="5">
        <f ca="1">COUNTBLANK(OFFSET(Demand!$I162,0,(COLUMN(J150)-1)*5,1,1))</f>
        <v>1</v>
      </c>
      <c r="N153" s="5">
        <f ca="1">SUM(OFFSET(Demand!$E162,0,(COLUMN(A150)-1)*5,1,3))*N$2</f>
        <v>60</v>
      </c>
      <c r="O153" s="5">
        <f ca="1">SUM(OFFSET(Demand!$E162,0,(COLUMN(B150)-1)*5,1,3))*O$2</f>
        <v>560</v>
      </c>
      <c r="P153" s="5">
        <f ca="1">SUM(OFFSET(Demand!$E162,0,(COLUMN(C150)-1)*5,1,3))*P$2</f>
        <v>0</v>
      </c>
      <c r="Q153" s="5">
        <f ca="1">SUM(OFFSET(Demand!$E162,0,(COLUMN(D150)-1)*5,1,3))*Q$2</f>
        <v>0</v>
      </c>
      <c r="R153" s="5">
        <f ca="1">SUM(OFFSET(Demand!$E162,0,(COLUMN(E150)-1)*5,1,3))*R$2</f>
        <v>0</v>
      </c>
      <c r="S153" s="5">
        <f ca="1">SUM(OFFSET(Demand!$E162,0,(COLUMN(F150)-1)*5,1,3))*S$2</f>
        <v>0</v>
      </c>
      <c r="T153" s="5">
        <f ca="1">SUM(OFFSET(Demand!$E162,0,(COLUMN(G150)-1)*5,1,3))*T$2</f>
        <v>0</v>
      </c>
      <c r="U153" s="5">
        <f ca="1">SUM(OFFSET(Demand!$E162,0,(COLUMN(H150)-1)*5,1,3))*U$2</f>
        <v>0</v>
      </c>
      <c r="V153" s="5">
        <f ca="1">SUM(OFFSET(Demand!$E162,0,(COLUMN(I150)-1)*5,1,3))*V$2</f>
        <v>0</v>
      </c>
      <c r="W153" s="5">
        <f ca="1">SUM(OFFSET(Demand!$E162,0,(COLUMN(J150)-1)*5,1,3))*W$2</f>
        <v>0</v>
      </c>
      <c r="X153" s="5">
        <f t="shared" ca="1" si="39"/>
        <v>620</v>
      </c>
      <c r="Y153">
        <f t="shared" ca="1" si="40"/>
        <v>620</v>
      </c>
      <c r="Z153" s="5">
        <f ca="1">SUM(OFFSET(Demand!$H162,0,(COLUMN(A150)-1)*5,1,1))*N$2</f>
        <v>0</v>
      </c>
      <c r="AA153" s="5">
        <f ca="1">SUM(OFFSET(Demand!$H162,0,(COLUMN(B150)-1)*5,1,1))*O$2</f>
        <v>0</v>
      </c>
      <c r="AB153" s="5">
        <f ca="1">SUM(OFFSET(Demand!$H162,0,(COLUMN(C150)-1)*5,1,1))*P$2</f>
        <v>0</v>
      </c>
      <c r="AC153" s="5">
        <f ca="1">SUM(OFFSET(Demand!$H162,0,(COLUMN(D150)-1)*5,1,1))*Q$2</f>
        <v>0</v>
      </c>
      <c r="AD153" s="5">
        <f ca="1">SUM(OFFSET(Demand!$H162,0,(COLUMN(E150)-1)*5,1,1))*R$2</f>
        <v>0</v>
      </c>
      <c r="AE153" s="5">
        <f ca="1">SUM(OFFSET(Demand!$H162,0,(COLUMN(F150)-1)*5,1,1))*S$2</f>
        <v>0</v>
      </c>
      <c r="AF153" s="5">
        <f ca="1">SUM(OFFSET(Demand!$H162,0,(COLUMN(G150)-1)*5,1,1))*T$2</f>
        <v>0</v>
      </c>
      <c r="AG153" s="5">
        <f ca="1">SUM(OFFSET(Demand!$H162,0,(COLUMN(H150)-1)*5,1,1))*U$2</f>
        <v>0</v>
      </c>
      <c r="AH153" s="5">
        <f ca="1">SUM(OFFSET(Demand!$H162,0,(COLUMN(I150)-1)*5,1,1))*V$2</f>
        <v>0</v>
      </c>
      <c r="AI153" s="5">
        <f ca="1">SUM(OFFSET(Demand!$H162,0,(COLUMN(J150)-1)*5,1,1))*W$2</f>
        <v>0</v>
      </c>
      <c r="AJ153" s="5">
        <f t="shared" ca="1" si="41"/>
        <v>0</v>
      </c>
      <c r="AL153" s="5">
        <f t="shared" ca="1" si="42"/>
        <v>620</v>
      </c>
      <c r="AM153" s="5">
        <f t="shared" ca="1" si="43"/>
        <v>0</v>
      </c>
      <c r="AN153" s="5" t="str">
        <f>IF(Demand!BE162="Yes","Yes","")</f>
        <v/>
      </c>
      <c r="AP153" s="37" t="str">
        <f ca="1">Demand!B162</f>
        <v xml:space="preserve"> </v>
      </c>
      <c r="AQ153" t="str">
        <f ca="1">IF(TEXT(Demand!D162,"MMM")&lt;&gt;TEXT(Demand!D161,"MMM"),TEXT(Demand!D162,"MMM"),"")</f>
        <v/>
      </c>
      <c r="AT153" s="5">
        <f t="shared" ca="1" si="45"/>
        <v>230</v>
      </c>
      <c r="BQ153">
        <f ca="1">IF($AN153="",OFFSET(Demand!$A$13,ROW(A150)-1,4+((QUOTIENT(COLUMN(BQ$2)-69,3))*5)+MOD(COLUMN(BQ$2),3),1,1),"")</f>
        <v>0</v>
      </c>
      <c r="BR153">
        <f ca="1">IF($AN153="",OFFSET(Demand!$A$13,ROW(B150)-1,4+((QUOTIENT(COLUMN(BR$2)-69,3))*5)+MOD(COLUMN(BR$2),3),1,1),"")</f>
        <v>0</v>
      </c>
      <c r="BS153">
        <f ca="1">IF($AN153="",OFFSET(Demand!$A$13,ROW(C150)-1,4+((QUOTIENT(COLUMN(BS$2)-69,3))*5)+MOD(COLUMN(BS$2),3),1,1),"")</f>
        <v>2</v>
      </c>
      <c r="BT153">
        <f ca="1">IF($AN153="",OFFSET(Demand!$A$13,ROW(D150)-1,4+((QUOTIENT(COLUMN(BT$2)-69,3))*5)+MOD(COLUMN(BT$2),3),1,1),"")</f>
        <v>0</v>
      </c>
      <c r="BU153">
        <f ca="1">IF($AN153="",OFFSET(Demand!$A$13,ROW(E150)-1,4+((QUOTIENT(COLUMN(BU$2)-69,3))*5)+MOD(COLUMN(BU$2),3),1,1),"")</f>
        <v>5</v>
      </c>
      <c r="BV153">
        <f ca="1">IF($AN153="",OFFSET(Demand!$A$13,ROW(F150)-1,4+((QUOTIENT(COLUMN(BV$2)-69,3))*5)+MOD(COLUMN(BV$2),3),1,1),"")</f>
        <v>9</v>
      </c>
      <c r="BW153">
        <f ca="1">IF($AN153="",OFFSET(Demand!$A$13,ROW(G150)-1,4+((QUOTIENT(COLUMN(BW$2)-69,3))*5)+MOD(COLUMN(BW$2),3),1,1),"")</f>
        <v>0</v>
      </c>
      <c r="BX153">
        <f ca="1">IF($AN153="",OFFSET(Demand!$A$13,ROW(H150)-1,4+((QUOTIENT(COLUMN(BX$2)-69,3))*5)+MOD(COLUMN(BX$2),3),1,1),"")</f>
        <v>0</v>
      </c>
      <c r="BY153">
        <f ca="1">IF($AN153="",OFFSET(Demand!$A$13,ROW(I150)-1,4+((QUOTIENT(COLUMN(BY$2)-69,3))*5)+MOD(COLUMN(BY$2),3),1,1),"")</f>
        <v>0</v>
      </c>
      <c r="BZ153">
        <f ca="1">IF($AN153="",OFFSET(Demand!$A$13,ROW(J150)-1,4+((QUOTIENT(COLUMN(BZ$2)-69,3))*5)+MOD(COLUMN(BZ$2),3),1,1),"")</f>
        <v>0</v>
      </c>
      <c r="CA153">
        <f ca="1">IF($AN153="",OFFSET(Demand!$A$13,ROW(K150)-1,4+((QUOTIENT(COLUMN(CA$2)-69,3))*5)+MOD(COLUMN(CA$2),3),1,1),"")</f>
        <v>0</v>
      </c>
      <c r="CB153">
        <f ca="1">IF($AN153="",OFFSET(Demand!$A$13,ROW(L150)-1,4+((QUOTIENT(COLUMN(CB$2)-69,3))*5)+MOD(COLUMN(CB$2),3),1,1),"")</f>
        <v>0</v>
      </c>
      <c r="CC153">
        <f ca="1">IF($AN153="",OFFSET(Demand!$A$13,ROW(M150)-1,4+((QUOTIENT(COLUMN(CC$2)-69,3))*5)+MOD(COLUMN(CC$2),3),1,1),"")</f>
        <v>0</v>
      </c>
      <c r="CD153">
        <f ca="1">IF($AN153="",OFFSET(Demand!$A$13,ROW(N150)-1,4+((QUOTIENT(COLUMN(CD$2)-69,3))*5)+MOD(COLUMN(CD$2),3),1,1),"")</f>
        <v>0</v>
      </c>
      <c r="CE153">
        <f ca="1">IF($AN153="",OFFSET(Demand!$A$13,ROW(O150)-1,4+((QUOTIENT(COLUMN(CE$2)-69,3))*5)+MOD(COLUMN(CE$2),3),1,1),"")</f>
        <v>0</v>
      </c>
      <c r="CF153">
        <f ca="1">IF($AN153="",OFFSET(Demand!$A$13,ROW(P150)-1,4+((QUOTIENT(COLUMN(CF$2)-69,3))*5)+MOD(COLUMN(CF$2),3),1,1),"")</f>
        <v>0</v>
      </c>
      <c r="CG153">
        <f ca="1">IF($AN153="",OFFSET(Demand!$A$13,ROW(Q150)-1,4+((QUOTIENT(COLUMN(CG$2)-69,3))*5)+MOD(COLUMN(CG$2),3),1,1),"")</f>
        <v>0</v>
      </c>
      <c r="CH153">
        <f ca="1">IF($AN153="",OFFSET(Demand!$A$13,ROW(R150)-1,4+((QUOTIENT(COLUMN(CH$2)-69,3))*5)+MOD(COLUMN(CH$2),3),1,1),"")</f>
        <v>0</v>
      </c>
      <c r="CI153">
        <f ca="1">IF($AN153="",OFFSET(Demand!$A$13,ROW(S150)-1,4+((QUOTIENT(COLUMN(CI$2)-69,3))*5)+MOD(COLUMN(CI$2),3),1,1),"")</f>
        <v>0</v>
      </c>
      <c r="CJ153">
        <f ca="1">IF($AN153="",OFFSET(Demand!$A$13,ROW(T150)-1,4+((QUOTIENT(COLUMN(CJ$2)-69,3))*5)+MOD(COLUMN(CJ$2),3),1,1),"")</f>
        <v>0</v>
      </c>
      <c r="CK153">
        <f ca="1">IF($AN153="",OFFSET(Demand!$A$13,ROW(U150)-1,4+((QUOTIENT(COLUMN(CK$2)-69,3))*5)+MOD(COLUMN(CK$2),3),1,1),"")</f>
        <v>0</v>
      </c>
      <c r="CL153">
        <f ca="1">IF($AN153="",OFFSET(Demand!$A$13,ROW(V150)-1,4+((QUOTIENT(COLUMN(CL$2)-69,3))*5)+MOD(COLUMN(CL$2),3),1,1),"")</f>
        <v>0</v>
      </c>
      <c r="CM153">
        <f ca="1">IF($AN153="",OFFSET(Demand!$A$13,ROW(W150)-1,4+((QUOTIENT(COLUMN(CM$2)-69,3))*5)+MOD(COLUMN(CM$2),3),1,1),"")</f>
        <v>0</v>
      </c>
      <c r="CN153">
        <f ca="1">IF($AN153="",OFFSET(Demand!$A$13,ROW(X150)-1,4+((QUOTIENT(COLUMN(CN$2)-69,3))*5)+MOD(COLUMN(CN$2),3),1,1),"")</f>
        <v>0</v>
      </c>
      <c r="CO153">
        <f ca="1">IF($AN153="",OFFSET(Demand!$A$13,ROW(Y150)-1,4+((QUOTIENT(COLUMN(CO$2)-69,3))*5)+MOD(COLUMN(CO$2),3),1,1),"")</f>
        <v>0</v>
      </c>
      <c r="CP153">
        <f ca="1">IF($AN153="",OFFSET(Demand!$A$13,ROW(Z150)-1,4+((QUOTIENT(COLUMN(CP$2)-69,3))*5)+MOD(COLUMN(CP$2),3),1,1),"")</f>
        <v>0</v>
      </c>
      <c r="CQ153">
        <f ca="1">IF($AN153="",OFFSET(Demand!$A$13,ROW(AA150)-1,4+((QUOTIENT(COLUMN(CQ$2)-69,3))*5)+MOD(COLUMN(CQ$2),3),1,1),"")</f>
        <v>0</v>
      </c>
      <c r="CR153">
        <f ca="1">IF($AN153="",OFFSET(Demand!$A$13,ROW(AB150)-1,4+((QUOTIENT(COLUMN(CR$2)-69,3))*5)+MOD(COLUMN(CR$2),3),1,1),"")</f>
        <v>0</v>
      </c>
      <c r="CS153">
        <f ca="1">IF($AN153="",OFFSET(Demand!$A$13,ROW(AC150)-1,4+((QUOTIENT(COLUMN(CS$2)-69,3))*5)+MOD(COLUMN(CS$2),3),1,1),"")</f>
        <v>0</v>
      </c>
      <c r="CT153">
        <f ca="1">IF($AN153="",OFFSET(Demand!$A$13,ROW(AD150)-1,4+((QUOTIENT(COLUMN(CT$2)-69,3))*5)+MOD(COLUMN(CT$2),3),1,1),"")</f>
        <v>0</v>
      </c>
      <c r="CW153" s="5">
        <f ca="1">SUM(OFFSET(Demand!$H$43,ROW(A150)-1,(COLUMN(A150)-1)*5,1,1))*N$2</f>
        <v>0</v>
      </c>
      <c r="CX153" s="5">
        <f ca="1">SUM(OFFSET(Demand!$H$43,ROW(B150)-1,(COLUMN(B150)-1)*5,1,1))*O$2</f>
        <v>0</v>
      </c>
      <c r="CY153" s="5">
        <f ca="1">SUM(OFFSET(Demand!$H$43,ROW(C150)-1,(COLUMN(C150)-1)*5,1,1))*P$2</f>
        <v>0</v>
      </c>
      <c r="CZ153" s="5">
        <f ca="1">SUM(OFFSET(Demand!$H$43,ROW(D150)-1,(COLUMN(D150)-1)*5,1,1))*Q$2</f>
        <v>0</v>
      </c>
      <c r="DA153" s="5">
        <f ca="1">SUM(OFFSET(Demand!$H$43,ROW(E150)-1,(COLUMN(E150)-1)*5,1,1))*R$2</f>
        <v>0</v>
      </c>
      <c r="DB153" s="5">
        <f ca="1">SUM(OFFSET(Demand!$H$43,ROW(F150)-1,(COLUMN(F150)-1)*5,1,1))*S$2</f>
        <v>0</v>
      </c>
      <c r="DC153" s="5">
        <f ca="1">SUM(OFFSET(Demand!$H$43,ROW(G150)-1,(COLUMN(G150)-1)*5,1,1))*T$2</f>
        <v>0</v>
      </c>
      <c r="DD153" s="5">
        <f ca="1">SUM(OFFSET(Demand!$H$43,ROW(H150)-1,(COLUMN(H150)-1)*5,1,1))*U$2</f>
        <v>0</v>
      </c>
      <c r="DE153" s="5">
        <f ca="1">SUM(OFFSET(Demand!$H$43,ROW(I150)-1,(COLUMN(I150)-1)*5,1,1))*V$2</f>
        <v>0</v>
      </c>
      <c r="DF153" s="5">
        <f ca="1">SUM(OFFSET(Demand!$H$43,ROW(J150)-1,(COLUMN(J150)-1)*5,1,1))*W$2</f>
        <v>0</v>
      </c>
      <c r="DG153" s="5">
        <f t="shared" ca="1" si="44"/>
        <v>0</v>
      </c>
    </row>
    <row r="154" spans="1:111" x14ac:dyDescent="0.2">
      <c r="A154" s="5">
        <f t="shared" ca="1" si="38"/>
        <v>0</v>
      </c>
      <c r="B154" s="5">
        <f ca="1">COUNTBLANK(OFFSET(Demand!$I163,0,(COLUMN(A151)-1)*5,1,1))</f>
        <v>0</v>
      </c>
      <c r="C154" s="5">
        <f ca="1">COUNTBLANK(OFFSET(Demand!$I163,0,(COLUMN(B151)-1)*5,1,1))</f>
        <v>0</v>
      </c>
      <c r="D154" s="5">
        <f ca="1">COUNTBLANK(OFFSET(Demand!$I163,0,(COLUMN(C151)-1)*5,1,1))</f>
        <v>1</v>
      </c>
      <c r="E154" s="5">
        <f ca="1">COUNTBLANK(OFFSET(Demand!$I163,0,(COLUMN(D151)-1)*5,1,1))</f>
        <v>1</v>
      </c>
      <c r="F154" s="5">
        <f ca="1">COUNTBLANK(OFFSET(Demand!$I163,0,(COLUMN(E151)-1)*5,1,1))</f>
        <v>1</v>
      </c>
      <c r="G154" s="5">
        <f ca="1">COUNTBLANK(OFFSET(Demand!$I163,0,(COLUMN(F151)-1)*5,1,1))</f>
        <v>1</v>
      </c>
      <c r="H154" s="5">
        <f ca="1">COUNTBLANK(OFFSET(Demand!$I163,0,(COLUMN(G151)-1)*5,1,1))</f>
        <v>1</v>
      </c>
      <c r="I154" s="5">
        <f ca="1">COUNTBLANK(OFFSET(Demand!$I163,0,(COLUMN(H151)-1)*5,1,1))</f>
        <v>1</v>
      </c>
      <c r="J154" s="5">
        <f ca="1">COUNTBLANK(OFFSET(Demand!$I163,0,(COLUMN(I151)-1)*5,1,1))</f>
        <v>1</v>
      </c>
      <c r="K154" s="5">
        <f ca="1">COUNTBLANK(OFFSET(Demand!$I163,0,(COLUMN(J151)-1)*5,1,1))</f>
        <v>1</v>
      </c>
      <c r="N154" s="5">
        <f ca="1">SUM(OFFSET(Demand!$E163,0,(COLUMN(A151)-1)*5,1,3))*N$2</f>
        <v>60</v>
      </c>
      <c r="O154" s="5">
        <f ca="1">SUM(OFFSET(Demand!$E163,0,(COLUMN(B151)-1)*5,1,3))*O$2</f>
        <v>280</v>
      </c>
      <c r="P154" s="5">
        <f ca="1">SUM(OFFSET(Demand!$E163,0,(COLUMN(C151)-1)*5,1,3))*P$2</f>
        <v>0</v>
      </c>
      <c r="Q154" s="5">
        <f ca="1">SUM(OFFSET(Demand!$E163,0,(COLUMN(D151)-1)*5,1,3))*Q$2</f>
        <v>0</v>
      </c>
      <c r="R154" s="5">
        <f ca="1">SUM(OFFSET(Demand!$E163,0,(COLUMN(E151)-1)*5,1,3))*R$2</f>
        <v>0</v>
      </c>
      <c r="S154" s="5">
        <f ca="1">SUM(OFFSET(Demand!$E163,0,(COLUMN(F151)-1)*5,1,3))*S$2</f>
        <v>0</v>
      </c>
      <c r="T154" s="5">
        <f ca="1">SUM(OFFSET(Demand!$E163,0,(COLUMN(G151)-1)*5,1,3))*T$2</f>
        <v>0</v>
      </c>
      <c r="U154" s="5">
        <f ca="1">SUM(OFFSET(Demand!$E163,0,(COLUMN(H151)-1)*5,1,3))*U$2</f>
        <v>0</v>
      </c>
      <c r="V154" s="5">
        <f ca="1">SUM(OFFSET(Demand!$E163,0,(COLUMN(I151)-1)*5,1,3))*V$2</f>
        <v>0</v>
      </c>
      <c r="W154" s="5">
        <f ca="1">SUM(OFFSET(Demand!$E163,0,(COLUMN(J151)-1)*5,1,3))*W$2</f>
        <v>0</v>
      </c>
      <c r="X154" s="5">
        <f t="shared" ca="1" si="39"/>
        <v>340</v>
      </c>
      <c r="Y154">
        <f t="shared" ca="1" si="40"/>
        <v>340</v>
      </c>
      <c r="Z154" s="5">
        <f ca="1">SUM(OFFSET(Demand!$H163,0,(COLUMN(A151)-1)*5,1,1))*N$2</f>
        <v>0</v>
      </c>
      <c r="AA154" s="5">
        <f ca="1">SUM(OFFSET(Demand!$H163,0,(COLUMN(B151)-1)*5,1,1))*O$2</f>
        <v>0</v>
      </c>
      <c r="AB154" s="5">
        <f ca="1">SUM(OFFSET(Demand!$H163,0,(COLUMN(C151)-1)*5,1,1))*P$2</f>
        <v>0</v>
      </c>
      <c r="AC154" s="5">
        <f ca="1">SUM(OFFSET(Demand!$H163,0,(COLUMN(D151)-1)*5,1,1))*Q$2</f>
        <v>0</v>
      </c>
      <c r="AD154" s="5">
        <f ca="1">SUM(OFFSET(Demand!$H163,0,(COLUMN(E151)-1)*5,1,1))*R$2</f>
        <v>0</v>
      </c>
      <c r="AE154" s="5">
        <f ca="1">SUM(OFFSET(Demand!$H163,0,(COLUMN(F151)-1)*5,1,1))*S$2</f>
        <v>0</v>
      </c>
      <c r="AF154" s="5">
        <f ca="1">SUM(OFFSET(Demand!$H163,0,(COLUMN(G151)-1)*5,1,1))*T$2</f>
        <v>0</v>
      </c>
      <c r="AG154" s="5">
        <f ca="1">SUM(OFFSET(Demand!$H163,0,(COLUMN(H151)-1)*5,1,1))*U$2</f>
        <v>0</v>
      </c>
      <c r="AH154" s="5">
        <f ca="1">SUM(OFFSET(Demand!$H163,0,(COLUMN(I151)-1)*5,1,1))*V$2</f>
        <v>0</v>
      </c>
      <c r="AI154" s="5">
        <f ca="1">SUM(OFFSET(Demand!$H163,0,(COLUMN(J151)-1)*5,1,1))*W$2</f>
        <v>0</v>
      </c>
      <c r="AJ154" s="5">
        <f t="shared" ca="1" si="41"/>
        <v>0</v>
      </c>
      <c r="AL154" s="5">
        <f t="shared" ca="1" si="42"/>
        <v>340</v>
      </c>
      <c r="AM154" s="5">
        <f t="shared" ca="1" si="43"/>
        <v>0</v>
      </c>
      <c r="AN154" s="5" t="str">
        <f>IF(Demand!BE163="Yes","Yes","")</f>
        <v/>
      </c>
      <c r="AP154" s="37" t="str">
        <f ca="1">Demand!B163</f>
        <v xml:space="preserve"> </v>
      </c>
      <c r="AQ154" t="str">
        <f ca="1">IF(TEXT(Demand!D163,"MMM")&lt;&gt;TEXT(Demand!D162,"MMM"),TEXT(Demand!D163,"MMM"),"")</f>
        <v/>
      </c>
      <c r="AT154" s="5">
        <f t="shared" ca="1" si="45"/>
        <v>280</v>
      </c>
      <c r="BQ154">
        <f ca="1">IF($AN154="",OFFSET(Demand!$A$13,ROW(A151)-1,4+((QUOTIENT(COLUMN(BQ$2)-69,3))*5)+MOD(COLUMN(BQ$2),3),1,1),"")</f>
        <v>0</v>
      </c>
      <c r="BR154">
        <f ca="1">IF($AN154="",OFFSET(Demand!$A$13,ROW(B151)-1,4+((QUOTIENT(COLUMN(BR$2)-69,3))*5)+MOD(COLUMN(BR$2),3),1,1),"")</f>
        <v>1</v>
      </c>
      <c r="BS154">
        <f ca="1">IF($AN154="",OFFSET(Demand!$A$13,ROW(C151)-1,4+((QUOTIENT(COLUMN(BS$2)-69,3))*5)+MOD(COLUMN(BS$2),3),1,1),"")</f>
        <v>1</v>
      </c>
      <c r="BT154">
        <f ca="1">IF($AN154="",OFFSET(Demand!$A$13,ROW(D151)-1,4+((QUOTIENT(COLUMN(BT$2)-69,3))*5)+MOD(COLUMN(BT$2),3),1,1),"")</f>
        <v>0</v>
      </c>
      <c r="BU154">
        <f ca="1">IF($AN154="",OFFSET(Demand!$A$13,ROW(E151)-1,4+((QUOTIENT(COLUMN(BU$2)-69,3))*5)+MOD(COLUMN(BU$2),3),1,1),"")</f>
        <v>3</v>
      </c>
      <c r="BV154">
        <f ca="1">IF($AN154="",OFFSET(Demand!$A$13,ROW(F151)-1,4+((QUOTIENT(COLUMN(BV$2)-69,3))*5)+MOD(COLUMN(BV$2),3),1,1),"")</f>
        <v>4</v>
      </c>
      <c r="BW154">
        <f ca="1">IF($AN154="",OFFSET(Demand!$A$13,ROW(G151)-1,4+((QUOTIENT(COLUMN(BW$2)-69,3))*5)+MOD(COLUMN(BW$2),3),1,1),"")</f>
        <v>0</v>
      </c>
      <c r="BX154">
        <f ca="1">IF($AN154="",OFFSET(Demand!$A$13,ROW(H151)-1,4+((QUOTIENT(COLUMN(BX$2)-69,3))*5)+MOD(COLUMN(BX$2),3),1,1),"")</f>
        <v>0</v>
      </c>
      <c r="BY154">
        <f ca="1">IF($AN154="",OFFSET(Demand!$A$13,ROW(I151)-1,4+((QUOTIENT(COLUMN(BY$2)-69,3))*5)+MOD(COLUMN(BY$2),3),1,1),"")</f>
        <v>0</v>
      </c>
      <c r="BZ154">
        <f ca="1">IF($AN154="",OFFSET(Demand!$A$13,ROW(J151)-1,4+((QUOTIENT(COLUMN(BZ$2)-69,3))*5)+MOD(COLUMN(BZ$2),3),1,1),"")</f>
        <v>0</v>
      </c>
      <c r="CA154">
        <f ca="1">IF($AN154="",OFFSET(Demand!$A$13,ROW(K151)-1,4+((QUOTIENT(COLUMN(CA$2)-69,3))*5)+MOD(COLUMN(CA$2),3),1,1),"")</f>
        <v>0</v>
      </c>
      <c r="CB154">
        <f ca="1">IF($AN154="",OFFSET(Demand!$A$13,ROW(L151)-1,4+((QUOTIENT(COLUMN(CB$2)-69,3))*5)+MOD(COLUMN(CB$2),3),1,1),"")</f>
        <v>0</v>
      </c>
      <c r="CC154">
        <f ca="1">IF($AN154="",OFFSET(Demand!$A$13,ROW(M151)-1,4+((QUOTIENT(COLUMN(CC$2)-69,3))*5)+MOD(COLUMN(CC$2),3),1,1),"")</f>
        <v>0</v>
      </c>
      <c r="CD154">
        <f ca="1">IF($AN154="",OFFSET(Demand!$A$13,ROW(N151)-1,4+((QUOTIENT(COLUMN(CD$2)-69,3))*5)+MOD(COLUMN(CD$2),3),1,1),"")</f>
        <v>0</v>
      </c>
      <c r="CE154">
        <f ca="1">IF($AN154="",OFFSET(Demand!$A$13,ROW(O151)-1,4+((QUOTIENT(COLUMN(CE$2)-69,3))*5)+MOD(COLUMN(CE$2),3),1,1),"")</f>
        <v>0</v>
      </c>
      <c r="CF154">
        <f ca="1">IF($AN154="",OFFSET(Demand!$A$13,ROW(P151)-1,4+((QUOTIENT(COLUMN(CF$2)-69,3))*5)+MOD(COLUMN(CF$2),3),1,1),"")</f>
        <v>0</v>
      </c>
      <c r="CG154">
        <f ca="1">IF($AN154="",OFFSET(Demand!$A$13,ROW(Q151)-1,4+((QUOTIENT(COLUMN(CG$2)-69,3))*5)+MOD(COLUMN(CG$2),3),1,1),"")</f>
        <v>0</v>
      </c>
      <c r="CH154">
        <f ca="1">IF($AN154="",OFFSET(Demand!$A$13,ROW(R151)-1,4+((QUOTIENT(COLUMN(CH$2)-69,3))*5)+MOD(COLUMN(CH$2),3),1,1),"")</f>
        <v>0</v>
      </c>
      <c r="CI154">
        <f ca="1">IF($AN154="",OFFSET(Demand!$A$13,ROW(S151)-1,4+((QUOTIENT(COLUMN(CI$2)-69,3))*5)+MOD(COLUMN(CI$2),3),1,1),"")</f>
        <v>0</v>
      </c>
      <c r="CJ154">
        <f ca="1">IF($AN154="",OFFSET(Demand!$A$13,ROW(T151)-1,4+((QUOTIENT(COLUMN(CJ$2)-69,3))*5)+MOD(COLUMN(CJ$2),3),1,1),"")</f>
        <v>0</v>
      </c>
      <c r="CK154">
        <f ca="1">IF($AN154="",OFFSET(Demand!$A$13,ROW(U151)-1,4+((QUOTIENT(COLUMN(CK$2)-69,3))*5)+MOD(COLUMN(CK$2),3),1,1),"")</f>
        <v>0</v>
      </c>
      <c r="CL154">
        <f ca="1">IF($AN154="",OFFSET(Demand!$A$13,ROW(V151)-1,4+((QUOTIENT(COLUMN(CL$2)-69,3))*5)+MOD(COLUMN(CL$2),3),1,1),"")</f>
        <v>0</v>
      </c>
      <c r="CM154">
        <f ca="1">IF($AN154="",OFFSET(Demand!$A$13,ROW(W151)-1,4+((QUOTIENT(COLUMN(CM$2)-69,3))*5)+MOD(COLUMN(CM$2),3),1,1),"")</f>
        <v>0</v>
      </c>
      <c r="CN154">
        <f ca="1">IF($AN154="",OFFSET(Demand!$A$13,ROW(X151)-1,4+((QUOTIENT(COLUMN(CN$2)-69,3))*5)+MOD(COLUMN(CN$2),3),1,1),"")</f>
        <v>0</v>
      </c>
      <c r="CO154">
        <f ca="1">IF($AN154="",OFFSET(Demand!$A$13,ROW(Y151)-1,4+((QUOTIENT(COLUMN(CO$2)-69,3))*5)+MOD(COLUMN(CO$2),3),1,1),"")</f>
        <v>0</v>
      </c>
      <c r="CP154">
        <f ca="1">IF($AN154="",OFFSET(Demand!$A$13,ROW(Z151)-1,4+((QUOTIENT(COLUMN(CP$2)-69,3))*5)+MOD(COLUMN(CP$2),3),1,1),"")</f>
        <v>0</v>
      </c>
      <c r="CQ154">
        <f ca="1">IF($AN154="",OFFSET(Demand!$A$13,ROW(AA151)-1,4+((QUOTIENT(COLUMN(CQ$2)-69,3))*5)+MOD(COLUMN(CQ$2),3),1,1),"")</f>
        <v>0</v>
      </c>
      <c r="CR154">
        <f ca="1">IF($AN154="",OFFSET(Demand!$A$13,ROW(AB151)-1,4+((QUOTIENT(COLUMN(CR$2)-69,3))*5)+MOD(COLUMN(CR$2),3),1,1),"")</f>
        <v>0</v>
      </c>
      <c r="CS154">
        <f ca="1">IF($AN154="",OFFSET(Demand!$A$13,ROW(AC151)-1,4+((QUOTIENT(COLUMN(CS$2)-69,3))*5)+MOD(COLUMN(CS$2),3),1,1),"")</f>
        <v>0</v>
      </c>
      <c r="CT154">
        <f ca="1">IF($AN154="",OFFSET(Demand!$A$13,ROW(AD151)-1,4+((QUOTIENT(COLUMN(CT$2)-69,3))*5)+MOD(COLUMN(CT$2),3),1,1),"")</f>
        <v>0</v>
      </c>
      <c r="CW154" s="5">
        <f ca="1">SUM(OFFSET(Demand!$H$43,ROW(A151)-1,(COLUMN(A151)-1)*5,1,1))*N$2</f>
        <v>0</v>
      </c>
      <c r="CX154" s="5">
        <f ca="1">SUM(OFFSET(Demand!$H$43,ROW(B151)-1,(COLUMN(B151)-1)*5,1,1))*O$2</f>
        <v>0</v>
      </c>
      <c r="CY154" s="5">
        <f ca="1">SUM(OFFSET(Demand!$H$43,ROW(C151)-1,(COLUMN(C151)-1)*5,1,1))*P$2</f>
        <v>0</v>
      </c>
      <c r="CZ154" s="5">
        <f ca="1">SUM(OFFSET(Demand!$H$43,ROW(D151)-1,(COLUMN(D151)-1)*5,1,1))*Q$2</f>
        <v>0</v>
      </c>
      <c r="DA154" s="5">
        <f ca="1">SUM(OFFSET(Demand!$H$43,ROW(E151)-1,(COLUMN(E151)-1)*5,1,1))*R$2</f>
        <v>0</v>
      </c>
      <c r="DB154" s="5">
        <f ca="1">SUM(OFFSET(Demand!$H$43,ROW(F151)-1,(COLUMN(F151)-1)*5,1,1))*S$2</f>
        <v>0</v>
      </c>
      <c r="DC154" s="5">
        <f ca="1">SUM(OFFSET(Demand!$H$43,ROW(G151)-1,(COLUMN(G151)-1)*5,1,1))*T$2</f>
        <v>0</v>
      </c>
      <c r="DD154" s="5">
        <f ca="1">SUM(OFFSET(Demand!$H$43,ROW(H151)-1,(COLUMN(H151)-1)*5,1,1))*U$2</f>
        <v>0</v>
      </c>
      <c r="DE154" s="5">
        <f ca="1">SUM(OFFSET(Demand!$H$43,ROW(I151)-1,(COLUMN(I151)-1)*5,1,1))*V$2</f>
        <v>0</v>
      </c>
      <c r="DF154" s="5">
        <f ca="1">SUM(OFFSET(Demand!$H$43,ROW(J151)-1,(COLUMN(J151)-1)*5,1,1))*W$2</f>
        <v>0</v>
      </c>
      <c r="DG154" s="5">
        <f t="shared" ca="1" si="44"/>
        <v>0</v>
      </c>
    </row>
    <row r="155" spans="1:111" x14ac:dyDescent="0.2">
      <c r="A155" s="5">
        <f t="shared" ca="1" si="38"/>
        <v>2</v>
      </c>
      <c r="B155" s="5">
        <f ca="1">COUNTBLANK(OFFSET(Demand!$I164,0,(COLUMN(A152)-1)*5,1,1))</f>
        <v>1</v>
      </c>
      <c r="C155" s="5">
        <f ca="1">COUNTBLANK(OFFSET(Demand!$I164,0,(COLUMN(B152)-1)*5,1,1))</f>
        <v>1</v>
      </c>
      <c r="D155" s="5">
        <f ca="1">COUNTBLANK(OFFSET(Demand!$I164,0,(COLUMN(C152)-1)*5,1,1))</f>
        <v>1</v>
      </c>
      <c r="E155" s="5">
        <f ca="1">COUNTBLANK(OFFSET(Demand!$I164,0,(COLUMN(D152)-1)*5,1,1))</f>
        <v>1</v>
      </c>
      <c r="F155" s="5">
        <f ca="1">COUNTBLANK(OFFSET(Demand!$I164,0,(COLUMN(E152)-1)*5,1,1))</f>
        <v>1</v>
      </c>
      <c r="G155" s="5">
        <f ca="1">COUNTBLANK(OFFSET(Demand!$I164,0,(COLUMN(F152)-1)*5,1,1))</f>
        <v>1</v>
      </c>
      <c r="H155" s="5">
        <f ca="1">COUNTBLANK(OFFSET(Demand!$I164,0,(COLUMN(G152)-1)*5,1,1))</f>
        <v>1</v>
      </c>
      <c r="I155" s="5">
        <f ca="1">COUNTBLANK(OFFSET(Demand!$I164,0,(COLUMN(H152)-1)*5,1,1))</f>
        <v>1</v>
      </c>
      <c r="J155" s="5">
        <f ca="1">COUNTBLANK(OFFSET(Demand!$I164,0,(COLUMN(I152)-1)*5,1,1))</f>
        <v>1</v>
      </c>
      <c r="K155" s="5">
        <f ca="1">COUNTBLANK(OFFSET(Demand!$I164,0,(COLUMN(J152)-1)*5,1,1))</f>
        <v>1</v>
      </c>
      <c r="N155" s="5">
        <f ca="1">SUM(OFFSET(Demand!$E164,0,(COLUMN(A152)-1)*5,1,3))*N$2</f>
        <v>0</v>
      </c>
      <c r="O155" s="5">
        <f ca="1">SUM(OFFSET(Demand!$E164,0,(COLUMN(B152)-1)*5,1,3))*O$2</f>
        <v>0</v>
      </c>
      <c r="P155" s="5">
        <f ca="1">SUM(OFFSET(Demand!$E164,0,(COLUMN(C152)-1)*5,1,3))*P$2</f>
        <v>0</v>
      </c>
      <c r="Q155" s="5">
        <f ca="1">SUM(OFFSET(Demand!$E164,0,(COLUMN(D152)-1)*5,1,3))*Q$2</f>
        <v>0</v>
      </c>
      <c r="R155" s="5">
        <f ca="1">SUM(OFFSET(Demand!$E164,0,(COLUMN(E152)-1)*5,1,3))*R$2</f>
        <v>0</v>
      </c>
      <c r="S155" s="5">
        <f ca="1">SUM(OFFSET(Demand!$E164,0,(COLUMN(F152)-1)*5,1,3))*S$2</f>
        <v>0</v>
      </c>
      <c r="T155" s="5">
        <f ca="1">SUM(OFFSET(Demand!$E164,0,(COLUMN(G152)-1)*5,1,3))*T$2</f>
        <v>0</v>
      </c>
      <c r="U155" s="5">
        <f ca="1">SUM(OFFSET(Demand!$E164,0,(COLUMN(H152)-1)*5,1,3))*U$2</f>
        <v>0</v>
      </c>
      <c r="V155" s="5">
        <f ca="1">SUM(OFFSET(Demand!$E164,0,(COLUMN(I152)-1)*5,1,3))*V$2</f>
        <v>0</v>
      </c>
      <c r="W155" s="5">
        <f ca="1">SUM(OFFSET(Demand!$E164,0,(COLUMN(J152)-1)*5,1,3))*W$2</f>
        <v>0</v>
      </c>
      <c r="X155" s="5">
        <f t="shared" ca="1" si="39"/>
        <v>0</v>
      </c>
      <c r="Y155">
        <f t="shared" ca="1" si="40"/>
        <v>0</v>
      </c>
      <c r="Z155" s="5">
        <f ca="1">SUM(OFFSET(Demand!$H164,0,(COLUMN(A152)-1)*5,1,1))*N$2</f>
        <v>0</v>
      </c>
      <c r="AA155" s="5">
        <f ca="1">SUM(OFFSET(Demand!$H164,0,(COLUMN(B152)-1)*5,1,1))*O$2</f>
        <v>0</v>
      </c>
      <c r="AB155" s="5">
        <f ca="1">SUM(OFFSET(Demand!$H164,0,(COLUMN(C152)-1)*5,1,1))*P$2</f>
        <v>0</v>
      </c>
      <c r="AC155" s="5">
        <f ca="1">SUM(OFFSET(Demand!$H164,0,(COLUMN(D152)-1)*5,1,1))*Q$2</f>
        <v>0</v>
      </c>
      <c r="AD155" s="5">
        <f ca="1">SUM(OFFSET(Demand!$H164,0,(COLUMN(E152)-1)*5,1,1))*R$2</f>
        <v>0</v>
      </c>
      <c r="AE155" s="5">
        <f ca="1">SUM(OFFSET(Demand!$H164,0,(COLUMN(F152)-1)*5,1,1))*S$2</f>
        <v>0</v>
      </c>
      <c r="AF155" s="5">
        <f ca="1">SUM(OFFSET(Demand!$H164,0,(COLUMN(G152)-1)*5,1,1))*T$2</f>
        <v>0</v>
      </c>
      <c r="AG155" s="5">
        <f ca="1">SUM(OFFSET(Demand!$H164,0,(COLUMN(H152)-1)*5,1,1))*U$2</f>
        <v>0</v>
      </c>
      <c r="AH155" s="5">
        <f ca="1">SUM(OFFSET(Demand!$H164,0,(COLUMN(I152)-1)*5,1,1))*V$2</f>
        <v>0</v>
      </c>
      <c r="AI155" s="5">
        <f ca="1">SUM(OFFSET(Demand!$H164,0,(COLUMN(J152)-1)*5,1,1))*W$2</f>
        <v>0</v>
      </c>
      <c r="AJ155" s="5">
        <f t="shared" ca="1" si="41"/>
        <v>0</v>
      </c>
      <c r="AL155" s="5">
        <f t="shared" ca="1" si="42"/>
        <v>0</v>
      </c>
      <c r="AM155" s="5">
        <f t="shared" ca="1" si="43"/>
        <v>0</v>
      </c>
      <c r="AN155" s="5" t="str">
        <f>IF(Demand!BE164="Yes","Yes","")</f>
        <v/>
      </c>
      <c r="AP155" s="37" t="str">
        <f ca="1">Demand!B164</f>
        <v xml:space="preserve"> </v>
      </c>
      <c r="AQ155" t="str">
        <f ca="1">IF(TEXT(Demand!D164,"MMM")&lt;&gt;TEXT(Demand!D163,"MMM"),TEXT(Demand!D164,"MMM"),"")</f>
        <v/>
      </c>
      <c r="AT155" s="5">
        <f t="shared" ca="1" si="45"/>
        <v>340</v>
      </c>
      <c r="BQ155">
        <f ca="1">IF($AN155="",OFFSET(Demand!$A$13,ROW(A152)-1,4+((QUOTIENT(COLUMN(BQ$2)-69,3))*5)+MOD(COLUMN(BQ$2),3),1,1),"")</f>
        <v>0</v>
      </c>
      <c r="BR155">
        <f ca="1">IF($AN155="",OFFSET(Demand!$A$13,ROW(B152)-1,4+((QUOTIENT(COLUMN(BR$2)-69,3))*5)+MOD(COLUMN(BR$2),3),1,1),"")</f>
        <v>0</v>
      </c>
      <c r="BS155">
        <f ca="1">IF($AN155="",OFFSET(Demand!$A$13,ROW(C152)-1,4+((QUOTIENT(COLUMN(BS$2)-69,3))*5)+MOD(COLUMN(BS$2),3),1,1),"")</f>
        <v>0</v>
      </c>
      <c r="BT155">
        <f ca="1">IF($AN155="",OFFSET(Demand!$A$13,ROW(D152)-1,4+((QUOTIENT(COLUMN(BT$2)-69,3))*5)+MOD(COLUMN(BT$2),3),1,1),"")</f>
        <v>0</v>
      </c>
      <c r="BU155">
        <f ca="1">IF($AN155="",OFFSET(Demand!$A$13,ROW(E152)-1,4+((QUOTIENT(COLUMN(BU$2)-69,3))*5)+MOD(COLUMN(BU$2),3),1,1),"")</f>
        <v>0</v>
      </c>
      <c r="BV155">
        <f ca="1">IF($AN155="",OFFSET(Demand!$A$13,ROW(F152)-1,4+((QUOTIENT(COLUMN(BV$2)-69,3))*5)+MOD(COLUMN(BV$2),3),1,1),"")</f>
        <v>0</v>
      </c>
      <c r="BW155">
        <f ca="1">IF($AN155="",OFFSET(Demand!$A$13,ROW(G152)-1,4+((QUOTIENT(COLUMN(BW$2)-69,3))*5)+MOD(COLUMN(BW$2),3),1,1),"")</f>
        <v>0</v>
      </c>
      <c r="BX155">
        <f ca="1">IF($AN155="",OFFSET(Demand!$A$13,ROW(H152)-1,4+((QUOTIENT(COLUMN(BX$2)-69,3))*5)+MOD(COLUMN(BX$2),3),1,1),"")</f>
        <v>0</v>
      </c>
      <c r="BY155">
        <f ca="1">IF($AN155="",OFFSET(Demand!$A$13,ROW(I152)-1,4+((QUOTIENT(COLUMN(BY$2)-69,3))*5)+MOD(COLUMN(BY$2),3),1,1),"")</f>
        <v>0</v>
      </c>
      <c r="BZ155">
        <f ca="1">IF($AN155="",OFFSET(Demand!$A$13,ROW(J152)-1,4+((QUOTIENT(COLUMN(BZ$2)-69,3))*5)+MOD(COLUMN(BZ$2),3),1,1),"")</f>
        <v>0</v>
      </c>
      <c r="CA155">
        <f ca="1">IF($AN155="",OFFSET(Demand!$A$13,ROW(K152)-1,4+((QUOTIENT(COLUMN(CA$2)-69,3))*5)+MOD(COLUMN(CA$2),3),1,1),"")</f>
        <v>0</v>
      </c>
      <c r="CB155">
        <f ca="1">IF($AN155="",OFFSET(Demand!$A$13,ROW(L152)-1,4+((QUOTIENT(COLUMN(CB$2)-69,3))*5)+MOD(COLUMN(CB$2),3),1,1),"")</f>
        <v>0</v>
      </c>
      <c r="CC155">
        <f ca="1">IF($AN155="",OFFSET(Demand!$A$13,ROW(M152)-1,4+((QUOTIENT(COLUMN(CC$2)-69,3))*5)+MOD(COLUMN(CC$2),3),1,1),"")</f>
        <v>0</v>
      </c>
      <c r="CD155">
        <f ca="1">IF($AN155="",OFFSET(Demand!$A$13,ROW(N152)-1,4+((QUOTIENT(COLUMN(CD$2)-69,3))*5)+MOD(COLUMN(CD$2),3),1,1),"")</f>
        <v>0</v>
      </c>
      <c r="CE155">
        <f ca="1">IF($AN155="",OFFSET(Demand!$A$13,ROW(O152)-1,4+((QUOTIENT(COLUMN(CE$2)-69,3))*5)+MOD(COLUMN(CE$2),3),1,1),"")</f>
        <v>0</v>
      </c>
      <c r="CF155">
        <f ca="1">IF($AN155="",OFFSET(Demand!$A$13,ROW(P152)-1,4+((QUOTIENT(COLUMN(CF$2)-69,3))*5)+MOD(COLUMN(CF$2),3),1,1),"")</f>
        <v>0</v>
      </c>
      <c r="CG155">
        <f ca="1">IF($AN155="",OFFSET(Demand!$A$13,ROW(Q152)-1,4+((QUOTIENT(COLUMN(CG$2)-69,3))*5)+MOD(COLUMN(CG$2),3),1,1),"")</f>
        <v>0</v>
      </c>
      <c r="CH155">
        <f ca="1">IF($AN155="",OFFSET(Demand!$A$13,ROW(R152)-1,4+((QUOTIENT(COLUMN(CH$2)-69,3))*5)+MOD(COLUMN(CH$2),3),1,1),"")</f>
        <v>0</v>
      </c>
      <c r="CI155">
        <f ca="1">IF($AN155="",OFFSET(Demand!$A$13,ROW(S152)-1,4+((QUOTIENT(COLUMN(CI$2)-69,3))*5)+MOD(COLUMN(CI$2),3),1,1),"")</f>
        <v>0</v>
      </c>
      <c r="CJ155">
        <f ca="1">IF($AN155="",OFFSET(Demand!$A$13,ROW(T152)-1,4+((QUOTIENT(COLUMN(CJ$2)-69,3))*5)+MOD(COLUMN(CJ$2),3),1,1),"")</f>
        <v>0</v>
      </c>
      <c r="CK155">
        <f ca="1">IF($AN155="",OFFSET(Demand!$A$13,ROW(U152)-1,4+((QUOTIENT(COLUMN(CK$2)-69,3))*5)+MOD(COLUMN(CK$2),3),1,1),"")</f>
        <v>0</v>
      </c>
      <c r="CL155">
        <f ca="1">IF($AN155="",OFFSET(Demand!$A$13,ROW(V152)-1,4+((QUOTIENT(COLUMN(CL$2)-69,3))*5)+MOD(COLUMN(CL$2),3),1,1),"")</f>
        <v>0</v>
      </c>
      <c r="CM155">
        <f ca="1">IF($AN155="",OFFSET(Demand!$A$13,ROW(W152)-1,4+((QUOTIENT(COLUMN(CM$2)-69,3))*5)+MOD(COLUMN(CM$2),3),1,1),"")</f>
        <v>0</v>
      </c>
      <c r="CN155">
        <f ca="1">IF($AN155="",OFFSET(Demand!$A$13,ROW(X152)-1,4+((QUOTIENT(COLUMN(CN$2)-69,3))*5)+MOD(COLUMN(CN$2),3),1,1),"")</f>
        <v>0</v>
      </c>
      <c r="CO155">
        <f ca="1">IF($AN155="",OFFSET(Demand!$A$13,ROW(Y152)-1,4+((QUOTIENT(COLUMN(CO$2)-69,3))*5)+MOD(COLUMN(CO$2),3),1,1),"")</f>
        <v>0</v>
      </c>
      <c r="CP155">
        <f ca="1">IF($AN155="",OFFSET(Demand!$A$13,ROW(Z152)-1,4+((QUOTIENT(COLUMN(CP$2)-69,3))*5)+MOD(COLUMN(CP$2),3),1,1),"")</f>
        <v>0</v>
      </c>
      <c r="CQ155">
        <f ca="1">IF($AN155="",OFFSET(Demand!$A$13,ROW(AA152)-1,4+((QUOTIENT(COLUMN(CQ$2)-69,3))*5)+MOD(COLUMN(CQ$2),3),1,1),"")</f>
        <v>0</v>
      </c>
      <c r="CR155">
        <f ca="1">IF($AN155="",OFFSET(Demand!$A$13,ROW(AB152)-1,4+((QUOTIENT(COLUMN(CR$2)-69,3))*5)+MOD(COLUMN(CR$2),3),1,1),"")</f>
        <v>0</v>
      </c>
      <c r="CS155">
        <f ca="1">IF($AN155="",OFFSET(Demand!$A$13,ROW(AC152)-1,4+((QUOTIENT(COLUMN(CS$2)-69,3))*5)+MOD(COLUMN(CS$2),3),1,1),"")</f>
        <v>0</v>
      </c>
      <c r="CT155">
        <f ca="1">IF($AN155="",OFFSET(Demand!$A$13,ROW(AD152)-1,4+((QUOTIENT(COLUMN(CT$2)-69,3))*5)+MOD(COLUMN(CT$2),3),1,1),"")</f>
        <v>0</v>
      </c>
      <c r="CW155" s="5">
        <f ca="1">SUM(OFFSET(Demand!$H$43,ROW(A152)-1,(COLUMN(A152)-1)*5,1,1))*N$2</f>
        <v>0</v>
      </c>
      <c r="CX155" s="5">
        <f ca="1">SUM(OFFSET(Demand!$H$43,ROW(B152)-1,(COLUMN(B152)-1)*5,1,1))*O$2</f>
        <v>0</v>
      </c>
      <c r="CY155" s="5">
        <f ca="1">SUM(OFFSET(Demand!$H$43,ROW(C152)-1,(COLUMN(C152)-1)*5,1,1))*P$2</f>
        <v>0</v>
      </c>
      <c r="CZ155" s="5">
        <f ca="1">SUM(OFFSET(Demand!$H$43,ROW(D152)-1,(COLUMN(D152)-1)*5,1,1))*Q$2</f>
        <v>0</v>
      </c>
      <c r="DA155" s="5">
        <f ca="1">SUM(OFFSET(Demand!$H$43,ROW(E152)-1,(COLUMN(E152)-1)*5,1,1))*R$2</f>
        <v>0</v>
      </c>
      <c r="DB155" s="5">
        <f ca="1">SUM(OFFSET(Demand!$H$43,ROW(F152)-1,(COLUMN(F152)-1)*5,1,1))*S$2</f>
        <v>0</v>
      </c>
      <c r="DC155" s="5">
        <f ca="1">SUM(OFFSET(Demand!$H$43,ROW(G152)-1,(COLUMN(G152)-1)*5,1,1))*T$2</f>
        <v>0</v>
      </c>
      <c r="DD155" s="5">
        <f ca="1">SUM(OFFSET(Demand!$H$43,ROW(H152)-1,(COLUMN(H152)-1)*5,1,1))*U$2</f>
        <v>0</v>
      </c>
      <c r="DE155" s="5">
        <f ca="1">SUM(OFFSET(Demand!$H$43,ROW(I152)-1,(COLUMN(I152)-1)*5,1,1))*V$2</f>
        <v>0</v>
      </c>
      <c r="DF155" s="5">
        <f ca="1">SUM(OFFSET(Demand!$H$43,ROW(J152)-1,(COLUMN(J152)-1)*5,1,1))*W$2</f>
        <v>0</v>
      </c>
      <c r="DG155" s="5">
        <f t="shared" ca="1" si="44"/>
        <v>0</v>
      </c>
    </row>
    <row r="156" spans="1:111" x14ac:dyDescent="0.2">
      <c r="A156" s="5">
        <f t="shared" ca="1" si="38"/>
        <v>2</v>
      </c>
      <c r="B156" s="5">
        <f ca="1">COUNTBLANK(OFFSET(Demand!$I165,0,(COLUMN(A153)-1)*5,1,1))</f>
        <v>1</v>
      </c>
      <c r="C156" s="5">
        <f ca="1">COUNTBLANK(OFFSET(Demand!$I165,0,(COLUMN(B153)-1)*5,1,1))</f>
        <v>1</v>
      </c>
      <c r="D156" s="5">
        <f ca="1">COUNTBLANK(OFFSET(Demand!$I165,0,(COLUMN(C153)-1)*5,1,1))</f>
        <v>1</v>
      </c>
      <c r="E156" s="5">
        <f ca="1">COUNTBLANK(OFFSET(Demand!$I165,0,(COLUMN(D153)-1)*5,1,1))</f>
        <v>1</v>
      </c>
      <c r="F156" s="5">
        <f ca="1">COUNTBLANK(OFFSET(Demand!$I165,0,(COLUMN(E153)-1)*5,1,1))</f>
        <v>1</v>
      </c>
      <c r="G156" s="5">
        <f ca="1">COUNTBLANK(OFFSET(Demand!$I165,0,(COLUMN(F153)-1)*5,1,1))</f>
        <v>1</v>
      </c>
      <c r="H156" s="5">
        <f ca="1">COUNTBLANK(OFFSET(Demand!$I165,0,(COLUMN(G153)-1)*5,1,1))</f>
        <v>1</v>
      </c>
      <c r="I156" s="5">
        <f ca="1">COUNTBLANK(OFFSET(Demand!$I165,0,(COLUMN(H153)-1)*5,1,1))</f>
        <v>1</v>
      </c>
      <c r="J156" s="5">
        <f ca="1">COUNTBLANK(OFFSET(Demand!$I165,0,(COLUMN(I153)-1)*5,1,1))</f>
        <v>1</v>
      </c>
      <c r="K156" s="5">
        <f ca="1">COUNTBLANK(OFFSET(Demand!$I165,0,(COLUMN(J153)-1)*5,1,1))</f>
        <v>1</v>
      </c>
      <c r="N156" s="5">
        <f ca="1">SUM(OFFSET(Demand!$E165,0,(COLUMN(A153)-1)*5,1,3))*N$2</f>
        <v>0</v>
      </c>
      <c r="O156" s="5">
        <f ca="1">SUM(OFFSET(Demand!$E165,0,(COLUMN(B153)-1)*5,1,3))*O$2</f>
        <v>0</v>
      </c>
      <c r="P156" s="5">
        <f ca="1">SUM(OFFSET(Demand!$E165,0,(COLUMN(C153)-1)*5,1,3))*P$2</f>
        <v>0</v>
      </c>
      <c r="Q156" s="5">
        <f ca="1">SUM(OFFSET(Demand!$E165,0,(COLUMN(D153)-1)*5,1,3))*Q$2</f>
        <v>0</v>
      </c>
      <c r="R156" s="5">
        <f ca="1">SUM(OFFSET(Demand!$E165,0,(COLUMN(E153)-1)*5,1,3))*R$2</f>
        <v>0</v>
      </c>
      <c r="S156" s="5">
        <f ca="1">SUM(OFFSET(Demand!$E165,0,(COLUMN(F153)-1)*5,1,3))*S$2</f>
        <v>0</v>
      </c>
      <c r="T156" s="5">
        <f ca="1">SUM(OFFSET(Demand!$E165,0,(COLUMN(G153)-1)*5,1,3))*T$2</f>
        <v>0</v>
      </c>
      <c r="U156" s="5">
        <f ca="1">SUM(OFFSET(Demand!$E165,0,(COLUMN(H153)-1)*5,1,3))*U$2</f>
        <v>0</v>
      </c>
      <c r="V156" s="5">
        <f ca="1">SUM(OFFSET(Demand!$E165,0,(COLUMN(I153)-1)*5,1,3))*V$2</f>
        <v>0</v>
      </c>
      <c r="W156" s="5">
        <f ca="1">SUM(OFFSET(Demand!$E165,0,(COLUMN(J153)-1)*5,1,3))*W$2</f>
        <v>0</v>
      </c>
      <c r="X156" s="5">
        <f t="shared" ca="1" si="39"/>
        <v>0</v>
      </c>
      <c r="Y156">
        <f t="shared" ca="1" si="40"/>
        <v>0</v>
      </c>
      <c r="Z156" s="5">
        <f ca="1">SUM(OFFSET(Demand!$H165,0,(COLUMN(A153)-1)*5,1,1))*N$2</f>
        <v>0</v>
      </c>
      <c r="AA156" s="5">
        <f ca="1">SUM(OFFSET(Demand!$H165,0,(COLUMN(B153)-1)*5,1,1))*O$2</f>
        <v>0</v>
      </c>
      <c r="AB156" s="5">
        <f ca="1">SUM(OFFSET(Demand!$H165,0,(COLUMN(C153)-1)*5,1,1))*P$2</f>
        <v>0</v>
      </c>
      <c r="AC156" s="5">
        <f ca="1">SUM(OFFSET(Demand!$H165,0,(COLUMN(D153)-1)*5,1,1))*Q$2</f>
        <v>0</v>
      </c>
      <c r="AD156" s="5">
        <f ca="1">SUM(OFFSET(Demand!$H165,0,(COLUMN(E153)-1)*5,1,1))*R$2</f>
        <v>0</v>
      </c>
      <c r="AE156" s="5">
        <f ca="1">SUM(OFFSET(Demand!$H165,0,(COLUMN(F153)-1)*5,1,1))*S$2</f>
        <v>0</v>
      </c>
      <c r="AF156" s="5">
        <f ca="1">SUM(OFFSET(Demand!$H165,0,(COLUMN(G153)-1)*5,1,1))*T$2</f>
        <v>0</v>
      </c>
      <c r="AG156" s="5">
        <f ca="1">SUM(OFFSET(Demand!$H165,0,(COLUMN(H153)-1)*5,1,1))*U$2</f>
        <v>0</v>
      </c>
      <c r="AH156" s="5">
        <f ca="1">SUM(OFFSET(Demand!$H165,0,(COLUMN(I153)-1)*5,1,1))*V$2</f>
        <v>0</v>
      </c>
      <c r="AI156" s="5">
        <f ca="1">SUM(OFFSET(Demand!$H165,0,(COLUMN(J153)-1)*5,1,1))*W$2</f>
        <v>0</v>
      </c>
      <c r="AJ156" s="5">
        <f t="shared" ca="1" si="41"/>
        <v>0</v>
      </c>
      <c r="AL156" s="5">
        <f t="shared" ca="1" si="42"/>
        <v>0</v>
      </c>
      <c r="AM156" s="5">
        <f t="shared" ca="1" si="43"/>
        <v>0</v>
      </c>
      <c r="AN156" s="5" t="str">
        <f>IF(Demand!BE165="Yes","Yes","")</f>
        <v/>
      </c>
      <c r="AP156" s="37" t="str">
        <f ca="1">Demand!B165</f>
        <v xml:space="preserve"> </v>
      </c>
      <c r="AQ156" t="str">
        <f ca="1">IF(TEXT(Demand!D165,"MMM")&lt;&gt;TEXT(Demand!D164,"MMM"),TEXT(Demand!D165,"MMM"),"")</f>
        <v/>
      </c>
      <c r="AT156" s="5">
        <f t="shared" ca="1" si="45"/>
        <v>0</v>
      </c>
      <c r="BQ156">
        <f ca="1">IF($AN156="",OFFSET(Demand!$A$13,ROW(A153)-1,4+((QUOTIENT(COLUMN(BQ$2)-69,3))*5)+MOD(COLUMN(BQ$2),3),1,1),"")</f>
        <v>0</v>
      </c>
      <c r="BR156">
        <f ca="1">IF($AN156="",OFFSET(Demand!$A$13,ROW(B153)-1,4+((QUOTIENT(COLUMN(BR$2)-69,3))*5)+MOD(COLUMN(BR$2),3),1,1),"")</f>
        <v>0</v>
      </c>
      <c r="BS156">
        <f ca="1">IF($AN156="",OFFSET(Demand!$A$13,ROW(C153)-1,4+((QUOTIENT(COLUMN(BS$2)-69,3))*5)+MOD(COLUMN(BS$2),3),1,1),"")</f>
        <v>0</v>
      </c>
      <c r="BT156">
        <f ca="1">IF($AN156="",OFFSET(Demand!$A$13,ROW(D153)-1,4+((QUOTIENT(COLUMN(BT$2)-69,3))*5)+MOD(COLUMN(BT$2),3),1,1),"")</f>
        <v>0</v>
      </c>
      <c r="BU156">
        <f ca="1">IF($AN156="",OFFSET(Demand!$A$13,ROW(E153)-1,4+((QUOTIENT(COLUMN(BU$2)-69,3))*5)+MOD(COLUMN(BU$2),3),1,1),"")</f>
        <v>0</v>
      </c>
      <c r="BV156">
        <f ca="1">IF($AN156="",OFFSET(Demand!$A$13,ROW(F153)-1,4+((QUOTIENT(COLUMN(BV$2)-69,3))*5)+MOD(COLUMN(BV$2),3),1,1),"")</f>
        <v>0</v>
      </c>
      <c r="BW156">
        <f ca="1">IF($AN156="",OFFSET(Demand!$A$13,ROW(G153)-1,4+((QUOTIENT(COLUMN(BW$2)-69,3))*5)+MOD(COLUMN(BW$2),3),1,1),"")</f>
        <v>0</v>
      </c>
      <c r="BX156">
        <f ca="1">IF($AN156="",OFFSET(Demand!$A$13,ROW(H153)-1,4+((QUOTIENT(COLUMN(BX$2)-69,3))*5)+MOD(COLUMN(BX$2),3),1,1),"")</f>
        <v>0</v>
      </c>
      <c r="BY156">
        <f ca="1">IF($AN156="",OFFSET(Demand!$A$13,ROW(I153)-1,4+((QUOTIENT(COLUMN(BY$2)-69,3))*5)+MOD(COLUMN(BY$2),3),1,1),"")</f>
        <v>0</v>
      </c>
      <c r="BZ156">
        <f ca="1">IF($AN156="",OFFSET(Demand!$A$13,ROW(J153)-1,4+((QUOTIENT(COLUMN(BZ$2)-69,3))*5)+MOD(COLUMN(BZ$2),3),1,1),"")</f>
        <v>0</v>
      </c>
      <c r="CA156">
        <f ca="1">IF($AN156="",OFFSET(Demand!$A$13,ROW(K153)-1,4+((QUOTIENT(COLUMN(CA$2)-69,3))*5)+MOD(COLUMN(CA$2),3),1,1),"")</f>
        <v>0</v>
      </c>
      <c r="CB156">
        <f ca="1">IF($AN156="",OFFSET(Demand!$A$13,ROW(L153)-1,4+((QUOTIENT(COLUMN(CB$2)-69,3))*5)+MOD(COLUMN(CB$2),3),1,1),"")</f>
        <v>0</v>
      </c>
      <c r="CC156">
        <f ca="1">IF($AN156="",OFFSET(Demand!$A$13,ROW(M153)-1,4+((QUOTIENT(COLUMN(CC$2)-69,3))*5)+MOD(COLUMN(CC$2),3),1,1),"")</f>
        <v>0</v>
      </c>
      <c r="CD156">
        <f ca="1">IF($AN156="",OFFSET(Demand!$A$13,ROW(N153)-1,4+((QUOTIENT(COLUMN(CD$2)-69,3))*5)+MOD(COLUMN(CD$2),3),1,1),"")</f>
        <v>0</v>
      </c>
      <c r="CE156">
        <f ca="1">IF($AN156="",OFFSET(Demand!$A$13,ROW(O153)-1,4+((QUOTIENT(COLUMN(CE$2)-69,3))*5)+MOD(COLUMN(CE$2),3),1,1),"")</f>
        <v>0</v>
      </c>
      <c r="CF156">
        <f ca="1">IF($AN156="",OFFSET(Demand!$A$13,ROW(P153)-1,4+((QUOTIENT(COLUMN(CF$2)-69,3))*5)+MOD(COLUMN(CF$2),3),1,1),"")</f>
        <v>0</v>
      </c>
      <c r="CG156">
        <f ca="1">IF($AN156="",OFFSET(Demand!$A$13,ROW(Q153)-1,4+((QUOTIENT(COLUMN(CG$2)-69,3))*5)+MOD(COLUMN(CG$2),3),1,1),"")</f>
        <v>0</v>
      </c>
      <c r="CH156">
        <f ca="1">IF($AN156="",OFFSET(Demand!$A$13,ROW(R153)-1,4+((QUOTIENT(COLUMN(CH$2)-69,3))*5)+MOD(COLUMN(CH$2),3),1,1),"")</f>
        <v>0</v>
      </c>
      <c r="CI156">
        <f ca="1">IF($AN156="",OFFSET(Demand!$A$13,ROW(S153)-1,4+((QUOTIENT(COLUMN(CI$2)-69,3))*5)+MOD(COLUMN(CI$2),3),1,1),"")</f>
        <v>0</v>
      </c>
      <c r="CJ156">
        <f ca="1">IF($AN156="",OFFSET(Demand!$A$13,ROW(T153)-1,4+((QUOTIENT(COLUMN(CJ$2)-69,3))*5)+MOD(COLUMN(CJ$2),3),1,1),"")</f>
        <v>0</v>
      </c>
      <c r="CK156">
        <f ca="1">IF($AN156="",OFFSET(Demand!$A$13,ROW(U153)-1,4+((QUOTIENT(COLUMN(CK$2)-69,3))*5)+MOD(COLUMN(CK$2),3),1,1),"")</f>
        <v>0</v>
      </c>
      <c r="CL156">
        <f ca="1">IF($AN156="",OFFSET(Demand!$A$13,ROW(V153)-1,4+((QUOTIENT(COLUMN(CL$2)-69,3))*5)+MOD(COLUMN(CL$2),3),1,1),"")</f>
        <v>0</v>
      </c>
      <c r="CM156">
        <f ca="1">IF($AN156="",OFFSET(Demand!$A$13,ROW(W153)-1,4+((QUOTIENT(COLUMN(CM$2)-69,3))*5)+MOD(COLUMN(CM$2),3),1,1),"")</f>
        <v>0</v>
      </c>
      <c r="CN156">
        <f ca="1">IF($AN156="",OFFSET(Demand!$A$13,ROW(X153)-1,4+((QUOTIENT(COLUMN(CN$2)-69,3))*5)+MOD(COLUMN(CN$2),3),1,1),"")</f>
        <v>0</v>
      </c>
      <c r="CO156">
        <f ca="1">IF($AN156="",OFFSET(Demand!$A$13,ROW(Y153)-1,4+((QUOTIENT(COLUMN(CO$2)-69,3))*5)+MOD(COLUMN(CO$2),3),1,1),"")</f>
        <v>0</v>
      </c>
      <c r="CP156">
        <f ca="1">IF($AN156="",OFFSET(Demand!$A$13,ROW(Z153)-1,4+((QUOTIENT(COLUMN(CP$2)-69,3))*5)+MOD(COLUMN(CP$2),3),1,1),"")</f>
        <v>0</v>
      </c>
      <c r="CQ156">
        <f ca="1">IF($AN156="",OFFSET(Demand!$A$13,ROW(AA153)-1,4+((QUOTIENT(COLUMN(CQ$2)-69,3))*5)+MOD(COLUMN(CQ$2),3),1,1),"")</f>
        <v>0</v>
      </c>
      <c r="CR156">
        <f ca="1">IF($AN156="",OFFSET(Demand!$A$13,ROW(AB153)-1,4+((QUOTIENT(COLUMN(CR$2)-69,3))*5)+MOD(COLUMN(CR$2),3),1,1),"")</f>
        <v>0</v>
      </c>
      <c r="CS156">
        <f ca="1">IF($AN156="",OFFSET(Demand!$A$13,ROW(AC153)-1,4+((QUOTIENT(COLUMN(CS$2)-69,3))*5)+MOD(COLUMN(CS$2),3),1,1),"")</f>
        <v>0</v>
      </c>
      <c r="CT156">
        <f ca="1">IF($AN156="",OFFSET(Demand!$A$13,ROW(AD153)-1,4+((QUOTIENT(COLUMN(CT$2)-69,3))*5)+MOD(COLUMN(CT$2),3),1,1),"")</f>
        <v>0</v>
      </c>
      <c r="CW156" s="5">
        <f ca="1">SUM(OFFSET(Demand!$H$43,ROW(A153)-1,(COLUMN(A153)-1)*5,1,1))*N$2</f>
        <v>0</v>
      </c>
      <c r="CX156" s="5">
        <f ca="1">SUM(OFFSET(Demand!$H$43,ROW(B153)-1,(COLUMN(B153)-1)*5,1,1))*O$2</f>
        <v>0</v>
      </c>
      <c r="CY156" s="5">
        <f ca="1">SUM(OFFSET(Demand!$H$43,ROW(C153)-1,(COLUMN(C153)-1)*5,1,1))*P$2</f>
        <v>0</v>
      </c>
      <c r="CZ156" s="5">
        <f ca="1">SUM(OFFSET(Demand!$H$43,ROW(D153)-1,(COLUMN(D153)-1)*5,1,1))*Q$2</f>
        <v>0</v>
      </c>
      <c r="DA156" s="5">
        <f ca="1">SUM(OFFSET(Demand!$H$43,ROW(E153)-1,(COLUMN(E153)-1)*5,1,1))*R$2</f>
        <v>0</v>
      </c>
      <c r="DB156" s="5">
        <f ca="1">SUM(OFFSET(Demand!$H$43,ROW(F153)-1,(COLUMN(F153)-1)*5,1,1))*S$2</f>
        <v>0</v>
      </c>
      <c r="DC156" s="5">
        <f ca="1">SUM(OFFSET(Demand!$H$43,ROW(G153)-1,(COLUMN(G153)-1)*5,1,1))*T$2</f>
        <v>0</v>
      </c>
      <c r="DD156" s="5">
        <f ca="1">SUM(OFFSET(Demand!$H$43,ROW(H153)-1,(COLUMN(H153)-1)*5,1,1))*U$2</f>
        <v>0</v>
      </c>
      <c r="DE156" s="5">
        <f ca="1">SUM(OFFSET(Demand!$H$43,ROW(I153)-1,(COLUMN(I153)-1)*5,1,1))*V$2</f>
        <v>0</v>
      </c>
      <c r="DF156" s="5">
        <f ca="1">SUM(OFFSET(Demand!$H$43,ROW(J153)-1,(COLUMN(J153)-1)*5,1,1))*W$2</f>
        <v>0</v>
      </c>
      <c r="DG156" s="5">
        <f t="shared" ca="1" si="44"/>
        <v>0</v>
      </c>
    </row>
    <row r="157" spans="1:111" x14ac:dyDescent="0.2">
      <c r="A157" s="5">
        <f t="shared" ca="1" si="38"/>
        <v>2</v>
      </c>
      <c r="B157" s="5">
        <f ca="1">COUNTBLANK(OFFSET(Demand!$I166,0,(COLUMN(A154)-1)*5,1,1))</f>
        <v>1</v>
      </c>
      <c r="C157" s="5">
        <f ca="1">COUNTBLANK(OFFSET(Demand!$I166,0,(COLUMN(B154)-1)*5,1,1))</f>
        <v>1</v>
      </c>
      <c r="D157" s="5">
        <f ca="1">COUNTBLANK(OFFSET(Demand!$I166,0,(COLUMN(C154)-1)*5,1,1))</f>
        <v>1</v>
      </c>
      <c r="E157" s="5">
        <f ca="1">COUNTBLANK(OFFSET(Demand!$I166,0,(COLUMN(D154)-1)*5,1,1))</f>
        <v>1</v>
      </c>
      <c r="F157" s="5">
        <f ca="1">COUNTBLANK(OFFSET(Demand!$I166,0,(COLUMN(E154)-1)*5,1,1))</f>
        <v>1</v>
      </c>
      <c r="G157" s="5">
        <f ca="1">COUNTBLANK(OFFSET(Demand!$I166,0,(COLUMN(F154)-1)*5,1,1))</f>
        <v>1</v>
      </c>
      <c r="H157" s="5">
        <f ca="1">COUNTBLANK(OFFSET(Demand!$I166,0,(COLUMN(G154)-1)*5,1,1))</f>
        <v>1</v>
      </c>
      <c r="I157" s="5">
        <f ca="1">COUNTBLANK(OFFSET(Demand!$I166,0,(COLUMN(H154)-1)*5,1,1))</f>
        <v>1</v>
      </c>
      <c r="J157" s="5">
        <f ca="1">COUNTBLANK(OFFSET(Demand!$I166,0,(COLUMN(I154)-1)*5,1,1))</f>
        <v>1</v>
      </c>
      <c r="K157" s="5">
        <f ca="1">COUNTBLANK(OFFSET(Demand!$I166,0,(COLUMN(J154)-1)*5,1,1))</f>
        <v>1</v>
      </c>
      <c r="N157" s="5">
        <f ca="1">SUM(OFFSET(Demand!$E166,0,(COLUMN(A154)-1)*5,1,3))*N$2</f>
        <v>0</v>
      </c>
      <c r="O157" s="5">
        <f ca="1">SUM(OFFSET(Demand!$E166,0,(COLUMN(B154)-1)*5,1,3))*O$2</f>
        <v>0</v>
      </c>
      <c r="P157" s="5">
        <f ca="1">SUM(OFFSET(Demand!$E166,0,(COLUMN(C154)-1)*5,1,3))*P$2</f>
        <v>0</v>
      </c>
      <c r="Q157" s="5">
        <f ca="1">SUM(OFFSET(Demand!$E166,0,(COLUMN(D154)-1)*5,1,3))*Q$2</f>
        <v>0</v>
      </c>
      <c r="R157" s="5">
        <f ca="1">SUM(OFFSET(Demand!$E166,0,(COLUMN(E154)-1)*5,1,3))*R$2</f>
        <v>0</v>
      </c>
      <c r="S157" s="5">
        <f ca="1">SUM(OFFSET(Demand!$E166,0,(COLUMN(F154)-1)*5,1,3))*S$2</f>
        <v>0</v>
      </c>
      <c r="T157" s="5">
        <f ca="1">SUM(OFFSET(Demand!$E166,0,(COLUMN(G154)-1)*5,1,3))*T$2</f>
        <v>0</v>
      </c>
      <c r="U157" s="5">
        <f ca="1">SUM(OFFSET(Demand!$E166,0,(COLUMN(H154)-1)*5,1,3))*U$2</f>
        <v>0</v>
      </c>
      <c r="V157" s="5">
        <f ca="1">SUM(OFFSET(Demand!$E166,0,(COLUMN(I154)-1)*5,1,3))*V$2</f>
        <v>0</v>
      </c>
      <c r="W157" s="5">
        <f ca="1">SUM(OFFSET(Demand!$E166,0,(COLUMN(J154)-1)*5,1,3))*W$2</f>
        <v>0</v>
      </c>
      <c r="X157" s="5">
        <f t="shared" ca="1" si="39"/>
        <v>0</v>
      </c>
      <c r="Y157">
        <f t="shared" ca="1" si="40"/>
        <v>0</v>
      </c>
      <c r="Z157" s="5">
        <f ca="1">SUM(OFFSET(Demand!$H166,0,(COLUMN(A154)-1)*5,1,1))*N$2</f>
        <v>0</v>
      </c>
      <c r="AA157" s="5">
        <f ca="1">SUM(OFFSET(Demand!$H166,0,(COLUMN(B154)-1)*5,1,1))*O$2</f>
        <v>0</v>
      </c>
      <c r="AB157" s="5">
        <f ca="1">SUM(OFFSET(Demand!$H166,0,(COLUMN(C154)-1)*5,1,1))*P$2</f>
        <v>0</v>
      </c>
      <c r="AC157" s="5">
        <f ca="1">SUM(OFFSET(Demand!$H166,0,(COLUMN(D154)-1)*5,1,1))*Q$2</f>
        <v>0</v>
      </c>
      <c r="AD157" s="5">
        <f ca="1">SUM(OFFSET(Demand!$H166,0,(COLUMN(E154)-1)*5,1,1))*R$2</f>
        <v>0</v>
      </c>
      <c r="AE157" s="5">
        <f ca="1">SUM(OFFSET(Demand!$H166,0,(COLUMN(F154)-1)*5,1,1))*S$2</f>
        <v>0</v>
      </c>
      <c r="AF157" s="5">
        <f ca="1">SUM(OFFSET(Demand!$H166,0,(COLUMN(G154)-1)*5,1,1))*T$2</f>
        <v>0</v>
      </c>
      <c r="AG157" s="5">
        <f ca="1">SUM(OFFSET(Demand!$H166,0,(COLUMN(H154)-1)*5,1,1))*U$2</f>
        <v>0</v>
      </c>
      <c r="AH157" s="5">
        <f ca="1">SUM(OFFSET(Demand!$H166,0,(COLUMN(I154)-1)*5,1,1))*V$2</f>
        <v>0</v>
      </c>
      <c r="AI157" s="5">
        <f ca="1">SUM(OFFSET(Demand!$H166,0,(COLUMN(J154)-1)*5,1,1))*W$2</f>
        <v>0</v>
      </c>
      <c r="AJ157" s="5">
        <f t="shared" ca="1" si="41"/>
        <v>0</v>
      </c>
      <c r="AL157" s="5">
        <f t="shared" ca="1" si="42"/>
        <v>0</v>
      </c>
      <c r="AM157" s="5">
        <f t="shared" ca="1" si="43"/>
        <v>0</v>
      </c>
      <c r="AN157" s="5" t="str">
        <f>IF(Demand!BE166="Yes","Yes","")</f>
        <v/>
      </c>
      <c r="AP157" s="37" t="str">
        <f ca="1">Demand!B166</f>
        <v xml:space="preserve"> </v>
      </c>
      <c r="AQ157" t="str">
        <f ca="1">IF(TEXT(Demand!D166,"MMM")&lt;&gt;TEXT(Demand!D165,"MMM"),TEXT(Demand!D166,"MMM"),"")</f>
        <v/>
      </c>
      <c r="AT157" s="5">
        <f t="shared" ca="1" si="45"/>
        <v>0</v>
      </c>
      <c r="BQ157">
        <f ca="1">IF($AN157="",OFFSET(Demand!$A$13,ROW(A154)-1,4+((QUOTIENT(COLUMN(BQ$2)-69,3))*5)+MOD(COLUMN(BQ$2),3),1,1),"")</f>
        <v>0</v>
      </c>
      <c r="BR157">
        <f ca="1">IF($AN157="",OFFSET(Demand!$A$13,ROW(B154)-1,4+((QUOTIENT(COLUMN(BR$2)-69,3))*5)+MOD(COLUMN(BR$2),3),1,1),"")</f>
        <v>0</v>
      </c>
      <c r="BS157">
        <f ca="1">IF($AN157="",OFFSET(Demand!$A$13,ROW(C154)-1,4+((QUOTIENT(COLUMN(BS$2)-69,3))*5)+MOD(COLUMN(BS$2),3),1,1),"")</f>
        <v>0</v>
      </c>
      <c r="BT157">
        <f ca="1">IF($AN157="",OFFSET(Demand!$A$13,ROW(D154)-1,4+((QUOTIENT(COLUMN(BT$2)-69,3))*5)+MOD(COLUMN(BT$2),3),1,1),"")</f>
        <v>0</v>
      </c>
      <c r="BU157">
        <f ca="1">IF($AN157="",OFFSET(Demand!$A$13,ROW(E154)-1,4+((QUOTIENT(COLUMN(BU$2)-69,3))*5)+MOD(COLUMN(BU$2),3),1,1),"")</f>
        <v>0</v>
      </c>
      <c r="BV157">
        <f ca="1">IF($AN157="",OFFSET(Demand!$A$13,ROW(F154)-1,4+((QUOTIENT(COLUMN(BV$2)-69,3))*5)+MOD(COLUMN(BV$2),3),1,1),"")</f>
        <v>0</v>
      </c>
      <c r="BW157">
        <f ca="1">IF($AN157="",OFFSET(Demand!$A$13,ROW(G154)-1,4+((QUOTIENT(COLUMN(BW$2)-69,3))*5)+MOD(COLUMN(BW$2),3),1,1),"")</f>
        <v>0</v>
      </c>
      <c r="BX157">
        <f ca="1">IF($AN157="",OFFSET(Demand!$A$13,ROW(H154)-1,4+((QUOTIENT(COLUMN(BX$2)-69,3))*5)+MOD(COLUMN(BX$2),3),1,1),"")</f>
        <v>0</v>
      </c>
      <c r="BY157">
        <f ca="1">IF($AN157="",OFFSET(Demand!$A$13,ROW(I154)-1,4+((QUOTIENT(COLUMN(BY$2)-69,3))*5)+MOD(COLUMN(BY$2),3),1,1),"")</f>
        <v>0</v>
      </c>
      <c r="BZ157">
        <f ca="1">IF($AN157="",OFFSET(Demand!$A$13,ROW(J154)-1,4+((QUOTIENT(COLUMN(BZ$2)-69,3))*5)+MOD(COLUMN(BZ$2),3),1,1),"")</f>
        <v>0</v>
      </c>
      <c r="CA157">
        <f ca="1">IF($AN157="",OFFSET(Demand!$A$13,ROW(K154)-1,4+((QUOTIENT(COLUMN(CA$2)-69,3))*5)+MOD(COLUMN(CA$2),3),1,1),"")</f>
        <v>0</v>
      </c>
      <c r="CB157">
        <f ca="1">IF($AN157="",OFFSET(Demand!$A$13,ROW(L154)-1,4+((QUOTIENT(COLUMN(CB$2)-69,3))*5)+MOD(COLUMN(CB$2),3),1,1),"")</f>
        <v>0</v>
      </c>
      <c r="CC157">
        <f ca="1">IF($AN157="",OFFSET(Demand!$A$13,ROW(M154)-1,4+((QUOTIENT(COLUMN(CC$2)-69,3))*5)+MOD(COLUMN(CC$2),3),1,1),"")</f>
        <v>0</v>
      </c>
      <c r="CD157">
        <f ca="1">IF($AN157="",OFFSET(Demand!$A$13,ROW(N154)-1,4+((QUOTIENT(COLUMN(CD$2)-69,3))*5)+MOD(COLUMN(CD$2),3),1,1),"")</f>
        <v>0</v>
      </c>
      <c r="CE157">
        <f ca="1">IF($AN157="",OFFSET(Demand!$A$13,ROW(O154)-1,4+((QUOTIENT(COLUMN(CE$2)-69,3))*5)+MOD(COLUMN(CE$2),3),1,1),"")</f>
        <v>0</v>
      </c>
      <c r="CF157">
        <f ca="1">IF($AN157="",OFFSET(Demand!$A$13,ROW(P154)-1,4+((QUOTIENT(COLUMN(CF$2)-69,3))*5)+MOD(COLUMN(CF$2),3),1,1),"")</f>
        <v>0</v>
      </c>
      <c r="CG157">
        <f ca="1">IF($AN157="",OFFSET(Demand!$A$13,ROW(Q154)-1,4+((QUOTIENT(COLUMN(CG$2)-69,3))*5)+MOD(COLUMN(CG$2),3),1,1),"")</f>
        <v>0</v>
      </c>
      <c r="CH157">
        <f ca="1">IF($AN157="",OFFSET(Demand!$A$13,ROW(R154)-1,4+((QUOTIENT(COLUMN(CH$2)-69,3))*5)+MOD(COLUMN(CH$2),3),1,1),"")</f>
        <v>0</v>
      </c>
      <c r="CI157">
        <f ca="1">IF($AN157="",OFFSET(Demand!$A$13,ROW(S154)-1,4+((QUOTIENT(COLUMN(CI$2)-69,3))*5)+MOD(COLUMN(CI$2),3),1,1),"")</f>
        <v>0</v>
      </c>
      <c r="CJ157">
        <f ca="1">IF($AN157="",OFFSET(Demand!$A$13,ROW(T154)-1,4+((QUOTIENT(COLUMN(CJ$2)-69,3))*5)+MOD(COLUMN(CJ$2),3),1,1),"")</f>
        <v>0</v>
      </c>
      <c r="CK157">
        <f ca="1">IF($AN157="",OFFSET(Demand!$A$13,ROW(U154)-1,4+((QUOTIENT(COLUMN(CK$2)-69,3))*5)+MOD(COLUMN(CK$2),3),1,1),"")</f>
        <v>0</v>
      </c>
      <c r="CL157">
        <f ca="1">IF($AN157="",OFFSET(Demand!$A$13,ROW(V154)-1,4+((QUOTIENT(COLUMN(CL$2)-69,3))*5)+MOD(COLUMN(CL$2),3),1,1),"")</f>
        <v>0</v>
      </c>
      <c r="CM157">
        <f ca="1">IF($AN157="",OFFSET(Demand!$A$13,ROW(W154)-1,4+((QUOTIENT(COLUMN(CM$2)-69,3))*5)+MOD(COLUMN(CM$2),3),1,1),"")</f>
        <v>0</v>
      </c>
      <c r="CN157">
        <f ca="1">IF($AN157="",OFFSET(Demand!$A$13,ROW(X154)-1,4+((QUOTIENT(COLUMN(CN$2)-69,3))*5)+MOD(COLUMN(CN$2),3),1,1),"")</f>
        <v>0</v>
      </c>
      <c r="CO157">
        <f ca="1">IF($AN157="",OFFSET(Demand!$A$13,ROW(Y154)-1,4+((QUOTIENT(COLUMN(CO$2)-69,3))*5)+MOD(COLUMN(CO$2),3),1,1),"")</f>
        <v>0</v>
      </c>
      <c r="CP157">
        <f ca="1">IF($AN157="",OFFSET(Demand!$A$13,ROW(Z154)-1,4+((QUOTIENT(COLUMN(CP$2)-69,3))*5)+MOD(COLUMN(CP$2),3),1,1),"")</f>
        <v>0</v>
      </c>
      <c r="CQ157">
        <f ca="1">IF($AN157="",OFFSET(Demand!$A$13,ROW(AA154)-1,4+((QUOTIENT(COLUMN(CQ$2)-69,3))*5)+MOD(COLUMN(CQ$2),3),1,1),"")</f>
        <v>0</v>
      </c>
      <c r="CR157">
        <f ca="1">IF($AN157="",OFFSET(Demand!$A$13,ROW(AB154)-1,4+((QUOTIENT(COLUMN(CR$2)-69,3))*5)+MOD(COLUMN(CR$2),3),1,1),"")</f>
        <v>0</v>
      </c>
      <c r="CS157">
        <f ca="1">IF($AN157="",OFFSET(Demand!$A$13,ROW(AC154)-1,4+((QUOTIENT(COLUMN(CS$2)-69,3))*5)+MOD(COLUMN(CS$2),3),1,1),"")</f>
        <v>0</v>
      </c>
      <c r="CT157">
        <f ca="1">IF($AN157="",OFFSET(Demand!$A$13,ROW(AD154)-1,4+((QUOTIENT(COLUMN(CT$2)-69,3))*5)+MOD(COLUMN(CT$2),3),1,1),"")</f>
        <v>0</v>
      </c>
      <c r="CW157" s="5">
        <f ca="1">SUM(OFFSET(Demand!$H$43,ROW(A154)-1,(COLUMN(A154)-1)*5,1,1))*N$2</f>
        <v>0</v>
      </c>
      <c r="CX157" s="5">
        <f ca="1">SUM(OFFSET(Demand!$H$43,ROW(B154)-1,(COLUMN(B154)-1)*5,1,1))*O$2</f>
        <v>0</v>
      </c>
      <c r="CY157" s="5">
        <f ca="1">SUM(OFFSET(Demand!$H$43,ROW(C154)-1,(COLUMN(C154)-1)*5,1,1))*P$2</f>
        <v>0</v>
      </c>
      <c r="CZ157" s="5">
        <f ca="1">SUM(OFFSET(Demand!$H$43,ROW(D154)-1,(COLUMN(D154)-1)*5,1,1))*Q$2</f>
        <v>0</v>
      </c>
      <c r="DA157" s="5">
        <f ca="1">SUM(OFFSET(Demand!$H$43,ROW(E154)-1,(COLUMN(E154)-1)*5,1,1))*R$2</f>
        <v>0</v>
      </c>
      <c r="DB157" s="5">
        <f ca="1">SUM(OFFSET(Demand!$H$43,ROW(F154)-1,(COLUMN(F154)-1)*5,1,1))*S$2</f>
        <v>0</v>
      </c>
      <c r="DC157" s="5">
        <f ca="1">SUM(OFFSET(Demand!$H$43,ROW(G154)-1,(COLUMN(G154)-1)*5,1,1))*T$2</f>
        <v>0</v>
      </c>
      <c r="DD157" s="5">
        <f ca="1">SUM(OFFSET(Demand!$H$43,ROW(H154)-1,(COLUMN(H154)-1)*5,1,1))*U$2</f>
        <v>0</v>
      </c>
      <c r="DE157" s="5">
        <f ca="1">SUM(OFFSET(Demand!$H$43,ROW(I154)-1,(COLUMN(I154)-1)*5,1,1))*V$2</f>
        <v>0</v>
      </c>
      <c r="DF157" s="5">
        <f ca="1">SUM(OFFSET(Demand!$H$43,ROW(J154)-1,(COLUMN(J154)-1)*5,1,1))*W$2</f>
        <v>0</v>
      </c>
      <c r="DG157" s="5">
        <f t="shared" ca="1" si="44"/>
        <v>0</v>
      </c>
    </row>
    <row r="158" spans="1:111" x14ac:dyDescent="0.2">
      <c r="A158" s="5">
        <f t="shared" ca="1" si="38"/>
        <v>2</v>
      </c>
      <c r="B158" s="5">
        <f ca="1">COUNTBLANK(OFFSET(Demand!$I167,0,(COLUMN(A155)-1)*5,1,1))</f>
        <v>1</v>
      </c>
      <c r="C158" s="5">
        <f ca="1">COUNTBLANK(OFFSET(Demand!$I167,0,(COLUMN(B155)-1)*5,1,1))</f>
        <v>1</v>
      </c>
      <c r="D158" s="5">
        <f ca="1">COUNTBLANK(OFFSET(Demand!$I167,0,(COLUMN(C155)-1)*5,1,1))</f>
        <v>1</v>
      </c>
      <c r="E158" s="5">
        <f ca="1">COUNTBLANK(OFFSET(Demand!$I167,0,(COLUMN(D155)-1)*5,1,1))</f>
        <v>1</v>
      </c>
      <c r="F158" s="5">
        <f ca="1">COUNTBLANK(OFFSET(Demand!$I167,0,(COLUMN(E155)-1)*5,1,1))</f>
        <v>1</v>
      </c>
      <c r="G158" s="5">
        <f ca="1">COUNTBLANK(OFFSET(Demand!$I167,0,(COLUMN(F155)-1)*5,1,1))</f>
        <v>1</v>
      </c>
      <c r="H158" s="5">
        <f ca="1">COUNTBLANK(OFFSET(Demand!$I167,0,(COLUMN(G155)-1)*5,1,1))</f>
        <v>1</v>
      </c>
      <c r="I158" s="5">
        <f ca="1">COUNTBLANK(OFFSET(Demand!$I167,0,(COLUMN(H155)-1)*5,1,1))</f>
        <v>1</v>
      </c>
      <c r="J158" s="5">
        <f ca="1">COUNTBLANK(OFFSET(Demand!$I167,0,(COLUMN(I155)-1)*5,1,1))</f>
        <v>1</v>
      </c>
      <c r="K158" s="5">
        <f ca="1">COUNTBLANK(OFFSET(Demand!$I167,0,(COLUMN(J155)-1)*5,1,1))</f>
        <v>1</v>
      </c>
      <c r="N158" s="5">
        <f ca="1">SUM(OFFSET(Demand!$E167,0,(COLUMN(A155)-1)*5,1,3))*N$2</f>
        <v>0</v>
      </c>
      <c r="O158" s="5">
        <f ca="1">SUM(OFFSET(Demand!$E167,0,(COLUMN(B155)-1)*5,1,3))*O$2</f>
        <v>0</v>
      </c>
      <c r="P158" s="5">
        <f ca="1">SUM(OFFSET(Demand!$E167,0,(COLUMN(C155)-1)*5,1,3))*P$2</f>
        <v>0</v>
      </c>
      <c r="Q158" s="5">
        <f ca="1">SUM(OFFSET(Demand!$E167,0,(COLUMN(D155)-1)*5,1,3))*Q$2</f>
        <v>0</v>
      </c>
      <c r="R158" s="5">
        <f ca="1">SUM(OFFSET(Demand!$E167,0,(COLUMN(E155)-1)*5,1,3))*R$2</f>
        <v>0</v>
      </c>
      <c r="S158" s="5">
        <f ca="1">SUM(OFFSET(Demand!$E167,0,(COLUMN(F155)-1)*5,1,3))*S$2</f>
        <v>0</v>
      </c>
      <c r="T158" s="5">
        <f ca="1">SUM(OFFSET(Demand!$E167,0,(COLUMN(G155)-1)*5,1,3))*T$2</f>
        <v>0</v>
      </c>
      <c r="U158" s="5">
        <f ca="1">SUM(OFFSET(Demand!$E167,0,(COLUMN(H155)-1)*5,1,3))*U$2</f>
        <v>0</v>
      </c>
      <c r="V158" s="5">
        <f ca="1">SUM(OFFSET(Demand!$E167,0,(COLUMN(I155)-1)*5,1,3))*V$2</f>
        <v>0</v>
      </c>
      <c r="W158" s="5">
        <f ca="1">SUM(OFFSET(Demand!$E167,0,(COLUMN(J155)-1)*5,1,3))*W$2</f>
        <v>0</v>
      </c>
      <c r="X158" s="5">
        <f t="shared" ca="1" si="39"/>
        <v>0</v>
      </c>
      <c r="Y158">
        <f t="shared" ca="1" si="40"/>
        <v>0</v>
      </c>
      <c r="Z158" s="5">
        <f ca="1">SUM(OFFSET(Demand!$H167,0,(COLUMN(A155)-1)*5,1,1))*N$2</f>
        <v>0</v>
      </c>
      <c r="AA158" s="5">
        <f ca="1">SUM(OFFSET(Demand!$H167,0,(COLUMN(B155)-1)*5,1,1))*O$2</f>
        <v>0</v>
      </c>
      <c r="AB158" s="5">
        <f ca="1">SUM(OFFSET(Demand!$H167,0,(COLUMN(C155)-1)*5,1,1))*P$2</f>
        <v>0</v>
      </c>
      <c r="AC158" s="5">
        <f ca="1">SUM(OFFSET(Demand!$H167,0,(COLUMN(D155)-1)*5,1,1))*Q$2</f>
        <v>0</v>
      </c>
      <c r="AD158" s="5">
        <f ca="1">SUM(OFFSET(Demand!$H167,0,(COLUMN(E155)-1)*5,1,1))*R$2</f>
        <v>0</v>
      </c>
      <c r="AE158" s="5">
        <f ca="1">SUM(OFFSET(Demand!$H167,0,(COLUMN(F155)-1)*5,1,1))*S$2</f>
        <v>0</v>
      </c>
      <c r="AF158" s="5">
        <f ca="1">SUM(OFFSET(Demand!$H167,0,(COLUMN(G155)-1)*5,1,1))*T$2</f>
        <v>0</v>
      </c>
      <c r="AG158" s="5">
        <f ca="1">SUM(OFFSET(Demand!$H167,0,(COLUMN(H155)-1)*5,1,1))*U$2</f>
        <v>0</v>
      </c>
      <c r="AH158" s="5">
        <f ca="1">SUM(OFFSET(Demand!$H167,0,(COLUMN(I155)-1)*5,1,1))*V$2</f>
        <v>0</v>
      </c>
      <c r="AI158" s="5">
        <f ca="1">SUM(OFFSET(Demand!$H167,0,(COLUMN(J155)-1)*5,1,1))*W$2</f>
        <v>0</v>
      </c>
      <c r="AJ158" s="5">
        <f t="shared" ca="1" si="41"/>
        <v>0</v>
      </c>
      <c r="AL158" s="5">
        <f t="shared" ca="1" si="42"/>
        <v>0</v>
      </c>
      <c r="AM158" s="5">
        <f t="shared" ca="1" si="43"/>
        <v>0</v>
      </c>
      <c r="AN158" s="5" t="str">
        <f>IF(Demand!BE167="Yes","Yes","")</f>
        <v/>
      </c>
      <c r="AP158" s="37" t="str">
        <f ca="1">Demand!B167</f>
        <v xml:space="preserve"> </v>
      </c>
      <c r="AQ158" t="str">
        <f ca="1">IF(TEXT(Demand!D167,"MMM")&lt;&gt;TEXT(Demand!D166,"MMM"),TEXT(Demand!D167,"MMM"),"")</f>
        <v/>
      </c>
      <c r="AT158" s="5">
        <f t="shared" ca="1" si="45"/>
        <v>0</v>
      </c>
      <c r="BQ158">
        <f ca="1">IF($AN158="",OFFSET(Demand!$A$13,ROW(A155)-1,4+((QUOTIENT(COLUMN(BQ$2)-69,3))*5)+MOD(COLUMN(BQ$2),3),1,1),"")</f>
        <v>0</v>
      </c>
      <c r="BR158">
        <f ca="1">IF($AN158="",OFFSET(Demand!$A$13,ROW(B155)-1,4+((QUOTIENT(COLUMN(BR$2)-69,3))*5)+MOD(COLUMN(BR$2),3),1,1),"")</f>
        <v>0</v>
      </c>
      <c r="BS158">
        <f ca="1">IF($AN158="",OFFSET(Demand!$A$13,ROW(C155)-1,4+((QUOTIENT(COLUMN(BS$2)-69,3))*5)+MOD(COLUMN(BS$2),3),1,1),"")</f>
        <v>0</v>
      </c>
      <c r="BT158">
        <f ca="1">IF($AN158="",OFFSET(Demand!$A$13,ROW(D155)-1,4+((QUOTIENT(COLUMN(BT$2)-69,3))*5)+MOD(COLUMN(BT$2),3),1,1),"")</f>
        <v>0</v>
      </c>
      <c r="BU158">
        <f ca="1">IF($AN158="",OFFSET(Demand!$A$13,ROW(E155)-1,4+((QUOTIENT(COLUMN(BU$2)-69,3))*5)+MOD(COLUMN(BU$2),3),1,1),"")</f>
        <v>0</v>
      </c>
      <c r="BV158">
        <f ca="1">IF($AN158="",OFFSET(Demand!$A$13,ROW(F155)-1,4+((QUOTIENT(COLUMN(BV$2)-69,3))*5)+MOD(COLUMN(BV$2),3),1,1),"")</f>
        <v>0</v>
      </c>
      <c r="BW158">
        <f ca="1">IF($AN158="",OFFSET(Demand!$A$13,ROW(G155)-1,4+((QUOTIENT(COLUMN(BW$2)-69,3))*5)+MOD(COLUMN(BW$2),3),1,1),"")</f>
        <v>0</v>
      </c>
      <c r="BX158">
        <f ca="1">IF($AN158="",OFFSET(Demand!$A$13,ROW(H155)-1,4+((QUOTIENT(COLUMN(BX$2)-69,3))*5)+MOD(COLUMN(BX$2),3),1,1),"")</f>
        <v>0</v>
      </c>
      <c r="BY158">
        <f ca="1">IF($AN158="",OFFSET(Demand!$A$13,ROW(I155)-1,4+((QUOTIENT(COLUMN(BY$2)-69,3))*5)+MOD(COLUMN(BY$2),3),1,1),"")</f>
        <v>0</v>
      </c>
      <c r="BZ158">
        <f ca="1">IF($AN158="",OFFSET(Demand!$A$13,ROW(J155)-1,4+((QUOTIENT(COLUMN(BZ$2)-69,3))*5)+MOD(COLUMN(BZ$2),3),1,1),"")</f>
        <v>0</v>
      </c>
      <c r="CA158">
        <f ca="1">IF($AN158="",OFFSET(Demand!$A$13,ROW(K155)-1,4+((QUOTIENT(COLUMN(CA$2)-69,3))*5)+MOD(COLUMN(CA$2),3),1,1),"")</f>
        <v>0</v>
      </c>
      <c r="CB158">
        <f ca="1">IF($AN158="",OFFSET(Demand!$A$13,ROW(L155)-1,4+((QUOTIENT(COLUMN(CB$2)-69,3))*5)+MOD(COLUMN(CB$2),3),1,1),"")</f>
        <v>0</v>
      </c>
      <c r="CC158">
        <f ca="1">IF($AN158="",OFFSET(Demand!$A$13,ROW(M155)-1,4+((QUOTIENT(COLUMN(CC$2)-69,3))*5)+MOD(COLUMN(CC$2),3),1,1),"")</f>
        <v>0</v>
      </c>
      <c r="CD158">
        <f ca="1">IF($AN158="",OFFSET(Demand!$A$13,ROW(N155)-1,4+((QUOTIENT(COLUMN(CD$2)-69,3))*5)+MOD(COLUMN(CD$2),3),1,1),"")</f>
        <v>0</v>
      </c>
      <c r="CE158">
        <f ca="1">IF($AN158="",OFFSET(Demand!$A$13,ROW(O155)-1,4+((QUOTIENT(COLUMN(CE$2)-69,3))*5)+MOD(COLUMN(CE$2),3),1,1),"")</f>
        <v>0</v>
      </c>
      <c r="CF158">
        <f ca="1">IF($AN158="",OFFSET(Demand!$A$13,ROW(P155)-1,4+((QUOTIENT(COLUMN(CF$2)-69,3))*5)+MOD(COLUMN(CF$2),3),1,1),"")</f>
        <v>0</v>
      </c>
      <c r="CG158">
        <f ca="1">IF($AN158="",OFFSET(Demand!$A$13,ROW(Q155)-1,4+((QUOTIENT(COLUMN(CG$2)-69,3))*5)+MOD(COLUMN(CG$2),3),1,1),"")</f>
        <v>0</v>
      </c>
      <c r="CH158">
        <f ca="1">IF($AN158="",OFFSET(Demand!$A$13,ROW(R155)-1,4+((QUOTIENT(COLUMN(CH$2)-69,3))*5)+MOD(COLUMN(CH$2),3),1,1),"")</f>
        <v>0</v>
      </c>
      <c r="CI158">
        <f ca="1">IF($AN158="",OFFSET(Demand!$A$13,ROW(S155)-1,4+((QUOTIENT(COLUMN(CI$2)-69,3))*5)+MOD(COLUMN(CI$2),3),1,1),"")</f>
        <v>0</v>
      </c>
      <c r="CJ158">
        <f ca="1">IF($AN158="",OFFSET(Demand!$A$13,ROW(T155)-1,4+((QUOTIENT(COLUMN(CJ$2)-69,3))*5)+MOD(COLUMN(CJ$2),3),1,1),"")</f>
        <v>0</v>
      </c>
      <c r="CK158">
        <f ca="1">IF($AN158="",OFFSET(Demand!$A$13,ROW(U155)-1,4+((QUOTIENT(COLUMN(CK$2)-69,3))*5)+MOD(COLUMN(CK$2),3),1,1),"")</f>
        <v>0</v>
      </c>
      <c r="CL158">
        <f ca="1">IF($AN158="",OFFSET(Demand!$A$13,ROW(V155)-1,4+((QUOTIENT(COLUMN(CL$2)-69,3))*5)+MOD(COLUMN(CL$2),3),1,1),"")</f>
        <v>0</v>
      </c>
      <c r="CM158">
        <f ca="1">IF($AN158="",OFFSET(Demand!$A$13,ROW(W155)-1,4+((QUOTIENT(COLUMN(CM$2)-69,3))*5)+MOD(COLUMN(CM$2),3),1,1),"")</f>
        <v>0</v>
      </c>
      <c r="CN158">
        <f ca="1">IF($AN158="",OFFSET(Demand!$A$13,ROW(X155)-1,4+((QUOTIENT(COLUMN(CN$2)-69,3))*5)+MOD(COLUMN(CN$2),3),1,1),"")</f>
        <v>0</v>
      </c>
      <c r="CO158">
        <f ca="1">IF($AN158="",OFFSET(Demand!$A$13,ROW(Y155)-1,4+((QUOTIENT(COLUMN(CO$2)-69,3))*5)+MOD(COLUMN(CO$2),3),1,1),"")</f>
        <v>0</v>
      </c>
      <c r="CP158">
        <f ca="1">IF($AN158="",OFFSET(Demand!$A$13,ROW(Z155)-1,4+((QUOTIENT(COLUMN(CP$2)-69,3))*5)+MOD(COLUMN(CP$2),3),1,1),"")</f>
        <v>0</v>
      </c>
      <c r="CQ158">
        <f ca="1">IF($AN158="",OFFSET(Demand!$A$13,ROW(AA155)-1,4+((QUOTIENT(COLUMN(CQ$2)-69,3))*5)+MOD(COLUMN(CQ$2),3),1,1),"")</f>
        <v>0</v>
      </c>
      <c r="CR158">
        <f ca="1">IF($AN158="",OFFSET(Demand!$A$13,ROW(AB155)-1,4+((QUOTIENT(COLUMN(CR$2)-69,3))*5)+MOD(COLUMN(CR$2),3),1,1),"")</f>
        <v>0</v>
      </c>
      <c r="CS158">
        <f ca="1">IF($AN158="",OFFSET(Demand!$A$13,ROW(AC155)-1,4+((QUOTIENT(COLUMN(CS$2)-69,3))*5)+MOD(COLUMN(CS$2),3),1,1),"")</f>
        <v>0</v>
      </c>
      <c r="CT158">
        <f ca="1">IF($AN158="",OFFSET(Demand!$A$13,ROW(AD155)-1,4+((QUOTIENT(COLUMN(CT$2)-69,3))*5)+MOD(COLUMN(CT$2),3),1,1),"")</f>
        <v>0</v>
      </c>
      <c r="CW158" s="5">
        <f ca="1">SUM(OFFSET(Demand!$H$43,ROW(A155)-1,(COLUMN(A155)-1)*5,1,1))*N$2</f>
        <v>0</v>
      </c>
      <c r="CX158" s="5">
        <f ca="1">SUM(OFFSET(Demand!$H$43,ROW(B155)-1,(COLUMN(B155)-1)*5,1,1))*O$2</f>
        <v>0</v>
      </c>
      <c r="CY158" s="5">
        <f ca="1">SUM(OFFSET(Demand!$H$43,ROW(C155)-1,(COLUMN(C155)-1)*5,1,1))*P$2</f>
        <v>0</v>
      </c>
      <c r="CZ158" s="5">
        <f ca="1">SUM(OFFSET(Demand!$H$43,ROW(D155)-1,(COLUMN(D155)-1)*5,1,1))*Q$2</f>
        <v>0</v>
      </c>
      <c r="DA158" s="5">
        <f ca="1">SUM(OFFSET(Demand!$H$43,ROW(E155)-1,(COLUMN(E155)-1)*5,1,1))*R$2</f>
        <v>0</v>
      </c>
      <c r="DB158" s="5">
        <f ca="1">SUM(OFFSET(Demand!$H$43,ROW(F155)-1,(COLUMN(F155)-1)*5,1,1))*S$2</f>
        <v>0</v>
      </c>
      <c r="DC158" s="5">
        <f ca="1">SUM(OFFSET(Demand!$H$43,ROW(G155)-1,(COLUMN(G155)-1)*5,1,1))*T$2</f>
        <v>0</v>
      </c>
      <c r="DD158" s="5">
        <f ca="1">SUM(OFFSET(Demand!$H$43,ROW(H155)-1,(COLUMN(H155)-1)*5,1,1))*U$2</f>
        <v>0</v>
      </c>
      <c r="DE158" s="5">
        <f ca="1">SUM(OFFSET(Demand!$H$43,ROW(I155)-1,(COLUMN(I155)-1)*5,1,1))*V$2</f>
        <v>0</v>
      </c>
      <c r="DF158" s="5">
        <f ca="1">SUM(OFFSET(Demand!$H$43,ROW(J155)-1,(COLUMN(J155)-1)*5,1,1))*W$2</f>
        <v>0</v>
      </c>
      <c r="DG158" s="5">
        <f t="shared" ca="1" si="44"/>
        <v>0</v>
      </c>
    </row>
    <row r="159" spans="1:111" x14ac:dyDescent="0.2">
      <c r="A159" s="5">
        <f t="shared" ca="1" si="38"/>
        <v>2</v>
      </c>
      <c r="B159" s="5">
        <f ca="1">COUNTBLANK(OFFSET(Demand!$I168,0,(COLUMN(A156)-1)*5,1,1))</f>
        <v>1</v>
      </c>
      <c r="C159" s="5">
        <f ca="1">COUNTBLANK(OFFSET(Demand!$I168,0,(COLUMN(B156)-1)*5,1,1))</f>
        <v>1</v>
      </c>
      <c r="D159" s="5">
        <f ca="1">COUNTBLANK(OFFSET(Demand!$I168,0,(COLUMN(C156)-1)*5,1,1))</f>
        <v>1</v>
      </c>
      <c r="E159" s="5">
        <f ca="1">COUNTBLANK(OFFSET(Demand!$I168,0,(COLUMN(D156)-1)*5,1,1))</f>
        <v>1</v>
      </c>
      <c r="F159" s="5">
        <f ca="1">COUNTBLANK(OFFSET(Demand!$I168,0,(COLUMN(E156)-1)*5,1,1))</f>
        <v>1</v>
      </c>
      <c r="G159" s="5">
        <f ca="1">COUNTBLANK(OFFSET(Demand!$I168,0,(COLUMN(F156)-1)*5,1,1))</f>
        <v>1</v>
      </c>
      <c r="H159" s="5">
        <f ca="1">COUNTBLANK(OFFSET(Demand!$I168,0,(COLUMN(G156)-1)*5,1,1))</f>
        <v>1</v>
      </c>
      <c r="I159" s="5">
        <f ca="1">COUNTBLANK(OFFSET(Demand!$I168,0,(COLUMN(H156)-1)*5,1,1))</f>
        <v>1</v>
      </c>
      <c r="J159" s="5">
        <f ca="1">COUNTBLANK(OFFSET(Demand!$I168,0,(COLUMN(I156)-1)*5,1,1))</f>
        <v>1</v>
      </c>
      <c r="K159" s="5">
        <f ca="1">COUNTBLANK(OFFSET(Demand!$I168,0,(COLUMN(J156)-1)*5,1,1))</f>
        <v>1</v>
      </c>
      <c r="N159" s="5">
        <f ca="1">SUM(OFFSET(Demand!$E168,0,(COLUMN(A156)-1)*5,1,3))*N$2</f>
        <v>0</v>
      </c>
      <c r="O159" s="5">
        <f ca="1">SUM(OFFSET(Demand!$E168,0,(COLUMN(B156)-1)*5,1,3))*O$2</f>
        <v>0</v>
      </c>
      <c r="P159" s="5">
        <f ca="1">SUM(OFFSET(Demand!$E168,0,(COLUMN(C156)-1)*5,1,3))*P$2</f>
        <v>0</v>
      </c>
      <c r="Q159" s="5">
        <f ca="1">SUM(OFFSET(Demand!$E168,0,(COLUMN(D156)-1)*5,1,3))*Q$2</f>
        <v>0</v>
      </c>
      <c r="R159" s="5">
        <f ca="1">SUM(OFFSET(Demand!$E168,0,(COLUMN(E156)-1)*5,1,3))*R$2</f>
        <v>0</v>
      </c>
      <c r="S159" s="5">
        <f ca="1">SUM(OFFSET(Demand!$E168,0,(COLUMN(F156)-1)*5,1,3))*S$2</f>
        <v>0</v>
      </c>
      <c r="T159" s="5">
        <f ca="1">SUM(OFFSET(Demand!$E168,0,(COLUMN(G156)-1)*5,1,3))*T$2</f>
        <v>0</v>
      </c>
      <c r="U159" s="5">
        <f ca="1">SUM(OFFSET(Demand!$E168,0,(COLUMN(H156)-1)*5,1,3))*U$2</f>
        <v>0</v>
      </c>
      <c r="V159" s="5">
        <f ca="1">SUM(OFFSET(Demand!$E168,0,(COLUMN(I156)-1)*5,1,3))*V$2</f>
        <v>0</v>
      </c>
      <c r="W159" s="5">
        <f ca="1">SUM(OFFSET(Demand!$E168,0,(COLUMN(J156)-1)*5,1,3))*W$2</f>
        <v>0</v>
      </c>
      <c r="X159" s="5">
        <f t="shared" ca="1" si="39"/>
        <v>0</v>
      </c>
      <c r="Y159">
        <f t="shared" ca="1" si="40"/>
        <v>0</v>
      </c>
      <c r="Z159" s="5">
        <f ca="1">SUM(OFFSET(Demand!$H168,0,(COLUMN(A156)-1)*5,1,1))*N$2</f>
        <v>0</v>
      </c>
      <c r="AA159" s="5">
        <f ca="1">SUM(OFFSET(Demand!$H168,0,(COLUMN(B156)-1)*5,1,1))*O$2</f>
        <v>0</v>
      </c>
      <c r="AB159" s="5">
        <f ca="1">SUM(OFFSET(Demand!$H168,0,(COLUMN(C156)-1)*5,1,1))*P$2</f>
        <v>0</v>
      </c>
      <c r="AC159" s="5">
        <f ca="1">SUM(OFFSET(Demand!$H168,0,(COLUMN(D156)-1)*5,1,1))*Q$2</f>
        <v>0</v>
      </c>
      <c r="AD159" s="5">
        <f ca="1">SUM(OFFSET(Demand!$H168,0,(COLUMN(E156)-1)*5,1,1))*R$2</f>
        <v>0</v>
      </c>
      <c r="AE159" s="5">
        <f ca="1">SUM(OFFSET(Demand!$H168,0,(COLUMN(F156)-1)*5,1,1))*S$2</f>
        <v>0</v>
      </c>
      <c r="AF159" s="5">
        <f ca="1">SUM(OFFSET(Demand!$H168,0,(COLUMN(G156)-1)*5,1,1))*T$2</f>
        <v>0</v>
      </c>
      <c r="AG159" s="5">
        <f ca="1">SUM(OFFSET(Demand!$H168,0,(COLUMN(H156)-1)*5,1,1))*U$2</f>
        <v>0</v>
      </c>
      <c r="AH159" s="5">
        <f ca="1">SUM(OFFSET(Demand!$H168,0,(COLUMN(I156)-1)*5,1,1))*V$2</f>
        <v>0</v>
      </c>
      <c r="AI159" s="5">
        <f ca="1">SUM(OFFSET(Demand!$H168,0,(COLUMN(J156)-1)*5,1,1))*W$2</f>
        <v>0</v>
      </c>
      <c r="AJ159" s="5">
        <f t="shared" ca="1" si="41"/>
        <v>0</v>
      </c>
      <c r="AL159" s="5">
        <f t="shared" ca="1" si="42"/>
        <v>0</v>
      </c>
      <c r="AM159" s="5">
        <f t="shared" ca="1" si="43"/>
        <v>0</v>
      </c>
      <c r="AN159" s="5" t="str">
        <f>IF(Demand!BE168="Yes","Yes","")</f>
        <v/>
      </c>
      <c r="AP159" s="37" t="str">
        <f ca="1">Demand!B168</f>
        <v xml:space="preserve"> </v>
      </c>
      <c r="AQ159" t="str">
        <f ca="1">IF(TEXT(Demand!D168,"MMM")&lt;&gt;TEXT(Demand!D167,"MMM"),TEXT(Demand!D168,"MMM"),"")</f>
        <v/>
      </c>
      <c r="AT159" s="5">
        <f t="shared" ca="1" si="45"/>
        <v>0</v>
      </c>
      <c r="BQ159">
        <f ca="1">IF($AN159="",OFFSET(Demand!$A$13,ROW(A156)-1,4+((QUOTIENT(COLUMN(BQ$2)-69,3))*5)+MOD(COLUMN(BQ$2),3),1,1),"")</f>
        <v>0</v>
      </c>
      <c r="BR159">
        <f ca="1">IF($AN159="",OFFSET(Demand!$A$13,ROW(B156)-1,4+((QUOTIENT(COLUMN(BR$2)-69,3))*5)+MOD(COLUMN(BR$2),3),1,1),"")</f>
        <v>0</v>
      </c>
      <c r="BS159">
        <f ca="1">IF($AN159="",OFFSET(Demand!$A$13,ROW(C156)-1,4+((QUOTIENT(COLUMN(BS$2)-69,3))*5)+MOD(COLUMN(BS$2),3),1,1),"")</f>
        <v>0</v>
      </c>
      <c r="BT159">
        <f ca="1">IF($AN159="",OFFSET(Demand!$A$13,ROW(D156)-1,4+((QUOTIENT(COLUMN(BT$2)-69,3))*5)+MOD(COLUMN(BT$2),3),1,1),"")</f>
        <v>0</v>
      </c>
      <c r="BU159">
        <f ca="1">IF($AN159="",OFFSET(Demand!$A$13,ROW(E156)-1,4+((QUOTIENT(COLUMN(BU$2)-69,3))*5)+MOD(COLUMN(BU$2),3),1,1),"")</f>
        <v>0</v>
      </c>
      <c r="BV159">
        <f ca="1">IF($AN159="",OFFSET(Demand!$A$13,ROW(F156)-1,4+((QUOTIENT(COLUMN(BV$2)-69,3))*5)+MOD(COLUMN(BV$2),3),1,1),"")</f>
        <v>0</v>
      </c>
      <c r="BW159">
        <f ca="1">IF($AN159="",OFFSET(Demand!$A$13,ROW(G156)-1,4+((QUOTIENT(COLUMN(BW$2)-69,3))*5)+MOD(COLUMN(BW$2),3),1,1),"")</f>
        <v>0</v>
      </c>
      <c r="BX159">
        <f ca="1">IF($AN159="",OFFSET(Demand!$A$13,ROW(H156)-1,4+((QUOTIENT(COLUMN(BX$2)-69,3))*5)+MOD(COLUMN(BX$2),3),1,1),"")</f>
        <v>0</v>
      </c>
      <c r="BY159">
        <f ca="1">IF($AN159="",OFFSET(Demand!$A$13,ROW(I156)-1,4+((QUOTIENT(COLUMN(BY$2)-69,3))*5)+MOD(COLUMN(BY$2),3),1,1),"")</f>
        <v>0</v>
      </c>
      <c r="BZ159">
        <f ca="1">IF($AN159="",OFFSET(Demand!$A$13,ROW(J156)-1,4+((QUOTIENT(COLUMN(BZ$2)-69,3))*5)+MOD(COLUMN(BZ$2),3),1,1),"")</f>
        <v>0</v>
      </c>
      <c r="CA159">
        <f ca="1">IF($AN159="",OFFSET(Demand!$A$13,ROW(K156)-1,4+((QUOTIENT(COLUMN(CA$2)-69,3))*5)+MOD(COLUMN(CA$2),3),1,1),"")</f>
        <v>0</v>
      </c>
      <c r="CB159">
        <f ca="1">IF($AN159="",OFFSET(Demand!$A$13,ROW(L156)-1,4+((QUOTIENT(COLUMN(CB$2)-69,3))*5)+MOD(COLUMN(CB$2),3),1,1),"")</f>
        <v>0</v>
      </c>
      <c r="CC159">
        <f ca="1">IF($AN159="",OFFSET(Demand!$A$13,ROW(M156)-1,4+((QUOTIENT(COLUMN(CC$2)-69,3))*5)+MOD(COLUMN(CC$2),3),1,1),"")</f>
        <v>0</v>
      </c>
      <c r="CD159">
        <f ca="1">IF($AN159="",OFFSET(Demand!$A$13,ROW(N156)-1,4+((QUOTIENT(COLUMN(CD$2)-69,3))*5)+MOD(COLUMN(CD$2),3),1,1),"")</f>
        <v>0</v>
      </c>
      <c r="CE159">
        <f ca="1">IF($AN159="",OFFSET(Demand!$A$13,ROW(O156)-1,4+((QUOTIENT(COLUMN(CE$2)-69,3))*5)+MOD(COLUMN(CE$2),3),1,1),"")</f>
        <v>0</v>
      </c>
      <c r="CF159">
        <f ca="1">IF($AN159="",OFFSET(Demand!$A$13,ROW(P156)-1,4+((QUOTIENT(COLUMN(CF$2)-69,3))*5)+MOD(COLUMN(CF$2),3),1,1),"")</f>
        <v>0</v>
      </c>
      <c r="CG159">
        <f ca="1">IF($AN159="",OFFSET(Demand!$A$13,ROW(Q156)-1,4+((QUOTIENT(COLUMN(CG$2)-69,3))*5)+MOD(COLUMN(CG$2),3),1,1),"")</f>
        <v>0</v>
      </c>
      <c r="CH159">
        <f ca="1">IF($AN159="",OFFSET(Demand!$A$13,ROW(R156)-1,4+((QUOTIENT(COLUMN(CH$2)-69,3))*5)+MOD(COLUMN(CH$2),3),1,1),"")</f>
        <v>0</v>
      </c>
      <c r="CI159">
        <f ca="1">IF($AN159="",OFFSET(Demand!$A$13,ROW(S156)-1,4+((QUOTIENT(COLUMN(CI$2)-69,3))*5)+MOD(COLUMN(CI$2),3),1,1),"")</f>
        <v>0</v>
      </c>
      <c r="CJ159">
        <f ca="1">IF($AN159="",OFFSET(Demand!$A$13,ROW(T156)-1,4+((QUOTIENT(COLUMN(CJ$2)-69,3))*5)+MOD(COLUMN(CJ$2),3),1,1),"")</f>
        <v>0</v>
      </c>
      <c r="CK159">
        <f ca="1">IF($AN159="",OFFSET(Demand!$A$13,ROW(U156)-1,4+((QUOTIENT(COLUMN(CK$2)-69,3))*5)+MOD(COLUMN(CK$2),3),1,1),"")</f>
        <v>0</v>
      </c>
      <c r="CL159">
        <f ca="1">IF($AN159="",OFFSET(Demand!$A$13,ROW(V156)-1,4+((QUOTIENT(COLUMN(CL$2)-69,3))*5)+MOD(COLUMN(CL$2),3),1,1),"")</f>
        <v>0</v>
      </c>
      <c r="CM159">
        <f ca="1">IF($AN159="",OFFSET(Demand!$A$13,ROW(W156)-1,4+((QUOTIENT(COLUMN(CM$2)-69,3))*5)+MOD(COLUMN(CM$2),3),1,1),"")</f>
        <v>0</v>
      </c>
      <c r="CN159">
        <f ca="1">IF($AN159="",OFFSET(Demand!$A$13,ROW(X156)-1,4+((QUOTIENT(COLUMN(CN$2)-69,3))*5)+MOD(COLUMN(CN$2),3),1,1),"")</f>
        <v>0</v>
      </c>
      <c r="CO159">
        <f ca="1">IF($AN159="",OFFSET(Demand!$A$13,ROW(Y156)-1,4+((QUOTIENT(COLUMN(CO$2)-69,3))*5)+MOD(COLUMN(CO$2),3),1,1),"")</f>
        <v>0</v>
      </c>
      <c r="CP159">
        <f ca="1">IF($AN159="",OFFSET(Demand!$A$13,ROW(Z156)-1,4+((QUOTIENT(COLUMN(CP$2)-69,3))*5)+MOD(COLUMN(CP$2),3),1,1),"")</f>
        <v>0</v>
      </c>
      <c r="CQ159">
        <f ca="1">IF($AN159="",OFFSET(Demand!$A$13,ROW(AA156)-1,4+((QUOTIENT(COLUMN(CQ$2)-69,3))*5)+MOD(COLUMN(CQ$2),3),1,1),"")</f>
        <v>0</v>
      </c>
      <c r="CR159">
        <f ca="1">IF($AN159="",OFFSET(Demand!$A$13,ROW(AB156)-1,4+((QUOTIENT(COLUMN(CR$2)-69,3))*5)+MOD(COLUMN(CR$2),3),1,1),"")</f>
        <v>0</v>
      </c>
      <c r="CS159">
        <f ca="1">IF($AN159="",OFFSET(Demand!$A$13,ROW(AC156)-1,4+((QUOTIENT(COLUMN(CS$2)-69,3))*5)+MOD(COLUMN(CS$2),3),1,1),"")</f>
        <v>0</v>
      </c>
      <c r="CT159">
        <f ca="1">IF($AN159="",OFFSET(Demand!$A$13,ROW(AD156)-1,4+((QUOTIENT(COLUMN(CT$2)-69,3))*5)+MOD(COLUMN(CT$2),3),1,1),"")</f>
        <v>0</v>
      </c>
      <c r="CW159" s="5">
        <f ca="1">SUM(OFFSET(Demand!$H$43,ROW(A156)-1,(COLUMN(A156)-1)*5,1,1))*N$2</f>
        <v>0</v>
      </c>
      <c r="CX159" s="5">
        <f ca="1">SUM(OFFSET(Demand!$H$43,ROW(B156)-1,(COLUMN(B156)-1)*5,1,1))*O$2</f>
        <v>0</v>
      </c>
      <c r="CY159" s="5">
        <f ca="1">SUM(OFFSET(Demand!$H$43,ROW(C156)-1,(COLUMN(C156)-1)*5,1,1))*P$2</f>
        <v>0</v>
      </c>
      <c r="CZ159" s="5">
        <f ca="1">SUM(OFFSET(Demand!$H$43,ROW(D156)-1,(COLUMN(D156)-1)*5,1,1))*Q$2</f>
        <v>0</v>
      </c>
      <c r="DA159" s="5">
        <f ca="1">SUM(OFFSET(Demand!$H$43,ROW(E156)-1,(COLUMN(E156)-1)*5,1,1))*R$2</f>
        <v>0</v>
      </c>
      <c r="DB159" s="5">
        <f ca="1">SUM(OFFSET(Demand!$H$43,ROW(F156)-1,(COLUMN(F156)-1)*5,1,1))*S$2</f>
        <v>0</v>
      </c>
      <c r="DC159" s="5">
        <f ca="1">SUM(OFFSET(Demand!$H$43,ROW(G156)-1,(COLUMN(G156)-1)*5,1,1))*T$2</f>
        <v>0</v>
      </c>
      <c r="DD159" s="5">
        <f ca="1">SUM(OFFSET(Demand!$H$43,ROW(H156)-1,(COLUMN(H156)-1)*5,1,1))*U$2</f>
        <v>0</v>
      </c>
      <c r="DE159" s="5">
        <f ca="1">SUM(OFFSET(Demand!$H$43,ROW(I156)-1,(COLUMN(I156)-1)*5,1,1))*V$2</f>
        <v>0</v>
      </c>
      <c r="DF159" s="5">
        <f ca="1">SUM(OFFSET(Demand!$H$43,ROW(J156)-1,(COLUMN(J156)-1)*5,1,1))*W$2</f>
        <v>0</v>
      </c>
      <c r="DG159" s="5">
        <f t="shared" ca="1" si="44"/>
        <v>0</v>
      </c>
    </row>
    <row r="160" spans="1:111" x14ac:dyDescent="0.2">
      <c r="A160" s="5">
        <f t="shared" ca="1" si="38"/>
        <v>2</v>
      </c>
      <c r="B160" s="5">
        <f ca="1">COUNTBLANK(OFFSET(Demand!$I169,0,(COLUMN(A157)-1)*5,1,1))</f>
        <v>1</v>
      </c>
      <c r="C160" s="5">
        <f ca="1">COUNTBLANK(OFFSET(Demand!$I169,0,(COLUMN(B157)-1)*5,1,1))</f>
        <v>1</v>
      </c>
      <c r="D160" s="5">
        <f ca="1">COUNTBLANK(OFFSET(Demand!$I169,0,(COLUMN(C157)-1)*5,1,1))</f>
        <v>1</v>
      </c>
      <c r="E160" s="5">
        <f ca="1">COUNTBLANK(OFFSET(Demand!$I169,0,(COLUMN(D157)-1)*5,1,1))</f>
        <v>1</v>
      </c>
      <c r="F160" s="5">
        <f ca="1">COUNTBLANK(OFFSET(Demand!$I169,0,(COLUMN(E157)-1)*5,1,1))</f>
        <v>1</v>
      </c>
      <c r="G160" s="5">
        <f ca="1">COUNTBLANK(OFFSET(Demand!$I169,0,(COLUMN(F157)-1)*5,1,1))</f>
        <v>1</v>
      </c>
      <c r="H160" s="5">
        <f ca="1">COUNTBLANK(OFFSET(Demand!$I169,0,(COLUMN(G157)-1)*5,1,1))</f>
        <v>1</v>
      </c>
      <c r="I160" s="5">
        <f ca="1">COUNTBLANK(OFFSET(Demand!$I169,0,(COLUMN(H157)-1)*5,1,1))</f>
        <v>1</v>
      </c>
      <c r="J160" s="5">
        <f ca="1">COUNTBLANK(OFFSET(Demand!$I169,0,(COLUMN(I157)-1)*5,1,1))</f>
        <v>1</v>
      </c>
      <c r="K160" s="5">
        <f ca="1">COUNTBLANK(OFFSET(Demand!$I169,0,(COLUMN(J157)-1)*5,1,1))</f>
        <v>1</v>
      </c>
      <c r="N160" s="5">
        <f ca="1">SUM(OFFSET(Demand!$E169,0,(COLUMN(A157)-1)*5,1,3))*N$2</f>
        <v>0</v>
      </c>
      <c r="O160" s="5">
        <f ca="1">SUM(OFFSET(Demand!$E169,0,(COLUMN(B157)-1)*5,1,3))*O$2</f>
        <v>0</v>
      </c>
      <c r="P160" s="5">
        <f ca="1">SUM(OFFSET(Demand!$E169,0,(COLUMN(C157)-1)*5,1,3))*P$2</f>
        <v>0</v>
      </c>
      <c r="Q160" s="5">
        <f ca="1">SUM(OFFSET(Demand!$E169,0,(COLUMN(D157)-1)*5,1,3))*Q$2</f>
        <v>0</v>
      </c>
      <c r="R160" s="5">
        <f ca="1">SUM(OFFSET(Demand!$E169,0,(COLUMN(E157)-1)*5,1,3))*R$2</f>
        <v>0</v>
      </c>
      <c r="S160" s="5">
        <f ca="1">SUM(OFFSET(Demand!$E169,0,(COLUMN(F157)-1)*5,1,3))*S$2</f>
        <v>0</v>
      </c>
      <c r="T160" s="5">
        <f ca="1">SUM(OFFSET(Demand!$E169,0,(COLUMN(G157)-1)*5,1,3))*T$2</f>
        <v>0</v>
      </c>
      <c r="U160" s="5">
        <f ca="1">SUM(OFFSET(Demand!$E169,0,(COLUMN(H157)-1)*5,1,3))*U$2</f>
        <v>0</v>
      </c>
      <c r="V160" s="5">
        <f ca="1">SUM(OFFSET(Demand!$E169,0,(COLUMN(I157)-1)*5,1,3))*V$2</f>
        <v>0</v>
      </c>
      <c r="W160" s="5">
        <f ca="1">SUM(OFFSET(Demand!$E169,0,(COLUMN(J157)-1)*5,1,3))*W$2</f>
        <v>0</v>
      </c>
      <c r="X160" s="5">
        <f t="shared" ca="1" si="39"/>
        <v>0</v>
      </c>
      <c r="Y160">
        <f t="shared" ca="1" si="40"/>
        <v>0</v>
      </c>
      <c r="Z160" s="5">
        <f ca="1">SUM(OFFSET(Demand!$H169,0,(COLUMN(A157)-1)*5,1,1))*N$2</f>
        <v>0</v>
      </c>
      <c r="AA160" s="5">
        <f ca="1">SUM(OFFSET(Demand!$H169,0,(COLUMN(B157)-1)*5,1,1))*O$2</f>
        <v>0</v>
      </c>
      <c r="AB160" s="5">
        <f ca="1">SUM(OFFSET(Demand!$H169,0,(COLUMN(C157)-1)*5,1,1))*P$2</f>
        <v>0</v>
      </c>
      <c r="AC160" s="5">
        <f ca="1">SUM(OFFSET(Demand!$H169,0,(COLUMN(D157)-1)*5,1,1))*Q$2</f>
        <v>0</v>
      </c>
      <c r="AD160" s="5">
        <f ca="1">SUM(OFFSET(Demand!$H169,0,(COLUMN(E157)-1)*5,1,1))*R$2</f>
        <v>0</v>
      </c>
      <c r="AE160" s="5">
        <f ca="1">SUM(OFFSET(Demand!$H169,0,(COLUMN(F157)-1)*5,1,1))*S$2</f>
        <v>0</v>
      </c>
      <c r="AF160" s="5">
        <f ca="1">SUM(OFFSET(Demand!$H169,0,(COLUMN(G157)-1)*5,1,1))*T$2</f>
        <v>0</v>
      </c>
      <c r="AG160" s="5">
        <f ca="1">SUM(OFFSET(Demand!$H169,0,(COLUMN(H157)-1)*5,1,1))*U$2</f>
        <v>0</v>
      </c>
      <c r="AH160" s="5">
        <f ca="1">SUM(OFFSET(Demand!$H169,0,(COLUMN(I157)-1)*5,1,1))*V$2</f>
        <v>0</v>
      </c>
      <c r="AI160" s="5">
        <f ca="1">SUM(OFFSET(Demand!$H169,0,(COLUMN(J157)-1)*5,1,1))*W$2</f>
        <v>0</v>
      </c>
      <c r="AJ160" s="5">
        <f t="shared" ca="1" si="41"/>
        <v>0</v>
      </c>
      <c r="AL160" s="5">
        <f t="shared" ca="1" si="42"/>
        <v>0</v>
      </c>
      <c r="AM160" s="5">
        <f t="shared" ca="1" si="43"/>
        <v>0</v>
      </c>
      <c r="AN160" s="5" t="str">
        <f>IF(Demand!BE169="Yes","Yes","")</f>
        <v/>
      </c>
      <c r="AP160" s="37" t="str">
        <f ca="1">Demand!B169</f>
        <v xml:space="preserve"> </v>
      </c>
      <c r="AQ160" t="str">
        <f ca="1">IF(TEXT(Demand!D169,"MMM")&lt;&gt;TEXT(Demand!D168,"MMM"),TEXT(Demand!D169,"MMM"),"")</f>
        <v/>
      </c>
      <c r="AT160" s="5">
        <f t="shared" ca="1" si="45"/>
        <v>0</v>
      </c>
      <c r="BQ160">
        <f ca="1">IF($AN160="",OFFSET(Demand!$A$13,ROW(A157)-1,4+((QUOTIENT(COLUMN(BQ$2)-69,3))*5)+MOD(COLUMN(BQ$2),3),1,1),"")</f>
        <v>0</v>
      </c>
      <c r="BR160">
        <f ca="1">IF($AN160="",OFFSET(Demand!$A$13,ROW(B157)-1,4+((QUOTIENT(COLUMN(BR$2)-69,3))*5)+MOD(COLUMN(BR$2),3),1,1),"")</f>
        <v>0</v>
      </c>
      <c r="BS160">
        <f ca="1">IF($AN160="",OFFSET(Demand!$A$13,ROW(C157)-1,4+((QUOTIENT(COLUMN(BS$2)-69,3))*5)+MOD(COLUMN(BS$2),3),1,1),"")</f>
        <v>0</v>
      </c>
      <c r="BT160">
        <f ca="1">IF($AN160="",OFFSET(Demand!$A$13,ROW(D157)-1,4+((QUOTIENT(COLUMN(BT$2)-69,3))*5)+MOD(COLUMN(BT$2),3),1,1),"")</f>
        <v>0</v>
      </c>
      <c r="BU160">
        <f ca="1">IF($AN160="",OFFSET(Demand!$A$13,ROW(E157)-1,4+((QUOTIENT(COLUMN(BU$2)-69,3))*5)+MOD(COLUMN(BU$2),3),1,1),"")</f>
        <v>0</v>
      </c>
      <c r="BV160">
        <f ca="1">IF($AN160="",OFFSET(Demand!$A$13,ROW(F157)-1,4+((QUOTIENT(COLUMN(BV$2)-69,3))*5)+MOD(COLUMN(BV$2),3),1,1),"")</f>
        <v>0</v>
      </c>
      <c r="BW160">
        <f ca="1">IF($AN160="",OFFSET(Demand!$A$13,ROW(G157)-1,4+((QUOTIENT(COLUMN(BW$2)-69,3))*5)+MOD(COLUMN(BW$2),3),1,1),"")</f>
        <v>0</v>
      </c>
      <c r="BX160">
        <f ca="1">IF($AN160="",OFFSET(Demand!$A$13,ROW(H157)-1,4+((QUOTIENT(COLUMN(BX$2)-69,3))*5)+MOD(COLUMN(BX$2),3),1,1),"")</f>
        <v>0</v>
      </c>
      <c r="BY160">
        <f ca="1">IF($AN160="",OFFSET(Demand!$A$13,ROW(I157)-1,4+((QUOTIENT(COLUMN(BY$2)-69,3))*5)+MOD(COLUMN(BY$2),3),1,1),"")</f>
        <v>0</v>
      </c>
      <c r="BZ160">
        <f ca="1">IF($AN160="",OFFSET(Demand!$A$13,ROW(J157)-1,4+((QUOTIENT(COLUMN(BZ$2)-69,3))*5)+MOD(COLUMN(BZ$2),3),1,1),"")</f>
        <v>0</v>
      </c>
      <c r="CA160">
        <f ca="1">IF($AN160="",OFFSET(Demand!$A$13,ROW(K157)-1,4+((QUOTIENT(COLUMN(CA$2)-69,3))*5)+MOD(COLUMN(CA$2),3),1,1),"")</f>
        <v>0</v>
      </c>
      <c r="CB160">
        <f ca="1">IF($AN160="",OFFSET(Demand!$A$13,ROW(L157)-1,4+((QUOTIENT(COLUMN(CB$2)-69,3))*5)+MOD(COLUMN(CB$2),3),1,1),"")</f>
        <v>0</v>
      </c>
      <c r="CC160">
        <f ca="1">IF($AN160="",OFFSET(Demand!$A$13,ROW(M157)-1,4+((QUOTIENT(COLUMN(CC$2)-69,3))*5)+MOD(COLUMN(CC$2),3),1,1),"")</f>
        <v>0</v>
      </c>
      <c r="CD160">
        <f ca="1">IF($AN160="",OFFSET(Demand!$A$13,ROW(N157)-1,4+((QUOTIENT(COLUMN(CD$2)-69,3))*5)+MOD(COLUMN(CD$2),3),1,1),"")</f>
        <v>0</v>
      </c>
      <c r="CE160">
        <f ca="1">IF($AN160="",OFFSET(Demand!$A$13,ROW(O157)-1,4+((QUOTIENT(COLUMN(CE$2)-69,3))*5)+MOD(COLUMN(CE$2),3),1,1),"")</f>
        <v>0</v>
      </c>
      <c r="CF160">
        <f ca="1">IF($AN160="",OFFSET(Demand!$A$13,ROW(P157)-1,4+((QUOTIENT(COLUMN(CF$2)-69,3))*5)+MOD(COLUMN(CF$2),3),1,1),"")</f>
        <v>0</v>
      </c>
      <c r="CG160">
        <f ca="1">IF($AN160="",OFFSET(Demand!$A$13,ROW(Q157)-1,4+((QUOTIENT(COLUMN(CG$2)-69,3))*5)+MOD(COLUMN(CG$2),3),1,1),"")</f>
        <v>0</v>
      </c>
      <c r="CH160">
        <f ca="1">IF($AN160="",OFFSET(Demand!$A$13,ROW(R157)-1,4+((QUOTIENT(COLUMN(CH$2)-69,3))*5)+MOD(COLUMN(CH$2),3),1,1),"")</f>
        <v>0</v>
      </c>
      <c r="CI160">
        <f ca="1">IF($AN160="",OFFSET(Demand!$A$13,ROW(S157)-1,4+((QUOTIENT(COLUMN(CI$2)-69,3))*5)+MOD(COLUMN(CI$2),3),1,1),"")</f>
        <v>0</v>
      </c>
      <c r="CJ160">
        <f ca="1">IF($AN160="",OFFSET(Demand!$A$13,ROW(T157)-1,4+((QUOTIENT(COLUMN(CJ$2)-69,3))*5)+MOD(COLUMN(CJ$2),3),1,1),"")</f>
        <v>0</v>
      </c>
      <c r="CK160">
        <f ca="1">IF($AN160="",OFFSET(Demand!$A$13,ROW(U157)-1,4+((QUOTIENT(COLUMN(CK$2)-69,3))*5)+MOD(COLUMN(CK$2),3),1,1),"")</f>
        <v>0</v>
      </c>
      <c r="CL160">
        <f ca="1">IF($AN160="",OFFSET(Demand!$A$13,ROW(V157)-1,4+((QUOTIENT(COLUMN(CL$2)-69,3))*5)+MOD(COLUMN(CL$2),3),1,1),"")</f>
        <v>0</v>
      </c>
      <c r="CM160">
        <f ca="1">IF($AN160="",OFFSET(Demand!$A$13,ROW(W157)-1,4+((QUOTIENT(COLUMN(CM$2)-69,3))*5)+MOD(COLUMN(CM$2),3),1,1),"")</f>
        <v>0</v>
      </c>
      <c r="CN160">
        <f ca="1">IF($AN160="",OFFSET(Demand!$A$13,ROW(X157)-1,4+((QUOTIENT(COLUMN(CN$2)-69,3))*5)+MOD(COLUMN(CN$2),3),1,1),"")</f>
        <v>0</v>
      </c>
      <c r="CO160">
        <f ca="1">IF($AN160="",OFFSET(Demand!$A$13,ROW(Y157)-1,4+((QUOTIENT(COLUMN(CO$2)-69,3))*5)+MOD(COLUMN(CO$2),3),1,1),"")</f>
        <v>0</v>
      </c>
      <c r="CP160">
        <f ca="1">IF($AN160="",OFFSET(Demand!$A$13,ROW(Z157)-1,4+((QUOTIENT(COLUMN(CP$2)-69,3))*5)+MOD(COLUMN(CP$2),3),1,1),"")</f>
        <v>0</v>
      </c>
      <c r="CQ160">
        <f ca="1">IF($AN160="",OFFSET(Demand!$A$13,ROW(AA157)-1,4+((QUOTIENT(COLUMN(CQ$2)-69,3))*5)+MOD(COLUMN(CQ$2),3),1,1),"")</f>
        <v>0</v>
      </c>
      <c r="CR160">
        <f ca="1">IF($AN160="",OFFSET(Demand!$A$13,ROW(AB157)-1,4+((QUOTIENT(COLUMN(CR$2)-69,3))*5)+MOD(COLUMN(CR$2),3),1,1),"")</f>
        <v>0</v>
      </c>
      <c r="CS160">
        <f ca="1">IF($AN160="",OFFSET(Demand!$A$13,ROW(AC157)-1,4+((QUOTIENT(COLUMN(CS$2)-69,3))*5)+MOD(COLUMN(CS$2),3),1,1),"")</f>
        <v>0</v>
      </c>
      <c r="CT160">
        <f ca="1">IF($AN160="",OFFSET(Demand!$A$13,ROW(AD157)-1,4+((QUOTIENT(COLUMN(CT$2)-69,3))*5)+MOD(COLUMN(CT$2),3),1,1),"")</f>
        <v>0</v>
      </c>
      <c r="CW160" s="5">
        <f ca="1">SUM(OFFSET(Demand!$H$43,ROW(A157)-1,(COLUMN(A157)-1)*5,1,1))*N$2</f>
        <v>0</v>
      </c>
      <c r="CX160" s="5">
        <f ca="1">SUM(OFFSET(Demand!$H$43,ROW(B157)-1,(COLUMN(B157)-1)*5,1,1))*O$2</f>
        <v>0</v>
      </c>
      <c r="CY160" s="5">
        <f ca="1">SUM(OFFSET(Demand!$H$43,ROW(C157)-1,(COLUMN(C157)-1)*5,1,1))*P$2</f>
        <v>0</v>
      </c>
      <c r="CZ160" s="5">
        <f ca="1">SUM(OFFSET(Demand!$H$43,ROW(D157)-1,(COLUMN(D157)-1)*5,1,1))*Q$2</f>
        <v>0</v>
      </c>
      <c r="DA160" s="5">
        <f ca="1">SUM(OFFSET(Demand!$H$43,ROW(E157)-1,(COLUMN(E157)-1)*5,1,1))*R$2</f>
        <v>0</v>
      </c>
      <c r="DB160" s="5">
        <f ca="1">SUM(OFFSET(Demand!$H$43,ROW(F157)-1,(COLUMN(F157)-1)*5,1,1))*S$2</f>
        <v>0</v>
      </c>
      <c r="DC160" s="5">
        <f ca="1">SUM(OFFSET(Demand!$H$43,ROW(G157)-1,(COLUMN(G157)-1)*5,1,1))*T$2</f>
        <v>0</v>
      </c>
      <c r="DD160" s="5">
        <f ca="1">SUM(OFFSET(Demand!$H$43,ROW(H157)-1,(COLUMN(H157)-1)*5,1,1))*U$2</f>
        <v>0</v>
      </c>
      <c r="DE160" s="5">
        <f ca="1">SUM(OFFSET(Demand!$H$43,ROW(I157)-1,(COLUMN(I157)-1)*5,1,1))*V$2</f>
        <v>0</v>
      </c>
      <c r="DF160" s="5">
        <f ca="1">SUM(OFFSET(Demand!$H$43,ROW(J157)-1,(COLUMN(J157)-1)*5,1,1))*W$2</f>
        <v>0</v>
      </c>
      <c r="DG160" s="5">
        <f t="shared" ca="1" si="44"/>
        <v>0</v>
      </c>
    </row>
    <row r="161" spans="1:111" x14ac:dyDescent="0.2">
      <c r="A161" s="5">
        <f t="shared" ca="1" si="38"/>
        <v>2</v>
      </c>
      <c r="B161" s="5">
        <f ca="1">COUNTBLANK(OFFSET(Demand!$I170,0,(COLUMN(A158)-1)*5,1,1))</f>
        <v>1</v>
      </c>
      <c r="C161" s="5">
        <f ca="1">COUNTBLANK(OFFSET(Demand!$I170,0,(COLUMN(B158)-1)*5,1,1))</f>
        <v>1</v>
      </c>
      <c r="D161" s="5">
        <f ca="1">COUNTBLANK(OFFSET(Demand!$I170,0,(COLUMN(C158)-1)*5,1,1))</f>
        <v>1</v>
      </c>
      <c r="E161" s="5">
        <f ca="1">COUNTBLANK(OFFSET(Demand!$I170,0,(COLUMN(D158)-1)*5,1,1))</f>
        <v>1</v>
      </c>
      <c r="F161" s="5">
        <f ca="1">COUNTBLANK(OFFSET(Demand!$I170,0,(COLUMN(E158)-1)*5,1,1))</f>
        <v>1</v>
      </c>
      <c r="G161" s="5">
        <f ca="1">COUNTBLANK(OFFSET(Demand!$I170,0,(COLUMN(F158)-1)*5,1,1))</f>
        <v>1</v>
      </c>
      <c r="H161" s="5">
        <f ca="1">COUNTBLANK(OFFSET(Demand!$I170,0,(COLUMN(G158)-1)*5,1,1))</f>
        <v>1</v>
      </c>
      <c r="I161" s="5">
        <f ca="1">COUNTBLANK(OFFSET(Demand!$I170,0,(COLUMN(H158)-1)*5,1,1))</f>
        <v>1</v>
      </c>
      <c r="J161" s="5">
        <f ca="1">COUNTBLANK(OFFSET(Demand!$I170,0,(COLUMN(I158)-1)*5,1,1))</f>
        <v>1</v>
      </c>
      <c r="K161" s="5">
        <f ca="1">COUNTBLANK(OFFSET(Demand!$I170,0,(COLUMN(J158)-1)*5,1,1))</f>
        <v>1</v>
      </c>
      <c r="N161" s="5">
        <f ca="1">SUM(OFFSET(Demand!$E170,0,(COLUMN(A158)-1)*5,1,3))*N$2</f>
        <v>0</v>
      </c>
      <c r="O161" s="5">
        <f ca="1">SUM(OFFSET(Demand!$E170,0,(COLUMN(B158)-1)*5,1,3))*O$2</f>
        <v>0</v>
      </c>
      <c r="P161" s="5">
        <f ca="1">SUM(OFFSET(Demand!$E170,0,(COLUMN(C158)-1)*5,1,3))*P$2</f>
        <v>0</v>
      </c>
      <c r="Q161" s="5">
        <f ca="1">SUM(OFFSET(Demand!$E170,0,(COLUMN(D158)-1)*5,1,3))*Q$2</f>
        <v>0</v>
      </c>
      <c r="R161" s="5">
        <f ca="1">SUM(OFFSET(Demand!$E170,0,(COLUMN(E158)-1)*5,1,3))*R$2</f>
        <v>0</v>
      </c>
      <c r="S161" s="5">
        <f ca="1">SUM(OFFSET(Demand!$E170,0,(COLUMN(F158)-1)*5,1,3))*S$2</f>
        <v>0</v>
      </c>
      <c r="T161" s="5">
        <f ca="1">SUM(OFFSET(Demand!$E170,0,(COLUMN(G158)-1)*5,1,3))*T$2</f>
        <v>0</v>
      </c>
      <c r="U161" s="5">
        <f ca="1">SUM(OFFSET(Demand!$E170,0,(COLUMN(H158)-1)*5,1,3))*U$2</f>
        <v>0</v>
      </c>
      <c r="V161" s="5">
        <f ca="1">SUM(OFFSET(Demand!$E170,0,(COLUMN(I158)-1)*5,1,3))*V$2</f>
        <v>0</v>
      </c>
      <c r="W161" s="5">
        <f ca="1">SUM(OFFSET(Demand!$E170,0,(COLUMN(J158)-1)*5,1,3))*W$2</f>
        <v>0</v>
      </c>
      <c r="X161" s="5">
        <f t="shared" ca="1" si="39"/>
        <v>0</v>
      </c>
      <c r="Y161">
        <f t="shared" ca="1" si="40"/>
        <v>0</v>
      </c>
      <c r="Z161" s="5">
        <f ca="1">SUM(OFFSET(Demand!$H170,0,(COLUMN(A158)-1)*5,1,1))*N$2</f>
        <v>0</v>
      </c>
      <c r="AA161" s="5">
        <f ca="1">SUM(OFFSET(Demand!$H170,0,(COLUMN(B158)-1)*5,1,1))*O$2</f>
        <v>0</v>
      </c>
      <c r="AB161" s="5">
        <f ca="1">SUM(OFFSET(Demand!$H170,0,(COLUMN(C158)-1)*5,1,1))*P$2</f>
        <v>0</v>
      </c>
      <c r="AC161" s="5">
        <f ca="1">SUM(OFFSET(Demand!$H170,0,(COLUMN(D158)-1)*5,1,1))*Q$2</f>
        <v>0</v>
      </c>
      <c r="AD161" s="5">
        <f ca="1">SUM(OFFSET(Demand!$H170,0,(COLUMN(E158)-1)*5,1,1))*R$2</f>
        <v>0</v>
      </c>
      <c r="AE161" s="5">
        <f ca="1">SUM(OFFSET(Demand!$H170,0,(COLUMN(F158)-1)*5,1,1))*S$2</f>
        <v>0</v>
      </c>
      <c r="AF161" s="5">
        <f ca="1">SUM(OFFSET(Demand!$H170,0,(COLUMN(G158)-1)*5,1,1))*T$2</f>
        <v>0</v>
      </c>
      <c r="AG161" s="5">
        <f ca="1">SUM(OFFSET(Demand!$H170,0,(COLUMN(H158)-1)*5,1,1))*U$2</f>
        <v>0</v>
      </c>
      <c r="AH161" s="5">
        <f ca="1">SUM(OFFSET(Demand!$H170,0,(COLUMN(I158)-1)*5,1,1))*V$2</f>
        <v>0</v>
      </c>
      <c r="AI161" s="5">
        <f ca="1">SUM(OFFSET(Demand!$H170,0,(COLUMN(J158)-1)*5,1,1))*W$2</f>
        <v>0</v>
      </c>
      <c r="AJ161" s="5">
        <f t="shared" ca="1" si="41"/>
        <v>0</v>
      </c>
      <c r="AL161" s="5">
        <f t="shared" ca="1" si="42"/>
        <v>0</v>
      </c>
      <c r="AM161" s="5">
        <f t="shared" ca="1" si="43"/>
        <v>0</v>
      </c>
      <c r="AN161" s="5" t="str">
        <f>IF(Demand!BE170="Yes","Yes","")</f>
        <v/>
      </c>
      <c r="AP161" s="37" t="str">
        <f ca="1">Demand!B170</f>
        <v xml:space="preserve"> </v>
      </c>
      <c r="AQ161" t="str">
        <f ca="1">IF(TEXT(Demand!D170,"MMM")&lt;&gt;TEXT(Demand!D169,"MMM"),TEXT(Demand!D170,"MMM"),"")</f>
        <v/>
      </c>
      <c r="AT161" s="5">
        <f t="shared" ca="1" si="45"/>
        <v>0</v>
      </c>
      <c r="BQ161">
        <f ca="1">IF($AN161="",OFFSET(Demand!$A$13,ROW(A158)-1,4+((QUOTIENT(COLUMN(BQ$2)-69,3))*5)+MOD(COLUMN(BQ$2),3),1,1),"")</f>
        <v>0</v>
      </c>
      <c r="BR161">
        <f ca="1">IF($AN161="",OFFSET(Demand!$A$13,ROW(B158)-1,4+((QUOTIENT(COLUMN(BR$2)-69,3))*5)+MOD(COLUMN(BR$2),3),1,1),"")</f>
        <v>0</v>
      </c>
      <c r="BS161">
        <f ca="1">IF($AN161="",OFFSET(Demand!$A$13,ROW(C158)-1,4+((QUOTIENT(COLUMN(BS$2)-69,3))*5)+MOD(COLUMN(BS$2),3),1,1),"")</f>
        <v>0</v>
      </c>
      <c r="BT161">
        <f ca="1">IF($AN161="",OFFSET(Demand!$A$13,ROW(D158)-1,4+((QUOTIENT(COLUMN(BT$2)-69,3))*5)+MOD(COLUMN(BT$2),3),1,1),"")</f>
        <v>0</v>
      </c>
      <c r="BU161">
        <f ca="1">IF($AN161="",OFFSET(Demand!$A$13,ROW(E158)-1,4+((QUOTIENT(COLUMN(BU$2)-69,3))*5)+MOD(COLUMN(BU$2),3),1,1),"")</f>
        <v>0</v>
      </c>
      <c r="BV161">
        <f ca="1">IF($AN161="",OFFSET(Demand!$A$13,ROW(F158)-1,4+((QUOTIENT(COLUMN(BV$2)-69,3))*5)+MOD(COLUMN(BV$2),3),1,1),"")</f>
        <v>0</v>
      </c>
      <c r="BW161">
        <f ca="1">IF($AN161="",OFFSET(Demand!$A$13,ROW(G158)-1,4+((QUOTIENT(COLUMN(BW$2)-69,3))*5)+MOD(COLUMN(BW$2),3),1,1),"")</f>
        <v>0</v>
      </c>
      <c r="BX161">
        <f ca="1">IF($AN161="",OFFSET(Demand!$A$13,ROW(H158)-1,4+((QUOTIENT(COLUMN(BX$2)-69,3))*5)+MOD(COLUMN(BX$2),3),1,1),"")</f>
        <v>0</v>
      </c>
      <c r="BY161">
        <f ca="1">IF($AN161="",OFFSET(Demand!$A$13,ROW(I158)-1,4+((QUOTIENT(COLUMN(BY$2)-69,3))*5)+MOD(COLUMN(BY$2),3),1,1),"")</f>
        <v>0</v>
      </c>
      <c r="BZ161">
        <f ca="1">IF($AN161="",OFFSET(Demand!$A$13,ROW(J158)-1,4+((QUOTIENT(COLUMN(BZ$2)-69,3))*5)+MOD(COLUMN(BZ$2),3),1,1),"")</f>
        <v>0</v>
      </c>
      <c r="CA161">
        <f ca="1">IF($AN161="",OFFSET(Demand!$A$13,ROW(K158)-1,4+((QUOTIENT(COLUMN(CA$2)-69,3))*5)+MOD(COLUMN(CA$2),3),1,1),"")</f>
        <v>0</v>
      </c>
      <c r="CB161">
        <f ca="1">IF($AN161="",OFFSET(Demand!$A$13,ROW(L158)-1,4+((QUOTIENT(COLUMN(CB$2)-69,3))*5)+MOD(COLUMN(CB$2),3),1,1),"")</f>
        <v>0</v>
      </c>
      <c r="CC161">
        <f ca="1">IF($AN161="",OFFSET(Demand!$A$13,ROW(M158)-1,4+((QUOTIENT(COLUMN(CC$2)-69,3))*5)+MOD(COLUMN(CC$2),3),1,1),"")</f>
        <v>0</v>
      </c>
      <c r="CD161">
        <f ca="1">IF($AN161="",OFFSET(Demand!$A$13,ROW(N158)-1,4+((QUOTIENT(COLUMN(CD$2)-69,3))*5)+MOD(COLUMN(CD$2),3),1,1),"")</f>
        <v>0</v>
      </c>
      <c r="CE161">
        <f ca="1">IF($AN161="",OFFSET(Demand!$A$13,ROW(O158)-1,4+((QUOTIENT(COLUMN(CE$2)-69,3))*5)+MOD(COLUMN(CE$2),3),1,1),"")</f>
        <v>0</v>
      </c>
      <c r="CF161">
        <f ca="1">IF($AN161="",OFFSET(Demand!$A$13,ROW(P158)-1,4+((QUOTIENT(COLUMN(CF$2)-69,3))*5)+MOD(COLUMN(CF$2),3),1,1),"")</f>
        <v>0</v>
      </c>
      <c r="CG161">
        <f ca="1">IF($AN161="",OFFSET(Demand!$A$13,ROW(Q158)-1,4+((QUOTIENT(COLUMN(CG$2)-69,3))*5)+MOD(COLUMN(CG$2),3),1,1),"")</f>
        <v>0</v>
      </c>
      <c r="CH161">
        <f ca="1">IF($AN161="",OFFSET(Demand!$A$13,ROW(R158)-1,4+((QUOTIENT(COLUMN(CH$2)-69,3))*5)+MOD(COLUMN(CH$2),3),1,1),"")</f>
        <v>0</v>
      </c>
      <c r="CI161">
        <f ca="1">IF($AN161="",OFFSET(Demand!$A$13,ROW(S158)-1,4+((QUOTIENT(COLUMN(CI$2)-69,3))*5)+MOD(COLUMN(CI$2),3),1,1),"")</f>
        <v>0</v>
      </c>
      <c r="CJ161">
        <f ca="1">IF($AN161="",OFFSET(Demand!$A$13,ROW(T158)-1,4+((QUOTIENT(COLUMN(CJ$2)-69,3))*5)+MOD(COLUMN(CJ$2),3),1,1),"")</f>
        <v>0</v>
      </c>
      <c r="CK161">
        <f ca="1">IF($AN161="",OFFSET(Demand!$A$13,ROW(U158)-1,4+((QUOTIENT(COLUMN(CK$2)-69,3))*5)+MOD(COLUMN(CK$2),3),1,1),"")</f>
        <v>0</v>
      </c>
      <c r="CL161">
        <f ca="1">IF($AN161="",OFFSET(Demand!$A$13,ROW(V158)-1,4+((QUOTIENT(COLUMN(CL$2)-69,3))*5)+MOD(COLUMN(CL$2),3),1,1),"")</f>
        <v>0</v>
      </c>
      <c r="CM161">
        <f ca="1">IF($AN161="",OFFSET(Demand!$A$13,ROW(W158)-1,4+((QUOTIENT(COLUMN(CM$2)-69,3))*5)+MOD(COLUMN(CM$2),3),1,1),"")</f>
        <v>0</v>
      </c>
      <c r="CN161">
        <f ca="1">IF($AN161="",OFFSET(Demand!$A$13,ROW(X158)-1,4+((QUOTIENT(COLUMN(CN$2)-69,3))*5)+MOD(COLUMN(CN$2),3),1,1),"")</f>
        <v>0</v>
      </c>
      <c r="CO161">
        <f ca="1">IF($AN161="",OFFSET(Demand!$A$13,ROW(Y158)-1,4+((QUOTIENT(COLUMN(CO$2)-69,3))*5)+MOD(COLUMN(CO$2),3),1,1),"")</f>
        <v>0</v>
      </c>
      <c r="CP161">
        <f ca="1">IF($AN161="",OFFSET(Demand!$A$13,ROW(Z158)-1,4+((QUOTIENT(COLUMN(CP$2)-69,3))*5)+MOD(COLUMN(CP$2),3),1,1),"")</f>
        <v>0</v>
      </c>
      <c r="CQ161">
        <f ca="1">IF($AN161="",OFFSET(Demand!$A$13,ROW(AA158)-1,4+((QUOTIENT(COLUMN(CQ$2)-69,3))*5)+MOD(COLUMN(CQ$2),3),1,1),"")</f>
        <v>0</v>
      </c>
      <c r="CR161">
        <f ca="1">IF($AN161="",OFFSET(Demand!$A$13,ROW(AB158)-1,4+((QUOTIENT(COLUMN(CR$2)-69,3))*5)+MOD(COLUMN(CR$2),3),1,1),"")</f>
        <v>0</v>
      </c>
      <c r="CS161">
        <f ca="1">IF($AN161="",OFFSET(Demand!$A$13,ROW(AC158)-1,4+((QUOTIENT(COLUMN(CS$2)-69,3))*5)+MOD(COLUMN(CS$2),3),1,1),"")</f>
        <v>0</v>
      </c>
      <c r="CT161">
        <f ca="1">IF($AN161="",OFFSET(Demand!$A$13,ROW(AD158)-1,4+((QUOTIENT(COLUMN(CT$2)-69,3))*5)+MOD(COLUMN(CT$2),3),1,1),"")</f>
        <v>0</v>
      </c>
      <c r="CW161" s="5">
        <f ca="1">SUM(OFFSET(Demand!$H$43,ROW(A158)-1,(COLUMN(A158)-1)*5,1,1))*N$2</f>
        <v>0</v>
      </c>
      <c r="CX161" s="5">
        <f ca="1">SUM(OFFSET(Demand!$H$43,ROW(B158)-1,(COLUMN(B158)-1)*5,1,1))*O$2</f>
        <v>0</v>
      </c>
      <c r="CY161" s="5">
        <f ca="1">SUM(OFFSET(Demand!$H$43,ROW(C158)-1,(COLUMN(C158)-1)*5,1,1))*P$2</f>
        <v>0</v>
      </c>
      <c r="CZ161" s="5">
        <f ca="1">SUM(OFFSET(Demand!$H$43,ROW(D158)-1,(COLUMN(D158)-1)*5,1,1))*Q$2</f>
        <v>0</v>
      </c>
      <c r="DA161" s="5">
        <f ca="1">SUM(OFFSET(Demand!$H$43,ROW(E158)-1,(COLUMN(E158)-1)*5,1,1))*R$2</f>
        <v>0</v>
      </c>
      <c r="DB161" s="5">
        <f ca="1">SUM(OFFSET(Demand!$H$43,ROW(F158)-1,(COLUMN(F158)-1)*5,1,1))*S$2</f>
        <v>0</v>
      </c>
      <c r="DC161" s="5">
        <f ca="1">SUM(OFFSET(Demand!$H$43,ROW(G158)-1,(COLUMN(G158)-1)*5,1,1))*T$2</f>
        <v>0</v>
      </c>
      <c r="DD161" s="5">
        <f ca="1">SUM(OFFSET(Demand!$H$43,ROW(H158)-1,(COLUMN(H158)-1)*5,1,1))*U$2</f>
        <v>0</v>
      </c>
      <c r="DE161" s="5">
        <f ca="1">SUM(OFFSET(Demand!$H$43,ROW(I158)-1,(COLUMN(I158)-1)*5,1,1))*V$2</f>
        <v>0</v>
      </c>
      <c r="DF161" s="5">
        <f ca="1">SUM(OFFSET(Demand!$H$43,ROW(J158)-1,(COLUMN(J158)-1)*5,1,1))*W$2</f>
        <v>0</v>
      </c>
      <c r="DG161" s="5">
        <f t="shared" ca="1" si="44"/>
        <v>0</v>
      </c>
    </row>
    <row r="162" spans="1:111" x14ac:dyDescent="0.2">
      <c r="A162" s="5">
        <f t="shared" ca="1" si="38"/>
        <v>2</v>
      </c>
      <c r="B162" s="5">
        <f ca="1">COUNTBLANK(OFFSET(Demand!$I171,0,(COLUMN(A159)-1)*5,1,1))</f>
        <v>1</v>
      </c>
      <c r="C162" s="5">
        <f ca="1">COUNTBLANK(OFFSET(Demand!$I171,0,(COLUMN(B159)-1)*5,1,1))</f>
        <v>1</v>
      </c>
      <c r="D162" s="5">
        <f ca="1">COUNTBLANK(OFFSET(Demand!$I171,0,(COLUMN(C159)-1)*5,1,1))</f>
        <v>1</v>
      </c>
      <c r="E162" s="5">
        <f ca="1">COUNTBLANK(OFFSET(Demand!$I171,0,(COLUMN(D159)-1)*5,1,1))</f>
        <v>1</v>
      </c>
      <c r="F162" s="5">
        <f ca="1">COUNTBLANK(OFFSET(Demand!$I171,0,(COLUMN(E159)-1)*5,1,1))</f>
        <v>1</v>
      </c>
      <c r="G162" s="5">
        <f ca="1">COUNTBLANK(OFFSET(Demand!$I171,0,(COLUMN(F159)-1)*5,1,1))</f>
        <v>1</v>
      </c>
      <c r="H162" s="5">
        <f ca="1">COUNTBLANK(OFFSET(Demand!$I171,0,(COLUMN(G159)-1)*5,1,1))</f>
        <v>1</v>
      </c>
      <c r="I162" s="5">
        <f ca="1">COUNTBLANK(OFFSET(Demand!$I171,0,(COLUMN(H159)-1)*5,1,1))</f>
        <v>1</v>
      </c>
      <c r="J162" s="5">
        <f ca="1">COUNTBLANK(OFFSET(Demand!$I171,0,(COLUMN(I159)-1)*5,1,1))</f>
        <v>1</v>
      </c>
      <c r="K162" s="5">
        <f ca="1">COUNTBLANK(OFFSET(Demand!$I171,0,(COLUMN(J159)-1)*5,1,1))</f>
        <v>1</v>
      </c>
      <c r="N162" s="5">
        <f ca="1">SUM(OFFSET(Demand!$E171,0,(COLUMN(A159)-1)*5,1,3))*N$2</f>
        <v>0</v>
      </c>
      <c r="O162" s="5">
        <f ca="1">SUM(OFFSET(Demand!$E171,0,(COLUMN(B159)-1)*5,1,3))*O$2</f>
        <v>0</v>
      </c>
      <c r="P162" s="5">
        <f ca="1">SUM(OFFSET(Demand!$E171,0,(COLUMN(C159)-1)*5,1,3))*P$2</f>
        <v>0</v>
      </c>
      <c r="Q162" s="5">
        <f ca="1">SUM(OFFSET(Demand!$E171,0,(COLUMN(D159)-1)*5,1,3))*Q$2</f>
        <v>0</v>
      </c>
      <c r="R162" s="5">
        <f ca="1">SUM(OFFSET(Demand!$E171,0,(COLUMN(E159)-1)*5,1,3))*R$2</f>
        <v>0</v>
      </c>
      <c r="S162" s="5">
        <f ca="1">SUM(OFFSET(Demand!$E171,0,(COLUMN(F159)-1)*5,1,3))*S$2</f>
        <v>0</v>
      </c>
      <c r="T162" s="5">
        <f ca="1">SUM(OFFSET(Demand!$E171,0,(COLUMN(G159)-1)*5,1,3))*T$2</f>
        <v>0</v>
      </c>
      <c r="U162" s="5">
        <f ca="1">SUM(OFFSET(Demand!$E171,0,(COLUMN(H159)-1)*5,1,3))*U$2</f>
        <v>0</v>
      </c>
      <c r="V162" s="5">
        <f ca="1">SUM(OFFSET(Demand!$E171,0,(COLUMN(I159)-1)*5,1,3))*V$2</f>
        <v>0</v>
      </c>
      <c r="W162" s="5">
        <f ca="1">SUM(OFFSET(Demand!$E171,0,(COLUMN(J159)-1)*5,1,3))*W$2</f>
        <v>0</v>
      </c>
      <c r="X162" s="5">
        <f t="shared" ca="1" si="39"/>
        <v>0</v>
      </c>
      <c r="Y162">
        <f t="shared" ca="1" si="40"/>
        <v>0</v>
      </c>
      <c r="Z162" s="5">
        <f ca="1">SUM(OFFSET(Demand!$H171,0,(COLUMN(A159)-1)*5,1,1))*N$2</f>
        <v>0</v>
      </c>
      <c r="AA162" s="5">
        <f ca="1">SUM(OFFSET(Demand!$H171,0,(COLUMN(B159)-1)*5,1,1))*O$2</f>
        <v>0</v>
      </c>
      <c r="AB162" s="5">
        <f ca="1">SUM(OFFSET(Demand!$H171,0,(COLUMN(C159)-1)*5,1,1))*P$2</f>
        <v>0</v>
      </c>
      <c r="AC162" s="5">
        <f ca="1">SUM(OFFSET(Demand!$H171,0,(COLUMN(D159)-1)*5,1,1))*Q$2</f>
        <v>0</v>
      </c>
      <c r="AD162" s="5">
        <f ca="1">SUM(OFFSET(Demand!$H171,0,(COLUMN(E159)-1)*5,1,1))*R$2</f>
        <v>0</v>
      </c>
      <c r="AE162" s="5">
        <f ca="1">SUM(OFFSET(Demand!$H171,0,(COLUMN(F159)-1)*5,1,1))*S$2</f>
        <v>0</v>
      </c>
      <c r="AF162" s="5">
        <f ca="1">SUM(OFFSET(Demand!$H171,0,(COLUMN(G159)-1)*5,1,1))*T$2</f>
        <v>0</v>
      </c>
      <c r="AG162" s="5">
        <f ca="1">SUM(OFFSET(Demand!$H171,0,(COLUMN(H159)-1)*5,1,1))*U$2</f>
        <v>0</v>
      </c>
      <c r="AH162" s="5">
        <f ca="1">SUM(OFFSET(Demand!$H171,0,(COLUMN(I159)-1)*5,1,1))*V$2</f>
        <v>0</v>
      </c>
      <c r="AI162" s="5">
        <f ca="1">SUM(OFFSET(Demand!$H171,0,(COLUMN(J159)-1)*5,1,1))*W$2</f>
        <v>0</v>
      </c>
      <c r="AJ162" s="5">
        <f t="shared" ca="1" si="41"/>
        <v>0</v>
      </c>
      <c r="AL162" s="5">
        <f t="shared" ca="1" si="42"/>
        <v>0</v>
      </c>
      <c r="AM162" s="5">
        <f t="shared" ca="1" si="43"/>
        <v>0</v>
      </c>
      <c r="AN162" s="5" t="str">
        <f>IF(Demand!BE171="Yes","Yes","")</f>
        <v/>
      </c>
      <c r="AP162" s="37" t="str">
        <f ca="1">Demand!B171</f>
        <v xml:space="preserve"> </v>
      </c>
      <c r="AQ162" t="str">
        <f ca="1">IF(TEXT(Demand!D171,"MMM")&lt;&gt;TEXT(Demand!D170,"MMM"),TEXT(Demand!D171,"MMM"),"")</f>
        <v/>
      </c>
      <c r="AT162" s="5">
        <f t="shared" ca="1" si="45"/>
        <v>0</v>
      </c>
      <c r="BQ162">
        <f ca="1">IF($AN162="",OFFSET(Demand!$A$13,ROW(A159)-1,4+((QUOTIENT(COLUMN(BQ$2)-69,3))*5)+MOD(COLUMN(BQ$2),3),1,1),"")</f>
        <v>0</v>
      </c>
      <c r="BR162">
        <f ca="1">IF($AN162="",OFFSET(Demand!$A$13,ROW(B159)-1,4+((QUOTIENT(COLUMN(BR$2)-69,3))*5)+MOD(COLUMN(BR$2),3),1,1),"")</f>
        <v>0</v>
      </c>
      <c r="BS162">
        <f ca="1">IF($AN162="",OFFSET(Demand!$A$13,ROW(C159)-1,4+((QUOTIENT(COLUMN(BS$2)-69,3))*5)+MOD(COLUMN(BS$2),3),1,1),"")</f>
        <v>0</v>
      </c>
      <c r="BT162">
        <f ca="1">IF($AN162="",OFFSET(Demand!$A$13,ROW(D159)-1,4+((QUOTIENT(COLUMN(BT$2)-69,3))*5)+MOD(COLUMN(BT$2),3),1,1),"")</f>
        <v>0</v>
      </c>
      <c r="BU162">
        <f ca="1">IF($AN162="",OFFSET(Demand!$A$13,ROW(E159)-1,4+((QUOTIENT(COLUMN(BU$2)-69,3))*5)+MOD(COLUMN(BU$2),3),1,1),"")</f>
        <v>0</v>
      </c>
      <c r="BV162">
        <f ca="1">IF($AN162="",OFFSET(Demand!$A$13,ROW(F159)-1,4+((QUOTIENT(COLUMN(BV$2)-69,3))*5)+MOD(COLUMN(BV$2),3),1,1),"")</f>
        <v>0</v>
      </c>
      <c r="BW162">
        <f ca="1">IF($AN162="",OFFSET(Demand!$A$13,ROW(G159)-1,4+((QUOTIENT(COLUMN(BW$2)-69,3))*5)+MOD(COLUMN(BW$2),3),1,1),"")</f>
        <v>0</v>
      </c>
      <c r="BX162">
        <f ca="1">IF($AN162="",OFFSET(Demand!$A$13,ROW(H159)-1,4+((QUOTIENT(COLUMN(BX$2)-69,3))*5)+MOD(COLUMN(BX$2),3),1,1),"")</f>
        <v>0</v>
      </c>
      <c r="BY162">
        <f ca="1">IF($AN162="",OFFSET(Demand!$A$13,ROW(I159)-1,4+((QUOTIENT(COLUMN(BY$2)-69,3))*5)+MOD(COLUMN(BY$2),3),1,1),"")</f>
        <v>0</v>
      </c>
      <c r="BZ162">
        <f ca="1">IF($AN162="",OFFSET(Demand!$A$13,ROW(J159)-1,4+((QUOTIENT(COLUMN(BZ$2)-69,3))*5)+MOD(COLUMN(BZ$2),3),1,1),"")</f>
        <v>0</v>
      </c>
      <c r="CA162">
        <f ca="1">IF($AN162="",OFFSET(Demand!$A$13,ROW(K159)-1,4+((QUOTIENT(COLUMN(CA$2)-69,3))*5)+MOD(COLUMN(CA$2),3),1,1),"")</f>
        <v>0</v>
      </c>
      <c r="CB162">
        <f ca="1">IF($AN162="",OFFSET(Demand!$A$13,ROW(L159)-1,4+((QUOTIENT(COLUMN(CB$2)-69,3))*5)+MOD(COLUMN(CB$2),3),1,1),"")</f>
        <v>0</v>
      </c>
      <c r="CC162">
        <f ca="1">IF($AN162="",OFFSET(Demand!$A$13,ROW(M159)-1,4+((QUOTIENT(COLUMN(CC$2)-69,3))*5)+MOD(COLUMN(CC$2),3),1,1),"")</f>
        <v>0</v>
      </c>
      <c r="CD162">
        <f ca="1">IF($AN162="",OFFSET(Demand!$A$13,ROW(N159)-1,4+((QUOTIENT(COLUMN(CD$2)-69,3))*5)+MOD(COLUMN(CD$2),3),1,1),"")</f>
        <v>0</v>
      </c>
      <c r="CE162">
        <f ca="1">IF($AN162="",OFFSET(Demand!$A$13,ROW(O159)-1,4+((QUOTIENT(COLUMN(CE$2)-69,3))*5)+MOD(COLUMN(CE$2),3),1,1),"")</f>
        <v>0</v>
      </c>
      <c r="CF162">
        <f ca="1">IF($AN162="",OFFSET(Demand!$A$13,ROW(P159)-1,4+((QUOTIENT(COLUMN(CF$2)-69,3))*5)+MOD(COLUMN(CF$2),3),1,1),"")</f>
        <v>0</v>
      </c>
      <c r="CG162">
        <f ca="1">IF($AN162="",OFFSET(Demand!$A$13,ROW(Q159)-1,4+((QUOTIENT(COLUMN(CG$2)-69,3))*5)+MOD(COLUMN(CG$2),3),1,1),"")</f>
        <v>0</v>
      </c>
      <c r="CH162">
        <f ca="1">IF($AN162="",OFFSET(Demand!$A$13,ROW(R159)-1,4+((QUOTIENT(COLUMN(CH$2)-69,3))*5)+MOD(COLUMN(CH$2),3),1,1),"")</f>
        <v>0</v>
      </c>
      <c r="CI162">
        <f ca="1">IF($AN162="",OFFSET(Demand!$A$13,ROW(S159)-1,4+((QUOTIENT(COLUMN(CI$2)-69,3))*5)+MOD(COLUMN(CI$2),3),1,1),"")</f>
        <v>0</v>
      </c>
      <c r="CJ162">
        <f ca="1">IF($AN162="",OFFSET(Demand!$A$13,ROW(T159)-1,4+((QUOTIENT(COLUMN(CJ$2)-69,3))*5)+MOD(COLUMN(CJ$2),3),1,1),"")</f>
        <v>0</v>
      </c>
      <c r="CK162">
        <f ca="1">IF($AN162="",OFFSET(Demand!$A$13,ROW(U159)-1,4+((QUOTIENT(COLUMN(CK$2)-69,3))*5)+MOD(COLUMN(CK$2),3),1,1),"")</f>
        <v>0</v>
      </c>
      <c r="CL162">
        <f ca="1">IF($AN162="",OFFSET(Demand!$A$13,ROW(V159)-1,4+((QUOTIENT(COLUMN(CL$2)-69,3))*5)+MOD(COLUMN(CL$2),3),1,1),"")</f>
        <v>0</v>
      </c>
      <c r="CM162">
        <f ca="1">IF($AN162="",OFFSET(Demand!$A$13,ROW(W159)-1,4+((QUOTIENT(COLUMN(CM$2)-69,3))*5)+MOD(COLUMN(CM$2),3),1,1),"")</f>
        <v>0</v>
      </c>
      <c r="CN162">
        <f ca="1">IF($AN162="",OFFSET(Demand!$A$13,ROW(X159)-1,4+((QUOTIENT(COLUMN(CN$2)-69,3))*5)+MOD(COLUMN(CN$2),3),1,1),"")</f>
        <v>0</v>
      </c>
      <c r="CO162">
        <f ca="1">IF($AN162="",OFFSET(Demand!$A$13,ROW(Y159)-1,4+((QUOTIENT(COLUMN(CO$2)-69,3))*5)+MOD(COLUMN(CO$2),3),1,1),"")</f>
        <v>0</v>
      </c>
      <c r="CP162">
        <f ca="1">IF($AN162="",OFFSET(Demand!$A$13,ROW(Z159)-1,4+((QUOTIENT(COLUMN(CP$2)-69,3))*5)+MOD(COLUMN(CP$2),3),1,1),"")</f>
        <v>0</v>
      </c>
      <c r="CQ162">
        <f ca="1">IF($AN162="",OFFSET(Demand!$A$13,ROW(AA159)-1,4+((QUOTIENT(COLUMN(CQ$2)-69,3))*5)+MOD(COLUMN(CQ$2),3),1,1),"")</f>
        <v>0</v>
      </c>
      <c r="CR162">
        <f ca="1">IF($AN162="",OFFSET(Demand!$A$13,ROW(AB159)-1,4+((QUOTIENT(COLUMN(CR$2)-69,3))*5)+MOD(COLUMN(CR$2),3),1,1),"")</f>
        <v>0</v>
      </c>
      <c r="CS162">
        <f ca="1">IF($AN162="",OFFSET(Demand!$A$13,ROW(AC159)-1,4+((QUOTIENT(COLUMN(CS$2)-69,3))*5)+MOD(COLUMN(CS$2),3),1,1),"")</f>
        <v>0</v>
      </c>
      <c r="CT162">
        <f ca="1">IF($AN162="",OFFSET(Demand!$A$13,ROW(AD159)-1,4+((QUOTIENT(COLUMN(CT$2)-69,3))*5)+MOD(COLUMN(CT$2),3),1,1),"")</f>
        <v>0</v>
      </c>
      <c r="CW162" s="5">
        <f ca="1">SUM(OFFSET(Demand!$H$43,ROW(A159)-1,(COLUMN(A159)-1)*5,1,1))*N$2</f>
        <v>0</v>
      </c>
      <c r="CX162" s="5">
        <f ca="1">SUM(OFFSET(Demand!$H$43,ROW(B159)-1,(COLUMN(B159)-1)*5,1,1))*O$2</f>
        <v>0</v>
      </c>
      <c r="CY162" s="5">
        <f ca="1">SUM(OFFSET(Demand!$H$43,ROW(C159)-1,(COLUMN(C159)-1)*5,1,1))*P$2</f>
        <v>0</v>
      </c>
      <c r="CZ162" s="5">
        <f ca="1">SUM(OFFSET(Demand!$H$43,ROW(D159)-1,(COLUMN(D159)-1)*5,1,1))*Q$2</f>
        <v>0</v>
      </c>
      <c r="DA162" s="5">
        <f ca="1">SUM(OFFSET(Demand!$H$43,ROW(E159)-1,(COLUMN(E159)-1)*5,1,1))*R$2</f>
        <v>0</v>
      </c>
      <c r="DB162" s="5">
        <f ca="1">SUM(OFFSET(Demand!$H$43,ROW(F159)-1,(COLUMN(F159)-1)*5,1,1))*S$2</f>
        <v>0</v>
      </c>
      <c r="DC162" s="5">
        <f ca="1">SUM(OFFSET(Demand!$H$43,ROW(G159)-1,(COLUMN(G159)-1)*5,1,1))*T$2</f>
        <v>0</v>
      </c>
      <c r="DD162" s="5">
        <f ca="1">SUM(OFFSET(Demand!$H$43,ROW(H159)-1,(COLUMN(H159)-1)*5,1,1))*U$2</f>
        <v>0</v>
      </c>
      <c r="DE162" s="5">
        <f ca="1">SUM(OFFSET(Demand!$H$43,ROW(I159)-1,(COLUMN(I159)-1)*5,1,1))*V$2</f>
        <v>0</v>
      </c>
      <c r="DF162" s="5">
        <f ca="1">SUM(OFFSET(Demand!$H$43,ROW(J159)-1,(COLUMN(J159)-1)*5,1,1))*W$2</f>
        <v>0</v>
      </c>
      <c r="DG162" s="5">
        <f t="shared" ca="1" si="44"/>
        <v>0</v>
      </c>
    </row>
    <row r="163" spans="1:111" x14ac:dyDescent="0.2">
      <c r="A163" s="5">
        <f t="shared" ca="1" si="38"/>
        <v>2</v>
      </c>
      <c r="B163" s="5">
        <f ca="1">COUNTBLANK(OFFSET(Demand!$I172,0,(COLUMN(A160)-1)*5,1,1))</f>
        <v>1</v>
      </c>
      <c r="C163" s="5">
        <f ca="1">COUNTBLANK(OFFSET(Demand!$I172,0,(COLUMN(B160)-1)*5,1,1))</f>
        <v>1</v>
      </c>
      <c r="D163" s="5">
        <f ca="1">COUNTBLANK(OFFSET(Demand!$I172,0,(COLUMN(C160)-1)*5,1,1))</f>
        <v>1</v>
      </c>
      <c r="E163" s="5">
        <f ca="1">COUNTBLANK(OFFSET(Demand!$I172,0,(COLUMN(D160)-1)*5,1,1))</f>
        <v>1</v>
      </c>
      <c r="F163" s="5">
        <f ca="1">COUNTBLANK(OFFSET(Demand!$I172,0,(COLUMN(E160)-1)*5,1,1))</f>
        <v>1</v>
      </c>
      <c r="G163" s="5">
        <f ca="1">COUNTBLANK(OFFSET(Demand!$I172,0,(COLUMN(F160)-1)*5,1,1))</f>
        <v>1</v>
      </c>
      <c r="H163" s="5">
        <f ca="1">COUNTBLANK(OFFSET(Demand!$I172,0,(COLUMN(G160)-1)*5,1,1))</f>
        <v>1</v>
      </c>
      <c r="I163" s="5">
        <f ca="1">COUNTBLANK(OFFSET(Demand!$I172,0,(COLUMN(H160)-1)*5,1,1))</f>
        <v>1</v>
      </c>
      <c r="J163" s="5">
        <f ca="1">COUNTBLANK(OFFSET(Demand!$I172,0,(COLUMN(I160)-1)*5,1,1))</f>
        <v>1</v>
      </c>
      <c r="K163" s="5">
        <f ca="1">COUNTBLANK(OFFSET(Demand!$I172,0,(COLUMN(J160)-1)*5,1,1))</f>
        <v>1</v>
      </c>
      <c r="N163" s="5">
        <f ca="1">SUM(OFFSET(Demand!$E172,0,(COLUMN(A160)-1)*5,1,3))*N$2</f>
        <v>0</v>
      </c>
      <c r="O163" s="5">
        <f ca="1">SUM(OFFSET(Demand!$E172,0,(COLUMN(B160)-1)*5,1,3))*O$2</f>
        <v>0</v>
      </c>
      <c r="P163" s="5">
        <f ca="1">SUM(OFFSET(Demand!$E172,0,(COLUMN(C160)-1)*5,1,3))*P$2</f>
        <v>0</v>
      </c>
      <c r="Q163" s="5">
        <f ca="1">SUM(OFFSET(Demand!$E172,0,(COLUMN(D160)-1)*5,1,3))*Q$2</f>
        <v>0</v>
      </c>
      <c r="R163" s="5">
        <f ca="1">SUM(OFFSET(Demand!$E172,0,(COLUMN(E160)-1)*5,1,3))*R$2</f>
        <v>0</v>
      </c>
      <c r="S163" s="5">
        <f ca="1">SUM(OFFSET(Demand!$E172,0,(COLUMN(F160)-1)*5,1,3))*S$2</f>
        <v>0</v>
      </c>
      <c r="T163" s="5">
        <f ca="1">SUM(OFFSET(Demand!$E172,0,(COLUMN(G160)-1)*5,1,3))*T$2</f>
        <v>0</v>
      </c>
      <c r="U163" s="5">
        <f ca="1">SUM(OFFSET(Demand!$E172,0,(COLUMN(H160)-1)*5,1,3))*U$2</f>
        <v>0</v>
      </c>
      <c r="V163" s="5">
        <f ca="1">SUM(OFFSET(Demand!$E172,0,(COLUMN(I160)-1)*5,1,3))*V$2</f>
        <v>0</v>
      </c>
      <c r="W163" s="5">
        <f ca="1">SUM(OFFSET(Demand!$E172,0,(COLUMN(J160)-1)*5,1,3))*W$2</f>
        <v>0</v>
      </c>
      <c r="X163" s="5">
        <f t="shared" ca="1" si="39"/>
        <v>0</v>
      </c>
      <c r="Y163">
        <f t="shared" ca="1" si="40"/>
        <v>0</v>
      </c>
      <c r="Z163" s="5">
        <f ca="1">SUM(OFFSET(Demand!$H172,0,(COLUMN(A160)-1)*5,1,1))*N$2</f>
        <v>0</v>
      </c>
      <c r="AA163" s="5">
        <f ca="1">SUM(OFFSET(Demand!$H172,0,(COLUMN(B160)-1)*5,1,1))*O$2</f>
        <v>0</v>
      </c>
      <c r="AB163" s="5">
        <f ca="1">SUM(OFFSET(Demand!$H172,0,(COLUMN(C160)-1)*5,1,1))*P$2</f>
        <v>0</v>
      </c>
      <c r="AC163" s="5">
        <f ca="1">SUM(OFFSET(Demand!$H172,0,(COLUMN(D160)-1)*5,1,1))*Q$2</f>
        <v>0</v>
      </c>
      <c r="AD163" s="5">
        <f ca="1">SUM(OFFSET(Demand!$H172,0,(COLUMN(E160)-1)*5,1,1))*R$2</f>
        <v>0</v>
      </c>
      <c r="AE163" s="5">
        <f ca="1">SUM(OFFSET(Demand!$H172,0,(COLUMN(F160)-1)*5,1,1))*S$2</f>
        <v>0</v>
      </c>
      <c r="AF163" s="5">
        <f ca="1">SUM(OFFSET(Demand!$H172,0,(COLUMN(G160)-1)*5,1,1))*T$2</f>
        <v>0</v>
      </c>
      <c r="AG163" s="5">
        <f ca="1">SUM(OFFSET(Demand!$H172,0,(COLUMN(H160)-1)*5,1,1))*U$2</f>
        <v>0</v>
      </c>
      <c r="AH163" s="5">
        <f ca="1">SUM(OFFSET(Demand!$H172,0,(COLUMN(I160)-1)*5,1,1))*V$2</f>
        <v>0</v>
      </c>
      <c r="AI163" s="5">
        <f ca="1">SUM(OFFSET(Demand!$H172,0,(COLUMN(J160)-1)*5,1,1))*W$2</f>
        <v>0</v>
      </c>
      <c r="AJ163" s="5">
        <f t="shared" ca="1" si="41"/>
        <v>0</v>
      </c>
      <c r="AL163" s="5">
        <f t="shared" ca="1" si="42"/>
        <v>0</v>
      </c>
      <c r="AM163" s="5">
        <f t="shared" ca="1" si="43"/>
        <v>0</v>
      </c>
      <c r="AN163" s="5" t="str">
        <f>IF(Demand!BE172="Yes","Yes","")</f>
        <v/>
      </c>
      <c r="AP163" s="37" t="str">
        <f ca="1">Demand!B172</f>
        <v xml:space="preserve"> </v>
      </c>
      <c r="AQ163" t="str">
        <f ca="1">IF(TEXT(Demand!D172,"MMM")&lt;&gt;TEXT(Demand!D171,"MMM"),TEXT(Demand!D172,"MMM"),"")</f>
        <v/>
      </c>
      <c r="AT163" s="5">
        <f t="shared" ca="1" si="45"/>
        <v>0</v>
      </c>
      <c r="BQ163">
        <f ca="1">IF($AN163="",OFFSET(Demand!$A$13,ROW(A160)-1,4+((QUOTIENT(COLUMN(BQ$2)-69,3))*5)+MOD(COLUMN(BQ$2),3),1,1),"")</f>
        <v>0</v>
      </c>
      <c r="BR163">
        <f ca="1">IF($AN163="",OFFSET(Demand!$A$13,ROW(B160)-1,4+((QUOTIENT(COLUMN(BR$2)-69,3))*5)+MOD(COLUMN(BR$2),3),1,1),"")</f>
        <v>0</v>
      </c>
      <c r="BS163">
        <f ca="1">IF($AN163="",OFFSET(Demand!$A$13,ROW(C160)-1,4+((QUOTIENT(COLUMN(BS$2)-69,3))*5)+MOD(COLUMN(BS$2),3),1,1),"")</f>
        <v>0</v>
      </c>
      <c r="BT163">
        <f ca="1">IF($AN163="",OFFSET(Demand!$A$13,ROW(D160)-1,4+((QUOTIENT(COLUMN(BT$2)-69,3))*5)+MOD(COLUMN(BT$2),3),1,1),"")</f>
        <v>0</v>
      </c>
      <c r="BU163">
        <f ca="1">IF($AN163="",OFFSET(Demand!$A$13,ROW(E160)-1,4+((QUOTIENT(COLUMN(BU$2)-69,3))*5)+MOD(COLUMN(BU$2),3),1,1),"")</f>
        <v>0</v>
      </c>
      <c r="BV163">
        <f ca="1">IF($AN163="",OFFSET(Demand!$A$13,ROW(F160)-1,4+((QUOTIENT(COLUMN(BV$2)-69,3))*5)+MOD(COLUMN(BV$2),3),1,1),"")</f>
        <v>0</v>
      </c>
      <c r="BW163">
        <f ca="1">IF($AN163="",OFFSET(Demand!$A$13,ROW(G160)-1,4+((QUOTIENT(COLUMN(BW$2)-69,3))*5)+MOD(COLUMN(BW$2),3),1,1),"")</f>
        <v>0</v>
      </c>
      <c r="BX163">
        <f ca="1">IF($AN163="",OFFSET(Demand!$A$13,ROW(H160)-1,4+((QUOTIENT(COLUMN(BX$2)-69,3))*5)+MOD(COLUMN(BX$2),3),1,1),"")</f>
        <v>0</v>
      </c>
      <c r="BY163">
        <f ca="1">IF($AN163="",OFFSET(Demand!$A$13,ROW(I160)-1,4+((QUOTIENT(COLUMN(BY$2)-69,3))*5)+MOD(COLUMN(BY$2),3),1,1),"")</f>
        <v>0</v>
      </c>
      <c r="BZ163">
        <f ca="1">IF($AN163="",OFFSET(Demand!$A$13,ROW(J160)-1,4+((QUOTIENT(COLUMN(BZ$2)-69,3))*5)+MOD(COLUMN(BZ$2),3),1,1),"")</f>
        <v>0</v>
      </c>
      <c r="CA163">
        <f ca="1">IF($AN163="",OFFSET(Demand!$A$13,ROW(K160)-1,4+((QUOTIENT(COLUMN(CA$2)-69,3))*5)+MOD(COLUMN(CA$2),3),1,1),"")</f>
        <v>0</v>
      </c>
      <c r="CB163">
        <f ca="1">IF($AN163="",OFFSET(Demand!$A$13,ROW(L160)-1,4+((QUOTIENT(COLUMN(CB$2)-69,3))*5)+MOD(COLUMN(CB$2),3),1,1),"")</f>
        <v>0</v>
      </c>
      <c r="CC163">
        <f ca="1">IF($AN163="",OFFSET(Demand!$A$13,ROW(M160)-1,4+((QUOTIENT(COLUMN(CC$2)-69,3))*5)+MOD(COLUMN(CC$2),3),1,1),"")</f>
        <v>0</v>
      </c>
      <c r="CD163">
        <f ca="1">IF($AN163="",OFFSET(Demand!$A$13,ROW(N160)-1,4+((QUOTIENT(COLUMN(CD$2)-69,3))*5)+MOD(COLUMN(CD$2),3),1,1),"")</f>
        <v>0</v>
      </c>
      <c r="CE163">
        <f ca="1">IF($AN163="",OFFSET(Demand!$A$13,ROW(O160)-1,4+((QUOTIENT(COLUMN(CE$2)-69,3))*5)+MOD(COLUMN(CE$2),3),1,1),"")</f>
        <v>0</v>
      </c>
      <c r="CF163">
        <f ca="1">IF($AN163="",OFFSET(Demand!$A$13,ROW(P160)-1,4+((QUOTIENT(COLUMN(CF$2)-69,3))*5)+MOD(COLUMN(CF$2),3),1,1),"")</f>
        <v>0</v>
      </c>
      <c r="CG163">
        <f ca="1">IF($AN163="",OFFSET(Demand!$A$13,ROW(Q160)-1,4+((QUOTIENT(COLUMN(CG$2)-69,3))*5)+MOD(COLUMN(CG$2),3),1,1),"")</f>
        <v>0</v>
      </c>
      <c r="CH163">
        <f ca="1">IF($AN163="",OFFSET(Demand!$A$13,ROW(R160)-1,4+((QUOTIENT(COLUMN(CH$2)-69,3))*5)+MOD(COLUMN(CH$2),3),1,1),"")</f>
        <v>0</v>
      </c>
      <c r="CI163">
        <f ca="1">IF($AN163="",OFFSET(Demand!$A$13,ROW(S160)-1,4+((QUOTIENT(COLUMN(CI$2)-69,3))*5)+MOD(COLUMN(CI$2),3),1,1),"")</f>
        <v>0</v>
      </c>
      <c r="CJ163">
        <f ca="1">IF($AN163="",OFFSET(Demand!$A$13,ROW(T160)-1,4+((QUOTIENT(COLUMN(CJ$2)-69,3))*5)+MOD(COLUMN(CJ$2),3),1,1),"")</f>
        <v>0</v>
      </c>
      <c r="CK163">
        <f ca="1">IF($AN163="",OFFSET(Demand!$A$13,ROW(U160)-1,4+((QUOTIENT(COLUMN(CK$2)-69,3))*5)+MOD(COLUMN(CK$2),3),1,1),"")</f>
        <v>0</v>
      </c>
      <c r="CL163">
        <f ca="1">IF($AN163="",OFFSET(Demand!$A$13,ROW(V160)-1,4+((QUOTIENT(COLUMN(CL$2)-69,3))*5)+MOD(COLUMN(CL$2),3),1,1),"")</f>
        <v>0</v>
      </c>
      <c r="CM163">
        <f ca="1">IF($AN163="",OFFSET(Demand!$A$13,ROW(W160)-1,4+((QUOTIENT(COLUMN(CM$2)-69,3))*5)+MOD(COLUMN(CM$2),3),1,1),"")</f>
        <v>0</v>
      </c>
      <c r="CN163">
        <f ca="1">IF($AN163="",OFFSET(Demand!$A$13,ROW(X160)-1,4+((QUOTIENT(COLUMN(CN$2)-69,3))*5)+MOD(COLUMN(CN$2),3),1,1),"")</f>
        <v>0</v>
      </c>
      <c r="CO163">
        <f ca="1">IF($AN163="",OFFSET(Demand!$A$13,ROW(Y160)-1,4+((QUOTIENT(COLUMN(CO$2)-69,3))*5)+MOD(COLUMN(CO$2),3),1,1),"")</f>
        <v>0</v>
      </c>
      <c r="CP163">
        <f ca="1">IF($AN163="",OFFSET(Demand!$A$13,ROW(Z160)-1,4+((QUOTIENT(COLUMN(CP$2)-69,3))*5)+MOD(COLUMN(CP$2),3),1,1),"")</f>
        <v>0</v>
      </c>
      <c r="CQ163">
        <f ca="1">IF($AN163="",OFFSET(Demand!$A$13,ROW(AA160)-1,4+((QUOTIENT(COLUMN(CQ$2)-69,3))*5)+MOD(COLUMN(CQ$2),3),1,1),"")</f>
        <v>0</v>
      </c>
      <c r="CR163">
        <f ca="1">IF($AN163="",OFFSET(Demand!$A$13,ROW(AB160)-1,4+((QUOTIENT(COLUMN(CR$2)-69,3))*5)+MOD(COLUMN(CR$2),3),1,1),"")</f>
        <v>0</v>
      </c>
      <c r="CS163">
        <f ca="1">IF($AN163="",OFFSET(Demand!$A$13,ROW(AC160)-1,4+((QUOTIENT(COLUMN(CS$2)-69,3))*5)+MOD(COLUMN(CS$2),3),1,1),"")</f>
        <v>0</v>
      </c>
      <c r="CT163">
        <f ca="1">IF($AN163="",OFFSET(Demand!$A$13,ROW(AD160)-1,4+((QUOTIENT(COLUMN(CT$2)-69,3))*5)+MOD(COLUMN(CT$2),3),1,1),"")</f>
        <v>0</v>
      </c>
      <c r="CW163" s="5">
        <f ca="1">SUM(OFFSET(Demand!$H$43,ROW(A160)-1,(COLUMN(A160)-1)*5,1,1))*N$2</f>
        <v>0</v>
      </c>
      <c r="CX163" s="5">
        <f ca="1">SUM(OFFSET(Demand!$H$43,ROW(B160)-1,(COLUMN(B160)-1)*5,1,1))*O$2</f>
        <v>0</v>
      </c>
      <c r="CY163" s="5">
        <f ca="1">SUM(OFFSET(Demand!$H$43,ROW(C160)-1,(COLUMN(C160)-1)*5,1,1))*P$2</f>
        <v>0</v>
      </c>
      <c r="CZ163" s="5">
        <f ca="1">SUM(OFFSET(Demand!$H$43,ROW(D160)-1,(COLUMN(D160)-1)*5,1,1))*Q$2</f>
        <v>0</v>
      </c>
      <c r="DA163" s="5">
        <f ca="1">SUM(OFFSET(Demand!$H$43,ROW(E160)-1,(COLUMN(E160)-1)*5,1,1))*R$2</f>
        <v>0</v>
      </c>
      <c r="DB163" s="5">
        <f ca="1">SUM(OFFSET(Demand!$H$43,ROW(F160)-1,(COLUMN(F160)-1)*5,1,1))*S$2</f>
        <v>0</v>
      </c>
      <c r="DC163" s="5">
        <f ca="1">SUM(OFFSET(Demand!$H$43,ROW(G160)-1,(COLUMN(G160)-1)*5,1,1))*T$2</f>
        <v>0</v>
      </c>
      <c r="DD163" s="5">
        <f ca="1">SUM(OFFSET(Demand!$H$43,ROW(H160)-1,(COLUMN(H160)-1)*5,1,1))*U$2</f>
        <v>0</v>
      </c>
      <c r="DE163" s="5">
        <f ca="1">SUM(OFFSET(Demand!$H$43,ROW(I160)-1,(COLUMN(I160)-1)*5,1,1))*V$2</f>
        <v>0</v>
      </c>
      <c r="DF163" s="5">
        <f ca="1">SUM(OFFSET(Demand!$H$43,ROW(J160)-1,(COLUMN(J160)-1)*5,1,1))*W$2</f>
        <v>0</v>
      </c>
      <c r="DG163" s="5">
        <f t="shared" ca="1" si="44"/>
        <v>0</v>
      </c>
    </row>
    <row r="164" spans="1:111" x14ac:dyDescent="0.2">
      <c r="A164" s="5">
        <f t="shared" ca="1" si="38"/>
        <v>2</v>
      </c>
      <c r="B164" s="5">
        <f ca="1">COUNTBLANK(OFFSET(Demand!$I173,0,(COLUMN(A161)-1)*5,1,1))</f>
        <v>1</v>
      </c>
      <c r="C164" s="5">
        <f ca="1">COUNTBLANK(OFFSET(Demand!$I173,0,(COLUMN(B161)-1)*5,1,1))</f>
        <v>1</v>
      </c>
      <c r="D164" s="5">
        <f ca="1">COUNTBLANK(OFFSET(Demand!$I173,0,(COLUMN(C161)-1)*5,1,1))</f>
        <v>1</v>
      </c>
      <c r="E164" s="5">
        <f ca="1">COUNTBLANK(OFFSET(Demand!$I173,0,(COLUMN(D161)-1)*5,1,1))</f>
        <v>1</v>
      </c>
      <c r="F164" s="5">
        <f ca="1">COUNTBLANK(OFFSET(Demand!$I173,0,(COLUMN(E161)-1)*5,1,1))</f>
        <v>1</v>
      </c>
      <c r="G164" s="5">
        <f ca="1">COUNTBLANK(OFFSET(Demand!$I173,0,(COLUMN(F161)-1)*5,1,1))</f>
        <v>1</v>
      </c>
      <c r="H164" s="5">
        <f ca="1">COUNTBLANK(OFFSET(Demand!$I173,0,(COLUMN(G161)-1)*5,1,1))</f>
        <v>1</v>
      </c>
      <c r="I164" s="5">
        <f ca="1">COUNTBLANK(OFFSET(Demand!$I173,0,(COLUMN(H161)-1)*5,1,1))</f>
        <v>1</v>
      </c>
      <c r="J164" s="5">
        <f ca="1">COUNTBLANK(OFFSET(Demand!$I173,0,(COLUMN(I161)-1)*5,1,1))</f>
        <v>1</v>
      </c>
      <c r="K164" s="5">
        <f ca="1">COUNTBLANK(OFFSET(Demand!$I173,0,(COLUMN(J161)-1)*5,1,1))</f>
        <v>1</v>
      </c>
      <c r="N164" s="5">
        <f ca="1">SUM(OFFSET(Demand!$E173,0,(COLUMN(A161)-1)*5,1,3))*N$2</f>
        <v>0</v>
      </c>
      <c r="O164" s="5">
        <f ca="1">SUM(OFFSET(Demand!$E173,0,(COLUMN(B161)-1)*5,1,3))*O$2</f>
        <v>0</v>
      </c>
      <c r="P164" s="5">
        <f ca="1">SUM(OFFSET(Demand!$E173,0,(COLUMN(C161)-1)*5,1,3))*P$2</f>
        <v>0</v>
      </c>
      <c r="Q164" s="5">
        <f ca="1">SUM(OFFSET(Demand!$E173,0,(COLUMN(D161)-1)*5,1,3))*Q$2</f>
        <v>0</v>
      </c>
      <c r="R164" s="5">
        <f ca="1">SUM(OFFSET(Demand!$E173,0,(COLUMN(E161)-1)*5,1,3))*R$2</f>
        <v>0</v>
      </c>
      <c r="S164" s="5">
        <f ca="1">SUM(OFFSET(Demand!$E173,0,(COLUMN(F161)-1)*5,1,3))*S$2</f>
        <v>0</v>
      </c>
      <c r="T164" s="5">
        <f ca="1">SUM(OFFSET(Demand!$E173,0,(COLUMN(G161)-1)*5,1,3))*T$2</f>
        <v>0</v>
      </c>
      <c r="U164" s="5">
        <f ca="1">SUM(OFFSET(Demand!$E173,0,(COLUMN(H161)-1)*5,1,3))*U$2</f>
        <v>0</v>
      </c>
      <c r="V164" s="5">
        <f ca="1">SUM(OFFSET(Demand!$E173,0,(COLUMN(I161)-1)*5,1,3))*V$2</f>
        <v>0</v>
      </c>
      <c r="W164" s="5">
        <f ca="1">SUM(OFFSET(Demand!$E173,0,(COLUMN(J161)-1)*5,1,3))*W$2</f>
        <v>0</v>
      </c>
      <c r="X164" s="5">
        <f t="shared" ca="1" si="39"/>
        <v>0</v>
      </c>
      <c r="Y164">
        <f t="shared" ca="1" si="40"/>
        <v>0</v>
      </c>
      <c r="Z164" s="5">
        <f ca="1">SUM(OFFSET(Demand!$H173,0,(COLUMN(A161)-1)*5,1,1))*N$2</f>
        <v>0</v>
      </c>
      <c r="AA164" s="5">
        <f ca="1">SUM(OFFSET(Demand!$H173,0,(COLUMN(B161)-1)*5,1,1))*O$2</f>
        <v>0</v>
      </c>
      <c r="AB164" s="5">
        <f ca="1">SUM(OFFSET(Demand!$H173,0,(COLUMN(C161)-1)*5,1,1))*P$2</f>
        <v>0</v>
      </c>
      <c r="AC164" s="5">
        <f ca="1">SUM(OFFSET(Demand!$H173,0,(COLUMN(D161)-1)*5,1,1))*Q$2</f>
        <v>0</v>
      </c>
      <c r="AD164" s="5">
        <f ca="1">SUM(OFFSET(Demand!$H173,0,(COLUMN(E161)-1)*5,1,1))*R$2</f>
        <v>0</v>
      </c>
      <c r="AE164" s="5">
        <f ca="1">SUM(OFFSET(Demand!$H173,0,(COLUMN(F161)-1)*5,1,1))*S$2</f>
        <v>0</v>
      </c>
      <c r="AF164" s="5">
        <f ca="1">SUM(OFFSET(Demand!$H173,0,(COLUMN(G161)-1)*5,1,1))*T$2</f>
        <v>0</v>
      </c>
      <c r="AG164" s="5">
        <f ca="1">SUM(OFFSET(Demand!$H173,0,(COLUMN(H161)-1)*5,1,1))*U$2</f>
        <v>0</v>
      </c>
      <c r="AH164" s="5">
        <f ca="1">SUM(OFFSET(Demand!$H173,0,(COLUMN(I161)-1)*5,1,1))*V$2</f>
        <v>0</v>
      </c>
      <c r="AI164" s="5">
        <f ca="1">SUM(OFFSET(Demand!$H173,0,(COLUMN(J161)-1)*5,1,1))*W$2</f>
        <v>0</v>
      </c>
      <c r="AJ164" s="5">
        <f t="shared" ca="1" si="41"/>
        <v>0</v>
      </c>
      <c r="AL164" s="5">
        <f t="shared" ca="1" si="42"/>
        <v>0</v>
      </c>
      <c r="AM164" s="5">
        <f t="shared" ca="1" si="43"/>
        <v>0</v>
      </c>
      <c r="AN164" s="5" t="str">
        <f>IF(Demand!BE173="Yes","Yes","")</f>
        <v/>
      </c>
      <c r="AP164" s="37" t="str">
        <f ca="1">Demand!B173</f>
        <v xml:space="preserve"> </v>
      </c>
      <c r="AQ164" t="str">
        <f ca="1">IF(TEXT(Demand!D173,"MMM")&lt;&gt;TEXT(Demand!D172,"MMM"),TEXT(Demand!D173,"MMM"),"")</f>
        <v/>
      </c>
      <c r="AT164" s="5">
        <f t="shared" ca="1" si="45"/>
        <v>0</v>
      </c>
      <c r="BQ164">
        <f ca="1">IF($AN164="",OFFSET(Demand!$A$13,ROW(A161)-1,4+((QUOTIENT(COLUMN(BQ$2)-69,3))*5)+MOD(COLUMN(BQ$2),3),1,1),"")</f>
        <v>0</v>
      </c>
      <c r="BR164">
        <f ca="1">IF($AN164="",OFFSET(Demand!$A$13,ROW(B161)-1,4+((QUOTIENT(COLUMN(BR$2)-69,3))*5)+MOD(COLUMN(BR$2),3),1,1),"")</f>
        <v>0</v>
      </c>
      <c r="BS164">
        <f ca="1">IF($AN164="",OFFSET(Demand!$A$13,ROW(C161)-1,4+((QUOTIENT(COLUMN(BS$2)-69,3))*5)+MOD(COLUMN(BS$2),3),1,1),"")</f>
        <v>0</v>
      </c>
      <c r="BT164">
        <f ca="1">IF($AN164="",OFFSET(Demand!$A$13,ROW(D161)-1,4+((QUOTIENT(COLUMN(BT$2)-69,3))*5)+MOD(COLUMN(BT$2),3),1,1),"")</f>
        <v>0</v>
      </c>
      <c r="BU164">
        <f ca="1">IF($AN164="",OFFSET(Demand!$A$13,ROW(E161)-1,4+((QUOTIENT(COLUMN(BU$2)-69,3))*5)+MOD(COLUMN(BU$2),3),1,1),"")</f>
        <v>0</v>
      </c>
      <c r="BV164">
        <f ca="1">IF($AN164="",OFFSET(Demand!$A$13,ROW(F161)-1,4+((QUOTIENT(COLUMN(BV$2)-69,3))*5)+MOD(COLUMN(BV$2),3),1,1),"")</f>
        <v>0</v>
      </c>
      <c r="BW164">
        <f ca="1">IF($AN164="",OFFSET(Demand!$A$13,ROW(G161)-1,4+((QUOTIENT(COLUMN(BW$2)-69,3))*5)+MOD(COLUMN(BW$2),3),1,1),"")</f>
        <v>0</v>
      </c>
      <c r="BX164">
        <f ca="1">IF($AN164="",OFFSET(Demand!$A$13,ROW(H161)-1,4+((QUOTIENT(COLUMN(BX$2)-69,3))*5)+MOD(COLUMN(BX$2),3),1,1),"")</f>
        <v>0</v>
      </c>
      <c r="BY164">
        <f ca="1">IF($AN164="",OFFSET(Demand!$A$13,ROW(I161)-1,4+((QUOTIENT(COLUMN(BY$2)-69,3))*5)+MOD(COLUMN(BY$2),3),1,1),"")</f>
        <v>0</v>
      </c>
      <c r="BZ164">
        <f ca="1">IF($AN164="",OFFSET(Demand!$A$13,ROW(J161)-1,4+((QUOTIENT(COLUMN(BZ$2)-69,3))*5)+MOD(COLUMN(BZ$2),3),1,1),"")</f>
        <v>0</v>
      </c>
      <c r="CA164">
        <f ca="1">IF($AN164="",OFFSET(Demand!$A$13,ROW(K161)-1,4+((QUOTIENT(COLUMN(CA$2)-69,3))*5)+MOD(COLUMN(CA$2),3),1,1),"")</f>
        <v>0</v>
      </c>
      <c r="CB164">
        <f ca="1">IF($AN164="",OFFSET(Demand!$A$13,ROW(L161)-1,4+((QUOTIENT(COLUMN(CB$2)-69,3))*5)+MOD(COLUMN(CB$2),3),1,1),"")</f>
        <v>0</v>
      </c>
      <c r="CC164">
        <f ca="1">IF($AN164="",OFFSET(Demand!$A$13,ROW(M161)-1,4+((QUOTIENT(COLUMN(CC$2)-69,3))*5)+MOD(COLUMN(CC$2),3),1,1),"")</f>
        <v>0</v>
      </c>
      <c r="CD164">
        <f ca="1">IF($AN164="",OFFSET(Demand!$A$13,ROW(N161)-1,4+((QUOTIENT(COLUMN(CD$2)-69,3))*5)+MOD(COLUMN(CD$2),3),1,1),"")</f>
        <v>0</v>
      </c>
      <c r="CE164">
        <f ca="1">IF($AN164="",OFFSET(Demand!$A$13,ROW(O161)-1,4+((QUOTIENT(COLUMN(CE$2)-69,3))*5)+MOD(COLUMN(CE$2),3),1,1),"")</f>
        <v>0</v>
      </c>
      <c r="CF164">
        <f ca="1">IF($AN164="",OFFSET(Demand!$A$13,ROW(P161)-1,4+((QUOTIENT(COLUMN(CF$2)-69,3))*5)+MOD(COLUMN(CF$2),3),1,1),"")</f>
        <v>0</v>
      </c>
      <c r="CG164">
        <f ca="1">IF($AN164="",OFFSET(Demand!$A$13,ROW(Q161)-1,4+((QUOTIENT(COLUMN(CG$2)-69,3))*5)+MOD(COLUMN(CG$2),3),1,1),"")</f>
        <v>0</v>
      </c>
      <c r="CH164">
        <f ca="1">IF($AN164="",OFFSET(Demand!$A$13,ROW(R161)-1,4+((QUOTIENT(COLUMN(CH$2)-69,3))*5)+MOD(COLUMN(CH$2),3),1,1),"")</f>
        <v>0</v>
      </c>
      <c r="CI164">
        <f ca="1">IF($AN164="",OFFSET(Demand!$A$13,ROW(S161)-1,4+((QUOTIENT(COLUMN(CI$2)-69,3))*5)+MOD(COLUMN(CI$2),3),1,1),"")</f>
        <v>0</v>
      </c>
      <c r="CJ164">
        <f ca="1">IF($AN164="",OFFSET(Demand!$A$13,ROW(T161)-1,4+((QUOTIENT(COLUMN(CJ$2)-69,3))*5)+MOD(COLUMN(CJ$2),3),1,1),"")</f>
        <v>0</v>
      </c>
      <c r="CK164">
        <f ca="1">IF($AN164="",OFFSET(Demand!$A$13,ROW(U161)-1,4+((QUOTIENT(COLUMN(CK$2)-69,3))*5)+MOD(COLUMN(CK$2),3),1,1),"")</f>
        <v>0</v>
      </c>
      <c r="CL164">
        <f ca="1">IF($AN164="",OFFSET(Demand!$A$13,ROW(V161)-1,4+((QUOTIENT(COLUMN(CL$2)-69,3))*5)+MOD(COLUMN(CL$2),3),1,1),"")</f>
        <v>0</v>
      </c>
      <c r="CM164">
        <f ca="1">IF($AN164="",OFFSET(Demand!$A$13,ROW(W161)-1,4+((QUOTIENT(COLUMN(CM$2)-69,3))*5)+MOD(COLUMN(CM$2),3),1,1),"")</f>
        <v>0</v>
      </c>
      <c r="CN164">
        <f ca="1">IF($AN164="",OFFSET(Demand!$A$13,ROW(X161)-1,4+((QUOTIENT(COLUMN(CN$2)-69,3))*5)+MOD(COLUMN(CN$2),3),1,1),"")</f>
        <v>0</v>
      </c>
      <c r="CO164">
        <f ca="1">IF($AN164="",OFFSET(Demand!$A$13,ROW(Y161)-1,4+((QUOTIENT(COLUMN(CO$2)-69,3))*5)+MOD(COLUMN(CO$2),3),1,1),"")</f>
        <v>0</v>
      </c>
      <c r="CP164">
        <f ca="1">IF($AN164="",OFFSET(Demand!$A$13,ROW(Z161)-1,4+((QUOTIENT(COLUMN(CP$2)-69,3))*5)+MOD(COLUMN(CP$2),3),1,1),"")</f>
        <v>0</v>
      </c>
      <c r="CQ164">
        <f ca="1">IF($AN164="",OFFSET(Demand!$A$13,ROW(AA161)-1,4+((QUOTIENT(COLUMN(CQ$2)-69,3))*5)+MOD(COLUMN(CQ$2),3),1,1),"")</f>
        <v>0</v>
      </c>
      <c r="CR164">
        <f ca="1">IF($AN164="",OFFSET(Demand!$A$13,ROW(AB161)-1,4+((QUOTIENT(COLUMN(CR$2)-69,3))*5)+MOD(COLUMN(CR$2),3),1,1),"")</f>
        <v>0</v>
      </c>
      <c r="CS164">
        <f ca="1">IF($AN164="",OFFSET(Demand!$A$13,ROW(AC161)-1,4+((QUOTIENT(COLUMN(CS$2)-69,3))*5)+MOD(COLUMN(CS$2),3),1,1),"")</f>
        <v>0</v>
      </c>
      <c r="CT164">
        <f ca="1">IF($AN164="",OFFSET(Demand!$A$13,ROW(AD161)-1,4+((QUOTIENT(COLUMN(CT$2)-69,3))*5)+MOD(COLUMN(CT$2),3),1,1),"")</f>
        <v>0</v>
      </c>
      <c r="CW164" s="5">
        <f ca="1">SUM(OFFSET(Demand!$H$43,ROW(A161)-1,(COLUMN(A161)-1)*5,1,1))*N$2</f>
        <v>0</v>
      </c>
      <c r="CX164" s="5">
        <f ca="1">SUM(OFFSET(Demand!$H$43,ROW(B161)-1,(COLUMN(B161)-1)*5,1,1))*O$2</f>
        <v>0</v>
      </c>
      <c r="CY164" s="5">
        <f ca="1">SUM(OFFSET(Demand!$H$43,ROW(C161)-1,(COLUMN(C161)-1)*5,1,1))*P$2</f>
        <v>0</v>
      </c>
      <c r="CZ164" s="5">
        <f ca="1">SUM(OFFSET(Demand!$H$43,ROW(D161)-1,(COLUMN(D161)-1)*5,1,1))*Q$2</f>
        <v>0</v>
      </c>
      <c r="DA164" s="5">
        <f ca="1">SUM(OFFSET(Demand!$H$43,ROW(E161)-1,(COLUMN(E161)-1)*5,1,1))*R$2</f>
        <v>0</v>
      </c>
      <c r="DB164" s="5">
        <f ca="1">SUM(OFFSET(Demand!$H$43,ROW(F161)-1,(COLUMN(F161)-1)*5,1,1))*S$2</f>
        <v>0</v>
      </c>
      <c r="DC164" s="5">
        <f ca="1">SUM(OFFSET(Demand!$H$43,ROW(G161)-1,(COLUMN(G161)-1)*5,1,1))*T$2</f>
        <v>0</v>
      </c>
      <c r="DD164" s="5">
        <f ca="1">SUM(OFFSET(Demand!$H$43,ROW(H161)-1,(COLUMN(H161)-1)*5,1,1))*U$2</f>
        <v>0</v>
      </c>
      <c r="DE164" s="5">
        <f ca="1">SUM(OFFSET(Demand!$H$43,ROW(I161)-1,(COLUMN(I161)-1)*5,1,1))*V$2</f>
        <v>0</v>
      </c>
      <c r="DF164" s="5">
        <f ca="1">SUM(OFFSET(Demand!$H$43,ROW(J161)-1,(COLUMN(J161)-1)*5,1,1))*W$2</f>
        <v>0</v>
      </c>
      <c r="DG164" s="5">
        <f t="shared" ca="1" si="44"/>
        <v>0</v>
      </c>
    </row>
    <row r="165" spans="1:111" x14ac:dyDescent="0.2">
      <c r="A165" s="5">
        <f t="shared" ca="1" si="38"/>
        <v>2</v>
      </c>
      <c r="B165" s="5">
        <f ca="1">COUNTBLANK(OFFSET(Demand!$I174,0,(COLUMN(A162)-1)*5,1,1))</f>
        <v>1</v>
      </c>
      <c r="C165" s="5">
        <f ca="1">COUNTBLANK(OFFSET(Demand!$I174,0,(COLUMN(B162)-1)*5,1,1))</f>
        <v>1</v>
      </c>
      <c r="D165" s="5">
        <f ca="1">COUNTBLANK(OFFSET(Demand!$I174,0,(COLUMN(C162)-1)*5,1,1))</f>
        <v>1</v>
      </c>
      <c r="E165" s="5">
        <f ca="1">COUNTBLANK(OFFSET(Demand!$I174,0,(COLUMN(D162)-1)*5,1,1))</f>
        <v>1</v>
      </c>
      <c r="F165" s="5">
        <f ca="1">COUNTBLANK(OFFSET(Demand!$I174,0,(COLUMN(E162)-1)*5,1,1))</f>
        <v>1</v>
      </c>
      <c r="G165" s="5">
        <f ca="1">COUNTBLANK(OFFSET(Demand!$I174,0,(COLUMN(F162)-1)*5,1,1))</f>
        <v>1</v>
      </c>
      <c r="H165" s="5">
        <f ca="1">COUNTBLANK(OFFSET(Demand!$I174,0,(COLUMN(G162)-1)*5,1,1))</f>
        <v>1</v>
      </c>
      <c r="I165" s="5">
        <f ca="1">COUNTBLANK(OFFSET(Demand!$I174,0,(COLUMN(H162)-1)*5,1,1))</f>
        <v>1</v>
      </c>
      <c r="J165" s="5">
        <f ca="1">COUNTBLANK(OFFSET(Demand!$I174,0,(COLUMN(I162)-1)*5,1,1))</f>
        <v>1</v>
      </c>
      <c r="K165" s="5">
        <f ca="1">COUNTBLANK(OFFSET(Demand!$I174,0,(COLUMN(J162)-1)*5,1,1))</f>
        <v>1</v>
      </c>
      <c r="N165" s="5">
        <f ca="1">SUM(OFFSET(Demand!$E174,0,(COLUMN(A162)-1)*5,1,3))*N$2</f>
        <v>0</v>
      </c>
      <c r="O165" s="5">
        <f ca="1">SUM(OFFSET(Demand!$E174,0,(COLUMN(B162)-1)*5,1,3))*O$2</f>
        <v>0</v>
      </c>
      <c r="P165" s="5">
        <f ca="1">SUM(OFFSET(Demand!$E174,0,(COLUMN(C162)-1)*5,1,3))*P$2</f>
        <v>0</v>
      </c>
      <c r="Q165" s="5">
        <f ca="1">SUM(OFFSET(Demand!$E174,0,(COLUMN(D162)-1)*5,1,3))*Q$2</f>
        <v>0</v>
      </c>
      <c r="R165" s="5">
        <f ca="1">SUM(OFFSET(Demand!$E174,0,(COLUMN(E162)-1)*5,1,3))*R$2</f>
        <v>0</v>
      </c>
      <c r="S165" s="5">
        <f ca="1">SUM(OFFSET(Demand!$E174,0,(COLUMN(F162)-1)*5,1,3))*S$2</f>
        <v>0</v>
      </c>
      <c r="T165" s="5">
        <f ca="1">SUM(OFFSET(Demand!$E174,0,(COLUMN(G162)-1)*5,1,3))*T$2</f>
        <v>0</v>
      </c>
      <c r="U165" s="5">
        <f ca="1">SUM(OFFSET(Demand!$E174,0,(COLUMN(H162)-1)*5,1,3))*U$2</f>
        <v>0</v>
      </c>
      <c r="V165" s="5">
        <f ca="1">SUM(OFFSET(Demand!$E174,0,(COLUMN(I162)-1)*5,1,3))*V$2</f>
        <v>0</v>
      </c>
      <c r="W165" s="5">
        <f ca="1">SUM(OFFSET(Demand!$E174,0,(COLUMN(J162)-1)*5,1,3))*W$2</f>
        <v>0</v>
      </c>
      <c r="X165" s="5">
        <f t="shared" ca="1" si="39"/>
        <v>0</v>
      </c>
      <c r="Y165">
        <f t="shared" ca="1" si="40"/>
        <v>0</v>
      </c>
      <c r="Z165" s="5">
        <f ca="1">SUM(OFFSET(Demand!$H174,0,(COLUMN(A162)-1)*5,1,1))*N$2</f>
        <v>0</v>
      </c>
      <c r="AA165" s="5">
        <f ca="1">SUM(OFFSET(Demand!$H174,0,(COLUMN(B162)-1)*5,1,1))*O$2</f>
        <v>0</v>
      </c>
      <c r="AB165" s="5">
        <f ca="1">SUM(OFFSET(Demand!$H174,0,(COLUMN(C162)-1)*5,1,1))*P$2</f>
        <v>0</v>
      </c>
      <c r="AC165" s="5">
        <f ca="1">SUM(OFFSET(Demand!$H174,0,(COLUMN(D162)-1)*5,1,1))*Q$2</f>
        <v>0</v>
      </c>
      <c r="AD165" s="5">
        <f ca="1">SUM(OFFSET(Demand!$H174,0,(COLUMN(E162)-1)*5,1,1))*R$2</f>
        <v>0</v>
      </c>
      <c r="AE165" s="5">
        <f ca="1">SUM(OFFSET(Demand!$H174,0,(COLUMN(F162)-1)*5,1,1))*S$2</f>
        <v>0</v>
      </c>
      <c r="AF165" s="5">
        <f ca="1">SUM(OFFSET(Demand!$H174,0,(COLUMN(G162)-1)*5,1,1))*T$2</f>
        <v>0</v>
      </c>
      <c r="AG165" s="5">
        <f ca="1">SUM(OFFSET(Demand!$H174,0,(COLUMN(H162)-1)*5,1,1))*U$2</f>
        <v>0</v>
      </c>
      <c r="AH165" s="5">
        <f ca="1">SUM(OFFSET(Demand!$H174,0,(COLUMN(I162)-1)*5,1,1))*V$2</f>
        <v>0</v>
      </c>
      <c r="AI165" s="5">
        <f ca="1">SUM(OFFSET(Demand!$H174,0,(COLUMN(J162)-1)*5,1,1))*W$2</f>
        <v>0</v>
      </c>
      <c r="AJ165" s="5">
        <f t="shared" ca="1" si="41"/>
        <v>0</v>
      </c>
      <c r="AL165" s="5">
        <f t="shared" ca="1" si="42"/>
        <v>0</v>
      </c>
      <c r="AM165" s="5">
        <f t="shared" ca="1" si="43"/>
        <v>0</v>
      </c>
      <c r="AN165" s="5" t="str">
        <f>IF(Demand!BE174="Yes","Yes","")</f>
        <v/>
      </c>
      <c r="AP165" s="37" t="str">
        <f ca="1">Demand!B174</f>
        <v xml:space="preserve"> </v>
      </c>
      <c r="AQ165" t="str">
        <f ca="1">IF(TEXT(Demand!D174,"MMM")&lt;&gt;TEXT(Demand!D173,"MMM"),TEXT(Demand!D174,"MMM"),"")</f>
        <v/>
      </c>
      <c r="AT165" s="5">
        <f t="shared" ca="1" si="45"/>
        <v>0</v>
      </c>
      <c r="BQ165">
        <f ca="1">IF($AN165="",OFFSET(Demand!$A$13,ROW(A162)-1,4+((QUOTIENT(COLUMN(BQ$2)-69,3))*5)+MOD(COLUMN(BQ$2),3),1,1),"")</f>
        <v>0</v>
      </c>
      <c r="BR165">
        <f ca="1">IF($AN165="",OFFSET(Demand!$A$13,ROW(B162)-1,4+((QUOTIENT(COLUMN(BR$2)-69,3))*5)+MOD(COLUMN(BR$2),3),1,1),"")</f>
        <v>0</v>
      </c>
      <c r="BS165">
        <f ca="1">IF($AN165="",OFFSET(Demand!$A$13,ROW(C162)-1,4+((QUOTIENT(COLUMN(BS$2)-69,3))*5)+MOD(COLUMN(BS$2),3),1,1),"")</f>
        <v>0</v>
      </c>
      <c r="BT165">
        <f ca="1">IF($AN165="",OFFSET(Demand!$A$13,ROW(D162)-1,4+((QUOTIENT(COLUMN(BT$2)-69,3))*5)+MOD(COLUMN(BT$2),3),1,1),"")</f>
        <v>0</v>
      </c>
      <c r="BU165">
        <f ca="1">IF($AN165="",OFFSET(Demand!$A$13,ROW(E162)-1,4+((QUOTIENT(COLUMN(BU$2)-69,3))*5)+MOD(COLUMN(BU$2),3),1,1),"")</f>
        <v>0</v>
      </c>
      <c r="BV165">
        <f ca="1">IF($AN165="",OFFSET(Demand!$A$13,ROW(F162)-1,4+((QUOTIENT(COLUMN(BV$2)-69,3))*5)+MOD(COLUMN(BV$2),3),1,1),"")</f>
        <v>0</v>
      </c>
      <c r="BW165">
        <f ca="1">IF($AN165="",OFFSET(Demand!$A$13,ROW(G162)-1,4+((QUOTIENT(COLUMN(BW$2)-69,3))*5)+MOD(COLUMN(BW$2),3),1,1),"")</f>
        <v>0</v>
      </c>
      <c r="BX165">
        <f ca="1">IF($AN165="",OFFSET(Demand!$A$13,ROW(H162)-1,4+((QUOTIENT(COLUMN(BX$2)-69,3))*5)+MOD(COLUMN(BX$2),3),1,1),"")</f>
        <v>0</v>
      </c>
      <c r="BY165">
        <f ca="1">IF($AN165="",OFFSET(Demand!$A$13,ROW(I162)-1,4+((QUOTIENT(COLUMN(BY$2)-69,3))*5)+MOD(COLUMN(BY$2),3),1,1),"")</f>
        <v>0</v>
      </c>
      <c r="BZ165">
        <f ca="1">IF($AN165="",OFFSET(Demand!$A$13,ROW(J162)-1,4+((QUOTIENT(COLUMN(BZ$2)-69,3))*5)+MOD(COLUMN(BZ$2),3),1,1),"")</f>
        <v>0</v>
      </c>
      <c r="CA165">
        <f ca="1">IF($AN165="",OFFSET(Demand!$A$13,ROW(K162)-1,4+((QUOTIENT(COLUMN(CA$2)-69,3))*5)+MOD(COLUMN(CA$2),3),1,1),"")</f>
        <v>0</v>
      </c>
      <c r="CB165">
        <f ca="1">IF($AN165="",OFFSET(Demand!$A$13,ROW(L162)-1,4+((QUOTIENT(COLUMN(CB$2)-69,3))*5)+MOD(COLUMN(CB$2),3),1,1),"")</f>
        <v>0</v>
      </c>
      <c r="CC165">
        <f ca="1">IF($AN165="",OFFSET(Demand!$A$13,ROW(M162)-1,4+((QUOTIENT(COLUMN(CC$2)-69,3))*5)+MOD(COLUMN(CC$2),3),1,1),"")</f>
        <v>0</v>
      </c>
      <c r="CD165">
        <f ca="1">IF($AN165="",OFFSET(Demand!$A$13,ROW(N162)-1,4+((QUOTIENT(COLUMN(CD$2)-69,3))*5)+MOD(COLUMN(CD$2),3),1,1),"")</f>
        <v>0</v>
      </c>
      <c r="CE165">
        <f ca="1">IF($AN165="",OFFSET(Demand!$A$13,ROW(O162)-1,4+((QUOTIENT(COLUMN(CE$2)-69,3))*5)+MOD(COLUMN(CE$2),3),1,1),"")</f>
        <v>0</v>
      </c>
      <c r="CF165">
        <f ca="1">IF($AN165="",OFFSET(Demand!$A$13,ROW(P162)-1,4+((QUOTIENT(COLUMN(CF$2)-69,3))*5)+MOD(COLUMN(CF$2),3),1,1),"")</f>
        <v>0</v>
      </c>
      <c r="CG165">
        <f ca="1">IF($AN165="",OFFSET(Demand!$A$13,ROW(Q162)-1,4+((QUOTIENT(COLUMN(CG$2)-69,3))*5)+MOD(COLUMN(CG$2),3),1,1),"")</f>
        <v>0</v>
      </c>
      <c r="CH165">
        <f ca="1">IF($AN165="",OFFSET(Demand!$A$13,ROW(R162)-1,4+((QUOTIENT(COLUMN(CH$2)-69,3))*5)+MOD(COLUMN(CH$2),3),1,1),"")</f>
        <v>0</v>
      </c>
      <c r="CI165">
        <f ca="1">IF($AN165="",OFFSET(Demand!$A$13,ROW(S162)-1,4+((QUOTIENT(COLUMN(CI$2)-69,3))*5)+MOD(COLUMN(CI$2),3),1,1),"")</f>
        <v>0</v>
      </c>
      <c r="CJ165">
        <f ca="1">IF($AN165="",OFFSET(Demand!$A$13,ROW(T162)-1,4+((QUOTIENT(COLUMN(CJ$2)-69,3))*5)+MOD(COLUMN(CJ$2),3),1,1),"")</f>
        <v>0</v>
      </c>
      <c r="CK165">
        <f ca="1">IF($AN165="",OFFSET(Demand!$A$13,ROW(U162)-1,4+((QUOTIENT(COLUMN(CK$2)-69,3))*5)+MOD(COLUMN(CK$2),3),1,1),"")</f>
        <v>0</v>
      </c>
      <c r="CL165">
        <f ca="1">IF($AN165="",OFFSET(Demand!$A$13,ROW(V162)-1,4+((QUOTIENT(COLUMN(CL$2)-69,3))*5)+MOD(COLUMN(CL$2),3),1,1),"")</f>
        <v>0</v>
      </c>
      <c r="CM165">
        <f ca="1">IF($AN165="",OFFSET(Demand!$A$13,ROW(W162)-1,4+((QUOTIENT(COLUMN(CM$2)-69,3))*5)+MOD(COLUMN(CM$2),3),1,1),"")</f>
        <v>0</v>
      </c>
      <c r="CN165">
        <f ca="1">IF($AN165="",OFFSET(Demand!$A$13,ROW(X162)-1,4+((QUOTIENT(COLUMN(CN$2)-69,3))*5)+MOD(COLUMN(CN$2),3),1,1),"")</f>
        <v>0</v>
      </c>
      <c r="CO165">
        <f ca="1">IF($AN165="",OFFSET(Demand!$A$13,ROW(Y162)-1,4+((QUOTIENT(COLUMN(CO$2)-69,3))*5)+MOD(COLUMN(CO$2),3),1,1),"")</f>
        <v>0</v>
      </c>
      <c r="CP165">
        <f ca="1">IF($AN165="",OFFSET(Demand!$A$13,ROW(Z162)-1,4+((QUOTIENT(COLUMN(CP$2)-69,3))*5)+MOD(COLUMN(CP$2),3),1,1),"")</f>
        <v>0</v>
      </c>
      <c r="CQ165">
        <f ca="1">IF($AN165="",OFFSET(Demand!$A$13,ROW(AA162)-1,4+((QUOTIENT(COLUMN(CQ$2)-69,3))*5)+MOD(COLUMN(CQ$2),3),1,1),"")</f>
        <v>0</v>
      </c>
      <c r="CR165">
        <f ca="1">IF($AN165="",OFFSET(Demand!$A$13,ROW(AB162)-1,4+((QUOTIENT(COLUMN(CR$2)-69,3))*5)+MOD(COLUMN(CR$2),3),1,1),"")</f>
        <v>0</v>
      </c>
      <c r="CS165">
        <f ca="1">IF($AN165="",OFFSET(Demand!$A$13,ROW(AC162)-1,4+((QUOTIENT(COLUMN(CS$2)-69,3))*5)+MOD(COLUMN(CS$2),3),1,1),"")</f>
        <v>0</v>
      </c>
      <c r="CT165">
        <f ca="1">IF($AN165="",OFFSET(Demand!$A$13,ROW(AD162)-1,4+((QUOTIENT(COLUMN(CT$2)-69,3))*5)+MOD(COLUMN(CT$2),3),1,1),"")</f>
        <v>0</v>
      </c>
      <c r="CW165" s="5">
        <f ca="1">SUM(OFFSET(Demand!$H$43,ROW(A162)-1,(COLUMN(A162)-1)*5,1,1))*N$2</f>
        <v>0</v>
      </c>
      <c r="CX165" s="5">
        <f ca="1">SUM(OFFSET(Demand!$H$43,ROW(B162)-1,(COLUMN(B162)-1)*5,1,1))*O$2</f>
        <v>0</v>
      </c>
      <c r="CY165" s="5">
        <f ca="1">SUM(OFFSET(Demand!$H$43,ROW(C162)-1,(COLUMN(C162)-1)*5,1,1))*P$2</f>
        <v>0</v>
      </c>
      <c r="CZ165" s="5">
        <f ca="1">SUM(OFFSET(Demand!$H$43,ROW(D162)-1,(COLUMN(D162)-1)*5,1,1))*Q$2</f>
        <v>0</v>
      </c>
      <c r="DA165" s="5">
        <f ca="1">SUM(OFFSET(Demand!$H$43,ROW(E162)-1,(COLUMN(E162)-1)*5,1,1))*R$2</f>
        <v>0</v>
      </c>
      <c r="DB165" s="5">
        <f ca="1">SUM(OFFSET(Demand!$H$43,ROW(F162)-1,(COLUMN(F162)-1)*5,1,1))*S$2</f>
        <v>0</v>
      </c>
      <c r="DC165" s="5">
        <f ca="1">SUM(OFFSET(Demand!$H$43,ROW(G162)-1,(COLUMN(G162)-1)*5,1,1))*T$2</f>
        <v>0</v>
      </c>
      <c r="DD165" s="5">
        <f ca="1">SUM(OFFSET(Demand!$H$43,ROW(H162)-1,(COLUMN(H162)-1)*5,1,1))*U$2</f>
        <v>0</v>
      </c>
      <c r="DE165" s="5">
        <f ca="1">SUM(OFFSET(Demand!$H$43,ROW(I162)-1,(COLUMN(I162)-1)*5,1,1))*V$2</f>
        <v>0</v>
      </c>
      <c r="DF165" s="5">
        <f ca="1">SUM(OFFSET(Demand!$H$43,ROW(J162)-1,(COLUMN(J162)-1)*5,1,1))*W$2</f>
        <v>0</v>
      </c>
      <c r="DG165" s="5">
        <f t="shared" ca="1" si="44"/>
        <v>0</v>
      </c>
    </row>
    <row r="166" spans="1:111" x14ac:dyDescent="0.2">
      <c r="A166" s="5">
        <f t="shared" ca="1" si="38"/>
        <v>2</v>
      </c>
      <c r="B166" s="5">
        <f ca="1">COUNTBLANK(OFFSET(Demand!$I175,0,(COLUMN(A163)-1)*5,1,1))</f>
        <v>1</v>
      </c>
      <c r="C166" s="5">
        <f ca="1">COUNTBLANK(OFFSET(Demand!$I175,0,(COLUMN(B163)-1)*5,1,1))</f>
        <v>1</v>
      </c>
      <c r="D166" s="5">
        <f ca="1">COUNTBLANK(OFFSET(Demand!$I175,0,(COLUMN(C163)-1)*5,1,1))</f>
        <v>1</v>
      </c>
      <c r="E166" s="5">
        <f ca="1">COUNTBLANK(OFFSET(Demand!$I175,0,(COLUMN(D163)-1)*5,1,1))</f>
        <v>1</v>
      </c>
      <c r="F166" s="5">
        <f ca="1">COUNTBLANK(OFFSET(Demand!$I175,0,(COLUMN(E163)-1)*5,1,1))</f>
        <v>1</v>
      </c>
      <c r="G166" s="5">
        <f ca="1">COUNTBLANK(OFFSET(Demand!$I175,0,(COLUMN(F163)-1)*5,1,1))</f>
        <v>1</v>
      </c>
      <c r="H166" s="5">
        <f ca="1">COUNTBLANK(OFFSET(Demand!$I175,0,(COLUMN(G163)-1)*5,1,1))</f>
        <v>1</v>
      </c>
      <c r="I166" s="5">
        <f ca="1">COUNTBLANK(OFFSET(Demand!$I175,0,(COLUMN(H163)-1)*5,1,1))</f>
        <v>1</v>
      </c>
      <c r="J166" s="5">
        <f ca="1">COUNTBLANK(OFFSET(Demand!$I175,0,(COLUMN(I163)-1)*5,1,1))</f>
        <v>1</v>
      </c>
      <c r="K166" s="5">
        <f ca="1">COUNTBLANK(OFFSET(Demand!$I175,0,(COLUMN(J163)-1)*5,1,1))</f>
        <v>1</v>
      </c>
      <c r="N166" s="5">
        <f ca="1">SUM(OFFSET(Demand!$E175,0,(COLUMN(A163)-1)*5,1,3))*N$2</f>
        <v>0</v>
      </c>
      <c r="O166" s="5">
        <f ca="1">SUM(OFFSET(Demand!$E175,0,(COLUMN(B163)-1)*5,1,3))*O$2</f>
        <v>0</v>
      </c>
      <c r="P166" s="5">
        <f ca="1">SUM(OFFSET(Demand!$E175,0,(COLUMN(C163)-1)*5,1,3))*P$2</f>
        <v>0</v>
      </c>
      <c r="Q166" s="5">
        <f ca="1">SUM(OFFSET(Demand!$E175,0,(COLUMN(D163)-1)*5,1,3))*Q$2</f>
        <v>0</v>
      </c>
      <c r="R166" s="5">
        <f ca="1">SUM(OFFSET(Demand!$E175,0,(COLUMN(E163)-1)*5,1,3))*R$2</f>
        <v>0</v>
      </c>
      <c r="S166" s="5">
        <f ca="1">SUM(OFFSET(Demand!$E175,0,(COLUMN(F163)-1)*5,1,3))*S$2</f>
        <v>0</v>
      </c>
      <c r="T166" s="5">
        <f ca="1">SUM(OFFSET(Demand!$E175,0,(COLUMN(G163)-1)*5,1,3))*T$2</f>
        <v>0</v>
      </c>
      <c r="U166" s="5">
        <f ca="1">SUM(OFFSET(Demand!$E175,0,(COLUMN(H163)-1)*5,1,3))*U$2</f>
        <v>0</v>
      </c>
      <c r="V166" s="5">
        <f ca="1">SUM(OFFSET(Demand!$E175,0,(COLUMN(I163)-1)*5,1,3))*V$2</f>
        <v>0</v>
      </c>
      <c r="W166" s="5">
        <f ca="1">SUM(OFFSET(Demand!$E175,0,(COLUMN(J163)-1)*5,1,3))*W$2</f>
        <v>0</v>
      </c>
      <c r="X166" s="5">
        <f t="shared" ca="1" si="39"/>
        <v>0</v>
      </c>
      <c r="Y166">
        <f t="shared" ca="1" si="40"/>
        <v>0</v>
      </c>
      <c r="Z166" s="5">
        <f ca="1">SUM(OFFSET(Demand!$H175,0,(COLUMN(A163)-1)*5,1,1))*N$2</f>
        <v>0</v>
      </c>
      <c r="AA166" s="5">
        <f ca="1">SUM(OFFSET(Demand!$H175,0,(COLUMN(B163)-1)*5,1,1))*O$2</f>
        <v>0</v>
      </c>
      <c r="AB166" s="5">
        <f ca="1">SUM(OFFSET(Demand!$H175,0,(COLUMN(C163)-1)*5,1,1))*P$2</f>
        <v>0</v>
      </c>
      <c r="AC166" s="5">
        <f ca="1">SUM(OFFSET(Demand!$H175,0,(COLUMN(D163)-1)*5,1,1))*Q$2</f>
        <v>0</v>
      </c>
      <c r="AD166" s="5">
        <f ca="1">SUM(OFFSET(Demand!$H175,0,(COLUMN(E163)-1)*5,1,1))*R$2</f>
        <v>0</v>
      </c>
      <c r="AE166" s="5">
        <f ca="1">SUM(OFFSET(Demand!$H175,0,(COLUMN(F163)-1)*5,1,1))*S$2</f>
        <v>0</v>
      </c>
      <c r="AF166" s="5">
        <f ca="1">SUM(OFFSET(Demand!$H175,0,(COLUMN(G163)-1)*5,1,1))*T$2</f>
        <v>0</v>
      </c>
      <c r="AG166" s="5">
        <f ca="1">SUM(OFFSET(Demand!$H175,0,(COLUMN(H163)-1)*5,1,1))*U$2</f>
        <v>0</v>
      </c>
      <c r="AH166" s="5">
        <f ca="1">SUM(OFFSET(Demand!$H175,0,(COLUMN(I163)-1)*5,1,1))*V$2</f>
        <v>0</v>
      </c>
      <c r="AI166" s="5">
        <f ca="1">SUM(OFFSET(Demand!$H175,0,(COLUMN(J163)-1)*5,1,1))*W$2</f>
        <v>0</v>
      </c>
      <c r="AJ166" s="5">
        <f t="shared" ca="1" si="41"/>
        <v>0</v>
      </c>
      <c r="AL166" s="5">
        <f t="shared" ca="1" si="42"/>
        <v>0</v>
      </c>
      <c r="AM166" s="5">
        <f t="shared" ca="1" si="43"/>
        <v>0</v>
      </c>
      <c r="AN166" s="5" t="str">
        <f>IF(Demand!BE175="Yes","Yes","")</f>
        <v/>
      </c>
      <c r="AP166" s="37" t="str">
        <f ca="1">Demand!B175</f>
        <v xml:space="preserve"> </v>
      </c>
      <c r="AQ166" t="str">
        <f ca="1">IF(TEXT(Demand!D175,"MMM")&lt;&gt;TEXT(Demand!D174,"MMM"),TEXT(Demand!D175,"MMM"),"")</f>
        <v/>
      </c>
      <c r="AT166" s="5">
        <f t="shared" ca="1" si="45"/>
        <v>0</v>
      </c>
      <c r="BQ166">
        <f ca="1">IF($AN166="",OFFSET(Demand!$A$13,ROW(A163)-1,4+((QUOTIENT(COLUMN(BQ$2)-69,3))*5)+MOD(COLUMN(BQ$2),3),1,1),"")</f>
        <v>0</v>
      </c>
      <c r="BR166">
        <f ca="1">IF($AN166="",OFFSET(Demand!$A$13,ROW(B163)-1,4+((QUOTIENT(COLUMN(BR$2)-69,3))*5)+MOD(COLUMN(BR$2),3),1,1),"")</f>
        <v>0</v>
      </c>
      <c r="BS166">
        <f ca="1">IF($AN166="",OFFSET(Demand!$A$13,ROW(C163)-1,4+((QUOTIENT(COLUMN(BS$2)-69,3))*5)+MOD(COLUMN(BS$2),3),1,1),"")</f>
        <v>0</v>
      </c>
      <c r="BT166">
        <f ca="1">IF($AN166="",OFFSET(Demand!$A$13,ROW(D163)-1,4+((QUOTIENT(COLUMN(BT$2)-69,3))*5)+MOD(COLUMN(BT$2),3),1,1),"")</f>
        <v>0</v>
      </c>
      <c r="BU166">
        <f ca="1">IF($AN166="",OFFSET(Demand!$A$13,ROW(E163)-1,4+((QUOTIENT(COLUMN(BU$2)-69,3))*5)+MOD(COLUMN(BU$2),3),1,1),"")</f>
        <v>0</v>
      </c>
      <c r="BV166">
        <f ca="1">IF($AN166="",OFFSET(Demand!$A$13,ROW(F163)-1,4+((QUOTIENT(COLUMN(BV$2)-69,3))*5)+MOD(COLUMN(BV$2),3),1,1),"")</f>
        <v>0</v>
      </c>
      <c r="BW166">
        <f ca="1">IF($AN166="",OFFSET(Demand!$A$13,ROW(G163)-1,4+((QUOTIENT(COLUMN(BW$2)-69,3))*5)+MOD(COLUMN(BW$2),3),1,1),"")</f>
        <v>0</v>
      </c>
      <c r="BX166">
        <f ca="1">IF($AN166="",OFFSET(Demand!$A$13,ROW(H163)-1,4+((QUOTIENT(COLUMN(BX$2)-69,3))*5)+MOD(COLUMN(BX$2),3),1,1),"")</f>
        <v>0</v>
      </c>
      <c r="BY166">
        <f ca="1">IF($AN166="",OFFSET(Demand!$A$13,ROW(I163)-1,4+((QUOTIENT(COLUMN(BY$2)-69,3))*5)+MOD(COLUMN(BY$2),3),1,1),"")</f>
        <v>0</v>
      </c>
      <c r="BZ166">
        <f ca="1">IF($AN166="",OFFSET(Demand!$A$13,ROW(J163)-1,4+((QUOTIENT(COLUMN(BZ$2)-69,3))*5)+MOD(COLUMN(BZ$2),3),1,1),"")</f>
        <v>0</v>
      </c>
      <c r="CA166">
        <f ca="1">IF($AN166="",OFFSET(Demand!$A$13,ROW(K163)-1,4+((QUOTIENT(COLUMN(CA$2)-69,3))*5)+MOD(COLUMN(CA$2),3),1,1),"")</f>
        <v>0</v>
      </c>
      <c r="CB166">
        <f ca="1">IF($AN166="",OFFSET(Demand!$A$13,ROW(L163)-1,4+((QUOTIENT(COLUMN(CB$2)-69,3))*5)+MOD(COLUMN(CB$2),3),1,1),"")</f>
        <v>0</v>
      </c>
      <c r="CC166">
        <f ca="1">IF($AN166="",OFFSET(Demand!$A$13,ROW(M163)-1,4+((QUOTIENT(COLUMN(CC$2)-69,3))*5)+MOD(COLUMN(CC$2),3),1,1),"")</f>
        <v>0</v>
      </c>
      <c r="CD166">
        <f ca="1">IF($AN166="",OFFSET(Demand!$A$13,ROW(N163)-1,4+((QUOTIENT(COLUMN(CD$2)-69,3))*5)+MOD(COLUMN(CD$2),3),1,1),"")</f>
        <v>0</v>
      </c>
      <c r="CE166">
        <f ca="1">IF($AN166="",OFFSET(Demand!$A$13,ROW(O163)-1,4+((QUOTIENT(COLUMN(CE$2)-69,3))*5)+MOD(COLUMN(CE$2),3),1,1),"")</f>
        <v>0</v>
      </c>
      <c r="CF166">
        <f ca="1">IF($AN166="",OFFSET(Demand!$A$13,ROW(P163)-1,4+((QUOTIENT(COLUMN(CF$2)-69,3))*5)+MOD(COLUMN(CF$2),3),1,1),"")</f>
        <v>0</v>
      </c>
      <c r="CG166">
        <f ca="1">IF($AN166="",OFFSET(Demand!$A$13,ROW(Q163)-1,4+((QUOTIENT(COLUMN(CG$2)-69,3))*5)+MOD(COLUMN(CG$2),3),1,1),"")</f>
        <v>0</v>
      </c>
      <c r="CH166">
        <f ca="1">IF($AN166="",OFFSET(Demand!$A$13,ROW(R163)-1,4+((QUOTIENT(COLUMN(CH$2)-69,3))*5)+MOD(COLUMN(CH$2),3),1,1),"")</f>
        <v>0</v>
      </c>
      <c r="CI166">
        <f ca="1">IF($AN166="",OFFSET(Demand!$A$13,ROW(S163)-1,4+((QUOTIENT(COLUMN(CI$2)-69,3))*5)+MOD(COLUMN(CI$2),3),1,1),"")</f>
        <v>0</v>
      </c>
      <c r="CJ166">
        <f ca="1">IF($AN166="",OFFSET(Demand!$A$13,ROW(T163)-1,4+((QUOTIENT(COLUMN(CJ$2)-69,3))*5)+MOD(COLUMN(CJ$2),3),1,1),"")</f>
        <v>0</v>
      </c>
      <c r="CK166">
        <f ca="1">IF($AN166="",OFFSET(Demand!$A$13,ROW(U163)-1,4+((QUOTIENT(COLUMN(CK$2)-69,3))*5)+MOD(COLUMN(CK$2),3),1,1),"")</f>
        <v>0</v>
      </c>
      <c r="CL166">
        <f ca="1">IF($AN166="",OFFSET(Demand!$A$13,ROW(V163)-1,4+((QUOTIENT(COLUMN(CL$2)-69,3))*5)+MOD(COLUMN(CL$2),3),1,1),"")</f>
        <v>0</v>
      </c>
      <c r="CM166">
        <f ca="1">IF($AN166="",OFFSET(Demand!$A$13,ROW(W163)-1,4+((QUOTIENT(COLUMN(CM$2)-69,3))*5)+MOD(COLUMN(CM$2),3),1,1),"")</f>
        <v>0</v>
      </c>
      <c r="CN166">
        <f ca="1">IF($AN166="",OFFSET(Demand!$A$13,ROW(X163)-1,4+((QUOTIENT(COLUMN(CN$2)-69,3))*5)+MOD(COLUMN(CN$2),3),1,1),"")</f>
        <v>0</v>
      </c>
      <c r="CO166">
        <f ca="1">IF($AN166="",OFFSET(Demand!$A$13,ROW(Y163)-1,4+((QUOTIENT(COLUMN(CO$2)-69,3))*5)+MOD(COLUMN(CO$2),3),1,1),"")</f>
        <v>0</v>
      </c>
      <c r="CP166">
        <f ca="1">IF($AN166="",OFFSET(Demand!$A$13,ROW(Z163)-1,4+((QUOTIENT(COLUMN(CP$2)-69,3))*5)+MOD(COLUMN(CP$2),3),1,1),"")</f>
        <v>0</v>
      </c>
      <c r="CQ166">
        <f ca="1">IF($AN166="",OFFSET(Demand!$A$13,ROW(AA163)-1,4+((QUOTIENT(COLUMN(CQ$2)-69,3))*5)+MOD(COLUMN(CQ$2),3),1,1),"")</f>
        <v>0</v>
      </c>
      <c r="CR166">
        <f ca="1">IF($AN166="",OFFSET(Demand!$A$13,ROW(AB163)-1,4+((QUOTIENT(COLUMN(CR$2)-69,3))*5)+MOD(COLUMN(CR$2),3),1,1),"")</f>
        <v>0</v>
      </c>
      <c r="CS166">
        <f ca="1">IF($AN166="",OFFSET(Demand!$A$13,ROW(AC163)-1,4+((QUOTIENT(COLUMN(CS$2)-69,3))*5)+MOD(COLUMN(CS$2),3),1,1),"")</f>
        <v>0</v>
      </c>
      <c r="CT166">
        <f ca="1">IF($AN166="",OFFSET(Demand!$A$13,ROW(AD163)-1,4+((QUOTIENT(COLUMN(CT$2)-69,3))*5)+MOD(COLUMN(CT$2),3),1,1),"")</f>
        <v>0</v>
      </c>
      <c r="CW166" s="5">
        <f ca="1">SUM(OFFSET(Demand!$H$43,ROW(A163)-1,(COLUMN(A163)-1)*5,1,1))*N$2</f>
        <v>0</v>
      </c>
      <c r="CX166" s="5">
        <f ca="1">SUM(OFFSET(Demand!$H$43,ROW(B163)-1,(COLUMN(B163)-1)*5,1,1))*O$2</f>
        <v>0</v>
      </c>
      <c r="CY166" s="5">
        <f ca="1">SUM(OFFSET(Demand!$H$43,ROW(C163)-1,(COLUMN(C163)-1)*5,1,1))*P$2</f>
        <v>0</v>
      </c>
      <c r="CZ166" s="5">
        <f ca="1">SUM(OFFSET(Demand!$H$43,ROW(D163)-1,(COLUMN(D163)-1)*5,1,1))*Q$2</f>
        <v>0</v>
      </c>
      <c r="DA166" s="5">
        <f ca="1">SUM(OFFSET(Demand!$H$43,ROW(E163)-1,(COLUMN(E163)-1)*5,1,1))*R$2</f>
        <v>0</v>
      </c>
      <c r="DB166" s="5">
        <f ca="1">SUM(OFFSET(Demand!$H$43,ROW(F163)-1,(COLUMN(F163)-1)*5,1,1))*S$2</f>
        <v>0</v>
      </c>
      <c r="DC166" s="5">
        <f ca="1">SUM(OFFSET(Demand!$H$43,ROW(G163)-1,(COLUMN(G163)-1)*5,1,1))*T$2</f>
        <v>0</v>
      </c>
      <c r="DD166" s="5">
        <f ca="1">SUM(OFFSET(Demand!$H$43,ROW(H163)-1,(COLUMN(H163)-1)*5,1,1))*U$2</f>
        <v>0</v>
      </c>
      <c r="DE166" s="5">
        <f ca="1">SUM(OFFSET(Demand!$H$43,ROW(I163)-1,(COLUMN(I163)-1)*5,1,1))*V$2</f>
        <v>0</v>
      </c>
      <c r="DF166" s="5">
        <f ca="1">SUM(OFFSET(Demand!$H$43,ROW(J163)-1,(COLUMN(J163)-1)*5,1,1))*W$2</f>
        <v>0</v>
      </c>
      <c r="DG166" s="5">
        <f t="shared" ca="1" si="44"/>
        <v>0</v>
      </c>
    </row>
    <row r="167" spans="1:111" x14ac:dyDescent="0.2">
      <c r="A167" s="5">
        <f t="shared" ca="1" si="38"/>
        <v>2</v>
      </c>
      <c r="B167" s="5">
        <f ca="1">COUNTBLANK(OFFSET(Demand!$I176,0,(COLUMN(A164)-1)*5,1,1))</f>
        <v>1</v>
      </c>
      <c r="C167" s="5">
        <f ca="1">COUNTBLANK(OFFSET(Demand!$I176,0,(COLUMN(B164)-1)*5,1,1))</f>
        <v>1</v>
      </c>
      <c r="D167" s="5">
        <f ca="1">COUNTBLANK(OFFSET(Demand!$I176,0,(COLUMN(C164)-1)*5,1,1))</f>
        <v>1</v>
      </c>
      <c r="E167" s="5">
        <f ca="1">COUNTBLANK(OFFSET(Demand!$I176,0,(COLUMN(D164)-1)*5,1,1))</f>
        <v>1</v>
      </c>
      <c r="F167" s="5">
        <f ca="1">COUNTBLANK(OFFSET(Demand!$I176,0,(COLUMN(E164)-1)*5,1,1))</f>
        <v>1</v>
      </c>
      <c r="G167" s="5">
        <f ca="1">COUNTBLANK(OFFSET(Demand!$I176,0,(COLUMN(F164)-1)*5,1,1))</f>
        <v>1</v>
      </c>
      <c r="H167" s="5">
        <f ca="1">COUNTBLANK(OFFSET(Demand!$I176,0,(COLUMN(G164)-1)*5,1,1))</f>
        <v>1</v>
      </c>
      <c r="I167" s="5">
        <f ca="1">COUNTBLANK(OFFSET(Demand!$I176,0,(COLUMN(H164)-1)*5,1,1))</f>
        <v>1</v>
      </c>
      <c r="J167" s="5">
        <f ca="1">COUNTBLANK(OFFSET(Demand!$I176,0,(COLUMN(I164)-1)*5,1,1))</f>
        <v>1</v>
      </c>
      <c r="K167" s="5">
        <f ca="1">COUNTBLANK(OFFSET(Demand!$I176,0,(COLUMN(J164)-1)*5,1,1))</f>
        <v>1</v>
      </c>
      <c r="N167" s="5">
        <f ca="1">SUM(OFFSET(Demand!$E176,0,(COLUMN(A164)-1)*5,1,3))*N$2</f>
        <v>0</v>
      </c>
      <c r="O167" s="5">
        <f ca="1">SUM(OFFSET(Demand!$E176,0,(COLUMN(B164)-1)*5,1,3))*O$2</f>
        <v>0</v>
      </c>
      <c r="P167" s="5">
        <f ca="1">SUM(OFFSET(Demand!$E176,0,(COLUMN(C164)-1)*5,1,3))*P$2</f>
        <v>0</v>
      </c>
      <c r="Q167" s="5">
        <f ca="1">SUM(OFFSET(Demand!$E176,0,(COLUMN(D164)-1)*5,1,3))*Q$2</f>
        <v>0</v>
      </c>
      <c r="R167" s="5">
        <f ca="1">SUM(OFFSET(Demand!$E176,0,(COLUMN(E164)-1)*5,1,3))*R$2</f>
        <v>0</v>
      </c>
      <c r="S167" s="5">
        <f ca="1">SUM(OFFSET(Demand!$E176,0,(COLUMN(F164)-1)*5,1,3))*S$2</f>
        <v>0</v>
      </c>
      <c r="T167" s="5">
        <f ca="1">SUM(OFFSET(Demand!$E176,0,(COLUMN(G164)-1)*5,1,3))*T$2</f>
        <v>0</v>
      </c>
      <c r="U167" s="5">
        <f ca="1">SUM(OFFSET(Demand!$E176,0,(COLUMN(H164)-1)*5,1,3))*U$2</f>
        <v>0</v>
      </c>
      <c r="V167" s="5">
        <f ca="1">SUM(OFFSET(Demand!$E176,0,(COLUMN(I164)-1)*5,1,3))*V$2</f>
        <v>0</v>
      </c>
      <c r="W167" s="5">
        <f ca="1">SUM(OFFSET(Demand!$E176,0,(COLUMN(J164)-1)*5,1,3))*W$2</f>
        <v>0</v>
      </c>
      <c r="X167" s="5">
        <f t="shared" ca="1" si="39"/>
        <v>0</v>
      </c>
      <c r="Y167">
        <f t="shared" ca="1" si="40"/>
        <v>0</v>
      </c>
      <c r="Z167" s="5">
        <f ca="1">SUM(OFFSET(Demand!$H176,0,(COLUMN(A164)-1)*5,1,1))*N$2</f>
        <v>0</v>
      </c>
      <c r="AA167" s="5">
        <f ca="1">SUM(OFFSET(Demand!$H176,0,(COLUMN(B164)-1)*5,1,1))*O$2</f>
        <v>0</v>
      </c>
      <c r="AB167" s="5">
        <f ca="1">SUM(OFFSET(Demand!$H176,0,(COLUMN(C164)-1)*5,1,1))*P$2</f>
        <v>0</v>
      </c>
      <c r="AC167" s="5">
        <f ca="1">SUM(OFFSET(Demand!$H176,0,(COLUMN(D164)-1)*5,1,1))*Q$2</f>
        <v>0</v>
      </c>
      <c r="AD167" s="5">
        <f ca="1">SUM(OFFSET(Demand!$H176,0,(COLUMN(E164)-1)*5,1,1))*R$2</f>
        <v>0</v>
      </c>
      <c r="AE167" s="5">
        <f ca="1">SUM(OFFSET(Demand!$H176,0,(COLUMN(F164)-1)*5,1,1))*S$2</f>
        <v>0</v>
      </c>
      <c r="AF167" s="5">
        <f ca="1">SUM(OFFSET(Demand!$H176,0,(COLUMN(G164)-1)*5,1,1))*T$2</f>
        <v>0</v>
      </c>
      <c r="AG167" s="5">
        <f ca="1">SUM(OFFSET(Demand!$H176,0,(COLUMN(H164)-1)*5,1,1))*U$2</f>
        <v>0</v>
      </c>
      <c r="AH167" s="5">
        <f ca="1">SUM(OFFSET(Demand!$H176,0,(COLUMN(I164)-1)*5,1,1))*V$2</f>
        <v>0</v>
      </c>
      <c r="AI167" s="5">
        <f ca="1">SUM(OFFSET(Demand!$H176,0,(COLUMN(J164)-1)*5,1,1))*W$2</f>
        <v>0</v>
      </c>
      <c r="AJ167" s="5">
        <f t="shared" ca="1" si="41"/>
        <v>0</v>
      </c>
      <c r="AL167" s="5">
        <f t="shared" ca="1" si="42"/>
        <v>0</v>
      </c>
      <c r="AM167" s="5">
        <f t="shared" ca="1" si="43"/>
        <v>0</v>
      </c>
      <c r="AN167" s="5" t="str">
        <f>IF(Demand!BE176="Yes","Yes","")</f>
        <v/>
      </c>
      <c r="AP167" s="37" t="str">
        <f ca="1">Demand!B176</f>
        <v xml:space="preserve"> </v>
      </c>
      <c r="AQ167" t="str">
        <f ca="1">IF(TEXT(Demand!D176,"MMM")&lt;&gt;TEXT(Demand!D175,"MMM"),TEXT(Demand!D176,"MMM"),"")</f>
        <v/>
      </c>
      <c r="AT167" s="5">
        <f t="shared" ca="1" si="45"/>
        <v>0</v>
      </c>
      <c r="BQ167">
        <f ca="1">IF($AN167="",OFFSET(Demand!$A$13,ROW(A164)-1,4+((QUOTIENT(COLUMN(BQ$2)-69,3))*5)+MOD(COLUMN(BQ$2),3),1,1),"")</f>
        <v>0</v>
      </c>
      <c r="BR167">
        <f ca="1">IF($AN167="",OFFSET(Demand!$A$13,ROW(B164)-1,4+((QUOTIENT(COLUMN(BR$2)-69,3))*5)+MOD(COLUMN(BR$2),3),1,1),"")</f>
        <v>0</v>
      </c>
      <c r="BS167">
        <f ca="1">IF($AN167="",OFFSET(Demand!$A$13,ROW(C164)-1,4+((QUOTIENT(COLUMN(BS$2)-69,3))*5)+MOD(COLUMN(BS$2),3),1,1),"")</f>
        <v>0</v>
      </c>
      <c r="BT167">
        <f ca="1">IF($AN167="",OFFSET(Demand!$A$13,ROW(D164)-1,4+((QUOTIENT(COLUMN(BT$2)-69,3))*5)+MOD(COLUMN(BT$2),3),1,1),"")</f>
        <v>0</v>
      </c>
      <c r="BU167">
        <f ca="1">IF($AN167="",OFFSET(Demand!$A$13,ROW(E164)-1,4+((QUOTIENT(COLUMN(BU$2)-69,3))*5)+MOD(COLUMN(BU$2),3),1,1),"")</f>
        <v>0</v>
      </c>
      <c r="BV167">
        <f ca="1">IF($AN167="",OFFSET(Demand!$A$13,ROW(F164)-1,4+((QUOTIENT(COLUMN(BV$2)-69,3))*5)+MOD(COLUMN(BV$2),3),1,1),"")</f>
        <v>0</v>
      </c>
      <c r="BW167">
        <f ca="1">IF($AN167="",OFFSET(Demand!$A$13,ROW(G164)-1,4+((QUOTIENT(COLUMN(BW$2)-69,3))*5)+MOD(COLUMN(BW$2),3),1,1),"")</f>
        <v>0</v>
      </c>
      <c r="BX167">
        <f ca="1">IF($AN167="",OFFSET(Demand!$A$13,ROW(H164)-1,4+((QUOTIENT(COLUMN(BX$2)-69,3))*5)+MOD(COLUMN(BX$2),3),1,1),"")</f>
        <v>0</v>
      </c>
      <c r="BY167">
        <f ca="1">IF($AN167="",OFFSET(Demand!$A$13,ROW(I164)-1,4+((QUOTIENT(COLUMN(BY$2)-69,3))*5)+MOD(COLUMN(BY$2),3),1,1),"")</f>
        <v>0</v>
      </c>
      <c r="BZ167">
        <f ca="1">IF($AN167="",OFFSET(Demand!$A$13,ROW(J164)-1,4+((QUOTIENT(COLUMN(BZ$2)-69,3))*5)+MOD(COLUMN(BZ$2),3),1,1),"")</f>
        <v>0</v>
      </c>
      <c r="CA167">
        <f ca="1">IF($AN167="",OFFSET(Demand!$A$13,ROW(K164)-1,4+((QUOTIENT(COLUMN(CA$2)-69,3))*5)+MOD(COLUMN(CA$2),3),1,1),"")</f>
        <v>0</v>
      </c>
      <c r="CB167">
        <f ca="1">IF($AN167="",OFFSET(Demand!$A$13,ROW(L164)-1,4+((QUOTIENT(COLUMN(CB$2)-69,3))*5)+MOD(COLUMN(CB$2),3),1,1),"")</f>
        <v>0</v>
      </c>
      <c r="CC167">
        <f ca="1">IF($AN167="",OFFSET(Demand!$A$13,ROW(M164)-1,4+((QUOTIENT(COLUMN(CC$2)-69,3))*5)+MOD(COLUMN(CC$2),3),1,1),"")</f>
        <v>0</v>
      </c>
      <c r="CD167">
        <f ca="1">IF($AN167="",OFFSET(Demand!$A$13,ROW(N164)-1,4+((QUOTIENT(COLUMN(CD$2)-69,3))*5)+MOD(COLUMN(CD$2),3),1,1),"")</f>
        <v>0</v>
      </c>
      <c r="CE167">
        <f ca="1">IF($AN167="",OFFSET(Demand!$A$13,ROW(O164)-1,4+((QUOTIENT(COLUMN(CE$2)-69,3))*5)+MOD(COLUMN(CE$2),3),1,1),"")</f>
        <v>0</v>
      </c>
      <c r="CF167">
        <f ca="1">IF($AN167="",OFFSET(Demand!$A$13,ROW(P164)-1,4+((QUOTIENT(COLUMN(CF$2)-69,3))*5)+MOD(COLUMN(CF$2),3),1,1),"")</f>
        <v>0</v>
      </c>
      <c r="CG167">
        <f ca="1">IF($AN167="",OFFSET(Demand!$A$13,ROW(Q164)-1,4+((QUOTIENT(COLUMN(CG$2)-69,3))*5)+MOD(COLUMN(CG$2),3),1,1),"")</f>
        <v>0</v>
      </c>
      <c r="CH167">
        <f ca="1">IF($AN167="",OFFSET(Demand!$A$13,ROW(R164)-1,4+((QUOTIENT(COLUMN(CH$2)-69,3))*5)+MOD(COLUMN(CH$2),3),1,1),"")</f>
        <v>0</v>
      </c>
      <c r="CI167">
        <f ca="1">IF($AN167="",OFFSET(Demand!$A$13,ROW(S164)-1,4+((QUOTIENT(COLUMN(CI$2)-69,3))*5)+MOD(COLUMN(CI$2),3),1,1),"")</f>
        <v>0</v>
      </c>
      <c r="CJ167">
        <f ca="1">IF($AN167="",OFFSET(Demand!$A$13,ROW(T164)-1,4+((QUOTIENT(COLUMN(CJ$2)-69,3))*5)+MOD(COLUMN(CJ$2),3),1,1),"")</f>
        <v>0</v>
      </c>
      <c r="CK167">
        <f ca="1">IF($AN167="",OFFSET(Demand!$A$13,ROW(U164)-1,4+((QUOTIENT(COLUMN(CK$2)-69,3))*5)+MOD(COLUMN(CK$2),3),1,1),"")</f>
        <v>0</v>
      </c>
      <c r="CL167">
        <f ca="1">IF($AN167="",OFFSET(Demand!$A$13,ROW(V164)-1,4+((QUOTIENT(COLUMN(CL$2)-69,3))*5)+MOD(COLUMN(CL$2),3),1,1),"")</f>
        <v>0</v>
      </c>
      <c r="CM167">
        <f ca="1">IF($AN167="",OFFSET(Demand!$A$13,ROW(W164)-1,4+((QUOTIENT(COLUMN(CM$2)-69,3))*5)+MOD(COLUMN(CM$2),3),1,1),"")</f>
        <v>0</v>
      </c>
      <c r="CN167">
        <f ca="1">IF($AN167="",OFFSET(Demand!$A$13,ROW(X164)-1,4+((QUOTIENT(COLUMN(CN$2)-69,3))*5)+MOD(COLUMN(CN$2),3),1,1),"")</f>
        <v>0</v>
      </c>
      <c r="CO167">
        <f ca="1">IF($AN167="",OFFSET(Demand!$A$13,ROW(Y164)-1,4+((QUOTIENT(COLUMN(CO$2)-69,3))*5)+MOD(COLUMN(CO$2),3),1,1),"")</f>
        <v>0</v>
      </c>
      <c r="CP167">
        <f ca="1">IF($AN167="",OFFSET(Demand!$A$13,ROW(Z164)-1,4+((QUOTIENT(COLUMN(CP$2)-69,3))*5)+MOD(COLUMN(CP$2),3),1,1),"")</f>
        <v>0</v>
      </c>
      <c r="CQ167">
        <f ca="1">IF($AN167="",OFFSET(Demand!$A$13,ROW(AA164)-1,4+((QUOTIENT(COLUMN(CQ$2)-69,3))*5)+MOD(COLUMN(CQ$2),3),1,1),"")</f>
        <v>0</v>
      </c>
      <c r="CR167">
        <f ca="1">IF($AN167="",OFFSET(Demand!$A$13,ROW(AB164)-1,4+((QUOTIENT(COLUMN(CR$2)-69,3))*5)+MOD(COLUMN(CR$2),3),1,1),"")</f>
        <v>0</v>
      </c>
      <c r="CS167">
        <f ca="1">IF($AN167="",OFFSET(Demand!$A$13,ROW(AC164)-1,4+((QUOTIENT(COLUMN(CS$2)-69,3))*5)+MOD(COLUMN(CS$2),3),1,1),"")</f>
        <v>0</v>
      </c>
      <c r="CT167">
        <f ca="1">IF($AN167="",OFFSET(Demand!$A$13,ROW(AD164)-1,4+((QUOTIENT(COLUMN(CT$2)-69,3))*5)+MOD(COLUMN(CT$2),3),1,1),"")</f>
        <v>0</v>
      </c>
      <c r="CW167" s="5">
        <f ca="1">SUM(OFFSET(Demand!$H$43,ROW(A164)-1,(COLUMN(A164)-1)*5,1,1))*N$2</f>
        <v>0</v>
      </c>
      <c r="CX167" s="5">
        <f ca="1">SUM(OFFSET(Demand!$H$43,ROW(B164)-1,(COLUMN(B164)-1)*5,1,1))*O$2</f>
        <v>0</v>
      </c>
      <c r="CY167" s="5">
        <f ca="1">SUM(OFFSET(Demand!$H$43,ROW(C164)-1,(COLUMN(C164)-1)*5,1,1))*P$2</f>
        <v>0</v>
      </c>
      <c r="CZ167" s="5">
        <f ca="1">SUM(OFFSET(Demand!$H$43,ROW(D164)-1,(COLUMN(D164)-1)*5,1,1))*Q$2</f>
        <v>0</v>
      </c>
      <c r="DA167" s="5">
        <f ca="1">SUM(OFFSET(Demand!$H$43,ROW(E164)-1,(COLUMN(E164)-1)*5,1,1))*R$2</f>
        <v>0</v>
      </c>
      <c r="DB167" s="5">
        <f ca="1">SUM(OFFSET(Demand!$H$43,ROW(F164)-1,(COLUMN(F164)-1)*5,1,1))*S$2</f>
        <v>0</v>
      </c>
      <c r="DC167" s="5">
        <f ca="1">SUM(OFFSET(Demand!$H$43,ROW(G164)-1,(COLUMN(G164)-1)*5,1,1))*T$2</f>
        <v>0</v>
      </c>
      <c r="DD167" s="5">
        <f ca="1">SUM(OFFSET(Demand!$H$43,ROW(H164)-1,(COLUMN(H164)-1)*5,1,1))*U$2</f>
        <v>0</v>
      </c>
      <c r="DE167" s="5">
        <f ca="1">SUM(OFFSET(Demand!$H$43,ROW(I164)-1,(COLUMN(I164)-1)*5,1,1))*V$2</f>
        <v>0</v>
      </c>
      <c r="DF167" s="5">
        <f ca="1">SUM(OFFSET(Demand!$H$43,ROW(J164)-1,(COLUMN(J164)-1)*5,1,1))*W$2</f>
        <v>0</v>
      </c>
      <c r="DG167" s="5">
        <f t="shared" ca="1" si="44"/>
        <v>0</v>
      </c>
    </row>
    <row r="168" spans="1:111" x14ac:dyDescent="0.2">
      <c r="A168" s="5">
        <f t="shared" ca="1" si="38"/>
        <v>2</v>
      </c>
      <c r="B168" s="5">
        <f ca="1">COUNTBLANK(OFFSET(Demand!$I177,0,(COLUMN(A165)-1)*5,1,1))</f>
        <v>1</v>
      </c>
      <c r="C168" s="5">
        <f ca="1">COUNTBLANK(OFFSET(Demand!$I177,0,(COLUMN(B165)-1)*5,1,1))</f>
        <v>1</v>
      </c>
      <c r="D168" s="5">
        <f ca="1">COUNTBLANK(OFFSET(Demand!$I177,0,(COLUMN(C165)-1)*5,1,1))</f>
        <v>1</v>
      </c>
      <c r="E168" s="5">
        <f ca="1">COUNTBLANK(OFFSET(Demand!$I177,0,(COLUMN(D165)-1)*5,1,1))</f>
        <v>1</v>
      </c>
      <c r="F168" s="5">
        <f ca="1">COUNTBLANK(OFFSET(Demand!$I177,0,(COLUMN(E165)-1)*5,1,1))</f>
        <v>1</v>
      </c>
      <c r="G168" s="5">
        <f ca="1">COUNTBLANK(OFFSET(Demand!$I177,0,(COLUMN(F165)-1)*5,1,1))</f>
        <v>1</v>
      </c>
      <c r="H168" s="5">
        <f ca="1">COUNTBLANK(OFFSET(Demand!$I177,0,(COLUMN(G165)-1)*5,1,1))</f>
        <v>1</v>
      </c>
      <c r="I168" s="5">
        <f ca="1">COUNTBLANK(OFFSET(Demand!$I177,0,(COLUMN(H165)-1)*5,1,1))</f>
        <v>1</v>
      </c>
      <c r="J168" s="5">
        <f ca="1">COUNTBLANK(OFFSET(Demand!$I177,0,(COLUMN(I165)-1)*5,1,1))</f>
        <v>1</v>
      </c>
      <c r="K168" s="5">
        <f ca="1">COUNTBLANK(OFFSET(Demand!$I177,0,(COLUMN(J165)-1)*5,1,1))</f>
        <v>1</v>
      </c>
      <c r="N168" s="5">
        <f ca="1">SUM(OFFSET(Demand!$E177,0,(COLUMN(A165)-1)*5,1,3))*N$2</f>
        <v>0</v>
      </c>
      <c r="O168" s="5">
        <f ca="1">SUM(OFFSET(Demand!$E177,0,(COLUMN(B165)-1)*5,1,3))*O$2</f>
        <v>0</v>
      </c>
      <c r="P168" s="5">
        <f ca="1">SUM(OFFSET(Demand!$E177,0,(COLUMN(C165)-1)*5,1,3))*P$2</f>
        <v>0</v>
      </c>
      <c r="Q168" s="5">
        <f ca="1">SUM(OFFSET(Demand!$E177,0,(COLUMN(D165)-1)*5,1,3))*Q$2</f>
        <v>0</v>
      </c>
      <c r="R168" s="5">
        <f ca="1">SUM(OFFSET(Demand!$E177,0,(COLUMN(E165)-1)*5,1,3))*R$2</f>
        <v>0</v>
      </c>
      <c r="S168" s="5">
        <f ca="1">SUM(OFFSET(Demand!$E177,0,(COLUMN(F165)-1)*5,1,3))*S$2</f>
        <v>0</v>
      </c>
      <c r="T168" s="5">
        <f ca="1">SUM(OFFSET(Demand!$E177,0,(COLUMN(G165)-1)*5,1,3))*T$2</f>
        <v>0</v>
      </c>
      <c r="U168" s="5">
        <f ca="1">SUM(OFFSET(Demand!$E177,0,(COLUMN(H165)-1)*5,1,3))*U$2</f>
        <v>0</v>
      </c>
      <c r="V168" s="5">
        <f ca="1">SUM(OFFSET(Demand!$E177,0,(COLUMN(I165)-1)*5,1,3))*V$2</f>
        <v>0</v>
      </c>
      <c r="W168" s="5">
        <f ca="1">SUM(OFFSET(Demand!$E177,0,(COLUMN(J165)-1)*5,1,3))*W$2</f>
        <v>0</v>
      </c>
      <c r="X168" s="5">
        <f t="shared" ca="1" si="39"/>
        <v>0</v>
      </c>
      <c r="Y168">
        <f t="shared" ca="1" si="40"/>
        <v>0</v>
      </c>
      <c r="Z168" s="5">
        <f ca="1">SUM(OFFSET(Demand!$H177,0,(COLUMN(A165)-1)*5,1,1))*N$2</f>
        <v>0</v>
      </c>
      <c r="AA168" s="5">
        <f ca="1">SUM(OFFSET(Demand!$H177,0,(COLUMN(B165)-1)*5,1,1))*O$2</f>
        <v>0</v>
      </c>
      <c r="AB168" s="5">
        <f ca="1">SUM(OFFSET(Demand!$H177,0,(COLUMN(C165)-1)*5,1,1))*P$2</f>
        <v>0</v>
      </c>
      <c r="AC168" s="5">
        <f ca="1">SUM(OFFSET(Demand!$H177,0,(COLUMN(D165)-1)*5,1,1))*Q$2</f>
        <v>0</v>
      </c>
      <c r="AD168" s="5">
        <f ca="1">SUM(OFFSET(Demand!$H177,0,(COLUMN(E165)-1)*5,1,1))*R$2</f>
        <v>0</v>
      </c>
      <c r="AE168" s="5">
        <f ca="1">SUM(OFFSET(Demand!$H177,0,(COLUMN(F165)-1)*5,1,1))*S$2</f>
        <v>0</v>
      </c>
      <c r="AF168" s="5">
        <f ca="1">SUM(OFFSET(Demand!$H177,0,(COLUMN(G165)-1)*5,1,1))*T$2</f>
        <v>0</v>
      </c>
      <c r="AG168" s="5">
        <f ca="1">SUM(OFFSET(Demand!$H177,0,(COLUMN(H165)-1)*5,1,1))*U$2</f>
        <v>0</v>
      </c>
      <c r="AH168" s="5">
        <f ca="1">SUM(OFFSET(Demand!$H177,0,(COLUMN(I165)-1)*5,1,1))*V$2</f>
        <v>0</v>
      </c>
      <c r="AI168" s="5">
        <f ca="1">SUM(OFFSET(Demand!$H177,0,(COLUMN(J165)-1)*5,1,1))*W$2</f>
        <v>0</v>
      </c>
      <c r="AJ168" s="5">
        <f t="shared" ca="1" si="41"/>
        <v>0</v>
      </c>
      <c r="AL168" s="5">
        <f t="shared" ca="1" si="42"/>
        <v>0</v>
      </c>
      <c r="AM168" s="5">
        <f t="shared" ca="1" si="43"/>
        <v>0</v>
      </c>
      <c r="AN168" s="5" t="str">
        <f>IF(Demand!BE177="Yes","Yes","")</f>
        <v/>
      </c>
      <c r="AP168" s="37" t="str">
        <f ca="1">Demand!B177</f>
        <v xml:space="preserve"> </v>
      </c>
      <c r="AQ168" t="str">
        <f ca="1">IF(TEXT(Demand!D177,"MMM")&lt;&gt;TEXT(Demand!D176,"MMM"),TEXT(Demand!D177,"MMM"),"")</f>
        <v/>
      </c>
      <c r="AT168" s="5">
        <f t="shared" ca="1" si="45"/>
        <v>0</v>
      </c>
      <c r="BQ168">
        <f ca="1">IF($AN168="",OFFSET(Demand!$A$13,ROW(A165)-1,4+((QUOTIENT(COLUMN(BQ$2)-69,3))*5)+MOD(COLUMN(BQ$2),3),1,1),"")</f>
        <v>0</v>
      </c>
      <c r="BR168">
        <f ca="1">IF($AN168="",OFFSET(Demand!$A$13,ROW(B165)-1,4+((QUOTIENT(COLUMN(BR$2)-69,3))*5)+MOD(COLUMN(BR$2),3),1,1),"")</f>
        <v>0</v>
      </c>
      <c r="BS168">
        <f ca="1">IF($AN168="",OFFSET(Demand!$A$13,ROW(C165)-1,4+((QUOTIENT(COLUMN(BS$2)-69,3))*5)+MOD(COLUMN(BS$2),3),1,1),"")</f>
        <v>0</v>
      </c>
      <c r="BT168">
        <f ca="1">IF($AN168="",OFFSET(Demand!$A$13,ROW(D165)-1,4+((QUOTIENT(COLUMN(BT$2)-69,3))*5)+MOD(COLUMN(BT$2),3),1,1),"")</f>
        <v>0</v>
      </c>
      <c r="BU168">
        <f ca="1">IF($AN168="",OFFSET(Demand!$A$13,ROW(E165)-1,4+((QUOTIENT(COLUMN(BU$2)-69,3))*5)+MOD(COLUMN(BU$2),3),1,1),"")</f>
        <v>0</v>
      </c>
      <c r="BV168">
        <f ca="1">IF($AN168="",OFFSET(Demand!$A$13,ROW(F165)-1,4+((QUOTIENT(COLUMN(BV$2)-69,3))*5)+MOD(COLUMN(BV$2),3),1,1),"")</f>
        <v>0</v>
      </c>
      <c r="BW168">
        <f ca="1">IF($AN168="",OFFSET(Demand!$A$13,ROW(G165)-1,4+((QUOTIENT(COLUMN(BW$2)-69,3))*5)+MOD(COLUMN(BW$2),3),1,1),"")</f>
        <v>0</v>
      </c>
      <c r="BX168">
        <f ca="1">IF($AN168="",OFFSET(Demand!$A$13,ROW(H165)-1,4+((QUOTIENT(COLUMN(BX$2)-69,3))*5)+MOD(COLUMN(BX$2),3),1,1),"")</f>
        <v>0</v>
      </c>
      <c r="BY168">
        <f ca="1">IF($AN168="",OFFSET(Demand!$A$13,ROW(I165)-1,4+((QUOTIENT(COLUMN(BY$2)-69,3))*5)+MOD(COLUMN(BY$2),3),1,1),"")</f>
        <v>0</v>
      </c>
      <c r="BZ168">
        <f ca="1">IF($AN168="",OFFSET(Demand!$A$13,ROW(J165)-1,4+((QUOTIENT(COLUMN(BZ$2)-69,3))*5)+MOD(COLUMN(BZ$2),3),1,1),"")</f>
        <v>0</v>
      </c>
      <c r="CA168">
        <f ca="1">IF($AN168="",OFFSET(Demand!$A$13,ROW(K165)-1,4+((QUOTIENT(COLUMN(CA$2)-69,3))*5)+MOD(COLUMN(CA$2),3),1,1),"")</f>
        <v>0</v>
      </c>
      <c r="CB168">
        <f ca="1">IF($AN168="",OFFSET(Demand!$A$13,ROW(L165)-1,4+((QUOTIENT(COLUMN(CB$2)-69,3))*5)+MOD(COLUMN(CB$2),3),1,1),"")</f>
        <v>0</v>
      </c>
      <c r="CC168">
        <f ca="1">IF($AN168="",OFFSET(Demand!$A$13,ROW(M165)-1,4+((QUOTIENT(COLUMN(CC$2)-69,3))*5)+MOD(COLUMN(CC$2),3),1,1),"")</f>
        <v>0</v>
      </c>
      <c r="CD168">
        <f ca="1">IF($AN168="",OFFSET(Demand!$A$13,ROW(N165)-1,4+((QUOTIENT(COLUMN(CD$2)-69,3))*5)+MOD(COLUMN(CD$2),3),1,1),"")</f>
        <v>0</v>
      </c>
      <c r="CE168">
        <f ca="1">IF($AN168="",OFFSET(Demand!$A$13,ROW(O165)-1,4+((QUOTIENT(COLUMN(CE$2)-69,3))*5)+MOD(COLUMN(CE$2),3),1,1),"")</f>
        <v>0</v>
      </c>
      <c r="CF168">
        <f ca="1">IF($AN168="",OFFSET(Demand!$A$13,ROW(P165)-1,4+((QUOTIENT(COLUMN(CF$2)-69,3))*5)+MOD(COLUMN(CF$2),3),1,1),"")</f>
        <v>0</v>
      </c>
      <c r="CG168">
        <f ca="1">IF($AN168="",OFFSET(Demand!$A$13,ROW(Q165)-1,4+((QUOTIENT(COLUMN(CG$2)-69,3))*5)+MOD(COLUMN(CG$2),3),1,1),"")</f>
        <v>0</v>
      </c>
      <c r="CH168">
        <f ca="1">IF($AN168="",OFFSET(Demand!$A$13,ROW(R165)-1,4+((QUOTIENT(COLUMN(CH$2)-69,3))*5)+MOD(COLUMN(CH$2),3),1,1),"")</f>
        <v>0</v>
      </c>
      <c r="CI168">
        <f ca="1">IF($AN168="",OFFSET(Demand!$A$13,ROW(S165)-1,4+((QUOTIENT(COLUMN(CI$2)-69,3))*5)+MOD(COLUMN(CI$2),3),1,1),"")</f>
        <v>0</v>
      </c>
      <c r="CJ168">
        <f ca="1">IF($AN168="",OFFSET(Demand!$A$13,ROW(T165)-1,4+((QUOTIENT(COLUMN(CJ$2)-69,3))*5)+MOD(COLUMN(CJ$2),3),1,1),"")</f>
        <v>0</v>
      </c>
      <c r="CK168">
        <f ca="1">IF($AN168="",OFFSET(Demand!$A$13,ROW(U165)-1,4+((QUOTIENT(COLUMN(CK$2)-69,3))*5)+MOD(COLUMN(CK$2),3),1,1),"")</f>
        <v>0</v>
      </c>
      <c r="CL168">
        <f ca="1">IF($AN168="",OFFSET(Demand!$A$13,ROW(V165)-1,4+((QUOTIENT(COLUMN(CL$2)-69,3))*5)+MOD(COLUMN(CL$2),3),1,1),"")</f>
        <v>0</v>
      </c>
      <c r="CM168">
        <f ca="1">IF($AN168="",OFFSET(Demand!$A$13,ROW(W165)-1,4+((QUOTIENT(COLUMN(CM$2)-69,3))*5)+MOD(COLUMN(CM$2),3),1,1),"")</f>
        <v>0</v>
      </c>
      <c r="CN168">
        <f ca="1">IF($AN168="",OFFSET(Demand!$A$13,ROW(X165)-1,4+((QUOTIENT(COLUMN(CN$2)-69,3))*5)+MOD(COLUMN(CN$2),3),1,1),"")</f>
        <v>0</v>
      </c>
      <c r="CO168">
        <f ca="1">IF($AN168="",OFFSET(Demand!$A$13,ROW(Y165)-1,4+((QUOTIENT(COLUMN(CO$2)-69,3))*5)+MOD(COLUMN(CO$2),3),1,1),"")</f>
        <v>0</v>
      </c>
      <c r="CP168">
        <f ca="1">IF($AN168="",OFFSET(Demand!$A$13,ROW(Z165)-1,4+((QUOTIENT(COLUMN(CP$2)-69,3))*5)+MOD(COLUMN(CP$2),3),1,1),"")</f>
        <v>0</v>
      </c>
      <c r="CQ168">
        <f ca="1">IF($AN168="",OFFSET(Demand!$A$13,ROW(AA165)-1,4+((QUOTIENT(COLUMN(CQ$2)-69,3))*5)+MOD(COLUMN(CQ$2),3),1,1),"")</f>
        <v>0</v>
      </c>
      <c r="CR168">
        <f ca="1">IF($AN168="",OFFSET(Demand!$A$13,ROW(AB165)-1,4+((QUOTIENT(COLUMN(CR$2)-69,3))*5)+MOD(COLUMN(CR$2),3),1,1),"")</f>
        <v>0</v>
      </c>
      <c r="CS168">
        <f ca="1">IF($AN168="",OFFSET(Demand!$A$13,ROW(AC165)-1,4+((QUOTIENT(COLUMN(CS$2)-69,3))*5)+MOD(COLUMN(CS$2),3),1,1),"")</f>
        <v>0</v>
      </c>
      <c r="CT168">
        <f ca="1">IF($AN168="",OFFSET(Demand!$A$13,ROW(AD165)-1,4+((QUOTIENT(COLUMN(CT$2)-69,3))*5)+MOD(COLUMN(CT$2),3),1,1),"")</f>
        <v>0</v>
      </c>
      <c r="CW168" s="5">
        <f ca="1">SUM(OFFSET(Demand!$H$43,ROW(A165)-1,(COLUMN(A165)-1)*5,1,1))*N$2</f>
        <v>0</v>
      </c>
      <c r="CX168" s="5">
        <f ca="1">SUM(OFFSET(Demand!$H$43,ROW(B165)-1,(COLUMN(B165)-1)*5,1,1))*O$2</f>
        <v>0</v>
      </c>
      <c r="CY168" s="5">
        <f ca="1">SUM(OFFSET(Demand!$H$43,ROW(C165)-1,(COLUMN(C165)-1)*5,1,1))*P$2</f>
        <v>0</v>
      </c>
      <c r="CZ168" s="5">
        <f ca="1">SUM(OFFSET(Demand!$H$43,ROW(D165)-1,(COLUMN(D165)-1)*5,1,1))*Q$2</f>
        <v>0</v>
      </c>
      <c r="DA168" s="5">
        <f ca="1">SUM(OFFSET(Demand!$H$43,ROW(E165)-1,(COLUMN(E165)-1)*5,1,1))*R$2</f>
        <v>0</v>
      </c>
      <c r="DB168" s="5">
        <f ca="1">SUM(OFFSET(Demand!$H$43,ROW(F165)-1,(COLUMN(F165)-1)*5,1,1))*S$2</f>
        <v>0</v>
      </c>
      <c r="DC168" s="5">
        <f ca="1">SUM(OFFSET(Demand!$H$43,ROW(G165)-1,(COLUMN(G165)-1)*5,1,1))*T$2</f>
        <v>0</v>
      </c>
      <c r="DD168" s="5">
        <f ca="1">SUM(OFFSET(Demand!$H$43,ROW(H165)-1,(COLUMN(H165)-1)*5,1,1))*U$2</f>
        <v>0</v>
      </c>
      <c r="DE168" s="5">
        <f ca="1">SUM(OFFSET(Demand!$H$43,ROW(I165)-1,(COLUMN(I165)-1)*5,1,1))*V$2</f>
        <v>0</v>
      </c>
      <c r="DF168" s="5">
        <f ca="1">SUM(OFFSET(Demand!$H$43,ROW(J165)-1,(COLUMN(J165)-1)*5,1,1))*W$2</f>
        <v>0</v>
      </c>
      <c r="DG168" s="5">
        <f t="shared" ca="1" si="44"/>
        <v>0</v>
      </c>
    </row>
    <row r="169" spans="1:111" x14ac:dyDescent="0.2">
      <c r="A169" s="5">
        <f t="shared" ca="1" si="38"/>
        <v>2</v>
      </c>
      <c r="B169" s="5">
        <f ca="1">COUNTBLANK(OFFSET(Demand!$I178,0,(COLUMN(A166)-1)*5,1,1))</f>
        <v>1</v>
      </c>
      <c r="C169" s="5">
        <f ca="1">COUNTBLANK(OFFSET(Demand!$I178,0,(COLUMN(B166)-1)*5,1,1))</f>
        <v>1</v>
      </c>
      <c r="D169" s="5">
        <f ca="1">COUNTBLANK(OFFSET(Demand!$I178,0,(COLUMN(C166)-1)*5,1,1))</f>
        <v>1</v>
      </c>
      <c r="E169" s="5">
        <f ca="1">COUNTBLANK(OFFSET(Demand!$I178,0,(COLUMN(D166)-1)*5,1,1))</f>
        <v>1</v>
      </c>
      <c r="F169" s="5">
        <f ca="1">COUNTBLANK(OFFSET(Demand!$I178,0,(COLUMN(E166)-1)*5,1,1))</f>
        <v>1</v>
      </c>
      <c r="G169" s="5">
        <f ca="1">COUNTBLANK(OFFSET(Demand!$I178,0,(COLUMN(F166)-1)*5,1,1))</f>
        <v>1</v>
      </c>
      <c r="H169" s="5">
        <f ca="1">COUNTBLANK(OFFSET(Demand!$I178,0,(COLUMN(G166)-1)*5,1,1))</f>
        <v>1</v>
      </c>
      <c r="I169" s="5">
        <f ca="1">COUNTBLANK(OFFSET(Demand!$I178,0,(COLUMN(H166)-1)*5,1,1))</f>
        <v>1</v>
      </c>
      <c r="J169" s="5">
        <f ca="1">COUNTBLANK(OFFSET(Demand!$I178,0,(COLUMN(I166)-1)*5,1,1))</f>
        <v>1</v>
      </c>
      <c r="K169" s="5">
        <f ca="1">COUNTBLANK(OFFSET(Demand!$I178,0,(COLUMN(J166)-1)*5,1,1))</f>
        <v>1</v>
      </c>
      <c r="N169" s="5">
        <f ca="1">SUM(OFFSET(Demand!$E178,0,(COLUMN(A166)-1)*5,1,3))*N$2</f>
        <v>0</v>
      </c>
      <c r="O169" s="5">
        <f ca="1">SUM(OFFSET(Demand!$E178,0,(COLUMN(B166)-1)*5,1,3))*O$2</f>
        <v>0</v>
      </c>
      <c r="P169" s="5">
        <f ca="1">SUM(OFFSET(Demand!$E178,0,(COLUMN(C166)-1)*5,1,3))*P$2</f>
        <v>0</v>
      </c>
      <c r="Q169" s="5">
        <f ca="1">SUM(OFFSET(Demand!$E178,0,(COLUMN(D166)-1)*5,1,3))*Q$2</f>
        <v>0</v>
      </c>
      <c r="R169" s="5">
        <f ca="1">SUM(OFFSET(Demand!$E178,0,(COLUMN(E166)-1)*5,1,3))*R$2</f>
        <v>0</v>
      </c>
      <c r="S169" s="5">
        <f ca="1">SUM(OFFSET(Demand!$E178,0,(COLUMN(F166)-1)*5,1,3))*S$2</f>
        <v>0</v>
      </c>
      <c r="T169" s="5">
        <f ca="1">SUM(OFFSET(Demand!$E178,0,(COLUMN(G166)-1)*5,1,3))*T$2</f>
        <v>0</v>
      </c>
      <c r="U169" s="5">
        <f ca="1">SUM(OFFSET(Demand!$E178,0,(COLUMN(H166)-1)*5,1,3))*U$2</f>
        <v>0</v>
      </c>
      <c r="V169" s="5">
        <f ca="1">SUM(OFFSET(Demand!$E178,0,(COLUMN(I166)-1)*5,1,3))*V$2</f>
        <v>0</v>
      </c>
      <c r="W169" s="5">
        <f ca="1">SUM(OFFSET(Demand!$E178,0,(COLUMN(J166)-1)*5,1,3))*W$2</f>
        <v>0</v>
      </c>
      <c r="X169" s="5">
        <f t="shared" ca="1" si="39"/>
        <v>0</v>
      </c>
      <c r="Y169">
        <f t="shared" ca="1" si="40"/>
        <v>0</v>
      </c>
      <c r="Z169" s="5">
        <f ca="1">SUM(OFFSET(Demand!$H178,0,(COLUMN(A166)-1)*5,1,1))*N$2</f>
        <v>0</v>
      </c>
      <c r="AA169" s="5">
        <f ca="1">SUM(OFFSET(Demand!$H178,0,(COLUMN(B166)-1)*5,1,1))*O$2</f>
        <v>0</v>
      </c>
      <c r="AB169" s="5">
        <f ca="1">SUM(OFFSET(Demand!$H178,0,(COLUMN(C166)-1)*5,1,1))*P$2</f>
        <v>0</v>
      </c>
      <c r="AC169" s="5">
        <f ca="1">SUM(OFFSET(Demand!$H178,0,(COLUMN(D166)-1)*5,1,1))*Q$2</f>
        <v>0</v>
      </c>
      <c r="AD169" s="5">
        <f ca="1">SUM(OFFSET(Demand!$H178,0,(COLUMN(E166)-1)*5,1,1))*R$2</f>
        <v>0</v>
      </c>
      <c r="AE169" s="5">
        <f ca="1">SUM(OFFSET(Demand!$H178,0,(COLUMN(F166)-1)*5,1,1))*S$2</f>
        <v>0</v>
      </c>
      <c r="AF169" s="5">
        <f ca="1">SUM(OFFSET(Demand!$H178,0,(COLUMN(G166)-1)*5,1,1))*T$2</f>
        <v>0</v>
      </c>
      <c r="AG169" s="5">
        <f ca="1">SUM(OFFSET(Demand!$H178,0,(COLUMN(H166)-1)*5,1,1))*U$2</f>
        <v>0</v>
      </c>
      <c r="AH169" s="5">
        <f ca="1">SUM(OFFSET(Demand!$H178,0,(COLUMN(I166)-1)*5,1,1))*V$2</f>
        <v>0</v>
      </c>
      <c r="AI169" s="5">
        <f ca="1">SUM(OFFSET(Demand!$H178,0,(COLUMN(J166)-1)*5,1,1))*W$2</f>
        <v>0</v>
      </c>
      <c r="AJ169" s="5">
        <f t="shared" ca="1" si="41"/>
        <v>0</v>
      </c>
      <c r="AL169" s="5">
        <f t="shared" ca="1" si="42"/>
        <v>0</v>
      </c>
      <c r="AM169" s="5">
        <f t="shared" ca="1" si="43"/>
        <v>0</v>
      </c>
      <c r="AN169" s="5" t="str">
        <f>IF(Demand!BE178="Yes","Yes","")</f>
        <v/>
      </c>
      <c r="AP169" s="37" t="str">
        <f ca="1">Demand!B178</f>
        <v xml:space="preserve"> </v>
      </c>
      <c r="AQ169" t="str">
        <f ca="1">IF(TEXT(Demand!D178,"MMM")&lt;&gt;TEXT(Demand!D177,"MMM"),TEXT(Demand!D178,"MMM"),"")</f>
        <v/>
      </c>
      <c r="AT169" s="5">
        <f t="shared" ca="1" si="45"/>
        <v>0</v>
      </c>
      <c r="BQ169">
        <f ca="1">IF($AN169="",OFFSET(Demand!$A$13,ROW(A166)-1,4+((QUOTIENT(COLUMN(BQ$2)-69,3))*5)+MOD(COLUMN(BQ$2),3),1,1),"")</f>
        <v>0</v>
      </c>
      <c r="BR169">
        <f ca="1">IF($AN169="",OFFSET(Demand!$A$13,ROW(B166)-1,4+((QUOTIENT(COLUMN(BR$2)-69,3))*5)+MOD(COLUMN(BR$2),3),1,1),"")</f>
        <v>0</v>
      </c>
      <c r="BS169">
        <f ca="1">IF($AN169="",OFFSET(Demand!$A$13,ROW(C166)-1,4+((QUOTIENT(COLUMN(BS$2)-69,3))*5)+MOD(COLUMN(BS$2),3),1,1),"")</f>
        <v>0</v>
      </c>
      <c r="BT169">
        <f ca="1">IF($AN169="",OFFSET(Demand!$A$13,ROW(D166)-1,4+((QUOTIENT(COLUMN(BT$2)-69,3))*5)+MOD(COLUMN(BT$2),3),1,1),"")</f>
        <v>0</v>
      </c>
      <c r="BU169">
        <f ca="1">IF($AN169="",OFFSET(Demand!$A$13,ROW(E166)-1,4+((QUOTIENT(COLUMN(BU$2)-69,3))*5)+MOD(COLUMN(BU$2),3),1,1),"")</f>
        <v>0</v>
      </c>
      <c r="BV169">
        <f ca="1">IF($AN169="",OFFSET(Demand!$A$13,ROW(F166)-1,4+((QUOTIENT(COLUMN(BV$2)-69,3))*5)+MOD(COLUMN(BV$2),3),1,1),"")</f>
        <v>0</v>
      </c>
      <c r="BW169">
        <f ca="1">IF($AN169="",OFFSET(Demand!$A$13,ROW(G166)-1,4+((QUOTIENT(COLUMN(BW$2)-69,3))*5)+MOD(COLUMN(BW$2),3),1,1),"")</f>
        <v>0</v>
      </c>
      <c r="BX169">
        <f ca="1">IF($AN169="",OFFSET(Demand!$A$13,ROW(H166)-1,4+((QUOTIENT(COLUMN(BX$2)-69,3))*5)+MOD(COLUMN(BX$2),3),1,1),"")</f>
        <v>0</v>
      </c>
      <c r="BY169">
        <f ca="1">IF($AN169="",OFFSET(Demand!$A$13,ROW(I166)-1,4+((QUOTIENT(COLUMN(BY$2)-69,3))*5)+MOD(COLUMN(BY$2),3),1,1),"")</f>
        <v>0</v>
      </c>
      <c r="BZ169">
        <f ca="1">IF($AN169="",OFFSET(Demand!$A$13,ROW(J166)-1,4+((QUOTIENT(COLUMN(BZ$2)-69,3))*5)+MOD(COLUMN(BZ$2),3),1,1),"")</f>
        <v>0</v>
      </c>
      <c r="CA169">
        <f ca="1">IF($AN169="",OFFSET(Demand!$A$13,ROW(K166)-1,4+((QUOTIENT(COLUMN(CA$2)-69,3))*5)+MOD(COLUMN(CA$2),3),1,1),"")</f>
        <v>0</v>
      </c>
      <c r="CB169">
        <f ca="1">IF($AN169="",OFFSET(Demand!$A$13,ROW(L166)-1,4+((QUOTIENT(COLUMN(CB$2)-69,3))*5)+MOD(COLUMN(CB$2),3),1,1),"")</f>
        <v>0</v>
      </c>
      <c r="CC169">
        <f ca="1">IF($AN169="",OFFSET(Demand!$A$13,ROW(M166)-1,4+((QUOTIENT(COLUMN(CC$2)-69,3))*5)+MOD(COLUMN(CC$2),3),1,1),"")</f>
        <v>0</v>
      </c>
      <c r="CD169">
        <f ca="1">IF($AN169="",OFFSET(Demand!$A$13,ROW(N166)-1,4+((QUOTIENT(COLUMN(CD$2)-69,3))*5)+MOD(COLUMN(CD$2),3),1,1),"")</f>
        <v>0</v>
      </c>
      <c r="CE169">
        <f ca="1">IF($AN169="",OFFSET(Demand!$A$13,ROW(O166)-1,4+((QUOTIENT(COLUMN(CE$2)-69,3))*5)+MOD(COLUMN(CE$2),3),1,1),"")</f>
        <v>0</v>
      </c>
      <c r="CF169">
        <f ca="1">IF($AN169="",OFFSET(Demand!$A$13,ROW(P166)-1,4+((QUOTIENT(COLUMN(CF$2)-69,3))*5)+MOD(COLUMN(CF$2),3),1,1),"")</f>
        <v>0</v>
      </c>
      <c r="CG169">
        <f ca="1">IF($AN169="",OFFSET(Demand!$A$13,ROW(Q166)-1,4+((QUOTIENT(COLUMN(CG$2)-69,3))*5)+MOD(COLUMN(CG$2),3),1,1),"")</f>
        <v>0</v>
      </c>
      <c r="CH169">
        <f ca="1">IF($AN169="",OFFSET(Demand!$A$13,ROW(R166)-1,4+((QUOTIENT(COLUMN(CH$2)-69,3))*5)+MOD(COLUMN(CH$2),3),1,1),"")</f>
        <v>0</v>
      </c>
      <c r="CI169">
        <f ca="1">IF($AN169="",OFFSET(Demand!$A$13,ROW(S166)-1,4+((QUOTIENT(COLUMN(CI$2)-69,3))*5)+MOD(COLUMN(CI$2),3),1,1),"")</f>
        <v>0</v>
      </c>
      <c r="CJ169">
        <f ca="1">IF($AN169="",OFFSET(Demand!$A$13,ROW(T166)-1,4+((QUOTIENT(COLUMN(CJ$2)-69,3))*5)+MOD(COLUMN(CJ$2),3),1,1),"")</f>
        <v>0</v>
      </c>
      <c r="CK169">
        <f ca="1">IF($AN169="",OFFSET(Demand!$A$13,ROW(U166)-1,4+((QUOTIENT(COLUMN(CK$2)-69,3))*5)+MOD(COLUMN(CK$2),3),1,1),"")</f>
        <v>0</v>
      </c>
      <c r="CL169">
        <f ca="1">IF($AN169="",OFFSET(Demand!$A$13,ROW(V166)-1,4+((QUOTIENT(COLUMN(CL$2)-69,3))*5)+MOD(COLUMN(CL$2),3),1,1),"")</f>
        <v>0</v>
      </c>
      <c r="CM169">
        <f ca="1">IF($AN169="",OFFSET(Demand!$A$13,ROW(W166)-1,4+((QUOTIENT(COLUMN(CM$2)-69,3))*5)+MOD(COLUMN(CM$2),3),1,1),"")</f>
        <v>0</v>
      </c>
      <c r="CN169">
        <f ca="1">IF($AN169="",OFFSET(Demand!$A$13,ROW(X166)-1,4+((QUOTIENT(COLUMN(CN$2)-69,3))*5)+MOD(COLUMN(CN$2),3),1,1),"")</f>
        <v>0</v>
      </c>
      <c r="CO169">
        <f ca="1">IF($AN169="",OFFSET(Demand!$A$13,ROW(Y166)-1,4+((QUOTIENT(COLUMN(CO$2)-69,3))*5)+MOD(COLUMN(CO$2),3),1,1),"")</f>
        <v>0</v>
      </c>
      <c r="CP169">
        <f ca="1">IF($AN169="",OFFSET(Demand!$A$13,ROW(Z166)-1,4+((QUOTIENT(COLUMN(CP$2)-69,3))*5)+MOD(COLUMN(CP$2),3),1,1),"")</f>
        <v>0</v>
      </c>
      <c r="CQ169">
        <f ca="1">IF($AN169="",OFFSET(Demand!$A$13,ROW(AA166)-1,4+((QUOTIENT(COLUMN(CQ$2)-69,3))*5)+MOD(COLUMN(CQ$2),3),1,1),"")</f>
        <v>0</v>
      </c>
      <c r="CR169">
        <f ca="1">IF($AN169="",OFFSET(Demand!$A$13,ROW(AB166)-1,4+((QUOTIENT(COLUMN(CR$2)-69,3))*5)+MOD(COLUMN(CR$2),3),1,1),"")</f>
        <v>0</v>
      </c>
      <c r="CS169">
        <f ca="1">IF($AN169="",OFFSET(Demand!$A$13,ROW(AC166)-1,4+((QUOTIENT(COLUMN(CS$2)-69,3))*5)+MOD(COLUMN(CS$2),3),1,1),"")</f>
        <v>0</v>
      </c>
      <c r="CT169">
        <f ca="1">IF($AN169="",OFFSET(Demand!$A$13,ROW(AD166)-1,4+((QUOTIENT(COLUMN(CT$2)-69,3))*5)+MOD(COLUMN(CT$2),3),1,1),"")</f>
        <v>0</v>
      </c>
      <c r="CW169" s="5">
        <f ca="1">SUM(OFFSET(Demand!$H$43,ROW(A166)-1,(COLUMN(A166)-1)*5,1,1))*N$2</f>
        <v>0</v>
      </c>
      <c r="CX169" s="5">
        <f ca="1">SUM(OFFSET(Demand!$H$43,ROW(B166)-1,(COLUMN(B166)-1)*5,1,1))*O$2</f>
        <v>0</v>
      </c>
      <c r="CY169" s="5">
        <f ca="1">SUM(OFFSET(Demand!$H$43,ROW(C166)-1,(COLUMN(C166)-1)*5,1,1))*P$2</f>
        <v>0</v>
      </c>
      <c r="CZ169" s="5">
        <f ca="1">SUM(OFFSET(Demand!$H$43,ROW(D166)-1,(COLUMN(D166)-1)*5,1,1))*Q$2</f>
        <v>0</v>
      </c>
      <c r="DA169" s="5">
        <f ca="1">SUM(OFFSET(Demand!$H$43,ROW(E166)-1,(COLUMN(E166)-1)*5,1,1))*R$2</f>
        <v>0</v>
      </c>
      <c r="DB169" s="5">
        <f ca="1">SUM(OFFSET(Demand!$H$43,ROW(F166)-1,(COLUMN(F166)-1)*5,1,1))*S$2</f>
        <v>0</v>
      </c>
      <c r="DC169" s="5">
        <f ca="1">SUM(OFFSET(Demand!$H$43,ROW(G166)-1,(COLUMN(G166)-1)*5,1,1))*T$2</f>
        <v>0</v>
      </c>
      <c r="DD169" s="5">
        <f ca="1">SUM(OFFSET(Demand!$H$43,ROW(H166)-1,(COLUMN(H166)-1)*5,1,1))*U$2</f>
        <v>0</v>
      </c>
      <c r="DE169" s="5">
        <f ca="1">SUM(OFFSET(Demand!$H$43,ROW(I166)-1,(COLUMN(I166)-1)*5,1,1))*V$2</f>
        <v>0</v>
      </c>
      <c r="DF169" s="5">
        <f ca="1">SUM(OFFSET(Demand!$H$43,ROW(J166)-1,(COLUMN(J166)-1)*5,1,1))*W$2</f>
        <v>0</v>
      </c>
      <c r="DG169" s="5">
        <f t="shared" ca="1" si="44"/>
        <v>0</v>
      </c>
    </row>
    <row r="170" spans="1:111" x14ac:dyDescent="0.2">
      <c r="A170" s="5">
        <f t="shared" ca="1" si="38"/>
        <v>2</v>
      </c>
      <c r="B170" s="5">
        <f ca="1">COUNTBLANK(OFFSET(Demand!$I179,0,(COLUMN(A167)-1)*5,1,1))</f>
        <v>1</v>
      </c>
      <c r="C170" s="5">
        <f ca="1">COUNTBLANK(OFFSET(Demand!$I179,0,(COLUMN(B167)-1)*5,1,1))</f>
        <v>1</v>
      </c>
      <c r="D170" s="5">
        <f ca="1">COUNTBLANK(OFFSET(Demand!$I179,0,(COLUMN(C167)-1)*5,1,1))</f>
        <v>1</v>
      </c>
      <c r="E170" s="5">
        <f ca="1">COUNTBLANK(OFFSET(Demand!$I179,0,(COLUMN(D167)-1)*5,1,1))</f>
        <v>1</v>
      </c>
      <c r="F170" s="5">
        <f ca="1">COUNTBLANK(OFFSET(Demand!$I179,0,(COLUMN(E167)-1)*5,1,1))</f>
        <v>1</v>
      </c>
      <c r="G170" s="5">
        <f ca="1">COUNTBLANK(OFFSET(Demand!$I179,0,(COLUMN(F167)-1)*5,1,1))</f>
        <v>1</v>
      </c>
      <c r="H170" s="5">
        <f ca="1">COUNTBLANK(OFFSET(Demand!$I179,0,(COLUMN(G167)-1)*5,1,1))</f>
        <v>1</v>
      </c>
      <c r="I170" s="5">
        <f ca="1">COUNTBLANK(OFFSET(Demand!$I179,0,(COLUMN(H167)-1)*5,1,1))</f>
        <v>1</v>
      </c>
      <c r="J170" s="5">
        <f ca="1">COUNTBLANK(OFFSET(Demand!$I179,0,(COLUMN(I167)-1)*5,1,1))</f>
        <v>1</v>
      </c>
      <c r="K170" s="5">
        <f ca="1">COUNTBLANK(OFFSET(Demand!$I179,0,(COLUMN(J167)-1)*5,1,1))</f>
        <v>1</v>
      </c>
      <c r="N170" s="5">
        <f ca="1">SUM(OFFSET(Demand!$E179,0,(COLUMN(A167)-1)*5,1,3))*N$2</f>
        <v>0</v>
      </c>
      <c r="O170" s="5">
        <f ca="1">SUM(OFFSET(Demand!$E179,0,(COLUMN(B167)-1)*5,1,3))*O$2</f>
        <v>0</v>
      </c>
      <c r="P170" s="5">
        <f ca="1">SUM(OFFSET(Demand!$E179,0,(COLUMN(C167)-1)*5,1,3))*P$2</f>
        <v>0</v>
      </c>
      <c r="Q170" s="5">
        <f ca="1">SUM(OFFSET(Demand!$E179,0,(COLUMN(D167)-1)*5,1,3))*Q$2</f>
        <v>0</v>
      </c>
      <c r="R170" s="5">
        <f ca="1">SUM(OFFSET(Demand!$E179,0,(COLUMN(E167)-1)*5,1,3))*R$2</f>
        <v>0</v>
      </c>
      <c r="S170" s="5">
        <f ca="1">SUM(OFFSET(Demand!$E179,0,(COLUMN(F167)-1)*5,1,3))*S$2</f>
        <v>0</v>
      </c>
      <c r="T170" s="5">
        <f ca="1">SUM(OFFSET(Demand!$E179,0,(COLUMN(G167)-1)*5,1,3))*T$2</f>
        <v>0</v>
      </c>
      <c r="U170" s="5">
        <f ca="1">SUM(OFFSET(Demand!$E179,0,(COLUMN(H167)-1)*5,1,3))*U$2</f>
        <v>0</v>
      </c>
      <c r="V170" s="5">
        <f ca="1">SUM(OFFSET(Demand!$E179,0,(COLUMN(I167)-1)*5,1,3))*V$2</f>
        <v>0</v>
      </c>
      <c r="W170" s="5">
        <f ca="1">SUM(OFFSET(Demand!$E179,0,(COLUMN(J167)-1)*5,1,3))*W$2</f>
        <v>0</v>
      </c>
      <c r="X170" s="5">
        <f t="shared" ca="1" si="39"/>
        <v>0</v>
      </c>
      <c r="Y170">
        <f t="shared" ca="1" si="40"/>
        <v>0</v>
      </c>
      <c r="Z170" s="5">
        <f ca="1">SUM(OFFSET(Demand!$H179,0,(COLUMN(A167)-1)*5,1,1))*N$2</f>
        <v>0</v>
      </c>
      <c r="AA170" s="5">
        <f ca="1">SUM(OFFSET(Demand!$H179,0,(COLUMN(B167)-1)*5,1,1))*O$2</f>
        <v>0</v>
      </c>
      <c r="AB170" s="5">
        <f ca="1">SUM(OFFSET(Demand!$H179,0,(COLUMN(C167)-1)*5,1,1))*P$2</f>
        <v>0</v>
      </c>
      <c r="AC170" s="5">
        <f ca="1">SUM(OFFSET(Demand!$H179,0,(COLUMN(D167)-1)*5,1,1))*Q$2</f>
        <v>0</v>
      </c>
      <c r="AD170" s="5">
        <f ca="1">SUM(OFFSET(Demand!$H179,0,(COLUMN(E167)-1)*5,1,1))*R$2</f>
        <v>0</v>
      </c>
      <c r="AE170" s="5">
        <f ca="1">SUM(OFFSET(Demand!$H179,0,(COLUMN(F167)-1)*5,1,1))*S$2</f>
        <v>0</v>
      </c>
      <c r="AF170" s="5">
        <f ca="1">SUM(OFFSET(Demand!$H179,0,(COLUMN(G167)-1)*5,1,1))*T$2</f>
        <v>0</v>
      </c>
      <c r="AG170" s="5">
        <f ca="1">SUM(OFFSET(Demand!$H179,0,(COLUMN(H167)-1)*5,1,1))*U$2</f>
        <v>0</v>
      </c>
      <c r="AH170" s="5">
        <f ca="1">SUM(OFFSET(Demand!$H179,0,(COLUMN(I167)-1)*5,1,1))*V$2</f>
        <v>0</v>
      </c>
      <c r="AI170" s="5">
        <f ca="1">SUM(OFFSET(Demand!$H179,0,(COLUMN(J167)-1)*5,1,1))*W$2</f>
        <v>0</v>
      </c>
      <c r="AJ170" s="5">
        <f t="shared" ca="1" si="41"/>
        <v>0</v>
      </c>
      <c r="AL170" s="5">
        <f t="shared" ca="1" si="42"/>
        <v>0</v>
      </c>
      <c r="AM170" s="5">
        <f t="shared" ca="1" si="43"/>
        <v>0</v>
      </c>
      <c r="AN170" s="5" t="str">
        <f>IF(Demand!BE179="Yes","Yes","")</f>
        <v/>
      </c>
      <c r="AP170" s="37" t="str">
        <f ca="1">Demand!B179</f>
        <v xml:space="preserve"> </v>
      </c>
      <c r="AQ170" t="str">
        <f ca="1">IF(TEXT(Demand!D179,"MMM")&lt;&gt;TEXT(Demand!D178,"MMM"),TEXT(Demand!D179,"MMM"),"")</f>
        <v/>
      </c>
      <c r="AT170" s="5">
        <f t="shared" ca="1" si="45"/>
        <v>0</v>
      </c>
      <c r="BQ170">
        <f ca="1">IF($AN170="",OFFSET(Demand!$A$13,ROW(A167)-1,4+((QUOTIENT(COLUMN(BQ$2)-69,3))*5)+MOD(COLUMN(BQ$2),3),1,1),"")</f>
        <v>0</v>
      </c>
      <c r="BR170">
        <f ca="1">IF($AN170="",OFFSET(Demand!$A$13,ROW(B167)-1,4+((QUOTIENT(COLUMN(BR$2)-69,3))*5)+MOD(COLUMN(BR$2),3),1,1),"")</f>
        <v>0</v>
      </c>
      <c r="BS170">
        <f ca="1">IF($AN170="",OFFSET(Demand!$A$13,ROW(C167)-1,4+((QUOTIENT(COLUMN(BS$2)-69,3))*5)+MOD(COLUMN(BS$2),3),1,1),"")</f>
        <v>0</v>
      </c>
      <c r="BT170">
        <f ca="1">IF($AN170="",OFFSET(Demand!$A$13,ROW(D167)-1,4+((QUOTIENT(COLUMN(BT$2)-69,3))*5)+MOD(COLUMN(BT$2),3),1,1),"")</f>
        <v>0</v>
      </c>
      <c r="BU170">
        <f ca="1">IF($AN170="",OFFSET(Demand!$A$13,ROW(E167)-1,4+((QUOTIENT(COLUMN(BU$2)-69,3))*5)+MOD(COLUMN(BU$2),3),1,1),"")</f>
        <v>0</v>
      </c>
      <c r="BV170">
        <f ca="1">IF($AN170="",OFFSET(Demand!$A$13,ROW(F167)-1,4+((QUOTIENT(COLUMN(BV$2)-69,3))*5)+MOD(COLUMN(BV$2),3),1,1),"")</f>
        <v>0</v>
      </c>
      <c r="BW170">
        <f ca="1">IF($AN170="",OFFSET(Demand!$A$13,ROW(G167)-1,4+((QUOTIENT(COLUMN(BW$2)-69,3))*5)+MOD(COLUMN(BW$2),3),1,1),"")</f>
        <v>0</v>
      </c>
      <c r="BX170">
        <f ca="1">IF($AN170="",OFFSET(Demand!$A$13,ROW(H167)-1,4+((QUOTIENT(COLUMN(BX$2)-69,3))*5)+MOD(COLUMN(BX$2),3),1,1),"")</f>
        <v>0</v>
      </c>
      <c r="BY170">
        <f ca="1">IF($AN170="",OFFSET(Demand!$A$13,ROW(I167)-1,4+((QUOTIENT(COLUMN(BY$2)-69,3))*5)+MOD(COLUMN(BY$2),3),1,1),"")</f>
        <v>0</v>
      </c>
      <c r="BZ170">
        <f ca="1">IF($AN170="",OFFSET(Demand!$A$13,ROW(J167)-1,4+((QUOTIENT(COLUMN(BZ$2)-69,3))*5)+MOD(COLUMN(BZ$2),3),1,1),"")</f>
        <v>0</v>
      </c>
      <c r="CA170">
        <f ca="1">IF($AN170="",OFFSET(Demand!$A$13,ROW(K167)-1,4+((QUOTIENT(COLUMN(CA$2)-69,3))*5)+MOD(COLUMN(CA$2),3),1,1),"")</f>
        <v>0</v>
      </c>
      <c r="CB170">
        <f ca="1">IF($AN170="",OFFSET(Demand!$A$13,ROW(L167)-1,4+((QUOTIENT(COLUMN(CB$2)-69,3))*5)+MOD(COLUMN(CB$2),3),1,1),"")</f>
        <v>0</v>
      </c>
      <c r="CC170">
        <f ca="1">IF($AN170="",OFFSET(Demand!$A$13,ROW(M167)-1,4+((QUOTIENT(COLUMN(CC$2)-69,3))*5)+MOD(COLUMN(CC$2),3),1,1),"")</f>
        <v>0</v>
      </c>
      <c r="CD170">
        <f ca="1">IF($AN170="",OFFSET(Demand!$A$13,ROW(N167)-1,4+((QUOTIENT(COLUMN(CD$2)-69,3))*5)+MOD(COLUMN(CD$2),3),1,1),"")</f>
        <v>0</v>
      </c>
      <c r="CE170">
        <f ca="1">IF($AN170="",OFFSET(Demand!$A$13,ROW(O167)-1,4+((QUOTIENT(COLUMN(CE$2)-69,3))*5)+MOD(COLUMN(CE$2),3),1,1),"")</f>
        <v>0</v>
      </c>
      <c r="CF170">
        <f ca="1">IF($AN170="",OFFSET(Demand!$A$13,ROW(P167)-1,4+((QUOTIENT(COLUMN(CF$2)-69,3))*5)+MOD(COLUMN(CF$2),3),1,1),"")</f>
        <v>0</v>
      </c>
      <c r="CG170">
        <f ca="1">IF($AN170="",OFFSET(Demand!$A$13,ROW(Q167)-1,4+((QUOTIENT(COLUMN(CG$2)-69,3))*5)+MOD(COLUMN(CG$2),3),1,1),"")</f>
        <v>0</v>
      </c>
      <c r="CH170">
        <f ca="1">IF($AN170="",OFFSET(Demand!$A$13,ROW(R167)-1,4+((QUOTIENT(COLUMN(CH$2)-69,3))*5)+MOD(COLUMN(CH$2),3),1,1),"")</f>
        <v>0</v>
      </c>
      <c r="CI170">
        <f ca="1">IF($AN170="",OFFSET(Demand!$A$13,ROW(S167)-1,4+((QUOTIENT(COLUMN(CI$2)-69,3))*5)+MOD(COLUMN(CI$2),3),1,1),"")</f>
        <v>0</v>
      </c>
      <c r="CJ170">
        <f ca="1">IF($AN170="",OFFSET(Demand!$A$13,ROW(T167)-1,4+((QUOTIENT(COLUMN(CJ$2)-69,3))*5)+MOD(COLUMN(CJ$2),3),1,1),"")</f>
        <v>0</v>
      </c>
      <c r="CK170">
        <f ca="1">IF($AN170="",OFFSET(Demand!$A$13,ROW(U167)-1,4+((QUOTIENT(COLUMN(CK$2)-69,3))*5)+MOD(COLUMN(CK$2),3),1,1),"")</f>
        <v>0</v>
      </c>
      <c r="CL170">
        <f ca="1">IF($AN170="",OFFSET(Demand!$A$13,ROW(V167)-1,4+((QUOTIENT(COLUMN(CL$2)-69,3))*5)+MOD(COLUMN(CL$2),3),1,1),"")</f>
        <v>0</v>
      </c>
      <c r="CM170">
        <f ca="1">IF($AN170="",OFFSET(Demand!$A$13,ROW(W167)-1,4+((QUOTIENT(COLUMN(CM$2)-69,3))*5)+MOD(COLUMN(CM$2),3),1,1),"")</f>
        <v>0</v>
      </c>
      <c r="CN170">
        <f ca="1">IF($AN170="",OFFSET(Demand!$A$13,ROW(X167)-1,4+((QUOTIENT(COLUMN(CN$2)-69,3))*5)+MOD(COLUMN(CN$2),3),1,1),"")</f>
        <v>0</v>
      </c>
      <c r="CO170">
        <f ca="1">IF($AN170="",OFFSET(Demand!$A$13,ROW(Y167)-1,4+((QUOTIENT(COLUMN(CO$2)-69,3))*5)+MOD(COLUMN(CO$2),3),1,1),"")</f>
        <v>0</v>
      </c>
      <c r="CP170">
        <f ca="1">IF($AN170="",OFFSET(Demand!$A$13,ROW(Z167)-1,4+((QUOTIENT(COLUMN(CP$2)-69,3))*5)+MOD(COLUMN(CP$2),3),1,1),"")</f>
        <v>0</v>
      </c>
      <c r="CQ170">
        <f ca="1">IF($AN170="",OFFSET(Demand!$A$13,ROW(AA167)-1,4+((QUOTIENT(COLUMN(CQ$2)-69,3))*5)+MOD(COLUMN(CQ$2),3),1,1),"")</f>
        <v>0</v>
      </c>
      <c r="CR170">
        <f ca="1">IF($AN170="",OFFSET(Demand!$A$13,ROW(AB167)-1,4+((QUOTIENT(COLUMN(CR$2)-69,3))*5)+MOD(COLUMN(CR$2),3),1,1),"")</f>
        <v>0</v>
      </c>
      <c r="CS170">
        <f ca="1">IF($AN170="",OFFSET(Demand!$A$13,ROW(AC167)-1,4+((QUOTIENT(COLUMN(CS$2)-69,3))*5)+MOD(COLUMN(CS$2),3),1,1),"")</f>
        <v>0</v>
      </c>
      <c r="CT170">
        <f ca="1">IF($AN170="",OFFSET(Demand!$A$13,ROW(AD167)-1,4+((QUOTIENT(COLUMN(CT$2)-69,3))*5)+MOD(COLUMN(CT$2),3),1,1),"")</f>
        <v>0</v>
      </c>
      <c r="CW170" s="5">
        <f ca="1">SUM(OFFSET(Demand!$H$43,ROW(A167)-1,(COLUMN(A167)-1)*5,1,1))*N$2</f>
        <v>0</v>
      </c>
      <c r="CX170" s="5">
        <f ca="1">SUM(OFFSET(Demand!$H$43,ROW(B167)-1,(COLUMN(B167)-1)*5,1,1))*O$2</f>
        <v>0</v>
      </c>
      <c r="CY170" s="5">
        <f ca="1">SUM(OFFSET(Demand!$H$43,ROW(C167)-1,(COLUMN(C167)-1)*5,1,1))*P$2</f>
        <v>0</v>
      </c>
      <c r="CZ170" s="5">
        <f ca="1">SUM(OFFSET(Demand!$H$43,ROW(D167)-1,(COLUMN(D167)-1)*5,1,1))*Q$2</f>
        <v>0</v>
      </c>
      <c r="DA170" s="5">
        <f ca="1">SUM(OFFSET(Demand!$H$43,ROW(E167)-1,(COLUMN(E167)-1)*5,1,1))*R$2</f>
        <v>0</v>
      </c>
      <c r="DB170" s="5">
        <f ca="1">SUM(OFFSET(Demand!$H$43,ROW(F167)-1,(COLUMN(F167)-1)*5,1,1))*S$2</f>
        <v>0</v>
      </c>
      <c r="DC170" s="5">
        <f ca="1">SUM(OFFSET(Demand!$H$43,ROW(G167)-1,(COLUMN(G167)-1)*5,1,1))*T$2</f>
        <v>0</v>
      </c>
      <c r="DD170" s="5">
        <f ca="1">SUM(OFFSET(Demand!$H$43,ROW(H167)-1,(COLUMN(H167)-1)*5,1,1))*U$2</f>
        <v>0</v>
      </c>
      <c r="DE170" s="5">
        <f ca="1">SUM(OFFSET(Demand!$H$43,ROW(I167)-1,(COLUMN(I167)-1)*5,1,1))*V$2</f>
        <v>0</v>
      </c>
      <c r="DF170" s="5">
        <f ca="1">SUM(OFFSET(Demand!$H$43,ROW(J167)-1,(COLUMN(J167)-1)*5,1,1))*W$2</f>
        <v>0</v>
      </c>
      <c r="DG170" s="5">
        <f t="shared" ca="1" si="44"/>
        <v>0</v>
      </c>
    </row>
    <row r="171" spans="1:111" x14ac:dyDescent="0.2">
      <c r="A171" s="5">
        <f t="shared" ca="1" si="38"/>
        <v>2</v>
      </c>
      <c r="B171" s="5">
        <f ca="1">COUNTBLANK(OFFSET(Demand!$I180,0,(COLUMN(A168)-1)*5,1,1))</f>
        <v>1</v>
      </c>
      <c r="C171" s="5">
        <f ca="1">COUNTBLANK(OFFSET(Demand!$I180,0,(COLUMN(B168)-1)*5,1,1))</f>
        <v>1</v>
      </c>
      <c r="D171" s="5">
        <f ca="1">COUNTBLANK(OFFSET(Demand!$I180,0,(COLUMN(C168)-1)*5,1,1))</f>
        <v>1</v>
      </c>
      <c r="E171" s="5">
        <f ca="1">COUNTBLANK(OFFSET(Demand!$I180,0,(COLUMN(D168)-1)*5,1,1))</f>
        <v>1</v>
      </c>
      <c r="F171" s="5">
        <f ca="1">COUNTBLANK(OFFSET(Demand!$I180,0,(COLUMN(E168)-1)*5,1,1))</f>
        <v>1</v>
      </c>
      <c r="G171" s="5">
        <f ca="1">COUNTBLANK(OFFSET(Demand!$I180,0,(COLUMN(F168)-1)*5,1,1))</f>
        <v>1</v>
      </c>
      <c r="H171" s="5">
        <f ca="1">COUNTBLANK(OFFSET(Demand!$I180,0,(COLUMN(G168)-1)*5,1,1))</f>
        <v>1</v>
      </c>
      <c r="I171" s="5">
        <f ca="1">COUNTBLANK(OFFSET(Demand!$I180,0,(COLUMN(H168)-1)*5,1,1))</f>
        <v>1</v>
      </c>
      <c r="J171" s="5">
        <f ca="1">COUNTBLANK(OFFSET(Demand!$I180,0,(COLUMN(I168)-1)*5,1,1))</f>
        <v>1</v>
      </c>
      <c r="K171" s="5">
        <f ca="1">COUNTBLANK(OFFSET(Demand!$I180,0,(COLUMN(J168)-1)*5,1,1))</f>
        <v>1</v>
      </c>
      <c r="N171" s="5">
        <f ca="1">SUM(OFFSET(Demand!$E180,0,(COLUMN(A168)-1)*5,1,3))*N$2</f>
        <v>0</v>
      </c>
      <c r="O171" s="5">
        <f ca="1">SUM(OFFSET(Demand!$E180,0,(COLUMN(B168)-1)*5,1,3))*O$2</f>
        <v>0</v>
      </c>
      <c r="P171" s="5">
        <f ca="1">SUM(OFFSET(Demand!$E180,0,(COLUMN(C168)-1)*5,1,3))*P$2</f>
        <v>0</v>
      </c>
      <c r="Q171" s="5">
        <f ca="1">SUM(OFFSET(Demand!$E180,0,(COLUMN(D168)-1)*5,1,3))*Q$2</f>
        <v>0</v>
      </c>
      <c r="R171" s="5">
        <f ca="1">SUM(OFFSET(Demand!$E180,0,(COLUMN(E168)-1)*5,1,3))*R$2</f>
        <v>0</v>
      </c>
      <c r="S171" s="5">
        <f ca="1">SUM(OFFSET(Demand!$E180,0,(COLUMN(F168)-1)*5,1,3))*S$2</f>
        <v>0</v>
      </c>
      <c r="T171" s="5">
        <f ca="1">SUM(OFFSET(Demand!$E180,0,(COLUMN(G168)-1)*5,1,3))*T$2</f>
        <v>0</v>
      </c>
      <c r="U171" s="5">
        <f ca="1">SUM(OFFSET(Demand!$E180,0,(COLUMN(H168)-1)*5,1,3))*U$2</f>
        <v>0</v>
      </c>
      <c r="V171" s="5">
        <f ca="1">SUM(OFFSET(Demand!$E180,0,(COLUMN(I168)-1)*5,1,3))*V$2</f>
        <v>0</v>
      </c>
      <c r="W171" s="5">
        <f ca="1">SUM(OFFSET(Demand!$E180,0,(COLUMN(J168)-1)*5,1,3))*W$2</f>
        <v>0</v>
      </c>
      <c r="X171" s="5">
        <f t="shared" ca="1" si="39"/>
        <v>0</v>
      </c>
      <c r="Y171">
        <f t="shared" ca="1" si="40"/>
        <v>0</v>
      </c>
      <c r="Z171" s="5">
        <f ca="1">SUM(OFFSET(Demand!$H180,0,(COLUMN(A168)-1)*5,1,1))*N$2</f>
        <v>0</v>
      </c>
      <c r="AA171" s="5">
        <f ca="1">SUM(OFFSET(Demand!$H180,0,(COLUMN(B168)-1)*5,1,1))*O$2</f>
        <v>0</v>
      </c>
      <c r="AB171" s="5">
        <f ca="1">SUM(OFFSET(Demand!$H180,0,(COLUMN(C168)-1)*5,1,1))*P$2</f>
        <v>0</v>
      </c>
      <c r="AC171" s="5">
        <f ca="1">SUM(OFFSET(Demand!$H180,0,(COLUMN(D168)-1)*5,1,1))*Q$2</f>
        <v>0</v>
      </c>
      <c r="AD171" s="5">
        <f ca="1">SUM(OFFSET(Demand!$H180,0,(COLUMN(E168)-1)*5,1,1))*R$2</f>
        <v>0</v>
      </c>
      <c r="AE171" s="5">
        <f ca="1">SUM(OFFSET(Demand!$H180,0,(COLUMN(F168)-1)*5,1,1))*S$2</f>
        <v>0</v>
      </c>
      <c r="AF171" s="5">
        <f ca="1">SUM(OFFSET(Demand!$H180,0,(COLUMN(G168)-1)*5,1,1))*T$2</f>
        <v>0</v>
      </c>
      <c r="AG171" s="5">
        <f ca="1">SUM(OFFSET(Demand!$H180,0,(COLUMN(H168)-1)*5,1,1))*U$2</f>
        <v>0</v>
      </c>
      <c r="AH171" s="5">
        <f ca="1">SUM(OFFSET(Demand!$H180,0,(COLUMN(I168)-1)*5,1,1))*V$2</f>
        <v>0</v>
      </c>
      <c r="AI171" s="5">
        <f ca="1">SUM(OFFSET(Demand!$H180,0,(COLUMN(J168)-1)*5,1,1))*W$2</f>
        <v>0</v>
      </c>
      <c r="AJ171" s="5">
        <f t="shared" ca="1" si="41"/>
        <v>0</v>
      </c>
      <c r="AL171" s="5">
        <f t="shared" ca="1" si="42"/>
        <v>0</v>
      </c>
      <c r="AM171" s="5">
        <f t="shared" ca="1" si="43"/>
        <v>0</v>
      </c>
      <c r="AN171" s="5" t="str">
        <f>IF(Demand!BE180="Yes","Yes","")</f>
        <v/>
      </c>
      <c r="AP171" s="37" t="str">
        <f ca="1">Demand!B180</f>
        <v xml:space="preserve"> </v>
      </c>
      <c r="AQ171" t="str">
        <f ca="1">IF(TEXT(Demand!D180,"MMM")&lt;&gt;TEXT(Demand!D179,"MMM"),TEXT(Demand!D180,"MMM"),"")</f>
        <v/>
      </c>
      <c r="AT171" s="5">
        <f t="shared" ca="1" si="45"/>
        <v>0</v>
      </c>
      <c r="BQ171">
        <f ca="1">IF($AN171="",OFFSET(Demand!$A$13,ROW(A168)-1,4+((QUOTIENT(COLUMN(BQ$2)-69,3))*5)+MOD(COLUMN(BQ$2),3),1,1),"")</f>
        <v>0</v>
      </c>
      <c r="BR171">
        <f ca="1">IF($AN171="",OFFSET(Demand!$A$13,ROW(B168)-1,4+((QUOTIENT(COLUMN(BR$2)-69,3))*5)+MOD(COLUMN(BR$2),3),1,1),"")</f>
        <v>0</v>
      </c>
      <c r="BS171">
        <f ca="1">IF($AN171="",OFFSET(Demand!$A$13,ROW(C168)-1,4+((QUOTIENT(COLUMN(BS$2)-69,3))*5)+MOD(COLUMN(BS$2),3),1,1),"")</f>
        <v>0</v>
      </c>
      <c r="BT171">
        <f ca="1">IF($AN171="",OFFSET(Demand!$A$13,ROW(D168)-1,4+((QUOTIENT(COLUMN(BT$2)-69,3))*5)+MOD(COLUMN(BT$2),3),1,1),"")</f>
        <v>0</v>
      </c>
      <c r="BU171">
        <f ca="1">IF($AN171="",OFFSET(Demand!$A$13,ROW(E168)-1,4+((QUOTIENT(COLUMN(BU$2)-69,3))*5)+MOD(COLUMN(BU$2),3),1,1),"")</f>
        <v>0</v>
      </c>
      <c r="BV171">
        <f ca="1">IF($AN171="",OFFSET(Demand!$A$13,ROW(F168)-1,4+((QUOTIENT(COLUMN(BV$2)-69,3))*5)+MOD(COLUMN(BV$2),3),1,1),"")</f>
        <v>0</v>
      </c>
      <c r="BW171">
        <f ca="1">IF($AN171="",OFFSET(Demand!$A$13,ROW(G168)-1,4+((QUOTIENT(COLUMN(BW$2)-69,3))*5)+MOD(COLUMN(BW$2),3),1,1),"")</f>
        <v>0</v>
      </c>
      <c r="BX171">
        <f ca="1">IF($AN171="",OFFSET(Demand!$A$13,ROW(H168)-1,4+((QUOTIENT(COLUMN(BX$2)-69,3))*5)+MOD(COLUMN(BX$2),3),1,1),"")</f>
        <v>0</v>
      </c>
      <c r="BY171">
        <f ca="1">IF($AN171="",OFFSET(Demand!$A$13,ROW(I168)-1,4+((QUOTIENT(COLUMN(BY$2)-69,3))*5)+MOD(COLUMN(BY$2),3),1,1),"")</f>
        <v>0</v>
      </c>
      <c r="BZ171">
        <f ca="1">IF($AN171="",OFFSET(Demand!$A$13,ROW(J168)-1,4+((QUOTIENT(COLUMN(BZ$2)-69,3))*5)+MOD(COLUMN(BZ$2),3),1,1),"")</f>
        <v>0</v>
      </c>
      <c r="CA171">
        <f ca="1">IF($AN171="",OFFSET(Demand!$A$13,ROW(K168)-1,4+((QUOTIENT(COLUMN(CA$2)-69,3))*5)+MOD(COLUMN(CA$2),3),1,1),"")</f>
        <v>0</v>
      </c>
      <c r="CB171">
        <f ca="1">IF($AN171="",OFFSET(Demand!$A$13,ROW(L168)-1,4+((QUOTIENT(COLUMN(CB$2)-69,3))*5)+MOD(COLUMN(CB$2),3),1,1),"")</f>
        <v>0</v>
      </c>
      <c r="CC171">
        <f ca="1">IF($AN171="",OFFSET(Demand!$A$13,ROW(M168)-1,4+((QUOTIENT(COLUMN(CC$2)-69,3))*5)+MOD(COLUMN(CC$2),3),1,1),"")</f>
        <v>0</v>
      </c>
      <c r="CD171">
        <f ca="1">IF($AN171="",OFFSET(Demand!$A$13,ROW(N168)-1,4+((QUOTIENT(COLUMN(CD$2)-69,3))*5)+MOD(COLUMN(CD$2),3),1,1),"")</f>
        <v>0</v>
      </c>
      <c r="CE171">
        <f ca="1">IF($AN171="",OFFSET(Demand!$A$13,ROW(O168)-1,4+((QUOTIENT(COLUMN(CE$2)-69,3))*5)+MOD(COLUMN(CE$2),3),1,1),"")</f>
        <v>0</v>
      </c>
      <c r="CF171">
        <f ca="1">IF($AN171="",OFFSET(Demand!$A$13,ROW(P168)-1,4+((QUOTIENT(COLUMN(CF$2)-69,3))*5)+MOD(COLUMN(CF$2),3),1,1),"")</f>
        <v>0</v>
      </c>
      <c r="CG171">
        <f ca="1">IF($AN171="",OFFSET(Demand!$A$13,ROW(Q168)-1,4+((QUOTIENT(COLUMN(CG$2)-69,3))*5)+MOD(COLUMN(CG$2),3),1,1),"")</f>
        <v>0</v>
      </c>
      <c r="CH171">
        <f ca="1">IF($AN171="",OFFSET(Demand!$A$13,ROW(R168)-1,4+((QUOTIENT(COLUMN(CH$2)-69,3))*5)+MOD(COLUMN(CH$2),3),1,1),"")</f>
        <v>0</v>
      </c>
      <c r="CI171">
        <f ca="1">IF($AN171="",OFFSET(Demand!$A$13,ROW(S168)-1,4+((QUOTIENT(COLUMN(CI$2)-69,3))*5)+MOD(COLUMN(CI$2),3),1,1),"")</f>
        <v>0</v>
      </c>
      <c r="CJ171">
        <f ca="1">IF($AN171="",OFFSET(Demand!$A$13,ROW(T168)-1,4+((QUOTIENT(COLUMN(CJ$2)-69,3))*5)+MOD(COLUMN(CJ$2),3),1,1),"")</f>
        <v>0</v>
      </c>
      <c r="CK171">
        <f ca="1">IF($AN171="",OFFSET(Demand!$A$13,ROW(U168)-1,4+((QUOTIENT(COLUMN(CK$2)-69,3))*5)+MOD(COLUMN(CK$2),3),1,1),"")</f>
        <v>0</v>
      </c>
      <c r="CL171">
        <f ca="1">IF($AN171="",OFFSET(Demand!$A$13,ROW(V168)-1,4+((QUOTIENT(COLUMN(CL$2)-69,3))*5)+MOD(COLUMN(CL$2),3),1,1),"")</f>
        <v>0</v>
      </c>
      <c r="CM171">
        <f ca="1">IF($AN171="",OFFSET(Demand!$A$13,ROW(W168)-1,4+((QUOTIENT(COLUMN(CM$2)-69,3))*5)+MOD(COLUMN(CM$2),3),1,1),"")</f>
        <v>0</v>
      </c>
      <c r="CN171">
        <f ca="1">IF($AN171="",OFFSET(Demand!$A$13,ROW(X168)-1,4+((QUOTIENT(COLUMN(CN$2)-69,3))*5)+MOD(COLUMN(CN$2),3),1,1),"")</f>
        <v>0</v>
      </c>
      <c r="CO171">
        <f ca="1">IF($AN171="",OFFSET(Demand!$A$13,ROW(Y168)-1,4+((QUOTIENT(COLUMN(CO$2)-69,3))*5)+MOD(COLUMN(CO$2),3),1,1),"")</f>
        <v>0</v>
      </c>
      <c r="CP171">
        <f ca="1">IF($AN171="",OFFSET(Demand!$A$13,ROW(Z168)-1,4+((QUOTIENT(COLUMN(CP$2)-69,3))*5)+MOD(COLUMN(CP$2),3),1,1),"")</f>
        <v>0</v>
      </c>
      <c r="CQ171">
        <f ca="1">IF($AN171="",OFFSET(Demand!$A$13,ROW(AA168)-1,4+((QUOTIENT(COLUMN(CQ$2)-69,3))*5)+MOD(COLUMN(CQ$2),3),1,1),"")</f>
        <v>0</v>
      </c>
      <c r="CR171">
        <f ca="1">IF($AN171="",OFFSET(Demand!$A$13,ROW(AB168)-1,4+((QUOTIENT(COLUMN(CR$2)-69,3))*5)+MOD(COLUMN(CR$2),3),1,1),"")</f>
        <v>0</v>
      </c>
      <c r="CS171">
        <f ca="1">IF($AN171="",OFFSET(Demand!$A$13,ROW(AC168)-1,4+((QUOTIENT(COLUMN(CS$2)-69,3))*5)+MOD(COLUMN(CS$2),3),1,1),"")</f>
        <v>0</v>
      </c>
      <c r="CT171">
        <f ca="1">IF($AN171="",OFFSET(Demand!$A$13,ROW(AD168)-1,4+((QUOTIENT(COLUMN(CT$2)-69,3))*5)+MOD(COLUMN(CT$2),3),1,1),"")</f>
        <v>0</v>
      </c>
      <c r="CW171" s="5">
        <f ca="1">SUM(OFFSET(Demand!$H$43,ROW(A168)-1,(COLUMN(A168)-1)*5,1,1))*N$2</f>
        <v>0</v>
      </c>
      <c r="CX171" s="5">
        <f ca="1">SUM(OFFSET(Demand!$H$43,ROW(B168)-1,(COLUMN(B168)-1)*5,1,1))*O$2</f>
        <v>0</v>
      </c>
      <c r="CY171" s="5">
        <f ca="1">SUM(OFFSET(Demand!$H$43,ROW(C168)-1,(COLUMN(C168)-1)*5,1,1))*P$2</f>
        <v>0</v>
      </c>
      <c r="CZ171" s="5">
        <f ca="1">SUM(OFFSET(Demand!$H$43,ROW(D168)-1,(COLUMN(D168)-1)*5,1,1))*Q$2</f>
        <v>0</v>
      </c>
      <c r="DA171" s="5">
        <f ca="1">SUM(OFFSET(Demand!$H$43,ROW(E168)-1,(COLUMN(E168)-1)*5,1,1))*R$2</f>
        <v>0</v>
      </c>
      <c r="DB171" s="5">
        <f ca="1">SUM(OFFSET(Demand!$H$43,ROW(F168)-1,(COLUMN(F168)-1)*5,1,1))*S$2</f>
        <v>0</v>
      </c>
      <c r="DC171" s="5">
        <f ca="1">SUM(OFFSET(Demand!$H$43,ROW(G168)-1,(COLUMN(G168)-1)*5,1,1))*T$2</f>
        <v>0</v>
      </c>
      <c r="DD171" s="5">
        <f ca="1">SUM(OFFSET(Demand!$H$43,ROW(H168)-1,(COLUMN(H168)-1)*5,1,1))*U$2</f>
        <v>0</v>
      </c>
      <c r="DE171" s="5">
        <f ca="1">SUM(OFFSET(Demand!$H$43,ROW(I168)-1,(COLUMN(I168)-1)*5,1,1))*V$2</f>
        <v>0</v>
      </c>
      <c r="DF171" s="5">
        <f ca="1">SUM(OFFSET(Demand!$H$43,ROW(J168)-1,(COLUMN(J168)-1)*5,1,1))*W$2</f>
        <v>0</v>
      </c>
      <c r="DG171" s="5">
        <f t="shared" ca="1" si="44"/>
        <v>0</v>
      </c>
    </row>
    <row r="172" spans="1:111" x14ac:dyDescent="0.2">
      <c r="A172" s="5">
        <f t="shared" ca="1" si="38"/>
        <v>2</v>
      </c>
      <c r="B172" s="5">
        <f ca="1">COUNTBLANK(OFFSET(Demand!$I181,0,(COLUMN(A169)-1)*5,1,1))</f>
        <v>1</v>
      </c>
      <c r="C172" s="5">
        <f ca="1">COUNTBLANK(OFFSET(Demand!$I181,0,(COLUMN(B169)-1)*5,1,1))</f>
        <v>1</v>
      </c>
      <c r="D172" s="5">
        <f ca="1">COUNTBLANK(OFFSET(Demand!$I181,0,(COLUMN(C169)-1)*5,1,1))</f>
        <v>1</v>
      </c>
      <c r="E172" s="5">
        <f ca="1">COUNTBLANK(OFFSET(Demand!$I181,0,(COLUMN(D169)-1)*5,1,1))</f>
        <v>1</v>
      </c>
      <c r="F172" s="5">
        <f ca="1">COUNTBLANK(OFFSET(Demand!$I181,0,(COLUMN(E169)-1)*5,1,1))</f>
        <v>1</v>
      </c>
      <c r="G172" s="5">
        <f ca="1">COUNTBLANK(OFFSET(Demand!$I181,0,(COLUMN(F169)-1)*5,1,1))</f>
        <v>1</v>
      </c>
      <c r="H172" s="5">
        <f ca="1">COUNTBLANK(OFFSET(Demand!$I181,0,(COLUMN(G169)-1)*5,1,1))</f>
        <v>1</v>
      </c>
      <c r="I172" s="5">
        <f ca="1">COUNTBLANK(OFFSET(Demand!$I181,0,(COLUMN(H169)-1)*5,1,1))</f>
        <v>1</v>
      </c>
      <c r="J172" s="5">
        <f ca="1">COUNTBLANK(OFFSET(Demand!$I181,0,(COLUMN(I169)-1)*5,1,1))</f>
        <v>1</v>
      </c>
      <c r="K172" s="5">
        <f ca="1">COUNTBLANK(OFFSET(Demand!$I181,0,(COLUMN(J169)-1)*5,1,1))</f>
        <v>1</v>
      </c>
      <c r="N172" s="5">
        <f ca="1">SUM(OFFSET(Demand!$E181,0,(COLUMN(A169)-1)*5,1,3))*N$2</f>
        <v>0</v>
      </c>
      <c r="O172" s="5">
        <f ca="1">SUM(OFFSET(Demand!$E181,0,(COLUMN(B169)-1)*5,1,3))*O$2</f>
        <v>0</v>
      </c>
      <c r="P172" s="5">
        <f ca="1">SUM(OFFSET(Demand!$E181,0,(COLUMN(C169)-1)*5,1,3))*P$2</f>
        <v>0</v>
      </c>
      <c r="Q172" s="5">
        <f ca="1">SUM(OFFSET(Demand!$E181,0,(COLUMN(D169)-1)*5,1,3))*Q$2</f>
        <v>0</v>
      </c>
      <c r="R172" s="5">
        <f ca="1">SUM(OFFSET(Demand!$E181,0,(COLUMN(E169)-1)*5,1,3))*R$2</f>
        <v>0</v>
      </c>
      <c r="S172" s="5">
        <f ca="1">SUM(OFFSET(Demand!$E181,0,(COLUMN(F169)-1)*5,1,3))*S$2</f>
        <v>0</v>
      </c>
      <c r="T172" s="5">
        <f ca="1">SUM(OFFSET(Demand!$E181,0,(COLUMN(G169)-1)*5,1,3))*T$2</f>
        <v>0</v>
      </c>
      <c r="U172" s="5">
        <f ca="1">SUM(OFFSET(Demand!$E181,0,(COLUMN(H169)-1)*5,1,3))*U$2</f>
        <v>0</v>
      </c>
      <c r="V172" s="5">
        <f ca="1">SUM(OFFSET(Demand!$E181,0,(COLUMN(I169)-1)*5,1,3))*V$2</f>
        <v>0</v>
      </c>
      <c r="W172" s="5">
        <f ca="1">SUM(OFFSET(Demand!$E181,0,(COLUMN(J169)-1)*5,1,3))*W$2</f>
        <v>0</v>
      </c>
      <c r="X172" s="5">
        <f t="shared" ca="1" si="39"/>
        <v>0</v>
      </c>
      <c r="Y172">
        <f t="shared" ca="1" si="40"/>
        <v>0</v>
      </c>
      <c r="Z172" s="5">
        <f ca="1">SUM(OFFSET(Demand!$H181,0,(COLUMN(A169)-1)*5,1,1))*N$2</f>
        <v>0</v>
      </c>
      <c r="AA172" s="5">
        <f ca="1">SUM(OFFSET(Demand!$H181,0,(COLUMN(B169)-1)*5,1,1))*O$2</f>
        <v>0</v>
      </c>
      <c r="AB172" s="5">
        <f ca="1">SUM(OFFSET(Demand!$H181,0,(COLUMN(C169)-1)*5,1,1))*P$2</f>
        <v>0</v>
      </c>
      <c r="AC172" s="5">
        <f ca="1">SUM(OFFSET(Demand!$H181,0,(COLUMN(D169)-1)*5,1,1))*Q$2</f>
        <v>0</v>
      </c>
      <c r="AD172" s="5">
        <f ca="1">SUM(OFFSET(Demand!$H181,0,(COLUMN(E169)-1)*5,1,1))*R$2</f>
        <v>0</v>
      </c>
      <c r="AE172" s="5">
        <f ca="1">SUM(OFFSET(Demand!$H181,0,(COLUMN(F169)-1)*5,1,1))*S$2</f>
        <v>0</v>
      </c>
      <c r="AF172" s="5">
        <f ca="1">SUM(OFFSET(Demand!$H181,0,(COLUMN(G169)-1)*5,1,1))*T$2</f>
        <v>0</v>
      </c>
      <c r="AG172" s="5">
        <f ca="1">SUM(OFFSET(Demand!$H181,0,(COLUMN(H169)-1)*5,1,1))*U$2</f>
        <v>0</v>
      </c>
      <c r="AH172" s="5">
        <f ca="1">SUM(OFFSET(Demand!$H181,0,(COLUMN(I169)-1)*5,1,1))*V$2</f>
        <v>0</v>
      </c>
      <c r="AI172" s="5">
        <f ca="1">SUM(OFFSET(Demand!$H181,0,(COLUMN(J169)-1)*5,1,1))*W$2</f>
        <v>0</v>
      </c>
      <c r="AJ172" s="5">
        <f t="shared" ca="1" si="41"/>
        <v>0</v>
      </c>
      <c r="AL172" s="5">
        <f t="shared" ca="1" si="42"/>
        <v>0</v>
      </c>
      <c r="AM172" s="5">
        <f t="shared" ca="1" si="43"/>
        <v>0</v>
      </c>
      <c r="AN172" s="5" t="str">
        <f>IF(Demand!BE181="Yes","Yes","")</f>
        <v/>
      </c>
      <c r="AP172" s="37" t="str">
        <f ca="1">Demand!B181</f>
        <v xml:space="preserve"> </v>
      </c>
      <c r="AQ172" t="str">
        <f ca="1">IF(TEXT(Demand!D181,"MMM")&lt;&gt;TEXT(Demand!D180,"MMM"),TEXT(Demand!D181,"MMM"),"")</f>
        <v/>
      </c>
      <c r="AT172" s="5">
        <f t="shared" ca="1" si="45"/>
        <v>0</v>
      </c>
      <c r="BQ172">
        <f ca="1">IF($AN172="",OFFSET(Demand!$A$13,ROW(A169)-1,4+((QUOTIENT(COLUMN(BQ$2)-69,3))*5)+MOD(COLUMN(BQ$2),3),1,1),"")</f>
        <v>0</v>
      </c>
      <c r="BR172">
        <f ca="1">IF($AN172="",OFFSET(Demand!$A$13,ROW(B169)-1,4+((QUOTIENT(COLUMN(BR$2)-69,3))*5)+MOD(COLUMN(BR$2),3),1,1),"")</f>
        <v>0</v>
      </c>
      <c r="BS172">
        <f ca="1">IF($AN172="",OFFSET(Demand!$A$13,ROW(C169)-1,4+((QUOTIENT(COLUMN(BS$2)-69,3))*5)+MOD(COLUMN(BS$2),3),1,1),"")</f>
        <v>0</v>
      </c>
      <c r="BT172">
        <f ca="1">IF($AN172="",OFFSET(Demand!$A$13,ROW(D169)-1,4+((QUOTIENT(COLUMN(BT$2)-69,3))*5)+MOD(COLUMN(BT$2),3),1,1),"")</f>
        <v>0</v>
      </c>
      <c r="BU172">
        <f ca="1">IF($AN172="",OFFSET(Demand!$A$13,ROW(E169)-1,4+((QUOTIENT(COLUMN(BU$2)-69,3))*5)+MOD(COLUMN(BU$2),3),1,1),"")</f>
        <v>0</v>
      </c>
      <c r="BV172">
        <f ca="1">IF($AN172="",OFFSET(Demand!$A$13,ROW(F169)-1,4+((QUOTIENT(COLUMN(BV$2)-69,3))*5)+MOD(COLUMN(BV$2),3),1,1),"")</f>
        <v>0</v>
      </c>
      <c r="BW172">
        <f ca="1">IF($AN172="",OFFSET(Demand!$A$13,ROW(G169)-1,4+((QUOTIENT(COLUMN(BW$2)-69,3))*5)+MOD(COLUMN(BW$2),3),1,1),"")</f>
        <v>0</v>
      </c>
      <c r="BX172">
        <f ca="1">IF($AN172="",OFFSET(Demand!$A$13,ROW(H169)-1,4+((QUOTIENT(COLUMN(BX$2)-69,3))*5)+MOD(COLUMN(BX$2),3),1,1),"")</f>
        <v>0</v>
      </c>
      <c r="BY172">
        <f ca="1">IF($AN172="",OFFSET(Demand!$A$13,ROW(I169)-1,4+((QUOTIENT(COLUMN(BY$2)-69,3))*5)+MOD(COLUMN(BY$2),3),1,1),"")</f>
        <v>0</v>
      </c>
      <c r="BZ172">
        <f ca="1">IF($AN172="",OFFSET(Demand!$A$13,ROW(J169)-1,4+((QUOTIENT(COLUMN(BZ$2)-69,3))*5)+MOD(COLUMN(BZ$2),3),1,1),"")</f>
        <v>0</v>
      </c>
      <c r="CA172">
        <f ca="1">IF($AN172="",OFFSET(Demand!$A$13,ROW(K169)-1,4+((QUOTIENT(COLUMN(CA$2)-69,3))*5)+MOD(COLUMN(CA$2),3),1,1),"")</f>
        <v>0</v>
      </c>
      <c r="CB172">
        <f ca="1">IF($AN172="",OFFSET(Demand!$A$13,ROW(L169)-1,4+((QUOTIENT(COLUMN(CB$2)-69,3))*5)+MOD(COLUMN(CB$2),3),1,1),"")</f>
        <v>0</v>
      </c>
      <c r="CC172">
        <f ca="1">IF($AN172="",OFFSET(Demand!$A$13,ROW(M169)-1,4+((QUOTIENT(COLUMN(CC$2)-69,3))*5)+MOD(COLUMN(CC$2),3),1,1),"")</f>
        <v>0</v>
      </c>
      <c r="CD172">
        <f ca="1">IF($AN172="",OFFSET(Demand!$A$13,ROW(N169)-1,4+((QUOTIENT(COLUMN(CD$2)-69,3))*5)+MOD(COLUMN(CD$2),3),1,1),"")</f>
        <v>0</v>
      </c>
      <c r="CE172">
        <f ca="1">IF($AN172="",OFFSET(Demand!$A$13,ROW(O169)-1,4+((QUOTIENT(COLUMN(CE$2)-69,3))*5)+MOD(COLUMN(CE$2),3),1,1),"")</f>
        <v>0</v>
      </c>
      <c r="CF172">
        <f ca="1">IF($AN172="",OFFSET(Demand!$A$13,ROW(P169)-1,4+((QUOTIENT(COLUMN(CF$2)-69,3))*5)+MOD(COLUMN(CF$2),3),1,1),"")</f>
        <v>0</v>
      </c>
      <c r="CG172">
        <f ca="1">IF($AN172="",OFFSET(Demand!$A$13,ROW(Q169)-1,4+((QUOTIENT(COLUMN(CG$2)-69,3))*5)+MOD(COLUMN(CG$2),3),1,1),"")</f>
        <v>0</v>
      </c>
      <c r="CH172">
        <f ca="1">IF($AN172="",OFFSET(Demand!$A$13,ROW(R169)-1,4+((QUOTIENT(COLUMN(CH$2)-69,3))*5)+MOD(COLUMN(CH$2),3),1,1),"")</f>
        <v>0</v>
      </c>
      <c r="CI172">
        <f ca="1">IF($AN172="",OFFSET(Demand!$A$13,ROW(S169)-1,4+((QUOTIENT(COLUMN(CI$2)-69,3))*5)+MOD(COLUMN(CI$2),3),1,1),"")</f>
        <v>0</v>
      </c>
      <c r="CJ172">
        <f ca="1">IF($AN172="",OFFSET(Demand!$A$13,ROW(T169)-1,4+((QUOTIENT(COLUMN(CJ$2)-69,3))*5)+MOD(COLUMN(CJ$2),3),1,1),"")</f>
        <v>0</v>
      </c>
      <c r="CK172">
        <f ca="1">IF($AN172="",OFFSET(Demand!$A$13,ROW(U169)-1,4+((QUOTIENT(COLUMN(CK$2)-69,3))*5)+MOD(COLUMN(CK$2),3),1,1),"")</f>
        <v>0</v>
      </c>
      <c r="CL172">
        <f ca="1">IF($AN172="",OFFSET(Demand!$A$13,ROW(V169)-1,4+((QUOTIENT(COLUMN(CL$2)-69,3))*5)+MOD(COLUMN(CL$2),3),1,1),"")</f>
        <v>0</v>
      </c>
      <c r="CM172">
        <f ca="1">IF($AN172="",OFFSET(Demand!$A$13,ROW(W169)-1,4+((QUOTIENT(COLUMN(CM$2)-69,3))*5)+MOD(COLUMN(CM$2),3),1,1),"")</f>
        <v>0</v>
      </c>
      <c r="CN172">
        <f ca="1">IF($AN172="",OFFSET(Demand!$A$13,ROW(X169)-1,4+((QUOTIENT(COLUMN(CN$2)-69,3))*5)+MOD(COLUMN(CN$2),3),1,1),"")</f>
        <v>0</v>
      </c>
      <c r="CO172">
        <f ca="1">IF($AN172="",OFFSET(Demand!$A$13,ROW(Y169)-1,4+((QUOTIENT(COLUMN(CO$2)-69,3))*5)+MOD(COLUMN(CO$2),3),1,1),"")</f>
        <v>0</v>
      </c>
      <c r="CP172">
        <f ca="1">IF($AN172="",OFFSET(Demand!$A$13,ROW(Z169)-1,4+((QUOTIENT(COLUMN(CP$2)-69,3))*5)+MOD(COLUMN(CP$2),3),1,1),"")</f>
        <v>0</v>
      </c>
      <c r="CQ172">
        <f ca="1">IF($AN172="",OFFSET(Demand!$A$13,ROW(AA169)-1,4+((QUOTIENT(COLUMN(CQ$2)-69,3))*5)+MOD(COLUMN(CQ$2),3),1,1),"")</f>
        <v>0</v>
      </c>
      <c r="CR172">
        <f ca="1">IF($AN172="",OFFSET(Demand!$A$13,ROW(AB169)-1,4+((QUOTIENT(COLUMN(CR$2)-69,3))*5)+MOD(COLUMN(CR$2),3),1,1),"")</f>
        <v>0</v>
      </c>
      <c r="CS172">
        <f ca="1">IF($AN172="",OFFSET(Demand!$A$13,ROW(AC169)-1,4+((QUOTIENT(COLUMN(CS$2)-69,3))*5)+MOD(COLUMN(CS$2),3),1,1),"")</f>
        <v>0</v>
      </c>
      <c r="CT172">
        <f ca="1">IF($AN172="",OFFSET(Demand!$A$13,ROW(AD169)-1,4+((QUOTIENT(COLUMN(CT$2)-69,3))*5)+MOD(COLUMN(CT$2),3),1,1),"")</f>
        <v>0</v>
      </c>
      <c r="CW172" s="5">
        <f ca="1">SUM(OFFSET(Demand!$H$43,ROW(A169)-1,(COLUMN(A169)-1)*5,1,1))*N$2</f>
        <v>0</v>
      </c>
      <c r="CX172" s="5">
        <f ca="1">SUM(OFFSET(Demand!$H$43,ROW(B169)-1,(COLUMN(B169)-1)*5,1,1))*O$2</f>
        <v>0</v>
      </c>
      <c r="CY172" s="5">
        <f ca="1">SUM(OFFSET(Demand!$H$43,ROW(C169)-1,(COLUMN(C169)-1)*5,1,1))*P$2</f>
        <v>0</v>
      </c>
      <c r="CZ172" s="5">
        <f ca="1">SUM(OFFSET(Demand!$H$43,ROW(D169)-1,(COLUMN(D169)-1)*5,1,1))*Q$2</f>
        <v>0</v>
      </c>
      <c r="DA172" s="5">
        <f ca="1">SUM(OFFSET(Demand!$H$43,ROW(E169)-1,(COLUMN(E169)-1)*5,1,1))*R$2</f>
        <v>0</v>
      </c>
      <c r="DB172" s="5">
        <f ca="1">SUM(OFFSET(Demand!$H$43,ROW(F169)-1,(COLUMN(F169)-1)*5,1,1))*S$2</f>
        <v>0</v>
      </c>
      <c r="DC172" s="5">
        <f ca="1">SUM(OFFSET(Demand!$H$43,ROW(G169)-1,(COLUMN(G169)-1)*5,1,1))*T$2</f>
        <v>0</v>
      </c>
      <c r="DD172" s="5">
        <f ca="1">SUM(OFFSET(Demand!$H$43,ROW(H169)-1,(COLUMN(H169)-1)*5,1,1))*U$2</f>
        <v>0</v>
      </c>
      <c r="DE172" s="5">
        <f ca="1">SUM(OFFSET(Demand!$H$43,ROW(I169)-1,(COLUMN(I169)-1)*5,1,1))*V$2</f>
        <v>0</v>
      </c>
      <c r="DF172" s="5">
        <f ca="1">SUM(OFFSET(Demand!$H$43,ROW(J169)-1,(COLUMN(J169)-1)*5,1,1))*W$2</f>
        <v>0</v>
      </c>
      <c r="DG172" s="5">
        <f t="shared" ca="1" si="44"/>
        <v>0</v>
      </c>
    </row>
    <row r="173" spans="1:111" x14ac:dyDescent="0.2">
      <c r="A173" s="5">
        <f t="shared" ca="1" si="38"/>
        <v>2</v>
      </c>
      <c r="B173" s="5">
        <f ca="1">COUNTBLANK(OFFSET(Demand!$I182,0,(COLUMN(A170)-1)*5,1,1))</f>
        <v>1</v>
      </c>
      <c r="C173" s="5">
        <f ca="1">COUNTBLANK(OFFSET(Demand!$I182,0,(COLUMN(B170)-1)*5,1,1))</f>
        <v>1</v>
      </c>
      <c r="D173" s="5">
        <f ca="1">COUNTBLANK(OFFSET(Demand!$I182,0,(COLUMN(C170)-1)*5,1,1))</f>
        <v>1</v>
      </c>
      <c r="E173" s="5">
        <f ca="1">COUNTBLANK(OFFSET(Demand!$I182,0,(COLUMN(D170)-1)*5,1,1))</f>
        <v>1</v>
      </c>
      <c r="F173" s="5">
        <f ca="1">COUNTBLANK(OFFSET(Demand!$I182,0,(COLUMN(E170)-1)*5,1,1))</f>
        <v>1</v>
      </c>
      <c r="G173" s="5">
        <f ca="1">COUNTBLANK(OFFSET(Demand!$I182,0,(COLUMN(F170)-1)*5,1,1))</f>
        <v>1</v>
      </c>
      <c r="H173" s="5">
        <f ca="1">COUNTBLANK(OFFSET(Demand!$I182,0,(COLUMN(G170)-1)*5,1,1))</f>
        <v>1</v>
      </c>
      <c r="I173" s="5">
        <f ca="1">COUNTBLANK(OFFSET(Demand!$I182,0,(COLUMN(H170)-1)*5,1,1))</f>
        <v>1</v>
      </c>
      <c r="J173" s="5">
        <f ca="1">COUNTBLANK(OFFSET(Demand!$I182,0,(COLUMN(I170)-1)*5,1,1))</f>
        <v>1</v>
      </c>
      <c r="K173" s="5">
        <f ca="1">COUNTBLANK(OFFSET(Demand!$I182,0,(COLUMN(J170)-1)*5,1,1))</f>
        <v>1</v>
      </c>
      <c r="N173" s="5">
        <f ca="1">SUM(OFFSET(Demand!$E182,0,(COLUMN(A170)-1)*5,1,3))*N$2</f>
        <v>0</v>
      </c>
      <c r="O173" s="5">
        <f ca="1">SUM(OFFSET(Demand!$E182,0,(COLUMN(B170)-1)*5,1,3))*O$2</f>
        <v>0</v>
      </c>
      <c r="P173" s="5">
        <f ca="1">SUM(OFFSET(Demand!$E182,0,(COLUMN(C170)-1)*5,1,3))*P$2</f>
        <v>0</v>
      </c>
      <c r="Q173" s="5">
        <f ca="1">SUM(OFFSET(Demand!$E182,0,(COLUMN(D170)-1)*5,1,3))*Q$2</f>
        <v>0</v>
      </c>
      <c r="R173" s="5">
        <f ca="1">SUM(OFFSET(Demand!$E182,0,(COLUMN(E170)-1)*5,1,3))*R$2</f>
        <v>0</v>
      </c>
      <c r="S173" s="5">
        <f ca="1">SUM(OFFSET(Demand!$E182,0,(COLUMN(F170)-1)*5,1,3))*S$2</f>
        <v>0</v>
      </c>
      <c r="T173" s="5">
        <f ca="1">SUM(OFFSET(Demand!$E182,0,(COLUMN(G170)-1)*5,1,3))*T$2</f>
        <v>0</v>
      </c>
      <c r="U173" s="5">
        <f ca="1">SUM(OFFSET(Demand!$E182,0,(COLUMN(H170)-1)*5,1,3))*U$2</f>
        <v>0</v>
      </c>
      <c r="V173" s="5">
        <f ca="1">SUM(OFFSET(Demand!$E182,0,(COLUMN(I170)-1)*5,1,3))*V$2</f>
        <v>0</v>
      </c>
      <c r="W173" s="5">
        <f ca="1">SUM(OFFSET(Demand!$E182,0,(COLUMN(J170)-1)*5,1,3))*W$2</f>
        <v>0</v>
      </c>
      <c r="X173" s="5">
        <f t="shared" ca="1" si="39"/>
        <v>0</v>
      </c>
      <c r="Y173">
        <f t="shared" ca="1" si="40"/>
        <v>0</v>
      </c>
      <c r="Z173" s="5">
        <f ca="1">SUM(OFFSET(Demand!$H182,0,(COLUMN(A170)-1)*5,1,1))*N$2</f>
        <v>0</v>
      </c>
      <c r="AA173" s="5">
        <f ca="1">SUM(OFFSET(Demand!$H182,0,(COLUMN(B170)-1)*5,1,1))*O$2</f>
        <v>0</v>
      </c>
      <c r="AB173" s="5">
        <f ca="1">SUM(OFFSET(Demand!$H182,0,(COLUMN(C170)-1)*5,1,1))*P$2</f>
        <v>0</v>
      </c>
      <c r="AC173" s="5">
        <f ca="1">SUM(OFFSET(Demand!$H182,0,(COLUMN(D170)-1)*5,1,1))*Q$2</f>
        <v>0</v>
      </c>
      <c r="AD173" s="5">
        <f ca="1">SUM(OFFSET(Demand!$H182,0,(COLUMN(E170)-1)*5,1,1))*R$2</f>
        <v>0</v>
      </c>
      <c r="AE173" s="5">
        <f ca="1">SUM(OFFSET(Demand!$H182,0,(COLUMN(F170)-1)*5,1,1))*S$2</f>
        <v>0</v>
      </c>
      <c r="AF173" s="5">
        <f ca="1">SUM(OFFSET(Demand!$H182,0,(COLUMN(G170)-1)*5,1,1))*T$2</f>
        <v>0</v>
      </c>
      <c r="AG173" s="5">
        <f ca="1">SUM(OFFSET(Demand!$H182,0,(COLUMN(H170)-1)*5,1,1))*U$2</f>
        <v>0</v>
      </c>
      <c r="AH173" s="5">
        <f ca="1">SUM(OFFSET(Demand!$H182,0,(COLUMN(I170)-1)*5,1,1))*V$2</f>
        <v>0</v>
      </c>
      <c r="AI173" s="5">
        <f ca="1">SUM(OFFSET(Demand!$H182,0,(COLUMN(J170)-1)*5,1,1))*W$2</f>
        <v>0</v>
      </c>
      <c r="AJ173" s="5">
        <f t="shared" ca="1" si="41"/>
        <v>0</v>
      </c>
      <c r="AL173" s="5">
        <f t="shared" ca="1" si="42"/>
        <v>0</v>
      </c>
      <c r="AM173" s="5">
        <f t="shared" ca="1" si="43"/>
        <v>0</v>
      </c>
      <c r="AN173" s="5" t="str">
        <f>IF(Demand!BE182="Yes","Yes","")</f>
        <v/>
      </c>
      <c r="AP173" s="37" t="str">
        <f ca="1">Demand!B182</f>
        <v xml:space="preserve"> </v>
      </c>
      <c r="AQ173" t="str">
        <f ca="1">IF(TEXT(Demand!D182,"MMM")&lt;&gt;TEXT(Demand!D181,"MMM"),TEXT(Demand!D182,"MMM"),"")</f>
        <v/>
      </c>
      <c r="AT173" s="5">
        <f t="shared" ca="1" si="45"/>
        <v>0</v>
      </c>
      <c r="BQ173">
        <f ca="1">IF($AN173="",OFFSET(Demand!$A$13,ROW(A170)-1,4+((QUOTIENT(COLUMN(BQ$2)-69,3))*5)+MOD(COLUMN(BQ$2),3),1,1),"")</f>
        <v>0</v>
      </c>
      <c r="BR173">
        <f ca="1">IF($AN173="",OFFSET(Demand!$A$13,ROW(B170)-1,4+((QUOTIENT(COLUMN(BR$2)-69,3))*5)+MOD(COLUMN(BR$2),3),1,1),"")</f>
        <v>0</v>
      </c>
      <c r="BS173">
        <f ca="1">IF($AN173="",OFFSET(Demand!$A$13,ROW(C170)-1,4+((QUOTIENT(COLUMN(BS$2)-69,3))*5)+MOD(COLUMN(BS$2),3),1,1),"")</f>
        <v>0</v>
      </c>
      <c r="BT173">
        <f ca="1">IF($AN173="",OFFSET(Demand!$A$13,ROW(D170)-1,4+((QUOTIENT(COLUMN(BT$2)-69,3))*5)+MOD(COLUMN(BT$2),3),1,1),"")</f>
        <v>0</v>
      </c>
      <c r="BU173">
        <f ca="1">IF($AN173="",OFFSET(Demand!$A$13,ROW(E170)-1,4+((QUOTIENT(COLUMN(BU$2)-69,3))*5)+MOD(COLUMN(BU$2),3),1,1),"")</f>
        <v>0</v>
      </c>
      <c r="BV173">
        <f ca="1">IF($AN173="",OFFSET(Demand!$A$13,ROW(F170)-1,4+((QUOTIENT(COLUMN(BV$2)-69,3))*5)+MOD(COLUMN(BV$2),3),1,1),"")</f>
        <v>0</v>
      </c>
      <c r="BW173">
        <f ca="1">IF($AN173="",OFFSET(Demand!$A$13,ROW(G170)-1,4+((QUOTIENT(COLUMN(BW$2)-69,3))*5)+MOD(COLUMN(BW$2),3),1,1),"")</f>
        <v>0</v>
      </c>
      <c r="BX173">
        <f ca="1">IF($AN173="",OFFSET(Demand!$A$13,ROW(H170)-1,4+((QUOTIENT(COLUMN(BX$2)-69,3))*5)+MOD(COLUMN(BX$2),3),1,1),"")</f>
        <v>0</v>
      </c>
      <c r="BY173">
        <f ca="1">IF($AN173="",OFFSET(Demand!$A$13,ROW(I170)-1,4+((QUOTIENT(COLUMN(BY$2)-69,3))*5)+MOD(COLUMN(BY$2),3),1,1),"")</f>
        <v>0</v>
      </c>
      <c r="BZ173">
        <f ca="1">IF($AN173="",OFFSET(Demand!$A$13,ROW(J170)-1,4+((QUOTIENT(COLUMN(BZ$2)-69,3))*5)+MOD(COLUMN(BZ$2),3),1,1),"")</f>
        <v>0</v>
      </c>
      <c r="CA173">
        <f ca="1">IF($AN173="",OFFSET(Demand!$A$13,ROW(K170)-1,4+((QUOTIENT(COLUMN(CA$2)-69,3))*5)+MOD(COLUMN(CA$2),3),1,1),"")</f>
        <v>0</v>
      </c>
      <c r="CB173">
        <f ca="1">IF($AN173="",OFFSET(Demand!$A$13,ROW(L170)-1,4+((QUOTIENT(COLUMN(CB$2)-69,3))*5)+MOD(COLUMN(CB$2),3),1,1),"")</f>
        <v>0</v>
      </c>
      <c r="CC173">
        <f ca="1">IF($AN173="",OFFSET(Demand!$A$13,ROW(M170)-1,4+((QUOTIENT(COLUMN(CC$2)-69,3))*5)+MOD(COLUMN(CC$2),3),1,1),"")</f>
        <v>0</v>
      </c>
      <c r="CD173">
        <f ca="1">IF($AN173="",OFFSET(Demand!$A$13,ROW(N170)-1,4+((QUOTIENT(COLUMN(CD$2)-69,3))*5)+MOD(COLUMN(CD$2),3),1,1),"")</f>
        <v>0</v>
      </c>
      <c r="CE173">
        <f ca="1">IF($AN173="",OFFSET(Demand!$A$13,ROW(O170)-1,4+((QUOTIENT(COLUMN(CE$2)-69,3))*5)+MOD(COLUMN(CE$2),3),1,1),"")</f>
        <v>0</v>
      </c>
      <c r="CF173">
        <f ca="1">IF($AN173="",OFFSET(Demand!$A$13,ROW(P170)-1,4+((QUOTIENT(COLUMN(CF$2)-69,3))*5)+MOD(COLUMN(CF$2),3),1,1),"")</f>
        <v>0</v>
      </c>
      <c r="CG173">
        <f ca="1">IF($AN173="",OFFSET(Demand!$A$13,ROW(Q170)-1,4+((QUOTIENT(COLUMN(CG$2)-69,3))*5)+MOD(COLUMN(CG$2),3),1,1),"")</f>
        <v>0</v>
      </c>
      <c r="CH173">
        <f ca="1">IF($AN173="",OFFSET(Demand!$A$13,ROW(R170)-1,4+((QUOTIENT(COLUMN(CH$2)-69,3))*5)+MOD(COLUMN(CH$2),3),1,1),"")</f>
        <v>0</v>
      </c>
      <c r="CI173">
        <f ca="1">IF($AN173="",OFFSET(Demand!$A$13,ROW(S170)-1,4+((QUOTIENT(COLUMN(CI$2)-69,3))*5)+MOD(COLUMN(CI$2),3),1,1),"")</f>
        <v>0</v>
      </c>
      <c r="CJ173">
        <f ca="1">IF($AN173="",OFFSET(Demand!$A$13,ROW(T170)-1,4+((QUOTIENT(COLUMN(CJ$2)-69,3))*5)+MOD(COLUMN(CJ$2),3),1,1),"")</f>
        <v>0</v>
      </c>
      <c r="CK173">
        <f ca="1">IF($AN173="",OFFSET(Demand!$A$13,ROW(U170)-1,4+((QUOTIENT(COLUMN(CK$2)-69,3))*5)+MOD(COLUMN(CK$2),3),1,1),"")</f>
        <v>0</v>
      </c>
      <c r="CL173">
        <f ca="1">IF($AN173="",OFFSET(Demand!$A$13,ROW(V170)-1,4+((QUOTIENT(COLUMN(CL$2)-69,3))*5)+MOD(COLUMN(CL$2),3),1,1),"")</f>
        <v>0</v>
      </c>
      <c r="CM173">
        <f ca="1">IF($AN173="",OFFSET(Demand!$A$13,ROW(W170)-1,4+((QUOTIENT(COLUMN(CM$2)-69,3))*5)+MOD(COLUMN(CM$2),3),1,1),"")</f>
        <v>0</v>
      </c>
      <c r="CN173">
        <f ca="1">IF($AN173="",OFFSET(Demand!$A$13,ROW(X170)-1,4+((QUOTIENT(COLUMN(CN$2)-69,3))*5)+MOD(COLUMN(CN$2),3),1,1),"")</f>
        <v>0</v>
      </c>
      <c r="CO173">
        <f ca="1">IF($AN173="",OFFSET(Demand!$A$13,ROW(Y170)-1,4+((QUOTIENT(COLUMN(CO$2)-69,3))*5)+MOD(COLUMN(CO$2),3),1,1),"")</f>
        <v>0</v>
      </c>
      <c r="CP173">
        <f ca="1">IF($AN173="",OFFSET(Demand!$A$13,ROW(Z170)-1,4+((QUOTIENT(COLUMN(CP$2)-69,3))*5)+MOD(COLUMN(CP$2),3),1,1),"")</f>
        <v>0</v>
      </c>
      <c r="CQ173">
        <f ca="1">IF($AN173="",OFFSET(Demand!$A$13,ROW(AA170)-1,4+((QUOTIENT(COLUMN(CQ$2)-69,3))*5)+MOD(COLUMN(CQ$2),3),1,1),"")</f>
        <v>0</v>
      </c>
      <c r="CR173">
        <f ca="1">IF($AN173="",OFFSET(Demand!$A$13,ROW(AB170)-1,4+((QUOTIENT(COLUMN(CR$2)-69,3))*5)+MOD(COLUMN(CR$2),3),1,1),"")</f>
        <v>0</v>
      </c>
      <c r="CS173">
        <f ca="1">IF($AN173="",OFFSET(Demand!$A$13,ROW(AC170)-1,4+((QUOTIENT(COLUMN(CS$2)-69,3))*5)+MOD(COLUMN(CS$2),3),1,1),"")</f>
        <v>0</v>
      </c>
      <c r="CT173">
        <f ca="1">IF($AN173="",OFFSET(Demand!$A$13,ROW(AD170)-1,4+((QUOTIENT(COLUMN(CT$2)-69,3))*5)+MOD(COLUMN(CT$2),3),1,1),"")</f>
        <v>0</v>
      </c>
      <c r="CW173" s="5">
        <f ca="1">SUM(OFFSET(Demand!$H$43,ROW(A170)-1,(COLUMN(A170)-1)*5,1,1))*N$2</f>
        <v>0</v>
      </c>
      <c r="CX173" s="5">
        <f ca="1">SUM(OFFSET(Demand!$H$43,ROW(B170)-1,(COLUMN(B170)-1)*5,1,1))*O$2</f>
        <v>0</v>
      </c>
      <c r="CY173" s="5">
        <f ca="1">SUM(OFFSET(Demand!$H$43,ROW(C170)-1,(COLUMN(C170)-1)*5,1,1))*P$2</f>
        <v>0</v>
      </c>
      <c r="CZ173" s="5">
        <f ca="1">SUM(OFFSET(Demand!$H$43,ROW(D170)-1,(COLUMN(D170)-1)*5,1,1))*Q$2</f>
        <v>0</v>
      </c>
      <c r="DA173" s="5">
        <f ca="1">SUM(OFFSET(Demand!$H$43,ROW(E170)-1,(COLUMN(E170)-1)*5,1,1))*R$2</f>
        <v>0</v>
      </c>
      <c r="DB173" s="5">
        <f ca="1">SUM(OFFSET(Demand!$H$43,ROW(F170)-1,(COLUMN(F170)-1)*5,1,1))*S$2</f>
        <v>0</v>
      </c>
      <c r="DC173" s="5">
        <f ca="1">SUM(OFFSET(Demand!$H$43,ROW(G170)-1,(COLUMN(G170)-1)*5,1,1))*T$2</f>
        <v>0</v>
      </c>
      <c r="DD173" s="5">
        <f ca="1">SUM(OFFSET(Demand!$H$43,ROW(H170)-1,(COLUMN(H170)-1)*5,1,1))*U$2</f>
        <v>0</v>
      </c>
      <c r="DE173" s="5">
        <f ca="1">SUM(OFFSET(Demand!$H$43,ROW(I170)-1,(COLUMN(I170)-1)*5,1,1))*V$2</f>
        <v>0</v>
      </c>
      <c r="DF173" s="5">
        <f ca="1">SUM(OFFSET(Demand!$H$43,ROW(J170)-1,(COLUMN(J170)-1)*5,1,1))*W$2</f>
        <v>0</v>
      </c>
      <c r="DG173" s="5">
        <f t="shared" ca="1" si="44"/>
        <v>0</v>
      </c>
    </row>
    <row r="174" spans="1:111" x14ac:dyDescent="0.2">
      <c r="A174" s="5">
        <f t="shared" ca="1" si="38"/>
        <v>2</v>
      </c>
      <c r="B174" s="5">
        <f ca="1">COUNTBLANK(OFFSET(Demand!$I183,0,(COLUMN(A171)-1)*5,1,1))</f>
        <v>1</v>
      </c>
      <c r="C174" s="5">
        <f ca="1">COUNTBLANK(OFFSET(Demand!$I183,0,(COLUMN(B171)-1)*5,1,1))</f>
        <v>1</v>
      </c>
      <c r="D174" s="5">
        <f ca="1">COUNTBLANK(OFFSET(Demand!$I183,0,(COLUMN(C171)-1)*5,1,1))</f>
        <v>1</v>
      </c>
      <c r="E174" s="5">
        <f ca="1">COUNTBLANK(OFFSET(Demand!$I183,0,(COLUMN(D171)-1)*5,1,1))</f>
        <v>1</v>
      </c>
      <c r="F174" s="5">
        <f ca="1">COUNTBLANK(OFFSET(Demand!$I183,0,(COLUMN(E171)-1)*5,1,1))</f>
        <v>1</v>
      </c>
      <c r="G174" s="5">
        <f ca="1">COUNTBLANK(OFFSET(Demand!$I183,0,(COLUMN(F171)-1)*5,1,1))</f>
        <v>1</v>
      </c>
      <c r="H174" s="5">
        <f ca="1">COUNTBLANK(OFFSET(Demand!$I183,0,(COLUMN(G171)-1)*5,1,1))</f>
        <v>1</v>
      </c>
      <c r="I174" s="5">
        <f ca="1">COUNTBLANK(OFFSET(Demand!$I183,0,(COLUMN(H171)-1)*5,1,1))</f>
        <v>1</v>
      </c>
      <c r="J174" s="5">
        <f ca="1">COUNTBLANK(OFFSET(Demand!$I183,0,(COLUMN(I171)-1)*5,1,1))</f>
        <v>1</v>
      </c>
      <c r="K174" s="5">
        <f ca="1">COUNTBLANK(OFFSET(Demand!$I183,0,(COLUMN(J171)-1)*5,1,1))</f>
        <v>1</v>
      </c>
      <c r="N174" s="5">
        <f ca="1">SUM(OFFSET(Demand!$E183,0,(COLUMN(A171)-1)*5,1,3))*N$2</f>
        <v>0</v>
      </c>
      <c r="O174" s="5">
        <f ca="1">SUM(OFFSET(Demand!$E183,0,(COLUMN(B171)-1)*5,1,3))*O$2</f>
        <v>0</v>
      </c>
      <c r="P174" s="5">
        <f ca="1">SUM(OFFSET(Demand!$E183,0,(COLUMN(C171)-1)*5,1,3))*P$2</f>
        <v>0</v>
      </c>
      <c r="Q174" s="5">
        <f ca="1">SUM(OFFSET(Demand!$E183,0,(COLUMN(D171)-1)*5,1,3))*Q$2</f>
        <v>0</v>
      </c>
      <c r="R174" s="5">
        <f ca="1">SUM(OFFSET(Demand!$E183,0,(COLUMN(E171)-1)*5,1,3))*R$2</f>
        <v>0</v>
      </c>
      <c r="S174" s="5">
        <f ca="1">SUM(OFFSET(Demand!$E183,0,(COLUMN(F171)-1)*5,1,3))*S$2</f>
        <v>0</v>
      </c>
      <c r="T174" s="5">
        <f ca="1">SUM(OFFSET(Demand!$E183,0,(COLUMN(G171)-1)*5,1,3))*T$2</f>
        <v>0</v>
      </c>
      <c r="U174" s="5">
        <f ca="1">SUM(OFFSET(Demand!$E183,0,(COLUMN(H171)-1)*5,1,3))*U$2</f>
        <v>0</v>
      </c>
      <c r="V174" s="5">
        <f ca="1">SUM(OFFSET(Demand!$E183,0,(COLUMN(I171)-1)*5,1,3))*V$2</f>
        <v>0</v>
      </c>
      <c r="W174" s="5">
        <f ca="1">SUM(OFFSET(Demand!$E183,0,(COLUMN(J171)-1)*5,1,3))*W$2</f>
        <v>0</v>
      </c>
      <c r="X174" s="5">
        <f t="shared" ca="1" si="39"/>
        <v>0</v>
      </c>
      <c r="Y174">
        <f t="shared" ca="1" si="40"/>
        <v>0</v>
      </c>
      <c r="Z174" s="5">
        <f ca="1">SUM(OFFSET(Demand!$H183,0,(COLUMN(A171)-1)*5,1,1))*N$2</f>
        <v>0</v>
      </c>
      <c r="AA174" s="5">
        <f ca="1">SUM(OFFSET(Demand!$H183,0,(COLUMN(B171)-1)*5,1,1))*O$2</f>
        <v>0</v>
      </c>
      <c r="AB174" s="5">
        <f ca="1">SUM(OFFSET(Demand!$H183,0,(COLUMN(C171)-1)*5,1,1))*P$2</f>
        <v>0</v>
      </c>
      <c r="AC174" s="5">
        <f ca="1">SUM(OFFSET(Demand!$H183,0,(COLUMN(D171)-1)*5,1,1))*Q$2</f>
        <v>0</v>
      </c>
      <c r="AD174" s="5">
        <f ca="1">SUM(OFFSET(Demand!$H183,0,(COLUMN(E171)-1)*5,1,1))*R$2</f>
        <v>0</v>
      </c>
      <c r="AE174" s="5">
        <f ca="1">SUM(OFFSET(Demand!$H183,0,(COLUMN(F171)-1)*5,1,1))*S$2</f>
        <v>0</v>
      </c>
      <c r="AF174" s="5">
        <f ca="1">SUM(OFFSET(Demand!$H183,0,(COLUMN(G171)-1)*5,1,1))*T$2</f>
        <v>0</v>
      </c>
      <c r="AG174" s="5">
        <f ca="1">SUM(OFFSET(Demand!$H183,0,(COLUMN(H171)-1)*5,1,1))*U$2</f>
        <v>0</v>
      </c>
      <c r="AH174" s="5">
        <f ca="1">SUM(OFFSET(Demand!$H183,0,(COLUMN(I171)-1)*5,1,1))*V$2</f>
        <v>0</v>
      </c>
      <c r="AI174" s="5">
        <f ca="1">SUM(OFFSET(Demand!$H183,0,(COLUMN(J171)-1)*5,1,1))*W$2</f>
        <v>0</v>
      </c>
      <c r="AJ174" s="5">
        <f t="shared" ca="1" si="41"/>
        <v>0</v>
      </c>
      <c r="AL174" s="5">
        <f t="shared" ca="1" si="42"/>
        <v>0</v>
      </c>
      <c r="AM174" s="5">
        <f t="shared" ca="1" si="43"/>
        <v>0</v>
      </c>
      <c r="AN174" s="5" t="str">
        <f>IF(Demand!BE183="Yes","Yes","")</f>
        <v/>
      </c>
      <c r="AP174" s="37" t="str">
        <f ca="1">Demand!B183</f>
        <v xml:space="preserve"> </v>
      </c>
      <c r="AQ174" t="str">
        <f ca="1">IF(TEXT(Demand!D183,"MMM")&lt;&gt;TEXT(Demand!D182,"MMM"),TEXT(Demand!D183,"MMM"),"")</f>
        <v/>
      </c>
      <c r="AT174" s="5">
        <f t="shared" ca="1" si="45"/>
        <v>0</v>
      </c>
      <c r="BQ174">
        <f ca="1">IF($AN174="",OFFSET(Demand!$A$13,ROW(A171)-1,4+((QUOTIENT(COLUMN(BQ$2)-69,3))*5)+MOD(COLUMN(BQ$2),3),1,1),"")</f>
        <v>0</v>
      </c>
      <c r="BR174">
        <f ca="1">IF($AN174="",OFFSET(Demand!$A$13,ROW(B171)-1,4+((QUOTIENT(COLUMN(BR$2)-69,3))*5)+MOD(COLUMN(BR$2),3),1,1),"")</f>
        <v>0</v>
      </c>
      <c r="BS174">
        <f ca="1">IF($AN174="",OFFSET(Demand!$A$13,ROW(C171)-1,4+((QUOTIENT(COLUMN(BS$2)-69,3))*5)+MOD(COLUMN(BS$2),3),1,1),"")</f>
        <v>0</v>
      </c>
      <c r="BT174">
        <f ca="1">IF($AN174="",OFFSET(Demand!$A$13,ROW(D171)-1,4+((QUOTIENT(COLUMN(BT$2)-69,3))*5)+MOD(COLUMN(BT$2),3),1,1),"")</f>
        <v>0</v>
      </c>
      <c r="BU174">
        <f ca="1">IF($AN174="",OFFSET(Demand!$A$13,ROW(E171)-1,4+((QUOTIENT(COLUMN(BU$2)-69,3))*5)+MOD(COLUMN(BU$2),3),1,1),"")</f>
        <v>0</v>
      </c>
      <c r="BV174">
        <f ca="1">IF($AN174="",OFFSET(Demand!$A$13,ROW(F171)-1,4+((QUOTIENT(COLUMN(BV$2)-69,3))*5)+MOD(COLUMN(BV$2),3),1,1),"")</f>
        <v>0</v>
      </c>
      <c r="BW174">
        <f ca="1">IF($AN174="",OFFSET(Demand!$A$13,ROW(G171)-1,4+((QUOTIENT(COLUMN(BW$2)-69,3))*5)+MOD(COLUMN(BW$2),3),1,1),"")</f>
        <v>0</v>
      </c>
      <c r="BX174">
        <f ca="1">IF($AN174="",OFFSET(Demand!$A$13,ROW(H171)-1,4+((QUOTIENT(COLUMN(BX$2)-69,3))*5)+MOD(COLUMN(BX$2),3),1,1),"")</f>
        <v>0</v>
      </c>
      <c r="BY174">
        <f ca="1">IF($AN174="",OFFSET(Demand!$A$13,ROW(I171)-1,4+((QUOTIENT(COLUMN(BY$2)-69,3))*5)+MOD(COLUMN(BY$2),3),1,1),"")</f>
        <v>0</v>
      </c>
      <c r="BZ174">
        <f ca="1">IF($AN174="",OFFSET(Demand!$A$13,ROW(J171)-1,4+((QUOTIENT(COLUMN(BZ$2)-69,3))*5)+MOD(COLUMN(BZ$2),3),1,1),"")</f>
        <v>0</v>
      </c>
      <c r="CA174">
        <f ca="1">IF($AN174="",OFFSET(Demand!$A$13,ROW(K171)-1,4+((QUOTIENT(COLUMN(CA$2)-69,3))*5)+MOD(COLUMN(CA$2),3),1,1),"")</f>
        <v>0</v>
      </c>
      <c r="CB174">
        <f ca="1">IF($AN174="",OFFSET(Demand!$A$13,ROW(L171)-1,4+((QUOTIENT(COLUMN(CB$2)-69,3))*5)+MOD(COLUMN(CB$2),3),1,1),"")</f>
        <v>0</v>
      </c>
      <c r="CC174">
        <f ca="1">IF($AN174="",OFFSET(Demand!$A$13,ROW(M171)-1,4+((QUOTIENT(COLUMN(CC$2)-69,3))*5)+MOD(COLUMN(CC$2),3),1,1),"")</f>
        <v>0</v>
      </c>
      <c r="CD174">
        <f ca="1">IF($AN174="",OFFSET(Demand!$A$13,ROW(N171)-1,4+((QUOTIENT(COLUMN(CD$2)-69,3))*5)+MOD(COLUMN(CD$2),3),1,1),"")</f>
        <v>0</v>
      </c>
      <c r="CE174">
        <f ca="1">IF($AN174="",OFFSET(Demand!$A$13,ROW(O171)-1,4+((QUOTIENT(COLUMN(CE$2)-69,3))*5)+MOD(COLUMN(CE$2),3),1,1),"")</f>
        <v>0</v>
      </c>
      <c r="CF174">
        <f ca="1">IF($AN174="",OFFSET(Demand!$A$13,ROW(P171)-1,4+((QUOTIENT(COLUMN(CF$2)-69,3))*5)+MOD(COLUMN(CF$2),3),1,1),"")</f>
        <v>0</v>
      </c>
      <c r="CG174">
        <f ca="1">IF($AN174="",OFFSET(Demand!$A$13,ROW(Q171)-1,4+((QUOTIENT(COLUMN(CG$2)-69,3))*5)+MOD(COLUMN(CG$2),3),1,1),"")</f>
        <v>0</v>
      </c>
      <c r="CH174">
        <f ca="1">IF($AN174="",OFFSET(Demand!$A$13,ROW(R171)-1,4+((QUOTIENT(COLUMN(CH$2)-69,3))*5)+MOD(COLUMN(CH$2),3),1,1),"")</f>
        <v>0</v>
      </c>
      <c r="CI174">
        <f ca="1">IF($AN174="",OFFSET(Demand!$A$13,ROW(S171)-1,4+((QUOTIENT(COLUMN(CI$2)-69,3))*5)+MOD(COLUMN(CI$2),3),1,1),"")</f>
        <v>0</v>
      </c>
      <c r="CJ174">
        <f ca="1">IF($AN174="",OFFSET(Demand!$A$13,ROW(T171)-1,4+((QUOTIENT(COLUMN(CJ$2)-69,3))*5)+MOD(COLUMN(CJ$2),3),1,1),"")</f>
        <v>0</v>
      </c>
      <c r="CK174">
        <f ca="1">IF($AN174="",OFFSET(Demand!$A$13,ROW(U171)-1,4+((QUOTIENT(COLUMN(CK$2)-69,3))*5)+MOD(COLUMN(CK$2),3),1,1),"")</f>
        <v>0</v>
      </c>
      <c r="CL174">
        <f ca="1">IF($AN174="",OFFSET(Demand!$A$13,ROW(V171)-1,4+((QUOTIENT(COLUMN(CL$2)-69,3))*5)+MOD(COLUMN(CL$2),3),1,1),"")</f>
        <v>0</v>
      </c>
      <c r="CM174">
        <f ca="1">IF($AN174="",OFFSET(Demand!$A$13,ROW(W171)-1,4+((QUOTIENT(COLUMN(CM$2)-69,3))*5)+MOD(COLUMN(CM$2),3),1,1),"")</f>
        <v>0</v>
      </c>
      <c r="CN174">
        <f ca="1">IF($AN174="",OFFSET(Demand!$A$13,ROW(X171)-1,4+((QUOTIENT(COLUMN(CN$2)-69,3))*5)+MOD(COLUMN(CN$2),3),1,1),"")</f>
        <v>0</v>
      </c>
      <c r="CO174">
        <f ca="1">IF($AN174="",OFFSET(Demand!$A$13,ROW(Y171)-1,4+((QUOTIENT(COLUMN(CO$2)-69,3))*5)+MOD(COLUMN(CO$2),3),1,1),"")</f>
        <v>0</v>
      </c>
      <c r="CP174">
        <f ca="1">IF($AN174="",OFFSET(Demand!$A$13,ROW(Z171)-1,4+((QUOTIENT(COLUMN(CP$2)-69,3))*5)+MOD(COLUMN(CP$2),3),1,1),"")</f>
        <v>0</v>
      </c>
      <c r="CQ174">
        <f ca="1">IF($AN174="",OFFSET(Demand!$A$13,ROW(AA171)-1,4+((QUOTIENT(COLUMN(CQ$2)-69,3))*5)+MOD(COLUMN(CQ$2),3),1,1),"")</f>
        <v>0</v>
      </c>
      <c r="CR174">
        <f ca="1">IF($AN174="",OFFSET(Demand!$A$13,ROW(AB171)-1,4+((QUOTIENT(COLUMN(CR$2)-69,3))*5)+MOD(COLUMN(CR$2),3),1,1),"")</f>
        <v>0</v>
      </c>
      <c r="CS174">
        <f ca="1">IF($AN174="",OFFSET(Demand!$A$13,ROW(AC171)-1,4+((QUOTIENT(COLUMN(CS$2)-69,3))*5)+MOD(COLUMN(CS$2),3),1,1),"")</f>
        <v>0</v>
      </c>
      <c r="CT174">
        <f ca="1">IF($AN174="",OFFSET(Demand!$A$13,ROW(AD171)-1,4+((QUOTIENT(COLUMN(CT$2)-69,3))*5)+MOD(COLUMN(CT$2),3),1,1),"")</f>
        <v>0</v>
      </c>
      <c r="CW174" s="5">
        <f ca="1">SUM(OFFSET(Demand!$H$43,ROW(A171)-1,(COLUMN(A171)-1)*5,1,1))*N$2</f>
        <v>0</v>
      </c>
      <c r="CX174" s="5">
        <f ca="1">SUM(OFFSET(Demand!$H$43,ROW(B171)-1,(COLUMN(B171)-1)*5,1,1))*O$2</f>
        <v>0</v>
      </c>
      <c r="CY174" s="5">
        <f ca="1">SUM(OFFSET(Demand!$H$43,ROW(C171)-1,(COLUMN(C171)-1)*5,1,1))*P$2</f>
        <v>0</v>
      </c>
      <c r="CZ174" s="5">
        <f ca="1">SUM(OFFSET(Demand!$H$43,ROW(D171)-1,(COLUMN(D171)-1)*5,1,1))*Q$2</f>
        <v>0</v>
      </c>
      <c r="DA174" s="5">
        <f ca="1">SUM(OFFSET(Demand!$H$43,ROW(E171)-1,(COLUMN(E171)-1)*5,1,1))*R$2</f>
        <v>0</v>
      </c>
      <c r="DB174" s="5">
        <f ca="1">SUM(OFFSET(Demand!$H$43,ROW(F171)-1,(COLUMN(F171)-1)*5,1,1))*S$2</f>
        <v>0</v>
      </c>
      <c r="DC174" s="5">
        <f ca="1">SUM(OFFSET(Demand!$H$43,ROW(G171)-1,(COLUMN(G171)-1)*5,1,1))*T$2</f>
        <v>0</v>
      </c>
      <c r="DD174" s="5">
        <f ca="1">SUM(OFFSET(Demand!$H$43,ROW(H171)-1,(COLUMN(H171)-1)*5,1,1))*U$2</f>
        <v>0</v>
      </c>
      <c r="DE174" s="5">
        <f ca="1">SUM(OFFSET(Demand!$H$43,ROW(I171)-1,(COLUMN(I171)-1)*5,1,1))*V$2</f>
        <v>0</v>
      </c>
      <c r="DF174" s="5">
        <f ca="1">SUM(OFFSET(Demand!$H$43,ROW(J171)-1,(COLUMN(J171)-1)*5,1,1))*W$2</f>
        <v>0</v>
      </c>
      <c r="DG174" s="5">
        <f t="shared" ca="1" si="44"/>
        <v>0</v>
      </c>
    </row>
    <row r="175" spans="1:111" x14ac:dyDescent="0.2">
      <c r="A175" s="5">
        <f t="shared" ca="1" si="38"/>
        <v>2</v>
      </c>
      <c r="B175" s="5">
        <f ca="1">COUNTBLANK(OFFSET(Demand!$I184,0,(COLUMN(A172)-1)*5,1,1))</f>
        <v>1</v>
      </c>
      <c r="C175" s="5">
        <f ca="1">COUNTBLANK(OFFSET(Demand!$I184,0,(COLUMN(B172)-1)*5,1,1))</f>
        <v>1</v>
      </c>
      <c r="D175" s="5">
        <f ca="1">COUNTBLANK(OFFSET(Demand!$I184,0,(COLUMN(C172)-1)*5,1,1))</f>
        <v>1</v>
      </c>
      <c r="E175" s="5">
        <f ca="1">COUNTBLANK(OFFSET(Demand!$I184,0,(COLUMN(D172)-1)*5,1,1))</f>
        <v>1</v>
      </c>
      <c r="F175" s="5">
        <f ca="1">COUNTBLANK(OFFSET(Demand!$I184,0,(COLUMN(E172)-1)*5,1,1))</f>
        <v>1</v>
      </c>
      <c r="G175" s="5">
        <f ca="1">COUNTBLANK(OFFSET(Demand!$I184,0,(COLUMN(F172)-1)*5,1,1))</f>
        <v>1</v>
      </c>
      <c r="H175" s="5">
        <f ca="1">COUNTBLANK(OFFSET(Demand!$I184,0,(COLUMN(G172)-1)*5,1,1))</f>
        <v>1</v>
      </c>
      <c r="I175" s="5">
        <f ca="1">COUNTBLANK(OFFSET(Demand!$I184,0,(COLUMN(H172)-1)*5,1,1))</f>
        <v>1</v>
      </c>
      <c r="J175" s="5">
        <f ca="1">COUNTBLANK(OFFSET(Demand!$I184,0,(COLUMN(I172)-1)*5,1,1))</f>
        <v>1</v>
      </c>
      <c r="K175" s="5">
        <f ca="1">COUNTBLANK(OFFSET(Demand!$I184,0,(COLUMN(J172)-1)*5,1,1))</f>
        <v>1</v>
      </c>
      <c r="N175" s="5">
        <f ca="1">SUM(OFFSET(Demand!$E184,0,(COLUMN(A172)-1)*5,1,3))*N$2</f>
        <v>0</v>
      </c>
      <c r="O175" s="5">
        <f ca="1">SUM(OFFSET(Demand!$E184,0,(COLUMN(B172)-1)*5,1,3))*O$2</f>
        <v>0</v>
      </c>
      <c r="P175" s="5">
        <f ca="1">SUM(OFFSET(Demand!$E184,0,(COLUMN(C172)-1)*5,1,3))*P$2</f>
        <v>0</v>
      </c>
      <c r="Q175" s="5">
        <f ca="1">SUM(OFFSET(Demand!$E184,0,(COLUMN(D172)-1)*5,1,3))*Q$2</f>
        <v>0</v>
      </c>
      <c r="R175" s="5">
        <f ca="1">SUM(OFFSET(Demand!$E184,0,(COLUMN(E172)-1)*5,1,3))*R$2</f>
        <v>0</v>
      </c>
      <c r="S175" s="5">
        <f ca="1">SUM(OFFSET(Demand!$E184,0,(COLUMN(F172)-1)*5,1,3))*S$2</f>
        <v>0</v>
      </c>
      <c r="T175" s="5">
        <f ca="1">SUM(OFFSET(Demand!$E184,0,(COLUMN(G172)-1)*5,1,3))*T$2</f>
        <v>0</v>
      </c>
      <c r="U175" s="5">
        <f ca="1">SUM(OFFSET(Demand!$E184,0,(COLUMN(H172)-1)*5,1,3))*U$2</f>
        <v>0</v>
      </c>
      <c r="V175" s="5">
        <f ca="1">SUM(OFFSET(Demand!$E184,0,(COLUMN(I172)-1)*5,1,3))*V$2</f>
        <v>0</v>
      </c>
      <c r="W175" s="5">
        <f ca="1">SUM(OFFSET(Demand!$E184,0,(COLUMN(J172)-1)*5,1,3))*W$2</f>
        <v>0</v>
      </c>
      <c r="X175" s="5">
        <f t="shared" ca="1" si="39"/>
        <v>0</v>
      </c>
      <c r="Y175">
        <f t="shared" ca="1" si="40"/>
        <v>0</v>
      </c>
      <c r="Z175" s="5">
        <f ca="1">SUM(OFFSET(Demand!$H184,0,(COLUMN(A172)-1)*5,1,1))*N$2</f>
        <v>0</v>
      </c>
      <c r="AA175" s="5">
        <f ca="1">SUM(OFFSET(Demand!$H184,0,(COLUMN(B172)-1)*5,1,1))*O$2</f>
        <v>0</v>
      </c>
      <c r="AB175" s="5">
        <f ca="1">SUM(OFFSET(Demand!$H184,0,(COLUMN(C172)-1)*5,1,1))*P$2</f>
        <v>0</v>
      </c>
      <c r="AC175" s="5">
        <f ca="1">SUM(OFFSET(Demand!$H184,0,(COLUMN(D172)-1)*5,1,1))*Q$2</f>
        <v>0</v>
      </c>
      <c r="AD175" s="5">
        <f ca="1">SUM(OFFSET(Demand!$H184,0,(COLUMN(E172)-1)*5,1,1))*R$2</f>
        <v>0</v>
      </c>
      <c r="AE175" s="5">
        <f ca="1">SUM(OFFSET(Demand!$H184,0,(COLUMN(F172)-1)*5,1,1))*S$2</f>
        <v>0</v>
      </c>
      <c r="AF175" s="5">
        <f ca="1">SUM(OFFSET(Demand!$H184,0,(COLUMN(G172)-1)*5,1,1))*T$2</f>
        <v>0</v>
      </c>
      <c r="AG175" s="5">
        <f ca="1">SUM(OFFSET(Demand!$H184,0,(COLUMN(H172)-1)*5,1,1))*U$2</f>
        <v>0</v>
      </c>
      <c r="AH175" s="5">
        <f ca="1">SUM(OFFSET(Demand!$H184,0,(COLUMN(I172)-1)*5,1,1))*V$2</f>
        <v>0</v>
      </c>
      <c r="AI175" s="5">
        <f ca="1">SUM(OFFSET(Demand!$H184,0,(COLUMN(J172)-1)*5,1,1))*W$2</f>
        <v>0</v>
      </c>
      <c r="AJ175" s="5">
        <f t="shared" ca="1" si="41"/>
        <v>0</v>
      </c>
      <c r="AL175" s="5">
        <f t="shared" ca="1" si="42"/>
        <v>0</v>
      </c>
      <c r="AM175" s="5">
        <f t="shared" ca="1" si="43"/>
        <v>0</v>
      </c>
      <c r="AN175" s="5" t="str">
        <f>IF(Demand!BE184="Yes","Yes","")</f>
        <v/>
      </c>
      <c r="AP175" s="37" t="str">
        <f ca="1">Demand!B184</f>
        <v xml:space="preserve"> </v>
      </c>
      <c r="AQ175" t="str">
        <f ca="1">IF(TEXT(Demand!D184,"MMM")&lt;&gt;TEXT(Demand!D183,"MMM"),TEXT(Demand!D184,"MMM"),"")</f>
        <v/>
      </c>
      <c r="AT175" s="5">
        <f t="shared" ca="1" si="45"/>
        <v>0</v>
      </c>
      <c r="BQ175">
        <f ca="1">IF($AN175="",OFFSET(Demand!$A$13,ROW(A172)-1,4+((QUOTIENT(COLUMN(BQ$2)-69,3))*5)+MOD(COLUMN(BQ$2),3),1,1),"")</f>
        <v>0</v>
      </c>
      <c r="BR175">
        <f ca="1">IF($AN175="",OFFSET(Demand!$A$13,ROW(B172)-1,4+((QUOTIENT(COLUMN(BR$2)-69,3))*5)+MOD(COLUMN(BR$2),3),1,1),"")</f>
        <v>0</v>
      </c>
      <c r="BS175">
        <f ca="1">IF($AN175="",OFFSET(Demand!$A$13,ROW(C172)-1,4+((QUOTIENT(COLUMN(BS$2)-69,3))*5)+MOD(COLUMN(BS$2),3),1,1),"")</f>
        <v>0</v>
      </c>
      <c r="BT175">
        <f ca="1">IF($AN175="",OFFSET(Demand!$A$13,ROW(D172)-1,4+((QUOTIENT(COLUMN(BT$2)-69,3))*5)+MOD(COLUMN(BT$2),3),1,1),"")</f>
        <v>0</v>
      </c>
      <c r="BU175">
        <f ca="1">IF($AN175="",OFFSET(Demand!$A$13,ROW(E172)-1,4+((QUOTIENT(COLUMN(BU$2)-69,3))*5)+MOD(COLUMN(BU$2),3),1,1),"")</f>
        <v>0</v>
      </c>
      <c r="BV175">
        <f ca="1">IF($AN175="",OFFSET(Demand!$A$13,ROW(F172)-1,4+((QUOTIENT(COLUMN(BV$2)-69,3))*5)+MOD(COLUMN(BV$2),3),1,1),"")</f>
        <v>0</v>
      </c>
      <c r="BW175">
        <f ca="1">IF($AN175="",OFFSET(Demand!$A$13,ROW(G172)-1,4+((QUOTIENT(COLUMN(BW$2)-69,3))*5)+MOD(COLUMN(BW$2),3),1,1),"")</f>
        <v>0</v>
      </c>
      <c r="BX175">
        <f ca="1">IF($AN175="",OFFSET(Demand!$A$13,ROW(H172)-1,4+((QUOTIENT(COLUMN(BX$2)-69,3))*5)+MOD(COLUMN(BX$2),3),1,1),"")</f>
        <v>0</v>
      </c>
      <c r="BY175">
        <f ca="1">IF($AN175="",OFFSET(Demand!$A$13,ROW(I172)-1,4+((QUOTIENT(COLUMN(BY$2)-69,3))*5)+MOD(COLUMN(BY$2),3),1,1),"")</f>
        <v>0</v>
      </c>
      <c r="BZ175">
        <f ca="1">IF($AN175="",OFFSET(Demand!$A$13,ROW(J172)-1,4+((QUOTIENT(COLUMN(BZ$2)-69,3))*5)+MOD(COLUMN(BZ$2),3),1,1),"")</f>
        <v>0</v>
      </c>
      <c r="CA175">
        <f ca="1">IF($AN175="",OFFSET(Demand!$A$13,ROW(K172)-1,4+((QUOTIENT(COLUMN(CA$2)-69,3))*5)+MOD(COLUMN(CA$2),3),1,1),"")</f>
        <v>0</v>
      </c>
      <c r="CB175">
        <f ca="1">IF($AN175="",OFFSET(Demand!$A$13,ROW(L172)-1,4+((QUOTIENT(COLUMN(CB$2)-69,3))*5)+MOD(COLUMN(CB$2),3),1,1),"")</f>
        <v>0</v>
      </c>
      <c r="CC175">
        <f ca="1">IF($AN175="",OFFSET(Demand!$A$13,ROW(M172)-1,4+((QUOTIENT(COLUMN(CC$2)-69,3))*5)+MOD(COLUMN(CC$2),3),1,1),"")</f>
        <v>0</v>
      </c>
      <c r="CD175">
        <f ca="1">IF($AN175="",OFFSET(Demand!$A$13,ROW(N172)-1,4+((QUOTIENT(COLUMN(CD$2)-69,3))*5)+MOD(COLUMN(CD$2),3),1,1),"")</f>
        <v>0</v>
      </c>
      <c r="CE175">
        <f ca="1">IF($AN175="",OFFSET(Demand!$A$13,ROW(O172)-1,4+((QUOTIENT(COLUMN(CE$2)-69,3))*5)+MOD(COLUMN(CE$2),3),1,1),"")</f>
        <v>0</v>
      </c>
      <c r="CF175">
        <f ca="1">IF($AN175="",OFFSET(Demand!$A$13,ROW(P172)-1,4+((QUOTIENT(COLUMN(CF$2)-69,3))*5)+MOD(COLUMN(CF$2),3),1,1),"")</f>
        <v>0</v>
      </c>
      <c r="CG175">
        <f ca="1">IF($AN175="",OFFSET(Demand!$A$13,ROW(Q172)-1,4+((QUOTIENT(COLUMN(CG$2)-69,3))*5)+MOD(COLUMN(CG$2),3),1,1),"")</f>
        <v>0</v>
      </c>
      <c r="CH175">
        <f ca="1">IF($AN175="",OFFSET(Demand!$A$13,ROW(R172)-1,4+((QUOTIENT(COLUMN(CH$2)-69,3))*5)+MOD(COLUMN(CH$2),3),1,1),"")</f>
        <v>0</v>
      </c>
      <c r="CI175">
        <f ca="1">IF($AN175="",OFFSET(Demand!$A$13,ROW(S172)-1,4+((QUOTIENT(COLUMN(CI$2)-69,3))*5)+MOD(COLUMN(CI$2),3),1,1),"")</f>
        <v>0</v>
      </c>
      <c r="CJ175">
        <f ca="1">IF($AN175="",OFFSET(Demand!$A$13,ROW(T172)-1,4+((QUOTIENT(COLUMN(CJ$2)-69,3))*5)+MOD(COLUMN(CJ$2),3),1,1),"")</f>
        <v>0</v>
      </c>
      <c r="CK175">
        <f ca="1">IF($AN175="",OFFSET(Demand!$A$13,ROW(U172)-1,4+((QUOTIENT(COLUMN(CK$2)-69,3))*5)+MOD(COLUMN(CK$2),3),1,1),"")</f>
        <v>0</v>
      </c>
      <c r="CL175">
        <f ca="1">IF($AN175="",OFFSET(Demand!$A$13,ROW(V172)-1,4+((QUOTIENT(COLUMN(CL$2)-69,3))*5)+MOD(COLUMN(CL$2),3),1,1),"")</f>
        <v>0</v>
      </c>
      <c r="CM175">
        <f ca="1">IF($AN175="",OFFSET(Demand!$A$13,ROW(W172)-1,4+((QUOTIENT(COLUMN(CM$2)-69,3))*5)+MOD(COLUMN(CM$2),3),1,1),"")</f>
        <v>0</v>
      </c>
      <c r="CN175">
        <f ca="1">IF($AN175="",OFFSET(Demand!$A$13,ROW(X172)-1,4+((QUOTIENT(COLUMN(CN$2)-69,3))*5)+MOD(COLUMN(CN$2),3),1,1),"")</f>
        <v>0</v>
      </c>
      <c r="CO175">
        <f ca="1">IF($AN175="",OFFSET(Demand!$A$13,ROW(Y172)-1,4+((QUOTIENT(COLUMN(CO$2)-69,3))*5)+MOD(COLUMN(CO$2),3),1,1),"")</f>
        <v>0</v>
      </c>
      <c r="CP175">
        <f ca="1">IF($AN175="",OFFSET(Demand!$A$13,ROW(Z172)-1,4+((QUOTIENT(COLUMN(CP$2)-69,3))*5)+MOD(COLUMN(CP$2),3),1,1),"")</f>
        <v>0</v>
      </c>
      <c r="CQ175">
        <f ca="1">IF($AN175="",OFFSET(Demand!$A$13,ROW(AA172)-1,4+((QUOTIENT(COLUMN(CQ$2)-69,3))*5)+MOD(COLUMN(CQ$2),3),1,1),"")</f>
        <v>0</v>
      </c>
      <c r="CR175">
        <f ca="1">IF($AN175="",OFFSET(Demand!$A$13,ROW(AB172)-1,4+((QUOTIENT(COLUMN(CR$2)-69,3))*5)+MOD(COLUMN(CR$2),3),1,1),"")</f>
        <v>0</v>
      </c>
      <c r="CS175">
        <f ca="1">IF($AN175="",OFFSET(Demand!$A$13,ROW(AC172)-1,4+((QUOTIENT(COLUMN(CS$2)-69,3))*5)+MOD(COLUMN(CS$2),3),1,1),"")</f>
        <v>0</v>
      </c>
      <c r="CT175">
        <f ca="1">IF($AN175="",OFFSET(Demand!$A$13,ROW(AD172)-1,4+((QUOTIENT(COLUMN(CT$2)-69,3))*5)+MOD(COLUMN(CT$2),3),1,1),"")</f>
        <v>0</v>
      </c>
      <c r="CW175" s="5">
        <f ca="1">SUM(OFFSET(Demand!$H$43,ROW(A172)-1,(COLUMN(A172)-1)*5,1,1))*N$2</f>
        <v>0</v>
      </c>
      <c r="CX175" s="5">
        <f ca="1">SUM(OFFSET(Demand!$H$43,ROW(B172)-1,(COLUMN(B172)-1)*5,1,1))*O$2</f>
        <v>0</v>
      </c>
      <c r="CY175" s="5">
        <f ca="1">SUM(OFFSET(Demand!$H$43,ROW(C172)-1,(COLUMN(C172)-1)*5,1,1))*P$2</f>
        <v>0</v>
      </c>
      <c r="CZ175" s="5">
        <f ca="1">SUM(OFFSET(Demand!$H$43,ROW(D172)-1,(COLUMN(D172)-1)*5,1,1))*Q$2</f>
        <v>0</v>
      </c>
      <c r="DA175" s="5">
        <f ca="1">SUM(OFFSET(Demand!$H$43,ROW(E172)-1,(COLUMN(E172)-1)*5,1,1))*R$2</f>
        <v>0</v>
      </c>
      <c r="DB175" s="5">
        <f ca="1">SUM(OFFSET(Demand!$H$43,ROW(F172)-1,(COLUMN(F172)-1)*5,1,1))*S$2</f>
        <v>0</v>
      </c>
      <c r="DC175" s="5">
        <f ca="1">SUM(OFFSET(Demand!$H$43,ROW(G172)-1,(COLUMN(G172)-1)*5,1,1))*T$2</f>
        <v>0</v>
      </c>
      <c r="DD175" s="5">
        <f ca="1">SUM(OFFSET(Demand!$H$43,ROW(H172)-1,(COLUMN(H172)-1)*5,1,1))*U$2</f>
        <v>0</v>
      </c>
      <c r="DE175" s="5">
        <f ca="1">SUM(OFFSET(Demand!$H$43,ROW(I172)-1,(COLUMN(I172)-1)*5,1,1))*V$2</f>
        <v>0</v>
      </c>
      <c r="DF175" s="5">
        <f ca="1">SUM(OFFSET(Demand!$H$43,ROW(J172)-1,(COLUMN(J172)-1)*5,1,1))*W$2</f>
        <v>0</v>
      </c>
      <c r="DG175" s="5">
        <f t="shared" ca="1" si="44"/>
        <v>0</v>
      </c>
    </row>
    <row r="176" spans="1:111" x14ac:dyDescent="0.2">
      <c r="A176" s="5">
        <f t="shared" ca="1" si="38"/>
        <v>2</v>
      </c>
      <c r="B176" s="5">
        <f ca="1">COUNTBLANK(OFFSET(Demand!$I185,0,(COLUMN(A173)-1)*5,1,1))</f>
        <v>1</v>
      </c>
      <c r="C176" s="5">
        <f ca="1">COUNTBLANK(OFFSET(Demand!$I185,0,(COLUMN(B173)-1)*5,1,1))</f>
        <v>1</v>
      </c>
      <c r="D176" s="5">
        <f ca="1">COUNTBLANK(OFFSET(Demand!$I185,0,(COLUMN(C173)-1)*5,1,1))</f>
        <v>1</v>
      </c>
      <c r="E176" s="5">
        <f ca="1">COUNTBLANK(OFFSET(Demand!$I185,0,(COLUMN(D173)-1)*5,1,1))</f>
        <v>1</v>
      </c>
      <c r="F176" s="5">
        <f ca="1">COUNTBLANK(OFFSET(Demand!$I185,0,(COLUMN(E173)-1)*5,1,1))</f>
        <v>1</v>
      </c>
      <c r="G176" s="5">
        <f ca="1">COUNTBLANK(OFFSET(Demand!$I185,0,(COLUMN(F173)-1)*5,1,1))</f>
        <v>1</v>
      </c>
      <c r="H176" s="5">
        <f ca="1">COUNTBLANK(OFFSET(Demand!$I185,0,(COLUMN(G173)-1)*5,1,1))</f>
        <v>1</v>
      </c>
      <c r="I176" s="5">
        <f ca="1">COUNTBLANK(OFFSET(Demand!$I185,0,(COLUMN(H173)-1)*5,1,1))</f>
        <v>1</v>
      </c>
      <c r="J176" s="5">
        <f ca="1">COUNTBLANK(OFFSET(Demand!$I185,0,(COLUMN(I173)-1)*5,1,1))</f>
        <v>1</v>
      </c>
      <c r="K176" s="5">
        <f ca="1">COUNTBLANK(OFFSET(Demand!$I185,0,(COLUMN(J173)-1)*5,1,1))</f>
        <v>1</v>
      </c>
      <c r="N176" s="5">
        <f ca="1">SUM(OFFSET(Demand!$E185,0,(COLUMN(A173)-1)*5,1,3))*N$2</f>
        <v>0</v>
      </c>
      <c r="O176" s="5">
        <f ca="1">SUM(OFFSET(Demand!$E185,0,(COLUMN(B173)-1)*5,1,3))*O$2</f>
        <v>0</v>
      </c>
      <c r="P176" s="5">
        <f ca="1">SUM(OFFSET(Demand!$E185,0,(COLUMN(C173)-1)*5,1,3))*P$2</f>
        <v>0</v>
      </c>
      <c r="Q176" s="5">
        <f ca="1">SUM(OFFSET(Demand!$E185,0,(COLUMN(D173)-1)*5,1,3))*Q$2</f>
        <v>0</v>
      </c>
      <c r="R176" s="5">
        <f ca="1">SUM(OFFSET(Demand!$E185,0,(COLUMN(E173)-1)*5,1,3))*R$2</f>
        <v>0</v>
      </c>
      <c r="S176" s="5">
        <f ca="1">SUM(OFFSET(Demand!$E185,0,(COLUMN(F173)-1)*5,1,3))*S$2</f>
        <v>0</v>
      </c>
      <c r="T176" s="5">
        <f ca="1">SUM(OFFSET(Demand!$E185,0,(COLUMN(G173)-1)*5,1,3))*T$2</f>
        <v>0</v>
      </c>
      <c r="U176" s="5">
        <f ca="1">SUM(OFFSET(Demand!$E185,0,(COLUMN(H173)-1)*5,1,3))*U$2</f>
        <v>0</v>
      </c>
      <c r="V176" s="5">
        <f ca="1">SUM(OFFSET(Demand!$E185,0,(COLUMN(I173)-1)*5,1,3))*V$2</f>
        <v>0</v>
      </c>
      <c r="W176" s="5">
        <f ca="1">SUM(OFFSET(Demand!$E185,0,(COLUMN(J173)-1)*5,1,3))*W$2</f>
        <v>0</v>
      </c>
      <c r="X176" s="5">
        <f t="shared" ca="1" si="39"/>
        <v>0</v>
      </c>
      <c r="Y176">
        <f t="shared" ca="1" si="40"/>
        <v>0</v>
      </c>
      <c r="Z176" s="5">
        <f ca="1">SUM(OFFSET(Demand!$H185,0,(COLUMN(A173)-1)*5,1,1))*N$2</f>
        <v>0</v>
      </c>
      <c r="AA176" s="5">
        <f ca="1">SUM(OFFSET(Demand!$H185,0,(COLUMN(B173)-1)*5,1,1))*O$2</f>
        <v>0</v>
      </c>
      <c r="AB176" s="5">
        <f ca="1">SUM(OFFSET(Demand!$H185,0,(COLUMN(C173)-1)*5,1,1))*P$2</f>
        <v>0</v>
      </c>
      <c r="AC176" s="5">
        <f ca="1">SUM(OFFSET(Demand!$H185,0,(COLUMN(D173)-1)*5,1,1))*Q$2</f>
        <v>0</v>
      </c>
      <c r="AD176" s="5">
        <f ca="1">SUM(OFFSET(Demand!$H185,0,(COLUMN(E173)-1)*5,1,1))*R$2</f>
        <v>0</v>
      </c>
      <c r="AE176" s="5">
        <f ca="1">SUM(OFFSET(Demand!$H185,0,(COLUMN(F173)-1)*5,1,1))*S$2</f>
        <v>0</v>
      </c>
      <c r="AF176" s="5">
        <f ca="1">SUM(OFFSET(Demand!$H185,0,(COLUMN(G173)-1)*5,1,1))*T$2</f>
        <v>0</v>
      </c>
      <c r="AG176" s="5">
        <f ca="1">SUM(OFFSET(Demand!$H185,0,(COLUMN(H173)-1)*5,1,1))*U$2</f>
        <v>0</v>
      </c>
      <c r="AH176" s="5">
        <f ca="1">SUM(OFFSET(Demand!$H185,0,(COLUMN(I173)-1)*5,1,1))*V$2</f>
        <v>0</v>
      </c>
      <c r="AI176" s="5">
        <f ca="1">SUM(OFFSET(Demand!$H185,0,(COLUMN(J173)-1)*5,1,1))*W$2</f>
        <v>0</v>
      </c>
      <c r="AJ176" s="5">
        <f t="shared" ca="1" si="41"/>
        <v>0</v>
      </c>
      <c r="AL176" s="5">
        <f t="shared" ca="1" si="42"/>
        <v>0</v>
      </c>
      <c r="AM176" s="5">
        <f t="shared" ca="1" si="43"/>
        <v>0</v>
      </c>
      <c r="AN176" s="5" t="str">
        <f>IF(Demand!BE185="Yes","Yes","")</f>
        <v/>
      </c>
      <c r="AP176" s="37" t="str">
        <f ca="1">Demand!B185</f>
        <v xml:space="preserve"> </v>
      </c>
      <c r="AQ176" t="str">
        <f ca="1">IF(TEXT(Demand!D185,"MMM")&lt;&gt;TEXT(Demand!D184,"MMM"),TEXT(Demand!D185,"MMM"),"")</f>
        <v/>
      </c>
      <c r="AT176" s="5">
        <f t="shared" ca="1" si="45"/>
        <v>0</v>
      </c>
      <c r="BQ176">
        <f ca="1">IF($AN176="",OFFSET(Demand!$A$13,ROW(A173)-1,4+((QUOTIENT(COLUMN(BQ$2)-69,3))*5)+MOD(COLUMN(BQ$2),3),1,1),"")</f>
        <v>0</v>
      </c>
      <c r="BR176">
        <f ca="1">IF($AN176="",OFFSET(Demand!$A$13,ROW(B173)-1,4+((QUOTIENT(COLUMN(BR$2)-69,3))*5)+MOD(COLUMN(BR$2),3),1,1),"")</f>
        <v>0</v>
      </c>
      <c r="BS176">
        <f ca="1">IF($AN176="",OFFSET(Demand!$A$13,ROW(C173)-1,4+((QUOTIENT(COLUMN(BS$2)-69,3))*5)+MOD(COLUMN(BS$2),3),1,1),"")</f>
        <v>0</v>
      </c>
      <c r="BT176">
        <f ca="1">IF($AN176="",OFFSET(Demand!$A$13,ROW(D173)-1,4+((QUOTIENT(COLUMN(BT$2)-69,3))*5)+MOD(COLUMN(BT$2),3),1,1),"")</f>
        <v>0</v>
      </c>
      <c r="BU176">
        <f ca="1">IF($AN176="",OFFSET(Demand!$A$13,ROW(E173)-1,4+((QUOTIENT(COLUMN(BU$2)-69,3))*5)+MOD(COLUMN(BU$2),3),1,1),"")</f>
        <v>0</v>
      </c>
      <c r="BV176">
        <f ca="1">IF($AN176="",OFFSET(Demand!$A$13,ROW(F173)-1,4+((QUOTIENT(COLUMN(BV$2)-69,3))*5)+MOD(COLUMN(BV$2),3),1,1),"")</f>
        <v>0</v>
      </c>
      <c r="BW176">
        <f ca="1">IF($AN176="",OFFSET(Demand!$A$13,ROW(G173)-1,4+((QUOTIENT(COLUMN(BW$2)-69,3))*5)+MOD(COLUMN(BW$2),3),1,1),"")</f>
        <v>0</v>
      </c>
      <c r="BX176">
        <f ca="1">IF($AN176="",OFFSET(Demand!$A$13,ROW(H173)-1,4+((QUOTIENT(COLUMN(BX$2)-69,3))*5)+MOD(COLUMN(BX$2),3),1,1),"")</f>
        <v>0</v>
      </c>
      <c r="BY176">
        <f ca="1">IF($AN176="",OFFSET(Demand!$A$13,ROW(I173)-1,4+((QUOTIENT(COLUMN(BY$2)-69,3))*5)+MOD(COLUMN(BY$2),3),1,1),"")</f>
        <v>0</v>
      </c>
      <c r="BZ176">
        <f ca="1">IF($AN176="",OFFSET(Demand!$A$13,ROW(J173)-1,4+((QUOTIENT(COLUMN(BZ$2)-69,3))*5)+MOD(COLUMN(BZ$2),3),1,1),"")</f>
        <v>0</v>
      </c>
      <c r="CA176">
        <f ca="1">IF($AN176="",OFFSET(Demand!$A$13,ROW(K173)-1,4+((QUOTIENT(COLUMN(CA$2)-69,3))*5)+MOD(COLUMN(CA$2),3),1,1),"")</f>
        <v>0</v>
      </c>
      <c r="CB176">
        <f ca="1">IF($AN176="",OFFSET(Demand!$A$13,ROW(L173)-1,4+((QUOTIENT(COLUMN(CB$2)-69,3))*5)+MOD(COLUMN(CB$2),3),1,1),"")</f>
        <v>0</v>
      </c>
      <c r="CC176">
        <f ca="1">IF($AN176="",OFFSET(Demand!$A$13,ROW(M173)-1,4+((QUOTIENT(COLUMN(CC$2)-69,3))*5)+MOD(COLUMN(CC$2),3),1,1),"")</f>
        <v>0</v>
      </c>
      <c r="CD176">
        <f ca="1">IF($AN176="",OFFSET(Demand!$A$13,ROW(N173)-1,4+((QUOTIENT(COLUMN(CD$2)-69,3))*5)+MOD(COLUMN(CD$2),3),1,1),"")</f>
        <v>0</v>
      </c>
      <c r="CE176">
        <f ca="1">IF($AN176="",OFFSET(Demand!$A$13,ROW(O173)-1,4+((QUOTIENT(COLUMN(CE$2)-69,3))*5)+MOD(COLUMN(CE$2),3),1,1),"")</f>
        <v>0</v>
      </c>
      <c r="CF176">
        <f ca="1">IF($AN176="",OFFSET(Demand!$A$13,ROW(P173)-1,4+((QUOTIENT(COLUMN(CF$2)-69,3))*5)+MOD(COLUMN(CF$2),3),1,1),"")</f>
        <v>0</v>
      </c>
      <c r="CG176">
        <f ca="1">IF($AN176="",OFFSET(Demand!$A$13,ROW(Q173)-1,4+((QUOTIENT(COLUMN(CG$2)-69,3))*5)+MOD(COLUMN(CG$2),3),1,1),"")</f>
        <v>0</v>
      </c>
      <c r="CH176">
        <f ca="1">IF($AN176="",OFFSET(Demand!$A$13,ROW(R173)-1,4+((QUOTIENT(COLUMN(CH$2)-69,3))*5)+MOD(COLUMN(CH$2),3),1,1),"")</f>
        <v>0</v>
      </c>
      <c r="CI176">
        <f ca="1">IF($AN176="",OFFSET(Demand!$A$13,ROW(S173)-1,4+((QUOTIENT(COLUMN(CI$2)-69,3))*5)+MOD(COLUMN(CI$2),3),1,1),"")</f>
        <v>0</v>
      </c>
      <c r="CJ176">
        <f ca="1">IF($AN176="",OFFSET(Demand!$A$13,ROW(T173)-1,4+((QUOTIENT(COLUMN(CJ$2)-69,3))*5)+MOD(COLUMN(CJ$2),3),1,1),"")</f>
        <v>0</v>
      </c>
      <c r="CK176">
        <f ca="1">IF($AN176="",OFFSET(Demand!$A$13,ROW(U173)-1,4+((QUOTIENT(COLUMN(CK$2)-69,3))*5)+MOD(COLUMN(CK$2),3),1,1),"")</f>
        <v>0</v>
      </c>
      <c r="CL176">
        <f ca="1">IF($AN176="",OFFSET(Demand!$A$13,ROW(V173)-1,4+((QUOTIENT(COLUMN(CL$2)-69,3))*5)+MOD(COLUMN(CL$2),3),1,1),"")</f>
        <v>0</v>
      </c>
      <c r="CM176">
        <f ca="1">IF($AN176="",OFFSET(Demand!$A$13,ROW(W173)-1,4+((QUOTIENT(COLUMN(CM$2)-69,3))*5)+MOD(COLUMN(CM$2),3),1,1),"")</f>
        <v>0</v>
      </c>
      <c r="CN176">
        <f ca="1">IF($AN176="",OFFSET(Demand!$A$13,ROW(X173)-1,4+((QUOTIENT(COLUMN(CN$2)-69,3))*5)+MOD(COLUMN(CN$2),3),1,1),"")</f>
        <v>0</v>
      </c>
      <c r="CO176">
        <f ca="1">IF($AN176="",OFFSET(Demand!$A$13,ROW(Y173)-1,4+((QUOTIENT(COLUMN(CO$2)-69,3))*5)+MOD(COLUMN(CO$2),3),1,1),"")</f>
        <v>0</v>
      </c>
      <c r="CP176">
        <f ca="1">IF($AN176="",OFFSET(Demand!$A$13,ROW(Z173)-1,4+((QUOTIENT(COLUMN(CP$2)-69,3))*5)+MOD(COLUMN(CP$2),3),1,1),"")</f>
        <v>0</v>
      </c>
      <c r="CQ176">
        <f ca="1">IF($AN176="",OFFSET(Demand!$A$13,ROW(AA173)-1,4+((QUOTIENT(COLUMN(CQ$2)-69,3))*5)+MOD(COLUMN(CQ$2),3),1,1),"")</f>
        <v>0</v>
      </c>
      <c r="CR176">
        <f ca="1">IF($AN176="",OFFSET(Demand!$A$13,ROW(AB173)-1,4+((QUOTIENT(COLUMN(CR$2)-69,3))*5)+MOD(COLUMN(CR$2),3),1,1),"")</f>
        <v>0</v>
      </c>
      <c r="CS176">
        <f ca="1">IF($AN176="",OFFSET(Demand!$A$13,ROW(AC173)-1,4+((QUOTIENT(COLUMN(CS$2)-69,3))*5)+MOD(COLUMN(CS$2),3),1,1),"")</f>
        <v>0</v>
      </c>
      <c r="CT176">
        <f ca="1">IF($AN176="",OFFSET(Demand!$A$13,ROW(AD173)-1,4+((QUOTIENT(COLUMN(CT$2)-69,3))*5)+MOD(COLUMN(CT$2),3),1,1),"")</f>
        <v>0</v>
      </c>
      <c r="CW176" s="5">
        <f ca="1">SUM(OFFSET(Demand!$H$43,ROW(A173)-1,(COLUMN(A173)-1)*5,1,1))*N$2</f>
        <v>0</v>
      </c>
      <c r="CX176" s="5">
        <f ca="1">SUM(OFFSET(Demand!$H$43,ROW(B173)-1,(COLUMN(B173)-1)*5,1,1))*O$2</f>
        <v>0</v>
      </c>
      <c r="CY176" s="5">
        <f ca="1">SUM(OFFSET(Demand!$H$43,ROW(C173)-1,(COLUMN(C173)-1)*5,1,1))*P$2</f>
        <v>0</v>
      </c>
      <c r="CZ176" s="5">
        <f ca="1">SUM(OFFSET(Demand!$H$43,ROW(D173)-1,(COLUMN(D173)-1)*5,1,1))*Q$2</f>
        <v>0</v>
      </c>
      <c r="DA176" s="5">
        <f ca="1">SUM(OFFSET(Demand!$H$43,ROW(E173)-1,(COLUMN(E173)-1)*5,1,1))*R$2</f>
        <v>0</v>
      </c>
      <c r="DB176" s="5">
        <f ca="1">SUM(OFFSET(Demand!$H$43,ROW(F173)-1,(COLUMN(F173)-1)*5,1,1))*S$2</f>
        <v>0</v>
      </c>
      <c r="DC176" s="5">
        <f ca="1">SUM(OFFSET(Demand!$H$43,ROW(G173)-1,(COLUMN(G173)-1)*5,1,1))*T$2</f>
        <v>0</v>
      </c>
      <c r="DD176" s="5">
        <f ca="1">SUM(OFFSET(Demand!$H$43,ROW(H173)-1,(COLUMN(H173)-1)*5,1,1))*U$2</f>
        <v>0</v>
      </c>
      <c r="DE176" s="5">
        <f ca="1">SUM(OFFSET(Demand!$H$43,ROW(I173)-1,(COLUMN(I173)-1)*5,1,1))*V$2</f>
        <v>0</v>
      </c>
      <c r="DF176" s="5">
        <f ca="1">SUM(OFFSET(Demand!$H$43,ROW(J173)-1,(COLUMN(J173)-1)*5,1,1))*W$2</f>
        <v>0</v>
      </c>
      <c r="DG176" s="5">
        <f t="shared" ca="1" si="44"/>
        <v>0</v>
      </c>
    </row>
    <row r="177" spans="1:111" x14ac:dyDescent="0.2">
      <c r="A177" s="5">
        <f t="shared" ca="1" si="38"/>
        <v>2</v>
      </c>
      <c r="B177" s="5">
        <f ca="1">COUNTBLANK(OFFSET(Demand!$I186,0,(COLUMN(A174)-1)*5,1,1))</f>
        <v>1</v>
      </c>
      <c r="C177" s="5">
        <f ca="1">COUNTBLANK(OFFSET(Demand!$I186,0,(COLUMN(B174)-1)*5,1,1))</f>
        <v>1</v>
      </c>
      <c r="D177" s="5">
        <f ca="1">COUNTBLANK(OFFSET(Demand!$I186,0,(COLUMN(C174)-1)*5,1,1))</f>
        <v>1</v>
      </c>
      <c r="E177" s="5">
        <f ca="1">COUNTBLANK(OFFSET(Demand!$I186,0,(COLUMN(D174)-1)*5,1,1))</f>
        <v>1</v>
      </c>
      <c r="F177" s="5">
        <f ca="1">COUNTBLANK(OFFSET(Demand!$I186,0,(COLUMN(E174)-1)*5,1,1))</f>
        <v>1</v>
      </c>
      <c r="G177" s="5">
        <f ca="1">COUNTBLANK(OFFSET(Demand!$I186,0,(COLUMN(F174)-1)*5,1,1))</f>
        <v>1</v>
      </c>
      <c r="H177" s="5">
        <f ca="1">COUNTBLANK(OFFSET(Demand!$I186,0,(COLUMN(G174)-1)*5,1,1))</f>
        <v>1</v>
      </c>
      <c r="I177" s="5">
        <f ca="1">COUNTBLANK(OFFSET(Demand!$I186,0,(COLUMN(H174)-1)*5,1,1))</f>
        <v>1</v>
      </c>
      <c r="J177" s="5">
        <f ca="1">COUNTBLANK(OFFSET(Demand!$I186,0,(COLUMN(I174)-1)*5,1,1))</f>
        <v>1</v>
      </c>
      <c r="K177" s="5">
        <f ca="1">COUNTBLANK(OFFSET(Demand!$I186,0,(COLUMN(J174)-1)*5,1,1))</f>
        <v>1</v>
      </c>
      <c r="N177" s="5">
        <f ca="1">SUM(OFFSET(Demand!$E186,0,(COLUMN(A174)-1)*5,1,3))*N$2</f>
        <v>0</v>
      </c>
      <c r="O177" s="5">
        <f ca="1">SUM(OFFSET(Demand!$E186,0,(COLUMN(B174)-1)*5,1,3))*O$2</f>
        <v>0</v>
      </c>
      <c r="P177" s="5">
        <f ca="1">SUM(OFFSET(Demand!$E186,0,(COLUMN(C174)-1)*5,1,3))*P$2</f>
        <v>0</v>
      </c>
      <c r="Q177" s="5">
        <f ca="1">SUM(OFFSET(Demand!$E186,0,(COLUMN(D174)-1)*5,1,3))*Q$2</f>
        <v>0</v>
      </c>
      <c r="R177" s="5">
        <f ca="1">SUM(OFFSET(Demand!$E186,0,(COLUMN(E174)-1)*5,1,3))*R$2</f>
        <v>0</v>
      </c>
      <c r="S177" s="5">
        <f ca="1">SUM(OFFSET(Demand!$E186,0,(COLUMN(F174)-1)*5,1,3))*S$2</f>
        <v>0</v>
      </c>
      <c r="T177" s="5">
        <f ca="1">SUM(OFFSET(Demand!$E186,0,(COLUMN(G174)-1)*5,1,3))*T$2</f>
        <v>0</v>
      </c>
      <c r="U177" s="5">
        <f ca="1">SUM(OFFSET(Demand!$E186,0,(COLUMN(H174)-1)*5,1,3))*U$2</f>
        <v>0</v>
      </c>
      <c r="V177" s="5">
        <f ca="1">SUM(OFFSET(Demand!$E186,0,(COLUMN(I174)-1)*5,1,3))*V$2</f>
        <v>0</v>
      </c>
      <c r="W177" s="5">
        <f ca="1">SUM(OFFSET(Demand!$E186,0,(COLUMN(J174)-1)*5,1,3))*W$2</f>
        <v>0</v>
      </c>
      <c r="X177" s="5">
        <f t="shared" ca="1" si="39"/>
        <v>0</v>
      </c>
      <c r="Y177">
        <f t="shared" ca="1" si="40"/>
        <v>0</v>
      </c>
      <c r="Z177" s="5">
        <f ca="1">SUM(OFFSET(Demand!$H186,0,(COLUMN(A174)-1)*5,1,1))*N$2</f>
        <v>0</v>
      </c>
      <c r="AA177" s="5">
        <f ca="1">SUM(OFFSET(Demand!$H186,0,(COLUMN(B174)-1)*5,1,1))*O$2</f>
        <v>0</v>
      </c>
      <c r="AB177" s="5">
        <f ca="1">SUM(OFFSET(Demand!$H186,0,(COLUMN(C174)-1)*5,1,1))*P$2</f>
        <v>0</v>
      </c>
      <c r="AC177" s="5">
        <f ca="1">SUM(OFFSET(Demand!$H186,0,(COLUMN(D174)-1)*5,1,1))*Q$2</f>
        <v>0</v>
      </c>
      <c r="AD177" s="5">
        <f ca="1">SUM(OFFSET(Demand!$H186,0,(COLUMN(E174)-1)*5,1,1))*R$2</f>
        <v>0</v>
      </c>
      <c r="AE177" s="5">
        <f ca="1">SUM(OFFSET(Demand!$H186,0,(COLUMN(F174)-1)*5,1,1))*S$2</f>
        <v>0</v>
      </c>
      <c r="AF177" s="5">
        <f ca="1">SUM(OFFSET(Demand!$H186,0,(COLUMN(G174)-1)*5,1,1))*T$2</f>
        <v>0</v>
      </c>
      <c r="AG177" s="5">
        <f ca="1">SUM(OFFSET(Demand!$H186,0,(COLUMN(H174)-1)*5,1,1))*U$2</f>
        <v>0</v>
      </c>
      <c r="AH177" s="5">
        <f ca="1">SUM(OFFSET(Demand!$H186,0,(COLUMN(I174)-1)*5,1,1))*V$2</f>
        <v>0</v>
      </c>
      <c r="AI177" s="5">
        <f ca="1">SUM(OFFSET(Demand!$H186,0,(COLUMN(J174)-1)*5,1,1))*W$2</f>
        <v>0</v>
      </c>
      <c r="AJ177" s="5">
        <f t="shared" ca="1" si="41"/>
        <v>0</v>
      </c>
      <c r="AL177" s="5">
        <f t="shared" ca="1" si="42"/>
        <v>0</v>
      </c>
      <c r="AM177" s="5">
        <f t="shared" ca="1" si="43"/>
        <v>0</v>
      </c>
      <c r="AN177" s="5" t="str">
        <f>IF(Demand!BE186="Yes","Yes","")</f>
        <v/>
      </c>
      <c r="AP177" s="37" t="str">
        <f ca="1">Demand!B186</f>
        <v xml:space="preserve"> </v>
      </c>
      <c r="AQ177" t="str">
        <f ca="1">IF(TEXT(Demand!D186,"MMM")&lt;&gt;TEXT(Demand!D185,"MMM"),TEXT(Demand!D186,"MMM"),"")</f>
        <v/>
      </c>
      <c r="AT177" s="5">
        <f t="shared" ca="1" si="45"/>
        <v>0</v>
      </c>
      <c r="BQ177">
        <f ca="1">IF($AN177="",OFFSET(Demand!$A$13,ROW(A174)-1,4+((QUOTIENT(COLUMN(BQ$2)-69,3))*5)+MOD(COLUMN(BQ$2),3),1,1),"")</f>
        <v>0</v>
      </c>
      <c r="BR177">
        <f ca="1">IF($AN177="",OFFSET(Demand!$A$13,ROW(B174)-1,4+((QUOTIENT(COLUMN(BR$2)-69,3))*5)+MOD(COLUMN(BR$2),3),1,1),"")</f>
        <v>0</v>
      </c>
      <c r="BS177">
        <f ca="1">IF($AN177="",OFFSET(Demand!$A$13,ROW(C174)-1,4+((QUOTIENT(COLUMN(BS$2)-69,3))*5)+MOD(COLUMN(BS$2),3),1,1),"")</f>
        <v>0</v>
      </c>
      <c r="BT177">
        <f ca="1">IF($AN177="",OFFSET(Demand!$A$13,ROW(D174)-1,4+((QUOTIENT(COLUMN(BT$2)-69,3))*5)+MOD(COLUMN(BT$2),3),1,1),"")</f>
        <v>0</v>
      </c>
      <c r="BU177">
        <f ca="1">IF($AN177="",OFFSET(Demand!$A$13,ROW(E174)-1,4+((QUOTIENT(COLUMN(BU$2)-69,3))*5)+MOD(COLUMN(BU$2),3),1,1),"")</f>
        <v>0</v>
      </c>
      <c r="BV177">
        <f ca="1">IF($AN177="",OFFSET(Demand!$A$13,ROW(F174)-1,4+((QUOTIENT(COLUMN(BV$2)-69,3))*5)+MOD(COLUMN(BV$2),3),1,1),"")</f>
        <v>0</v>
      </c>
      <c r="BW177">
        <f ca="1">IF($AN177="",OFFSET(Demand!$A$13,ROW(G174)-1,4+((QUOTIENT(COLUMN(BW$2)-69,3))*5)+MOD(COLUMN(BW$2),3),1,1),"")</f>
        <v>0</v>
      </c>
      <c r="BX177">
        <f ca="1">IF($AN177="",OFFSET(Demand!$A$13,ROW(H174)-1,4+((QUOTIENT(COLUMN(BX$2)-69,3))*5)+MOD(COLUMN(BX$2),3),1,1),"")</f>
        <v>0</v>
      </c>
      <c r="BY177">
        <f ca="1">IF($AN177="",OFFSET(Demand!$A$13,ROW(I174)-1,4+((QUOTIENT(COLUMN(BY$2)-69,3))*5)+MOD(COLUMN(BY$2),3),1,1),"")</f>
        <v>0</v>
      </c>
      <c r="BZ177">
        <f ca="1">IF($AN177="",OFFSET(Demand!$A$13,ROW(J174)-1,4+((QUOTIENT(COLUMN(BZ$2)-69,3))*5)+MOD(COLUMN(BZ$2),3),1,1),"")</f>
        <v>0</v>
      </c>
      <c r="CA177">
        <f ca="1">IF($AN177="",OFFSET(Demand!$A$13,ROW(K174)-1,4+((QUOTIENT(COLUMN(CA$2)-69,3))*5)+MOD(COLUMN(CA$2),3),1,1),"")</f>
        <v>0</v>
      </c>
      <c r="CB177">
        <f ca="1">IF($AN177="",OFFSET(Demand!$A$13,ROW(L174)-1,4+((QUOTIENT(COLUMN(CB$2)-69,3))*5)+MOD(COLUMN(CB$2),3),1,1),"")</f>
        <v>0</v>
      </c>
      <c r="CC177">
        <f ca="1">IF($AN177="",OFFSET(Demand!$A$13,ROW(M174)-1,4+((QUOTIENT(COLUMN(CC$2)-69,3))*5)+MOD(COLUMN(CC$2),3),1,1),"")</f>
        <v>0</v>
      </c>
      <c r="CD177">
        <f ca="1">IF($AN177="",OFFSET(Demand!$A$13,ROW(N174)-1,4+((QUOTIENT(COLUMN(CD$2)-69,3))*5)+MOD(COLUMN(CD$2),3),1,1),"")</f>
        <v>0</v>
      </c>
      <c r="CE177">
        <f ca="1">IF($AN177="",OFFSET(Demand!$A$13,ROW(O174)-1,4+((QUOTIENT(COLUMN(CE$2)-69,3))*5)+MOD(COLUMN(CE$2),3),1,1),"")</f>
        <v>0</v>
      </c>
      <c r="CF177">
        <f ca="1">IF($AN177="",OFFSET(Demand!$A$13,ROW(P174)-1,4+((QUOTIENT(COLUMN(CF$2)-69,3))*5)+MOD(COLUMN(CF$2),3),1,1),"")</f>
        <v>0</v>
      </c>
      <c r="CG177">
        <f ca="1">IF($AN177="",OFFSET(Demand!$A$13,ROW(Q174)-1,4+((QUOTIENT(COLUMN(CG$2)-69,3))*5)+MOD(COLUMN(CG$2),3),1,1),"")</f>
        <v>0</v>
      </c>
      <c r="CH177">
        <f ca="1">IF($AN177="",OFFSET(Demand!$A$13,ROW(R174)-1,4+((QUOTIENT(COLUMN(CH$2)-69,3))*5)+MOD(COLUMN(CH$2),3),1,1),"")</f>
        <v>0</v>
      </c>
      <c r="CI177">
        <f ca="1">IF($AN177="",OFFSET(Demand!$A$13,ROW(S174)-1,4+((QUOTIENT(COLUMN(CI$2)-69,3))*5)+MOD(COLUMN(CI$2),3),1,1),"")</f>
        <v>0</v>
      </c>
      <c r="CJ177">
        <f ca="1">IF($AN177="",OFFSET(Demand!$A$13,ROW(T174)-1,4+((QUOTIENT(COLUMN(CJ$2)-69,3))*5)+MOD(COLUMN(CJ$2),3),1,1),"")</f>
        <v>0</v>
      </c>
      <c r="CK177">
        <f ca="1">IF($AN177="",OFFSET(Demand!$A$13,ROW(U174)-1,4+((QUOTIENT(COLUMN(CK$2)-69,3))*5)+MOD(COLUMN(CK$2),3),1,1),"")</f>
        <v>0</v>
      </c>
      <c r="CL177">
        <f ca="1">IF($AN177="",OFFSET(Demand!$A$13,ROW(V174)-1,4+((QUOTIENT(COLUMN(CL$2)-69,3))*5)+MOD(COLUMN(CL$2),3),1,1),"")</f>
        <v>0</v>
      </c>
      <c r="CM177">
        <f ca="1">IF($AN177="",OFFSET(Demand!$A$13,ROW(W174)-1,4+((QUOTIENT(COLUMN(CM$2)-69,3))*5)+MOD(COLUMN(CM$2),3),1,1),"")</f>
        <v>0</v>
      </c>
      <c r="CN177">
        <f ca="1">IF($AN177="",OFFSET(Demand!$A$13,ROW(X174)-1,4+((QUOTIENT(COLUMN(CN$2)-69,3))*5)+MOD(COLUMN(CN$2),3),1,1),"")</f>
        <v>0</v>
      </c>
      <c r="CO177">
        <f ca="1">IF($AN177="",OFFSET(Demand!$A$13,ROW(Y174)-1,4+((QUOTIENT(COLUMN(CO$2)-69,3))*5)+MOD(COLUMN(CO$2),3),1,1),"")</f>
        <v>0</v>
      </c>
      <c r="CP177">
        <f ca="1">IF($AN177="",OFFSET(Demand!$A$13,ROW(Z174)-1,4+((QUOTIENT(COLUMN(CP$2)-69,3))*5)+MOD(COLUMN(CP$2),3),1,1),"")</f>
        <v>0</v>
      </c>
      <c r="CQ177">
        <f ca="1">IF($AN177="",OFFSET(Demand!$A$13,ROW(AA174)-1,4+((QUOTIENT(COLUMN(CQ$2)-69,3))*5)+MOD(COLUMN(CQ$2),3),1,1),"")</f>
        <v>0</v>
      </c>
      <c r="CR177">
        <f ca="1">IF($AN177="",OFFSET(Demand!$A$13,ROW(AB174)-1,4+((QUOTIENT(COLUMN(CR$2)-69,3))*5)+MOD(COLUMN(CR$2),3),1,1),"")</f>
        <v>0</v>
      </c>
      <c r="CS177">
        <f ca="1">IF($AN177="",OFFSET(Demand!$A$13,ROW(AC174)-1,4+((QUOTIENT(COLUMN(CS$2)-69,3))*5)+MOD(COLUMN(CS$2),3),1,1),"")</f>
        <v>0</v>
      </c>
      <c r="CT177">
        <f ca="1">IF($AN177="",OFFSET(Demand!$A$13,ROW(AD174)-1,4+((QUOTIENT(COLUMN(CT$2)-69,3))*5)+MOD(COLUMN(CT$2),3),1,1),"")</f>
        <v>0</v>
      </c>
      <c r="CW177" s="5">
        <f ca="1">SUM(OFFSET(Demand!$H$43,ROW(A174)-1,(COLUMN(A174)-1)*5,1,1))*N$2</f>
        <v>0</v>
      </c>
      <c r="CX177" s="5">
        <f ca="1">SUM(OFFSET(Demand!$H$43,ROW(B174)-1,(COLUMN(B174)-1)*5,1,1))*O$2</f>
        <v>0</v>
      </c>
      <c r="CY177" s="5">
        <f ca="1">SUM(OFFSET(Demand!$H$43,ROW(C174)-1,(COLUMN(C174)-1)*5,1,1))*P$2</f>
        <v>0</v>
      </c>
      <c r="CZ177" s="5">
        <f ca="1">SUM(OFFSET(Demand!$H$43,ROW(D174)-1,(COLUMN(D174)-1)*5,1,1))*Q$2</f>
        <v>0</v>
      </c>
      <c r="DA177" s="5">
        <f ca="1">SUM(OFFSET(Demand!$H$43,ROW(E174)-1,(COLUMN(E174)-1)*5,1,1))*R$2</f>
        <v>0</v>
      </c>
      <c r="DB177" s="5">
        <f ca="1">SUM(OFFSET(Demand!$H$43,ROW(F174)-1,(COLUMN(F174)-1)*5,1,1))*S$2</f>
        <v>0</v>
      </c>
      <c r="DC177" s="5">
        <f ca="1">SUM(OFFSET(Demand!$H$43,ROW(G174)-1,(COLUMN(G174)-1)*5,1,1))*T$2</f>
        <v>0</v>
      </c>
      <c r="DD177" s="5">
        <f ca="1">SUM(OFFSET(Demand!$H$43,ROW(H174)-1,(COLUMN(H174)-1)*5,1,1))*U$2</f>
        <v>0</v>
      </c>
      <c r="DE177" s="5">
        <f ca="1">SUM(OFFSET(Demand!$H$43,ROW(I174)-1,(COLUMN(I174)-1)*5,1,1))*V$2</f>
        <v>0</v>
      </c>
      <c r="DF177" s="5">
        <f ca="1">SUM(OFFSET(Demand!$H$43,ROW(J174)-1,(COLUMN(J174)-1)*5,1,1))*W$2</f>
        <v>0</v>
      </c>
      <c r="DG177" s="5">
        <f t="shared" ca="1" si="44"/>
        <v>0</v>
      </c>
    </row>
    <row r="178" spans="1:111" x14ac:dyDescent="0.2">
      <c r="A178" s="5">
        <f t="shared" ca="1" si="38"/>
        <v>2</v>
      </c>
      <c r="B178" s="5">
        <f ca="1">COUNTBLANK(OFFSET(Demand!$I187,0,(COLUMN(A175)-1)*5,1,1))</f>
        <v>1</v>
      </c>
      <c r="C178" s="5">
        <f ca="1">COUNTBLANK(OFFSET(Demand!$I187,0,(COLUMN(B175)-1)*5,1,1))</f>
        <v>1</v>
      </c>
      <c r="D178" s="5">
        <f ca="1">COUNTBLANK(OFFSET(Demand!$I187,0,(COLUMN(C175)-1)*5,1,1))</f>
        <v>1</v>
      </c>
      <c r="E178" s="5">
        <f ca="1">COUNTBLANK(OFFSET(Demand!$I187,0,(COLUMN(D175)-1)*5,1,1))</f>
        <v>1</v>
      </c>
      <c r="F178" s="5">
        <f ca="1">COUNTBLANK(OFFSET(Demand!$I187,0,(COLUMN(E175)-1)*5,1,1))</f>
        <v>1</v>
      </c>
      <c r="G178" s="5">
        <f ca="1">COUNTBLANK(OFFSET(Demand!$I187,0,(COLUMN(F175)-1)*5,1,1))</f>
        <v>1</v>
      </c>
      <c r="H178" s="5">
        <f ca="1">COUNTBLANK(OFFSET(Demand!$I187,0,(COLUMN(G175)-1)*5,1,1))</f>
        <v>1</v>
      </c>
      <c r="I178" s="5">
        <f ca="1">COUNTBLANK(OFFSET(Demand!$I187,0,(COLUMN(H175)-1)*5,1,1))</f>
        <v>1</v>
      </c>
      <c r="J178" s="5">
        <f ca="1">COUNTBLANK(OFFSET(Demand!$I187,0,(COLUMN(I175)-1)*5,1,1))</f>
        <v>1</v>
      </c>
      <c r="K178" s="5">
        <f ca="1">COUNTBLANK(OFFSET(Demand!$I187,0,(COLUMN(J175)-1)*5,1,1))</f>
        <v>1</v>
      </c>
      <c r="N178" s="5">
        <f ca="1">SUM(OFFSET(Demand!$E187,0,(COLUMN(A175)-1)*5,1,3))*N$2</f>
        <v>0</v>
      </c>
      <c r="O178" s="5">
        <f ca="1">SUM(OFFSET(Demand!$E187,0,(COLUMN(B175)-1)*5,1,3))*O$2</f>
        <v>0</v>
      </c>
      <c r="P178" s="5">
        <f ca="1">SUM(OFFSET(Demand!$E187,0,(COLUMN(C175)-1)*5,1,3))*P$2</f>
        <v>0</v>
      </c>
      <c r="Q178" s="5">
        <f ca="1">SUM(OFFSET(Demand!$E187,0,(COLUMN(D175)-1)*5,1,3))*Q$2</f>
        <v>0</v>
      </c>
      <c r="R178" s="5">
        <f ca="1">SUM(OFFSET(Demand!$E187,0,(COLUMN(E175)-1)*5,1,3))*R$2</f>
        <v>0</v>
      </c>
      <c r="S178" s="5">
        <f ca="1">SUM(OFFSET(Demand!$E187,0,(COLUMN(F175)-1)*5,1,3))*S$2</f>
        <v>0</v>
      </c>
      <c r="T178" s="5">
        <f ca="1">SUM(OFFSET(Demand!$E187,0,(COLUMN(G175)-1)*5,1,3))*T$2</f>
        <v>0</v>
      </c>
      <c r="U178" s="5">
        <f ca="1">SUM(OFFSET(Demand!$E187,0,(COLUMN(H175)-1)*5,1,3))*U$2</f>
        <v>0</v>
      </c>
      <c r="V178" s="5">
        <f ca="1">SUM(OFFSET(Demand!$E187,0,(COLUMN(I175)-1)*5,1,3))*V$2</f>
        <v>0</v>
      </c>
      <c r="W178" s="5">
        <f ca="1">SUM(OFFSET(Demand!$E187,0,(COLUMN(J175)-1)*5,1,3))*W$2</f>
        <v>0</v>
      </c>
      <c r="X178" s="5">
        <f t="shared" ca="1" si="39"/>
        <v>0</v>
      </c>
      <c r="Y178">
        <f t="shared" ca="1" si="40"/>
        <v>0</v>
      </c>
      <c r="Z178" s="5">
        <f ca="1">SUM(OFFSET(Demand!$H187,0,(COLUMN(A175)-1)*5,1,1))*N$2</f>
        <v>0</v>
      </c>
      <c r="AA178" s="5">
        <f ca="1">SUM(OFFSET(Demand!$H187,0,(COLUMN(B175)-1)*5,1,1))*O$2</f>
        <v>0</v>
      </c>
      <c r="AB178" s="5">
        <f ca="1">SUM(OFFSET(Demand!$H187,0,(COLUMN(C175)-1)*5,1,1))*P$2</f>
        <v>0</v>
      </c>
      <c r="AC178" s="5">
        <f ca="1">SUM(OFFSET(Demand!$H187,0,(COLUMN(D175)-1)*5,1,1))*Q$2</f>
        <v>0</v>
      </c>
      <c r="AD178" s="5">
        <f ca="1">SUM(OFFSET(Demand!$H187,0,(COLUMN(E175)-1)*5,1,1))*R$2</f>
        <v>0</v>
      </c>
      <c r="AE178" s="5">
        <f ca="1">SUM(OFFSET(Demand!$H187,0,(COLUMN(F175)-1)*5,1,1))*S$2</f>
        <v>0</v>
      </c>
      <c r="AF178" s="5">
        <f ca="1">SUM(OFFSET(Demand!$H187,0,(COLUMN(G175)-1)*5,1,1))*T$2</f>
        <v>0</v>
      </c>
      <c r="AG178" s="5">
        <f ca="1">SUM(OFFSET(Demand!$H187,0,(COLUMN(H175)-1)*5,1,1))*U$2</f>
        <v>0</v>
      </c>
      <c r="AH178" s="5">
        <f ca="1">SUM(OFFSET(Demand!$H187,0,(COLUMN(I175)-1)*5,1,1))*V$2</f>
        <v>0</v>
      </c>
      <c r="AI178" s="5">
        <f ca="1">SUM(OFFSET(Demand!$H187,0,(COLUMN(J175)-1)*5,1,1))*W$2</f>
        <v>0</v>
      </c>
      <c r="AJ178" s="5">
        <f t="shared" ca="1" si="41"/>
        <v>0</v>
      </c>
      <c r="AL178" s="5">
        <f t="shared" ca="1" si="42"/>
        <v>0</v>
      </c>
      <c r="AM178" s="5">
        <f t="shared" ca="1" si="43"/>
        <v>0</v>
      </c>
      <c r="AN178" s="5" t="str">
        <f>IF(Demand!BE187="Yes","Yes","")</f>
        <v/>
      </c>
      <c r="AP178" s="37" t="str">
        <f ca="1">Demand!B187</f>
        <v xml:space="preserve"> </v>
      </c>
      <c r="AQ178" t="str">
        <f ca="1">IF(TEXT(Demand!D187,"MMM")&lt;&gt;TEXT(Demand!D186,"MMM"),TEXT(Demand!D187,"MMM"),"")</f>
        <v/>
      </c>
      <c r="AT178" s="5">
        <f t="shared" ca="1" si="45"/>
        <v>0</v>
      </c>
      <c r="BQ178">
        <f ca="1">IF($AN178="",OFFSET(Demand!$A$13,ROW(A175)-1,4+((QUOTIENT(COLUMN(BQ$2)-69,3))*5)+MOD(COLUMN(BQ$2),3),1,1),"")</f>
        <v>0</v>
      </c>
      <c r="BR178">
        <f ca="1">IF($AN178="",OFFSET(Demand!$A$13,ROW(B175)-1,4+((QUOTIENT(COLUMN(BR$2)-69,3))*5)+MOD(COLUMN(BR$2),3),1,1),"")</f>
        <v>0</v>
      </c>
      <c r="BS178">
        <f ca="1">IF($AN178="",OFFSET(Demand!$A$13,ROW(C175)-1,4+((QUOTIENT(COLUMN(BS$2)-69,3))*5)+MOD(COLUMN(BS$2),3),1,1),"")</f>
        <v>0</v>
      </c>
      <c r="BT178">
        <f ca="1">IF($AN178="",OFFSET(Demand!$A$13,ROW(D175)-1,4+((QUOTIENT(COLUMN(BT$2)-69,3))*5)+MOD(COLUMN(BT$2),3),1,1),"")</f>
        <v>0</v>
      </c>
      <c r="BU178">
        <f ca="1">IF($AN178="",OFFSET(Demand!$A$13,ROW(E175)-1,4+((QUOTIENT(COLUMN(BU$2)-69,3))*5)+MOD(COLUMN(BU$2),3),1,1),"")</f>
        <v>0</v>
      </c>
      <c r="BV178">
        <f ca="1">IF($AN178="",OFFSET(Demand!$A$13,ROW(F175)-1,4+((QUOTIENT(COLUMN(BV$2)-69,3))*5)+MOD(COLUMN(BV$2),3),1,1),"")</f>
        <v>0</v>
      </c>
      <c r="BW178">
        <f ca="1">IF($AN178="",OFFSET(Demand!$A$13,ROW(G175)-1,4+((QUOTIENT(COLUMN(BW$2)-69,3))*5)+MOD(COLUMN(BW$2),3),1,1),"")</f>
        <v>0</v>
      </c>
      <c r="BX178">
        <f ca="1">IF($AN178="",OFFSET(Demand!$A$13,ROW(H175)-1,4+((QUOTIENT(COLUMN(BX$2)-69,3))*5)+MOD(COLUMN(BX$2),3),1,1),"")</f>
        <v>0</v>
      </c>
      <c r="BY178">
        <f ca="1">IF($AN178="",OFFSET(Demand!$A$13,ROW(I175)-1,4+((QUOTIENT(COLUMN(BY$2)-69,3))*5)+MOD(COLUMN(BY$2),3),1,1),"")</f>
        <v>0</v>
      </c>
      <c r="BZ178">
        <f ca="1">IF($AN178="",OFFSET(Demand!$A$13,ROW(J175)-1,4+((QUOTIENT(COLUMN(BZ$2)-69,3))*5)+MOD(COLUMN(BZ$2),3),1,1),"")</f>
        <v>0</v>
      </c>
      <c r="CA178">
        <f ca="1">IF($AN178="",OFFSET(Demand!$A$13,ROW(K175)-1,4+((QUOTIENT(COLUMN(CA$2)-69,3))*5)+MOD(COLUMN(CA$2),3),1,1),"")</f>
        <v>0</v>
      </c>
      <c r="CB178">
        <f ca="1">IF($AN178="",OFFSET(Demand!$A$13,ROW(L175)-1,4+((QUOTIENT(COLUMN(CB$2)-69,3))*5)+MOD(COLUMN(CB$2),3),1,1),"")</f>
        <v>0</v>
      </c>
      <c r="CC178">
        <f ca="1">IF($AN178="",OFFSET(Demand!$A$13,ROW(M175)-1,4+((QUOTIENT(COLUMN(CC$2)-69,3))*5)+MOD(COLUMN(CC$2),3),1,1),"")</f>
        <v>0</v>
      </c>
      <c r="CD178">
        <f ca="1">IF($AN178="",OFFSET(Demand!$A$13,ROW(N175)-1,4+((QUOTIENT(COLUMN(CD$2)-69,3))*5)+MOD(COLUMN(CD$2),3),1,1),"")</f>
        <v>0</v>
      </c>
      <c r="CE178">
        <f ca="1">IF($AN178="",OFFSET(Demand!$A$13,ROW(O175)-1,4+((QUOTIENT(COLUMN(CE$2)-69,3))*5)+MOD(COLUMN(CE$2),3),1,1),"")</f>
        <v>0</v>
      </c>
      <c r="CF178">
        <f ca="1">IF($AN178="",OFFSET(Demand!$A$13,ROW(P175)-1,4+((QUOTIENT(COLUMN(CF$2)-69,3))*5)+MOD(COLUMN(CF$2),3),1,1),"")</f>
        <v>0</v>
      </c>
      <c r="CG178">
        <f ca="1">IF($AN178="",OFFSET(Demand!$A$13,ROW(Q175)-1,4+((QUOTIENT(COLUMN(CG$2)-69,3))*5)+MOD(COLUMN(CG$2),3),1,1),"")</f>
        <v>0</v>
      </c>
      <c r="CH178">
        <f ca="1">IF($AN178="",OFFSET(Demand!$A$13,ROW(R175)-1,4+((QUOTIENT(COLUMN(CH$2)-69,3))*5)+MOD(COLUMN(CH$2),3),1,1),"")</f>
        <v>0</v>
      </c>
      <c r="CI178">
        <f ca="1">IF($AN178="",OFFSET(Demand!$A$13,ROW(S175)-1,4+((QUOTIENT(COLUMN(CI$2)-69,3))*5)+MOD(COLUMN(CI$2),3),1,1),"")</f>
        <v>0</v>
      </c>
      <c r="CJ178">
        <f ca="1">IF($AN178="",OFFSET(Demand!$A$13,ROW(T175)-1,4+((QUOTIENT(COLUMN(CJ$2)-69,3))*5)+MOD(COLUMN(CJ$2),3),1,1),"")</f>
        <v>0</v>
      </c>
      <c r="CK178">
        <f ca="1">IF($AN178="",OFFSET(Demand!$A$13,ROW(U175)-1,4+((QUOTIENT(COLUMN(CK$2)-69,3))*5)+MOD(COLUMN(CK$2),3),1,1),"")</f>
        <v>0</v>
      </c>
      <c r="CL178">
        <f ca="1">IF($AN178="",OFFSET(Demand!$A$13,ROW(V175)-1,4+((QUOTIENT(COLUMN(CL$2)-69,3))*5)+MOD(COLUMN(CL$2),3),1,1),"")</f>
        <v>0</v>
      </c>
      <c r="CM178">
        <f ca="1">IF($AN178="",OFFSET(Demand!$A$13,ROW(W175)-1,4+((QUOTIENT(COLUMN(CM$2)-69,3))*5)+MOD(COLUMN(CM$2),3),1,1),"")</f>
        <v>0</v>
      </c>
      <c r="CN178">
        <f ca="1">IF($AN178="",OFFSET(Demand!$A$13,ROW(X175)-1,4+((QUOTIENT(COLUMN(CN$2)-69,3))*5)+MOD(COLUMN(CN$2),3),1,1),"")</f>
        <v>0</v>
      </c>
      <c r="CO178">
        <f ca="1">IF($AN178="",OFFSET(Demand!$A$13,ROW(Y175)-1,4+((QUOTIENT(COLUMN(CO$2)-69,3))*5)+MOD(COLUMN(CO$2),3),1,1),"")</f>
        <v>0</v>
      </c>
      <c r="CP178">
        <f ca="1">IF($AN178="",OFFSET(Demand!$A$13,ROW(Z175)-1,4+((QUOTIENT(COLUMN(CP$2)-69,3))*5)+MOD(COLUMN(CP$2),3),1,1),"")</f>
        <v>0</v>
      </c>
      <c r="CQ178">
        <f ca="1">IF($AN178="",OFFSET(Demand!$A$13,ROW(AA175)-1,4+((QUOTIENT(COLUMN(CQ$2)-69,3))*5)+MOD(COLUMN(CQ$2),3),1,1),"")</f>
        <v>0</v>
      </c>
      <c r="CR178">
        <f ca="1">IF($AN178="",OFFSET(Demand!$A$13,ROW(AB175)-1,4+((QUOTIENT(COLUMN(CR$2)-69,3))*5)+MOD(COLUMN(CR$2),3),1,1),"")</f>
        <v>0</v>
      </c>
      <c r="CS178">
        <f ca="1">IF($AN178="",OFFSET(Demand!$A$13,ROW(AC175)-1,4+((QUOTIENT(COLUMN(CS$2)-69,3))*5)+MOD(COLUMN(CS$2),3),1,1),"")</f>
        <v>0</v>
      </c>
      <c r="CT178">
        <f ca="1">IF($AN178="",OFFSET(Demand!$A$13,ROW(AD175)-1,4+((QUOTIENT(COLUMN(CT$2)-69,3))*5)+MOD(COLUMN(CT$2),3),1,1),"")</f>
        <v>0</v>
      </c>
      <c r="CW178" s="5">
        <f ca="1">SUM(OFFSET(Demand!$H$43,ROW(A175)-1,(COLUMN(A175)-1)*5,1,1))*N$2</f>
        <v>0</v>
      </c>
      <c r="CX178" s="5">
        <f ca="1">SUM(OFFSET(Demand!$H$43,ROW(B175)-1,(COLUMN(B175)-1)*5,1,1))*O$2</f>
        <v>0</v>
      </c>
      <c r="CY178" s="5">
        <f ca="1">SUM(OFFSET(Demand!$H$43,ROW(C175)-1,(COLUMN(C175)-1)*5,1,1))*P$2</f>
        <v>0</v>
      </c>
      <c r="CZ178" s="5">
        <f ca="1">SUM(OFFSET(Demand!$H$43,ROW(D175)-1,(COLUMN(D175)-1)*5,1,1))*Q$2</f>
        <v>0</v>
      </c>
      <c r="DA178" s="5">
        <f ca="1">SUM(OFFSET(Demand!$H$43,ROW(E175)-1,(COLUMN(E175)-1)*5,1,1))*R$2</f>
        <v>0</v>
      </c>
      <c r="DB178" s="5">
        <f ca="1">SUM(OFFSET(Demand!$H$43,ROW(F175)-1,(COLUMN(F175)-1)*5,1,1))*S$2</f>
        <v>0</v>
      </c>
      <c r="DC178" s="5">
        <f ca="1">SUM(OFFSET(Demand!$H$43,ROW(G175)-1,(COLUMN(G175)-1)*5,1,1))*T$2</f>
        <v>0</v>
      </c>
      <c r="DD178" s="5">
        <f ca="1">SUM(OFFSET(Demand!$H$43,ROW(H175)-1,(COLUMN(H175)-1)*5,1,1))*U$2</f>
        <v>0</v>
      </c>
      <c r="DE178" s="5">
        <f ca="1">SUM(OFFSET(Demand!$H$43,ROW(I175)-1,(COLUMN(I175)-1)*5,1,1))*V$2</f>
        <v>0</v>
      </c>
      <c r="DF178" s="5">
        <f ca="1">SUM(OFFSET(Demand!$H$43,ROW(J175)-1,(COLUMN(J175)-1)*5,1,1))*W$2</f>
        <v>0</v>
      </c>
      <c r="DG178" s="5">
        <f t="shared" ca="1" si="44"/>
        <v>0</v>
      </c>
    </row>
    <row r="179" spans="1:111" x14ac:dyDescent="0.2">
      <c r="A179" s="5">
        <f t="shared" ca="1" si="38"/>
        <v>2</v>
      </c>
      <c r="B179" s="5">
        <f ca="1">COUNTBLANK(OFFSET(Demand!$I188,0,(COLUMN(A176)-1)*5,1,1))</f>
        <v>1</v>
      </c>
      <c r="C179" s="5">
        <f ca="1">COUNTBLANK(OFFSET(Demand!$I188,0,(COLUMN(B176)-1)*5,1,1))</f>
        <v>1</v>
      </c>
      <c r="D179" s="5">
        <f ca="1">COUNTBLANK(OFFSET(Demand!$I188,0,(COLUMN(C176)-1)*5,1,1))</f>
        <v>1</v>
      </c>
      <c r="E179" s="5">
        <f ca="1">COUNTBLANK(OFFSET(Demand!$I188,0,(COLUMN(D176)-1)*5,1,1))</f>
        <v>1</v>
      </c>
      <c r="F179" s="5">
        <f ca="1">COUNTBLANK(OFFSET(Demand!$I188,0,(COLUMN(E176)-1)*5,1,1))</f>
        <v>1</v>
      </c>
      <c r="G179" s="5">
        <f ca="1">COUNTBLANK(OFFSET(Demand!$I188,0,(COLUMN(F176)-1)*5,1,1))</f>
        <v>1</v>
      </c>
      <c r="H179" s="5">
        <f ca="1">COUNTBLANK(OFFSET(Demand!$I188,0,(COLUMN(G176)-1)*5,1,1))</f>
        <v>1</v>
      </c>
      <c r="I179" s="5">
        <f ca="1">COUNTBLANK(OFFSET(Demand!$I188,0,(COLUMN(H176)-1)*5,1,1))</f>
        <v>1</v>
      </c>
      <c r="J179" s="5">
        <f ca="1">COUNTBLANK(OFFSET(Demand!$I188,0,(COLUMN(I176)-1)*5,1,1))</f>
        <v>1</v>
      </c>
      <c r="K179" s="5">
        <f ca="1">COUNTBLANK(OFFSET(Demand!$I188,0,(COLUMN(J176)-1)*5,1,1))</f>
        <v>1</v>
      </c>
      <c r="N179" s="5">
        <f ca="1">SUM(OFFSET(Demand!$E188,0,(COLUMN(A176)-1)*5,1,3))*N$2</f>
        <v>0</v>
      </c>
      <c r="O179" s="5">
        <f ca="1">SUM(OFFSET(Demand!$E188,0,(COLUMN(B176)-1)*5,1,3))*O$2</f>
        <v>0</v>
      </c>
      <c r="P179" s="5">
        <f ca="1">SUM(OFFSET(Demand!$E188,0,(COLUMN(C176)-1)*5,1,3))*P$2</f>
        <v>0</v>
      </c>
      <c r="Q179" s="5">
        <f ca="1">SUM(OFFSET(Demand!$E188,0,(COLUMN(D176)-1)*5,1,3))*Q$2</f>
        <v>0</v>
      </c>
      <c r="R179" s="5">
        <f ca="1">SUM(OFFSET(Demand!$E188,0,(COLUMN(E176)-1)*5,1,3))*R$2</f>
        <v>0</v>
      </c>
      <c r="S179" s="5">
        <f ca="1">SUM(OFFSET(Demand!$E188,0,(COLUMN(F176)-1)*5,1,3))*S$2</f>
        <v>0</v>
      </c>
      <c r="T179" s="5">
        <f ca="1">SUM(OFFSET(Demand!$E188,0,(COLUMN(G176)-1)*5,1,3))*T$2</f>
        <v>0</v>
      </c>
      <c r="U179" s="5">
        <f ca="1">SUM(OFFSET(Demand!$E188,0,(COLUMN(H176)-1)*5,1,3))*U$2</f>
        <v>0</v>
      </c>
      <c r="V179" s="5">
        <f ca="1">SUM(OFFSET(Demand!$E188,0,(COLUMN(I176)-1)*5,1,3))*V$2</f>
        <v>0</v>
      </c>
      <c r="W179" s="5">
        <f ca="1">SUM(OFFSET(Demand!$E188,0,(COLUMN(J176)-1)*5,1,3))*W$2</f>
        <v>0</v>
      </c>
      <c r="X179" s="5">
        <f t="shared" ca="1" si="39"/>
        <v>0</v>
      </c>
      <c r="Y179">
        <f t="shared" ca="1" si="40"/>
        <v>0</v>
      </c>
      <c r="Z179" s="5">
        <f ca="1">SUM(OFFSET(Demand!$H188,0,(COLUMN(A176)-1)*5,1,1))*N$2</f>
        <v>0</v>
      </c>
      <c r="AA179" s="5">
        <f ca="1">SUM(OFFSET(Demand!$H188,0,(COLUMN(B176)-1)*5,1,1))*O$2</f>
        <v>0</v>
      </c>
      <c r="AB179" s="5">
        <f ca="1">SUM(OFFSET(Demand!$H188,0,(COLUMN(C176)-1)*5,1,1))*P$2</f>
        <v>0</v>
      </c>
      <c r="AC179" s="5">
        <f ca="1">SUM(OFFSET(Demand!$H188,0,(COLUMN(D176)-1)*5,1,1))*Q$2</f>
        <v>0</v>
      </c>
      <c r="AD179" s="5">
        <f ca="1">SUM(OFFSET(Demand!$H188,0,(COLUMN(E176)-1)*5,1,1))*R$2</f>
        <v>0</v>
      </c>
      <c r="AE179" s="5">
        <f ca="1">SUM(OFFSET(Demand!$H188,0,(COLUMN(F176)-1)*5,1,1))*S$2</f>
        <v>0</v>
      </c>
      <c r="AF179" s="5">
        <f ca="1">SUM(OFFSET(Demand!$H188,0,(COLUMN(G176)-1)*5,1,1))*T$2</f>
        <v>0</v>
      </c>
      <c r="AG179" s="5">
        <f ca="1">SUM(OFFSET(Demand!$H188,0,(COLUMN(H176)-1)*5,1,1))*U$2</f>
        <v>0</v>
      </c>
      <c r="AH179" s="5">
        <f ca="1">SUM(OFFSET(Demand!$H188,0,(COLUMN(I176)-1)*5,1,1))*V$2</f>
        <v>0</v>
      </c>
      <c r="AI179" s="5">
        <f ca="1">SUM(OFFSET(Demand!$H188,0,(COLUMN(J176)-1)*5,1,1))*W$2</f>
        <v>0</v>
      </c>
      <c r="AJ179" s="5">
        <f t="shared" ca="1" si="41"/>
        <v>0</v>
      </c>
      <c r="AL179" s="5">
        <f t="shared" ca="1" si="42"/>
        <v>0</v>
      </c>
      <c r="AM179" s="5">
        <f t="shared" ca="1" si="43"/>
        <v>0</v>
      </c>
      <c r="AN179" s="5" t="str">
        <f>IF(Demand!BE188="Yes","Yes","")</f>
        <v/>
      </c>
      <c r="AP179" s="37" t="str">
        <f ca="1">Demand!B188</f>
        <v xml:space="preserve"> </v>
      </c>
      <c r="AQ179" t="str">
        <f ca="1">IF(TEXT(Demand!D188,"MMM")&lt;&gt;TEXT(Demand!D187,"MMM"),TEXT(Demand!D188,"MMM"),"")</f>
        <v/>
      </c>
      <c r="AT179" s="5">
        <f t="shared" ca="1" si="45"/>
        <v>0</v>
      </c>
      <c r="BQ179">
        <f ca="1">IF($AN179="",OFFSET(Demand!$A$13,ROW(A176)-1,4+((QUOTIENT(COLUMN(BQ$2)-69,3))*5)+MOD(COLUMN(BQ$2),3),1,1),"")</f>
        <v>0</v>
      </c>
      <c r="BR179">
        <f ca="1">IF($AN179="",OFFSET(Demand!$A$13,ROW(B176)-1,4+((QUOTIENT(COLUMN(BR$2)-69,3))*5)+MOD(COLUMN(BR$2),3),1,1),"")</f>
        <v>0</v>
      </c>
      <c r="BS179">
        <f ca="1">IF($AN179="",OFFSET(Demand!$A$13,ROW(C176)-1,4+((QUOTIENT(COLUMN(BS$2)-69,3))*5)+MOD(COLUMN(BS$2),3),1,1),"")</f>
        <v>0</v>
      </c>
      <c r="BT179">
        <f ca="1">IF($AN179="",OFFSET(Demand!$A$13,ROW(D176)-1,4+((QUOTIENT(COLUMN(BT$2)-69,3))*5)+MOD(COLUMN(BT$2),3),1,1),"")</f>
        <v>0</v>
      </c>
      <c r="BU179">
        <f ca="1">IF($AN179="",OFFSET(Demand!$A$13,ROW(E176)-1,4+((QUOTIENT(COLUMN(BU$2)-69,3))*5)+MOD(COLUMN(BU$2),3),1,1),"")</f>
        <v>0</v>
      </c>
      <c r="BV179">
        <f ca="1">IF($AN179="",OFFSET(Demand!$A$13,ROW(F176)-1,4+((QUOTIENT(COLUMN(BV$2)-69,3))*5)+MOD(COLUMN(BV$2),3),1,1),"")</f>
        <v>0</v>
      </c>
      <c r="BW179">
        <f ca="1">IF($AN179="",OFFSET(Demand!$A$13,ROW(G176)-1,4+((QUOTIENT(COLUMN(BW$2)-69,3))*5)+MOD(COLUMN(BW$2),3),1,1),"")</f>
        <v>0</v>
      </c>
      <c r="BX179">
        <f ca="1">IF($AN179="",OFFSET(Demand!$A$13,ROW(H176)-1,4+((QUOTIENT(COLUMN(BX$2)-69,3))*5)+MOD(COLUMN(BX$2),3),1,1),"")</f>
        <v>0</v>
      </c>
      <c r="BY179">
        <f ca="1">IF($AN179="",OFFSET(Demand!$A$13,ROW(I176)-1,4+((QUOTIENT(COLUMN(BY$2)-69,3))*5)+MOD(COLUMN(BY$2),3),1,1),"")</f>
        <v>0</v>
      </c>
      <c r="BZ179">
        <f ca="1">IF($AN179="",OFFSET(Demand!$A$13,ROW(J176)-1,4+((QUOTIENT(COLUMN(BZ$2)-69,3))*5)+MOD(COLUMN(BZ$2),3),1,1),"")</f>
        <v>0</v>
      </c>
      <c r="CA179">
        <f ca="1">IF($AN179="",OFFSET(Demand!$A$13,ROW(K176)-1,4+((QUOTIENT(COLUMN(CA$2)-69,3))*5)+MOD(COLUMN(CA$2),3),1,1),"")</f>
        <v>0</v>
      </c>
      <c r="CB179">
        <f ca="1">IF($AN179="",OFFSET(Demand!$A$13,ROW(L176)-1,4+((QUOTIENT(COLUMN(CB$2)-69,3))*5)+MOD(COLUMN(CB$2),3),1,1),"")</f>
        <v>0</v>
      </c>
      <c r="CC179">
        <f ca="1">IF($AN179="",OFFSET(Demand!$A$13,ROW(M176)-1,4+((QUOTIENT(COLUMN(CC$2)-69,3))*5)+MOD(COLUMN(CC$2),3),1,1),"")</f>
        <v>0</v>
      </c>
      <c r="CD179">
        <f ca="1">IF($AN179="",OFFSET(Demand!$A$13,ROW(N176)-1,4+((QUOTIENT(COLUMN(CD$2)-69,3))*5)+MOD(COLUMN(CD$2),3),1,1),"")</f>
        <v>0</v>
      </c>
      <c r="CE179">
        <f ca="1">IF($AN179="",OFFSET(Demand!$A$13,ROW(O176)-1,4+((QUOTIENT(COLUMN(CE$2)-69,3))*5)+MOD(COLUMN(CE$2),3),1,1),"")</f>
        <v>0</v>
      </c>
      <c r="CF179">
        <f ca="1">IF($AN179="",OFFSET(Demand!$A$13,ROW(P176)-1,4+((QUOTIENT(COLUMN(CF$2)-69,3))*5)+MOD(COLUMN(CF$2),3),1,1),"")</f>
        <v>0</v>
      </c>
      <c r="CG179">
        <f ca="1">IF($AN179="",OFFSET(Demand!$A$13,ROW(Q176)-1,4+((QUOTIENT(COLUMN(CG$2)-69,3))*5)+MOD(COLUMN(CG$2),3),1,1),"")</f>
        <v>0</v>
      </c>
      <c r="CH179">
        <f ca="1">IF($AN179="",OFFSET(Demand!$A$13,ROW(R176)-1,4+((QUOTIENT(COLUMN(CH$2)-69,3))*5)+MOD(COLUMN(CH$2),3),1,1),"")</f>
        <v>0</v>
      </c>
      <c r="CI179">
        <f ca="1">IF($AN179="",OFFSET(Demand!$A$13,ROW(S176)-1,4+((QUOTIENT(COLUMN(CI$2)-69,3))*5)+MOD(COLUMN(CI$2),3),1,1),"")</f>
        <v>0</v>
      </c>
      <c r="CJ179">
        <f ca="1">IF($AN179="",OFFSET(Demand!$A$13,ROW(T176)-1,4+((QUOTIENT(COLUMN(CJ$2)-69,3))*5)+MOD(COLUMN(CJ$2),3),1,1),"")</f>
        <v>0</v>
      </c>
      <c r="CK179">
        <f ca="1">IF($AN179="",OFFSET(Demand!$A$13,ROW(U176)-1,4+((QUOTIENT(COLUMN(CK$2)-69,3))*5)+MOD(COLUMN(CK$2),3),1,1),"")</f>
        <v>0</v>
      </c>
      <c r="CL179">
        <f ca="1">IF($AN179="",OFFSET(Demand!$A$13,ROW(V176)-1,4+((QUOTIENT(COLUMN(CL$2)-69,3))*5)+MOD(COLUMN(CL$2),3),1,1),"")</f>
        <v>0</v>
      </c>
      <c r="CM179">
        <f ca="1">IF($AN179="",OFFSET(Demand!$A$13,ROW(W176)-1,4+((QUOTIENT(COLUMN(CM$2)-69,3))*5)+MOD(COLUMN(CM$2),3),1,1),"")</f>
        <v>0</v>
      </c>
      <c r="CN179">
        <f ca="1">IF($AN179="",OFFSET(Demand!$A$13,ROW(X176)-1,4+((QUOTIENT(COLUMN(CN$2)-69,3))*5)+MOD(COLUMN(CN$2),3),1,1),"")</f>
        <v>0</v>
      </c>
      <c r="CO179">
        <f ca="1">IF($AN179="",OFFSET(Demand!$A$13,ROW(Y176)-1,4+((QUOTIENT(COLUMN(CO$2)-69,3))*5)+MOD(COLUMN(CO$2),3),1,1),"")</f>
        <v>0</v>
      </c>
      <c r="CP179">
        <f ca="1">IF($AN179="",OFFSET(Demand!$A$13,ROW(Z176)-1,4+((QUOTIENT(COLUMN(CP$2)-69,3))*5)+MOD(COLUMN(CP$2),3),1,1),"")</f>
        <v>0</v>
      </c>
      <c r="CQ179">
        <f ca="1">IF($AN179="",OFFSET(Demand!$A$13,ROW(AA176)-1,4+((QUOTIENT(COLUMN(CQ$2)-69,3))*5)+MOD(COLUMN(CQ$2),3),1,1),"")</f>
        <v>0</v>
      </c>
      <c r="CR179">
        <f ca="1">IF($AN179="",OFFSET(Demand!$A$13,ROW(AB176)-1,4+((QUOTIENT(COLUMN(CR$2)-69,3))*5)+MOD(COLUMN(CR$2),3),1,1),"")</f>
        <v>0</v>
      </c>
      <c r="CS179">
        <f ca="1">IF($AN179="",OFFSET(Demand!$A$13,ROW(AC176)-1,4+((QUOTIENT(COLUMN(CS$2)-69,3))*5)+MOD(COLUMN(CS$2),3),1,1),"")</f>
        <v>0</v>
      </c>
      <c r="CT179">
        <f ca="1">IF($AN179="",OFFSET(Demand!$A$13,ROW(AD176)-1,4+((QUOTIENT(COLUMN(CT$2)-69,3))*5)+MOD(COLUMN(CT$2),3),1,1),"")</f>
        <v>0</v>
      </c>
      <c r="CW179" s="5">
        <f ca="1">SUM(OFFSET(Demand!$H$43,ROW(A176)-1,(COLUMN(A176)-1)*5,1,1))*N$2</f>
        <v>0</v>
      </c>
      <c r="CX179" s="5">
        <f ca="1">SUM(OFFSET(Demand!$H$43,ROW(B176)-1,(COLUMN(B176)-1)*5,1,1))*O$2</f>
        <v>0</v>
      </c>
      <c r="CY179" s="5">
        <f ca="1">SUM(OFFSET(Demand!$H$43,ROW(C176)-1,(COLUMN(C176)-1)*5,1,1))*P$2</f>
        <v>0</v>
      </c>
      <c r="CZ179" s="5">
        <f ca="1">SUM(OFFSET(Demand!$H$43,ROW(D176)-1,(COLUMN(D176)-1)*5,1,1))*Q$2</f>
        <v>0</v>
      </c>
      <c r="DA179" s="5">
        <f ca="1">SUM(OFFSET(Demand!$H$43,ROW(E176)-1,(COLUMN(E176)-1)*5,1,1))*R$2</f>
        <v>0</v>
      </c>
      <c r="DB179" s="5">
        <f ca="1">SUM(OFFSET(Demand!$H$43,ROW(F176)-1,(COLUMN(F176)-1)*5,1,1))*S$2</f>
        <v>0</v>
      </c>
      <c r="DC179" s="5">
        <f ca="1">SUM(OFFSET(Demand!$H$43,ROW(G176)-1,(COLUMN(G176)-1)*5,1,1))*T$2</f>
        <v>0</v>
      </c>
      <c r="DD179" s="5">
        <f ca="1">SUM(OFFSET(Demand!$H$43,ROW(H176)-1,(COLUMN(H176)-1)*5,1,1))*U$2</f>
        <v>0</v>
      </c>
      <c r="DE179" s="5">
        <f ca="1">SUM(OFFSET(Demand!$H$43,ROW(I176)-1,(COLUMN(I176)-1)*5,1,1))*V$2</f>
        <v>0</v>
      </c>
      <c r="DF179" s="5">
        <f ca="1">SUM(OFFSET(Demand!$H$43,ROW(J176)-1,(COLUMN(J176)-1)*5,1,1))*W$2</f>
        <v>0</v>
      </c>
      <c r="DG179" s="5">
        <f t="shared" ca="1" si="44"/>
        <v>0</v>
      </c>
    </row>
    <row r="180" spans="1:111" x14ac:dyDescent="0.2">
      <c r="A180" s="5">
        <f t="shared" ca="1" si="38"/>
        <v>2</v>
      </c>
      <c r="B180" s="5">
        <f ca="1">COUNTBLANK(OFFSET(Demand!$I189,0,(COLUMN(A177)-1)*5,1,1))</f>
        <v>1</v>
      </c>
      <c r="C180" s="5">
        <f ca="1">COUNTBLANK(OFFSET(Demand!$I189,0,(COLUMN(B177)-1)*5,1,1))</f>
        <v>1</v>
      </c>
      <c r="D180" s="5">
        <f ca="1">COUNTBLANK(OFFSET(Demand!$I189,0,(COLUMN(C177)-1)*5,1,1))</f>
        <v>1</v>
      </c>
      <c r="E180" s="5">
        <f ca="1">COUNTBLANK(OFFSET(Demand!$I189,0,(COLUMN(D177)-1)*5,1,1))</f>
        <v>1</v>
      </c>
      <c r="F180" s="5">
        <f ca="1">COUNTBLANK(OFFSET(Demand!$I189,0,(COLUMN(E177)-1)*5,1,1))</f>
        <v>1</v>
      </c>
      <c r="G180" s="5">
        <f ca="1">COUNTBLANK(OFFSET(Demand!$I189,0,(COLUMN(F177)-1)*5,1,1))</f>
        <v>1</v>
      </c>
      <c r="H180" s="5">
        <f ca="1">COUNTBLANK(OFFSET(Demand!$I189,0,(COLUMN(G177)-1)*5,1,1))</f>
        <v>1</v>
      </c>
      <c r="I180" s="5">
        <f ca="1">COUNTBLANK(OFFSET(Demand!$I189,0,(COLUMN(H177)-1)*5,1,1))</f>
        <v>1</v>
      </c>
      <c r="J180" s="5">
        <f ca="1">COUNTBLANK(OFFSET(Demand!$I189,0,(COLUMN(I177)-1)*5,1,1))</f>
        <v>1</v>
      </c>
      <c r="K180" s="5">
        <f ca="1">COUNTBLANK(OFFSET(Demand!$I189,0,(COLUMN(J177)-1)*5,1,1))</f>
        <v>1</v>
      </c>
      <c r="N180" s="5">
        <f ca="1">SUM(OFFSET(Demand!$E189,0,(COLUMN(A177)-1)*5,1,3))*N$2</f>
        <v>0</v>
      </c>
      <c r="O180" s="5">
        <f ca="1">SUM(OFFSET(Demand!$E189,0,(COLUMN(B177)-1)*5,1,3))*O$2</f>
        <v>0</v>
      </c>
      <c r="P180" s="5">
        <f ca="1">SUM(OFFSET(Demand!$E189,0,(COLUMN(C177)-1)*5,1,3))*P$2</f>
        <v>0</v>
      </c>
      <c r="Q180" s="5">
        <f ca="1">SUM(OFFSET(Demand!$E189,0,(COLUMN(D177)-1)*5,1,3))*Q$2</f>
        <v>0</v>
      </c>
      <c r="R180" s="5">
        <f ca="1">SUM(OFFSET(Demand!$E189,0,(COLUMN(E177)-1)*5,1,3))*R$2</f>
        <v>0</v>
      </c>
      <c r="S180" s="5">
        <f ca="1">SUM(OFFSET(Demand!$E189,0,(COLUMN(F177)-1)*5,1,3))*S$2</f>
        <v>0</v>
      </c>
      <c r="T180" s="5">
        <f ca="1">SUM(OFFSET(Demand!$E189,0,(COLUMN(G177)-1)*5,1,3))*T$2</f>
        <v>0</v>
      </c>
      <c r="U180" s="5">
        <f ca="1">SUM(OFFSET(Demand!$E189,0,(COLUMN(H177)-1)*5,1,3))*U$2</f>
        <v>0</v>
      </c>
      <c r="V180" s="5">
        <f ca="1">SUM(OFFSET(Demand!$E189,0,(COLUMN(I177)-1)*5,1,3))*V$2</f>
        <v>0</v>
      </c>
      <c r="W180" s="5">
        <f ca="1">SUM(OFFSET(Demand!$E189,0,(COLUMN(J177)-1)*5,1,3))*W$2</f>
        <v>0</v>
      </c>
      <c r="X180" s="5">
        <f t="shared" ca="1" si="39"/>
        <v>0</v>
      </c>
      <c r="Y180">
        <f t="shared" ca="1" si="40"/>
        <v>0</v>
      </c>
      <c r="Z180" s="5">
        <f ca="1">SUM(OFFSET(Demand!$H189,0,(COLUMN(A177)-1)*5,1,1))*N$2</f>
        <v>0</v>
      </c>
      <c r="AA180" s="5">
        <f ca="1">SUM(OFFSET(Demand!$H189,0,(COLUMN(B177)-1)*5,1,1))*O$2</f>
        <v>0</v>
      </c>
      <c r="AB180" s="5">
        <f ca="1">SUM(OFFSET(Demand!$H189,0,(COLUMN(C177)-1)*5,1,1))*P$2</f>
        <v>0</v>
      </c>
      <c r="AC180" s="5">
        <f ca="1">SUM(OFFSET(Demand!$H189,0,(COLUMN(D177)-1)*5,1,1))*Q$2</f>
        <v>0</v>
      </c>
      <c r="AD180" s="5">
        <f ca="1">SUM(OFFSET(Demand!$H189,0,(COLUMN(E177)-1)*5,1,1))*R$2</f>
        <v>0</v>
      </c>
      <c r="AE180" s="5">
        <f ca="1">SUM(OFFSET(Demand!$H189,0,(COLUMN(F177)-1)*5,1,1))*S$2</f>
        <v>0</v>
      </c>
      <c r="AF180" s="5">
        <f ca="1">SUM(OFFSET(Demand!$H189,0,(COLUMN(G177)-1)*5,1,1))*T$2</f>
        <v>0</v>
      </c>
      <c r="AG180" s="5">
        <f ca="1">SUM(OFFSET(Demand!$H189,0,(COLUMN(H177)-1)*5,1,1))*U$2</f>
        <v>0</v>
      </c>
      <c r="AH180" s="5">
        <f ca="1">SUM(OFFSET(Demand!$H189,0,(COLUMN(I177)-1)*5,1,1))*V$2</f>
        <v>0</v>
      </c>
      <c r="AI180" s="5">
        <f ca="1">SUM(OFFSET(Demand!$H189,0,(COLUMN(J177)-1)*5,1,1))*W$2</f>
        <v>0</v>
      </c>
      <c r="AJ180" s="5">
        <f t="shared" ca="1" si="41"/>
        <v>0</v>
      </c>
      <c r="AL180" s="5">
        <f t="shared" ca="1" si="42"/>
        <v>0</v>
      </c>
      <c r="AM180" s="5">
        <f t="shared" ca="1" si="43"/>
        <v>0</v>
      </c>
      <c r="AN180" s="5" t="str">
        <f>IF(Demand!BE189="Yes","Yes","")</f>
        <v/>
      </c>
      <c r="AP180" s="37" t="str">
        <f ca="1">Demand!B189</f>
        <v xml:space="preserve"> </v>
      </c>
      <c r="AQ180" t="str">
        <f ca="1">IF(TEXT(Demand!D189,"MMM")&lt;&gt;TEXT(Demand!D188,"MMM"),TEXT(Demand!D189,"MMM"),"")</f>
        <v/>
      </c>
      <c r="AT180" s="5">
        <f t="shared" ca="1" si="45"/>
        <v>0</v>
      </c>
      <c r="BQ180">
        <f ca="1">IF($AN180="",OFFSET(Demand!$A$13,ROW(A177)-1,4+((QUOTIENT(COLUMN(BQ$2)-69,3))*5)+MOD(COLUMN(BQ$2),3),1,1),"")</f>
        <v>0</v>
      </c>
      <c r="BR180">
        <f ca="1">IF($AN180="",OFFSET(Demand!$A$13,ROW(B177)-1,4+((QUOTIENT(COLUMN(BR$2)-69,3))*5)+MOD(COLUMN(BR$2),3),1,1),"")</f>
        <v>0</v>
      </c>
      <c r="BS180">
        <f ca="1">IF($AN180="",OFFSET(Demand!$A$13,ROW(C177)-1,4+((QUOTIENT(COLUMN(BS$2)-69,3))*5)+MOD(COLUMN(BS$2),3),1,1),"")</f>
        <v>0</v>
      </c>
      <c r="BT180">
        <f ca="1">IF($AN180="",OFFSET(Demand!$A$13,ROW(D177)-1,4+((QUOTIENT(COLUMN(BT$2)-69,3))*5)+MOD(COLUMN(BT$2),3),1,1),"")</f>
        <v>0</v>
      </c>
      <c r="BU180">
        <f ca="1">IF($AN180="",OFFSET(Demand!$A$13,ROW(E177)-1,4+((QUOTIENT(COLUMN(BU$2)-69,3))*5)+MOD(COLUMN(BU$2),3),1,1),"")</f>
        <v>0</v>
      </c>
      <c r="BV180">
        <f ca="1">IF($AN180="",OFFSET(Demand!$A$13,ROW(F177)-1,4+((QUOTIENT(COLUMN(BV$2)-69,3))*5)+MOD(COLUMN(BV$2),3),1,1),"")</f>
        <v>0</v>
      </c>
      <c r="BW180">
        <f ca="1">IF($AN180="",OFFSET(Demand!$A$13,ROW(G177)-1,4+((QUOTIENT(COLUMN(BW$2)-69,3))*5)+MOD(COLUMN(BW$2),3),1,1),"")</f>
        <v>0</v>
      </c>
      <c r="BX180">
        <f ca="1">IF($AN180="",OFFSET(Demand!$A$13,ROW(H177)-1,4+((QUOTIENT(COLUMN(BX$2)-69,3))*5)+MOD(COLUMN(BX$2),3),1,1),"")</f>
        <v>0</v>
      </c>
      <c r="BY180">
        <f ca="1">IF($AN180="",OFFSET(Demand!$A$13,ROW(I177)-1,4+((QUOTIENT(COLUMN(BY$2)-69,3))*5)+MOD(COLUMN(BY$2),3),1,1),"")</f>
        <v>0</v>
      </c>
      <c r="BZ180">
        <f ca="1">IF($AN180="",OFFSET(Demand!$A$13,ROW(J177)-1,4+((QUOTIENT(COLUMN(BZ$2)-69,3))*5)+MOD(COLUMN(BZ$2),3),1,1),"")</f>
        <v>0</v>
      </c>
      <c r="CA180">
        <f ca="1">IF($AN180="",OFFSET(Demand!$A$13,ROW(K177)-1,4+((QUOTIENT(COLUMN(CA$2)-69,3))*5)+MOD(COLUMN(CA$2),3),1,1),"")</f>
        <v>0</v>
      </c>
      <c r="CB180">
        <f ca="1">IF($AN180="",OFFSET(Demand!$A$13,ROW(L177)-1,4+((QUOTIENT(COLUMN(CB$2)-69,3))*5)+MOD(COLUMN(CB$2),3),1,1),"")</f>
        <v>0</v>
      </c>
      <c r="CC180">
        <f ca="1">IF($AN180="",OFFSET(Demand!$A$13,ROW(M177)-1,4+((QUOTIENT(COLUMN(CC$2)-69,3))*5)+MOD(COLUMN(CC$2),3),1,1),"")</f>
        <v>0</v>
      </c>
      <c r="CD180">
        <f ca="1">IF($AN180="",OFFSET(Demand!$A$13,ROW(N177)-1,4+((QUOTIENT(COLUMN(CD$2)-69,3))*5)+MOD(COLUMN(CD$2),3),1,1),"")</f>
        <v>0</v>
      </c>
      <c r="CE180">
        <f ca="1">IF($AN180="",OFFSET(Demand!$A$13,ROW(O177)-1,4+((QUOTIENT(COLUMN(CE$2)-69,3))*5)+MOD(COLUMN(CE$2),3),1,1),"")</f>
        <v>0</v>
      </c>
      <c r="CF180">
        <f ca="1">IF($AN180="",OFFSET(Demand!$A$13,ROW(P177)-1,4+((QUOTIENT(COLUMN(CF$2)-69,3))*5)+MOD(COLUMN(CF$2),3),1,1),"")</f>
        <v>0</v>
      </c>
      <c r="CG180">
        <f ca="1">IF($AN180="",OFFSET(Demand!$A$13,ROW(Q177)-1,4+((QUOTIENT(COLUMN(CG$2)-69,3))*5)+MOD(COLUMN(CG$2),3),1,1),"")</f>
        <v>0</v>
      </c>
      <c r="CH180">
        <f ca="1">IF($AN180="",OFFSET(Demand!$A$13,ROW(R177)-1,4+((QUOTIENT(COLUMN(CH$2)-69,3))*5)+MOD(COLUMN(CH$2),3),1,1),"")</f>
        <v>0</v>
      </c>
      <c r="CI180">
        <f ca="1">IF($AN180="",OFFSET(Demand!$A$13,ROW(S177)-1,4+((QUOTIENT(COLUMN(CI$2)-69,3))*5)+MOD(COLUMN(CI$2),3),1,1),"")</f>
        <v>0</v>
      </c>
      <c r="CJ180">
        <f ca="1">IF($AN180="",OFFSET(Demand!$A$13,ROW(T177)-1,4+((QUOTIENT(COLUMN(CJ$2)-69,3))*5)+MOD(COLUMN(CJ$2),3),1,1),"")</f>
        <v>0</v>
      </c>
      <c r="CK180">
        <f ca="1">IF($AN180="",OFFSET(Demand!$A$13,ROW(U177)-1,4+((QUOTIENT(COLUMN(CK$2)-69,3))*5)+MOD(COLUMN(CK$2),3),1,1),"")</f>
        <v>0</v>
      </c>
      <c r="CL180">
        <f ca="1">IF($AN180="",OFFSET(Demand!$A$13,ROW(V177)-1,4+((QUOTIENT(COLUMN(CL$2)-69,3))*5)+MOD(COLUMN(CL$2),3),1,1),"")</f>
        <v>0</v>
      </c>
      <c r="CM180">
        <f ca="1">IF($AN180="",OFFSET(Demand!$A$13,ROW(W177)-1,4+((QUOTIENT(COLUMN(CM$2)-69,3))*5)+MOD(COLUMN(CM$2),3),1,1),"")</f>
        <v>0</v>
      </c>
      <c r="CN180">
        <f ca="1">IF($AN180="",OFFSET(Demand!$A$13,ROW(X177)-1,4+((QUOTIENT(COLUMN(CN$2)-69,3))*5)+MOD(COLUMN(CN$2),3),1,1),"")</f>
        <v>0</v>
      </c>
      <c r="CO180">
        <f ca="1">IF($AN180="",OFFSET(Demand!$A$13,ROW(Y177)-1,4+((QUOTIENT(COLUMN(CO$2)-69,3))*5)+MOD(COLUMN(CO$2),3),1,1),"")</f>
        <v>0</v>
      </c>
      <c r="CP180">
        <f ca="1">IF($AN180="",OFFSET(Demand!$A$13,ROW(Z177)-1,4+((QUOTIENT(COLUMN(CP$2)-69,3))*5)+MOD(COLUMN(CP$2),3),1,1),"")</f>
        <v>0</v>
      </c>
      <c r="CQ180">
        <f ca="1">IF($AN180="",OFFSET(Demand!$A$13,ROW(AA177)-1,4+((QUOTIENT(COLUMN(CQ$2)-69,3))*5)+MOD(COLUMN(CQ$2),3),1,1),"")</f>
        <v>0</v>
      </c>
      <c r="CR180">
        <f ca="1">IF($AN180="",OFFSET(Demand!$A$13,ROW(AB177)-1,4+((QUOTIENT(COLUMN(CR$2)-69,3))*5)+MOD(COLUMN(CR$2),3),1,1),"")</f>
        <v>0</v>
      </c>
      <c r="CS180">
        <f ca="1">IF($AN180="",OFFSET(Demand!$A$13,ROW(AC177)-1,4+((QUOTIENT(COLUMN(CS$2)-69,3))*5)+MOD(COLUMN(CS$2),3),1,1),"")</f>
        <v>0</v>
      </c>
      <c r="CT180">
        <f ca="1">IF($AN180="",OFFSET(Demand!$A$13,ROW(AD177)-1,4+((QUOTIENT(COLUMN(CT$2)-69,3))*5)+MOD(COLUMN(CT$2),3),1,1),"")</f>
        <v>0</v>
      </c>
      <c r="CW180" s="5">
        <f ca="1">SUM(OFFSET(Demand!$H$43,ROW(A177)-1,(COLUMN(A177)-1)*5,1,1))*N$2</f>
        <v>0</v>
      </c>
      <c r="CX180" s="5">
        <f ca="1">SUM(OFFSET(Demand!$H$43,ROW(B177)-1,(COLUMN(B177)-1)*5,1,1))*O$2</f>
        <v>0</v>
      </c>
      <c r="CY180" s="5">
        <f ca="1">SUM(OFFSET(Demand!$H$43,ROW(C177)-1,(COLUMN(C177)-1)*5,1,1))*P$2</f>
        <v>0</v>
      </c>
      <c r="CZ180" s="5">
        <f ca="1">SUM(OFFSET(Demand!$H$43,ROW(D177)-1,(COLUMN(D177)-1)*5,1,1))*Q$2</f>
        <v>0</v>
      </c>
      <c r="DA180" s="5">
        <f ca="1">SUM(OFFSET(Demand!$H$43,ROW(E177)-1,(COLUMN(E177)-1)*5,1,1))*R$2</f>
        <v>0</v>
      </c>
      <c r="DB180" s="5">
        <f ca="1">SUM(OFFSET(Demand!$H$43,ROW(F177)-1,(COLUMN(F177)-1)*5,1,1))*S$2</f>
        <v>0</v>
      </c>
      <c r="DC180" s="5">
        <f ca="1">SUM(OFFSET(Demand!$H$43,ROW(G177)-1,(COLUMN(G177)-1)*5,1,1))*T$2</f>
        <v>0</v>
      </c>
      <c r="DD180" s="5">
        <f ca="1">SUM(OFFSET(Demand!$H$43,ROW(H177)-1,(COLUMN(H177)-1)*5,1,1))*U$2</f>
        <v>0</v>
      </c>
      <c r="DE180" s="5">
        <f ca="1">SUM(OFFSET(Demand!$H$43,ROW(I177)-1,(COLUMN(I177)-1)*5,1,1))*V$2</f>
        <v>0</v>
      </c>
      <c r="DF180" s="5">
        <f ca="1">SUM(OFFSET(Demand!$H$43,ROW(J177)-1,(COLUMN(J177)-1)*5,1,1))*W$2</f>
        <v>0</v>
      </c>
      <c r="DG180" s="5">
        <f t="shared" ca="1" si="44"/>
        <v>0</v>
      </c>
    </row>
    <row r="181" spans="1:111" x14ac:dyDescent="0.2">
      <c r="A181" s="5">
        <f t="shared" ca="1" si="38"/>
        <v>2</v>
      </c>
      <c r="B181" s="5">
        <f ca="1">COUNTBLANK(OFFSET(Demand!$I190,0,(COLUMN(A178)-1)*5,1,1))</f>
        <v>1</v>
      </c>
      <c r="C181" s="5">
        <f ca="1">COUNTBLANK(OFFSET(Demand!$I190,0,(COLUMN(B178)-1)*5,1,1))</f>
        <v>1</v>
      </c>
      <c r="D181" s="5">
        <f ca="1">COUNTBLANK(OFFSET(Demand!$I190,0,(COLUMN(C178)-1)*5,1,1))</f>
        <v>1</v>
      </c>
      <c r="E181" s="5">
        <f ca="1">COUNTBLANK(OFFSET(Demand!$I190,0,(COLUMN(D178)-1)*5,1,1))</f>
        <v>1</v>
      </c>
      <c r="F181" s="5">
        <f ca="1">COUNTBLANK(OFFSET(Demand!$I190,0,(COLUMN(E178)-1)*5,1,1))</f>
        <v>1</v>
      </c>
      <c r="G181" s="5">
        <f ca="1">COUNTBLANK(OFFSET(Demand!$I190,0,(COLUMN(F178)-1)*5,1,1))</f>
        <v>1</v>
      </c>
      <c r="H181" s="5">
        <f ca="1">COUNTBLANK(OFFSET(Demand!$I190,0,(COLUMN(G178)-1)*5,1,1))</f>
        <v>1</v>
      </c>
      <c r="I181" s="5">
        <f ca="1">COUNTBLANK(OFFSET(Demand!$I190,0,(COLUMN(H178)-1)*5,1,1))</f>
        <v>1</v>
      </c>
      <c r="J181" s="5">
        <f ca="1">COUNTBLANK(OFFSET(Demand!$I190,0,(COLUMN(I178)-1)*5,1,1))</f>
        <v>1</v>
      </c>
      <c r="K181" s="5">
        <f ca="1">COUNTBLANK(OFFSET(Demand!$I190,0,(COLUMN(J178)-1)*5,1,1))</f>
        <v>1</v>
      </c>
      <c r="N181" s="5">
        <f ca="1">SUM(OFFSET(Demand!$E190,0,(COLUMN(A178)-1)*5,1,3))*N$2</f>
        <v>0</v>
      </c>
      <c r="O181" s="5">
        <f ca="1">SUM(OFFSET(Demand!$E190,0,(COLUMN(B178)-1)*5,1,3))*O$2</f>
        <v>0</v>
      </c>
      <c r="P181" s="5">
        <f ca="1">SUM(OFFSET(Demand!$E190,0,(COLUMN(C178)-1)*5,1,3))*P$2</f>
        <v>0</v>
      </c>
      <c r="Q181" s="5">
        <f ca="1">SUM(OFFSET(Demand!$E190,0,(COLUMN(D178)-1)*5,1,3))*Q$2</f>
        <v>0</v>
      </c>
      <c r="R181" s="5">
        <f ca="1">SUM(OFFSET(Demand!$E190,0,(COLUMN(E178)-1)*5,1,3))*R$2</f>
        <v>0</v>
      </c>
      <c r="S181" s="5">
        <f ca="1">SUM(OFFSET(Demand!$E190,0,(COLUMN(F178)-1)*5,1,3))*S$2</f>
        <v>0</v>
      </c>
      <c r="T181" s="5">
        <f ca="1">SUM(OFFSET(Demand!$E190,0,(COLUMN(G178)-1)*5,1,3))*T$2</f>
        <v>0</v>
      </c>
      <c r="U181" s="5">
        <f ca="1">SUM(OFFSET(Demand!$E190,0,(COLUMN(H178)-1)*5,1,3))*U$2</f>
        <v>0</v>
      </c>
      <c r="V181" s="5">
        <f ca="1">SUM(OFFSET(Demand!$E190,0,(COLUMN(I178)-1)*5,1,3))*V$2</f>
        <v>0</v>
      </c>
      <c r="W181" s="5">
        <f ca="1">SUM(OFFSET(Demand!$E190,0,(COLUMN(J178)-1)*5,1,3))*W$2</f>
        <v>0</v>
      </c>
      <c r="X181" s="5">
        <f t="shared" ca="1" si="39"/>
        <v>0</v>
      </c>
      <c r="Y181">
        <f t="shared" ca="1" si="40"/>
        <v>0</v>
      </c>
      <c r="Z181" s="5">
        <f ca="1">SUM(OFFSET(Demand!$H190,0,(COLUMN(A178)-1)*5,1,1))*N$2</f>
        <v>0</v>
      </c>
      <c r="AA181" s="5">
        <f ca="1">SUM(OFFSET(Demand!$H190,0,(COLUMN(B178)-1)*5,1,1))*O$2</f>
        <v>0</v>
      </c>
      <c r="AB181" s="5">
        <f ca="1">SUM(OFFSET(Demand!$H190,0,(COLUMN(C178)-1)*5,1,1))*P$2</f>
        <v>0</v>
      </c>
      <c r="AC181" s="5">
        <f ca="1">SUM(OFFSET(Demand!$H190,0,(COLUMN(D178)-1)*5,1,1))*Q$2</f>
        <v>0</v>
      </c>
      <c r="AD181" s="5">
        <f ca="1">SUM(OFFSET(Demand!$H190,0,(COLUMN(E178)-1)*5,1,1))*R$2</f>
        <v>0</v>
      </c>
      <c r="AE181" s="5">
        <f ca="1">SUM(OFFSET(Demand!$H190,0,(COLUMN(F178)-1)*5,1,1))*S$2</f>
        <v>0</v>
      </c>
      <c r="AF181" s="5">
        <f ca="1">SUM(OFFSET(Demand!$H190,0,(COLUMN(G178)-1)*5,1,1))*T$2</f>
        <v>0</v>
      </c>
      <c r="AG181" s="5">
        <f ca="1">SUM(OFFSET(Demand!$H190,0,(COLUMN(H178)-1)*5,1,1))*U$2</f>
        <v>0</v>
      </c>
      <c r="AH181" s="5">
        <f ca="1">SUM(OFFSET(Demand!$H190,0,(COLUMN(I178)-1)*5,1,1))*V$2</f>
        <v>0</v>
      </c>
      <c r="AI181" s="5">
        <f ca="1">SUM(OFFSET(Demand!$H190,0,(COLUMN(J178)-1)*5,1,1))*W$2</f>
        <v>0</v>
      </c>
      <c r="AJ181" s="5">
        <f t="shared" ca="1" si="41"/>
        <v>0</v>
      </c>
      <c r="AL181" s="5">
        <f t="shared" ca="1" si="42"/>
        <v>0</v>
      </c>
      <c r="AM181" s="5">
        <f t="shared" ca="1" si="43"/>
        <v>0</v>
      </c>
      <c r="AN181" s="5" t="str">
        <f>IF(Demand!BE190="Yes","Yes","")</f>
        <v/>
      </c>
      <c r="AP181" s="37" t="str">
        <f ca="1">Demand!B190</f>
        <v xml:space="preserve"> </v>
      </c>
      <c r="AQ181" t="str">
        <f ca="1">IF(TEXT(Demand!D190,"MMM")&lt;&gt;TEXT(Demand!D189,"MMM"),TEXT(Demand!D190,"MMM"),"")</f>
        <v/>
      </c>
      <c r="AT181" s="5">
        <f t="shared" ca="1" si="45"/>
        <v>0</v>
      </c>
      <c r="BQ181">
        <f ca="1">IF($AN181="",OFFSET(Demand!$A$13,ROW(A178)-1,4+((QUOTIENT(COLUMN(BQ$2)-69,3))*5)+MOD(COLUMN(BQ$2),3),1,1),"")</f>
        <v>0</v>
      </c>
      <c r="BR181">
        <f ca="1">IF($AN181="",OFFSET(Demand!$A$13,ROW(B178)-1,4+((QUOTIENT(COLUMN(BR$2)-69,3))*5)+MOD(COLUMN(BR$2),3),1,1),"")</f>
        <v>0</v>
      </c>
      <c r="BS181">
        <f ca="1">IF($AN181="",OFFSET(Demand!$A$13,ROW(C178)-1,4+((QUOTIENT(COLUMN(BS$2)-69,3))*5)+MOD(COLUMN(BS$2),3),1,1),"")</f>
        <v>0</v>
      </c>
      <c r="BT181">
        <f ca="1">IF($AN181="",OFFSET(Demand!$A$13,ROW(D178)-1,4+((QUOTIENT(COLUMN(BT$2)-69,3))*5)+MOD(COLUMN(BT$2),3),1,1),"")</f>
        <v>0</v>
      </c>
      <c r="BU181">
        <f ca="1">IF($AN181="",OFFSET(Demand!$A$13,ROW(E178)-1,4+((QUOTIENT(COLUMN(BU$2)-69,3))*5)+MOD(COLUMN(BU$2),3),1,1),"")</f>
        <v>0</v>
      </c>
      <c r="BV181">
        <f ca="1">IF($AN181="",OFFSET(Demand!$A$13,ROW(F178)-1,4+((QUOTIENT(COLUMN(BV$2)-69,3))*5)+MOD(COLUMN(BV$2),3),1,1),"")</f>
        <v>0</v>
      </c>
      <c r="BW181">
        <f ca="1">IF($AN181="",OFFSET(Demand!$A$13,ROW(G178)-1,4+((QUOTIENT(COLUMN(BW$2)-69,3))*5)+MOD(COLUMN(BW$2),3),1,1),"")</f>
        <v>0</v>
      </c>
      <c r="BX181">
        <f ca="1">IF($AN181="",OFFSET(Demand!$A$13,ROW(H178)-1,4+((QUOTIENT(COLUMN(BX$2)-69,3))*5)+MOD(COLUMN(BX$2),3),1,1),"")</f>
        <v>0</v>
      </c>
      <c r="BY181">
        <f ca="1">IF($AN181="",OFFSET(Demand!$A$13,ROW(I178)-1,4+((QUOTIENT(COLUMN(BY$2)-69,3))*5)+MOD(COLUMN(BY$2),3),1,1),"")</f>
        <v>0</v>
      </c>
      <c r="BZ181">
        <f ca="1">IF($AN181="",OFFSET(Demand!$A$13,ROW(J178)-1,4+((QUOTIENT(COLUMN(BZ$2)-69,3))*5)+MOD(COLUMN(BZ$2),3),1,1),"")</f>
        <v>0</v>
      </c>
      <c r="CA181">
        <f ca="1">IF($AN181="",OFFSET(Demand!$A$13,ROW(K178)-1,4+((QUOTIENT(COLUMN(CA$2)-69,3))*5)+MOD(COLUMN(CA$2),3),1,1),"")</f>
        <v>0</v>
      </c>
      <c r="CB181">
        <f ca="1">IF($AN181="",OFFSET(Demand!$A$13,ROW(L178)-1,4+((QUOTIENT(COLUMN(CB$2)-69,3))*5)+MOD(COLUMN(CB$2),3),1,1),"")</f>
        <v>0</v>
      </c>
      <c r="CC181">
        <f ca="1">IF($AN181="",OFFSET(Demand!$A$13,ROW(M178)-1,4+((QUOTIENT(COLUMN(CC$2)-69,3))*5)+MOD(COLUMN(CC$2),3),1,1),"")</f>
        <v>0</v>
      </c>
      <c r="CD181">
        <f ca="1">IF($AN181="",OFFSET(Demand!$A$13,ROW(N178)-1,4+((QUOTIENT(COLUMN(CD$2)-69,3))*5)+MOD(COLUMN(CD$2),3),1,1),"")</f>
        <v>0</v>
      </c>
      <c r="CE181">
        <f ca="1">IF($AN181="",OFFSET(Demand!$A$13,ROW(O178)-1,4+((QUOTIENT(COLUMN(CE$2)-69,3))*5)+MOD(COLUMN(CE$2),3),1,1),"")</f>
        <v>0</v>
      </c>
      <c r="CF181">
        <f ca="1">IF($AN181="",OFFSET(Demand!$A$13,ROW(P178)-1,4+((QUOTIENT(COLUMN(CF$2)-69,3))*5)+MOD(COLUMN(CF$2),3),1,1),"")</f>
        <v>0</v>
      </c>
      <c r="CG181">
        <f ca="1">IF($AN181="",OFFSET(Demand!$A$13,ROW(Q178)-1,4+((QUOTIENT(COLUMN(CG$2)-69,3))*5)+MOD(COLUMN(CG$2),3),1,1),"")</f>
        <v>0</v>
      </c>
      <c r="CH181">
        <f ca="1">IF($AN181="",OFFSET(Demand!$A$13,ROW(R178)-1,4+((QUOTIENT(COLUMN(CH$2)-69,3))*5)+MOD(COLUMN(CH$2),3),1,1),"")</f>
        <v>0</v>
      </c>
      <c r="CI181">
        <f ca="1">IF($AN181="",OFFSET(Demand!$A$13,ROW(S178)-1,4+((QUOTIENT(COLUMN(CI$2)-69,3))*5)+MOD(COLUMN(CI$2),3),1,1),"")</f>
        <v>0</v>
      </c>
      <c r="CJ181">
        <f ca="1">IF($AN181="",OFFSET(Demand!$A$13,ROW(T178)-1,4+((QUOTIENT(COLUMN(CJ$2)-69,3))*5)+MOD(COLUMN(CJ$2),3),1,1),"")</f>
        <v>0</v>
      </c>
      <c r="CK181">
        <f ca="1">IF($AN181="",OFFSET(Demand!$A$13,ROW(U178)-1,4+((QUOTIENT(COLUMN(CK$2)-69,3))*5)+MOD(COLUMN(CK$2),3),1,1),"")</f>
        <v>0</v>
      </c>
      <c r="CL181">
        <f ca="1">IF($AN181="",OFFSET(Demand!$A$13,ROW(V178)-1,4+((QUOTIENT(COLUMN(CL$2)-69,3))*5)+MOD(COLUMN(CL$2),3),1,1),"")</f>
        <v>0</v>
      </c>
      <c r="CM181">
        <f ca="1">IF($AN181="",OFFSET(Demand!$A$13,ROW(W178)-1,4+((QUOTIENT(COLUMN(CM$2)-69,3))*5)+MOD(COLUMN(CM$2),3),1,1),"")</f>
        <v>0</v>
      </c>
      <c r="CN181">
        <f ca="1">IF($AN181="",OFFSET(Demand!$A$13,ROW(X178)-1,4+((QUOTIENT(COLUMN(CN$2)-69,3))*5)+MOD(COLUMN(CN$2),3),1,1),"")</f>
        <v>0</v>
      </c>
      <c r="CO181">
        <f ca="1">IF($AN181="",OFFSET(Demand!$A$13,ROW(Y178)-1,4+((QUOTIENT(COLUMN(CO$2)-69,3))*5)+MOD(COLUMN(CO$2),3),1,1),"")</f>
        <v>0</v>
      </c>
      <c r="CP181">
        <f ca="1">IF($AN181="",OFFSET(Demand!$A$13,ROW(Z178)-1,4+((QUOTIENT(COLUMN(CP$2)-69,3))*5)+MOD(COLUMN(CP$2),3),1,1),"")</f>
        <v>0</v>
      </c>
      <c r="CQ181">
        <f ca="1">IF($AN181="",OFFSET(Demand!$A$13,ROW(AA178)-1,4+((QUOTIENT(COLUMN(CQ$2)-69,3))*5)+MOD(COLUMN(CQ$2),3),1,1),"")</f>
        <v>0</v>
      </c>
      <c r="CR181">
        <f ca="1">IF($AN181="",OFFSET(Demand!$A$13,ROW(AB178)-1,4+((QUOTIENT(COLUMN(CR$2)-69,3))*5)+MOD(COLUMN(CR$2),3),1,1),"")</f>
        <v>0</v>
      </c>
      <c r="CS181">
        <f ca="1">IF($AN181="",OFFSET(Demand!$A$13,ROW(AC178)-1,4+((QUOTIENT(COLUMN(CS$2)-69,3))*5)+MOD(COLUMN(CS$2),3),1,1),"")</f>
        <v>0</v>
      </c>
      <c r="CT181">
        <f ca="1">IF($AN181="",OFFSET(Demand!$A$13,ROW(AD178)-1,4+((QUOTIENT(COLUMN(CT$2)-69,3))*5)+MOD(COLUMN(CT$2),3),1,1),"")</f>
        <v>0</v>
      </c>
      <c r="CW181" s="5">
        <f ca="1">SUM(OFFSET(Demand!$H$43,ROW(A178)-1,(COLUMN(A178)-1)*5,1,1))*N$2</f>
        <v>0</v>
      </c>
      <c r="CX181" s="5">
        <f ca="1">SUM(OFFSET(Demand!$H$43,ROW(B178)-1,(COLUMN(B178)-1)*5,1,1))*O$2</f>
        <v>0</v>
      </c>
      <c r="CY181" s="5">
        <f ca="1">SUM(OFFSET(Demand!$H$43,ROW(C178)-1,(COLUMN(C178)-1)*5,1,1))*P$2</f>
        <v>0</v>
      </c>
      <c r="CZ181" s="5">
        <f ca="1">SUM(OFFSET(Demand!$H$43,ROW(D178)-1,(COLUMN(D178)-1)*5,1,1))*Q$2</f>
        <v>0</v>
      </c>
      <c r="DA181" s="5">
        <f ca="1">SUM(OFFSET(Demand!$H$43,ROW(E178)-1,(COLUMN(E178)-1)*5,1,1))*R$2</f>
        <v>0</v>
      </c>
      <c r="DB181" s="5">
        <f ca="1">SUM(OFFSET(Demand!$H$43,ROW(F178)-1,(COLUMN(F178)-1)*5,1,1))*S$2</f>
        <v>0</v>
      </c>
      <c r="DC181" s="5">
        <f ca="1">SUM(OFFSET(Demand!$H$43,ROW(G178)-1,(COLUMN(G178)-1)*5,1,1))*T$2</f>
        <v>0</v>
      </c>
      <c r="DD181" s="5">
        <f ca="1">SUM(OFFSET(Demand!$H$43,ROW(H178)-1,(COLUMN(H178)-1)*5,1,1))*U$2</f>
        <v>0</v>
      </c>
      <c r="DE181" s="5">
        <f ca="1">SUM(OFFSET(Demand!$H$43,ROW(I178)-1,(COLUMN(I178)-1)*5,1,1))*V$2</f>
        <v>0</v>
      </c>
      <c r="DF181" s="5">
        <f ca="1">SUM(OFFSET(Demand!$H$43,ROW(J178)-1,(COLUMN(J178)-1)*5,1,1))*W$2</f>
        <v>0</v>
      </c>
      <c r="DG181" s="5">
        <f t="shared" ca="1" si="44"/>
        <v>0</v>
      </c>
    </row>
    <row r="182" spans="1:111" x14ac:dyDescent="0.2">
      <c r="A182" s="5">
        <f t="shared" ca="1" si="38"/>
        <v>2</v>
      </c>
      <c r="B182" s="5">
        <f ca="1">COUNTBLANK(OFFSET(Demand!$I191,0,(COLUMN(A179)-1)*5,1,1))</f>
        <v>1</v>
      </c>
      <c r="C182" s="5">
        <f ca="1">COUNTBLANK(OFFSET(Demand!$I191,0,(COLUMN(B179)-1)*5,1,1))</f>
        <v>1</v>
      </c>
      <c r="D182" s="5">
        <f ca="1">COUNTBLANK(OFFSET(Demand!$I191,0,(COLUMN(C179)-1)*5,1,1))</f>
        <v>1</v>
      </c>
      <c r="E182" s="5">
        <f ca="1">COUNTBLANK(OFFSET(Demand!$I191,0,(COLUMN(D179)-1)*5,1,1))</f>
        <v>1</v>
      </c>
      <c r="F182" s="5">
        <f ca="1">COUNTBLANK(OFFSET(Demand!$I191,0,(COLUMN(E179)-1)*5,1,1))</f>
        <v>1</v>
      </c>
      <c r="G182" s="5">
        <f ca="1">COUNTBLANK(OFFSET(Demand!$I191,0,(COLUMN(F179)-1)*5,1,1))</f>
        <v>1</v>
      </c>
      <c r="H182" s="5">
        <f ca="1">COUNTBLANK(OFFSET(Demand!$I191,0,(COLUMN(G179)-1)*5,1,1))</f>
        <v>1</v>
      </c>
      <c r="I182" s="5">
        <f ca="1">COUNTBLANK(OFFSET(Demand!$I191,0,(COLUMN(H179)-1)*5,1,1))</f>
        <v>1</v>
      </c>
      <c r="J182" s="5">
        <f ca="1">COUNTBLANK(OFFSET(Demand!$I191,0,(COLUMN(I179)-1)*5,1,1))</f>
        <v>1</v>
      </c>
      <c r="K182" s="5">
        <f ca="1">COUNTBLANK(OFFSET(Demand!$I191,0,(COLUMN(J179)-1)*5,1,1))</f>
        <v>1</v>
      </c>
      <c r="N182" s="5">
        <f ca="1">SUM(OFFSET(Demand!$E191,0,(COLUMN(A179)-1)*5,1,3))*N$2</f>
        <v>0</v>
      </c>
      <c r="O182" s="5">
        <f ca="1">SUM(OFFSET(Demand!$E191,0,(COLUMN(B179)-1)*5,1,3))*O$2</f>
        <v>0</v>
      </c>
      <c r="P182" s="5">
        <f ca="1">SUM(OFFSET(Demand!$E191,0,(COLUMN(C179)-1)*5,1,3))*P$2</f>
        <v>0</v>
      </c>
      <c r="Q182" s="5">
        <f ca="1">SUM(OFFSET(Demand!$E191,0,(COLUMN(D179)-1)*5,1,3))*Q$2</f>
        <v>0</v>
      </c>
      <c r="R182" s="5">
        <f ca="1">SUM(OFFSET(Demand!$E191,0,(COLUMN(E179)-1)*5,1,3))*R$2</f>
        <v>0</v>
      </c>
      <c r="S182" s="5">
        <f ca="1">SUM(OFFSET(Demand!$E191,0,(COLUMN(F179)-1)*5,1,3))*S$2</f>
        <v>0</v>
      </c>
      <c r="T182" s="5">
        <f ca="1">SUM(OFFSET(Demand!$E191,0,(COLUMN(G179)-1)*5,1,3))*T$2</f>
        <v>0</v>
      </c>
      <c r="U182" s="5">
        <f ca="1">SUM(OFFSET(Demand!$E191,0,(COLUMN(H179)-1)*5,1,3))*U$2</f>
        <v>0</v>
      </c>
      <c r="V182" s="5">
        <f ca="1">SUM(OFFSET(Demand!$E191,0,(COLUMN(I179)-1)*5,1,3))*V$2</f>
        <v>0</v>
      </c>
      <c r="W182" s="5">
        <f ca="1">SUM(OFFSET(Demand!$E191,0,(COLUMN(J179)-1)*5,1,3))*W$2</f>
        <v>0</v>
      </c>
      <c r="X182" s="5">
        <f t="shared" ca="1" si="39"/>
        <v>0</v>
      </c>
      <c r="Y182">
        <f t="shared" ca="1" si="40"/>
        <v>0</v>
      </c>
      <c r="Z182" s="5">
        <f ca="1">SUM(OFFSET(Demand!$H191,0,(COLUMN(A179)-1)*5,1,1))*N$2</f>
        <v>0</v>
      </c>
      <c r="AA182" s="5">
        <f ca="1">SUM(OFFSET(Demand!$H191,0,(COLUMN(B179)-1)*5,1,1))*O$2</f>
        <v>0</v>
      </c>
      <c r="AB182" s="5">
        <f ca="1">SUM(OFFSET(Demand!$H191,0,(COLUMN(C179)-1)*5,1,1))*P$2</f>
        <v>0</v>
      </c>
      <c r="AC182" s="5">
        <f ca="1">SUM(OFFSET(Demand!$H191,0,(COLUMN(D179)-1)*5,1,1))*Q$2</f>
        <v>0</v>
      </c>
      <c r="AD182" s="5">
        <f ca="1">SUM(OFFSET(Demand!$H191,0,(COLUMN(E179)-1)*5,1,1))*R$2</f>
        <v>0</v>
      </c>
      <c r="AE182" s="5">
        <f ca="1">SUM(OFFSET(Demand!$H191,0,(COLUMN(F179)-1)*5,1,1))*S$2</f>
        <v>0</v>
      </c>
      <c r="AF182" s="5">
        <f ca="1">SUM(OFFSET(Demand!$H191,0,(COLUMN(G179)-1)*5,1,1))*T$2</f>
        <v>0</v>
      </c>
      <c r="AG182" s="5">
        <f ca="1">SUM(OFFSET(Demand!$H191,0,(COLUMN(H179)-1)*5,1,1))*U$2</f>
        <v>0</v>
      </c>
      <c r="AH182" s="5">
        <f ca="1">SUM(OFFSET(Demand!$H191,0,(COLUMN(I179)-1)*5,1,1))*V$2</f>
        <v>0</v>
      </c>
      <c r="AI182" s="5">
        <f ca="1">SUM(OFFSET(Demand!$H191,0,(COLUMN(J179)-1)*5,1,1))*W$2</f>
        <v>0</v>
      </c>
      <c r="AJ182" s="5">
        <f t="shared" ca="1" si="41"/>
        <v>0</v>
      </c>
      <c r="AL182" s="5">
        <f t="shared" ca="1" si="42"/>
        <v>0</v>
      </c>
      <c r="AM182" s="5">
        <f t="shared" ca="1" si="43"/>
        <v>0</v>
      </c>
      <c r="AN182" s="5" t="str">
        <f>IF(Demand!BE191="Yes","Yes","")</f>
        <v/>
      </c>
      <c r="AP182" s="37" t="str">
        <f ca="1">Demand!B191</f>
        <v xml:space="preserve"> </v>
      </c>
      <c r="AQ182" t="str">
        <f ca="1">IF(TEXT(Demand!D191,"MMM")&lt;&gt;TEXT(Demand!D190,"MMM"),TEXT(Demand!D191,"MMM"),"")</f>
        <v/>
      </c>
      <c r="AT182" s="5">
        <f t="shared" ca="1" si="45"/>
        <v>0</v>
      </c>
      <c r="BQ182">
        <f ca="1">IF($AN182="",OFFSET(Demand!$A$13,ROW(A179)-1,4+((QUOTIENT(COLUMN(BQ$2)-69,3))*5)+MOD(COLUMN(BQ$2),3),1,1),"")</f>
        <v>0</v>
      </c>
      <c r="BR182">
        <f ca="1">IF($AN182="",OFFSET(Demand!$A$13,ROW(B179)-1,4+((QUOTIENT(COLUMN(BR$2)-69,3))*5)+MOD(COLUMN(BR$2),3),1,1),"")</f>
        <v>0</v>
      </c>
      <c r="BS182">
        <f ca="1">IF($AN182="",OFFSET(Demand!$A$13,ROW(C179)-1,4+((QUOTIENT(COLUMN(BS$2)-69,3))*5)+MOD(COLUMN(BS$2),3),1,1),"")</f>
        <v>0</v>
      </c>
      <c r="BT182">
        <f ca="1">IF($AN182="",OFFSET(Demand!$A$13,ROW(D179)-1,4+((QUOTIENT(COLUMN(BT$2)-69,3))*5)+MOD(COLUMN(BT$2),3),1,1),"")</f>
        <v>0</v>
      </c>
      <c r="BU182">
        <f ca="1">IF($AN182="",OFFSET(Demand!$A$13,ROW(E179)-1,4+((QUOTIENT(COLUMN(BU$2)-69,3))*5)+MOD(COLUMN(BU$2),3),1,1),"")</f>
        <v>0</v>
      </c>
      <c r="BV182">
        <f ca="1">IF($AN182="",OFFSET(Demand!$A$13,ROW(F179)-1,4+((QUOTIENT(COLUMN(BV$2)-69,3))*5)+MOD(COLUMN(BV$2),3),1,1),"")</f>
        <v>0</v>
      </c>
      <c r="BW182">
        <f ca="1">IF($AN182="",OFFSET(Demand!$A$13,ROW(G179)-1,4+((QUOTIENT(COLUMN(BW$2)-69,3))*5)+MOD(COLUMN(BW$2),3),1,1),"")</f>
        <v>0</v>
      </c>
      <c r="BX182">
        <f ca="1">IF($AN182="",OFFSET(Demand!$A$13,ROW(H179)-1,4+((QUOTIENT(COLUMN(BX$2)-69,3))*5)+MOD(COLUMN(BX$2),3),1,1),"")</f>
        <v>0</v>
      </c>
      <c r="BY182">
        <f ca="1">IF($AN182="",OFFSET(Demand!$A$13,ROW(I179)-1,4+((QUOTIENT(COLUMN(BY$2)-69,3))*5)+MOD(COLUMN(BY$2),3),1,1),"")</f>
        <v>0</v>
      </c>
      <c r="BZ182">
        <f ca="1">IF($AN182="",OFFSET(Demand!$A$13,ROW(J179)-1,4+((QUOTIENT(COLUMN(BZ$2)-69,3))*5)+MOD(COLUMN(BZ$2),3),1,1),"")</f>
        <v>0</v>
      </c>
      <c r="CA182">
        <f ca="1">IF($AN182="",OFFSET(Demand!$A$13,ROW(K179)-1,4+((QUOTIENT(COLUMN(CA$2)-69,3))*5)+MOD(COLUMN(CA$2),3),1,1),"")</f>
        <v>0</v>
      </c>
      <c r="CB182">
        <f ca="1">IF($AN182="",OFFSET(Demand!$A$13,ROW(L179)-1,4+((QUOTIENT(COLUMN(CB$2)-69,3))*5)+MOD(COLUMN(CB$2),3),1,1),"")</f>
        <v>0</v>
      </c>
      <c r="CC182">
        <f ca="1">IF($AN182="",OFFSET(Demand!$A$13,ROW(M179)-1,4+((QUOTIENT(COLUMN(CC$2)-69,3))*5)+MOD(COLUMN(CC$2),3),1,1),"")</f>
        <v>0</v>
      </c>
      <c r="CD182">
        <f ca="1">IF($AN182="",OFFSET(Demand!$A$13,ROW(N179)-1,4+((QUOTIENT(COLUMN(CD$2)-69,3))*5)+MOD(COLUMN(CD$2),3),1,1),"")</f>
        <v>0</v>
      </c>
      <c r="CE182">
        <f ca="1">IF($AN182="",OFFSET(Demand!$A$13,ROW(O179)-1,4+((QUOTIENT(COLUMN(CE$2)-69,3))*5)+MOD(COLUMN(CE$2),3),1,1),"")</f>
        <v>0</v>
      </c>
      <c r="CF182">
        <f ca="1">IF($AN182="",OFFSET(Demand!$A$13,ROW(P179)-1,4+((QUOTIENT(COLUMN(CF$2)-69,3))*5)+MOD(COLUMN(CF$2),3),1,1),"")</f>
        <v>0</v>
      </c>
      <c r="CG182">
        <f ca="1">IF($AN182="",OFFSET(Demand!$A$13,ROW(Q179)-1,4+((QUOTIENT(COLUMN(CG$2)-69,3))*5)+MOD(COLUMN(CG$2),3),1,1),"")</f>
        <v>0</v>
      </c>
      <c r="CH182">
        <f ca="1">IF($AN182="",OFFSET(Demand!$A$13,ROW(R179)-1,4+((QUOTIENT(COLUMN(CH$2)-69,3))*5)+MOD(COLUMN(CH$2),3),1,1),"")</f>
        <v>0</v>
      </c>
      <c r="CI182">
        <f ca="1">IF($AN182="",OFFSET(Demand!$A$13,ROW(S179)-1,4+((QUOTIENT(COLUMN(CI$2)-69,3))*5)+MOD(COLUMN(CI$2),3),1,1),"")</f>
        <v>0</v>
      </c>
      <c r="CJ182">
        <f ca="1">IF($AN182="",OFFSET(Demand!$A$13,ROW(T179)-1,4+((QUOTIENT(COLUMN(CJ$2)-69,3))*5)+MOD(COLUMN(CJ$2),3),1,1),"")</f>
        <v>0</v>
      </c>
      <c r="CK182">
        <f ca="1">IF($AN182="",OFFSET(Demand!$A$13,ROW(U179)-1,4+((QUOTIENT(COLUMN(CK$2)-69,3))*5)+MOD(COLUMN(CK$2),3),1,1),"")</f>
        <v>0</v>
      </c>
      <c r="CL182">
        <f ca="1">IF($AN182="",OFFSET(Demand!$A$13,ROW(V179)-1,4+((QUOTIENT(COLUMN(CL$2)-69,3))*5)+MOD(COLUMN(CL$2),3),1,1),"")</f>
        <v>0</v>
      </c>
      <c r="CM182">
        <f ca="1">IF($AN182="",OFFSET(Demand!$A$13,ROW(W179)-1,4+((QUOTIENT(COLUMN(CM$2)-69,3))*5)+MOD(COLUMN(CM$2),3),1,1),"")</f>
        <v>0</v>
      </c>
      <c r="CN182">
        <f ca="1">IF($AN182="",OFFSET(Demand!$A$13,ROW(X179)-1,4+((QUOTIENT(COLUMN(CN$2)-69,3))*5)+MOD(COLUMN(CN$2),3),1,1),"")</f>
        <v>0</v>
      </c>
      <c r="CO182">
        <f ca="1">IF($AN182="",OFFSET(Demand!$A$13,ROW(Y179)-1,4+((QUOTIENT(COLUMN(CO$2)-69,3))*5)+MOD(COLUMN(CO$2),3),1,1),"")</f>
        <v>0</v>
      </c>
      <c r="CP182">
        <f ca="1">IF($AN182="",OFFSET(Demand!$A$13,ROW(Z179)-1,4+((QUOTIENT(COLUMN(CP$2)-69,3))*5)+MOD(COLUMN(CP$2),3),1,1),"")</f>
        <v>0</v>
      </c>
      <c r="CQ182">
        <f ca="1">IF($AN182="",OFFSET(Demand!$A$13,ROW(AA179)-1,4+((QUOTIENT(COLUMN(CQ$2)-69,3))*5)+MOD(COLUMN(CQ$2),3),1,1),"")</f>
        <v>0</v>
      </c>
      <c r="CR182">
        <f ca="1">IF($AN182="",OFFSET(Demand!$A$13,ROW(AB179)-1,4+((QUOTIENT(COLUMN(CR$2)-69,3))*5)+MOD(COLUMN(CR$2),3),1,1),"")</f>
        <v>0</v>
      </c>
      <c r="CS182">
        <f ca="1">IF($AN182="",OFFSET(Demand!$A$13,ROW(AC179)-1,4+((QUOTIENT(COLUMN(CS$2)-69,3))*5)+MOD(COLUMN(CS$2),3),1,1),"")</f>
        <v>0</v>
      </c>
      <c r="CT182">
        <f ca="1">IF($AN182="",OFFSET(Demand!$A$13,ROW(AD179)-1,4+((QUOTIENT(COLUMN(CT$2)-69,3))*5)+MOD(COLUMN(CT$2),3),1,1),"")</f>
        <v>0</v>
      </c>
      <c r="CW182" s="5">
        <f ca="1">SUM(OFFSET(Demand!$H$43,ROW(A179)-1,(COLUMN(A179)-1)*5,1,1))*N$2</f>
        <v>0</v>
      </c>
      <c r="CX182" s="5">
        <f ca="1">SUM(OFFSET(Demand!$H$43,ROW(B179)-1,(COLUMN(B179)-1)*5,1,1))*O$2</f>
        <v>0</v>
      </c>
      <c r="CY182" s="5">
        <f ca="1">SUM(OFFSET(Demand!$H$43,ROW(C179)-1,(COLUMN(C179)-1)*5,1,1))*P$2</f>
        <v>0</v>
      </c>
      <c r="CZ182" s="5">
        <f ca="1">SUM(OFFSET(Demand!$H$43,ROW(D179)-1,(COLUMN(D179)-1)*5,1,1))*Q$2</f>
        <v>0</v>
      </c>
      <c r="DA182" s="5">
        <f ca="1">SUM(OFFSET(Demand!$H$43,ROW(E179)-1,(COLUMN(E179)-1)*5,1,1))*R$2</f>
        <v>0</v>
      </c>
      <c r="DB182" s="5">
        <f ca="1">SUM(OFFSET(Demand!$H$43,ROW(F179)-1,(COLUMN(F179)-1)*5,1,1))*S$2</f>
        <v>0</v>
      </c>
      <c r="DC182" s="5">
        <f ca="1">SUM(OFFSET(Demand!$H$43,ROW(G179)-1,(COLUMN(G179)-1)*5,1,1))*T$2</f>
        <v>0</v>
      </c>
      <c r="DD182" s="5">
        <f ca="1">SUM(OFFSET(Demand!$H$43,ROW(H179)-1,(COLUMN(H179)-1)*5,1,1))*U$2</f>
        <v>0</v>
      </c>
      <c r="DE182" s="5">
        <f ca="1">SUM(OFFSET(Demand!$H$43,ROW(I179)-1,(COLUMN(I179)-1)*5,1,1))*V$2</f>
        <v>0</v>
      </c>
      <c r="DF182" s="5">
        <f ca="1">SUM(OFFSET(Demand!$H$43,ROW(J179)-1,(COLUMN(J179)-1)*5,1,1))*W$2</f>
        <v>0</v>
      </c>
      <c r="DG182" s="5">
        <f t="shared" ca="1" si="44"/>
        <v>0</v>
      </c>
    </row>
    <row r="183" spans="1:111" x14ac:dyDescent="0.2">
      <c r="A183" s="5">
        <f t="shared" ca="1" si="38"/>
        <v>2</v>
      </c>
      <c r="B183" s="5">
        <f ca="1">COUNTBLANK(OFFSET(Demand!$I192,0,(COLUMN(A180)-1)*5,1,1))</f>
        <v>1</v>
      </c>
      <c r="C183" s="5">
        <f ca="1">COUNTBLANK(OFFSET(Demand!$I192,0,(COLUMN(B180)-1)*5,1,1))</f>
        <v>1</v>
      </c>
      <c r="D183" s="5">
        <f ca="1">COUNTBLANK(OFFSET(Demand!$I192,0,(COLUMN(C180)-1)*5,1,1))</f>
        <v>1</v>
      </c>
      <c r="E183" s="5">
        <f ca="1">COUNTBLANK(OFFSET(Demand!$I192,0,(COLUMN(D180)-1)*5,1,1))</f>
        <v>1</v>
      </c>
      <c r="F183" s="5">
        <f ca="1">COUNTBLANK(OFFSET(Demand!$I192,0,(COLUMN(E180)-1)*5,1,1))</f>
        <v>1</v>
      </c>
      <c r="G183" s="5">
        <f ca="1">COUNTBLANK(OFFSET(Demand!$I192,0,(COLUMN(F180)-1)*5,1,1))</f>
        <v>1</v>
      </c>
      <c r="H183" s="5">
        <f ca="1">COUNTBLANK(OFFSET(Demand!$I192,0,(COLUMN(G180)-1)*5,1,1))</f>
        <v>1</v>
      </c>
      <c r="I183" s="5">
        <f ca="1">COUNTBLANK(OFFSET(Demand!$I192,0,(COLUMN(H180)-1)*5,1,1))</f>
        <v>1</v>
      </c>
      <c r="J183" s="5">
        <f ca="1">COUNTBLANK(OFFSET(Demand!$I192,0,(COLUMN(I180)-1)*5,1,1))</f>
        <v>1</v>
      </c>
      <c r="K183" s="5">
        <f ca="1">COUNTBLANK(OFFSET(Demand!$I192,0,(COLUMN(J180)-1)*5,1,1))</f>
        <v>1</v>
      </c>
      <c r="N183" s="5">
        <f ca="1">SUM(OFFSET(Demand!$E192,0,(COLUMN(A180)-1)*5,1,3))*N$2</f>
        <v>0</v>
      </c>
      <c r="O183" s="5">
        <f ca="1">SUM(OFFSET(Demand!$E192,0,(COLUMN(B180)-1)*5,1,3))*O$2</f>
        <v>0</v>
      </c>
      <c r="P183" s="5">
        <f ca="1">SUM(OFFSET(Demand!$E192,0,(COLUMN(C180)-1)*5,1,3))*P$2</f>
        <v>0</v>
      </c>
      <c r="Q183" s="5">
        <f ca="1">SUM(OFFSET(Demand!$E192,0,(COLUMN(D180)-1)*5,1,3))*Q$2</f>
        <v>0</v>
      </c>
      <c r="R183" s="5">
        <f ca="1">SUM(OFFSET(Demand!$E192,0,(COLUMN(E180)-1)*5,1,3))*R$2</f>
        <v>0</v>
      </c>
      <c r="S183" s="5">
        <f ca="1">SUM(OFFSET(Demand!$E192,0,(COLUMN(F180)-1)*5,1,3))*S$2</f>
        <v>0</v>
      </c>
      <c r="T183" s="5">
        <f ca="1">SUM(OFFSET(Demand!$E192,0,(COLUMN(G180)-1)*5,1,3))*T$2</f>
        <v>0</v>
      </c>
      <c r="U183" s="5">
        <f ca="1">SUM(OFFSET(Demand!$E192,0,(COLUMN(H180)-1)*5,1,3))*U$2</f>
        <v>0</v>
      </c>
      <c r="V183" s="5">
        <f ca="1">SUM(OFFSET(Demand!$E192,0,(COLUMN(I180)-1)*5,1,3))*V$2</f>
        <v>0</v>
      </c>
      <c r="W183" s="5">
        <f ca="1">SUM(OFFSET(Demand!$E192,0,(COLUMN(J180)-1)*5,1,3))*W$2</f>
        <v>0</v>
      </c>
      <c r="X183" s="5">
        <f t="shared" ca="1" si="39"/>
        <v>0</v>
      </c>
      <c r="Y183">
        <f t="shared" ca="1" si="40"/>
        <v>0</v>
      </c>
      <c r="Z183" s="5">
        <f ca="1">SUM(OFFSET(Demand!$H192,0,(COLUMN(A180)-1)*5,1,1))*N$2</f>
        <v>0</v>
      </c>
      <c r="AA183" s="5">
        <f ca="1">SUM(OFFSET(Demand!$H192,0,(COLUMN(B180)-1)*5,1,1))*O$2</f>
        <v>0</v>
      </c>
      <c r="AB183" s="5">
        <f ca="1">SUM(OFFSET(Demand!$H192,0,(COLUMN(C180)-1)*5,1,1))*P$2</f>
        <v>0</v>
      </c>
      <c r="AC183" s="5">
        <f ca="1">SUM(OFFSET(Demand!$H192,0,(COLUMN(D180)-1)*5,1,1))*Q$2</f>
        <v>0</v>
      </c>
      <c r="AD183" s="5">
        <f ca="1">SUM(OFFSET(Demand!$H192,0,(COLUMN(E180)-1)*5,1,1))*R$2</f>
        <v>0</v>
      </c>
      <c r="AE183" s="5">
        <f ca="1">SUM(OFFSET(Demand!$H192,0,(COLUMN(F180)-1)*5,1,1))*S$2</f>
        <v>0</v>
      </c>
      <c r="AF183" s="5">
        <f ca="1">SUM(OFFSET(Demand!$H192,0,(COLUMN(G180)-1)*5,1,1))*T$2</f>
        <v>0</v>
      </c>
      <c r="AG183" s="5">
        <f ca="1">SUM(OFFSET(Demand!$H192,0,(COLUMN(H180)-1)*5,1,1))*U$2</f>
        <v>0</v>
      </c>
      <c r="AH183" s="5">
        <f ca="1">SUM(OFFSET(Demand!$H192,0,(COLUMN(I180)-1)*5,1,1))*V$2</f>
        <v>0</v>
      </c>
      <c r="AI183" s="5">
        <f ca="1">SUM(OFFSET(Demand!$H192,0,(COLUMN(J180)-1)*5,1,1))*W$2</f>
        <v>0</v>
      </c>
      <c r="AJ183" s="5">
        <f t="shared" ca="1" si="41"/>
        <v>0</v>
      </c>
      <c r="AL183" s="5">
        <f t="shared" ca="1" si="42"/>
        <v>0</v>
      </c>
      <c r="AM183" s="5">
        <f t="shared" ca="1" si="43"/>
        <v>0</v>
      </c>
      <c r="AN183" s="5" t="str">
        <f>IF(Demand!BE192="Yes","Yes","")</f>
        <v/>
      </c>
      <c r="AP183" s="37" t="str">
        <f ca="1">Demand!B192</f>
        <v xml:space="preserve"> </v>
      </c>
      <c r="AQ183" t="str">
        <f ca="1">IF(TEXT(Demand!D192,"MMM")&lt;&gt;TEXT(Demand!D191,"MMM"),TEXT(Demand!D192,"MMM"),"")</f>
        <v/>
      </c>
      <c r="AT183" s="5">
        <f t="shared" ca="1" si="45"/>
        <v>0</v>
      </c>
      <c r="BQ183">
        <f ca="1">IF($AN183="",OFFSET(Demand!$A$13,ROW(A180)-1,4+((QUOTIENT(COLUMN(BQ$2)-69,3))*5)+MOD(COLUMN(BQ$2),3),1,1),"")</f>
        <v>0</v>
      </c>
      <c r="BR183">
        <f ca="1">IF($AN183="",OFFSET(Demand!$A$13,ROW(B180)-1,4+((QUOTIENT(COLUMN(BR$2)-69,3))*5)+MOD(COLUMN(BR$2),3),1,1),"")</f>
        <v>0</v>
      </c>
      <c r="BS183">
        <f ca="1">IF($AN183="",OFFSET(Demand!$A$13,ROW(C180)-1,4+((QUOTIENT(COLUMN(BS$2)-69,3))*5)+MOD(COLUMN(BS$2),3),1,1),"")</f>
        <v>0</v>
      </c>
      <c r="BT183">
        <f ca="1">IF($AN183="",OFFSET(Demand!$A$13,ROW(D180)-1,4+((QUOTIENT(COLUMN(BT$2)-69,3))*5)+MOD(COLUMN(BT$2),3),1,1),"")</f>
        <v>0</v>
      </c>
      <c r="BU183">
        <f ca="1">IF($AN183="",OFFSET(Demand!$A$13,ROW(E180)-1,4+((QUOTIENT(COLUMN(BU$2)-69,3))*5)+MOD(COLUMN(BU$2),3),1,1),"")</f>
        <v>0</v>
      </c>
      <c r="BV183">
        <f ca="1">IF($AN183="",OFFSET(Demand!$A$13,ROW(F180)-1,4+((QUOTIENT(COLUMN(BV$2)-69,3))*5)+MOD(COLUMN(BV$2),3),1,1),"")</f>
        <v>0</v>
      </c>
      <c r="BW183">
        <f ca="1">IF($AN183="",OFFSET(Demand!$A$13,ROW(G180)-1,4+((QUOTIENT(COLUMN(BW$2)-69,3))*5)+MOD(COLUMN(BW$2),3),1,1),"")</f>
        <v>0</v>
      </c>
      <c r="BX183">
        <f ca="1">IF($AN183="",OFFSET(Demand!$A$13,ROW(H180)-1,4+((QUOTIENT(COLUMN(BX$2)-69,3))*5)+MOD(COLUMN(BX$2),3),1,1),"")</f>
        <v>0</v>
      </c>
      <c r="BY183">
        <f ca="1">IF($AN183="",OFFSET(Demand!$A$13,ROW(I180)-1,4+((QUOTIENT(COLUMN(BY$2)-69,3))*5)+MOD(COLUMN(BY$2),3),1,1),"")</f>
        <v>0</v>
      </c>
      <c r="BZ183">
        <f ca="1">IF($AN183="",OFFSET(Demand!$A$13,ROW(J180)-1,4+((QUOTIENT(COLUMN(BZ$2)-69,3))*5)+MOD(COLUMN(BZ$2),3),1,1),"")</f>
        <v>0</v>
      </c>
      <c r="CA183">
        <f ca="1">IF($AN183="",OFFSET(Demand!$A$13,ROW(K180)-1,4+((QUOTIENT(COLUMN(CA$2)-69,3))*5)+MOD(COLUMN(CA$2),3),1,1),"")</f>
        <v>0</v>
      </c>
      <c r="CB183">
        <f ca="1">IF($AN183="",OFFSET(Demand!$A$13,ROW(L180)-1,4+((QUOTIENT(COLUMN(CB$2)-69,3))*5)+MOD(COLUMN(CB$2),3),1,1),"")</f>
        <v>0</v>
      </c>
      <c r="CC183">
        <f ca="1">IF($AN183="",OFFSET(Demand!$A$13,ROW(M180)-1,4+((QUOTIENT(COLUMN(CC$2)-69,3))*5)+MOD(COLUMN(CC$2),3),1,1),"")</f>
        <v>0</v>
      </c>
      <c r="CD183">
        <f ca="1">IF($AN183="",OFFSET(Demand!$A$13,ROW(N180)-1,4+((QUOTIENT(COLUMN(CD$2)-69,3))*5)+MOD(COLUMN(CD$2),3),1,1),"")</f>
        <v>0</v>
      </c>
      <c r="CE183">
        <f ca="1">IF($AN183="",OFFSET(Demand!$A$13,ROW(O180)-1,4+((QUOTIENT(COLUMN(CE$2)-69,3))*5)+MOD(COLUMN(CE$2),3),1,1),"")</f>
        <v>0</v>
      </c>
      <c r="CF183">
        <f ca="1">IF($AN183="",OFFSET(Demand!$A$13,ROW(P180)-1,4+((QUOTIENT(COLUMN(CF$2)-69,3))*5)+MOD(COLUMN(CF$2),3),1,1),"")</f>
        <v>0</v>
      </c>
      <c r="CG183">
        <f ca="1">IF($AN183="",OFFSET(Demand!$A$13,ROW(Q180)-1,4+((QUOTIENT(COLUMN(CG$2)-69,3))*5)+MOD(COLUMN(CG$2),3),1,1),"")</f>
        <v>0</v>
      </c>
      <c r="CH183">
        <f ca="1">IF($AN183="",OFFSET(Demand!$A$13,ROW(R180)-1,4+((QUOTIENT(COLUMN(CH$2)-69,3))*5)+MOD(COLUMN(CH$2),3),1,1),"")</f>
        <v>0</v>
      </c>
      <c r="CI183">
        <f ca="1">IF($AN183="",OFFSET(Demand!$A$13,ROW(S180)-1,4+((QUOTIENT(COLUMN(CI$2)-69,3))*5)+MOD(COLUMN(CI$2),3),1,1),"")</f>
        <v>0</v>
      </c>
      <c r="CJ183">
        <f ca="1">IF($AN183="",OFFSET(Demand!$A$13,ROW(T180)-1,4+((QUOTIENT(COLUMN(CJ$2)-69,3))*5)+MOD(COLUMN(CJ$2),3),1,1),"")</f>
        <v>0</v>
      </c>
      <c r="CK183">
        <f ca="1">IF($AN183="",OFFSET(Demand!$A$13,ROW(U180)-1,4+((QUOTIENT(COLUMN(CK$2)-69,3))*5)+MOD(COLUMN(CK$2),3),1,1),"")</f>
        <v>0</v>
      </c>
      <c r="CL183">
        <f ca="1">IF($AN183="",OFFSET(Demand!$A$13,ROW(V180)-1,4+((QUOTIENT(COLUMN(CL$2)-69,3))*5)+MOD(COLUMN(CL$2),3),1,1),"")</f>
        <v>0</v>
      </c>
      <c r="CM183">
        <f ca="1">IF($AN183="",OFFSET(Demand!$A$13,ROW(W180)-1,4+((QUOTIENT(COLUMN(CM$2)-69,3))*5)+MOD(COLUMN(CM$2),3),1,1),"")</f>
        <v>0</v>
      </c>
      <c r="CN183">
        <f ca="1">IF($AN183="",OFFSET(Demand!$A$13,ROW(X180)-1,4+((QUOTIENT(COLUMN(CN$2)-69,3))*5)+MOD(COLUMN(CN$2),3),1,1),"")</f>
        <v>0</v>
      </c>
      <c r="CO183">
        <f ca="1">IF($AN183="",OFFSET(Demand!$A$13,ROW(Y180)-1,4+((QUOTIENT(COLUMN(CO$2)-69,3))*5)+MOD(COLUMN(CO$2),3),1,1),"")</f>
        <v>0</v>
      </c>
      <c r="CP183">
        <f ca="1">IF($AN183="",OFFSET(Demand!$A$13,ROW(Z180)-1,4+((QUOTIENT(COLUMN(CP$2)-69,3))*5)+MOD(COLUMN(CP$2),3),1,1),"")</f>
        <v>0</v>
      </c>
      <c r="CQ183">
        <f ca="1">IF($AN183="",OFFSET(Demand!$A$13,ROW(AA180)-1,4+((QUOTIENT(COLUMN(CQ$2)-69,3))*5)+MOD(COLUMN(CQ$2),3),1,1),"")</f>
        <v>0</v>
      </c>
      <c r="CR183">
        <f ca="1">IF($AN183="",OFFSET(Demand!$A$13,ROW(AB180)-1,4+((QUOTIENT(COLUMN(CR$2)-69,3))*5)+MOD(COLUMN(CR$2),3),1,1),"")</f>
        <v>0</v>
      </c>
      <c r="CS183">
        <f ca="1">IF($AN183="",OFFSET(Demand!$A$13,ROW(AC180)-1,4+((QUOTIENT(COLUMN(CS$2)-69,3))*5)+MOD(COLUMN(CS$2),3),1,1),"")</f>
        <v>0</v>
      </c>
      <c r="CT183">
        <f ca="1">IF($AN183="",OFFSET(Demand!$A$13,ROW(AD180)-1,4+((QUOTIENT(COLUMN(CT$2)-69,3))*5)+MOD(COLUMN(CT$2),3),1,1),"")</f>
        <v>0</v>
      </c>
      <c r="CW183" s="5">
        <f ca="1">SUM(OFFSET(Demand!$H$43,ROW(A180)-1,(COLUMN(A180)-1)*5,1,1))*N$2</f>
        <v>0</v>
      </c>
      <c r="CX183" s="5">
        <f ca="1">SUM(OFFSET(Demand!$H$43,ROW(B180)-1,(COLUMN(B180)-1)*5,1,1))*O$2</f>
        <v>0</v>
      </c>
      <c r="CY183" s="5">
        <f ca="1">SUM(OFFSET(Demand!$H$43,ROW(C180)-1,(COLUMN(C180)-1)*5,1,1))*P$2</f>
        <v>0</v>
      </c>
      <c r="CZ183" s="5">
        <f ca="1">SUM(OFFSET(Demand!$H$43,ROW(D180)-1,(COLUMN(D180)-1)*5,1,1))*Q$2</f>
        <v>0</v>
      </c>
      <c r="DA183" s="5">
        <f ca="1">SUM(OFFSET(Demand!$H$43,ROW(E180)-1,(COLUMN(E180)-1)*5,1,1))*R$2</f>
        <v>0</v>
      </c>
      <c r="DB183" s="5">
        <f ca="1">SUM(OFFSET(Demand!$H$43,ROW(F180)-1,(COLUMN(F180)-1)*5,1,1))*S$2</f>
        <v>0</v>
      </c>
      <c r="DC183" s="5">
        <f ca="1">SUM(OFFSET(Demand!$H$43,ROW(G180)-1,(COLUMN(G180)-1)*5,1,1))*T$2</f>
        <v>0</v>
      </c>
      <c r="DD183" s="5">
        <f ca="1">SUM(OFFSET(Demand!$H$43,ROW(H180)-1,(COLUMN(H180)-1)*5,1,1))*U$2</f>
        <v>0</v>
      </c>
      <c r="DE183" s="5">
        <f ca="1">SUM(OFFSET(Demand!$H$43,ROW(I180)-1,(COLUMN(I180)-1)*5,1,1))*V$2</f>
        <v>0</v>
      </c>
      <c r="DF183" s="5">
        <f ca="1">SUM(OFFSET(Demand!$H$43,ROW(J180)-1,(COLUMN(J180)-1)*5,1,1))*W$2</f>
        <v>0</v>
      </c>
      <c r="DG183" s="5">
        <f t="shared" ca="1" si="44"/>
        <v>0</v>
      </c>
    </row>
    <row r="184" spans="1:111" x14ac:dyDescent="0.2">
      <c r="A184" s="5">
        <f t="shared" ref="A184:A247" ca="1" si="46">SUM(OFFSET(B184,0,0,1,Num_Modalities))</f>
        <v>2</v>
      </c>
      <c r="B184" s="5">
        <f ca="1">COUNTBLANK(OFFSET(Demand!$I193,0,(COLUMN(A181)-1)*5,1,1))</f>
        <v>1</v>
      </c>
      <c r="C184" s="5">
        <f ca="1">COUNTBLANK(OFFSET(Demand!$I193,0,(COLUMN(B181)-1)*5,1,1))</f>
        <v>1</v>
      </c>
      <c r="D184" s="5">
        <f ca="1">COUNTBLANK(OFFSET(Demand!$I193,0,(COLUMN(C181)-1)*5,1,1))</f>
        <v>1</v>
      </c>
      <c r="E184" s="5">
        <f ca="1">COUNTBLANK(OFFSET(Demand!$I193,0,(COLUMN(D181)-1)*5,1,1))</f>
        <v>1</v>
      </c>
      <c r="F184" s="5">
        <f ca="1">COUNTBLANK(OFFSET(Demand!$I193,0,(COLUMN(E181)-1)*5,1,1))</f>
        <v>1</v>
      </c>
      <c r="G184" s="5">
        <f ca="1">COUNTBLANK(OFFSET(Demand!$I193,0,(COLUMN(F181)-1)*5,1,1))</f>
        <v>1</v>
      </c>
      <c r="H184" s="5">
        <f ca="1">COUNTBLANK(OFFSET(Demand!$I193,0,(COLUMN(G181)-1)*5,1,1))</f>
        <v>1</v>
      </c>
      <c r="I184" s="5">
        <f ca="1">COUNTBLANK(OFFSET(Demand!$I193,0,(COLUMN(H181)-1)*5,1,1))</f>
        <v>1</v>
      </c>
      <c r="J184" s="5">
        <f ca="1">COUNTBLANK(OFFSET(Demand!$I193,0,(COLUMN(I181)-1)*5,1,1))</f>
        <v>1</v>
      </c>
      <c r="K184" s="5">
        <f ca="1">COUNTBLANK(OFFSET(Demand!$I193,0,(COLUMN(J181)-1)*5,1,1))</f>
        <v>1</v>
      </c>
      <c r="N184" s="5">
        <f ca="1">SUM(OFFSET(Demand!$E193,0,(COLUMN(A181)-1)*5,1,3))*N$2</f>
        <v>0</v>
      </c>
      <c r="O184" s="5">
        <f ca="1">SUM(OFFSET(Demand!$E193,0,(COLUMN(B181)-1)*5,1,3))*O$2</f>
        <v>0</v>
      </c>
      <c r="P184" s="5">
        <f ca="1">SUM(OFFSET(Demand!$E193,0,(COLUMN(C181)-1)*5,1,3))*P$2</f>
        <v>0</v>
      </c>
      <c r="Q184" s="5">
        <f ca="1">SUM(OFFSET(Demand!$E193,0,(COLUMN(D181)-1)*5,1,3))*Q$2</f>
        <v>0</v>
      </c>
      <c r="R184" s="5">
        <f ca="1">SUM(OFFSET(Demand!$E193,0,(COLUMN(E181)-1)*5,1,3))*R$2</f>
        <v>0</v>
      </c>
      <c r="S184" s="5">
        <f ca="1">SUM(OFFSET(Demand!$E193,0,(COLUMN(F181)-1)*5,1,3))*S$2</f>
        <v>0</v>
      </c>
      <c r="T184" s="5">
        <f ca="1">SUM(OFFSET(Demand!$E193,0,(COLUMN(G181)-1)*5,1,3))*T$2</f>
        <v>0</v>
      </c>
      <c r="U184" s="5">
        <f ca="1">SUM(OFFSET(Demand!$E193,0,(COLUMN(H181)-1)*5,1,3))*U$2</f>
        <v>0</v>
      </c>
      <c r="V184" s="5">
        <f ca="1">SUM(OFFSET(Demand!$E193,0,(COLUMN(I181)-1)*5,1,3))*V$2</f>
        <v>0</v>
      </c>
      <c r="W184" s="5">
        <f ca="1">SUM(OFFSET(Demand!$E193,0,(COLUMN(J181)-1)*5,1,3))*W$2</f>
        <v>0</v>
      </c>
      <c r="X184" s="5">
        <f t="shared" ca="1" si="39"/>
        <v>0</v>
      </c>
      <c r="Y184">
        <f t="shared" ca="1" si="40"/>
        <v>0</v>
      </c>
      <c r="Z184" s="5">
        <f ca="1">SUM(OFFSET(Demand!$H193,0,(COLUMN(A181)-1)*5,1,1))*N$2</f>
        <v>0</v>
      </c>
      <c r="AA184" s="5">
        <f ca="1">SUM(OFFSET(Demand!$H193,0,(COLUMN(B181)-1)*5,1,1))*O$2</f>
        <v>0</v>
      </c>
      <c r="AB184" s="5">
        <f ca="1">SUM(OFFSET(Demand!$H193,0,(COLUMN(C181)-1)*5,1,1))*P$2</f>
        <v>0</v>
      </c>
      <c r="AC184" s="5">
        <f ca="1">SUM(OFFSET(Demand!$H193,0,(COLUMN(D181)-1)*5,1,1))*Q$2</f>
        <v>0</v>
      </c>
      <c r="AD184" s="5">
        <f ca="1">SUM(OFFSET(Demand!$H193,0,(COLUMN(E181)-1)*5,1,1))*R$2</f>
        <v>0</v>
      </c>
      <c r="AE184" s="5">
        <f ca="1">SUM(OFFSET(Demand!$H193,0,(COLUMN(F181)-1)*5,1,1))*S$2</f>
        <v>0</v>
      </c>
      <c r="AF184" s="5">
        <f ca="1">SUM(OFFSET(Demand!$H193,0,(COLUMN(G181)-1)*5,1,1))*T$2</f>
        <v>0</v>
      </c>
      <c r="AG184" s="5">
        <f ca="1">SUM(OFFSET(Demand!$H193,0,(COLUMN(H181)-1)*5,1,1))*U$2</f>
        <v>0</v>
      </c>
      <c r="AH184" s="5">
        <f ca="1">SUM(OFFSET(Demand!$H193,0,(COLUMN(I181)-1)*5,1,1))*V$2</f>
        <v>0</v>
      </c>
      <c r="AI184" s="5">
        <f ca="1">SUM(OFFSET(Demand!$H193,0,(COLUMN(J181)-1)*5,1,1))*W$2</f>
        <v>0</v>
      </c>
      <c r="AJ184" s="5">
        <f t="shared" ca="1" si="41"/>
        <v>0</v>
      </c>
      <c r="AL184" s="5">
        <f t="shared" ca="1" si="42"/>
        <v>0</v>
      </c>
      <c r="AM184" s="5">
        <f t="shared" ca="1" si="43"/>
        <v>0</v>
      </c>
      <c r="AN184" s="5" t="str">
        <f>IF(Demand!BE193="Yes","Yes","")</f>
        <v/>
      </c>
      <c r="AP184" s="37" t="str">
        <f ca="1">Demand!B193</f>
        <v xml:space="preserve"> </v>
      </c>
      <c r="AQ184" t="str">
        <f ca="1">IF(TEXT(Demand!D193,"MMM")&lt;&gt;TEXT(Demand!D192,"MMM"),TEXT(Demand!D193,"MMM"),"")</f>
        <v/>
      </c>
      <c r="AT184" s="5">
        <f t="shared" ca="1" si="45"/>
        <v>0</v>
      </c>
      <c r="BQ184">
        <f ca="1">IF($AN184="",OFFSET(Demand!$A$13,ROW(A181)-1,4+((QUOTIENT(COLUMN(BQ$2)-69,3))*5)+MOD(COLUMN(BQ$2),3),1,1),"")</f>
        <v>0</v>
      </c>
      <c r="BR184">
        <f ca="1">IF($AN184="",OFFSET(Demand!$A$13,ROW(B181)-1,4+((QUOTIENT(COLUMN(BR$2)-69,3))*5)+MOD(COLUMN(BR$2),3),1,1),"")</f>
        <v>0</v>
      </c>
      <c r="BS184">
        <f ca="1">IF($AN184="",OFFSET(Demand!$A$13,ROW(C181)-1,4+((QUOTIENT(COLUMN(BS$2)-69,3))*5)+MOD(COLUMN(BS$2),3),1,1),"")</f>
        <v>0</v>
      </c>
      <c r="BT184">
        <f ca="1">IF($AN184="",OFFSET(Demand!$A$13,ROW(D181)-1,4+((QUOTIENT(COLUMN(BT$2)-69,3))*5)+MOD(COLUMN(BT$2),3),1,1),"")</f>
        <v>0</v>
      </c>
      <c r="BU184">
        <f ca="1">IF($AN184="",OFFSET(Demand!$A$13,ROW(E181)-1,4+((QUOTIENT(COLUMN(BU$2)-69,3))*5)+MOD(COLUMN(BU$2),3),1,1),"")</f>
        <v>0</v>
      </c>
      <c r="BV184">
        <f ca="1">IF($AN184="",OFFSET(Demand!$A$13,ROW(F181)-1,4+((QUOTIENT(COLUMN(BV$2)-69,3))*5)+MOD(COLUMN(BV$2),3),1,1),"")</f>
        <v>0</v>
      </c>
      <c r="BW184">
        <f ca="1">IF($AN184="",OFFSET(Demand!$A$13,ROW(G181)-1,4+((QUOTIENT(COLUMN(BW$2)-69,3))*5)+MOD(COLUMN(BW$2),3),1,1),"")</f>
        <v>0</v>
      </c>
      <c r="BX184">
        <f ca="1">IF($AN184="",OFFSET(Demand!$A$13,ROW(H181)-1,4+((QUOTIENT(COLUMN(BX$2)-69,3))*5)+MOD(COLUMN(BX$2),3),1,1),"")</f>
        <v>0</v>
      </c>
      <c r="BY184">
        <f ca="1">IF($AN184="",OFFSET(Demand!$A$13,ROW(I181)-1,4+((QUOTIENT(COLUMN(BY$2)-69,3))*5)+MOD(COLUMN(BY$2),3),1,1),"")</f>
        <v>0</v>
      </c>
      <c r="BZ184">
        <f ca="1">IF($AN184="",OFFSET(Demand!$A$13,ROW(J181)-1,4+((QUOTIENT(COLUMN(BZ$2)-69,3))*5)+MOD(COLUMN(BZ$2),3),1,1),"")</f>
        <v>0</v>
      </c>
      <c r="CA184">
        <f ca="1">IF($AN184="",OFFSET(Demand!$A$13,ROW(K181)-1,4+((QUOTIENT(COLUMN(CA$2)-69,3))*5)+MOD(COLUMN(CA$2),3),1,1),"")</f>
        <v>0</v>
      </c>
      <c r="CB184">
        <f ca="1">IF($AN184="",OFFSET(Demand!$A$13,ROW(L181)-1,4+((QUOTIENT(COLUMN(CB$2)-69,3))*5)+MOD(COLUMN(CB$2),3),1,1),"")</f>
        <v>0</v>
      </c>
      <c r="CC184">
        <f ca="1">IF($AN184="",OFFSET(Demand!$A$13,ROW(M181)-1,4+((QUOTIENT(COLUMN(CC$2)-69,3))*5)+MOD(COLUMN(CC$2),3),1,1),"")</f>
        <v>0</v>
      </c>
      <c r="CD184">
        <f ca="1">IF($AN184="",OFFSET(Demand!$A$13,ROW(N181)-1,4+((QUOTIENT(COLUMN(CD$2)-69,3))*5)+MOD(COLUMN(CD$2),3),1,1),"")</f>
        <v>0</v>
      </c>
      <c r="CE184">
        <f ca="1">IF($AN184="",OFFSET(Demand!$A$13,ROW(O181)-1,4+((QUOTIENT(COLUMN(CE$2)-69,3))*5)+MOD(COLUMN(CE$2),3),1,1),"")</f>
        <v>0</v>
      </c>
      <c r="CF184">
        <f ca="1">IF($AN184="",OFFSET(Demand!$A$13,ROW(P181)-1,4+((QUOTIENT(COLUMN(CF$2)-69,3))*5)+MOD(COLUMN(CF$2),3),1,1),"")</f>
        <v>0</v>
      </c>
      <c r="CG184">
        <f ca="1">IF($AN184="",OFFSET(Demand!$A$13,ROW(Q181)-1,4+((QUOTIENT(COLUMN(CG$2)-69,3))*5)+MOD(COLUMN(CG$2),3),1,1),"")</f>
        <v>0</v>
      </c>
      <c r="CH184">
        <f ca="1">IF($AN184="",OFFSET(Demand!$A$13,ROW(R181)-1,4+((QUOTIENT(COLUMN(CH$2)-69,3))*5)+MOD(COLUMN(CH$2),3),1,1),"")</f>
        <v>0</v>
      </c>
      <c r="CI184">
        <f ca="1">IF($AN184="",OFFSET(Demand!$A$13,ROW(S181)-1,4+((QUOTIENT(COLUMN(CI$2)-69,3))*5)+MOD(COLUMN(CI$2),3),1,1),"")</f>
        <v>0</v>
      </c>
      <c r="CJ184">
        <f ca="1">IF($AN184="",OFFSET(Demand!$A$13,ROW(T181)-1,4+((QUOTIENT(COLUMN(CJ$2)-69,3))*5)+MOD(COLUMN(CJ$2),3),1,1),"")</f>
        <v>0</v>
      </c>
      <c r="CK184">
        <f ca="1">IF($AN184="",OFFSET(Demand!$A$13,ROW(U181)-1,4+((QUOTIENT(COLUMN(CK$2)-69,3))*5)+MOD(COLUMN(CK$2),3),1,1),"")</f>
        <v>0</v>
      </c>
      <c r="CL184">
        <f ca="1">IF($AN184="",OFFSET(Demand!$A$13,ROW(V181)-1,4+((QUOTIENT(COLUMN(CL$2)-69,3))*5)+MOD(COLUMN(CL$2),3),1,1),"")</f>
        <v>0</v>
      </c>
      <c r="CM184">
        <f ca="1">IF($AN184="",OFFSET(Demand!$A$13,ROW(W181)-1,4+((QUOTIENT(COLUMN(CM$2)-69,3))*5)+MOD(COLUMN(CM$2),3),1,1),"")</f>
        <v>0</v>
      </c>
      <c r="CN184">
        <f ca="1">IF($AN184="",OFFSET(Demand!$A$13,ROW(X181)-1,4+((QUOTIENT(COLUMN(CN$2)-69,3))*5)+MOD(COLUMN(CN$2),3),1,1),"")</f>
        <v>0</v>
      </c>
      <c r="CO184">
        <f ca="1">IF($AN184="",OFFSET(Demand!$A$13,ROW(Y181)-1,4+((QUOTIENT(COLUMN(CO$2)-69,3))*5)+MOD(COLUMN(CO$2),3),1,1),"")</f>
        <v>0</v>
      </c>
      <c r="CP184">
        <f ca="1">IF($AN184="",OFFSET(Demand!$A$13,ROW(Z181)-1,4+((QUOTIENT(COLUMN(CP$2)-69,3))*5)+MOD(COLUMN(CP$2),3),1,1),"")</f>
        <v>0</v>
      </c>
      <c r="CQ184">
        <f ca="1">IF($AN184="",OFFSET(Demand!$A$13,ROW(AA181)-1,4+((QUOTIENT(COLUMN(CQ$2)-69,3))*5)+MOD(COLUMN(CQ$2),3),1,1),"")</f>
        <v>0</v>
      </c>
      <c r="CR184">
        <f ca="1">IF($AN184="",OFFSET(Demand!$A$13,ROW(AB181)-1,4+((QUOTIENT(COLUMN(CR$2)-69,3))*5)+MOD(COLUMN(CR$2),3),1,1),"")</f>
        <v>0</v>
      </c>
      <c r="CS184">
        <f ca="1">IF($AN184="",OFFSET(Demand!$A$13,ROW(AC181)-1,4+((QUOTIENT(COLUMN(CS$2)-69,3))*5)+MOD(COLUMN(CS$2),3),1,1),"")</f>
        <v>0</v>
      </c>
      <c r="CT184">
        <f ca="1">IF($AN184="",OFFSET(Demand!$A$13,ROW(AD181)-1,4+((QUOTIENT(COLUMN(CT$2)-69,3))*5)+MOD(COLUMN(CT$2),3),1,1),"")</f>
        <v>0</v>
      </c>
      <c r="CW184" s="5">
        <f ca="1">SUM(OFFSET(Demand!$H$43,ROW(A181)-1,(COLUMN(A181)-1)*5,1,1))*N$2</f>
        <v>0</v>
      </c>
      <c r="CX184" s="5">
        <f ca="1">SUM(OFFSET(Demand!$H$43,ROW(B181)-1,(COLUMN(B181)-1)*5,1,1))*O$2</f>
        <v>0</v>
      </c>
      <c r="CY184" s="5">
        <f ca="1">SUM(OFFSET(Demand!$H$43,ROW(C181)-1,(COLUMN(C181)-1)*5,1,1))*P$2</f>
        <v>0</v>
      </c>
      <c r="CZ184" s="5">
        <f ca="1">SUM(OFFSET(Demand!$H$43,ROW(D181)-1,(COLUMN(D181)-1)*5,1,1))*Q$2</f>
        <v>0</v>
      </c>
      <c r="DA184" s="5">
        <f ca="1">SUM(OFFSET(Demand!$H$43,ROW(E181)-1,(COLUMN(E181)-1)*5,1,1))*R$2</f>
        <v>0</v>
      </c>
      <c r="DB184" s="5">
        <f ca="1">SUM(OFFSET(Demand!$H$43,ROW(F181)-1,(COLUMN(F181)-1)*5,1,1))*S$2</f>
        <v>0</v>
      </c>
      <c r="DC184" s="5">
        <f ca="1">SUM(OFFSET(Demand!$H$43,ROW(G181)-1,(COLUMN(G181)-1)*5,1,1))*T$2</f>
        <v>0</v>
      </c>
      <c r="DD184" s="5">
        <f ca="1">SUM(OFFSET(Demand!$H$43,ROW(H181)-1,(COLUMN(H181)-1)*5,1,1))*U$2</f>
        <v>0</v>
      </c>
      <c r="DE184" s="5">
        <f ca="1">SUM(OFFSET(Demand!$H$43,ROW(I181)-1,(COLUMN(I181)-1)*5,1,1))*V$2</f>
        <v>0</v>
      </c>
      <c r="DF184" s="5">
        <f ca="1">SUM(OFFSET(Demand!$H$43,ROW(J181)-1,(COLUMN(J181)-1)*5,1,1))*W$2</f>
        <v>0</v>
      </c>
      <c r="DG184" s="5">
        <f t="shared" ca="1" si="44"/>
        <v>0</v>
      </c>
    </row>
    <row r="185" spans="1:111" x14ac:dyDescent="0.2">
      <c r="A185" s="5">
        <f t="shared" ca="1" si="46"/>
        <v>2</v>
      </c>
      <c r="B185" s="5">
        <f ca="1">COUNTBLANK(OFFSET(Demand!$I194,0,(COLUMN(A182)-1)*5,1,1))</f>
        <v>1</v>
      </c>
      <c r="C185" s="5">
        <f ca="1">COUNTBLANK(OFFSET(Demand!$I194,0,(COLUMN(B182)-1)*5,1,1))</f>
        <v>1</v>
      </c>
      <c r="D185" s="5">
        <f ca="1">COUNTBLANK(OFFSET(Demand!$I194,0,(COLUMN(C182)-1)*5,1,1))</f>
        <v>1</v>
      </c>
      <c r="E185" s="5">
        <f ca="1">COUNTBLANK(OFFSET(Demand!$I194,0,(COLUMN(D182)-1)*5,1,1))</f>
        <v>1</v>
      </c>
      <c r="F185" s="5">
        <f ca="1">COUNTBLANK(OFFSET(Demand!$I194,0,(COLUMN(E182)-1)*5,1,1))</f>
        <v>1</v>
      </c>
      <c r="G185" s="5">
        <f ca="1">COUNTBLANK(OFFSET(Demand!$I194,0,(COLUMN(F182)-1)*5,1,1))</f>
        <v>1</v>
      </c>
      <c r="H185" s="5">
        <f ca="1">COUNTBLANK(OFFSET(Demand!$I194,0,(COLUMN(G182)-1)*5,1,1))</f>
        <v>1</v>
      </c>
      <c r="I185" s="5">
        <f ca="1">COUNTBLANK(OFFSET(Demand!$I194,0,(COLUMN(H182)-1)*5,1,1))</f>
        <v>1</v>
      </c>
      <c r="J185" s="5">
        <f ca="1">COUNTBLANK(OFFSET(Demand!$I194,0,(COLUMN(I182)-1)*5,1,1))</f>
        <v>1</v>
      </c>
      <c r="K185" s="5">
        <f ca="1">COUNTBLANK(OFFSET(Demand!$I194,0,(COLUMN(J182)-1)*5,1,1))</f>
        <v>1</v>
      </c>
      <c r="N185" s="5">
        <f ca="1">SUM(OFFSET(Demand!$E194,0,(COLUMN(A182)-1)*5,1,3))*N$2</f>
        <v>0</v>
      </c>
      <c r="O185" s="5">
        <f ca="1">SUM(OFFSET(Demand!$E194,0,(COLUMN(B182)-1)*5,1,3))*O$2</f>
        <v>0</v>
      </c>
      <c r="P185" s="5">
        <f ca="1">SUM(OFFSET(Demand!$E194,0,(COLUMN(C182)-1)*5,1,3))*P$2</f>
        <v>0</v>
      </c>
      <c r="Q185" s="5">
        <f ca="1">SUM(OFFSET(Demand!$E194,0,(COLUMN(D182)-1)*5,1,3))*Q$2</f>
        <v>0</v>
      </c>
      <c r="R185" s="5">
        <f ca="1">SUM(OFFSET(Demand!$E194,0,(COLUMN(E182)-1)*5,1,3))*R$2</f>
        <v>0</v>
      </c>
      <c r="S185" s="5">
        <f ca="1">SUM(OFFSET(Demand!$E194,0,(COLUMN(F182)-1)*5,1,3))*S$2</f>
        <v>0</v>
      </c>
      <c r="T185" s="5">
        <f ca="1">SUM(OFFSET(Demand!$E194,0,(COLUMN(G182)-1)*5,1,3))*T$2</f>
        <v>0</v>
      </c>
      <c r="U185" s="5">
        <f ca="1">SUM(OFFSET(Demand!$E194,0,(COLUMN(H182)-1)*5,1,3))*U$2</f>
        <v>0</v>
      </c>
      <c r="V185" s="5">
        <f ca="1">SUM(OFFSET(Demand!$E194,0,(COLUMN(I182)-1)*5,1,3))*V$2</f>
        <v>0</v>
      </c>
      <c r="W185" s="5">
        <f ca="1">SUM(OFFSET(Demand!$E194,0,(COLUMN(J182)-1)*5,1,3))*W$2</f>
        <v>0</v>
      </c>
      <c r="X185" s="5">
        <f t="shared" ca="1" si="39"/>
        <v>0</v>
      </c>
      <c r="Y185">
        <f t="shared" ca="1" si="40"/>
        <v>0</v>
      </c>
      <c r="Z185" s="5">
        <f ca="1">SUM(OFFSET(Demand!$H194,0,(COLUMN(A182)-1)*5,1,1))*N$2</f>
        <v>0</v>
      </c>
      <c r="AA185" s="5">
        <f ca="1">SUM(OFFSET(Demand!$H194,0,(COLUMN(B182)-1)*5,1,1))*O$2</f>
        <v>0</v>
      </c>
      <c r="AB185" s="5">
        <f ca="1">SUM(OFFSET(Demand!$H194,0,(COLUMN(C182)-1)*5,1,1))*P$2</f>
        <v>0</v>
      </c>
      <c r="AC185" s="5">
        <f ca="1">SUM(OFFSET(Demand!$H194,0,(COLUMN(D182)-1)*5,1,1))*Q$2</f>
        <v>0</v>
      </c>
      <c r="AD185" s="5">
        <f ca="1">SUM(OFFSET(Demand!$H194,0,(COLUMN(E182)-1)*5,1,1))*R$2</f>
        <v>0</v>
      </c>
      <c r="AE185" s="5">
        <f ca="1">SUM(OFFSET(Demand!$H194,0,(COLUMN(F182)-1)*5,1,1))*S$2</f>
        <v>0</v>
      </c>
      <c r="AF185" s="5">
        <f ca="1">SUM(OFFSET(Demand!$H194,0,(COLUMN(G182)-1)*5,1,1))*T$2</f>
        <v>0</v>
      </c>
      <c r="AG185" s="5">
        <f ca="1">SUM(OFFSET(Demand!$H194,0,(COLUMN(H182)-1)*5,1,1))*U$2</f>
        <v>0</v>
      </c>
      <c r="AH185" s="5">
        <f ca="1">SUM(OFFSET(Demand!$H194,0,(COLUMN(I182)-1)*5,1,1))*V$2</f>
        <v>0</v>
      </c>
      <c r="AI185" s="5">
        <f ca="1">SUM(OFFSET(Demand!$H194,0,(COLUMN(J182)-1)*5,1,1))*W$2</f>
        <v>0</v>
      </c>
      <c r="AJ185" s="5">
        <f t="shared" ca="1" si="41"/>
        <v>0</v>
      </c>
      <c r="AL185" s="5">
        <f t="shared" ca="1" si="42"/>
        <v>0</v>
      </c>
      <c r="AM185" s="5">
        <f t="shared" ca="1" si="43"/>
        <v>0</v>
      </c>
      <c r="AN185" s="5" t="str">
        <f>IF(Demand!BE194="Yes","Yes","")</f>
        <v/>
      </c>
      <c r="AP185" s="37" t="str">
        <f ca="1">Demand!B194</f>
        <v xml:space="preserve"> </v>
      </c>
      <c r="AQ185" t="str">
        <f ca="1">IF(TEXT(Demand!D194,"MMM")&lt;&gt;TEXT(Demand!D193,"MMM"),TEXT(Demand!D194,"MMM"),"")</f>
        <v/>
      </c>
      <c r="AT185" s="5">
        <f t="shared" ca="1" si="45"/>
        <v>0</v>
      </c>
      <c r="BQ185">
        <f ca="1">IF($AN185="",OFFSET(Demand!$A$13,ROW(A182)-1,4+((QUOTIENT(COLUMN(BQ$2)-69,3))*5)+MOD(COLUMN(BQ$2),3),1,1),"")</f>
        <v>0</v>
      </c>
      <c r="BR185">
        <f ca="1">IF($AN185="",OFFSET(Demand!$A$13,ROW(B182)-1,4+((QUOTIENT(COLUMN(BR$2)-69,3))*5)+MOD(COLUMN(BR$2),3),1,1),"")</f>
        <v>0</v>
      </c>
      <c r="BS185">
        <f ca="1">IF($AN185="",OFFSET(Demand!$A$13,ROW(C182)-1,4+((QUOTIENT(COLUMN(BS$2)-69,3))*5)+MOD(COLUMN(BS$2),3),1,1),"")</f>
        <v>0</v>
      </c>
      <c r="BT185">
        <f ca="1">IF($AN185="",OFFSET(Demand!$A$13,ROW(D182)-1,4+((QUOTIENT(COLUMN(BT$2)-69,3))*5)+MOD(COLUMN(BT$2),3),1,1),"")</f>
        <v>0</v>
      </c>
      <c r="BU185">
        <f ca="1">IF($AN185="",OFFSET(Demand!$A$13,ROW(E182)-1,4+((QUOTIENT(COLUMN(BU$2)-69,3))*5)+MOD(COLUMN(BU$2),3),1,1),"")</f>
        <v>0</v>
      </c>
      <c r="BV185">
        <f ca="1">IF($AN185="",OFFSET(Demand!$A$13,ROW(F182)-1,4+((QUOTIENT(COLUMN(BV$2)-69,3))*5)+MOD(COLUMN(BV$2),3),1,1),"")</f>
        <v>0</v>
      </c>
      <c r="BW185">
        <f ca="1">IF($AN185="",OFFSET(Demand!$A$13,ROW(G182)-1,4+((QUOTIENT(COLUMN(BW$2)-69,3))*5)+MOD(COLUMN(BW$2),3),1,1),"")</f>
        <v>0</v>
      </c>
      <c r="BX185">
        <f ca="1">IF($AN185="",OFFSET(Demand!$A$13,ROW(H182)-1,4+((QUOTIENT(COLUMN(BX$2)-69,3))*5)+MOD(COLUMN(BX$2),3),1,1),"")</f>
        <v>0</v>
      </c>
      <c r="BY185">
        <f ca="1">IF($AN185="",OFFSET(Demand!$A$13,ROW(I182)-1,4+((QUOTIENT(COLUMN(BY$2)-69,3))*5)+MOD(COLUMN(BY$2),3),1,1),"")</f>
        <v>0</v>
      </c>
      <c r="BZ185">
        <f ca="1">IF($AN185="",OFFSET(Demand!$A$13,ROW(J182)-1,4+((QUOTIENT(COLUMN(BZ$2)-69,3))*5)+MOD(COLUMN(BZ$2),3),1,1),"")</f>
        <v>0</v>
      </c>
      <c r="CA185">
        <f ca="1">IF($AN185="",OFFSET(Demand!$A$13,ROW(K182)-1,4+((QUOTIENT(COLUMN(CA$2)-69,3))*5)+MOD(COLUMN(CA$2),3),1,1),"")</f>
        <v>0</v>
      </c>
      <c r="CB185">
        <f ca="1">IF($AN185="",OFFSET(Demand!$A$13,ROW(L182)-1,4+((QUOTIENT(COLUMN(CB$2)-69,3))*5)+MOD(COLUMN(CB$2),3),1,1),"")</f>
        <v>0</v>
      </c>
      <c r="CC185">
        <f ca="1">IF($AN185="",OFFSET(Demand!$A$13,ROW(M182)-1,4+((QUOTIENT(COLUMN(CC$2)-69,3))*5)+MOD(COLUMN(CC$2),3),1,1),"")</f>
        <v>0</v>
      </c>
      <c r="CD185">
        <f ca="1">IF($AN185="",OFFSET(Demand!$A$13,ROW(N182)-1,4+((QUOTIENT(COLUMN(CD$2)-69,3))*5)+MOD(COLUMN(CD$2),3),1,1),"")</f>
        <v>0</v>
      </c>
      <c r="CE185">
        <f ca="1">IF($AN185="",OFFSET(Demand!$A$13,ROW(O182)-1,4+((QUOTIENT(COLUMN(CE$2)-69,3))*5)+MOD(COLUMN(CE$2),3),1,1),"")</f>
        <v>0</v>
      </c>
      <c r="CF185">
        <f ca="1">IF($AN185="",OFFSET(Demand!$A$13,ROW(P182)-1,4+((QUOTIENT(COLUMN(CF$2)-69,3))*5)+MOD(COLUMN(CF$2),3),1,1),"")</f>
        <v>0</v>
      </c>
      <c r="CG185">
        <f ca="1">IF($AN185="",OFFSET(Demand!$A$13,ROW(Q182)-1,4+((QUOTIENT(COLUMN(CG$2)-69,3))*5)+MOD(COLUMN(CG$2),3),1,1),"")</f>
        <v>0</v>
      </c>
      <c r="CH185">
        <f ca="1">IF($AN185="",OFFSET(Demand!$A$13,ROW(R182)-1,4+((QUOTIENT(COLUMN(CH$2)-69,3))*5)+MOD(COLUMN(CH$2),3),1,1),"")</f>
        <v>0</v>
      </c>
      <c r="CI185">
        <f ca="1">IF($AN185="",OFFSET(Demand!$A$13,ROW(S182)-1,4+((QUOTIENT(COLUMN(CI$2)-69,3))*5)+MOD(COLUMN(CI$2),3),1,1),"")</f>
        <v>0</v>
      </c>
      <c r="CJ185">
        <f ca="1">IF($AN185="",OFFSET(Demand!$A$13,ROW(T182)-1,4+((QUOTIENT(COLUMN(CJ$2)-69,3))*5)+MOD(COLUMN(CJ$2),3),1,1),"")</f>
        <v>0</v>
      </c>
      <c r="CK185">
        <f ca="1">IF($AN185="",OFFSET(Demand!$A$13,ROW(U182)-1,4+((QUOTIENT(COLUMN(CK$2)-69,3))*5)+MOD(COLUMN(CK$2),3),1,1),"")</f>
        <v>0</v>
      </c>
      <c r="CL185">
        <f ca="1">IF($AN185="",OFFSET(Demand!$A$13,ROW(V182)-1,4+((QUOTIENT(COLUMN(CL$2)-69,3))*5)+MOD(COLUMN(CL$2),3),1,1),"")</f>
        <v>0</v>
      </c>
      <c r="CM185">
        <f ca="1">IF($AN185="",OFFSET(Demand!$A$13,ROW(W182)-1,4+((QUOTIENT(COLUMN(CM$2)-69,3))*5)+MOD(COLUMN(CM$2),3),1,1),"")</f>
        <v>0</v>
      </c>
      <c r="CN185">
        <f ca="1">IF($AN185="",OFFSET(Demand!$A$13,ROW(X182)-1,4+((QUOTIENT(COLUMN(CN$2)-69,3))*5)+MOD(COLUMN(CN$2),3),1,1),"")</f>
        <v>0</v>
      </c>
      <c r="CO185">
        <f ca="1">IF($AN185="",OFFSET(Demand!$A$13,ROW(Y182)-1,4+((QUOTIENT(COLUMN(CO$2)-69,3))*5)+MOD(COLUMN(CO$2),3),1,1),"")</f>
        <v>0</v>
      </c>
      <c r="CP185">
        <f ca="1">IF($AN185="",OFFSET(Demand!$A$13,ROW(Z182)-1,4+((QUOTIENT(COLUMN(CP$2)-69,3))*5)+MOD(COLUMN(CP$2),3),1,1),"")</f>
        <v>0</v>
      </c>
      <c r="CQ185">
        <f ca="1">IF($AN185="",OFFSET(Demand!$A$13,ROW(AA182)-1,4+((QUOTIENT(COLUMN(CQ$2)-69,3))*5)+MOD(COLUMN(CQ$2),3),1,1),"")</f>
        <v>0</v>
      </c>
      <c r="CR185">
        <f ca="1">IF($AN185="",OFFSET(Demand!$A$13,ROW(AB182)-1,4+((QUOTIENT(COLUMN(CR$2)-69,3))*5)+MOD(COLUMN(CR$2),3),1,1),"")</f>
        <v>0</v>
      </c>
      <c r="CS185">
        <f ca="1">IF($AN185="",OFFSET(Demand!$A$13,ROW(AC182)-1,4+((QUOTIENT(COLUMN(CS$2)-69,3))*5)+MOD(COLUMN(CS$2),3),1,1),"")</f>
        <v>0</v>
      </c>
      <c r="CT185">
        <f ca="1">IF($AN185="",OFFSET(Demand!$A$13,ROW(AD182)-1,4+((QUOTIENT(COLUMN(CT$2)-69,3))*5)+MOD(COLUMN(CT$2),3),1,1),"")</f>
        <v>0</v>
      </c>
      <c r="CW185" s="5">
        <f ca="1">SUM(OFFSET(Demand!$H$43,ROW(A182)-1,(COLUMN(A182)-1)*5,1,1))*N$2</f>
        <v>0</v>
      </c>
      <c r="CX185" s="5">
        <f ca="1">SUM(OFFSET(Demand!$H$43,ROW(B182)-1,(COLUMN(B182)-1)*5,1,1))*O$2</f>
        <v>0</v>
      </c>
      <c r="CY185" s="5">
        <f ca="1">SUM(OFFSET(Demand!$H$43,ROW(C182)-1,(COLUMN(C182)-1)*5,1,1))*P$2</f>
        <v>0</v>
      </c>
      <c r="CZ185" s="5">
        <f ca="1">SUM(OFFSET(Demand!$H$43,ROW(D182)-1,(COLUMN(D182)-1)*5,1,1))*Q$2</f>
        <v>0</v>
      </c>
      <c r="DA185" s="5">
        <f ca="1">SUM(OFFSET(Demand!$H$43,ROW(E182)-1,(COLUMN(E182)-1)*5,1,1))*R$2</f>
        <v>0</v>
      </c>
      <c r="DB185" s="5">
        <f ca="1">SUM(OFFSET(Demand!$H$43,ROW(F182)-1,(COLUMN(F182)-1)*5,1,1))*S$2</f>
        <v>0</v>
      </c>
      <c r="DC185" s="5">
        <f ca="1">SUM(OFFSET(Demand!$H$43,ROW(G182)-1,(COLUMN(G182)-1)*5,1,1))*T$2</f>
        <v>0</v>
      </c>
      <c r="DD185" s="5">
        <f ca="1">SUM(OFFSET(Demand!$H$43,ROW(H182)-1,(COLUMN(H182)-1)*5,1,1))*U$2</f>
        <v>0</v>
      </c>
      <c r="DE185" s="5">
        <f ca="1">SUM(OFFSET(Demand!$H$43,ROW(I182)-1,(COLUMN(I182)-1)*5,1,1))*V$2</f>
        <v>0</v>
      </c>
      <c r="DF185" s="5">
        <f ca="1">SUM(OFFSET(Demand!$H$43,ROW(J182)-1,(COLUMN(J182)-1)*5,1,1))*W$2</f>
        <v>0</v>
      </c>
      <c r="DG185" s="5">
        <f t="shared" ca="1" si="44"/>
        <v>0</v>
      </c>
    </row>
    <row r="186" spans="1:111" x14ac:dyDescent="0.2">
      <c r="A186" s="5">
        <f t="shared" ca="1" si="46"/>
        <v>2</v>
      </c>
      <c r="B186" s="5">
        <f ca="1">COUNTBLANK(OFFSET(Demand!$I195,0,(COLUMN(A183)-1)*5,1,1))</f>
        <v>1</v>
      </c>
      <c r="C186" s="5">
        <f ca="1">COUNTBLANK(OFFSET(Demand!$I195,0,(COLUMN(B183)-1)*5,1,1))</f>
        <v>1</v>
      </c>
      <c r="D186" s="5">
        <f ca="1">COUNTBLANK(OFFSET(Demand!$I195,0,(COLUMN(C183)-1)*5,1,1))</f>
        <v>1</v>
      </c>
      <c r="E186" s="5">
        <f ca="1">COUNTBLANK(OFFSET(Demand!$I195,0,(COLUMN(D183)-1)*5,1,1))</f>
        <v>1</v>
      </c>
      <c r="F186" s="5">
        <f ca="1">COUNTBLANK(OFFSET(Demand!$I195,0,(COLUMN(E183)-1)*5,1,1))</f>
        <v>1</v>
      </c>
      <c r="G186" s="5">
        <f ca="1">COUNTBLANK(OFFSET(Demand!$I195,0,(COLUMN(F183)-1)*5,1,1))</f>
        <v>1</v>
      </c>
      <c r="H186" s="5">
        <f ca="1">COUNTBLANK(OFFSET(Demand!$I195,0,(COLUMN(G183)-1)*5,1,1))</f>
        <v>1</v>
      </c>
      <c r="I186" s="5">
        <f ca="1">COUNTBLANK(OFFSET(Demand!$I195,0,(COLUMN(H183)-1)*5,1,1))</f>
        <v>1</v>
      </c>
      <c r="J186" s="5">
        <f ca="1">COUNTBLANK(OFFSET(Demand!$I195,0,(COLUMN(I183)-1)*5,1,1))</f>
        <v>1</v>
      </c>
      <c r="K186" s="5">
        <f ca="1">COUNTBLANK(OFFSET(Demand!$I195,0,(COLUMN(J183)-1)*5,1,1))</f>
        <v>1</v>
      </c>
      <c r="N186" s="5">
        <f ca="1">SUM(OFFSET(Demand!$E195,0,(COLUMN(A183)-1)*5,1,3))*N$2</f>
        <v>0</v>
      </c>
      <c r="O186" s="5">
        <f ca="1">SUM(OFFSET(Demand!$E195,0,(COLUMN(B183)-1)*5,1,3))*O$2</f>
        <v>0</v>
      </c>
      <c r="P186" s="5">
        <f ca="1">SUM(OFFSET(Demand!$E195,0,(COLUMN(C183)-1)*5,1,3))*P$2</f>
        <v>0</v>
      </c>
      <c r="Q186" s="5">
        <f ca="1">SUM(OFFSET(Demand!$E195,0,(COLUMN(D183)-1)*5,1,3))*Q$2</f>
        <v>0</v>
      </c>
      <c r="R186" s="5">
        <f ca="1">SUM(OFFSET(Demand!$E195,0,(COLUMN(E183)-1)*5,1,3))*R$2</f>
        <v>0</v>
      </c>
      <c r="S186" s="5">
        <f ca="1">SUM(OFFSET(Demand!$E195,0,(COLUMN(F183)-1)*5,1,3))*S$2</f>
        <v>0</v>
      </c>
      <c r="T186" s="5">
        <f ca="1">SUM(OFFSET(Demand!$E195,0,(COLUMN(G183)-1)*5,1,3))*T$2</f>
        <v>0</v>
      </c>
      <c r="U186" s="5">
        <f ca="1">SUM(OFFSET(Demand!$E195,0,(COLUMN(H183)-1)*5,1,3))*U$2</f>
        <v>0</v>
      </c>
      <c r="V186" s="5">
        <f ca="1">SUM(OFFSET(Demand!$E195,0,(COLUMN(I183)-1)*5,1,3))*V$2</f>
        <v>0</v>
      </c>
      <c r="W186" s="5">
        <f ca="1">SUM(OFFSET(Demand!$E195,0,(COLUMN(J183)-1)*5,1,3))*W$2</f>
        <v>0</v>
      </c>
      <c r="X186" s="5">
        <f t="shared" ca="1" si="39"/>
        <v>0</v>
      </c>
      <c r="Y186">
        <f t="shared" ca="1" si="40"/>
        <v>0</v>
      </c>
      <c r="Z186" s="5">
        <f ca="1">SUM(OFFSET(Demand!$H195,0,(COLUMN(A183)-1)*5,1,1))*N$2</f>
        <v>0</v>
      </c>
      <c r="AA186" s="5">
        <f ca="1">SUM(OFFSET(Demand!$H195,0,(COLUMN(B183)-1)*5,1,1))*O$2</f>
        <v>0</v>
      </c>
      <c r="AB186" s="5">
        <f ca="1">SUM(OFFSET(Demand!$H195,0,(COLUMN(C183)-1)*5,1,1))*P$2</f>
        <v>0</v>
      </c>
      <c r="AC186" s="5">
        <f ca="1">SUM(OFFSET(Demand!$H195,0,(COLUMN(D183)-1)*5,1,1))*Q$2</f>
        <v>0</v>
      </c>
      <c r="AD186" s="5">
        <f ca="1">SUM(OFFSET(Demand!$H195,0,(COLUMN(E183)-1)*5,1,1))*R$2</f>
        <v>0</v>
      </c>
      <c r="AE186" s="5">
        <f ca="1">SUM(OFFSET(Demand!$H195,0,(COLUMN(F183)-1)*5,1,1))*S$2</f>
        <v>0</v>
      </c>
      <c r="AF186" s="5">
        <f ca="1">SUM(OFFSET(Demand!$H195,0,(COLUMN(G183)-1)*5,1,1))*T$2</f>
        <v>0</v>
      </c>
      <c r="AG186" s="5">
        <f ca="1">SUM(OFFSET(Demand!$H195,0,(COLUMN(H183)-1)*5,1,1))*U$2</f>
        <v>0</v>
      </c>
      <c r="AH186" s="5">
        <f ca="1">SUM(OFFSET(Demand!$H195,0,(COLUMN(I183)-1)*5,1,1))*V$2</f>
        <v>0</v>
      </c>
      <c r="AI186" s="5">
        <f ca="1">SUM(OFFSET(Demand!$H195,0,(COLUMN(J183)-1)*5,1,1))*W$2</f>
        <v>0</v>
      </c>
      <c r="AJ186" s="5">
        <f t="shared" ca="1" si="41"/>
        <v>0</v>
      </c>
      <c r="AL186" s="5">
        <f t="shared" ca="1" si="42"/>
        <v>0</v>
      </c>
      <c r="AM186" s="5">
        <f t="shared" ca="1" si="43"/>
        <v>0</v>
      </c>
      <c r="AN186" s="5" t="str">
        <f>IF(Demand!BE195="Yes","Yes","")</f>
        <v/>
      </c>
      <c r="AP186" s="37" t="str">
        <f ca="1">Demand!B195</f>
        <v xml:space="preserve"> </v>
      </c>
      <c r="AQ186" t="str">
        <f ca="1">IF(TEXT(Demand!D195,"MMM")&lt;&gt;TEXT(Demand!D194,"MMM"),TEXT(Demand!D195,"MMM"),"")</f>
        <v/>
      </c>
      <c r="AT186" s="5">
        <f t="shared" ca="1" si="45"/>
        <v>0</v>
      </c>
      <c r="BQ186">
        <f ca="1">IF($AN186="",OFFSET(Demand!$A$13,ROW(A183)-1,4+((QUOTIENT(COLUMN(BQ$2)-69,3))*5)+MOD(COLUMN(BQ$2),3),1,1),"")</f>
        <v>0</v>
      </c>
      <c r="BR186">
        <f ca="1">IF($AN186="",OFFSET(Demand!$A$13,ROW(B183)-1,4+((QUOTIENT(COLUMN(BR$2)-69,3))*5)+MOD(COLUMN(BR$2),3),1,1),"")</f>
        <v>0</v>
      </c>
      <c r="BS186">
        <f ca="1">IF($AN186="",OFFSET(Demand!$A$13,ROW(C183)-1,4+((QUOTIENT(COLUMN(BS$2)-69,3))*5)+MOD(COLUMN(BS$2),3),1,1),"")</f>
        <v>0</v>
      </c>
      <c r="BT186">
        <f ca="1">IF($AN186="",OFFSET(Demand!$A$13,ROW(D183)-1,4+((QUOTIENT(COLUMN(BT$2)-69,3))*5)+MOD(COLUMN(BT$2),3),1,1),"")</f>
        <v>0</v>
      </c>
      <c r="BU186">
        <f ca="1">IF($AN186="",OFFSET(Demand!$A$13,ROW(E183)-1,4+((QUOTIENT(COLUMN(BU$2)-69,3))*5)+MOD(COLUMN(BU$2),3),1,1),"")</f>
        <v>0</v>
      </c>
      <c r="BV186">
        <f ca="1">IF($AN186="",OFFSET(Demand!$A$13,ROW(F183)-1,4+((QUOTIENT(COLUMN(BV$2)-69,3))*5)+MOD(COLUMN(BV$2),3),1,1),"")</f>
        <v>0</v>
      </c>
      <c r="BW186">
        <f ca="1">IF($AN186="",OFFSET(Demand!$A$13,ROW(G183)-1,4+((QUOTIENT(COLUMN(BW$2)-69,3))*5)+MOD(COLUMN(BW$2),3),1,1),"")</f>
        <v>0</v>
      </c>
      <c r="BX186">
        <f ca="1">IF($AN186="",OFFSET(Demand!$A$13,ROW(H183)-1,4+((QUOTIENT(COLUMN(BX$2)-69,3))*5)+MOD(COLUMN(BX$2),3),1,1),"")</f>
        <v>0</v>
      </c>
      <c r="BY186">
        <f ca="1">IF($AN186="",OFFSET(Demand!$A$13,ROW(I183)-1,4+((QUOTIENT(COLUMN(BY$2)-69,3))*5)+MOD(COLUMN(BY$2),3),1,1),"")</f>
        <v>0</v>
      </c>
      <c r="BZ186">
        <f ca="1">IF($AN186="",OFFSET(Demand!$A$13,ROW(J183)-1,4+((QUOTIENT(COLUMN(BZ$2)-69,3))*5)+MOD(COLUMN(BZ$2),3),1,1),"")</f>
        <v>0</v>
      </c>
      <c r="CA186">
        <f ca="1">IF($AN186="",OFFSET(Demand!$A$13,ROW(K183)-1,4+((QUOTIENT(COLUMN(CA$2)-69,3))*5)+MOD(COLUMN(CA$2),3),1,1),"")</f>
        <v>0</v>
      </c>
      <c r="CB186">
        <f ca="1">IF($AN186="",OFFSET(Demand!$A$13,ROW(L183)-1,4+((QUOTIENT(COLUMN(CB$2)-69,3))*5)+MOD(COLUMN(CB$2),3),1,1),"")</f>
        <v>0</v>
      </c>
      <c r="CC186">
        <f ca="1">IF($AN186="",OFFSET(Demand!$A$13,ROW(M183)-1,4+((QUOTIENT(COLUMN(CC$2)-69,3))*5)+MOD(COLUMN(CC$2),3),1,1),"")</f>
        <v>0</v>
      </c>
      <c r="CD186">
        <f ca="1">IF($AN186="",OFFSET(Demand!$A$13,ROW(N183)-1,4+((QUOTIENT(COLUMN(CD$2)-69,3))*5)+MOD(COLUMN(CD$2),3),1,1),"")</f>
        <v>0</v>
      </c>
      <c r="CE186">
        <f ca="1">IF($AN186="",OFFSET(Demand!$A$13,ROW(O183)-1,4+((QUOTIENT(COLUMN(CE$2)-69,3))*5)+MOD(COLUMN(CE$2),3),1,1),"")</f>
        <v>0</v>
      </c>
      <c r="CF186">
        <f ca="1">IF($AN186="",OFFSET(Demand!$A$13,ROW(P183)-1,4+((QUOTIENT(COLUMN(CF$2)-69,3))*5)+MOD(COLUMN(CF$2),3),1,1),"")</f>
        <v>0</v>
      </c>
      <c r="CG186">
        <f ca="1">IF($AN186="",OFFSET(Demand!$A$13,ROW(Q183)-1,4+((QUOTIENT(COLUMN(CG$2)-69,3))*5)+MOD(COLUMN(CG$2),3),1,1),"")</f>
        <v>0</v>
      </c>
      <c r="CH186">
        <f ca="1">IF($AN186="",OFFSET(Demand!$A$13,ROW(R183)-1,4+((QUOTIENT(COLUMN(CH$2)-69,3))*5)+MOD(COLUMN(CH$2),3),1,1),"")</f>
        <v>0</v>
      </c>
      <c r="CI186">
        <f ca="1">IF($AN186="",OFFSET(Demand!$A$13,ROW(S183)-1,4+((QUOTIENT(COLUMN(CI$2)-69,3))*5)+MOD(COLUMN(CI$2),3),1,1),"")</f>
        <v>0</v>
      </c>
      <c r="CJ186">
        <f ca="1">IF($AN186="",OFFSET(Demand!$A$13,ROW(T183)-1,4+((QUOTIENT(COLUMN(CJ$2)-69,3))*5)+MOD(COLUMN(CJ$2),3),1,1),"")</f>
        <v>0</v>
      </c>
      <c r="CK186">
        <f ca="1">IF($AN186="",OFFSET(Demand!$A$13,ROW(U183)-1,4+((QUOTIENT(COLUMN(CK$2)-69,3))*5)+MOD(COLUMN(CK$2),3),1,1),"")</f>
        <v>0</v>
      </c>
      <c r="CL186">
        <f ca="1">IF($AN186="",OFFSET(Demand!$A$13,ROW(V183)-1,4+((QUOTIENT(COLUMN(CL$2)-69,3))*5)+MOD(COLUMN(CL$2),3),1,1),"")</f>
        <v>0</v>
      </c>
      <c r="CM186">
        <f ca="1">IF($AN186="",OFFSET(Demand!$A$13,ROW(W183)-1,4+((QUOTIENT(COLUMN(CM$2)-69,3))*5)+MOD(COLUMN(CM$2),3),1,1),"")</f>
        <v>0</v>
      </c>
      <c r="CN186">
        <f ca="1">IF($AN186="",OFFSET(Demand!$A$13,ROW(X183)-1,4+((QUOTIENT(COLUMN(CN$2)-69,3))*5)+MOD(COLUMN(CN$2),3),1,1),"")</f>
        <v>0</v>
      </c>
      <c r="CO186">
        <f ca="1">IF($AN186="",OFFSET(Demand!$A$13,ROW(Y183)-1,4+((QUOTIENT(COLUMN(CO$2)-69,3))*5)+MOD(COLUMN(CO$2),3),1,1),"")</f>
        <v>0</v>
      </c>
      <c r="CP186">
        <f ca="1">IF($AN186="",OFFSET(Demand!$A$13,ROW(Z183)-1,4+((QUOTIENT(COLUMN(CP$2)-69,3))*5)+MOD(COLUMN(CP$2),3),1,1),"")</f>
        <v>0</v>
      </c>
      <c r="CQ186">
        <f ca="1">IF($AN186="",OFFSET(Demand!$A$13,ROW(AA183)-1,4+((QUOTIENT(COLUMN(CQ$2)-69,3))*5)+MOD(COLUMN(CQ$2),3),1,1),"")</f>
        <v>0</v>
      </c>
      <c r="CR186">
        <f ca="1">IF($AN186="",OFFSET(Demand!$A$13,ROW(AB183)-1,4+((QUOTIENT(COLUMN(CR$2)-69,3))*5)+MOD(COLUMN(CR$2),3),1,1),"")</f>
        <v>0</v>
      </c>
      <c r="CS186">
        <f ca="1">IF($AN186="",OFFSET(Demand!$A$13,ROW(AC183)-1,4+((QUOTIENT(COLUMN(CS$2)-69,3))*5)+MOD(COLUMN(CS$2),3),1,1),"")</f>
        <v>0</v>
      </c>
      <c r="CT186">
        <f ca="1">IF($AN186="",OFFSET(Demand!$A$13,ROW(AD183)-1,4+((QUOTIENT(COLUMN(CT$2)-69,3))*5)+MOD(COLUMN(CT$2),3),1,1),"")</f>
        <v>0</v>
      </c>
      <c r="CW186" s="5">
        <f ca="1">SUM(OFFSET(Demand!$H$43,ROW(A183)-1,(COLUMN(A183)-1)*5,1,1))*N$2</f>
        <v>0</v>
      </c>
      <c r="CX186" s="5">
        <f ca="1">SUM(OFFSET(Demand!$H$43,ROW(B183)-1,(COLUMN(B183)-1)*5,1,1))*O$2</f>
        <v>0</v>
      </c>
      <c r="CY186" s="5">
        <f ca="1">SUM(OFFSET(Demand!$H$43,ROW(C183)-1,(COLUMN(C183)-1)*5,1,1))*P$2</f>
        <v>0</v>
      </c>
      <c r="CZ186" s="5">
        <f ca="1">SUM(OFFSET(Demand!$H$43,ROW(D183)-1,(COLUMN(D183)-1)*5,1,1))*Q$2</f>
        <v>0</v>
      </c>
      <c r="DA186" s="5">
        <f ca="1">SUM(OFFSET(Demand!$H$43,ROW(E183)-1,(COLUMN(E183)-1)*5,1,1))*R$2</f>
        <v>0</v>
      </c>
      <c r="DB186" s="5">
        <f ca="1">SUM(OFFSET(Demand!$H$43,ROW(F183)-1,(COLUMN(F183)-1)*5,1,1))*S$2</f>
        <v>0</v>
      </c>
      <c r="DC186" s="5">
        <f ca="1">SUM(OFFSET(Demand!$H$43,ROW(G183)-1,(COLUMN(G183)-1)*5,1,1))*T$2</f>
        <v>0</v>
      </c>
      <c r="DD186" s="5">
        <f ca="1">SUM(OFFSET(Demand!$H$43,ROW(H183)-1,(COLUMN(H183)-1)*5,1,1))*U$2</f>
        <v>0</v>
      </c>
      <c r="DE186" s="5">
        <f ca="1">SUM(OFFSET(Demand!$H$43,ROW(I183)-1,(COLUMN(I183)-1)*5,1,1))*V$2</f>
        <v>0</v>
      </c>
      <c r="DF186" s="5">
        <f ca="1">SUM(OFFSET(Demand!$H$43,ROW(J183)-1,(COLUMN(J183)-1)*5,1,1))*W$2</f>
        <v>0</v>
      </c>
      <c r="DG186" s="5">
        <f t="shared" ca="1" si="44"/>
        <v>0</v>
      </c>
    </row>
    <row r="187" spans="1:111" x14ac:dyDescent="0.2">
      <c r="A187" s="5">
        <f t="shared" ca="1" si="46"/>
        <v>2</v>
      </c>
      <c r="B187" s="5">
        <f ca="1">COUNTBLANK(OFFSET(Demand!$I196,0,(COLUMN(A184)-1)*5,1,1))</f>
        <v>1</v>
      </c>
      <c r="C187" s="5">
        <f ca="1">COUNTBLANK(OFFSET(Demand!$I196,0,(COLUMN(B184)-1)*5,1,1))</f>
        <v>1</v>
      </c>
      <c r="D187" s="5">
        <f ca="1">COUNTBLANK(OFFSET(Demand!$I196,0,(COLUMN(C184)-1)*5,1,1))</f>
        <v>1</v>
      </c>
      <c r="E187" s="5">
        <f ca="1">COUNTBLANK(OFFSET(Demand!$I196,0,(COLUMN(D184)-1)*5,1,1))</f>
        <v>1</v>
      </c>
      <c r="F187" s="5">
        <f ca="1">COUNTBLANK(OFFSET(Demand!$I196,0,(COLUMN(E184)-1)*5,1,1))</f>
        <v>1</v>
      </c>
      <c r="G187" s="5">
        <f ca="1">COUNTBLANK(OFFSET(Demand!$I196,0,(COLUMN(F184)-1)*5,1,1))</f>
        <v>1</v>
      </c>
      <c r="H187" s="5">
        <f ca="1">COUNTBLANK(OFFSET(Demand!$I196,0,(COLUMN(G184)-1)*5,1,1))</f>
        <v>1</v>
      </c>
      <c r="I187" s="5">
        <f ca="1">COUNTBLANK(OFFSET(Demand!$I196,0,(COLUMN(H184)-1)*5,1,1))</f>
        <v>1</v>
      </c>
      <c r="J187" s="5">
        <f ca="1">COUNTBLANK(OFFSET(Demand!$I196,0,(COLUMN(I184)-1)*5,1,1))</f>
        <v>1</v>
      </c>
      <c r="K187" s="5">
        <f ca="1">COUNTBLANK(OFFSET(Demand!$I196,0,(COLUMN(J184)-1)*5,1,1))</f>
        <v>1</v>
      </c>
      <c r="N187" s="5">
        <f ca="1">SUM(OFFSET(Demand!$E196,0,(COLUMN(A184)-1)*5,1,3))*N$2</f>
        <v>0</v>
      </c>
      <c r="O187" s="5">
        <f ca="1">SUM(OFFSET(Demand!$E196,0,(COLUMN(B184)-1)*5,1,3))*O$2</f>
        <v>0</v>
      </c>
      <c r="P187" s="5">
        <f ca="1">SUM(OFFSET(Demand!$E196,0,(COLUMN(C184)-1)*5,1,3))*P$2</f>
        <v>0</v>
      </c>
      <c r="Q187" s="5">
        <f ca="1">SUM(OFFSET(Demand!$E196,0,(COLUMN(D184)-1)*5,1,3))*Q$2</f>
        <v>0</v>
      </c>
      <c r="R187" s="5">
        <f ca="1">SUM(OFFSET(Demand!$E196,0,(COLUMN(E184)-1)*5,1,3))*R$2</f>
        <v>0</v>
      </c>
      <c r="S187" s="5">
        <f ca="1">SUM(OFFSET(Demand!$E196,0,(COLUMN(F184)-1)*5,1,3))*S$2</f>
        <v>0</v>
      </c>
      <c r="T187" s="5">
        <f ca="1">SUM(OFFSET(Demand!$E196,0,(COLUMN(G184)-1)*5,1,3))*T$2</f>
        <v>0</v>
      </c>
      <c r="U187" s="5">
        <f ca="1">SUM(OFFSET(Demand!$E196,0,(COLUMN(H184)-1)*5,1,3))*U$2</f>
        <v>0</v>
      </c>
      <c r="V187" s="5">
        <f ca="1">SUM(OFFSET(Demand!$E196,0,(COLUMN(I184)-1)*5,1,3))*V$2</f>
        <v>0</v>
      </c>
      <c r="W187" s="5">
        <f ca="1">SUM(OFFSET(Demand!$E196,0,(COLUMN(J184)-1)*5,1,3))*W$2</f>
        <v>0</v>
      </c>
      <c r="X187" s="5">
        <f t="shared" ca="1" si="39"/>
        <v>0</v>
      </c>
      <c r="Y187">
        <f t="shared" ca="1" si="40"/>
        <v>0</v>
      </c>
      <c r="Z187" s="5">
        <f ca="1">SUM(OFFSET(Demand!$H196,0,(COLUMN(A184)-1)*5,1,1))*N$2</f>
        <v>0</v>
      </c>
      <c r="AA187" s="5">
        <f ca="1">SUM(OFFSET(Demand!$H196,0,(COLUMN(B184)-1)*5,1,1))*O$2</f>
        <v>0</v>
      </c>
      <c r="AB187" s="5">
        <f ca="1">SUM(OFFSET(Demand!$H196,0,(COLUMN(C184)-1)*5,1,1))*P$2</f>
        <v>0</v>
      </c>
      <c r="AC187" s="5">
        <f ca="1">SUM(OFFSET(Demand!$H196,0,(COLUMN(D184)-1)*5,1,1))*Q$2</f>
        <v>0</v>
      </c>
      <c r="AD187" s="5">
        <f ca="1">SUM(OFFSET(Demand!$H196,0,(COLUMN(E184)-1)*5,1,1))*R$2</f>
        <v>0</v>
      </c>
      <c r="AE187" s="5">
        <f ca="1">SUM(OFFSET(Demand!$H196,0,(COLUMN(F184)-1)*5,1,1))*S$2</f>
        <v>0</v>
      </c>
      <c r="AF187" s="5">
        <f ca="1">SUM(OFFSET(Demand!$H196,0,(COLUMN(G184)-1)*5,1,1))*T$2</f>
        <v>0</v>
      </c>
      <c r="AG187" s="5">
        <f ca="1">SUM(OFFSET(Demand!$H196,0,(COLUMN(H184)-1)*5,1,1))*U$2</f>
        <v>0</v>
      </c>
      <c r="AH187" s="5">
        <f ca="1">SUM(OFFSET(Demand!$H196,0,(COLUMN(I184)-1)*5,1,1))*V$2</f>
        <v>0</v>
      </c>
      <c r="AI187" s="5">
        <f ca="1">SUM(OFFSET(Demand!$H196,0,(COLUMN(J184)-1)*5,1,1))*W$2</f>
        <v>0</v>
      </c>
      <c r="AJ187" s="5">
        <f t="shared" ca="1" si="41"/>
        <v>0</v>
      </c>
      <c r="AL187" s="5">
        <f t="shared" ca="1" si="42"/>
        <v>0</v>
      </c>
      <c r="AM187" s="5">
        <f t="shared" ca="1" si="43"/>
        <v>0</v>
      </c>
      <c r="AN187" s="5" t="str">
        <f>IF(Demand!BE196="Yes","Yes","")</f>
        <v/>
      </c>
      <c r="AP187" s="37" t="str">
        <f ca="1">Demand!B196</f>
        <v xml:space="preserve"> </v>
      </c>
      <c r="AQ187" t="str">
        <f ca="1">IF(TEXT(Demand!D196,"MMM")&lt;&gt;TEXT(Demand!D195,"MMM"),TEXT(Demand!D196,"MMM"),"")</f>
        <v/>
      </c>
      <c r="AT187" s="5">
        <f t="shared" ca="1" si="45"/>
        <v>0</v>
      </c>
      <c r="BQ187">
        <f ca="1">IF($AN187="",OFFSET(Demand!$A$13,ROW(A184)-1,4+((QUOTIENT(COLUMN(BQ$2)-69,3))*5)+MOD(COLUMN(BQ$2),3),1,1),"")</f>
        <v>0</v>
      </c>
      <c r="BR187">
        <f ca="1">IF($AN187="",OFFSET(Demand!$A$13,ROW(B184)-1,4+((QUOTIENT(COLUMN(BR$2)-69,3))*5)+MOD(COLUMN(BR$2),3),1,1),"")</f>
        <v>0</v>
      </c>
      <c r="BS187">
        <f ca="1">IF($AN187="",OFFSET(Demand!$A$13,ROW(C184)-1,4+((QUOTIENT(COLUMN(BS$2)-69,3))*5)+MOD(COLUMN(BS$2),3),1,1),"")</f>
        <v>0</v>
      </c>
      <c r="BT187">
        <f ca="1">IF($AN187="",OFFSET(Demand!$A$13,ROW(D184)-1,4+((QUOTIENT(COLUMN(BT$2)-69,3))*5)+MOD(COLUMN(BT$2),3),1,1),"")</f>
        <v>0</v>
      </c>
      <c r="BU187">
        <f ca="1">IF($AN187="",OFFSET(Demand!$A$13,ROW(E184)-1,4+((QUOTIENT(COLUMN(BU$2)-69,3))*5)+MOD(COLUMN(BU$2),3),1,1),"")</f>
        <v>0</v>
      </c>
      <c r="BV187">
        <f ca="1">IF($AN187="",OFFSET(Demand!$A$13,ROW(F184)-1,4+((QUOTIENT(COLUMN(BV$2)-69,3))*5)+MOD(COLUMN(BV$2),3),1,1),"")</f>
        <v>0</v>
      </c>
      <c r="BW187">
        <f ca="1">IF($AN187="",OFFSET(Demand!$A$13,ROW(G184)-1,4+((QUOTIENT(COLUMN(BW$2)-69,3))*5)+MOD(COLUMN(BW$2),3),1,1),"")</f>
        <v>0</v>
      </c>
      <c r="BX187">
        <f ca="1">IF($AN187="",OFFSET(Demand!$A$13,ROW(H184)-1,4+((QUOTIENT(COLUMN(BX$2)-69,3))*5)+MOD(COLUMN(BX$2),3),1,1),"")</f>
        <v>0</v>
      </c>
      <c r="BY187">
        <f ca="1">IF($AN187="",OFFSET(Demand!$A$13,ROW(I184)-1,4+((QUOTIENT(COLUMN(BY$2)-69,3))*5)+MOD(COLUMN(BY$2),3),1,1),"")</f>
        <v>0</v>
      </c>
      <c r="BZ187">
        <f ca="1">IF($AN187="",OFFSET(Demand!$A$13,ROW(J184)-1,4+((QUOTIENT(COLUMN(BZ$2)-69,3))*5)+MOD(COLUMN(BZ$2),3),1,1),"")</f>
        <v>0</v>
      </c>
      <c r="CA187">
        <f ca="1">IF($AN187="",OFFSET(Demand!$A$13,ROW(K184)-1,4+((QUOTIENT(COLUMN(CA$2)-69,3))*5)+MOD(COLUMN(CA$2),3),1,1),"")</f>
        <v>0</v>
      </c>
      <c r="CB187">
        <f ca="1">IF($AN187="",OFFSET(Demand!$A$13,ROW(L184)-1,4+((QUOTIENT(COLUMN(CB$2)-69,3))*5)+MOD(COLUMN(CB$2),3),1,1),"")</f>
        <v>0</v>
      </c>
      <c r="CC187">
        <f ca="1">IF($AN187="",OFFSET(Demand!$A$13,ROW(M184)-1,4+((QUOTIENT(COLUMN(CC$2)-69,3))*5)+MOD(COLUMN(CC$2),3),1,1),"")</f>
        <v>0</v>
      </c>
      <c r="CD187">
        <f ca="1">IF($AN187="",OFFSET(Demand!$A$13,ROW(N184)-1,4+((QUOTIENT(COLUMN(CD$2)-69,3))*5)+MOD(COLUMN(CD$2),3),1,1),"")</f>
        <v>0</v>
      </c>
      <c r="CE187">
        <f ca="1">IF($AN187="",OFFSET(Demand!$A$13,ROW(O184)-1,4+((QUOTIENT(COLUMN(CE$2)-69,3))*5)+MOD(COLUMN(CE$2),3),1,1),"")</f>
        <v>0</v>
      </c>
      <c r="CF187">
        <f ca="1">IF($AN187="",OFFSET(Demand!$A$13,ROW(P184)-1,4+((QUOTIENT(COLUMN(CF$2)-69,3))*5)+MOD(COLUMN(CF$2),3),1,1),"")</f>
        <v>0</v>
      </c>
      <c r="CG187">
        <f ca="1">IF($AN187="",OFFSET(Demand!$A$13,ROW(Q184)-1,4+((QUOTIENT(COLUMN(CG$2)-69,3))*5)+MOD(COLUMN(CG$2),3),1,1),"")</f>
        <v>0</v>
      </c>
      <c r="CH187">
        <f ca="1">IF($AN187="",OFFSET(Demand!$A$13,ROW(R184)-1,4+((QUOTIENT(COLUMN(CH$2)-69,3))*5)+MOD(COLUMN(CH$2),3),1,1),"")</f>
        <v>0</v>
      </c>
      <c r="CI187">
        <f ca="1">IF($AN187="",OFFSET(Demand!$A$13,ROW(S184)-1,4+((QUOTIENT(COLUMN(CI$2)-69,3))*5)+MOD(COLUMN(CI$2),3),1,1),"")</f>
        <v>0</v>
      </c>
      <c r="CJ187">
        <f ca="1">IF($AN187="",OFFSET(Demand!$A$13,ROW(T184)-1,4+((QUOTIENT(COLUMN(CJ$2)-69,3))*5)+MOD(COLUMN(CJ$2),3),1,1),"")</f>
        <v>0</v>
      </c>
      <c r="CK187">
        <f ca="1">IF($AN187="",OFFSET(Demand!$A$13,ROW(U184)-1,4+((QUOTIENT(COLUMN(CK$2)-69,3))*5)+MOD(COLUMN(CK$2),3),1,1),"")</f>
        <v>0</v>
      </c>
      <c r="CL187">
        <f ca="1">IF($AN187="",OFFSET(Demand!$A$13,ROW(V184)-1,4+((QUOTIENT(COLUMN(CL$2)-69,3))*5)+MOD(COLUMN(CL$2),3),1,1),"")</f>
        <v>0</v>
      </c>
      <c r="CM187">
        <f ca="1">IF($AN187="",OFFSET(Demand!$A$13,ROW(W184)-1,4+((QUOTIENT(COLUMN(CM$2)-69,3))*5)+MOD(COLUMN(CM$2),3),1,1),"")</f>
        <v>0</v>
      </c>
      <c r="CN187">
        <f ca="1">IF($AN187="",OFFSET(Demand!$A$13,ROW(X184)-1,4+((QUOTIENT(COLUMN(CN$2)-69,3))*5)+MOD(COLUMN(CN$2),3),1,1),"")</f>
        <v>0</v>
      </c>
      <c r="CO187">
        <f ca="1">IF($AN187="",OFFSET(Demand!$A$13,ROW(Y184)-1,4+((QUOTIENT(COLUMN(CO$2)-69,3))*5)+MOD(COLUMN(CO$2),3),1,1),"")</f>
        <v>0</v>
      </c>
      <c r="CP187">
        <f ca="1">IF($AN187="",OFFSET(Demand!$A$13,ROW(Z184)-1,4+((QUOTIENT(COLUMN(CP$2)-69,3))*5)+MOD(COLUMN(CP$2),3),1,1),"")</f>
        <v>0</v>
      </c>
      <c r="CQ187">
        <f ca="1">IF($AN187="",OFFSET(Demand!$A$13,ROW(AA184)-1,4+((QUOTIENT(COLUMN(CQ$2)-69,3))*5)+MOD(COLUMN(CQ$2),3),1,1),"")</f>
        <v>0</v>
      </c>
      <c r="CR187">
        <f ca="1">IF($AN187="",OFFSET(Demand!$A$13,ROW(AB184)-1,4+((QUOTIENT(COLUMN(CR$2)-69,3))*5)+MOD(COLUMN(CR$2),3),1,1),"")</f>
        <v>0</v>
      </c>
      <c r="CS187">
        <f ca="1">IF($AN187="",OFFSET(Demand!$A$13,ROW(AC184)-1,4+((QUOTIENT(COLUMN(CS$2)-69,3))*5)+MOD(COLUMN(CS$2),3),1,1),"")</f>
        <v>0</v>
      </c>
      <c r="CT187">
        <f ca="1">IF($AN187="",OFFSET(Demand!$A$13,ROW(AD184)-1,4+((QUOTIENT(COLUMN(CT$2)-69,3))*5)+MOD(COLUMN(CT$2),3),1,1),"")</f>
        <v>0</v>
      </c>
      <c r="CW187" s="5">
        <f ca="1">SUM(OFFSET(Demand!$H$43,ROW(A184)-1,(COLUMN(A184)-1)*5,1,1))*N$2</f>
        <v>0</v>
      </c>
      <c r="CX187" s="5">
        <f ca="1">SUM(OFFSET(Demand!$H$43,ROW(B184)-1,(COLUMN(B184)-1)*5,1,1))*O$2</f>
        <v>0</v>
      </c>
      <c r="CY187" s="5">
        <f ca="1">SUM(OFFSET(Demand!$H$43,ROW(C184)-1,(COLUMN(C184)-1)*5,1,1))*P$2</f>
        <v>0</v>
      </c>
      <c r="CZ187" s="5">
        <f ca="1">SUM(OFFSET(Demand!$H$43,ROW(D184)-1,(COLUMN(D184)-1)*5,1,1))*Q$2</f>
        <v>0</v>
      </c>
      <c r="DA187" s="5">
        <f ca="1">SUM(OFFSET(Demand!$H$43,ROW(E184)-1,(COLUMN(E184)-1)*5,1,1))*R$2</f>
        <v>0</v>
      </c>
      <c r="DB187" s="5">
        <f ca="1">SUM(OFFSET(Demand!$H$43,ROW(F184)-1,(COLUMN(F184)-1)*5,1,1))*S$2</f>
        <v>0</v>
      </c>
      <c r="DC187" s="5">
        <f ca="1">SUM(OFFSET(Demand!$H$43,ROW(G184)-1,(COLUMN(G184)-1)*5,1,1))*T$2</f>
        <v>0</v>
      </c>
      <c r="DD187" s="5">
        <f ca="1">SUM(OFFSET(Demand!$H$43,ROW(H184)-1,(COLUMN(H184)-1)*5,1,1))*U$2</f>
        <v>0</v>
      </c>
      <c r="DE187" s="5">
        <f ca="1">SUM(OFFSET(Demand!$H$43,ROW(I184)-1,(COLUMN(I184)-1)*5,1,1))*V$2</f>
        <v>0</v>
      </c>
      <c r="DF187" s="5">
        <f ca="1">SUM(OFFSET(Demand!$H$43,ROW(J184)-1,(COLUMN(J184)-1)*5,1,1))*W$2</f>
        <v>0</v>
      </c>
      <c r="DG187" s="5">
        <f t="shared" ca="1" si="44"/>
        <v>0</v>
      </c>
    </row>
    <row r="188" spans="1:111" x14ac:dyDescent="0.2">
      <c r="A188" s="5">
        <f t="shared" ca="1" si="46"/>
        <v>2</v>
      </c>
      <c r="B188" s="5">
        <f ca="1">COUNTBLANK(OFFSET(Demand!$I197,0,(COLUMN(A185)-1)*5,1,1))</f>
        <v>1</v>
      </c>
      <c r="C188" s="5">
        <f ca="1">COUNTBLANK(OFFSET(Demand!$I197,0,(COLUMN(B185)-1)*5,1,1))</f>
        <v>1</v>
      </c>
      <c r="D188" s="5">
        <f ca="1">COUNTBLANK(OFFSET(Demand!$I197,0,(COLUMN(C185)-1)*5,1,1))</f>
        <v>1</v>
      </c>
      <c r="E188" s="5">
        <f ca="1">COUNTBLANK(OFFSET(Demand!$I197,0,(COLUMN(D185)-1)*5,1,1))</f>
        <v>1</v>
      </c>
      <c r="F188" s="5">
        <f ca="1">COUNTBLANK(OFFSET(Demand!$I197,0,(COLUMN(E185)-1)*5,1,1))</f>
        <v>1</v>
      </c>
      <c r="G188" s="5">
        <f ca="1">COUNTBLANK(OFFSET(Demand!$I197,0,(COLUMN(F185)-1)*5,1,1))</f>
        <v>1</v>
      </c>
      <c r="H188" s="5">
        <f ca="1">COUNTBLANK(OFFSET(Demand!$I197,0,(COLUMN(G185)-1)*5,1,1))</f>
        <v>1</v>
      </c>
      <c r="I188" s="5">
        <f ca="1">COUNTBLANK(OFFSET(Demand!$I197,0,(COLUMN(H185)-1)*5,1,1))</f>
        <v>1</v>
      </c>
      <c r="J188" s="5">
        <f ca="1">COUNTBLANK(OFFSET(Demand!$I197,0,(COLUMN(I185)-1)*5,1,1))</f>
        <v>1</v>
      </c>
      <c r="K188" s="5">
        <f ca="1">COUNTBLANK(OFFSET(Demand!$I197,0,(COLUMN(J185)-1)*5,1,1))</f>
        <v>1</v>
      </c>
      <c r="N188" s="5">
        <f ca="1">SUM(OFFSET(Demand!$E197,0,(COLUMN(A185)-1)*5,1,3))*N$2</f>
        <v>0</v>
      </c>
      <c r="O188" s="5">
        <f ca="1">SUM(OFFSET(Demand!$E197,0,(COLUMN(B185)-1)*5,1,3))*O$2</f>
        <v>0</v>
      </c>
      <c r="P188" s="5">
        <f ca="1">SUM(OFFSET(Demand!$E197,0,(COLUMN(C185)-1)*5,1,3))*P$2</f>
        <v>0</v>
      </c>
      <c r="Q188" s="5">
        <f ca="1">SUM(OFFSET(Demand!$E197,0,(COLUMN(D185)-1)*5,1,3))*Q$2</f>
        <v>0</v>
      </c>
      <c r="R188" s="5">
        <f ca="1">SUM(OFFSET(Demand!$E197,0,(COLUMN(E185)-1)*5,1,3))*R$2</f>
        <v>0</v>
      </c>
      <c r="S188" s="5">
        <f ca="1">SUM(OFFSET(Demand!$E197,0,(COLUMN(F185)-1)*5,1,3))*S$2</f>
        <v>0</v>
      </c>
      <c r="T188" s="5">
        <f ca="1">SUM(OFFSET(Demand!$E197,0,(COLUMN(G185)-1)*5,1,3))*T$2</f>
        <v>0</v>
      </c>
      <c r="U188" s="5">
        <f ca="1">SUM(OFFSET(Demand!$E197,0,(COLUMN(H185)-1)*5,1,3))*U$2</f>
        <v>0</v>
      </c>
      <c r="V188" s="5">
        <f ca="1">SUM(OFFSET(Demand!$E197,0,(COLUMN(I185)-1)*5,1,3))*V$2</f>
        <v>0</v>
      </c>
      <c r="W188" s="5">
        <f ca="1">SUM(OFFSET(Demand!$E197,0,(COLUMN(J185)-1)*5,1,3))*W$2</f>
        <v>0</v>
      </c>
      <c r="X188" s="5">
        <f t="shared" ca="1" si="39"/>
        <v>0</v>
      </c>
      <c r="Y188">
        <f t="shared" ca="1" si="40"/>
        <v>0</v>
      </c>
      <c r="Z188" s="5">
        <f ca="1">SUM(OFFSET(Demand!$H197,0,(COLUMN(A185)-1)*5,1,1))*N$2</f>
        <v>0</v>
      </c>
      <c r="AA188" s="5">
        <f ca="1">SUM(OFFSET(Demand!$H197,0,(COLUMN(B185)-1)*5,1,1))*O$2</f>
        <v>0</v>
      </c>
      <c r="AB188" s="5">
        <f ca="1">SUM(OFFSET(Demand!$H197,0,(COLUMN(C185)-1)*5,1,1))*P$2</f>
        <v>0</v>
      </c>
      <c r="AC188" s="5">
        <f ca="1">SUM(OFFSET(Demand!$H197,0,(COLUMN(D185)-1)*5,1,1))*Q$2</f>
        <v>0</v>
      </c>
      <c r="AD188" s="5">
        <f ca="1">SUM(OFFSET(Demand!$H197,0,(COLUMN(E185)-1)*5,1,1))*R$2</f>
        <v>0</v>
      </c>
      <c r="AE188" s="5">
        <f ca="1">SUM(OFFSET(Demand!$H197,0,(COLUMN(F185)-1)*5,1,1))*S$2</f>
        <v>0</v>
      </c>
      <c r="AF188" s="5">
        <f ca="1">SUM(OFFSET(Demand!$H197,0,(COLUMN(G185)-1)*5,1,1))*T$2</f>
        <v>0</v>
      </c>
      <c r="AG188" s="5">
        <f ca="1">SUM(OFFSET(Demand!$H197,0,(COLUMN(H185)-1)*5,1,1))*U$2</f>
        <v>0</v>
      </c>
      <c r="AH188" s="5">
        <f ca="1">SUM(OFFSET(Demand!$H197,0,(COLUMN(I185)-1)*5,1,1))*V$2</f>
        <v>0</v>
      </c>
      <c r="AI188" s="5">
        <f ca="1">SUM(OFFSET(Demand!$H197,0,(COLUMN(J185)-1)*5,1,1))*W$2</f>
        <v>0</v>
      </c>
      <c r="AJ188" s="5">
        <f t="shared" ca="1" si="41"/>
        <v>0</v>
      </c>
      <c r="AL188" s="5">
        <f t="shared" ca="1" si="42"/>
        <v>0</v>
      </c>
      <c r="AM188" s="5">
        <f t="shared" ca="1" si="43"/>
        <v>0</v>
      </c>
      <c r="AN188" s="5" t="str">
        <f>IF(Demand!BE197="Yes","Yes","")</f>
        <v/>
      </c>
      <c r="AP188" s="37" t="str">
        <f ca="1">Demand!B197</f>
        <v xml:space="preserve"> </v>
      </c>
      <c r="AQ188" t="str">
        <f ca="1">IF(TEXT(Demand!D197,"MMM")&lt;&gt;TEXT(Demand!D196,"MMM"),TEXT(Demand!D197,"MMM"),"")</f>
        <v/>
      </c>
      <c r="AT188" s="5">
        <f t="shared" ca="1" si="45"/>
        <v>0</v>
      </c>
      <c r="BQ188">
        <f ca="1">IF($AN188="",OFFSET(Demand!$A$13,ROW(A185)-1,4+((QUOTIENT(COLUMN(BQ$2)-69,3))*5)+MOD(COLUMN(BQ$2),3),1,1),"")</f>
        <v>0</v>
      </c>
      <c r="BR188">
        <f ca="1">IF($AN188="",OFFSET(Demand!$A$13,ROW(B185)-1,4+((QUOTIENT(COLUMN(BR$2)-69,3))*5)+MOD(COLUMN(BR$2),3),1,1),"")</f>
        <v>0</v>
      </c>
      <c r="BS188">
        <f ca="1">IF($AN188="",OFFSET(Demand!$A$13,ROW(C185)-1,4+((QUOTIENT(COLUMN(BS$2)-69,3))*5)+MOD(COLUMN(BS$2),3),1,1),"")</f>
        <v>0</v>
      </c>
      <c r="BT188">
        <f ca="1">IF($AN188="",OFFSET(Demand!$A$13,ROW(D185)-1,4+((QUOTIENT(COLUMN(BT$2)-69,3))*5)+MOD(COLUMN(BT$2),3),1,1),"")</f>
        <v>0</v>
      </c>
      <c r="BU188">
        <f ca="1">IF($AN188="",OFFSET(Demand!$A$13,ROW(E185)-1,4+((QUOTIENT(COLUMN(BU$2)-69,3))*5)+MOD(COLUMN(BU$2),3),1,1),"")</f>
        <v>0</v>
      </c>
      <c r="BV188">
        <f ca="1">IF($AN188="",OFFSET(Demand!$A$13,ROW(F185)-1,4+((QUOTIENT(COLUMN(BV$2)-69,3))*5)+MOD(COLUMN(BV$2),3),1,1),"")</f>
        <v>0</v>
      </c>
      <c r="BW188">
        <f ca="1">IF($AN188="",OFFSET(Demand!$A$13,ROW(G185)-1,4+((QUOTIENT(COLUMN(BW$2)-69,3))*5)+MOD(COLUMN(BW$2),3),1,1),"")</f>
        <v>0</v>
      </c>
      <c r="BX188">
        <f ca="1">IF($AN188="",OFFSET(Demand!$A$13,ROW(H185)-1,4+((QUOTIENT(COLUMN(BX$2)-69,3))*5)+MOD(COLUMN(BX$2),3),1,1),"")</f>
        <v>0</v>
      </c>
      <c r="BY188">
        <f ca="1">IF($AN188="",OFFSET(Demand!$A$13,ROW(I185)-1,4+((QUOTIENT(COLUMN(BY$2)-69,3))*5)+MOD(COLUMN(BY$2),3),1,1),"")</f>
        <v>0</v>
      </c>
      <c r="BZ188">
        <f ca="1">IF($AN188="",OFFSET(Demand!$A$13,ROW(J185)-1,4+((QUOTIENT(COLUMN(BZ$2)-69,3))*5)+MOD(COLUMN(BZ$2),3),1,1),"")</f>
        <v>0</v>
      </c>
      <c r="CA188">
        <f ca="1">IF($AN188="",OFFSET(Demand!$A$13,ROW(K185)-1,4+((QUOTIENT(COLUMN(CA$2)-69,3))*5)+MOD(COLUMN(CA$2),3),1,1),"")</f>
        <v>0</v>
      </c>
      <c r="CB188">
        <f ca="1">IF($AN188="",OFFSET(Demand!$A$13,ROW(L185)-1,4+((QUOTIENT(COLUMN(CB$2)-69,3))*5)+MOD(COLUMN(CB$2),3),1,1),"")</f>
        <v>0</v>
      </c>
      <c r="CC188">
        <f ca="1">IF($AN188="",OFFSET(Demand!$A$13,ROW(M185)-1,4+((QUOTIENT(COLUMN(CC$2)-69,3))*5)+MOD(COLUMN(CC$2),3),1,1),"")</f>
        <v>0</v>
      </c>
      <c r="CD188">
        <f ca="1">IF($AN188="",OFFSET(Demand!$A$13,ROW(N185)-1,4+((QUOTIENT(COLUMN(CD$2)-69,3))*5)+MOD(COLUMN(CD$2),3),1,1),"")</f>
        <v>0</v>
      </c>
      <c r="CE188">
        <f ca="1">IF($AN188="",OFFSET(Demand!$A$13,ROW(O185)-1,4+((QUOTIENT(COLUMN(CE$2)-69,3))*5)+MOD(COLUMN(CE$2),3),1,1),"")</f>
        <v>0</v>
      </c>
      <c r="CF188">
        <f ca="1">IF($AN188="",OFFSET(Demand!$A$13,ROW(P185)-1,4+((QUOTIENT(COLUMN(CF$2)-69,3))*5)+MOD(COLUMN(CF$2),3),1,1),"")</f>
        <v>0</v>
      </c>
      <c r="CG188">
        <f ca="1">IF($AN188="",OFFSET(Demand!$A$13,ROW(Q185)-1,4+((QUOTIENT(COLUMN(CG$2)-69,3))*5)+MOD(COLUMN(CG$2),3),1,1),"")</f>
        <v>0</v>
      </c>
      <c r="CH188">
        <f ca="1">IF($AN188="",OFFSET(Demand!$A$13,ROW(R185)-1,4+((QUOTIENT(COLUMN(CH$2)-69,3))*5)+MOD(COLUMN(CH$2),3),1,1),"")</f>
        <v>0</v>
      </c>
      <c r="CI188">
        <f ca="1">IF($AN188="",OFFSET(Demand!$A$13,ROW(S185)-1,4+((QUOTIENT(COLUMN(CI$2)-69,3))*5)+MOD(COLUMN(CI$2),3),1,1),"")</f>
        <v>0</v>
      </c>
      <c r="CJ188">
        <f ca="1">IF($AN188="",OFFSET(Demand!$A$13,ROW(T185)-1,4+((QUOTIENT(COLUMN(CJ$2)-69,3))*5)+MOD(COLUMN(CJ$2),3),1,1),"")</f>
        <v>0</v>
      </c>
      <c r="CK188">
        <f ca="1">IF($AN188="",OFFSET(Demand!$A$13,ROW(U185)-1,4+((QUOTIENT(COLUMN(CK$2)-69,3))*5)+MOD(COLUMN(CK$2),3),1,1),"")</f>
        <v>0</v>
      </c>
      <c r="CL188">
        <f ca="1">IF($AN188="",OFFSET(Demand!$A$13,ROW(V185)-1,4+((QUOTIENT(COLUMN(CL$2)-69,3))*5)+MOD(COLUMN(CL$2),3),1,1),"")</f>
        <v>0</v>
      </c>
      <c r="CM188">
        <f ca="1">IF($AN188="",OFFSET(Demand!$A$13,ROW(W185)-1,4+((QUOTIENT(COLUMN(CM$2)-69,3))*5)+MOD(COLUMN(CM$2),3),1,1),"")</f>
        <v>0</v>
      </c>
      <c r="CN188">
        <f ca="1">IF($AN188="",OFFSET(Demand!$A$13,ROW(X185)-1,4+((QUOTIENT(COLUMN(CN$2)-69,3))*5)+MOD(COLUMN(CN$2),3),1,1),"")</f>
        <v>0</v>
      </c>
      <c r="CO188">
        <f ca="1">IF($AN188="",OFFSET(Demand!$A$13,ROW(Y185)-1,4+((QUOTIENT(COLUMN(CO$2)-69,3))*5)+MOD(COLUMN(CO$2),3),1,1),"")</f>
        <v>0</v>
      </c>
      <c r="CP188">
        <f ca="1">IF($AN188="",OFFSET(Demand!$A$13,ROW(Z185)-1,4+((QUOTIENT(COLUMN(CP$2)-69,3))*5)+MOD(COLUMN(CP$2),3),1,1),"")</f>
        <v>0</v>
      </c>
      <c r="CQ188">
        <f ca="1">IF($AN188="",OFFSET(Demand!$A$13,ROW(AA185)-1,4+((QUOTIENT(COLUMN(CQ$2)-69,3))*5)+MOD(COLUMN(CQ$2),3),1,1),"")</f>
        <v>0</v>
      </c>
      <c r="CR188">
        <f ca="1">IF($AN188="",OFFSET(Demand!$A$13,ROW(AB185)-1,4+((QUOTIENT(COLUMN(CR$2)-69,3))*5)+MOD(COLUMN(CR$2),3),1,1),"")</f>
        <v>0</v>
      </c>
      <c r="CS188">
        <f ca="1">IF($AN188="",OFFSET(Demand!$A$13,ROW(AC185)-1,4+((QUOTIENT(COLUMN(CS$2)-69,3))*5)+MOD(COLUMN(CS$2),3),1,1),"")</f>
        <v>0</v>
      </c>
      <c r="CT188">
        <f ca="1">IF($AN188="",OFFSET(Demand!$A$13,ROW(AD185)-1,4+((QUOTIENT(COLUMN(CT$2)-69,3))*5)+MOD(COLUMN(CT$2),3),1,1),"")</f>
        <v>0</v>
      </c>
      <c r="CW188" s="5">
        <f ca="1">SUM(OFFSET(Demand!$H$43,ROW(A185)-1,(COLUMN(A185)-1)*5,1,1))*N$2</f>
        <v>0</v>
      </c>
      <c r="CX188" s="5">
        <f ca="1">SUM(OFFSET(Demand!$H$43,ROW(B185)-1,(COLUMN(B185)-1)*5,1,1))*O$2</f>
        <v>0</v>
      </c>
      <c r="CY188" s="5">
        <f ca="1">SUM(OFFSET(Demand!$H$43,ROW(C185)-1,(COLUMN(C185)-1)*5,1,1))*P$2</f>
        <v>0</v>
      </c>
      <c r="CZ188" s="5">
        <f ca="1">SUM(OFFSET(Demand!$H$43,ROW(D185)-1,(COLUMN(D185)-1)*5,1,1))*Q$2</f>
        <v>0</v>
      </c>
      <c r="DA188" s="5">
        <f ca="1">SUM(OFFSET(Demand!$H$43,ROW(E185)-1,(COLUMN(E185)-1)*5,1,1))*R$2</f>
        <v>0</v>
      </c>
      <c r="DB188" s="5">
        <f ca="1">SUM(OFFSET(Demand!$H$43,ROW(F185)-1,(COLUMN(F185)-1)*5,1,1))*S$2</f>
        <v>0</v>
      </c>
      <c r="DC188" s="5">
        <f ca="1">SUM(OFFSET(Demand!$H$43,ROW(G185)-1,(COLUMN(G185)-1)*5,1,1))*T$2</f>
        <v>0</v>
      </c>
      <c r="DD188" s="5">
        <f ca="1">SUM(OFFSET(Demand!$H$43,ROW(H185)-1,(COLUMN(H185)-1)*5,1,1))*U$2</f>
        <v>0</v>
      </c>
      <c r="DE188" s="5">
        <f ca="1">SUM(OFFSET(Demand!$H$43,ROW(I185)-1,(COLUMN(I185)-1)*5,1,1))*V$2</f>
        <v>0</v>
      </c>
      <c r="DF188" s="5">
        <f ca="1">SUM(OFFSET(Demand!$H$43,ROW(J185)-1,(COLUMN(J185)-1)*5,1,1))*W$2</f>
        <v>0</v>
      </c>
      <c r="DG188" s="5">
        <f t="shared" ca="1" si="44"/>
        <v>0</v>
      </c>
    </row>
    <row r="189" spans="1:111" x14ac:dyDescent="0.2">
      <c r="A189" s="5">
        <f t="shared" ca="1" si="46"/>
        <v>2</v>
      </c>
      <c r="B189" s="5">
        <f ca="1">COUNTBLANK(OFFSET(Demand!$I198,0,(COLUMN(A186)-1)*5,1,1))</f>
        <v>1</v>
      </c>
      <c r="C189" s="5">
        <f ca="1">COUNTBLANK(OFFSET(Demand!$I198,0,(COLUMN(B186)-1)*5,1,1))</f>
        <v>1</v>
      </c>
      <c r="D189" s="5">
        <f ca="1">COUNTBLANK(OFFSET(Demand!$I198,0,(COLUMN(C186)-1)*5,1,1))</f>
        <v>1</v>
      </c>
      <c r="E189" s="5">
        <f ca="1">COUNTBLANK(OFFSET(Demand!$I198,0,(COLUMN(D186)-1)*5,1,1))</f>
        <v>1</v>
      </c>
      <c r="F189" s="5">
        <f ca="1">COUNTBLANK(OFFSET(Demand!$I198,0,(COLUMN(E186)-1)*5,1,1))</f>
        <v>1</v>
      </c>
      <c r="G189" s="5">
        <f ca="1">COUNTBLANK(OFFSET(Demand!$I198,0,(COLUMN(F186)-1)*5,1,1))</f>
        <v>1</v>
      </c>
      <c r="H189" s="5">
        <f ca="1">COUNTBLANK(OFFSET(Demand!$I198,0,(COLUMN(G186)-1)*5,1,1))</f>
        <v>1</v>
      </c>
      <c r="I189" s="5">
        <f ca="1">COUNTBLANK(OFFSET(Demand!$I198,0,(COLUMN(H186)-1)*5,1,1))</f>
        <v>1</v>
      </c>
      <c r="J189" s="5">
        <f ca="1">COUNTBLANK(OFFSET(Demand!$I198,0,(COLUMN(I186)-1)*5,1,1))</f>
        <v>1</v>
      </c>
      <c r="K189" s="5">
        <f ca="1">COUNTBLANK(OFFSET(Demand!$I198,0,(COLUMN(J186)-1)*5,1,1))</f>
        <v>1</v>
      </c>
      <c r="N189" s="5">
        <f ca="1">SUM(OFFSET(Demand!$E198,0,(COLUMN(A186)-1)*5,1,3))*N$2</f>
        <v>0</v>
      </c>
      <c r="O189" s="5">
        <f ca="1">SUM(OFFSET(Demand!$E198,0,(COLUMN(B186)-1)*5,1,3))*O$2</f>
        <v>0</v>
      </c>
      <c r="P189" s="5">
        <f ca="1">SUM(OFFSET(Demand!$E198,0,(COLUMN(C186)-1)*5,1,3))*P$2</f>
        <v>0</v>
      </c>
      <c r="Q189" s="5">
        <f ca="1">SUM(OFFSET(Demand!$E198,0,(COLUMN(D186)-1)*5,1,3))*Q$2</f>
        <v>0</v>
      </c>
      <c r="R189" s="5">
        <f ca="1">SUM(OFFSET(Demand!$E198,0,(COLUMN(E186)-1)*5,1,3))*R$2</f>
        <v>0</v>
      </c>
      <c r="S189" s="5">
        <f ca="1">SUM(OFFSET(Demand!$E198,0,(COLUMN(F186)-1)*5,1,3))*S$2</f>
        <v>0</v>
      </c>
      <c r="T189" s="5">
        <f ca="1">SUM(OFFSET(Demand!$E198,0,(COLUMN(G186)-1)*5,1,3))*T$2</f>
        <v>0</v>
      </c>
      <c r="U189" s="5">
        <f ca="1">SUM(OFFSET(Demand!$E198,0,(COLUMN(H186)-1)*5,1,3))*U$2</f>
        <v>0</v>
      </c>
      <c r="V189" s="5">
        <f ca="1">SUM(OFFSET(Demand!$E198,0,(COLUMN(I186)-1)*5,1,3))*V$2</f>
        <v>0</v>
      </c>
      <c r="W189" s="5">
        <f ca="1">SUM(OFFSET(Demand!$E198,0,(COLUMN(J186)-1)*5,1,3))*W$2</f>
        <v>0</v>
      </c>
      <c r="X189" s="5">
        <f t="shared" ca="1" si="39"/>
        <v>0</v>
      </c>
      <c r="Y189">
        <f t="shared" ca="1" si="40"/>
        <v>0</v>
      </c>
      <c r="Z189" s="5">
        <f ca="1">SUM(OFFSET(Demand!$H198,0,(COLUMN(A186)-1)*5,1,1))*N$2</f>
        <v>0</v>
      </c>
      <c r="AA189" s="5">
        <f ca="1">SUM(OFFSET(Demand!$H198,0,(COLUMN(B186)-1)*5,1,1))*O$2</f>
        <v>0</v>
      </c>
      <c r="AB189" s="5">
        <f ca="1">SUM(OFFSET(Demand!$H198,0,(COLUMN(C186)-1)*5,1,1))*P$2</f>
        <v>0</v>
      </c>
      <c r="AC189" s="5">
        <f ca="1">SUM(OFFSET(Demand!$H198,0,(COLUMN(D186)-1)*5,1,1))*Q$2</f>
        <v>0</v>
      </c>
      <c r="AD189" s="5">
        <f ca="1">SUM(OFFSET(Demand!$H198,0,(COLUMN(E186)-1)*5,1,1))*R$2</f>
        <v>0</v>
      </c>
      <c r="AE189" s="5">
        <f ca="1">SUM(OFFSET(Demand!$H198,0,(COLUMN(F186)-1)*5,1,1))*S$2</f>
        <v>0</v>
      </c>
      <c r="AF189" s="5">
        <f ca="1">SUM(OFFSET(Demand!$H198,0,(COLUMN(G186)-1)*5,1,1))*T$2</f>
        <v>0</v>
      </c>
      <c r="AG189" s="5">
        <f ca="1">SUM(OFFSET(Demand!$H198,0,(COLUMN(H186)-1)*5,1,1))*U$2</f>
        <v>0</v>
      </c>
      <c r="AH189" s="5">
        <f ca="1">SUM(OFFSET(Demand!$H198,0,(COLUMN(I186)-1)*5,1,1))*V$2</f>
        <v>0</v>
      </c>
      <c r="AI189" s="5">
        <f ca="1">SUM(OFFSET(Demand!$H198,0,(COLUMN(J186)-1)*5,1,1))*W$2</f>
        <v>0</v>
      </c>
      <c r="AJ189" s="5">
        <f t="shared" ca="1" si="41"/>
        <v>0</v>
      </c>
      <c r="AL189" s="5">
        <f t="shared" ca="1" si="42"/>
        <v>0</v>
      </c>
      <c r="AM189" s="5">
        <f t="shared" ca="1" si="43"/>
        <v>0</v>
      </c>
      <c r="AN189" s="5" t="str">
        <f>IF(Demand!BE198="Yes","Yes","")</f>
        <v/>
      </c>
      <c r="AP189" s="37" t="str">
        <f ca="1">Demand!B198</f>
        <v xml:space="preserve"> </v>
      </c>
      <c r="AQ189" t="str">
        <f ca="1">IF(TEXT(Demand!D198,"MMM")&lt;&gt;TEXT(Demand!D197,"MMM"),TEXT(Demand!D198,"MMM"),"")</f>
        <v/>
      </c>
      <c r="AT189" s="5">
        <f t="shared" ca="1" si="45"/>
        <v>0</v>
      </c>
      <c r="BQ189">
        <f ca="1">IF($AN189="",OFFSET(Demand!$A$13,ROW(A186)-1,4+((QUOTIENT(COLUMN(BQ$2)-69,3))*5)+MOD(COLUMN(BQ$2),3),1,1),"")</f>
        <v>0</v>
      </c>
      <c r="BR189">
        <f ca="1">IF($AN189="",OFFSET(Demand!$A$13,ROW(B186)-1,4+((QUOTIENT(COLUMN(BR$2)-69,3))*5)+MOD(COLUMN(BR$2),3),1,1),"")</f>
        <v>0</v>
      </c>
      <c r="BS189">
        <f ca="1">IF($AN189="",OFFSET(Demand!$A$13,ROW(C186)-1,4+((QUOTIENT(COLUMN(BS$2)-69,3))*5)+MOD(COLUMN(BS$2),3),1,1),"")</f>
        <v>0</v>
      </c>
      <c r="BT189">
        <f ca="1">IF($AN189="",OFFSET(Demand!$A$13,ROW(D186)-1,4+((QUOTIENT(COLUMN(BT$2)-69,3))*5)+MOD(COLUMN(BT$2),3),1,1),"")</f>
        <v>0</v>
      </c>
      <c r="BU189">
        <f ca="1">IF($AN189="",OFFSET(Demand!$A$13,ROW(E186)-1,4+((QUOTIENT(COLUMN(BU$2)-69,3))*5)+MOD(COLUMN(BU$2),3),1,1),"")</f>
        <v>0</v>
      </c>
      <c r="BV189">
        <f ca="1">IF($AN189="",OFFSET(Demand!$A$13,ROW(F186)-1,4+((QUOTIENT(COLUMN(BV$2)-69,3))*5)+MOD(COLUMN(BV$2),3),1,1),"")</f>
        <v>0</v>
      </c>
      <c r="BW189">
        <f ca="1">IF($AN189="",OFFSET(Demand!$A$13,ROW(G186)-1,4+((QUOTIENT(COLUMN(BW$2)-69,3))*5)+MOD(COLUMN(BW$2),3),1,1),"")</f>
        <v>0</v>
      </c>
      <c r="BX189">
        <f ca="1">IF($AN189="",OFFSET(Demand!$A$13,ROW(H186)-1,4+((QUOTIENT(COLUMN(BX$2)-69,3))*5)+MOD(COLUMN(BX$2),3),1,1),"")</f>
        <v>0</v>
      </c>
      <c r="BY189">
        <f ca="1">IF($AN189="",OFFSET(Demand!$A$13,ROW(I186)-1,4+((QUOTIENT(COLUMN(BY$2)-69,3))*5)+MOD(COLUMN(BY$2),3),1,1),"")</f>
        <v>0</v>
      </c>
      <c r="BZ189">
        <f ca="1">IF($AN189="",OFFSET(Demand!$A$13,ROW(J186)-1,4+((QUOTIENT(COLUMN(BZ$2)-69,3))*5)+MOD(COLUMN(BZ$2),3),1,1),"")</f>
        <v>0</v>
      </c>
      <c r="CA189">
        <f ca="1">IF($AN189="",OFFSET(Demand!$A$13,ROW(K186)-1,4+((QUOTIENT(COLUMN(CA$2)-69,3))*5)+MOD(COLUMN(CA$2),3),1,1),"")</f>
        <v>0</v>
      </c>
      <c r="CB189">
        <f ca="1">IF($AN189="",OFFSET(Demand!$A$13,ROW(L186)-1,4+((QUOTIENT(COLUMN(CB$2)-69,3))*5)+MOD(COLUMN(CB$2),3),1,1),"")</f>
        <v>0</v>
      </c>
      <c r="CC189">
        <f ca="1">IF($AN189="",OFFSET(Demand!$A$13,ROW(M186)-1,4+((QUOTIENT(COLUMN(CC$2)-69,3))*5)+MOD(COLUMN(CC$2),3),1,1),"")</f>
        <v>0</v>
      </c>
      <c r="CD189">
        <f ca="1">IF($AN189="",OFFSET(Demand!$A$13,ROW(N186)-1,4+((QUOTIENT(COLUMN(CD$2)-69,3))*5)+MOD(COLUMN(CD$2),3),1,1),"")</f>
        <v>0</v>
      </c>
      <c r="CE189">
        <f ca="1">IF($AN189="",OFFSET(Demand!$A$13,ROW(O186)-1,4+((QUOTIENT(COLUMN(CE$2)-69,3))*5)+MOD(COLUMN(CE$2),3),1,1),"")</f>
        <v>0</v>
      </c>
      <c r="CF189">
        <f ca="1">IF($AN189="",OFFSET(Demand!$A$13,ROW(P186)-1,4+((QUOTIENT(COLUMN(CF$2)-69,3))*5)+MOD(COLUMN(CF$2),3),1,1),"")</f>
        <v>0</v>
      </c>
      <c r="CG189">
        <f ca="1">IF($AN189="",OFFSET(Demand!$A$13,ROW(Q186)-1,4+((QUOTIENT(COLUMN(CG$2)-69,3))*5)+MOD(COLUMN(CG$2),3),1,1),"")</f>
        <v>0</v>
      </c>
      <c r="CH189">
        <f ca="1">IF($AN189="",OFFSET(Demand!$A$13,ROW(R186)-1,4+((QUOTIENT(COLUMN(CH$2)-69,3))*5)+MOD(COLUMN(CH$2),3),1,1),"")</f>
        <v>0</v>
      </c>
      <c r="CI189">
        <f ca="1">IF($AN189="",OFFSET(Demand!$A$13,ROW(S186)-1,4+((QUOTIENT(COLUMN(CI$2)-69,3))*5)+MOD(COLUMN(CI$2),3),1,1),"")</f>
        <v>0</v>
      </c>
      <c r="CJ189">
        <f ca="1">IF($AN189="",OFFSET(Demand!$A$13,ROW(T186)-1,4+((QUOTIENT(COLUMN(CJ$2)-69,3))*5)+MOD(COLUMN(CJ$2),3),1,1),"")</f>
        <v>0</v>
      </c>
      <c r="CK189">
        <f ca="1">IF($AN189="",OFFSET(Demand!$A$13,ROW(U186)-1,4+((QUOTIENT(COLUMN(CK$2)-69,3))*5)+MOD(COLUMN(CK$2),3),1,1),"")</f>
        <v>0</v>
      </c>
      <c r="CL189">
        <f ca="1">IF($AN189="",OFFSET(Demand!$A$13,ROW(V186)-1,4+((QUOTIENT(COLUMN(CL$2)-69,3))*5)+MOD(COLUMN(CL$2),3),1,1),"")</f>
        <v>0</v>
      </c>
      <c r="CM189">
        <f ca="1">IF($AN189="",OFFSET(Demand!$A$13,ROW(W186)-1,4+((QUOTIENT(COLUMN(CM$2)-69,3))*5)+MOD(COLUMN(CM$2),3),1,1),"")</f>
        <v>0</v>
      </c>
      <c r="CN189">
        <f ca="1">IF($AN189="",OFFSET(Demand!$A$13,ROW(X186)-1,4+((QUOTIENT(COLUMN(CN$2)-69,3))*5)+MOD(COLUMN(CN$2),3),1,1),"")</f>
        <v>0</v>
      </c>
      <c r="CO189">
        <f ca="1">IF($AN189="",OFFSET(Demand!$A$13,ROW(Y186)-1,4+((QUOTIENT(COLUMN(CO$2)-69,3))*5)+MOD(COLUMN(CO$2),3),1,1),"")</f>
        <v>0</v>
      </c>
      <c r="CP189">
        <f ca="1">IF($AN189="",OFFSET(Demand!$A$13,ROW(Z186)-1,4+((QUOTIENT(COLUMN(CP$2)-69,3))*5)+MOD(COLUMN(CP$2),3),1,1),"")</f>
        <v>0</v>
      </c>
      <c r="CQ189">
        <f ca="1">IF($AN189="",OFFSET(Demand!$A$13,ROW(AA186)-1,4+((QUOTIENT(COLUMN(CQ$2)-69,3))*5)+MOD(COLUMN(CQ$2),3),1,1),"")</f>
        <v>0</v>
      </c>
      <c r="CR189">
        <f ca="1">IF($AN189="",OFFSET(Demand!$A$13,ROW(AB186)-1,4+((QUOTIENT(COLUMN(CR$2)-69,3))*5)+MOD(COLUMN(CR$2),3),1,1),"")</f>
        <v>0</v>
      </c>
      <c r="CS189">
        <f ca="1">IF($AN189="",OFFSET(Demand!$A$13,ROW(AC186)-1,4+((QUOTIENT(COLUMN(CS$2)-69,3))*5)+MOD(COLUMN(CS$2),3),1,1),"")</f>
        <v>0</v>
      </c>
      <c r="CT189">
        <f ca="1">IF($AN189="",OFFSET(Demand!$A$13,ROW(AD186)-1,4+((QUOTIENT(COLUMN(CT$2)-69,3))*5)+MOD(COLUMN(CT$2),3),1,1),"")</f>
        <v>0</v>
      </c>
      <c r="CW189" s="5">
        <f ca="1">SUM(OFFSET(Demand!$H$43,ROW(A186)-1,(COLUMN(A186)-1)*5,1,1))*N$2</f>
        <v>0</v>
      </c>
      <c r="CX189" s="5">
        <f ca="1">SUM(OFFSET(Demand!$H$43,ROW(B186)-1,(COLUMN(B186)-1)*5,1,1))*O$2</f>
        <v>0</v>
      </c>
      <c r="CY189" s="5">
        <f ca="1">SUM(OFFSET(Demand!$H$43,ROW(C186)-1,(COLUMN(C186)-1)*5,1,1))*P$2</f>
        <v>0</v>
      </c>
      <c r="CZ189" s="5">
        <f ca="1">SUM(OFFSET(Demand!$H$43,ROW(D186)-1,(COLUMN(D186)-1)*5,1,1))*Q$2</f>
        <v>0</v>
      </c>
      <c r="DA189" s="5">
        <f ca="1">SUM(OFFSET(Demand!$H$43,ROW(E186)-1,(COLUMN(E186)-1)*5,1,1))*R$2</f>
        <v>0</v>
      </c>
      <c r="DB189" s="5">
        <f ca="1">SUM(OFFSET(Demand!$H$43,ROW(F186)-1,(COLUMN(F186)-1)*5,1,1))*S$2</f>
        <v>0</v>
      </c>
      <c r="DC189" s="5">
        <f ca="1">SUM(OFFSET(Demand!$H$43,ROW(G186)-1,(COLUMN(G186)-1)*5,1,1))*T$2</f>
        <v>0</v>
      </c>
      <c r="DD189" s="5">
        <f ca="1">SUM(OFFSET(Demand!$H$43,ROW(H186)-1,(COLUMN(H186)-1)*5,1,1))*U$2</f>
        <v>0</v>
      </c>
      <c r="DE189" s="5">
        <f ca="1">SUM(OFFSET(Demand!$H$43,ROW(I186)-1,(COLUMN(I186)-1)*5,1,1))*V$2</f>
        <v>0</v>
      </c>
      <c r="DF189" s="5">
        <f ca="1">SUM(OFFSET(Demand!$H$43,ROW(J186)-1,(COLUMN(J186)-1)*5,1,1))*W$2</f>
        <v>0</v>
      </c>
      <c r="DG189" s="5">
        <f t="shared" ca="1" si="44"/>
        <v>0</v>
      </c>
    </row>
    <row r="190" spans="1:111" x14ac:dyDescent="0.2">
      <c r="A190" s="5">
        <f t="shared" ca="1" si="46"/>
        <v>2</v>
      </c>
      <c r="B190" s="5">
        <f ca="1">COUNTBLANK(OFFSET(Demand!$I199,0,(COLUMN(A187)-1)*5,1,1))</f>
        <v>1</v>
      </c>
      <c r="C190" s="5">
        <f ca="1">COUNTBLANK(OFFSET(Demand!$I199,0,(COLUMN(B187)-1)*5,1,1))</f>
        <v>1</v>
      </c>
      <c r="D190" s="5">
        <f ca="1">COUNTBLANK(OFFSET(Demand!$I199,0,(COLUMN(C187)-1)*5,1,1))</f>
        <v>1</v>
      </c>
      <c r="E190" s="5">
        <f ca="1">COUNTBLANK(OFFSET(Demand!$I199,0,(COLUMN(D187)-1)*5,1,1))</f>
        <v>1</v>
      </c>
      <c r="F190" s="5">
        <f ca="1">COUNTBLANK(OFFSET(Demand!$I199,0,(COLUMN(E187)-1)*5,1,1))</f>
        <v>1</v>
      </c>
      <c r="G190" s="5">
        <f ca="1">COUNTBLANK(OFFSET(Demand!$I199,0,(COLUMN(F187)-1)*5,1,1))</f>
        <v>1</v>
      </c>
      <c r="H190" s="5">
        <f ca="1">COUNTBLANK(OFFSET(Demand!$I199,0,(COLUMN(G187)-1)*5,1,1))</f>
        <v>1</v>
      </c>
      <c r="I190" s="5">
        <f ca="1">COUNTBLANK(OFFSET(Demand!$I199,0,(COLUMN(H187)-1)*5,1,1))</f>
        <v>1</v>
      </c>
      <c r="J190" s="5">
        <f ca="1">COUNTBLANK(OFFSET(Demand!$I199,0,(COLUMN(I187)-1)*5,1,1))</f>
        <v>1</v>
      </c>
      <c r="K190" s="5">
        <f ca="1">COUNTBLANK(OFFSET(Demand!$I199,0,(COLUMN(J187)-1)*5,1,1))</f>
        <v>1</v>
      </c>
      <c r="N190" s="5">
        <f ca="1">SUM(OFFSET(Demand!$E199,0,(COLUMN(A187)-1)*5,1,3))*N$2</f>
        <v>0</v>
      </c>
      <c r="O190" s="5">
        <f ca="1">SUM(OFFSET(Demand!$E199,0,(COLUMN(B187)-1)*5,1,3))*O$2</f>
        <v>0</v>
      </c>
      <c r="P190" s="5">
        <f ca="1">SUM(OFFSET(Demand!$E199,0,(COLUMN(C187)-1)*5,1,3))*P$2</f>
        <v>0</v>
      </c>
      <c r="Q190" s="5">
        <f ca="1">SUM(OFFSET(Demand!$E199,0,(COLUMN(D187)-1)*5,1,3))*Q$2</f>
        <v>0</v>
      </c>
      <c r="R190" s="5">
        <f ca="1">SUM(OFFSET(Demand!$E199,0,(COLUMN(E187)-1)*5,1,3))*R$2</f>
        <v>0</v>
      </c>
      <c r="S190" s="5">
        <f ca="1">SUM(OFFSET(Demand!$E199,0,(COLUMN(F187)-1)*5,1,3))*S$2</f>
        <v>0</v>
      </c>
      <c r="T190" s="5">
        <f ca="1">SUM(OFFSET(Demand!$E199,0,(COLUMN(G187)-1)*5,1,3))*T$2</f>
        <v>0</v>
      </c>
      <c r="U190" s="5">
        <f ca="1">SUM(OFFSET(Demand!$E199,0,(COLUMN(H187)-1)*5,1,3))*U$2</f>
        <v>0</v>
      </c>
      <c r="V190" s="5">
        <f ca="1">SUM(OFFSET(Demand!$E199,0,(COLUMN(I187)-1)*5,1,3))*V$2</f>
        <v>0</v>
      </c>
      <c r="W190" s="5">
        <f ca="1">SUM(OFFSET(Demand!$E199,0,(COLUMN(J187)-1)*5,1,3))*W$2</f>
        <v>0</v>
      </c>
      <c r="X190" s="5">
        <f t="shared" ca="1" si="39"/>
        <v>0</v>
      </c>
      <c r="Y190">
        <f t="shared" ca="1" si="40"/>
        <v>0</v>
      </c>
      <c r="Z190" s="5">
        <f ca="1">SUM(OFFSET(Demand!$H199,0,(COLUMN(A187)-1)*5,1,1))*N$2</f>
        <v>0</v>
      </c>
      <c r="AA190" s="5">
        <f ca="1">SUM(OFFSET(Demand!$H199,0,(COLUMN(B187)-1)*5,1,1))*O$2</f>
        <v>0</v>
      </c>
      <c r="AB190" s="5">
        <f ca="1">SUM(OFFSET(Demand!$H199,0,(COLUMN(C187)-1)*5,1,1))*P$2</f>
        <v>0</v>
      </c>
      <c r="AC190" s="5">
        <f ca="1">SUM(OFFSET(Demand!$H199,0,(COLUMN(D187)-1)*5,1,1))*Q$2</f>
        <v>0</v>
      </c>
      <c r="AD190" s="5">
        <f ca="1">SUM(OFFSET(Demand!$H199,0,(COLUMN(E187)-1)*5,1,1))*R$2</f>
        <v>0</v>
      </c>
      <c r="AE190" s="5">
        <f ca="1">SUM(OFFSET(Demand!$H199,0,(COLUMN(F187)-1)*5,1,1))*S$2</f>
        <v>0</v>
      </c>
      <c r="AF190" s="5">
        <f ca="1">SUM(OFFSET(Demand!$H199,0,(COLUMN(G187)-1)*5,1,1))*T$2</f>
        <v>0</v>
      </c>
      <c r="AG190" s="5">
        <f ca="1">SUM(OFFSET(Demand!$H199,0,(COLUMN(H187)-1)*5,1,1))*U$2</f>
        <v>0</v>
      </c>
      <c r="AH190" s="5">
        <f ca="1">SUM(OFFSET(Demand!$H199,0,(COLUMN(I187)-1)*5,1,1))*V$2</f>
        <v>0</v>
      </c>
      <c r="AI190" s="5">
        <f ca="1">SUM(OFFSET(Demand!$H199,0,(COLUMN(J187)-1)*5,1,1))*W$2</f>
        <v>0</v>
      </c>
      <c r="AJ190" s="5">
        <f t="shared" ca="1" si="41"/>
        <v>0</v>
      </c>
      <c r="AL190" s="5">
        <f t="shared" ca="1" si="42"/>
        <v>0</v>
      </c>
      <c r="AM190" s="5">
        <f t="shared" ca="1" si="43"/>
        <v>0</v>
      </c>
      <c r="AN190" s="5" t="str">
        <f>IF(Demand!BE199="Yes","Yes","")</f>
        <v/>
      </c>
      <c r="AP190" s="37" t="str">
        <f ca="1">Demand!B199</f>
        <v xml:space="preserve"> </v>
      </c>
      <c r="AQ190" t="str">
        <f ca="1">IF(TEXT(Demand!D199,"MMM")&lt;&gt;TEXT(Demand!D198,"MMM"),TEXT(Demand!D199,"MMM"),"")</f>
        <v/>
      </c>
      <c r="AT190" s="5">
        <f t="shared" ca="1" si="45"/>
        <v>0</v>
      </c>
      <c r="BQ190">
        <f ca="1">IF($AN190="",OFFSET(Demand!$A$13,ROW(A187)-1,4+((QUOTIENT(COLUMN(BQ$2)-69,3))*5)+MOD(COLUMN(BQ$2),3),1,1),"")</f>
        <v>0</v>
      </c>
      <c r="BR190">
        <f ca="1">IF($AN190="",OFFSET(Demand!$A$13,ROW(B187)-1,4+((QUOTIENT(COLUMN(BR$2)-69,3))*5)+MOD(COLUMN(BR$2),3),1,1),"")</f>
        <v>0</v>
      </c>
      <c r="BS190">
        <f ca="1">IF($AN190="",OFFSET(Demand!$A$13,ROW(C187)-1,4+((QUOTIENT(COLUMN(BS$2)-69,3))*5)+MOD(COLUMN(BS$2),3),1,1),"")</f>
        <v>0</v>
      </c>
      <c r="BT190">
        <f ca="1">IF($AN190="",OFFSET(Demand!$A$13,ROW(D187)-1,4+((QUOTIENT(COLUMN(BT$2)-69,3))*5)+MOD(COLUMN(BT$2),3),1,1),"")</f>
        <v>0</v>
      </c>
      <c r="BU190">
        <f ca="1">IF($AN190="",OFFSET(Demand!$A$13,ROW(E187)-1,4+((QUOTIENT(COLUMN(BU$2)-69,3))*5)+MOD(COLUMN(BU$2),3),1,1),"")</f>
        <v>0</v>
      </c>
      <c r="BV190">
        <f ca="1">IF($AN190="",OFFSET(Demand!$A$13,ROW(F187)-1,4+((QUOTIENT(COLUMN(BV$2)-69,3))*5)+MOD(COLUMN(BV$2),3),1,1),"")</f>
        <v>0</v>
      </c>
      <c r="BW190">
        <f ca="1">IF($AN190="",OFFSET(Demand!$A$13,ROW(G187)-1,4+((QUOTIENT(COLUMN(BW$2)-69,3))*5)+MOD(COLUMN(BW$2),3),1,1),"")</f>
        <v>0</v>
      </c>
      <c r="BX190">
        <f ca="1">IF($AN190="",OFFSET(Demand!$A$13,ROW(H187)-1,4+((QUOTIENT(COLUMN(BX$2)-69,3))*5)+MOD(COLUMN(BX$2),3),1,1),"")</f>
        <v>0</v>
      </c>
      <c r="BY190">
        <f ca="1">IF($AN190="",OFFSET(Demand!$A$13,ROW(I187)-1,4+((QUOTIENT(COLUMN(BY$2)-69,3))*5)+MOD(COLUMN(BY$2),3),1,1),"")</f>
        <v>0</v>
      </c>
      <c r="BZ190">
        <f ca="1">IF($AN190="",OFFSET(Demand!$A$13,ROW(J187)-1,4+((QUOTIENT(COLUMN(BZ$2)-69,3))*5)+MOD(COLUMN(BZ$2),3),1,1),"")</f>
        <v>0</v>
      </c>
      <c r="CA190">
        <f ca="1">IF($AN190="",OFFSET(Demand!$A$13,ROW(K187)-1,4+((QUOTIENT(COLUMN(CA$2)-69,3))*5)+MOD(COLUMN(CA$2),3),1,1),"")</f>
        <v>0</v>
      </c>
      <c r="CB190">
        <f ca="1">IF($AN190="",OFFSET(Demand!$A$13,ROW(L187)-1,4+((QUOTIENT(COLUMN(CB$2)-69,3))*5)+MOD(COLUMN(CB$2),3),1,1),"")</f>
        <v>0</v>
      </c>
      <c r="CC190">
        <f ca="1">IF($AN190="",OFFSET(Demand!$A$13,ROW(M187)-1,4+((QUOTIENT(COLUMN(CC$2)-69,3))*5)+MOD(COLUMN(CC$2),3),1,1),"")</f>
        <v>0</v>
      </c>
      <c r="CD190">
        <f ca="1">IF($AN190="",OFFSET(Demand!$A$13,ROW(N187)-1,4+((QUOTIENT(COLUMN(CD$2)-69,3))*5)+MOD(COLUMN(CD$2),3),1,1),"")</f>
        <v>0</v>
      </c>
      <c r="CE190">
        <f ca="1">IF($AN190="",OFFSET(Demand!$A$13,ROW(O187)-1,4+((QUOTIENT(COLUMN(CE$2)-69,3))*5)+MOD(COLUMN(CE$2),3),1,1),"")</f>
        <v>0</v>
      </c>
      <c r="CF190">
        <f ca="1">IF($AN190="",OFFSET(Demand!$A$13,ROW(P187)-1,4+((QUOTIENT(COLUMN(CF$2)-69,3))*5)+MOD(COLUMN(CF$2),3),1,1),"")</f>
        <v>0</v>
      </c>
      <c r="CG190">
        <f ca="1">IF($AN190="",OFFSET(Demand!$A$13,ROW(Q187)-1,4+((QUOTIENT(COLUMN(CG$2)-69,3))*5)+MOD(COLUMN(CG$2),3),1,1),"")</f>
        <v>0</v>
      </c>
      <c r="CH190">
        <f ca="1">IF($AN190="",OFFSET(Demand!$A$13,ROW(R187)-1,4+((QUOTIENT(COLUMN(CH$2)-69,3))*5)+MOD(COLUMN(CH$2),3),1,1),"")</f>
        <v>0</v>
      </c>
      <c r="CI190">
        <f ca="1">IF($AN190="",OFFSET(Demand!$A$13,ROW(S187)-1,4+((QUOTIENT(COLUMN(CI$2)-69,3))*5)+MOD(COLUMN(CI$2),3),1,1),"")</f>
        <v>0</v>
      </c>
      <c r="CJ190">
        <f ca="1">IF($AN190="",OFFSET(Demand!$A$13,ROW(T187)-1,4+((QUOTIENT(COLUMN(CJ$2)-69,3))*5)+MOD(COLUMN(CJ$2),3),1,1),"")</f>
        <v>0</v>
      </c>
      <c r="CK190">
        <f ca="1">IF($AN190="",OFFSET(Demand!$A$13,ROW(U187)-1,4+((QUOTIENT(COLUMN(CK$2)-69,3))*5)+MOD(COLUMN(CK$2),3),1,1),"")</f>
        <v>0</v>
      </c>
      <c r="CL190">
        <f ca="1">IF($AN190="",OFFSET(Demand!$A$13,ROW(V187)-1,4+((QUOTIENT(COLUMN(CL$2)-69,3))*5)+MOD(COLUMN(CL$2),3),1,1),"")</f>
        <v>0</v>
      </c>
      <c r="CM190">
        <f ca="1">IF($AN190="",OFFSET(Demand!$A$13,ROW(W187)-1,4+((QUOTIENT(COLUMN(CM$2)-69,3))*5)+MOD(COLUMN(CM$2),3),1,1),"")</f>
        <v>0</v>
      </c>
      <c r="CN190">
        <f ca="1">IF($AN190="",OFFSET(Demand!$A$13,ROW(X187)-1,4+((QUOTIENT(COLUMN(CN$2)-69,3))*5)+MOD(COLUMN(CN$2),3),1,1),"")</f>
        <v>0</v>
      </c>
      <c r="CO190">
        <f ca="1">IF($AN190="",OFFSET(Demand!$A$13,ROW(Y187)-1,4+((QUOTIENT(COLUMN(CO$2)-69,3))*5)+MOD(COLUMN(CO$2),3),1,1),"")</f>
        <v>0</v>
      </c>
      <c r="CP190">
        <f ca="1">IF($AN190="",OFFSET(Demand!$A$13,ROW(Z187)-1,4+((QUOTIENT(COLUMN(CP$2)-69,3))*5)+MOD(COLUMN(CP$2),3),1,1),"")</f>
        <v>0</v>
      </c>
      <c r="CQ190">
        <f ca="1">IF($AN190="",OFFSET(Demand!$A$13,ROW(AA187)-1,4+((QUOTIENT(COLUMN(CQ$2)-69,3))*5)+MOD(COLUMN(CQ$2),3),1,1),"")</f>
        <v>0</v>
      </c>
      <c r="CR190">
        <f ca="1">IF($AN190="",OFFSET(Demand!$A$13,ROW(AB187)-1,4+((QUOTIENT(COLUMN(CR$2)-69,3))*5)+MOD(COLUMN(CR$2),3),1,1),"")</f>
        <v>0</v>
      </c>
      <c r="CS190">
        <f ca="1">IF($AN190="",OFFSET(Demand!$A$13,ROW(AC187)-1,4+((QUOTIENT(COLUMN(CS$2)-69,3))*5)+MOD(COLUMN(CS$2),3),1,1),"")</f>
        <v>0</v>
      </c>
      <c r="CT190">
        <f ca="1">IF($AN190="",OFFSET(Demand!$A$13,ROW(AD187)-1,4+((QUOTIENT(COLUMN(CT$2)-69,3))*5)+MOD(COLUMN(CT$2),3),1,1),"")</f>
        <v>0</v>
      </c>
      <c r="CW190" s="5">
        <f ca="1">SUM(OFFSET(Demand!$H$43,ROW(A187)-1,(COLUMN(A187)-1)*5,1,1))*N$2</f>
        <v>0</v>
      </c>
      <c r="CX190" s="5">
        <f ca="1">SUM(OFFSET(Demand!$H$43,ROW(B187)-1,(COLUMN(B187)-1)*5,1,1))*O$2</f>
        <v>0</v>
      </c>
      <c r="CY190" s="5">
        <f ca="1">SUM(OFFSET(Demand!$H$43,ROW(C187)-1,(COLUMN(C187)-1)*5,1,1))*P$2</f>
        <v>0</v>
      </c>
      <c r="CZ190" s="5">
        <f ca="1">SUM(OFFSET(Demand!$H$43,ROW(D187)-1,(COLUMN(D187)-1)*5,1,1))*Q$2</f>
        <v>0</v>
      </c>
      <c r="DA190" s="5">
        <f ca="1">SUM(OFFSET(Demand!$H$43,ROW(E187)-1,(COLUMN(E187)-1)*5,1,1))*R$2</f>
        <v>0</v>
      </c>
      <c r="DB190" s="5">
        <f ca="1">SUM(OFFSET(Demand!$H$43,ROW(F187)-1,(COLUMN(F187)-1)*5,1,1))*S$2</f>
        <v>0</v>
      </c>
      <c r="DC190" s="5">
        <f ca="1">SUM(OFFSET(Demand!$H$43,ROW(G187)-1,(COLUMN(G187)-1)*5,1,1))*T$2</f>
        <v>0</v>
      </c>
      <c r="DD190" s="5">
        <f ca="1">SUM(OFFSET(Demand!$H$43,ROW(H187)-1,(COLUMN(H187)-1)*5,1,1))*U$2</f>
        <v>0</v>
      </c>
      <c r="DE190" s="5">
        <f ca="1">SUM(OFFSET(Demand!$H$43,ROW(I187)-1,(COLUMN(I187)-1)*5,1,1))*V$2</f>
        <v>0</v>
      </c>
      <c r="DF190" s="5">
        <f ca="1">SUM(OFFSET(Demand!$H$43,ROW(J187)-1,(COLUMN(J187)-1)*5,1,1))*W$2</f>
        <v>0</v>
      </c>
      <c r="DG190" s="5">
        <f t="shared" ca="1" si="44"/>
        <v>0</v>
      </c>
    </row>
    <row r="191" spans="1:111" x14ac:dyDescent="0.2">
      <c r="A191" s="5">
        <f t="shared" ca="1" si="46"/>
        <v>2</v>
      </c>
      <c r="B191" s="5">
        <f ca="1">COUNTBLANK(OFFSET(Demand!$I200,0,(COLUMN(A188)-1)*5,1,1))</f>
        <v>1</v>
      </c>
      <c r="C191" s="5">
        <f ca="1">COUNTBLANK(OFFSET(Demand!$I200,0,(COLUMN(B188)-1)*5,1,1))</f>
        <v>1</v>
      </c>
      <c r="D191" s="5">
        <f ca="1">COUNTBLANK(OFFSET(Demand!$I200,0,(COLUMN(C188)-1)*5,1,1))</f>
        <v>1</v>
      </c>
      <c r="E191" s="5">
        <f ca="1">COUNTBLANK(OFFSET(Demand!$I200,0,(COLUMN(D188)-1)*5,1,1))</f>
        <v>1</v>
      </c>
      <c r="F191" s="5">
        <f ca="1">COUNTBLANK(OFFSET(Demand!$I200,0,(COLUMN(E188)-1)*5,1,1))</f>
        <v>1</v>
      </c>
      <c r="G191" s="5">
        <f ca="1">COUNTBLANK(OFFSET(Demand!$I200,0,(COLUMN(F188)-1)*5,1,1))</f>
        <v>1</v>
      </c>
      <c r="H191" s="5">
        <f ca="1">COUNTBLANK(OFFSET(Demand!$I200,0,(COLUMN(G188)-1)*5,1,1))</f>
        <v>1</v>
      </c>
      <c r="I191" s="5">
        <f ca="1">COUNTBLANK(OFFSET(Demand!$I200,0,(COLUMN(H188)-1)*5,1,1))</f>
        <v>1</v>
      </c>
      <c r="J191" s="5">
        <f ca="1">COUNTBLANK(OFFSET(Demand!$I200,0,(COLUMN(I188)-1)*5,1,1))</f>
        <v>1</v>
      </c>
      <c r="K191" s="5">
        <f ca="1">COUNTBLANK(OFFSET(Demand!$I200,0,(COLUMN(J188)-1)*5,1,1))</f>
        <v>1</v>
      </c>
      <c r="N191" s="5">
        <f ca="1">SUM(OFFSET(Demand!$E200,0,(COLUMN(A188)-1)*5,1,3))*N$2</f>
        <v>0</v>
      </c>
      <c r="O191" s="5">
        <f ca="1">SUM(OFFSET(Demand!$E200,0,(COLUMN(B188)-1)*5,1,3))*O$2</f>
        <v>0</v>
      </c>
      <c r="P191" s="5">
        <f ca="1">SUM(OFFSET(Demand!$E200,0,(COLUMN(C188)-1)*5,1,3))*P$2</f>
        <v>0</v>
      </c>
      <c r="Q191" s="5">
        <f ca="1">SUM(OFFSET(Demand!$E200,0,(COLUMN(D188)-1)*5,1,3))*Q$2</f>
        <v>0</v>
      </c>
      <c r="R191" s="5">
        <f ca="1">SUM(OFFSET(Demand!$E200,0,(COLUMN(E188)-1)*5,1,3))*R$2</f>
        <v>0</v>
      </c>
      <c r="S191" s="5">
        <f ca="1">SUM(OFFSET(Demand!$E200,0,(COLUMN(F188)-1)*5,1,3))*S$2</f>
        <v>0</v>
      </c>
      <c r="T191" s="5">
        <f ca="1">SUM(OFFSET(Demand!$E200,0,(COLUMN(G188)-1)*5,1,3))*T$2</f>
        <v>0</v>
      </c>
      <c r="U191" s="5">
        <f ca="1">SUM(OFFSET(Demand!$E200,0,(COLUMN(H188)-1)*5,1,3))*U$2</f>
        <v>0</v>
      </c>
      <c r="V191" s="5">
        <f ca="1">SUM(OFFSET(Demand!$E200,0,(COLUMN(I188)-1)*5,1,3))*V$2</f>
        <v>0</v>
      </c>
      <c r="W191" s="5">
        <f ca="1">SUM(OFFSET(Demand!$E200,0,(COLUMN(J188)-1)*5,1,3))*W$2</f>
        <v>0</v>
      </c>
      <c r="X191" s="5">
        <f t="shared" ca="1" si="39"/>
        <v>0</v>
      </c>
      <c r="Y191">
        <f t="shared" ca="1" si="40"/>
        <v>0</v>
      </c>
      <c r="Z191" s="5">
        <f ca="1">SUM(OFFSET(Demand!$H200,0,(COLUMN(A188)-1)*5,1,1))*N$2</f>
        <v>0</v>
      </c>
      <c r="AA191" s="5">
        <f ca="1">SUM(OFFSET(Demand!$H200,0,(COLUMN(B188)-1)*5,1,1))*O$2</f>
        <v>0</v>
      </c>
      <c r="AB191" s="5">
        <f ca="1">SUM(OFFSET(Demand!$H200,0,(COLUMN(C188)-1)*5,1,1))*P$2</f>
        <v>0</v>
      </c>
      <c r="AC191" s="5">
        <f ca="1">SUM(OFFSET(Demand!$H200,0,(COLUMN(D188)-1)*5,1,1))*Q$2</f>
        <v>0</v>
      </c>
      <c r="AD191" s="5">
        <f ca="1">SUM(OFFSET(Demand!$H200,0,(COLUMN(E188)-1)*5,1,1))*R$2</f>
        <v>0</v>
      </c>
      <c r="AE191" s="5">
        <f ca="1">SUM(OFFSET(Demand!$H200,0,(COLUMN(F188)-1)*5,1,1))*S$2</f>
        <v>0</v>
      </c>
      <c r="AF191" s="5">
        <f ca="1">SUM(OFFSET(Demand!$H200,0,(COLUMN(G188)-1)*5,1,1))*T$2</f>
        <v>0</v>
      </c>
      <c r="AG191" s="5">
        <f ca="1">SUM(OFFSET(Demand!$H200,0,(COLUMN(H188)-1)*5,1,1))*U$2</f>
        <v>0</v>
      </c>
      <c r="AH191" s="5">
        <f ca="1">SUM(OFFSET(Demand!$H200,0,(COLUMN(I188)-1)*5,1,1))*V$2</f>
        <v>0</v>
      </c>
      <c r="AI191" s="5">
        <f ca="1">SUM(OFFSET(Demand!$H200,0,(COLUMN(J188)-1)*5,1,1))*W$2</f>
        <v>0</v>
      </c>
      <c r="AJ191" s="5">
        <f t="shared" ca="1" si="41"/>
        <v>0</v>
      </c>
      <c r="AL191" s="5">
        <f t="shared" ca="1" si="42"/>
        <v>0</v>
      </c>
      <c r="AM191" s="5">
        <f t="shared" ca="1" si="43"/>
        <v>0</v>
      </c>
      <c r="AN191" s="5" t="str">
        <f>IF(Demand!BE200="Yes","Yes","")</f>
        <v/>
      </c>
      <c r="AP191" s="37" t="str">
        <f ca="1">Demand!B200</f>
        <v xml:space="preserve"> </v>
      </c>
      <c r="AQ191" t="str">
        <f ca="1">IF(TEXT(Demand!D200,"MMM")&lt;&gt;TEXT(Demand!D199,"MMM"),TEXT(Demand!D200,"MMM"),"")</f>
        <v/>
      </c>
      <c r="AT191" s="5">
        <f t="shared" ca="1" si="45"/>
        <v>0</v>
      </c>
      <c r="BQ191">
        <f ca="1">IF($AN191="",OFFSET(Demand!$A$13,ROW(A188)-1,4+((QUOTIENT(COLUMN(BQ$2)-69,3))*5)+MOD(COLUMN(BQ$2),3),1,1),"")</f>
        <v>0</v>
      </c>
      <c r="BR191">
        <f ca="1">IF($AN191="",OFFSET(Demand!$A$13,ROW(B188)-1,4+((QUOTIENT(COLUMN(BR$2)-69,3))*5)+MOD(COLUMN(BR$2),3),1,1),"")</f>
        <v>0</v>
      </c>
      <c r="BS191">
        <f ca="1">IF($AN191="",OFFSET(Demand!$A$13,ROW(C188)-1,4+((QUOTIENT(COLUMN(BS$2)-69,3))*5)+MOD(COLUMN(BS$2),3),1,1),"")</f>
        <v>0</v>
      </c>
      <c r="BT191">
        <f ca="1">IF($AN191="",OFFSET(Demand!$A$13,ROW(D188)-1,4+((QUOTIENT(COLUMN(BT$2)-69,3))*5)+MOD(COLUMN(BT$2),3),1,1),"")</f>
        <v>0</v>
      </c>
      <c r="BU191">
        <f ca="1">IF($AN191="",OFFSET(Demand!$A$13,ROW(E188)-1,4+((QUOTIENT(COLUMN(BU$2)-69,3))*5)+MOD(COLUMN(BU$2),3),1,1),"")</f>
        <v>0</v>
      </c>
      <c r="BV191">
        <f ca="1">IF($AN191="",OFFSET(Demand!$A$13,ROW(F188)-1,4+((QUOTIENT(COLUMN(BV$2)-69,3))*5)+MOD(COLUMN(BV$2),3),1,1),"")</f>
        <v>0</v>
      </c>
      <c r="BW191">
        <f ca="1">IF($AN191="",OFFSET(Demand!$A$13,ROW(G188)-1,4+((QUOTIENT(COLUMN(BW$2)-69,3))*5)+MOD(COLUMN(BW$2),3),1,1),"")</f>
        <v>0</v>
      </c>
      <c r="BX191">
        <f ca="1">IF($AN191="",OFFSET(Demand!$A$13,ROW(H188)-1,4+((QUOTIENT(COLUMN(BX$2)-69,3))*5)+MOD(COLUMN(BX$2),3),1,1),"")</f>
        <v>0</v>
      </c>
      <c r="BY191">
        <f ca="1">IF($AN191="",OFFSET(Demand!$A$13,ROW(I188)-1,4+((QUOTIENT(COLUMN(BY$2)-69,3))*5)+MOD(COLUMN(BY$2),3),1,1),"")</f>
        <v>0</v>
      </c>
      <c r="BZ191">
        <f ca="1">IF($AN191="",OFFSET(Demand!$A$13,ROW(J188)-1,4+((QUOTIENT(COLUMN(BZ$2)-69,3))*5)+MOD(COLUMN(BZ$2),3),1,1),"")</f>
        <v>0</v>
      </c>
      <c r="CA191">
        <f ca="1">IF($AN191="",OFFSET(Demand!$A$13,ROW(K188)-1,4+((QUOTIENT(COLUMN(CA$2)-69,3))*5)+MOD(COLUMN(CA$2),3),1,1),"")</f>
        <v>0</v>
      </c>
      <c r="CB191">
        <f ca="1">IF($AN191="",OFFSET(Demand!$A$13,ROW(L188)-1,4+((QUOTIENT(COLUMN(CB$2)-69,3))*5)+MOD(COLUMN(CB$2),3),1,1),"")</f>
        <v>0</v>
      </c>
      <c r="CC191">
        <f ca="1">IF($AN191="",OFFSET(Demand!$A$13,ROW(M188)-1,4+((QUOTIENT(COLUMN(CC$2)-69,3))*5)+MOD(COLUMN(CC$2),3),1,1),"")</f>
        <v>0</v>
      </c>
      <c r="CD191">
        <f ca="1">IF($AN191="",OFFSET(Demand!$A$13,ROW(N188)-1,4+((QUOTIENT(COLUMN(CD$2)-69,3))*5)+MOD(COLUMN(CD$2),3),1,1),"")</f>
        <v>0</v>
      </c>
      <c r="CE191">
        <f ca="1">IF($AN191="",OFFSET(Demand!$A$13,ROW(O188)-1,4+((QUOTIENT(COLUMN(CE$2)-69,3))*5)+MOD(COLUMN(CE$2),3),1,1),"")</f>
        <v>0</v>
      </c>
      <c r="CF191">
        <f ca="1">IF($AN191="",OFFSET(Demand!$A$13,ROW(P188)-1,4+((QUOTIENT(COLUMN(CF$2)-69,3))*5)+MOD(COLUMN(CF$2),3),1,1),"")</f>
        <v>0</v>
      </c>
      <c r="CG191">
        <f ca="1">IF($AN191="",OFFSET(Demand!$A$13,ROW(Q188)-1,4+((QUOTIENT(COLUMN(CG$2)-69,3))*5)+MOD(COLUMN(CG$2),3),1,1),"")</f>
        <v>0</v>
      </c>
      <c r="CH191">
        <f ca="1">IF($AN191="",OFFSET(Demand!$A$13,ROW(R188)-1,4+((QUOTIENT(COLUMN(CH$2)-69,3))*5)+MOD(COLUMN(CH$2),3),1,1),"")</f>
        <v>0</v>
      </c>
      <c r="CI191">
        <f ca="1">IF($AN191="",OFFSET(Demand!$A$13,ROW(S188)-1,4+((QUOTIENT(COLUMN(CI$2)-69,3))*5)+MOD(COLUMN(CI$2),3),1,1),"")</f>
        <v>0</v>
      </c>
      <c r="CJ191">
        <f ca="1">IF($AN191="",OFFSET(Demand!$A$13,ROW(T188)-1,4+((QUOTIENT(COLUMN(CJ$2)-69,3))*5)+MOD(COLUMN(CJ$2),3),1,1),"")</f>
        <v>0</v>
      </c>
      <c r="CK191">
        <f ca="1">IF($AN191="",OFFSET(Demand!$A$13,ROW(U188)-1,4+((QUOTIENT(COLUMN(CK$2)-69,3))*5)+MOD(COLUMN(CK$2),3),1,1),"")</f>
        <v>0</v>
      </c>
      <c r="CL191">
        <f ca="1">IF($AN191="",OFFSET(Demand!$A$13,ROW(V188)-1,4+((QUOTIENT(COLUMN(CL$2)-69,3))*5)+MOD(COLUMN(CL$2),3),1,1),"")</f>
        <v>0</v>
      </c>
      <c r="CM191">
        <f ca="1">IF($AN191="",OFFSET(Demand!$A$13,ROW(W188)-1,4+((QUOTIENT(COLUMN(CM$2)-69,3))*5)+MOD(COLUMN(CM$2),3),1,1),"")</f>
        <v>0</v>
      </c>
      <c r="CN191">
        <f ca="1">IF($AN191="",OFFSET(Demand!$A$13,ROW(X188)-1,4+((QUOTIENT(COLUMN(CN$2)-69,3))*5)+MOD(COLUMN(CN$2),3),1,1),"")</f>
        <v>0</v>
      </c>
      <c r="CO191">
        <f ca="1">IF($AN191="",OFFSET(Demand!$A$13,ROW(Y188)-1,4+((QUOTIENT(COLUMN(CO$2)-69,3))*5)+MOD(COLUMN(CO$2),3),1,1),"")</f>
        <v>0</v>
      </c>
      <c r="CP191">
        <f ca="1">IF($AN191="",OFFSET(Demand!$A$13,ROW(Z188)-1,4+((QUOTIENT(COLUMN(CP$2)-69,3))*5)+MOD(COLUMN(CP$2),3),1,1),"")</f>
        <v>0</v>
      </c>
      <c r="CQ191">
        <f ca="1">IF($AN191="",OFFSET(Demand!$A$13,ROW(AA188)-1,4+((QUOTIENT(COLUMN(CQ$2)-69,3))*5)+MOD(COLUMN(CQ$2),3),1,1),"")</f>
        <v>0</v>
      </c>
      <c r="CR191">
        <f ca="1">IF($AN191="",OFFSET(Demand!$A$13,ROW(AB188)-1,4+((QUOTIENT(COLUMN(CR$2)-69,3))*5)+MOD(COLUMN(CR$2),3),1,1),"")</f>
        <v>0</v>
      </c>
      <c r="CS191">
        <f ca="1">IF($AN191="",OFFSET(Demand!$A$13,ROW(AC188)-1,4+((QUOTIENT(COLUMN(CS$2)-69,3))*5)+MOD(COLUMN(CS$2),3),1,1),"")</f>
        <v>0</v>
      </c>
      <c r="CT191">
        <f ca="1">IF($AN191="",OFFSET(Demand!$A$13,ROW(AD188)-1,4+((QUOTIENT(COLUMN(CT$2)-69,3))*5)+MOD(COLUMN(CT$2),3),1,1),"")</f>
        <v>0</v>
      </c>
      <c r="CW191" s="5">
        <f ca="1">SUM(OFFSET(Demand!$H$43,ROW(A188)-1,(COLUMN(A188)-1)*5,1,1))*N$2</f>
        <v>0</v>
      </c>
      <c r="CX191" s="5">
        <f ca="1">SUM(OFFSET(Demand!$H$43,ROW(B188)-1,(COLUMN(B188)-1)*5,1,1))*O$2</f>
        <v>0</v>
      </c>
      <c r="CY191" s="5">
        <f ca="1">SUM(OFFSET(Demand!$H$43,ROW(C188)-1,(COLUMN(C188)-1)*5,1,1))*P$2</f>
        <v>0</v>
      </c>
      <c r="CZ191" s="5">
        <f ca="1">SUM(OFFSET(Demand!$H$43,ROW(D188)-1,(COLUMN(D188)-1)*5,1,1))*Q$2</f>
        <v>0</v>
      </c>
      <c r="DA191" s="5">
        <f ca="1">SUM(OFFSET(Demand!$H$43,ROW(E188)-1,(COLUMN(E188)-1)*5,1,1))*R$2</f>
        <v>0</v>
      </c>
      <c r="DB191" s="5">
        <f ca="1">SUM(OFFSET(Demand!$H$43,ROW(F188)-1,(COLUMN(F188)-1)*5,1,1))*S$2</f>
        <v>0</v>
      </c>
      <c r="DC191" s="5">
        <f ca="1">SUM(OFFSET(Demand!$H$43,ROW(G188)-1,(COLUMN(G188)-1)*5,1,1))*T$2</f>
        <v>0</v>
      </c>
      <c r="DD191" s="5">
        <f ca="1">SUM(OFFSET(Demand!$H$43,ROW(H188)-1,(COLUMN(H188)-1)*5,1,1))*U$2</f>
        <v>0</v>
      </c>
      <c r="DE191" s="5">
        <f ca="1">SUM(OFFSET(Demand!$H$43,ROW(I188)-1,(COLUMN(I188)-1)*5,1,1))*V$2</f>
        <v>0</v>
      </c>
      <c r="DF191" s="5">
        <f ca="1">SUM(OFFSET(Demand!$H$43,ROW(J188)-1,(COLUMN(J188)-1)*5,1,1))*W$2</f>
        <v>0</v>
      </c>
      <c r="DG191" s="5">
        <f t="shared" ca="1" si="44"/>
        <v>0</v>
      </c>
    </row>
    <row r="192" spans="1:111" x14ac:dyDescent="0.2">
      <c r="A192" s="5">
        <f t="shared" ca="1" si="46"/>
        <v>2</v>
      </c>
      <c r="B192" s="5">
        <f ca="1">COUNTBLANK(OFFSET(Demand!$I201,0,(COLUMN(A189)-1)*5,1,1))</f>
        <v>1</v>
      </c>
      <c r="C192" s="5">
        <f ca="1">COUNTBLANK(OFFSET(Demand!$I201,0,(COLUMN(B189)-1)*5,1,1))</f>
        <v>1</v>
      </c>
      <c r="D192" s="5">
        <f ca="1">COUNTBLANK(OFFSET(Demand!$I201,0,(COLUMN(C189)-1)*5,1,1))</f>
        <v>1</v>
      </c>
      <c r="E192" s="5">
        <f ca="1">COUNTBLANK(OFFSET(Demand!$I201,0,(COLUMN(D189)-1)*5,1,1))</f>
        <v>1</v>
      </c>
      <c r="F192" s="5">
        <f ca="1">COUNTBLANK(OFFSET(Demand!$I201,0,(COLUMN(E189)-1)*5,1,1))</f>
        <v>1</v>
      </c>
      <c r="G192" s="5">
        <f ca="1">COUNTBLANK(OFFSET(Demand!$I201,0,(COLUMN(F189)-1)*5,1,1))</f>
        <v>1</v>
      </c>
      <c r="H192" s="5">
        <f ca="1">COUNTBLANK(OFFSET(Demand!$I201,0,(COLUMN(G189)-1)*5,1,1))</f>
        <v>1</v>
      </c>
      <c r="I192" s="5">
        <f ca="1">COUNTBLANK(OFFSET(Demand!$I201,0,(COLUMN(H189)-1)*5,1,1))</f>
        <v>1</v>
      </c>
      <c r="J192" s="5">
        <f ca="1">COUNTBLANK(OFFSET(Demand!$I201,0,(COLUMN(I189)-1)*5,1,1))</f>
        <v>1</v>
      </c>
      <c r="K192" s="5">
        <f ca="1">COUNTBLANK(OFFSET(Demand!$I201,0,(COLUMN(J189)-1)*5,1,1))</f>
        <v>1</v>
      </c>
      <c r="N192" s="5">
        <f ca="1">SUM(OFFSET(Demand!$E201,0,(COLUMN(A189)-1)*5,1,3))*N$2</f>
        <v>0</v>
      </c>
      <c r="O192" s="5">
        <f ca="1">SUM(OFFSET(Demand!$E201,0,(COLUMN(B189)-1)*5,1,3))*O$2</f>
        <v>0</v>
      </c>
      <c r="P192" s="5">
        <f ca="1">SUM(OFFSET(Demand!$E201,0,(COLUMN(C189)-1)*5,1,3))*P$2</f>
        <v>0</v>
      </c>
      <c r="Q192" s="5">
        <f ca="1">SUM(OFFSET(Demand!$E201,0,(COLUMN(D189)-1)*5,1,3))*Q$2</f>
        <v>0</v>
      </c>
      <c r="R192" s="5">
        <f ca="1">SUM(OFFSET(Demand!$E201,0,(COLUMN(E189)-1)*5,1,3))*R$2</f>
        <v>0</v>
      </c>
      <c r="S192" s="5">
        <f ca="1">SUM(OFFSET(Demand!$E201,0,(COLUMN(F189)-1)*5,1,3))*S$2</f>
        <v>0</v>
      </c>
      <c r="T192" s="5">
        <f ca="1">SUM(OFFSET(Demand!$E201,0,(COLUMN(G189)-1)*5,1,3))*T$2</f>
        <v>0</v>
      </c>
      <c r="U192" s="5">
        <f ca="1">SUM(OFFSET(Demand!$E201,0,(COLUMN(H189)-1)*5,1,3))*U$2</f>
        <v>0</v>
      </c>
      <c r="V192" s="5">
        <f ca="1">SUM(OFFSET(Demand!$E201,0,(COLUMN(I189)-1)*5,1,3))*V$2</f>
        <v>0</v>
      </c>
      <c r="W192" s="5">
        <f ca="1">SUM(OFFSET(Demand!$E201,0,(COLUMN(J189)-1)*5,1,3))*W$2</f>
        <v>0</v>
      </c>
      <c r="X192" s="5">
        <f t="shared" ca="1" si="39"/>
        <v>0</v>
      </c>
      <c r="Y192">
        <f t="shared" ca="1" si="40"/>
        <v>0</v>
      </c>
      <c r="Z192" s="5">
        <f ca="1">SUM(OFFSET(Demand!$H201,0,(COLUMN(A189)-1)*5,1,1))*N$2</f>
        <v>0</v>
      </c>
      <c r="AA192" s="5">
        <f ca="1">SUM(OFFSET(Demand!$H201,0,(COLUMN(B189)-1)*5,1,1))*O$2</f>
        <v>0</v>
      </c>
      <c r="AB192" s="5">
        <f ca="1">SUM(OFFSET(Demand!$H201,0,(COLUMN(C189)-1)*5,1,1))*P$2</f>
        <v>0</v>
      </c>
      <c r="AC192" s="5">
        <f ca="1">SUM(OFFSET(Demand!$H201,0,(COLUMN(D189)-1)*5,1,1))*Q$2</f>
        <v>0</v>
      </c>
      <c r="AD192" s="5">
        <f ca="1">SUM(OFFSET(Demand!$H201,0,(COLUMN(E189)-1)*5,1,1))*R$2</f>
        <v>0</v>
      </c>
      <c r="AE192" s="5">
        <f ca="1">SUM(OFFSET(Demand!$H201,0,(COLUMN(F189)-1)*5,1,1))*S$2</f>
        <v>0</v>
      </c>
      <c r="AF192" s="5">
        <f ca="1">SUM(OFFSET(Demand!$H201,0,(COLUMN(G189)-1)*5,1,1))*T$2</f>
        <v>0</v>
      </c>
      <c r="AG192" s="5">
        <f ca="1">SUM(OFFSET(Demand!$H201,0,(COLUMN(H189)-1)*5,1,1))*U$2</f>
        <v>0</v>
      </c>
      <c r="AH192" s="5">
        <f ca="1">SUM(OFFSET(Demand!$H201,0,(COLUMN(I189)-1)*5,1,1))*V$2</f>
        <v>0</v>
      </c>
      <c r="AI192" s="5">
        <f ca="1">SUM(OFFSET(Demand!$H201,0,(COLUMN(J189)-1)*5,1,1))*W$2</f>
        <v>0</v>
      </c>
      <c r="AJ192" s="5">
        <f t="shared" ca="1" si="41"/>
        <v>0</v>
      </c>
      <c r="AL192" s="5">
        <f t="shared" ca="1" si="42"/>
        <v>0</v>
      </c>
      <c r="AM192" s="5">
        <f t="shared" ca="1" si="43"/>
        <v>0</v>
      </c>
      <c r="AN192" s="5" t="str">
        <f>IF(Demand!BE201="Yes","Yes","")</f>
        <v/>
      </c>
      <c r="AP192" s="37" t="str">
        <f ca="1">Demand!B201</f>
        <v xml:space="preserve"> </v>
      </c>
      <c r="AQ192" t="str">
        <f ca="1">IF(TEXT(Demand!D201,"MMM")&lt;&gt;TEXT(Demand!D200,"MMM"),TEXT(Demand!D201,"MMM"),"")</f>
        <v/>
      </c>
      <c r="AT192" s="5">
        <f t="shared" ca="1" si="45"/>
        <v>0</v>
      </c>
      <c r="BQ192">
        <f ca="1">IF($AN192="",OFFSET(Demand!$A$13,ROW(A189)-1,4+((QUOTIENT(COLUMN(BQ$2)-69,3))*5)+MOD(COLUMN(BQ$2),3),1,1),"")</f>
        <v>0</v>
      </c>
      <c r="BR192">
        <f ca="1">IF($AN192="",OFFSET(Demand!$A$13,ROW(B189)-1,4+((QUOTIENT(COLUMN(BR$2)-69,3))*5)+MOD(COLUMN(BR$2),3),1,1),"")</f>
        <v>0</v>
      </c>
      <c r="BS192">
        <f ca="1">IF($AN192="",OFFSET(Demand!$A$13,ROW(C189)-1,4+((QUOTIENT(COLUMN(BS$2)-69,3))*5)+MOD(COLUMN(BS$2),3),1,1),"")</f>
        <v>0</v>
      </c>
      <c r="BT192">
        <f ca="1">IF($AN192="",OFFSET(Demand!$A$13,ROW(D189)-1,4+((QUOTIENT(COLUMN(BT$2)-69,3))*5)+MOD(COLUMN(BT$2),3),1,1),"")</f>
        <v>0</v>
      </c>
      <c r="BU192">
        <f ca="1">IF($AN192="",OFFSET(Demand!$A$13,ROW(E189)-1,4+((QUOTIENT(COLUMN(BU$2)-69,3))*5)+MOD(COLUMN(BU$2),3),1,1),"")</f>
        <v>0</v>
      </c>
      <c r="BV192">
        <f ca="1">IF($AN192="",OFFSET(Demand!$A$13,ROW(F189)-1,4+((QUOTIENT(COLUMN(BV$2)-69,3))*5)+MOD(COLUMN(BV$2),3),1,1),"")</f>
        <v>0</v>
      </c>
      <c r="BW192">
        <f ca="1">IF($AN192="",OFFSET(Demand!$A$13,ROW(G189)-1,4+((QUOTIENT(COLUMN(BW$2)-69,3))*5)+MOD(COLUMN(BW$2),3),1,1),"")</f>
        <v>0</v>
      </c>
      <c r="BX192">
        <f ca="1">IF($AN192="",OFFSET(Demand!$A$13,ROW(H189)-1,4+((QUOTIENT(COLUMN(BX$2)-69,3))*5)+MOD(COLUMN(BX$2),3),1,1),"")</f>
        <v>0</v>
      </c>
      <c r="BY192">
        <f ca="1">IF($AN192="",OFFSET(Demand!$A$13,ROW(I189)-1,4+((QUOTIENT(COLUMN(BY$2)-69,3))*5)+MOD(COLUMN(BY$2),3),1,1),"")</f>
        <v>0</v>
      </c>
      <c r="BZ192">
        <f ca="1">IF($AN192="",OFFSET(Demand!$A$13,ROW(J189)-1,4+((QUOTIENT(COLUMN(BZ$2)-69,3))*5)+MOD(COLUMN(BZ$2),3),1,1),"")</f>
        <v>0</v>
      </c>
      <c r="CA192">
        <f ca="1">IF($AN192="",OFFSET(Demand!$A$13,ROW(K189)-1,4+((QUOTIENT(COLUMN(CA$2)-69,3))*5)+MOD(COLUMN(CA$2),3),1,1),"")</f>
        <v>0</v>
      </c>
      <c r="CB192">
        <f ca="1">IF($AN192="",OFFSET(Demand!$A$13,ROW(L189)-1,4+((QUOTIENT(COLUMN(CB$2)-69,3))*5)+MOD(COLUMN(CB$2),3),1,1),"")</f>
        <v>0</v>
      </c>
      <c r="CC192">
        <f ca="1">IF($AN192="",OFFSET(Demand!$A$13,ROW(M189)-1,4+((QUOTIENT(COLUMN(CC$2)-69,3))*5)+MOD(COLUMN(CC$2),3),1,1),"")</f>
        <v>0</v>
      </c>
      <c r="CD192">
        <f ca="1">IF($AN192="",OFFSET(Demand!$A$13,ROW(N189)-1,4+((QUOTIENT(COLUMN(CD$2)-69,3))*5)+MOD(COLUMN(CD$2),3),1,1),"")</f>
        <v>0</v>
      </c>
      <c r="CE192">
        <f ca="1">IF($AN192="",OFFSET(Demand!$A$13,ROW(O189)-1,4+((QUOTIENT(COLUMN(CE$2)-69,3))*5)+MOD(COLUMN(CE$2),3),1,1),"")</f>
        <v>0</v>
      </c>
      <c r="CF192">
        <f ca="1">IF($AN192="",OFFSET(Demand!$A$13,ROW(P189)-1,4+((QUOTIENT(COLUMN(CF$2)-69,3))*5)+MOD(COLUMN(CF$2),3),1,1),"")</f>
        <v>0</v>
      </c>
      <c r="CG192">
        <f ca="1">IF($AN192="",OFFSET(Demand!$A$13,ROW(Q189)-1,4+((QUOTIENT(COLUMN(CG$2)-69,3))*5)+MOD(COLUMN(CG$2),3),1,1),"")</f>
        <v>0</v>
      </c>
      <c r="CH192">
        <f ca="1">IF($AN192="",OFFSET(Demand!$A$13,ROW(R189)-1,4+((QUOTIENT(COLUMN(CH$2)-69,3))*5)+MOD(COLUMN(CH$2),3),1,1),"")</f>
        <v>0</v>
      </c>
      <c r="CI192">
        <f ca="1">IF($AN192="",OFFSET(Demand!$A$13,ROW(S189)-1,4+((QUOTIENT(COLUMN(CI$2)-69,3))*5)+MOD(COLUMN(CI$2),3),1,1),"")</f>
        <v>0</v>
      </c>
      <c r="CJ192">
        <f ca="1">IF($AN192="",OFFSET(Demand!$A$13,ROW(T189)-1,4+((QUOTIENT(COLUMN(CJ$2)-69,3))*5)+MOD(COLUMN(CJ$2),3),1,1),"")</f>
        <v>0</v>
      </c>
      <c r="CK192">
        <f ca="1">IF($AN192="",OFFSET(Demand!$A$13,ROW(U189)-1,4+((QUOTIENT(COLUMN(CK$2)-69,3))*5)+MOD(COLUMN(CK$2),3),1,1),"")</f>
        <v>0</v>
      </c>
      <c r="CL192">
        <f ca="1">IF($AN192="",OFFSET(Demand!$A$13,ROW(V189)-1,4+((QUOTIENT(COLUMN(CL$2)-69,3))*5)+MOD(COLUMN(CL$2),3),1,1),"")</f>
        <v>0</v>
      </c>
      <c r="CM192">
        <f ca="1">IF($AN192="",OFFSET(Demand!$A$13,ROW(W189)-1,4+((QUOTIENT(COLUMN(CM$2)-69,3))*5)+MOD(COLUMN(CM$2),3),1,1),"")</f>
        <v>0</v>
      </c>
      <c r="CN192">
        <f ca="1">IF($AN192="",OFFSET(Demand!$A$13,ROW(X189)-1,4+((QUOTIENT(COLUMN(CN$2)-69,3))*5)+MOD(COLUMN(CN$2),3),1,1),"")</f>
        <v>0</v>
      </c>
      <c r="CO192">
        <f ca="1">IF($AN192="",OFFSET(Demand!$A$13,ROW(Y189)-1,4+((QUOTIENT(COLUMN(CO$2)-69,3))*5)+MOD(COLUMN(CO$2),3),1,1),"")</f>
        <v>0</v>
      </c>
      <c r="CP192">
        <f ca="1">IF($AN192="",OFFSET(Demand!$A$13,ROW(Z189)-1,4+((QUOTIENT(COLUMN(CP$2)-69,3))*5)+MOD(COLUMN(CP$2),3),1,1),"")</f>
        <v>0</v>
      </c>
      <c r="CQ192">
        <f ca="1">IF($AN192="",OFFSET(Demand!$A$13,ROW(AA189)-1,4+((QUOTIENT(COLUMN(CQ$2)-69,3))*5)+MOD(COLUMN(CQ$2),3),1,1),"")</f>
        <v>0</v>
      </c>
      <c r="CR192">
        <f ca="1">IF($AN192="",OFFSET(Demand!$A$13,ROW(AB189)-1,4+((QUOTIENT(COLUMN(CR$2)-69,3))*5)+MOD(COLUMN(CR$2),3),1,1),"")</f>
        <v>0</v>
      </c>
      <c r="CS192">
        <f ca="1">IF($AN192="",OFFSET(Demand!$A$13,ROW(AC189)-1,4+((QUOTIENT(COLUMN(CS$2)-69,3))*5)+MOD(COLUMN(CS$2),3),1,1),"")</f>
        <v>0</v>
      </c>
      <c r="CT192">
        <f ca="1">IF($AN192="",OFFSET(Demand!$A$13,ROW(AD189)-1,4+((QUOTIENT(COLUMN(CT$2)-69,3))*5)+MOD(COLUMN(CT$2),3),1,1),"")</f>
        <v>0</v>
      </c>
      <c r="CW192" s="5">
        <f ca="1">SUM(OFFSET(Demand!$H$43,ROW(A189)-1,(COLUMN(A189)-1)*5,1,1))*N$2</f>
        <v>0</v>
      </c>
      <c r="CX192" s="5">
        <f ca="1">SUM(OFFSET(Demand!$H$43,ROW(B189)-1,(COLUMN(B189)-1)*5,1,1))*O$2</f>
        <v>0</v>
      </c>
      <c r="CY192" s="5">
        <f ca="1">SUM(OFFSET(Demand!$H$43,ROW(C189)-1,(COLUMN(C189)-1)*5,1,1))*P$2</f>
        <v>0</v>
      </c>
      <c r="CZ192" s="5">
        <f ca="1">SUM(OFFSET(Demand!$H$43,ROW(D189)-1,(COLUMN(D189)-1)*5,1,1))*Q$2</f>
        <v>0</v>
      </c>
      <c r="DA192" s="5">
        <f ca="1">SUM(OFFSET(Demand!$H$43,ROW(E189)-1,(COLUMN(E189)-1)*5,1,1))*R$2</f>
        <v>0</v>
      </c>
      <c r="DB192" s="5">
        <f ca="1">SUM(OFFSET(Demand!$H$43,ROW(F189)-1,(COLUMN(F189)-1)*5,1,1))*S$2</f>
        <v>0</v>
      </c>
      <c r="DC192" s="5">
        <f ca="1">SUM(OFFSET(Demand!$H$43,ROW(G189)-1,(COLUMN(G189)-1)*5,1,1))*T$2</f>
        <v>0</v>
      </c>
      <c r="DD192" s="5">
        <f ca="1">SUM(OFFSET(Demand!$H$43,ROW(H189)-1,(COLUMN(H189)-1)*5,1,1))*U$2</f>
        <v>0</v>
      </c>
      <c r="DE192" s="5">
        <f ca="1">SUM(OFFSET(Demand!$H$43,ROW(I189)-1,(COLUMN(I189)-1)*5,1,1))*V$2</f>
        <v>0</v>
      </c>
      <c r="DF192" s="5">
        <f ca="1">SUM(OFFSET(Demand!$H$43,ROW(J189)-1,(COLUMN(J189)-1)*5,1,1))*W$2</f>
        <v>0</v>
      </c>
      <c r="DG192" s="5">
        <f t="shared" ca="1" si="44"/>
        <v>0</v>
      </c>
    </row>
    <row r="193" spans="1:111" x14ac:dyDescent="0.2">
      <c r="A193" s="5">
        <f t="shared" ca="1" si="46"/>
        <v>2</v>
      </c>
      <c r="B193" s="5">
        <f ca="1">COUNTBLANK(OFFSET(Demand!$I202,0,(COLUMN(A190)-1)*5,1,1))</f>
        <v>1</v>
      </c>
      <c r="C193" s="5">
        <f ca="1">COUNTBLANK(OFFSET(Demand!$I202,0,(COLUMN(B190)-1)*5,1,1))</f>
        <v>1</v>
      </c>
      <c r="D193" s="5">
        <f ca="1">COUNTBLANK(OFFSET(Demand!$I202,0,(COLUMN(C190)-1)*5,1,1))</f>
        <v>1</v>
      </c>
      <c r="E193" s="5">
        <f ca="1">COUNTBLANK(OFFSET(Demand!$I202,0,(COLUMN(D190)-1)*5,1,1))</f>
        <v>1</v>
      </c>
      <c r="F193" s="5">
        <f ca="1">COUNTBLANK(OFFSET(Demand!$I202,0,(COLUMN(E190)-1)*5,1,1))</f>
        <v>1</v>
      </c>
      <c r="G193" s="5">
        <f ca="1">COUNTBLANK(OFFSET(Demand!$I202,0,(COLUMN(F190)-1)*5,1,1))</f>
        <v>1</v>
      </c>
      <c r="H193" s="5">
        <f ca="1">COUNTBLANK(OFFSET(Demand!$I202,0,(COLUMN(G190)-1)*5,1,1))</f>
        <v>1</v>
      </c>
      <c r="I193" s="5">
        <f ca="1">COUNTBLANK(OFFSET(Demand!$I202,0,(COLUMN(H190)-1)*5,1,1))</f>
        <v>1</v>
      </c>
      <c r="J193" s="5">
        <f ca="1">COUNTBLANK(OFFSET(Demand!$I202,0,(COLUMN(I190)-1)*5,1,1))</f>
        <v>1</v>
      </c>
      <c r="K193" s="5">
        <f ca="1">COUNTBLANK(OFFSET(Demand!$I202,0,(COLUMN(J190)-1)*5,1,1))</f>
        <v>1</v>
      </c>
      <c r="N193" s="5">
        <f ca="1">SUM(OFFSET(Demand!$E202,0,(COLUMN(A190)-1)*5,1,3))*N$2</f>
        <v>0</v>
      </c>
      <c r="O193" s="5">
        <f ca="1">SUM(OFFSET(Demand!$E202,0,(COLUMN(B190)-1)*5,1,3))*O$2</f>
        <v>0</v>
      </c>
      <c r="P193" s="5">
        <f ca="1">SUM(OFFSET(Demand!$E202,0,(COLUMN(C190)-1)*5,1,3))*P$2</f>
        <v>0</v>
      </c>
      <c r="Q193" s="5">
        <f ca="1">SUM(OFFSET(Demand!$E202,0,(COLUMN(D190)-1)*5,1,3))*Q$2</f>
        <v>0</v>
      </c>
      <c r="R193" s="5">
        <f ca="1">SUM(OFFSET(Demand!$E202,0,(COLUMN(E190)-1)*5,1,3))*R$2</f>
        <v>0</v>
      </c>
      <c r="S193" s="5">
        <f ca="1">SUM(OFFSET(Demand!$E202,0,(COLUMN(F190)-1)*5,1,3))*S$2</f>
        <v>0</v>
      </c>
      <c r="T193" s="5">
        <f ca="1">SUM(OFFSET(Demand!$E202,0,(COLUMN(G190)-1)*5,1,3))*T$2</f>
        <v>0</v>
      </c>
      <c r="U193" s="5">
        <f ca="1">SUM(OFFSET(Demand!$E202,0,(COLUMN(H190)-1)*5,1,3))*U$2</f>
        <v>0</v>
      </c>
      <c r="V193" s="5">
        <f ca="1">SUM(OFFSET(Demand!$E202,0,(COLUMN(I190)-1)*5,1,3))*V$2</f>
        <v>0</v>
      </c>
      <c r="W193" s="5">
        <f ca="1">SUM(OFFSET(Demand!$E202,0,(COLUMN(J190)-1)*5,1,3))*W$2</f>
        <v>0</v>
      </c>
      <c r="X193" s="5">
        <f t="shared" ca="1" si="39"/>
        <v>0</v>
      </c>
      <c r="Y193">
        <f t="shared" ca="1" si="40"/>
        <v>0</v>
      </c>
      <c r="Z193" s="5">
        <f ca="1">SUM(OFFSET(Demand!$H202,0,(COLUMN(A190)-1)*5,1,1))*N$2</f>
        <v>0</v>
      </c>
      <c r="AA193" s="5">
        <f ca="1">SUM(OFFSET(Demand!$H202,0,(COLUMN(B190)-1)*5,1,1))*O$2</f>
        <v>0</v>
      </c>
      <c r="AB193" s="5">
        <f ca="1">SUM(OFFSET(Demand!$H202,0,(COLUMN(C190)-1)*5,1,1))*P$2</f>
        <v>0</v>
      </c>
      <c r="AC193" s="5">
        <f ca="1">SUM(OFFSET(Demand!$H202,0,(COLUMN(D190)-1)*5,1,1))*Q$2</f>
        <v>0</v>
      </c>
      <c r="AD193" s="5">
        <f ca="1">SUM(OFFSET(Demand!$H202,0,(COLUMN(E190)-1)*5,1,1))*R$2</f>
        <v>0</v>
      </c>
      <c r="AE193" s="5">
        <f ca="1">SUM(OFFSET(Demand!$H202,0,(COLUMN(F190)-1)*5,1,1))*S$2</f>
        <v>0</v>
      </c>
      <c r="AF193" s="5">
        <f ca="1">SUM(OFFSET(Demand!$H202,0,(COLUMN(G190)-1)*5,1,1))*T$2</f>
        <v>0</v>
      </c>
      <c r="AG193" s="5">
        <f ca="1">SUM(OFFSET(Demand!$H202,0,(COLUMN(H190)-1)*5,1,1))*U$2</f>
        <v>0</v>
      </c>
      <c r="AH193" s="5">
        <f ca="1">SUM(OFFSET(Demand!$H202,0,(COLUMN(I190)-1)*5,1,1))*V$2</f>
        <v>0</v>
      </c>
      <c r="AI193" s="5">
        <f ca="1">SUM(OFFSET(Demand!$H202,0,(COLUMN(J190)-1)*5,1,1))*W$2</f>
        <v>0</v>
      </c>
      <c r="AJ193" s="5">
        <f t="shared" ca="1" si="41"/>
        <v>0</v>
      </c>
      <c r="AL193" s="5">
        <f t="shared" ca="1" si="42"/>
        <v>0</v>
      </c>
      <c r="AM193" s="5">
        <f t="shared" ca="1" si="43"/>
        <v>0</v>
      </c>
      <c r="AN193" s="5" t="str">
        <f>IF(Demand!BE202="Yes","Yes","")</f>
        <v/>
      </c>
      <c r="AP193" s="37" t="str">
        <f ca="1">Demand!B202</f>
        <v xml:space="preserve"> </v>
      </c>
      <c r="AQ193" t="str">
        <f ca="1">IF(TEXT(Demand!D202,"MMM")&lt;&gt;TEXT(Demand!D201,"MMM"),TEXT(Demand!D202,"MMM"),"")</f>
        <v/>
      </c>
      <c r="AT193" s="5">
        <f t="shared" ca="1" si="45"/>
        <v>0</v>
      </c>
      <c r="BQ193">
        <f ca="1">IF($AN193="",OFFSET(Demand!$A$13,ROW(A190)-1,4+((QUOTIENT(COLUMN(BQ$2)-69,3))*5)+MOD(COLUMN(BQ$2),3),1,1),"")</f>
        <v>0</v>
      </c>
      <c r="BR193">
        <f ca="1">IF($AN193="",OFFSET(Demand!$A$13,ROW(B190)-1,4+((QUOTIENT(COLUMN(BR$2)-69,3))*5)+MOD(COLUMN(BR$2),3),1,1),"")</f>
        <v>0</v>
      </c>
      <c r="BS193">
        <f ca="1">IF($AN193="",OFFSET(Demand!$A$13,ROW(C190)-1,4+((QUOTIENT(COLUMN(BS$2)-69,3))*5)+MOD(COLUMN(BS$2),3),1,1),"")</f>
        <v>0</v>
      </c>
      <c r="BT193">
        <f ca="1">IF($AN193="",OFFSET(Demand!$A$13,ROW(D190)-1,4+((QUOTIENT(COLUMN(BT$2)-69,3))*5)+MOD(COLUMN(BT$2),3),1,1),"")</f>
        <v>0</v>
      </c>
      <c r="BU193">
        <f ca="1">IF($AN193="",OFFSET(Demand!$A$13,ROW(E190)-1,4+((QUOTIENT(COLUMN(BU$2)-69,3))*5)+MOD(COLUMN(BU$2),3),1,1),"")</f>
        <v>0</v>
      </c>
      <c r="BV193">
        <f ca="1">IF($AN193="",OFFSET(Demand!$A$13,ROW(F190)-1,4+((QUOTIENT(COLUMN(BV$2)-69,3))*5)+MOD(COLUMN(BV$2),3),1,1),"")</f>
        <v>0</v>
      </c>
      <c r="BW193">
        <f ca="1">IF($AN193="",OFFSET(Demand!$A$13,ROW(G190)-1,4+((QUOTIENT(COLUMN(BW$2)-69,3))*5)+MOD(COLUMN(BW$2),3),1,1),"")</f>
        <v>0</v>
      </c>
      <c r="BX193">
        <f ca="1">IF($AN193="",OFFSET(Demand!$A$13,ROW(H190)-1,4+((QUOTIENT(COLUMN(BX$2)-69,3))*5)+MOD(COLUMN(BX$2),3),1,1),"")</f>
        <v>0</v>
      </c>
      <c r="BY193">
        <f ca="1">IF($AN193="",OFFSET(Demand!$A$13,ROW(I190)-1,4+((QUOTIENT(COLUMN(BY$2)-69,3))*5)+MOD(COLUMN(BY$2),3),1,1),"")</f>
        <v>0</v>
      </c>
      <c r="BZ193">
        <f ca="1">IF($AN193="",OFFSET(Demand!$A$13,ROW(J190)-1,4+((QUOTIENT(COLUMN(BZ$2)-69,3))*5)+MOD(COLUMN(BZ$2),3),1,1),"")</f>
        <v>0</v>
      </c>
      <c r="CA193">
        <f ca="1">IF($AN193="",OFFSET(Demand!$A$13,ROW(K190)-1,4+((QUOTIENT(COLUMN(CA$2)-69,3))*5)+MOD(COLUMN(CA$2),3),1,1),"")</f>
        <v>0</v>
      </c>
      <c r="CB193">
        <f ca="1">IF($AN193="",OFFSET(Demand!$A$13,ROW(L190)-1,4+((QUOTIENT(COLUMN(CB$2)-69,3))*5)+MOD(COLUMN(CB$2),3),1,1),"")</f>
        <v>0</v>
      </c>
      <c r="CC193">
        <f ca="1">IF($AN193="",OFFSET(Demand!$A$13,ROW(M190)-1,4+((QUOTIENT(COLUMN(CC$2)-69,3))*5)+MOD(COLUMN(CC$2),3),1,1),"")</f>
        <v>0</v>
      </c>
      <c r="CD193">
        <f ca="1">IF($AN193="",OFFSET(Demand!$A$13,ROW(N190)-1,4+((QUOTIENT(COLUMN(CD$2)-69,3))*5)+MOD(COLUMN(CD$2),3),1,1),"")</f>
        <v>0</v>
      </c>
      <c r="CE193">
        <f ca="1">IF($AN193="",OFFSET(Demand!$A$13,ROW(O190)-1,4+((QUOTIENT(COLUMN(CE$2)-69,3))*5)+MOD(COLUMN(CE$2),3),1,1),"")</f>
        <v>0</v>
      </c>
      <c r="CF193">
        <f ca="1">IF($AN193="",OFFSET(Demand!$A$13,ROW(P190)-1,4+((QUOTIENT(COLUMN(CF$2)-69,3))*5)+MOD(COLUMN(CF$2),3),1,1),"")</f>
        <v>0</v>
      </c>
      <c r="CG193">
        <f ca="1">IF($AN193="",OFFSET(Demand!$A$13,ROW(Q190)-1,4+((QUOTIENT(COLUMN(CG$2)-69,3))*5)+MOD(COLUMN(CG$2),3),1,1),"")</f>
        <v>0</v>
      </c>
      <c r="CH193">
        <f ca="1">IF($AN193="",OFFSET(Demand!$A$13,ROW(R190)-1,4+((QUOTIENT(COLUMN(CH$2)-69,3))*5)+MOD(COLUMN(CH$2),3),1,1),"")</f>
        <v>0</v>
      </c>
      <c r="CI193">
        <f ca="1">IF($AN193="",OFFSET(Demand!$A$13,ROW(S190)-1,4+((QUOTIENT(COLUMN(CI$2)-69,3))*5)+MOD(COLUMN(CI$2),3),1,1),"")</f>
        <v>0</v>
      </c>
      <c r="CJ193">
        <f ca="1">IF($AN193="",OFFSET(Demand!$A$13,ROW(T190)-1,4+((QUOTIENT(COLUMN(CJ$2)-69,3))*5)+MOD(COLUMN(CJ$2),3),1,1),"")</f>
        <v>0</v>
      </c>
      <c r="CK193">
        <f ca="1">IF($AN193="",OFFSET(Demand!$A$13,ROW(U190)-1,4+((QUOTIENT(COLUMN(CK$2)-69,3))*5)+MOD(COLUMN(CK$2),3),1,1),"")</f>
        <v>0</v>
      </c>
      <c r="CL193">
        <f ca="1">IF($AN193="",OFFSET(Demand!$A$13,ROW(V190)-1,4+((QUOTIENT(COLUMN(CL$2)-69,3))*5)+MOD(COLUMN(CL$2),3),1,1),"")</f>
        <v>0</v>
      </c>
      <c r="CM193">
        <f ca="1">IF($AN193="",OFFSET(Demand!$A$13,ROW(W190)-1,4+((QUOTIENT(COLUMN(CM$2)-69,3))*5)+MOD(COLUMN(CM$2),3),1,1),"")</f>
        <v>0</v>
      </c>
      <c r="CN193">
        <f ca="1">IF($AN193="",OFFSET(Demand!$A$13,ROW(X190)-1,4+((QUOTIENT(COLUMN(CN$2)-69,3))*5)+MOD(COLUMN(CN$2),3),1,1),"")</f>
        <v>0</v>
      </c>
      <c r="CO193">
        <f ca="1">IF($AN193="",OFFSET(Demand!$A$13,ROW(Y190)-1,4+((QUOTIENT(COLUMN(CO$2)-69,3))*5)+MOD(COLUMN(CO$2),3),1,1),"")</f>
        <v>0</v>
      </c>
      <c r="CP193">
        <f ca="1">IF($AN193="",OFFSET(Demand!$A$13,ROW(Z190)-1,4+((QUOTIENT(COLUMN(CP$2)-69,3))*5)+MOD(COLUMN(CP$2),3),1,1),"")</f>
        <v>0</v>
      </c>
      <c r="CQ193">
        <f ca="1">IF($AN193="",OFFSET(Demand!$A$13,ROW(AA190)-1,4+((QUOTIENT(COLUMN(CQ$2)-69,3))*5)+MOD(COLUMN(CQ$2),3),1,1),"")</f>
        <v>0</v>
      </c>
      <c r="CR193">
        <f ca="1">IF($AN193="",OFFSET(Demand!$A$13,ROW(AB190)-1,4+((QUOTIENT(COLUMN(CR$2)-69,3))*5)+MOD(COLUMN(CR$2),3),1,1),"")</f>
        <v>0</v>
      </c>
      <c r="CS193">
        <f ca="1">IF($AN193="",OFFSET(Demand!$A$13,ROW(AC190)-1,4+((QUOTIENT(COLUMN(CS$2)-69,3))*5)+MOD(COLUMN(CS$2),3),1,1),"")</f>
        <v>0</v>
      </c>
      <c r="CT193">
        <f ca="1">IF($AN193="",OFFSET(Demand!$A$13,ROW(AD190)-1,4+((QUOTIENT(COLUMN(CT$2)-69,3))*5)+MOD(COLUMN(CT$2),3),1,1),"")</f>
        <v>0</v>
      </c>
      <c r="CW193" s="5">
        <f ca="1">SUM(OFFSET(Demand!$H$43,ROW(A190)-1,(COLUMN(A190)-1)*5,1,1))*N$2</f>
        <v>0</v>
      </c>
      <c r="CX193" s="5">
        <f ca="1">SUM(OFFSET(Demand!$H$43,ROW(B190)-1,(COLUMN(B190)-1)*5,1,1))*O$2</f>
        <v>0</v>
      </c>
      <c r="CY193" s="5">
        <f ca="1">SUM(OFFSET(Demand!$H$43,ROW(C190)-1,(COLUMN(C190)-1)*5,1,1))*P$2</f>
        <v>0</v>
      </c>
      <c r="CZ193" s="5">
        <f ca="1">SUM(OFFSET(Demand!$H$43,ROW(D190)-1,(COLUMN(D190)-1)*5,1,1))*Q$2</f>
        <v>0</v>
      </c>
      <c r="DA193" s="5">
        <f ca="1">SUM(OFFSET(Demand!$H$43,ROW(E190)-1,(COLUMN(E190)-1)*5,1,1))*R$2</f>
        <v>0</v>
      </c>
      <c r="DB193" s="5">
        <f ca="1">SUM(OFFSET(Demand!$H$43,ROW(F190)-1,(COLUMN(F190)-1)*5,1,1))*S$2</f>
        <v>0</v>
      </c>
      <c r="DC193" s="5">
        <f ca="1">SUM(OFFSET(Demand!$H$43,ROW(G190)-1,(COLUMN(G190)-1)*5,1,1))*T$2</f>
        <v>0</v>
      </c>
      <c r="DD193" s="5">
        <f ca="1">SUM(OFFSET(Demand!$H$43,ROW(H190)-1,(COLUMN(H190)-1)*5,1,1))*U$2</f>
        <v>0</v>
      </c>
      <c r="DE193" s="5">
        <f ca="1">SUM(OFFSET(Demand!$H$43,ROW(I190)-1,(COLUMN(I190)-1)*5,1,1))*V$2</f>
        <v>0</v>
      </c>
      <c r="DF193" s="5">
        <f ca="1">SUM(OFFSET(Demand!$H$43,ROW(J190)-1,(COLUMN(J190)-1)*5,1,1))*W$2</f>
        <v>0</v>
      </c>
      <c r="DG193" s="5">
        <f t="shared" ca="1" si="44"/>
        <v>0</v>
      </c>
    </row>
    <row r="194" spans="1:111" x14ac:dyDescent="0.2">
      <c r="A194" s="5">
        <f t="shared" ca="1" si="46"/>
        <v>2</v>
      </c>
      <c r="B194" s="5">
        <f ca="1">COUNTBLANK(OFFSET(Demand!$I203,0,(COLUMN(A191)-1)*5,1,1))</f>
        <v>1</v>
      </c>
      <c r="C194" s="5">
        <f ca="1">COUNTBLANK(OFFSET(Demand!$I203,0,(COLUMN(B191)-1)*5,1,1))</f>
        <v>1</v>
      </c>
      <c r="D194" s="5">
        <f ca="1">COUNTBLANK(OFFSET(Demand!$I203,0,(COLUMN(C191)-1)*5,1,1))</f>
        <v>1</v>
      </c>
      <c r="E194" s="5">
        <f ca="1">COUNTBLANK(OFFSET(Demand!$I203,0,(COLUMN(D191)-1)*5,1,1))</f>
        <v>1</v>
      </c>
      <c r="F194" s="5">
        <f ca="1">COUNTBLANK(OFFSET(Demand!$I203,0,(COLUMN(E191)-1)*5,1,1))</f>
        <v>1</v>
      </c>
      <c r="G194" s="5">
        <f ca="1">COUNTBLANK(OFFSET(Demand!$I203,0,(COLUMN(F191)-1)*5,1,1))</f>
        <v>1</v>
      </c>
      <c r="H194" s="5">
        <f ca="1">COUNTBLANK(OFFSET(Demand!$I203,0,(COLUMN(G191)-1)*5,1,1))</f>
        <v>1</v>
      </c>
      <c r="I194" s="5">
        <f ca="1">COUNTBLANK(OFFSET(Demand!$I203,0,(COLUMN(H191)-1)*5,1,1))</f>
        <v>1</v>
      </c>
      <c r="J194" s="5">
        <f ca="1">COUNTBLANK(OFFSET(Demand!$I203,0,(COLUMN(I191)-1)*5,1,1))</f>
        <v>1</v>
      </c>
      <c r="K194" s="5">
        <f ca="1">COUNTBLANK(OFFSET(Demand!$I203,0,(COLUMN(J191)-1)*5,1,1))</f>
        <v>1</v>
      </c>
      <c r="N194" s="5">
        <f ca="1">SUM(OFFSET(Demand!$E203,0,(COLUMN(A191)-1)*5,1,3))*N$2</f>
        <v>0</v>
      </c>
      <c r="O194" s="5">
        <f ca="1">SUM(OFFSET(Demand!$E203,0,(COLUMN(B191)-1)*5,1,3))*O$2</f>
        <v>0</v>
      </c>
      <c r="P194" s="5">
        <f ca="1">SUM(OFFSET(Demand!$E203,0,(COLUMN(C191)-1)*5,1,3))*P$2</f>
        <v>0</v>
      </c>
      <c r="Q194" s="5">
        <f ca="1">SUM(OFFSET(Demand!$E203,0,(COLUMN(D191)-1)*5,1,3))*Q$2</f>
        <v>0</v>
      </c>
      <c r="R194" s="5">
        <f ca="1">SUM(OFFSET(Demand!$E203,0,(COLUMN(E191)-1)*5,1,3))*R$2</f>
        <v>0</v>
      </c>
      <c r="S194" s="5">
        <f ca="1">SUM(OFFSET(Demand!$E203,0,(COLUMN(F191)-1)*5,1,3))*S$2</f>
        <v>0</v>
      </c>
      <c r="T194" s="5">
        <f ca="1">SUM(OFFSET(Demand!$E203,0,(COLUMN(G191)-1)*5,1,3))*T$2</f>
        <v>0</v>
      </c>
      <c r="U194" s="5">
        <f ca="1">SUM(OFFSET(Demand!$E203,0,(COLUMN(H191)-1)*5,1,3))*U$2</f>
        <v>0</v>
      </c>
      <c r="V194" s="5">
        <f ca="1">SUM(OFFSET(Demand!$E203,0,(COLUMN(I191)-1)*5,1,3))*V$2</f>
        <v>0</v>
      </c>
      <c r="W194" s="5">
        <f ca="1">SUM(OFFSET(Demand!$E203,0,(COLUMN(J191)-1)*5,1,3))*W$2</f>
        <v>0</v>
      </c>
      <c r="X194" s="5">
        <f t="shared" ca="1" si="39"/>
        <v>0</v>
      </c>
      <c r="Y194">
        <f t="shared" ca="1" si="40"/>
        <v>0</v>
      </c>
      <c r="Z194" s="5">
        <f ca="1">SUM(OFFSET(Demand!$H203,0,(COLUMN(A191)-1)*5,1,1))*N$2</f>
        <v>0</v>
      </c>
      <c r="AA194" s="5">
        <f ca="1">SUM(OFFSET(Demand!$H203,0,(COLUMN(B191)-1)*5,1,1))*O$2</f>
        <v>0</v>
      </c>
      <c r="AB194" s="5">
        <f ca="1">SUM(OFFSET(Demand!$H203,0,(COLUMN(C191)-1)*5,1,1))*P$2</f>
        <v>0</v>
      </c>
      <c r="AC194" s="5">
        <f ca="1">SUM(OFFSET(Demand!$H203,0,(COLUMN(D191)-1)*5,1,1))*Q$2</f>
        <v>0</v>
      </c>
      <c r="AD194" s="5">
        <f ca="1">SUM(OFFSET(Demand!$H203,0,(COLUMN(E191)-1)*5,1,1))*R$2</f>
        <v>0</v>
      </c>
      <c r="AE194" s="5">
        <f ca="1">SUM(OFFSET(Demand!$H203,0,(COLUMN(F191)-1)*5,1,1))*S$2</f>
        <v>0</v>
      </c>
      <c r="AF194" s="5">
        <f ca="1">SUM(OFFSET(Demand!$H203,0,(COLUMN(G191)-1)*5,1,1))*T$2</f>
        <v>0</v>
      </c>
      <c r="AG194" s="5">
        <f ca="1">SUM(OFFSET(Demand!$H203,0,(COLUMN(H191)-1)*5,1,1))*U$2</f>
        <v>0</v>
      </c>
      <c r="AH194" s="5">
        <f ca="1">SUM(OFFSET(Demand!$H203,0,(COLUMN(I191)-1)*5,1,1))*V$2</f>
        <v>0</v>
      </c>
      <c r="AI194" s="5">
        <f ca="1">SUM(OFFSET(Demand!$H203,0,(COLUMN(J191)-1)*5,1,1))*W$2</f>
        <v>0</v>
      </c>
      <c r="AJ194" s="5">
        <f t="shared" ca="1" si="41"/>
        <v>0</v>
      </c>
      <c r="AL194" s="5">
        <f t="shared" ca="1" si="42"/>
        <v>0</v>
      </c>
      <c r="AM194" s="5">
        <f t="shared" ca="1" si="43"/>
        <v>0</v>
      </c>
      <c r="AN194" s="5" t="str">
        <f>IF(Demand!BE203="Yes","Yes","")</f>
        <v/>
      </c>
      <c r="AP194" s="37" t="str">
        <f ca="1">Demand!B203</f>
        <v xml:space="preserve"> </v>
      </c>
      <c r="AQ194" t="str">
        <f ca="1">IF(TEXT(Demand!D203,"MMM")&lt;&gt;TEXT(Demand!D202,"MMM"),TEXT(Demand!D203,"MMM"),"")</f>
        <v/>
      </c>
      <c r="AT194" s="5">
        <f t="shared" ca="1" si="45"/>
        <v>0</v>
      </c>
      <c r="BQ194">
        <f ca="1">IF($AN194="",OFFSET(Demand!$A$13,ROW(A191)-1,4+((QUOTIENT(COLUMN(BQ$2)-69,3))*5)+MOD(COLUMN(BQ$2),3),1,1),"")</f>
        <v>0</v>
      </c>
      <c r="BR194">
        <f ca="1">IF($AN194="",OFFSET(Demand!$A$13,ROW(B191)-1,4+((QUOTIENT(COLUMN(BR$2)-69,3))*5)+MOD(COLUMN(BR$2),3),1,1),"")</f>
        <v>0</v>
      </c>
      <c r="BS194">
        <f ca="1">IF($AN194="",OFFSET(Demand!$A$13,ROW(C191)-1,4+((QUOTIENT(COLUMN(BS$2)-69,3))*5)+MOD(COLUMN(BS$2),3),1,1),"")</f>
        <v>0</v>
      </c>
      <c r="BT194">
        <f ca="1">IF($AN194="",OFFSET(Demand!$A$13,ROW(D191)-1,4+((QUOTIENT(COLUMN(BT$2)-69,3))*5)+MOD(COLUMN(BT$2),3),1,1),"")</f>
        <v>0</v>
      </c>
      <c r="BU194">
        <f ca="1">IF($AN194="",OFFSET(Demand!$A$13,ROW(E191)-1,4+((QUOTIENT(COLUMN(BU$2)-69,3))*5)+MOD(COLUMN(BU$2),3),1,1),"")</f>
        <v>0</v>
      </c>
      <c r="BV194">
        <f ca="1">IF($AN194="",OFFSET(Demand!$A$13,ROW(F191)-1,4+((QUOTIENT(COLUMN(BV$2)-69,3))*5)+MOD(COLUMN(BV$2),3),1,1),"")</f>
        <v>0</v>
      </c>
      <c r="BW194">
        <f ca="1">IF($AN194="",OFFSET(Demand!$A$13,ROW(G191)-1,4+((QUOTIENT(COLUMN(BW$2)-69,3))*5)+MOD(COLUMN(BW$2),3),1,1),"")</f>
        <v>0</v>
      </c>
      <c r="BX194">
        <f ca="1">IF($AN194="",OFFSET(Demand!$A$13,ROW(H191)-1,4+((QUOTIENT(COLUMN(BX$2)-69,3))*5)+MOD(COLUMN(BX$2),3),1,1),"")</f>
        <v>0</v>
      </c>
      <c r="BY194">
        <f ca="1">IF($AN194="",OFFSET(Demand!$A$13,ROW(I191)-1,4+((QUOTIENT(COLUMN(BY$2)-69,3))*5)+MOD(COLUMN(BY$2),3),1,1),"")</f>
        <v>0</v>
      </c>
      <c r="BZ194">
        <f ca="1">IF($AN194="",OFFSET(Demand!$A$13,ROW(J191)-1,4+((QUOTIENT(COLUMN(BZ$2)-69,3))*5)+MOD(COLUMN(BZ$2),3),1,1),"")</f>
        <v>0</v>
      </c>
      <c r="CA194">
        <f ca="1">IF($AN194="",OFFSET(Demand!$A$13,ROW(K191)-1,4+((QUOTIENT(COLUMN(CA$2)-69,3))*5)+MOD(COLUMN(CA$2),3),1,1),"")</f>
        <v>0</v>
      </c>
      <c r="CB194">
        <f ca="1">IF($AN194="",OFFSET(Demand!$A$13,ROW(L191)-1,4+((QUOTIENT(COLUMN(CB$2)-69,3))*5)+MOD(COLUMN(CB$2),3),1,1),"")</f>
        <v>0</v>
      </c>
      <c r="CC194">
        <f ca="1">IF($AN194="",OFFSET(Demand!$A$13,ROW(M191)-1,4+((QUOTIENT(COLUMN(CC$2)-69,3))*5)+MOD(COLUMN(CC$2),3),1,1),"")</f>
        <v>0</v>
      </c>
      <c r="CD194">
        <f ca="1">IF($AN194="",OFFSET(Demand!$A$13,ROW(N191)-1,4+((QUOTIENT(COLUMN(CD$2)-69,3))*5)+MOD(COLUMN(CD$2),3),1,1),"")</f>
        <v>0</v>
      </c>
      <c r="CE194">
        <f ca="1">IF($AN194="",OFFSET(Demand!$A$13,ROW(O191)-1,4+((QUOTIENT(COLUMN(CE$2)-69,3))*5)+MOD(COLUMN(CE$2),3),1,1),"")</f>
        <v>0</v>
      </c>
      <c r="CF194">
        <f ca="1">IF($AN194="",OFFSET(Demand!$A$13,ROW(P191)-1,4+((QUOTIENT(COLUMN(CF$2)-69,3))*5)+MOD(COLUMN(CF$2),3),1,1),"")</f>
        <v>0</v>
      </c>
      <c r="CG194">
        <f ca="1">IF($AN194="",OFFSET(Demand!$A$13,ROW(Q191)-1,4+((QUOTIENT(COLUMN(CG$2)-69,3))*5)+MOD(COLUMN(CG$2),3),1,1),"")</f>
        <v>0</v>
      </c>
      <c r="CH194">
        <f ca="1">IF($AN194="",OFFSET(Demand!$A$13,ROW(R191)-1,4+((QUOTIENT(COLUMN(CH$2)-69,3))*5)+MOD(COLUMN(CH$2),3),1,1),"")</f>
        <v>0</v>
      </c>
      <c r="CI194">
        <f ca="1">IF($AN194="",OFFSET(Demand!$A$13,ROW(S191)-1,4+((QUOTIENT(COLUMN(CI$2)-69,3))*5)+MOD(COLUMN(CI$2),3),1,1),"")</f>
        <v>0</v>
      </c>
      <c r="CJ194">
        <f ca="1">IF($AN194="",OFFSET(Demand!$A$13,ROW(T191)-1,4+((QUOTIENT(COLUMN(CJ$2)-69,3))*5)+MOD(COLUMN(CJ$2),3),1,1),"")</f>
        <v>0</v>
      </c>
      <c r="CK194">
        <f ca="1">IF($AN194="",OFFSET(Demand!$A$13,ROW(U191)-1,4+((QUOTIENT(COLUMN(CK$2)-69,3))*5)+MOD(COLUMN(CK$2),3),1,1),"")</f>
        <v>0</v>
      </c>
      <c r="CL194">
        <f ca="1">IF($AN194="",OFFSET(Demand!$A$13,ROW(V191)-1,4+((QUOTIENT(COLUMN(CL$2)-69,3))*5)+MOD(COLUMN(CL$2),3),1,1),"")</f>
        <v>0</v>
      </c>
      <c r="CM194">
        <f ca="1">IF($AN194="",OFFSET(Demand!$A$13,ROW(W191)-1,4+((QUOTIENT(COLUMN(CM$2)-69,3))*5)+MOD(COLUMN(CM$2),3),1,1),"")</f>
        <v>0</v>
      </c>
      <c r="CN194">
        <f ca="1">IF($AN194="",OFFSET(Demand!$A$13,ROW(X191)-1,4+((QUOTIENT(COLUMN(CN$2)-69,3))*5)+MOD(COLUMN(CN$2),3),1,1),"")</f>
        <v>0</v>
      </c>
      <c r="CO194">
        <f ca="1">IF($AN194="",OFFSET(Demand!$A$13,ROW(Y191)-1,4+((QUOTIENT(COLUMN(CO$2)-69,3))*5)+MOD(COLUMN(CO$2),3),1,1),"")</f>
        <v>0</v>
      </c>
      <c r="CP194">
        <f ca="1">IF($AN194="",OFFSET(Demand!$A$13,ROW(Z191)-1,4+((QUOTIENT(COLUMN(CP$2)-69,3))*5)+MOD(COLUMN(CP$2),3),1,1),"")</f>
        <v>0</v>
      </c>
      <c r="CQ194">
        <f ca="1">IF($AN194="",OFFSET(Demand!$A$13,ROW(AA191)-1,4+((QUOTIENT(COLUMN(CQ$2)-69,3))*5)+MOD(COLUMN(CQ$2),3),1,1),"")</f>
        <v>0</v>
      </c>
      <c r="CR194">
        <f ca="1">IF($AN194="",OFFSET(Demand!$A$13,ROW(AB191)-1,4+((QUOTIENT(COLUMN(CR$2)-69,3))*5)+MOD(COLUMN(CR$2),3),1,1),"")</f>
        <v>0</v>
      </c>
      <c r="CS194">
        <f ca="1">IF($AN194="",OFFSET(Demand!$A$13,ROW(AC191)-1,4+((QUOTIENT(COLUMN(CS$2)-69,3))*5)+MOD(COLUMN(CS$2),3),1,1),"")</f>
        <v>0</v>
      </c>
      <c r="CT194">
        <f ca="1">IF($AN194="",OFFSET(Demand!$A$13,ROW(AD191)-1,4+((QUOTIENT(COLUMN(CT$2)-69,3))*5)+MOD(COLUMN(CT$2),3),1,1),"")</f>
        <v>0</v>
      </c>
      <c r="CW194" s="5">
        <f ca="1">SUM(OFFSET(Demand!$H$43,ROW(A191)-1,(COLUMN(A191)-1)*5,1,1))*N$2</f>
        <v>0</v>
      </c>
      <c r="CX194" s="5">
        <f ca="1">SUM(OFFSET(Demand!$H$43,ROW(B191)-1,(COLUMN(B191)-1)*5,1,1))*O$2</f>
        <v>0</v>
      </c>
      <c r="CY194" s="5">
        <f ca="1">SUM(OFFSET(Demand!$H$43,ROW(C191)-1,(COLUMN(C191)-1)*5,1,1))*P$2</f>
        <v>0</v>
      </c>
      <c r="CZ194" s="5">
        <f ca="1">SUM(OFFSET(Demand!$H$43,ROW(D191)-1,(COLUMN(D191)-1)*5,1,1))*Q$2</f>
        <v>0</v>
      </c>
      <c r="DA194" s="5">
        <f ca="1">SUM(OFFSET(Demand!$H$43,ROW(E191)-1,(COLUMN(E191)-1)*5,1,1))*R$2</f>
        <v>0</v>
      </c>
      <c r="DB194" s="5">
        <f ca="1">SUM(OFFSET(Demand!$H$43,ROW(F191)-1,(COLUMN(F191)-1)*5,1,1))*S$2</f>
        <v>0</v>
      </c>
      <c r="DC194" s="5">
        <f ca="1">SUM(OFFSET(Demand!$H$43,ROW(G191)-1,(COLUMN(G191)-1)*5,1,1))*T$2</f>
        <v>0</v>
      </c>
      <c r="DD194" s="5">
        <f ca="1">SUM(OFFSET(Demand!$H$43,ROW(H191)-1,(COLUMN(H191)-1)*5,1,1))*U$2</f>
        <v>0</v>
      </c>
      <c r="DE194" s="5">
        <f ca="1">SUM(OFFSET(Demand!$H$43,ROW(I191)-1,(COLUMN(I191)-1)*5,1,1))*V$2</f>
        <v>0</v>
      </c>
      <c r="DF194" s="5">
        <f ca="1">SUM(OFFSET(Demand!$H$43,ROW(J191)-1,(COLUMN(J191)-1)*5,1,1))*W$2</f>
        <v>0</v>
      </c>
      <c r="DG194" s="5">
        <f t="shared" ca="1" si="44"/>
        <v>0</v>
      </c>
    </row>
    <row r="195" spans="1:111" x14ac:dyDescent="0.2">
      <c r="A195" s="5">
        <f t="shared" ca="1" si="46"/>
        <v>2</v>
      </c>
      <c r="B195" s="5">
        <f ca="1">COUNTBLANK(OFFSET(Demand!$I204,0,(COLUMN(A192)-1)*5,1,1))</f>
        <v>1</v>
      </c>
      <c r="C195" s="5">
        <f ca="1">COUNTBLANK(OFFSET(Demand!$I204,0,(COLUMN(B192)-1)*5,1,1))</f>
        <v>1</v>
      </c>
      <c r="D195" s="5">
        <f ca="1">COUNTBLANK(OFFSET(Demand!$I204,0,(COLUMN(C192)-1)*5,1,1))</f>
        <v>1</v>
      </c>
      <c r="E195" s="5">
        <f ca="1">COUNTBLANK(OFFSET(Demand!$I204,0,(COLUMN(D192)-1)*5,1,1))</f>
        <v>1</v>
      </c>
      <c r="F195" s="5">
        <f ca="1">COUNTBLANK(OFFSET(Demand!$I204,0,(COLUMN(E192)-1)*5,1,1))</f>
        <v>1</v>
      </c>
      <c r="G195" s="5">
        <f ca="1">COUNTBLANK(OFFSET(Demand!$I204,0,(COLUMN(F192)-1)*5,1,1))</f>
        <v>1</v>
      </c>
      <c r="H195" s="5">
        <f ca="1">COUNTBLANK(OFFSET(Demand!$I204,0,(COLUMN(G192)-1)*5,1,1))</f>
        <v>1</v>
      </c>
      <c r="I195" s="5">
        <f ca="1">COUNTBLANK(OFFSET(Demand!$I204,0,(COLUMN(H192)-1)*5,1,1))</f>
        <v>1</v>
      </c>
      <c r="J195" s="5">
        <f ca="1">COUNTBLANK(OFFSET(Demand!$I204,0,(COLUMN(I192)-1)*5,1,1))</f>
        <v>1</v>
      </c>
      <c r="K195" s="5">
        <f ca="1">COUNTBLANK(OFFSET(Demand!$I204,0,(COLUMN(J192)-1)*5,1,1))</f>
        <v>1</v>
      </c>
      <c r="N195" s="5">
        <f ca="1">SUM(OFFSET(Demand!$E204,0,(COLUMN(A192)-1)*5,1,3))*N$2</f>
        <v>0</v>
      </c>
      <c r="O195" s="5">
        <f ca="1">SUM(OFFSET(Demand!$E204,0,(COLUMN(B192)-1)*5,1,3))*O$2</f>
        <v>0</v>
      </c>
      <c r="P195" s="5">
        <f ca="1">SUM(OFFSET(Demand!$E204,0,(COLUMN(C192)-1)*5,1,3))*P$2</f>
        <v>0</v>
      </c>
      <c r="Q195" s="5">
        <f ca="1">SUM(OFFSET(Demand!$E204,0,(COLUMN(D192)-1)*5,1,3))*Q$2</f>
        <v>0</v>
      </c>
      <c r="R195" s="5">
        <f ca="1">SUM(OFFSET(Demand!$E204,0,(COLUMN(E192)-1)*5,1,3))*R$2</f>
        <v>0</v>
      </c>
      <c r="S195" s="5">
        <f ca="1">SUM(OFFSET(Demand!$E204,0,(COLUMN(F192)-1)*5,1,3))*S$2</f>
        <v>0</v>
      </c>
      <c r="T195" s="5">
        <f ca="1">SUM(OFFSET(Demand!$E204,0,(COLUMN(G192)-1)*5,1,3))*T$2</f>
        <v>0</v>
      </c>
      <c r="U195" s="5">
        <f ca="1">SUM(OFFSET(Demand!$E204,0,(COLUMN(H192)-1)*5,1,3))*U$2</f>
        <v>0</v>
      </c>
      <c r="V195" s="5">
        <f ca="1">SUM(OFFSET(Demand!$E204,0,(COLUMN(I192)-1)*5,1,3))*V$2</f>
        <v>0</v>
      </c>
      <c r="W195" s="5">
        <f ca="1">SUM(OFFSET(Demand!$E204,0,(COLUMN(J192)-1)*5,1,3))*W$2</f>
        <v>0</v>
      </c>
      <c r="X195" s="5">
        <f t="shared" ca="1" si="39"/>
        <v>0</v>
      </c>
      <c r="Y195">
        <f t="shared" ca="1" si="40"/>
        <v>0</v>
      </c>
      <c r="Z195" s="5">
        <f ca="1">SUM(OFFSET(Demand!$H204,0,(COLUMN(A192)-1)*5,1,1))*N$2</f>
        <v>0</v>
      </c>
      <c r="AA195" s="5">
        <f ca="1">SUM(OFFSET(Demand!$H204,0,(COLUMN(B192)-1)*5,1,1))*O$2</f>
        <v>0</v>
      </c>
      <c r="AB195" s="5">
        <f ca="1">SUM(OFFSET(Demand!$H204,0,(COLUMN(C192)-1)*5,1,1))*P$2</f>
        <v>0</v>
      </c>
      <c r="AC195" s="5">
        <f ca="1">SUM(OFFSET(Demand!$H204,0,(COLUMN(D192)-1)*5,1,1))*Q$2</f>
        <v>0</v>
      </c>
      <c r="AD195" s="5">
        <f ca="1">SUM(OFFSET(Demand!$H204,0,(COLUMN(E192)-1)*5,1,1))*R$2</f>
        <v>0</v>
      </c>
      <c r="AE195" s="5">
        <f ca="1">SUM(OFFSET(Demand!$H204,0,(COLUMN(F192)-1)*5,1,1))*S$2</f>
        <v>0</v>
      </c>
      <c r="AF195" s="5">
        <f ca="1">SUM(OFFSET(Demand!$H204,0,(COLUMN(G192)-1)*5,1,1))*T$2</f>
        <v>0</v>
      </c>
      <c r="AG195" s="5">
        <f ca="1">SUM(OFFSET(Demand!$H204,0,(COLUMN(H192)-1)*5,1,1))*U$2</f>
        <v>0</v>
      </c>
      <c r="AH195" s="5">
        <f ca="1">SUM(OFFSET(Demand!$H204,0,(COLUMN(I192)-1)*5,1,1))*V$2</f>
        <v>0</v>
      </c>
      <c r="AI195" s="5">
        <f ca="1">SUM(OFFSET(Demand!$H204,0,(COLUMN(J192)-1)*5,1,1))*W$2</f>
        <v>0</v>
      </c>
      <c r="AJ195" s="5">
        <f t="shared" ca="1" si="41"/>
        <v>0</v>
      </c>
      <c r="AL195" s="5">
        <f t="shared" ca="1" si="42"/>
        <v>0</v>
      </c>
      <c r="AM195" s="5">
        <f t="shared" ca="1" si="43"/>
        <v>0</v>
      </c>
      <c r="AN195" s="5" t="str">
        <f>IF(Demand!BE204="Yes","Yes","")</f>
        <v/>
      </c>
      <c r="AP195" s="37" t="str">
        <f ca="1">Demand!B204</f>
        <v xml:space="preserve"> </v>
      </c>
      <c r="AQ195" t="str">
        <f ca="1">IF(TEXT(Demand!D204,"MMM")&lt;&gt;TEXT(Demand!D203,"MMM"),TEXT(Demand!D204,"MMM"),"")</f>
        <v/>
      </c>
      <c r="AT195" s="5">
        <f t="shared" ca="1" si="45"/>
        <v>0</v>
      </c>
      <c r="BQ195">
        <f ca="1">IF($AN195="",OFFSET(Demand!$A$13,ROW(A192)-1,4+((QUOTIENT(COLUMN(BQ$2)-69,3))*5)+MOD(COLUMN(BQ$2),3),1,1),"")</f>
        <v>0</v>
      </c>
      <c r="BR195">
        <f ca="1">IF($AN195="",OFFSET(Demand!$A$13,ROW(B192)-1,4+((QUOTIENT(COLUMN(BR$2)-69,3))*5)+MOD(COLUMN(BR$2),3),1,1),"")</f>
        <v>0</v>
      </c>
      <c r="BS195">
        <f ca="1">IF($AN195="",OFFSET(Demand!$A$13,ROW(C192)-1,4+((QUOTIENT(COLUMN(BS$2)-69,3))*5)+MOD(COLUMN(BS$2),3),1,1),"")</f>
        <v>0</v>
      </c>
      <c r="BT195">
        <f ca="1">IF($AN195="",OFFSET(Demand!$A$13,ROW(D192)-1,4+((QUOTIENT(COLUMN(BT$2)-69,3))*5)+MOD(COLUMN(BT$2),3),1,1),"")</f>
        <v>0</v>
      </c>
      <c r="BU195">
        <f ca="1">IF($AN195="",OFFSET(Demand!$A$13,ROW(E192)-1,4+((QUOTIENT(COLUMN(BU$2)-69,3))*5)+MOD(COLUMN(BU$2),3),1,1),"")</f>
        <v>0</v>
      </c>
      <c r="BV195">
        <f ca="1">IF($AN195="",OFFSET(Demand!$A$13,ROW(F192)-1,4+((QUOTIENT(COLUMN(BV$2)-69,3))*5)+MOD(COLUMN(BV$2),3),1,1),"")</f>
        <v>0</v>
      </c>
      <c r="BW195">
        <f ca="1">IF($AN195="",OFFSET(Demand!$A$13,ROW(G192)-1,4+((QUOTIENT(COLUMN(BW$2)-69,3))*5)+MOD(COLUMN(BW$2),3),1,1),"")</f>
        <v>0</v>
      </c>
      <c r="BX195">
        <f ca="1">IF($AN195="",OFFSET(Demand!$A$13,ROW(H192)-1,4+((QUOTIENT(COLUMN(BX$2)-69,3))*5)+MOD(COLUMN(BX$2),3),1,1),"")</f>
        <v>0</v>
      </c>
      <c r="BY195">
        <f ca="1">IF($AN195="",OFFSET(Demand!$A$13,ROW(I192)-1,4+((QUOTIENT(COLUMN(BY$2)-69,3))*5)+MOD(COLUMN(BY$2),3),1,1),"")</f>
        <v>0</v>
      </c>
      <c r="BZ195">
        <f ca="1">IF($AN195="",OFFSET(Demand!$A$13,ROW(J192)-1,4+((QUOTIENT(COLUMN(BZ$2)-69,3))*5)+MOD(COLUMN(BZ$2),3),1,1),"")</f>
        <v>0</v>
      </c>
      <c r="CA195">
        <f ca="1">IF($AN195="",OFFSET(Demand!$A$13,ROW(K192)-1,4+((QUOTIENT(COLUMN(CA$2)-69,3))*5)+MOD(COLUMN(CA$2),3),1,1),"")</f>
        <v>0</v>
      </c>
      <c r="CB195">
        <f ca="1">IF($AN195="",OFFSET(Demand!$A$13,ROW(L192)-1,4+((QUOTIENT(COLUMN(CB$2)-69,3))*5)+MOD(COLUMN(CB$2),3),1,1),"")</f>
        <v>0</v>
      </c>
      <c r="CC195">
        <f ca="1">IF($AN195="",OFFSET(Demand!$A$13,ROW(M192)-1,4+((QUOTIENT(COLUMN(CC$2)-69,3))*5)+MOD(COLUMN(CC$2),3),1,1),"")</f>
        <v>0</v>
      </c>
      <c r="CD195">
        <f ca="1">IF($AN195="",OFFSET(Demand!$A$13,ROW(N192)-1,4+((QUOTIENT(COLUMN(CD$2)-69,3))*5)+MOD(COLUMN(CD$2),3),1,1),"")</f>
        <v>0</v>
      </c>
      <c r="CE195">
        <f ca="1">IF($AN195="",OFFSET(Demand!$A$13,ROW(O192)-1,4+((QUOTIENT(COLUMN(CE$2)-69,3))*5)+MOD(COLUMN(CE$2),3),1,1),"")</f>
        <v>0</v>
      </c>
      <c r="CF195">
        <f ca="1">IF($AN195="",OFFSET(Demand!$A$13,ROW(P192)-1,4+((QUOTIENT(COLUMN(CF$2)-69,3))*5)+MOD(COLUMN(CF$2),3),1,1),"")</f>
        <v>0</v>
      </c>
      <c r="CG195">
        <f ca="1">IF($AN195="",OFFSET(Demand!$A$13,ROW(Q192)-1,4+((QUOTIENT(COLUMN(CG$2)-69,3))*5)+MOD(COLUMN(CG$2),3),1,1),"")</f>
        <v>0</v>
      </c>
      <c r="CH195">
        <f ca="1">IF($AN195="",OFFSET(Demand!$A$13,ROW(R192)-1,4+((QUOTIENT(COLUMN(CH$2)-69,3))*5)+MOD(COLUMN(CH$2),3),1,1),"")</f>
        <v>0</v>
      </c>
      <c r="CI195">
        <f ca="1">IF($AN195="",OFFSET(Demand!$A$13,ROW(S192)-1,4+((QUOTIENT(COLUMN(CI$2)-69,3))*5)+MOD(COLUMN(CI$2),3),1,1),"")</f>
        <v>0</v>
      </c>
      <c r="CJ195">
        <f ca="1">IF($AN195="",OFFSET(Demand!$A$13,ROW(T192)-1,4+((QUOTIENT(COLUMN(CJ$2)-69,3))*5)+MOD(COLUMN(CJ$2),3),1,1),"")</f>
        <v>0</v>
      </c>
      <c r="CK195">
        <f ca="1">IF($AN195="",OFFSET(Demand!$A$13,ROW(U192)-1,4+((QUOTIENT(COLUMN(CK$2)-69,3))*5)+MOD(COLUMN(CK$2),3),1,1),"")</f>
        <v>0</v>
      </c>
      <c r="CL195">
        <f ca="1">IF($AN195="",OFFSET(Demand!$A$13,ROW(V192)-1,4+((QUOTIENT(COLUMN(CL$2)-69,3))*5)+MOD(COLUMN(CL$2),3),1,1),"")</f>
        <v>0</v>
      </c>
      <c r="CM195">
        <f ca="1">IF($AN195="",OFFSET(Demand!$A$13,ROW(W192)-1,4+((QUOTIENT(COLUMN(CM$2)-69,3))*5)+MOD(COLUMN(CM$2),3),1,1),"")</f>
        <v>0</v>
      </c>
      <c r="CN195">
        <f ca="1">IF($AN195="",OFFSET(Demand!$A$13,ROW(X192)-1,4+((QUOTIENT(COLUMN(CN$2)-69,3))*5)+MOD(COLUMN(CN$2),3),1,1),"")</f>
        <v>0</v>
      </c>
      <c r="CO195">
        <f ca="1">IF($AN195="",OFFSET(Demand!$A$13,ROW(Y192)-1,4+((QUOTIENT(COLUMN(CO$2)-69,3))*5)+MOD(COLUMN(CO$2),3),1,1),"")</f>
        <v>0</v>
      </c>
      <c r="CP195">
        <f ca="1">IF($AN195="",OFFSET(Demand!$A$13,ROW(Z192)-1,4+((QUOTIENT(COLUMN(CP$2)-69,3))*5)+MOD(COLUMN(CP$2),3),1,1),"")</f>
        <v>0</v>
      </c>
      <c r="CQ195">
        <f ca="1">IF($AN195="",OFFSET(Demand!$A$13,ROW(AA192)-1,4+((QUOTIENT(COLUMN(CQ$2)-69,3))*5)+MOD(COLUMN(CQ$2),3),1,1),"")</f>
        <v>0</v>
      </c>
      <c r="CR195">
        <f ca="1">IF($AN195="",OFFSET(Demand!$A$13,ROW(AB192)-1,4+((QUOTIENT(COLUMN(CR$2)-69,3))*5)+MOD(COLUMN(CR$2),3),1,1),"")</f>
        <v>0</v>
      </c>
      <c r="CS195">
        <f ca="1">IF($AN195="",OFFSET(Demand!$A$13,ROW(AC192)-1,4+((QUOTIENT(COLUMN(CS$2)-69,3))*5)+MOD(COLUMN(CS$2),3),1,1),"")</f>
        <v>0</v>
      </c>
      <c r="CT195">
        <f ca="1">IF($AN195="",OFFSET(Demand!$A$13,ROW(AD192)-1,4+((QUOTIENT(COLUMN(CT$2)-69,3))*5)+MOD(COLUMN(CT$2),3),1,1),"")</f>
        <v>0</v>
      </c>
      <c r="CW195" s="5">
        <f ca="1">SUM(OFFSET(Demand!$H$43,ROW(A192)-1,(COLUMN(A192)-1)*5,1,1))*N$2</f>
        <v>0</v>
      </c>
      <c r="CX195" s="5">
        <f ca="1">SUM(OFFSET(Demand!$H$43,ROW(B192)-1,(COLUMN(B192)-1)*5,1,1))*O$2</f>
        <v>0</v>
      </c>
      <c r="CY195" s="5">
        <f ca="1">SUM(OFFSET(Demand!$H$43,ROW(C192)-1,(COLUMN(C192)-1)*5,1,1))*P$2</f>
        <v>0</v>
      </c>
      <c r="CZ195" s="5">
        <f ca="1">SUM(OFFSET(Demand!$H$43,ROW(D192)-1,(COLUMN(D192)-1)*5,1,1))*Q$2</f>
        <v>0</v>
      </c>
      <c r="DA195" s="5">
        <f ca="1">SUM(OFFSET(Demand!$H$43,ROW(E192)-1,(COLUMN(E192)-1)*5,1,1))*R$2</f>
        <v>0</v>
      </c>
      <c r="DB195" s="5">
        <f ca="1">SUM(OFFSET(Demand!$H$43,ROW(F192)-1,(COLUMN(F192)-1)*5,1,1))*S$2</f>
        <v>0</v>
      </c>
      <c r="DC195" s="5">
        <f ca="1">SUM(OFFSET(Demand!$H$43,ROW(G192)-1,(COLUMN(G192)-1)*5,1,1))*T$2</f>
        <v>0</v>
      </c>
      <c r="DD195" s="5">
        <f ca="1">SUM(OFFSET(Demand!$H$43,ROW(H192)-1,(COLUMN(H192)-1)*5,1,1))*U$2</f>
        <v>0</v>
      </c>
      <c r="DE195" s="5">
        <f ca="1">SUM(OFFSET(Demand!$H$43,ROW(I192)-1,(COLUMN(I192)-1)*5,1,1))*V$2</f>
        <v>0</v>
      </c>
      <c r="DF195" s="5">
        <f ca="1">SUM(OFFSET(Demand!$H$43,ROW(J192)-1,(COLUMN(J192)-1)*5,1,1))*W$2</f>
        <v>0</v>
      </c>
      <c r="DG195" s="5">
        <f t="shared" ca="1" si="44"/>
        <v>0</v>
      </c>
    </row>
    <row r="196" spans="1:111" x14ac:dyDescent="0.2">
      <c r="A196" s="5">
        <f t="shared" ca="1" si="46"/>
        <v>2</v>
      </c>
      <c r="B196" s="5">
        <f ca="1">COUNTBLANK(OFFSET(Demand!$I205,0,(COLUMN(A193)-1)*5,1,1))</f>
        <v>1</v>
      </c>
      <c r="C196" s="5">
        <f ca="1">COUNTBLANK(OFFSET(Demand!$I205,0,(COLUMN(B193)-1)*5,1,1))</f>
        <v>1</v>
      </c>
      <c r="D196" s="5">
        <f ca="1">COUNTBLANK(OFFSET(Demand!$I205,0,(COLUMN(C193)-1)*5,1,1))</f>
        <v>1</v>
      </c>
      <c r="E196" s="5">
        <f ca="1">COUNTBLANK(OFFSET(Demand!$I205,0,(COLUMN(D193)-1)*5,1,1))</f>
        <v>1</v>
      </c>
      <c r="F196" s="5">
        <f ca="1">COUNTBLANK(OFFSET(Demand!$I205,0,(COLUMN(E193)-1)*5,1,1))</f>
        <v>1</v>
      </c>
      <c r="G196" s="5">
        <f ca="1">COUNTBLANK(OFFSET(Demand!$I205,0,(COLUMN(F193)-1)*5,1,1))</f>
        <v>1</v>
      </c>
      <c r="H196" s="5">
        <f ca="1">COUNTBLANK(OFFSET(Demand!$I205,0,(COLUMN(G193)-1)*5,1,1))</f>
        <v>1</v>
      </c>
      <c r="I196" s="5">
        <f ca="1">COUNTBLANK(OFFSET(Demand!$I205,0,(COLUMN(H193)-1)*5,1,1))</f>
        <v>1</v>
      </c>
      <c r="J196" s="5">
        <f ca="1">COUNTBLANK(OFFSET(Demand!$I205,0,(COLUMN(I193)-1)*5,1,1))</f>
        <v>1</v>
      </c>
      <c r="K196" s="5">
        <f ca="1">COUNTBLANK(OFFSET(Demand!$I205,0,(COLUMN(J193)-1)*5,1,1))</f>
        <v>1</v>
      </c>
      <c r="N196" s="5">
        <f ca="1">SUM(OFFSET(Demand!$E205,0,(COLUMN(A193)-1)*5,1,3))*N$2</f>
        <v>0</v>
      </c>
      <c r="O196" s="5">
        <f ca="1">SUM(OFFSET(Demand!$E205,0,(COLUMN(B193)-1)*5,1,3))*O$2</f>
        <v>0</v>
      </c>
      <c r="P196" s="5">
        <f ca="1">SUM(OFFSET(Demand!$E205,0,(COLUMN(C193)-1)*5,1,3))*P$2</f>
        <v>0</v>
      </c>
      <c r="Q196" s="5">
        <f ca="1">SUM(OFFSET(Demand!$E205,0,(COLUMN(D193)-1)*5,1,3))*Q$2</f>
        <v>0</v>
      </c>
      <c r="R196" s="5">
        <f ca="1">SUM(OFFSET(Demand!$E205,0,(COLUMN(E193)-1)*5,1,3))*R$2</f>
        <v>0</v>
      </c>
      <c r="S196" s="5">
        <f ca="1">SUM(OFFSET(Demand!$E205,0,(COLUMN(F193)-1)*5,1,3))*S$2</f>
        <v>0</v>
      </c>
      <c r="T196" s="5">
        <f ca="1">SUM(OFFSET(Demand!$E205,0,(COLUMN(G193)-1)*5,1,3))*T$2</f>
        <v>0</v>
      </c>
      <c r="U196" s="5">
        <f ca="1">SUM(OFFSET(Demand!$E205,0,(COLUMN(H193)-1)*5,1,3))*U$2</f>
        <v>0</v>
      </c>
      <c r="V196" s="5">
        <f ca="1">SUM(OFFSET(Demand!$E205,0,(COLUMN(I193)-1)*5,1,3))*V$2</f>
        <v>0</v>
      </c>
      <c r="W196" s="5">
        <f ca="1">SUM(OFFSET(Demand!$E205,0,(COLUMN(J193)-1)*5,1,3))*W$2</f>
        <v>0</v>
      </c>
      <c r="X196" s="5">
        <f t="shared" ref="X196:X263" ca="1" si="47">IF(AN196="",SUM(OFFSET(N196,0,0,1,Num_Modalities)),"")</f>
        <v>0</v>
      </c>
      <c r="Y196">
        <f t="shared" ref="Y196:Y263" ca="1" si="48">SUM(OFFSET(N196,0,0,1,Num_Modalities))</f>
        <v>0</v>
      </c>
      <c r="Z196" s="5">
        <f ca="1">SUM(OFFSET(Demand!$H205,0,(COLUMN(A193)-1)*5,1,1))*N$2</f>
        <v>0</v>
      </c>
      <c r="AA196" s="5">
        <f ca="1">SUM(OFFSET(Demand!$H205,0,(COLUMN(B193)-1)*5,1,1))*O$2</f>
        <v>0</v>
      </c>
      <c r="AB196" s="5">
        <f ca="1">SUM(OFFSET(Demand!$H205,0,(COLUMN(C193)-1)*5,1,1))*P$2</f>
        <v>0</v>
      </c>
      <c r="AC196" s="5">
        <f ca="1">SUM(OFFSET(Demand!$H205,0,(COLUMN(D193)-1)*5,1,1))*Q$2</f>
        <v>0</v>
      </c>
      <c r="AD196" s="5">
        <f ca="1">SUM(OFFSET(Demand!$H205,0,(COLUMN(E193)-1)*5,1,1))*R$2</f>
        <v>0</v>
      </c>
      <c r="AE196" s="5">
        <f ca="1">SUM(OFFSET(Demand!$H205,0,(COLUMN(F193)-1)*5,1,1))*S$2</f>
        <v>0</v>
      </c>
      <c r="AF196" s="5">
        <f ca="1">SUM(OFFSET(Demand!$H205,0,(COLUMN(G193)-1)*5,1,1))*T$2</f>
        <v>0</v>
      </c>
      <c r="AG196" s="5">
        <f ca="1">SUM(OFFSET(Demand!$H205,0,(COLUMN(H193)-1)*5,1,1))*U$2</f>
        <v>0</v>
      </c>
      <c r="AH196" s="5">
        <f ca="1">SUM(OFFSET(Demand!$H205,0,(COLUMN(I193)-1)*5,1,1))*V$2</f>
        <v>0</v>
      </c>
      <c r="AI196" s="5">
        <f ca="1">SUM(OFFSET(Demand!$H205,0,(COLUMN(J193)-1)*5,1,1))*W$2</f>
        <v>0</v>
      </c>
      <c r="AJ196" s="5">
        <f t="shared" ref="AJ196:AJ263" ca="1" si="49">SUM(OFFSET(Z196,0,0,1,Num_Modalities))</f>
        <v>0</v>
      </c>
      <c r="AL196" s="5">
        <f t="shared" ca="1" si="42"/>
        <v>0</v>
      </c>
      <c r="AM196" s="5">
        <f t="shared" ca="1" si="43"/>
        <v>0</v>
      </c>
      <c r="AN196" s="5" t="str">
        <f>IF(Demand!BE205="Yes","Yes","")</f>
        <v/>
      </c>
      <c r="AP196" s="37" t="str">
        <f ca="1">Demand!B205</f>
        <v xml:space="preserve"> </v>
      </c>
      <c r="AQ196" t="str">
        <f ca="1">IF(TEXT(Demand!D205,"MMM")&lt;&gt;TEXT(Demand!D204,"MMM"),TEXT(Demand!D205,"MMM"),"")</f>
        <v/>
      </c>
      <c r="AT196" s="5">
        <f t="shared" ca="1" si="45"/>
        <v>0</v>
      </c>
      <c r="BQ196">
        <f ca="1">IF($AN196="",OFFSET(Demand!$A$13,ROW(A193)-1,4+((QUOTIENT(COLUMN(BQ$2)-69,3))*5)+MOD(COLUMN(BQ$2),3),1,1),"")</f>
        <v>0</v>
      </c>
      <c r="BR196">
        <f ca="1">IF($AN196="",OFFSET(Demand!$A$13,ROW(B193)-1,4+((QUOTIENT(COLUMN(BR$2)-69,3))*5)+MOD(COLUMN(BR$2),3),1,1),"")</f>
        <v>0</v>
      </c>
      <c r="BS196">
        <f ca="1">IF($AN196="",OFFSET(Demand!$A$13,ROW(C193)-1,4+((QUOTIENT(COLUMN(BS$2)-69,3))*5)+MOD(COLUMN(BS$2),3),1,1),"")</f>
        <v>0</v>
      </c>
      <c r="BT196">
        <f ca="1">IF($AN196="",OFFSET(Demand!$A$13,ROW(D193)-1,4+((QUOTIENT(COLUMN(BT$2)-69,3))*5)+MOD(COLUMN(BT$2),3),1,1),"")</f>
        <v>0</v>
      </c>
      <c r="BU196">
        <f ca="1">IF($AN196="",OFFSET(Demand!$A$13,ROW(E193)-1,4+((QUOTIENT(COLUMN(BU$2)-69,3))*5)+MOD(COLUMN(BU$2),3),1,1),"")</f>
        <v>0</v>
      </c>
      <c r="BV196">
        <f ca="1">IF($AN196="",OFFSET(Demand!$A$13,ROW(F193)-1,4+((QUOTIENT(COLUMN(BV$2)-69,3))*5)+MOD(COLUMN(BV$2),3),1,1),"")</f>
        <v>0</v>
      </c>
      <c r="BW196">
        <f ca="1">IF($AN196="",OFFSET(Demand!$A$13,ROW(G193)-1,4+((QUOTIENT(COLUMN(BW$2)-69,3))*5)+MOD(COLUMN(BW$2),3),1,1),"")</f>
        <v>0</v>
      </c>
      <c r="BX196">
        <f ca="1">IF($AN196="",OFFSET(Demand!$A$13,ROW(H193)-1,4+((QUOTIENT(COLUMN(BX$2)-69,3))*5)+MOD(COLUMN(BX$2),3),1,1),"")</f>
        <v>0</v>
      </c>
      <c r="BY196">
        <f ca="1">IF($AN196="",OFFSET(Demand!$A$13,ROW(I193)-1,4+((QUOTIENT(COLUMN(BY$2)-69,3))*5)+MOD(COLUMN(BY$2),3),1,1),"")</f>
        <v>0</v>
      </c>
      <c r="BZ196">
        <f ca="1">IF($AN196="",OFFSET(Demand!$A$13,ROW(J193)-1,4+((QUOTIENT(COLUMN(BZ$2)-69,3))*5)+MOD(COLUMN(BZ$2),3),1,1),"")</f>
        <v>0</v>
      </c>
      <c r="CA196">
        <f ca="1">IF($AN196="",OFFSET(Demand!$A$13,ROW(K193)-1,4+((QUOTIENT(COLUMN(CA$2)-69,3))*5)+MOD(COLUMN(CA$2),3),1,1),"")</f>
        <v>0</v>
      </c>
      <c r="CB196">
        <f ca="1">IF($AN196="",OFFSET(Demand!$A$13,ROW(L193)-1,4+((QUOTIENT(COLUMN(CB$2)-69,3))*5)+MOD(COLUMN(CB$2),3),1,1),"")</f>
        <v>0</v>
      </c>
      <c r="CC196">
        <f ca="1">IF($AN196="",OFFSET(Demand!$A$13,ROW(M193)-1,4+((QUOTIENT(COLUMN(CC$2)-69,3))*5)+MOD(COLUMN(CC$2),3),1,1),"")</f>
        <v>0</v>
      </c>
      <c r="CD196">
        <f ca="1">IF($AN196="",OFFSET(Demand!$A$13,ROW(N193)-1,4+((QUOTIENT(COLUMN(CD$2)-69,3))*5)+MOD(COLUMN(CD$2),3),1,1),"")</f>
        <v>0</v>
      </c>
      <c r="CE196">
        <f ca="1">IF($AN196="",OFFSET(Demand!$A$13,ROW(O193)-1,4+((QUOTIENT(COLUMN(CE$2)-69,3))*5)+MOD(COLUMN(CE$2),3),1,1),"")</f>
        <v>0</v>
      </c>
      <c r="CF196">
        <f ca="1">IF($AN196="",OFFSET(Demand!$A$13,ROW(P193)-1,4+((QUOTIENT(COLUMN(CF$2)-69,3))*5)+MOD(COLUMN(CF$2),3),1,1),"")</f>
        <v>0</v>
      </c>
      <c r="CG196">
        <f ca="1">IF($AN196="",OFFSET(Demand!$A$13,ROW(Q193)-1,4+((QUOTIENT(COLUMN(CG$2)-69,3))*5)+MOD(COLUMN(CG$2),3),1,1),"")</f>
        <v>0</v>
      </c>
      <c r="CH196">
        <f ca="1">IF($AN196="",OFFSET(Demand!$A$13,ROW(R193)-1,4+((QUOTIENT(COLUMN(CH$2)-69,3))*5)+MOD(COLUMN(CH$2),3),1,1),"")</f>
        <v>0</v>
      </c>
      <c r="CI196">
        <f ca="1">IF($AN196="",OFFSET(Demand!$A$13,ROW(S193)-1,4+((QUOTIENT(COLUMN(CI$2)-69,3))*5)+MOD(COLUMN(CI$2),3),1,1),"")</f>
        <v>0</v>
      </c>
      <c r="CJ196">
        <f ca="1">IF($AN196="",OFFSET(Demand!$A$13,ROW(T193)-1,4+((QUOTIENT(COLUMN(CJ$2)-69,3))*5)+MOD(COLUMN(CJ$2),3),1,1),"")</f>
        <v>0</v>
      </c>
      <c r="CK196">
        <f ca="1">IF($AN196="",OFFSET(Demand!$A$13,ROW(U193)-1,4+((QUOTIENT(COLUMN(CK$2)-69,3))*5)+MOD(COLUMN(CK$2),3),1,1),"")</f>
        <v>0</v>
      </c>
      <c r="CL196">
        <f ca="1">IF($AN196="",OFFSET(Demand!$A$13,ROW(V193)-1,4+((QUOTIENT(COLUMN(CL$2)-69,3))*5)+MOD(COLUMN(CL$2),3),1,1),"")</f>
        <v>0</v>
      </c>
      <c r="CM196">
        <f ca="1">IF($AN196="",OFFSET(Demand!$A$13,ROW(W193)-1,4+((QUOTIENT(COLUMN(CM$2)-69,3))*5)+MOD(COLUMN(CM$2),3),1,1),"")</f>
        <v>0</v>
      </c>
      <c r="CN196">
        <f ca="1">IF($AN196="",OFFSET(Demand!$A$13,ROW(X193)-1,4+((QUOTIENT(COLUMN(CN$2)-69,3))*5)+MOD(COLUMN(CN$2),3),1,1),"")</f>
        <v>0</v>
      </c>
      <c r="CO196">
        <f ca="1">IF($AN196="",OFFSET(Demand!$A$13,ROW(Y193)-1,4+((QUOTIENT(COLUMN(CO$2)-69,3))*5)+MOD(COLUMN(CO$2),3),1,1),"")</f>
        <v>0</v>
      </c>
      <c r="CP196">
        <f ca="1">IF($AN196="",OFFSET(Demand!$A$13,ROW(Z193)-1,4+((QUOTIENT(COLUMN(CP$2)-69,3))*5)+MOD(COLUMN(CP$2),3),1,1),"")</f>
        <v>0</v>
      </c>
      <c r="CQ196">
        <f ca="1">IF($AN196="",OFFSET(Demand!$A$13,ROW(AA193)-1,4+((QUOTIENT(COLUMN(CQ$2)-69,3))*5)+MOD(COLUMN(CQ$2),3),1,1),"")</f>
        <v>0</v>
      </c>
      <c r="CR196">
        <f ca="1">IF($AN196="",OFFSET(Demand!$A$13,ROW(AB193)-1,4+((QUOTIENT(COLUMN(CR$2)-69,3))*5)+MOD(COLUMN(CR$2),3),1,1),"")</f>
        <v>0</v>
      </c>
      <c r="CS196">
        <f ca="1">IF($AN196="",OFFSET(Demand!$A$13,ROW(AC193)-1,4+((QUOTIENT(COLUMN(CS$2)-69,3))*5)+MOD(COLUMN(CS$2),3),1,1),"")</f>
        <v>0</v>
      </c>
      <c r="CT196">
        <f ca="1">IF($AN196="",OFFSET(Demand!$A$13,ROW(AD193)-1,4+((QUOTIENT(COLUMN(CT$2)-69,3))*5)+MOD(COLUMN(CT$2),3),1,1),"")</f>
        <v>0</v>
      </c>
      <c r="CW196" s="5">
        <f ca="1">SUM(OFFSET(Demand!$H$43,ROW(A193)-1,(COLUMN(A193)-1)*5,1,1))*N$2</f>
        <v>0</v>
      </c>
      <c r="CX196" s="5">
        <f ca="1">SUM(OFFSET(Demand!$H$43,ROW(B193)-1,(COLUMN(B193)-1)*5,1,1))*O$2</f>
        <v>0</v>
      </c>
      <c r="CY196" s="5">
        <f ca="1">SUM(OFFSET(Demand!$H$43,ROW(C193)-1,(COLUMN(C193)-1)*5,1,1))*P$2</f>
        <v>0</v>
      </c>
      <c r="CZ196" s="5">
        <f ca="1">SUM(OFFSET(Demand!$H$43,ROW(D193)-1,(COLUMN(D193)-1)*5,1,1))*Q$2</f>
        <v>0</v>
      </c>
      <c r="DA196" s="5">
        <f ca="1">SUM(OFFSET(Demand!$H$43,ROW(E193)-1,(COLUMN(E193)-1)*5,1,1))*R$2</f>
        <v>0</v>
      </c>
      <c r="DB196" s="5">
        <f ca="1">SUM(OFFSET(Demand!$H$43,ROW(F193)-1,(COLUMN(F193)-1)*5,1,1))*S$2</f>
        <v>0</v>
      </c>
      <c r="DC196" s="5">
        <f ca="1">SUM(OFFSET(Demand!$H$43,ROW(G193)-1,(COLUMN(G193)-1)*5,1,1))*T$2</f>
        <v>0</v>
      </c>
      <c r="DD196" s="5">
        <f ca="1">SUM(OFFSET(Demand!$H$43,ROW(H193)-1,(COLUMN(H193)-1)*5,1,1))*U$2</f>
        <v>0</v>
      </c>
      <c r="DE196" s="5">
        <f ca="1">SUM(OFFSET(Demand!$H$43,ROW(I193)-1,(COLUMN(I193)-1)*5,1,1))*V$2</f>
        <v>0</v>
      </c>
      <c r="DF196" s="5">
        <f ca="1">SUM(OFFSET(Demand!$H$43,ROW(J193)-1,(COLUMN(J193)-1)*5,1,1))*W$2</f>
        <v>0</v>
      </c>
      <c r="DG196" s="5">
        <f t="shared" ca="1" si="44"/>
        <v>0</v>
      </c>
    </row>
    <row r="197" spans="1:111" x14ac:dyDescent="0.2">
      <c r="A197" s="5">
        <f t="shared" ca="1" si="46"/>
        <v>2</v>
      </c>
      <c r="B197" s="5">
        <f ca="1">COUNTBLANK(OFFSET(Demand!$I206,0,(COLUMN(A194)-1)*5,1,1))</f>
        <v>1</v>
      </c>
      <c r="C197" s="5">
        <f ca="1">COUNTBLANK(OFFSET(Demand!$I206,0,(COLUMN(B194)-1)*5,1,1))</f>
        <v>1</v>
      </c>
      <c r="D197" s="5">
        <f ca="1">COUNTBLANK(OFFSET(Demand!$I206,0,(COLUMN(C194)-1)*5,1,1))</f>
        <v>1</v>
      </c>
      <c r="E197" s="5">
        <f ca="1">COUNTBLANK(OFFSET(Demand!$I206,0,(COLUMN(D194)-1)*5,1,1))</f>
        <v>1</v>
      </c>
      <c r="F197" s="5">
        <f ca="1">COUNTBLANK(OFFSET(Demand!$I206,0,(COLUMN(E194)-1)*5,1,1))</f>
        <v>1</v>
      </c>
      <c r="G197" s="5">
        <f ca="1">COUNTBLANK(OFFSET(Demand!$I206,0,(COLUMN(F194)-1)*5,1,1))</f>
        <v>1</v>
      </c>
      <c r="H197" s="5">
        <f ca="1">COUNTBLANK(OFFSET(Demand!$I206,0,(COLUMN(G194)-1)*5,1,1))</f>
        <v>1</v>
      </c>
      <c r="I197" s="5">
        <f ca="1">COUNTBLANK(OFFSET(Demand!$I206,0,(COLUMN(H194)-1)*5,1,1))</f>
        <v>1</v>
      </c>
      <c r="J197" s="5">
        <f ca="1">COUNTBLANK(OFFSET(Demand!$I206,0,(COLUMN(I194)-1)*5,1,1))</f>
        <v>1</v>
      </c>
      <c r="K197" s="5">
        <f ca="1">COUNTBLANK(OFFSET(Demand!$I206,0,(COLUMN(J194)-1)*5,1,1))</f>
        <v>1</v>
      </c>
      <c r="N197" s="5">
        <f ca="1">SUM(OFFSET(Demand!$E206,0,(COLUMN(A194)-1)*5,1,3))*N$2</f>
        <v>0</v>
      </c>
      <c r="O197" s="5">
        <f ca="1">SUM(OFFSET(Demand!$E206,0,(COLUMN(B194)-1)*5,1,3))*O$2</f>
        <v>0</v>
      </c>
      <c r="P197" s="5">
        <f ca="1">SUM(OFFSET(Demand!$E206,0,(COLUMN(C194)-1)*5,1,3))*P$2</f>
        <v>0</v>
      </c>
      <c r="Q197" s="5">
        <f ca="1">SUM(OFFSET(Demand!$E206,0,(COLUMN(D194)-1)*5,1,3))*Q$2</f>
        <v>0</v>
      </c>
      <c r="R197" s="5">
        <f ca="1">SUM(OFFSET(Demand!$E206,0,(COLUMN(E194)-1)*5,1,3))*R$2</f>
        <v>0</v>
      </c>
      <c r="S197" s="5">
        <f ca="1">SUM(OFFSET(Demand!$E206,0,(COLUMN(F194)-1)*5,1,3))*S$2</f>
        <v>0</v>
      </c>
      <c r="T197" s="5">
        <f ca="1">SUM(OFFSET(Demand!$E206,0,(COLUMN(G194)-1)*5,1,3))*T$2</f>
        <v>0</v>
      </c>
      <c r="U197" s="5">
        <f ca="1">SUM(OFFSET(Demand!$E206,0,(COLUMN(H194)-1)*5,1,3))*U$2</f>
        <v>0</v>
      </c>
      <c r="V197" s="5">
        <f ca="1">SUM(OFFSET(Demand!$E206,0,(COLUMN(I194)-1)*5,1,3))*V$2</f>
        <v>0</v>
      </c>
      <c r="W197" s="5">
        <f ca="1">SUM(OFFSET(Demand!$E206,0,(COLUMN(J194)-1)*5,1,3))*W$2</f>
        <v>0</v>
      </c>
      <c r="X197" s="5">
        <f t="shared" ca="1" si="47"/>
        <v>0</v>
      </c>
      <c r="Y197">
        <f t="shared" ca="1" si="48"/>
        <v>0</v>
      </c>
      <c r="Z197" s="5">
        <f ca="1">SUM(OFFSET(Demand!$H206,0,(COLUMN(A194)-1)*5,1,1))*N$2</f>
        <v>0</v>
      </c>
      <c r="AA197" s="5">
        <f ca="1">SUM(OFFSET(Demand!$H206,0,(COLUMN(B194)-1)*5,1,1))*O$2</f>
        <v>0</v>
      </c>
      <c r="AB197" s="5">
        <f ca="1">SUM(OFFSET(Demand!$H206,0,(COLUMN(C194)-1)*5,1,1))*P$2</f>
        <v>0</v>
      </c>
      <c r="AC197" s="5">
        <f ca="1">SUM(OFFSET(Demand!$H206,0,(COLUMN(D194)-1)*5,1,1))*Q$2</f>
        <v>0</v>
      </c>
      <c r="AD197" s="5">
        <f ca="1">SUM(OFFSET(Demand!$H206,0,(COLUMN(E194)-1)*5,1,1))*R$2</f>
        <v>0</v>
      </c>
      <c r="AE197" s="5">
        <f ca="1">SUM(OFFSET(Demand!$H206,0,(COLUMN(F194)-1)*5,1,1))*S$2</f>
        <v>0</v>
      </c>
      <c r="AF197" s="5">
        <f ca="1">SUM(OFFSET(Demand!$H206,0,(COLUMN(G194)-1)*5,1,1))*T$2</f>
        <v>0</v>
      </c>
      <c r="AG197" s="5">
        <f ca="1">SUM(OFFSET(Demand!$H206,0,(COLUMN(H194)-1)*5,1,1))*U$2</f>
        <v>0</v>
      </c>
      <c r="AH197" s="5">
        <f ca="1">SUM(OFFSET(Demand!$H206,0,(COLUMN(I194)-1)*5,1,1))*V$2</f>
        <v>0</v>
      </c>
      <c r="AI197" s="5">
        <f ca="1">SUM(OFFSET(Demand!$H206,0,(COLUMN(J194)-1)*5,1,1))*W$2</f>
        <v>0</v>
      </c>
      <c r="AJ197" s="5">
        <f t="shared" ca="1" si="49"/>
        <v>0</v>
      </c>
      <c r="AL197" s="5">
        <f t="shared" ref="AL197:AL260" ca="1" si="50">X197</f>
        <v>0</v>
      </c>
      <c r="AM197" s="5">
        <f t="shared" ref="AM197:AM260" ca="1" si="51">IF(AN197&lt;&gt;"","",AJ197)</f>
        <v>0</v>
      </c>
      <c r="AN197" s="5" t="str">
        <f>IF(Demand!BE206="Yes","Yes","")</f>
        <v/>
      </c>
      <c r="AP197" s="37" t="str">
        <f ca="1">Demand!B206</f>
        <v xml:space="preserve"> </v>
      </c>
      <c r="AQ197" t="str">
        <f ca="1">IF(TEXT(Demand!D206,"MMM")&lt;&gt;TEXT(Demand!D205,"MMM"),TEXT(Demand!D206,"MMM"),"")</f>
        <v/>
      </c>
      <c r="AT197" s="5">
        <f t="shared" ca="1" si="45"/>
        <v>0</v>
      </c>
      <c r="BQ197">
        <f ca="1">IF($AN197="",OFFSET(Demand!$A$13,ROW(A194)-1,4+((QUOTIENT(COLUMN(BQ$2)-69,3))*5)+MOD(COLUMN(BQ$2),3),1,1),"")</f>
        <v>0</v>
      </c>
      <c r="BR197">
        <f ca="1">IF($AN197="",OFFSET(Demand!$A$13,ROW(B194)-1,4+((QUOTIENT(COLUMN(BR$2)-69,3))*5)+MOD(COLUMN(BR$2),3),1,1),"")</f>
        <v>0</v>
      </c>
      <c r="BS197">
        <f ca="1">IF($AN197="",OFFSET(Demand!$A$13,ROW(C194)-1,4+((QUOTIENT(COLUMN(BS$2)-69,3))*5)+MOD(COLUMN(BS$2),3),1,1),"")</f>
        <v>0</v>
      </c>
      <c r="BT197">
        <f ca="1">IF($AN197="",OFFSET(Demand!$A$13,ROW(D194)-1,4+((QUOTIENT(COLUMN(BT$2)-69,3))*5)+MOD(COLUMN(BT$2),3),1,1),"")</f>
        <v>0</v>
      </c>
      <c r="BU197">
        <f ca="1">IF($AN197="",OFFSET(Demand!$A$13,ROW(E194)-1,4+((QUOTIENT(COLUMN(BU$2)-69,3))*5)+MOD(COLUMN(BU$2),3),1,1),"")</f>
        <v>0</v>
      </c>
      <c r="BV197">
        <f ca="1">IF($AN197="",OFFSET(Demand!$A$13,ROW(F194)-1,4+((QUOTIENT(COLUMN(BV$2)-69,3))*5)+MOD(COLUMN(BV$2),3),1,1),"")</f>
        <v>0</v>
      </c>
      <c r="BW197">
        <f ca="1">IF($AN197="",OFFSET(Demand!$A$13,ROW(G194)-1,4+((QUOTIENT(COLUMN(BW$2)-69,3))*5)+MOD(COLUMN(BW$2),3),1,1),"")</f>
        <v>0</v>
      </c>
      <c r="BX197">
        <f ca="1">IF($AN197="",OFFSET(Demand!$A$13,ROW(H194)-1,4+((QUOTIENT(COLUMN(BX$2)-69,3))*5)+MOD(COLUMN(BX$2),3),1,1),"")</f>
        <v>0</v>
      </c>
      <c r="BY197">
        <f ca="1">IF($AN197="",OFFSET(Demand!$A$13,ROW(I194)-1,4+((QUOTIENT(COLUMN(BY$2)-69,3))*5)+MOD(COLUMN(BY$2),3),1,1),"")</f>
        <v>0</v>
      </c>
      <c r="BZ197">
        <f ca="1">IF($AN197="",OFFSET(Demand!$A$13,ROW(J194)-1,4+((QUOTIENT(COLUMN(BZ$2)-69,3))*5)+MOD(COLUMN(BZ$2),3),1,1),"")</f>
        <v>0</v>
      </c>
      <c r="CA197">
        <f ca="1">IF($AN197="",OFFSET(Demand!$A$13,ROW(K194)-1,4+((QUOTIENT(COLUMN(CA$2)-69,3))*5)+MOD(COLUMN(CA$2),3),1,1),"")</f>
        <v>0</v>
      </c>
      <c r="CB197">
        <f ca="1">IF($AN197="",OFFSET(Demand!$A$13,ROW(L194)-1,4+((QUOTIENT(COLUMN(CB$2)-69,3))*5)+MOD(COLUMN(CB$2),3),1,1),"")</f>
        <v>0</v>
      </c>
      <c r="CC197">
        <f ca="1">IF($AN197="",OFFSET(Demand!$A$13,ROW(M194)-1,4+((QUOTIENT(COLUMN(CC$2)-69,3))*5)+MOD(COLUMN(CC$2),3),1,1),"")</f>
        <v>0</v>
      </c>
      <c r="CD197">
        <f ca="1">IF($AN197="",OFFSET(Demand!$A$13,ROW(N194)-1,4+((QUOTIENT(COLUMN(CD$2)-69,3))*5)+MOD(COLUMN(CD$2),3),1,1),"")</f>
        <v>0</v>
      </c>
      <c r="CE197">
        <f ca="1">IF($AN197="",OFFSET(Demand!$A$13,ROW(O194)-1,4+((QUOTIENT(COLUMN(CE$2)-69,3))*5)+MOD(COLUMN(CE$2),3),1,1),"")</f>
        <v>0</v>
      </c>
      <c r="CF197">
        <f ca="1">IF($AN197="",OFFSET(Demand!$A$13,ROW(P194)-1,4+((QUOTIENT(COLUMN(CF$2)-69,3))*5)+MOD(COLUMN(CF$2),3),1,1),"")</f>
        <v>0</v>
      </c>
      <c r="CG197">
        <f ca="1">IF($AN197="",OFFSET(Demand!$A$13,ROW(Q194)-1,4+((QUOTIENT(COLUMN(CG$2)-69,3))*5)+MOD(COLUMN(CG$2),3),1,1),"")</f>
        <v>0</v>
      </c>
      <c r="CH197">
        <f ca="1">IF($AN197="",OFFSET(Demand!$A$13,ROW(R194)-1,4+((QUOTIENT(COLUMN(CH$2)-69,3))*5)+MOD(COLUMN(CH$2),3),1,1),"")</f>
        <v>0</v>
      </c>
      <c r="CI197">
        <f ca="1">IF($AN197="",OFFSET(Demand!$A$13,ROW(S194)-1,4+((QUOTIENT(COLUMN(CI$2)-69,3))*5)+MOD(COLUMN(CI$2),3),1,1),"")</f>
        <v>0</v>
      </c>
      <c r="CJ197">
        <f ca="1">IF($AN197="",OFFSET(Demand!$A$13,ROW(T194)-1,4+((QUOTIENT(COLUMN(CJ$2)-69,3))*5)+MOD(COLUMN(CJ$2),3),1,1),"")</f>
        <v>0</v>
      </c>
      <c r="CK197">
        <f ca="1">IF($AN197="",OFFSET(Demand!$A$13,ROW(U194)-1,4+((QUOTIENT(COLUMN(CK$2)-69,3))*5)+MOD(COLUMN(CK$2),3),1,1),"")</f>
        <v>0</v>
      </c>
      <c r="CL197">
        <f ca="1">IF($AN197="",OFFSET(Demand!$A$13,ROW(V194)-1,4+((QUOTIENT(COLUMN(CL$2)-69,3))*5)+MOD(COLUMN(CL$2),3),1,1),"")</f>
        <v>0</v>
      </c>
      <c r="CM197">
        <f ca="1">IF($AN197="",OFFSET(Demand!$A$13,ROW(W194)-1,4+((QUOTIENT(COLUMN(CM$2)-69,3))*5)+MOD(COLUMN(CM$2),3),1,1),"")</f>
        <v>0</v>
      </c>
      <c r="CN197">
        <f ca="1">IF($AN197="",OFFSET(Demand!$A$13,ROW(X194)-1,4+((QUOTIENT(COLUMN(CN$2)-69,3))*5)+MOD(COLUMN(CN$2),3),1,1),"")</f>
        <v>0</v>
      </c>
      <c r="CO197">
        <f ca="1">IF($AN197="",OFFSET(Demand!$A$13,ROW(Y194)-1,4+((QUOTIENT(COLUMN(CO$2)-69,3))*5)+MOD(COLUMN(CO$2),3),1,1),"")</f>
        <v>0</v>
      </c>
      <c r="CP197">
        <f ca="1">IF($AN197="",OFFSET(Demand!$A$13,ROW(Z194)-1,4+((QUOTIENT(COLUMN(CP$2)-69,3))*5)+MOD(COLUMN(CP$2),3),1,1),"")</f>
        <v>0</v>
      </c>
      <c r="CQ197">
        <f ca="1">IF($AN197="",OFFSET(Demand!$A$13,ROW(AA194)-1,4+((QUOTIENT(COLUMN(CQ$2)-69,3))*5)+MOD(COLUMN(CQ$2),3),1,1),"")</f>
        <v>0</v>
      </c>
      <c r="CR197">
        <f ca="1">IF($AN197="",OFFSET(Demand!$A$13,ROW(AB194)-1,4+((QUOTIENT(COLUMN(CR$2)-69,3))*5)+MOD(COLUMN(CR$2),3),1,1),"")</f>
        <v>0</v>
      </c>
      <c r="CS197">
        <f ca="1">IF($AN197="",OFFSET(Demand!$A$13,ROW(AC194)-1,4+((QUOTIENT(COLUMN(CS$2)-69,3))*5)+MOD(COLUMN(CS$2),3),1,1),"")</f>
        <v>0</v>
      </c>
      <c r="CT197">
        <f ca="1">IF($AN197="",OFFSET(Demand!$A$13,ROW(AD194)-1,4+((QUOTIENT(COLUMN(CT$2)-69,3))*5)+MOD(COLUMN(CT$2),3),1,1),"")</f>
        <v>0</v>
      </c>
      <c r="CW197" s="5">
        <f ca="1">SUM(OFFSET(Demand!$H$43,ROW(A194)-1,(COLUMN(A194)-1)*5,1,1))*N$2</f>
        <v>0</v>
      </c>
      <c r="CX197" s="5">
        <f ca="1">SUM(OFFSET(Demand!$H$43,ROW(B194)-1,(COLUMN(B194)-1)*5,1,1))*O$2</f>
        <v>0</v>
      </c>
      <c r="CY197" s="5">
        <f ca="1">SUM(OFFSET(Demand!$H$43,ROW(C194)-1,(COLUMN(C194)-1)*5,1,1))*P$2</f>
        <v>0</v>
      </c>
      <c r="CZ197" s="5">
        <f ca="1">SUM(OFFSET(Demand!$H$43,ROW(D194)-1,(COLUMN(D194)-1)*5,1,1))*Q$2</f>
        <v>0</v>
      </c>
      <c r="DA197" s="5">
        <f ca="1">SUM(OFFSET(Demand!$H$43,ROW(E194)-1,(COLUMN(E194)-1)*5,1,1))*R$2</f>
        <v>0</v>
      </c>
      <c r="DB197" s="5">
        <f ca="1">SUM(OFFSET(Demand!$H$43,ROW(F194)-1,(COLUMN(F194)-1)*5,1,1))*S$2</f>
        <v>0</v>
      </c>
      <c r="DC197" s="5">
        <f ca="1">SUM(OFFSET(Demand!$H$43,ROW(G194)-1,(COLUMN(G194)-1)*5,1,1))*T$2</f>
        <v>0</v>
      </c>
      <c r="DD197" s="5">
        <f ca="1">SUM(OFFSET(Demand!$H$43,ROW(H194)-1,(COLUMN(H194)-1)*5,1,1))*U$2</f>
        <v>0</v>
      </c>
      <c r="DE197" s="5">
        <f ca="1">SUM(OFFSET(Demand!$H$43,ROW(I194)-1,(COLUMN(I194)-1)*5,1,1))*V$2</f>
        <v>0</v>
      </c>
      <c r="DF197" s="5">
        <f ca="1">SUM(OFFSET(Demand!$H$43,ROW(J194)-1,(COLUMN(J194)-1)*5,1,1))*W$2</f>
        <v>0</v>
      </c>
      <c r="DG197" s="5">
        <f t="shared" ref="DG197:DG260" ca="1" si="52">IF(AN197="",SUM(CW197:DF197),"")</f>
        <v>0</v>
      </c>
    </row>
    <row r="198" spans="1:111" x14ac:dyDescent="0.2">
      <c r="A198" s="5">
        <f t="shared" ca="1" si="46"/>
        <v>2</v>
      </c>
      <c r="B198" s="5">
        <f ca="1">COUNTBLANK(OFFSET(Demand!$I207,0,(COLUMN(A195)-1)*5,1,1))</f>
        <v>1</v>
      </c>
      <c r="C198" s="5">
        <f ca="1">COUNTBLANK(OFFSET(Demand!$I207,0,(COLUMN(B195)-1)*5,1,1))</f>
        <v>1</v>
      </c>
      <c r="D198" s="5">
        <f ca="1">COUNTBLANK(OFFSET(Demand!$I207,0,(COLUMN(C195)-1)*5,1,1))</f>
        <v>1</v>
      </c>
      <c r="E198" s="5">
        <f ca="1">COUNTBLANK(OFFSET(Demand!$I207,0,(COLUMN(D195)-1)*5,1,1))</f>
        <v>1</v>
      </c>
      <c r="F198" s="5">
        <f ca="1">COUNTBLANK(OFFSET(Demand!$I207,0,(COLUMN(E195)-1)*5,1,1))</f>
        <v>1</v>
      </c>
      <c r="G198" s="5">
        <f ca="1">COUNTBLANK(OFFSET(Demand!$I207,0,(COLUMN(F195)-1)*5,1,1))</f>
        <v>1</v>
      </c>
      <c r="H198" s="5">
        <f ca="1">COUNTBLANK(OFFSET(Demand!$I207,0,(COLUMN(G195)-1)*5,1,1))</f>
        <v>1</v>
      </c>
      <c r="I198" s="5">
        <f ca="1">COUNTBLANK(OFFSET(Demand!$I207,0,(COLUMN(H195)-1)*5,1,1))</f>
        <v>1</v>
      </c>
      <c r="J198" s="5">
        <f ca="1">COUNTBLANK(OFFSET(Demand!$I207,0,(COLUMN(I195)-1)*5,1,1))</f>
        <v>1</v>
      </c>
      <c r="K198" s="5">
        <f ca="1">COUNTBLANK(OFFSET(Demand!$I207,0,(COLUMN(J195)-1)*5,1,1))</f>
        <v>1</v>
      </c>
      <c r="N198" s="5">
        <f ca="1">SUM(OFFSET(Demand!$E207,0,(COLUMN(A195)-1)*5,1,3))*N$2</f>
        <v>0</v>
      </c>
      <c r="O198" s="5">
        <f ca="1">SUM(OFFSET(Demand!$E207,0,(COLUMN(B195)-1)*5,1,3))*O$2</f>
        <v>0</v>
      </c>
      <c r="P198" s="5">
        <f ca="1">SUM(OFFSET(Demand!$E207,0,(COLUMN(C195)-1)*5,1,3))*P$2</f>
        <v>0</v>
      </c>
      <c r="Q198" s="5">
        <f ca="1">SUM(OFFSET(Demand!$E207,0,(COLUMN(D195)-1)*5,1,3))*Q$2</f>
        <v>0</v>
      </c>
      <c r="R198" s="5">
        <f ca="1">SUM(OFFSET(Demand!$E207,0,(COLUMN(E195)-1)*5,1,3))*R$2</f>
        <v>0</v>
      </c>
      <c r="S198" s="5">
        <f ca="1">SUM(OFFSET(Demand!$E207,0,(COLUMN(F195)-1)*5,1,3))*S$2</f>
        <v>0</v>
      </c>
      <c r="T198" s="5">
        <f ca="1">SUM(OFFSET(Demand!$E207,0,(COLUMN(G195)-1)*5,1,3))*T$2</f>
        <v>0</v>
      </c>
      <c r="U198" s="5">
        <f ca="1">SUM(OFFSET(Demand!$E207,0,(COLUMN(H195)-1)*5,1,3))*U$2</f>
        <v>0</v>
      </c>
      <c r="V198" s="5">
        <f ca="1">SUM(OFFSET(Demand!$E207,0,(COLUMN(I195)-1)*5,1,3))*V$2</f>
        <v>0</v>
      </c>
      <c r="W198" s="5">
        <f ca="1">SUM(OFFSET(Demand!$E207,0,(COLUMN(J195)-1)*5,1,3))*W$2</f>
        <v>0</v>
      </c>
      <c r="X198" s="5">
        <f t="shared" ca="1" si="47"/>
        <v>0</v>
      </c>
      <c r="Y198">
        <f t="shared" ca="1" si="48"/>
        <v>0</v>
      </c>
      <c r="Z198" s="5">
        <f ca="1">SUM(OFFSET(Demand!$H207,0,(COLUMN(A195)-1)*5,1,1))*N$2</f>
        <v>0</v>
      </c>
      <c r="AA198" s="5">
        <f ca="1">SUM(OFFSET(Demand!$H207,0,(COLUMN(B195)-1)*5,1,1))*O$2</f>
        <v>0</v>
      </c>
      <c r="AB198" s="5">
        <f ca="1">SUM(OFFSET(Demand!$H207,0,(COLUMN(C195)-1)*5,1,1))*P$2</f>
        <v>0</v>
      </c>
      <c r="AC198" s="5">
        <f ca="1">SUM(OFFSET(Demand!$H207,0,(COLUMN(D195)-1)*5,1,1))*Q$2</f>
        <v>0</v>
      </c>
      <c r="AD198" s="5">
        <f ca="1">SUM(OFFSET(Demand!$H207,0,(COLUMN(E195)-1)*5,1,1))*R$2</f>
        <v>0</v>
      </c>
      <c r="AE198" s="5">
        <f ca="1">SUM(OFFSET(Demand!$H207,0,(COLUMN(F195)-1)*5,1,1))*S$2</f>
        <v>0</v>
      </c>
      <c r="AF198" s="5">
        <f ca="1">SUM(OFFSET(Demand!$H207,0,(COLUMN(G195)-1)*5,1,1))*T$2</f>
        <v>0</v>
      </c>
      <c r="AG198" s="5">
        <f ca="1">SUM(OFFSET(Demand!$H207,0,(COLUMN(H195)-1)*5,1,1))*U$2</f>
        <v>0</v>
      </c>
      <c r="AH198" s="5">
        <f ca="1">SUM(OFFSET(Demand!$H207,0,(COLUMN(I195)-1)*5,1,1))*V$2</f>
        <v>0</v>
      </c>
      <c r="AI198" s="5">
        <f ca="1">SUM(OFFSET(Demand!$H207,0,(COLUMN(J195)-1)*5,1,1))*W$2</f>
        <v>0</v>
      </c>
      <c r="AJ198" s="5">
        <f t="shared" ca="1" si="49"/>
        <v>0</v>
      </c>
      <c r="AL198" s="5">
        <f t="shared" ca="1" si="50"/>
        <v>0</v>
      </c>
      <c r="AM198" s="5">
        <f t="shared" ca="1" si="51"/>
        <v>0</v>
      </c>
      <c r="AN198" s="5" t="str">
        <f>IF(Demand!BE207="Yes","Yes","")</f>
        <v/>
      </c>
      <c r="AP198" s="37" t="str">
        <f ca="1">Demand!B207</f>
        <v xml:space="preserve"> </v>
      </c>
      <c r="AQ198" t="str">
        <f ca="1">IF(TEXT(Demand!D207,"MMM")&lt;&gt;TEXT(Demand!D206,"MMM"),TEXT(Demand!D207,"MMM"),"")</f>
        <v/>
      </c>
      <c r="AT198" s="5">
        <f t="shared" ref="AT198:AT261" ca="1" si="53">IF(OR(AL198="",AL197=""),"",ABS(AL198-AL197))</f>
        <v>0</v>
      </c>
      <c r="BQ198">
        <f ca="1">IF($AN198="",OFFSET(Demand!$A$13,ROW(A195)-1,4+((QUOTIENT(COLUMN(BQ$2)-69,3))*5)+MOD(COLUMN(BQ$2),3),1,1),"")</f>
        <v>0</v>
      </c>
      <c r="BR198">
        <f ca="1">IF($AN198="",OFFSET(Demand!$A$13,ROW(B195)-1,4+((QUOTIENT(COLUMN(BR$2)-69,3))*5)+MOD(COLUMN(BR$2),3),1,1),"")</f>
        <v>0</v>
      </c>
      <c r="BS198">
        <f ca="1">IF($AN198="",OFFSET(Demand!$A$13,ROW(C195)-1,4+((QUOTIENT(COLUMN(BS$2)-69,3))*5)+MOD(COLUMN(BS$2),3),1,1),"")</f>
        <v>0</v>
      </c>
      <c r="BT198">
        <f ca="1">IF($AN198="",OFFSET(Demand!$A$13,ROW(D195)-1,4+((QUOTIENT(COLUMN(BT$2)-69,3))*5)+MOD(COLUMN(BT$2),3),1,1),"")</f>
        <v>0</v>
      </c>
      <c r="BU198">
        <f ca="1">IF($AN198="",OFFSET(Demand!$A$13,ROW(E195)-1,4+((QUOTIENT(COLUMN(BU$2)-69,3))*5)+MOD(COLUMN(BU$2),3),1,1),"")</f>
        <v>0</v>
      </c>
      <c r="BV198">
        <f ca="1">IF($AN198="",OFFSET(Demand!$A$13,ROW(F195)-1,4+((QUOTIENT(COLUMN(BV$2)-69,3))*5)+MOD(COLUMN(BV$2),3),1,1),"")</f>
        <v>0</v>
      </c>
      <c r="BW198">
        <f ca="1">IF($AN198="",OFFSET(Demand!$A$13,ROW(G195)-1,4+((QUOTIENT(COLUMN(BW$2)-69,3))*5)+MOD(COLUMN(BW$2),3),1,1),"")</f>
        <v>0</v>
      </c>
      <c r="BX198">
        <f ca="1">IF($AN198="",OFFSET(Demand!$A$13,ROW(H195)-1,4+((QUOTIENT(COLUMN(BX$2)-69,3))*5)+MOD(COLUMN(BX$2),3),1,1),"")</f>
        <v>0</v>
      </c>
      <c r="BY198">
        <f ca="1">IF($AN198="",OFFSET(Demand!$A$13,ROW(I195)-1,4+((QUOTIENT(COLUMN(BY$2)-69,3))*5)+MOD(COLUMN(BY$2),3),1,1),"")</f>
        <v>0</v>
      </c>
      <c r="BZ198">
        <f ca="1">IF($AN198="",OFFSET(Demand!$A$13,ROW(J195)-1,4+((QUOTIENT(COLUMN(BZ$2)-69,3))*5)+MOD(COLUMN(BZ$2),3),1,1),"")</f>
        <v>0</v>
      </c>
      <c r="CA198">
        <f ca="1">IF($AN198="",OFFSET(Demand!$A$13,ROW(K195)-1,4+((QUOTIENT(COLUMN(CA$2)-69,3))*5)+MOD(COLUMN(CA$2),3),1,1),"")</f>
        <v>0</v>
      </c>
      <c r="CB198">
        <f ca="1">IF($AN198="",OFFSET(Demand!$A$13,ROW(L195)-1,4+((QUOTIENT(COLUMN(CB$2)-69,3))*5)+MOD(COLUMN(CB$2),3),1,1),"")</f>
        <v>0</v>
      </c>
      <c r="CC198">
        <f ca="1">IF($AN198="",OFFSET(Demand!$A$13,ROW(M195)-1,4+((QUOTIENT(COLUMN(CC$2)-69,3))*5)+MOD(COLUMN(CC$2),3),1,1),"")</f>
        <v>0</v>
      </c>
      <c r="CD198">
        <f ca="1">IF($AN198="",OFFSET(Demand!$A$13,ROW(N195)-1,4+((QUOTIENT(COLUMN(CD$2)-69,3))*5)+MOD(COLUMN(CD$2),3),1,1),"")</f>
        <v>0</v>
      </c>
      <c r="CE198">
        <f ca="1">IF($AN198="",OFFSET(Demand!$A$13,ROW(O195)-1,4+((QUOTIENT(COLUMN(CE$2)-69,3))*5)+MOD(COLUMN(CE$2),3),1,1),"")</f>
        <v>0</v>
      </c>
      <c r="CF198">
        <f ca="1">IF($AN198="",OFFSET(Demand!$A$13,ROW(P195)-1,4+((QUOTIENT(COLUMN(CF$2)-69,3))*5)+MOD(COLUMN(CF$2),3),1,1),"")</f>
        <v>0</v>
      </c>
      <c r="CG198">
        <f ca="1">IF($AN198="",OFFSET(Demand!$A$13,ROW(Q195)-1,4+((QUOTIENT(COLUMN(CG$2)-69,3))*5)+MOD(COLUMN(CG$2),3),1,1),"")</f>
        <v>0</v>
      </c>
      <c r="CH198">
        <f ca="1">IF($AN198="",OFFSET(Demand!$A$13,ROW(R195)-1,4+((QUOTIENT(COLUMN(CH$2)-69,3))*5)+MOD(COLUMN(CH$2),3),1,1),"")</f>
        <v>0</v>
      </c>
      <c r="CI198">
        <f ca="1">IF($AN198="",OFFSET(Demand!$A$13,ROW(S195)-1,4+((QUOTIENT(COLUMN(CI$2)-69,3))*5)+MOD(COLUMN(CI$2),3),1,1),"")</f>
        <v>0</v>
      </c>
      <c r="CJ198">
        <f ca="1">IF($AN198="",OFFSET(Demand!$A$13,ROW(T195)-1,4+((QUOTIENT(COLUMN(CJ$2)-69,3))*5)+MOD(COLUMN(CJ$2),3),1,1),"")</f>
        <v>0</v>
      </c>
      <c r="CK198">
        <f ca="1">IF($AN198="",OFFSET(Demand!$A$13,ROW(U195)-1,4+((QUOTIENT(COLUMN(CK$2)-69,3))*5)+MOD(COLUMN(CK$2),3),1,1),"")</f>
        <v>0</v>
      </c>
      <c r="CL198">
        <f ca="1">IF($AN198="",OFFSET(Demand!$A$13,ROW(V195)-1,4+((QUOTIENT(COLUMN(CL$2)-69,3))*5)+MOD(COLUMN(CL$2),3),1,1),"")</f>
        <v>0</v>
      </c>
      <c r="CM198">
        <f ca="1">IF($AN198="",OFFSET(Demand!$A$13,ROW(W195)-1,4+((QUOTIENT(COLUMN(CM$2)-69,3))*5)+MOD(COLUMN(CM$2),3),1,1),"")</f>
        <v>0</v>
      </c>
      <c r="CN198">
        <f ca="1">IF($AN198="",OFFSET(Demand!$A$13,ROW(X195)-1,4+((QUOTIENT(COLUMN(CN$2)-69,3))*5)+MOD(COLUMN(CN$2),3),1,1),"")</f>
        <v>0</v>
      </c>
      <c r="CO198">
        <f ca="1">IF($AN198="",OFFSET(Demand!$A$13,ROW(Y195)-1,4+((QUOTIENT(COLUMN(CO$2)-69,3))*5)+MOD(COLUMN(CO$2),3),1,1),"")</f>
        <v>0</v>
      </c>
      <c r="CP198">
        <f ca="1">IF($AN198="",OFFSET(Demand!$A$13,ROW(Z195)-1,4+((QUOTIENT(COLUMN(CP$2)-69,3))*5)+MOD(COLUMN(CP$2),3),1,1),"")</f>
        <v>0</v>
      </c>
      <c r="CQ198">
        <f ca="1">IF($AN198="",OFFSET(Demand!$A$13,ROW(AA195)-1,4+((QUOTIENT(COLUMN(CQ$2)-69,3))*5)+MOD(COLUMN(CQ$2),3),1,1),"")</f>
        <v>0</v>
      </c>
      <c r="CR198">
        <f ca="1">IF($AN198="",OFFSET(Demand!$A$13,ROW(AB195)-1,4+((QUOTIENT(COLUMN(CR$2)-69,3))*5)+MOD(COLUMN(CR$2),3),1,1),"")</f>
        <v>0</v>
      </c>
      <c r="CS198">
        <f ca="1">IF($AN198="",OFFSET(Demand!$A$13,ROW(AC195)-1,4+((QUOTIENT(COLUMN(CS$2)-69,3))*5)+MOD(COLUMN(CS$2),3),1,1),"")</f>
        <v>0</v>
      </c>
      <c r="CT198">
        <f ca="1">IF($AN198="",OFFSET(Demand!$A$13,ROW(AD195)-1,4+((QUOTIENT(COLUMN(CT$2)-69,3))*5)+MOD(COLUMN(CT$2),3),1,1),"")</f>
        <v>0</v>
      </c>
      <c r="CW198" s="5">
        <f ca="1">SUM(OFFSET(Demand!$H$43,ROW(A195)-1,(COLUMN(A195)-1)*5,1,1))*N$2</f>
        <v>0</v>
      </c>
      <c r="CX198" s="5">
        <f ca="1">SUM(OFFSET(Demand!$H$43,ROW(B195)-1,(COLUMN(B195)-1)*5,1,1))*O$2</f>
        <v>0</v>
      </c>
      <c r="CY198" s="5">
        <f ca="1">SUM(OFFSET(Demand!$H$43,ROW(C195)-1,(COLUMN(C195)-1)*5,1,1))*P$2</f>
        <v>0</v>
      </c>
      <c r="CZ198" s="5">
        <f ca="1">SUM(OFFSET(Demand!$H$43,ROW(D195)-1,(COLUMN(D195)-1)*5,1,1))*Q$2</f>
        <v>0</v>
      </c>
      <c r="DA198" s="5">
        <f ca="1">SUM(OFFSET(Demand!$H$43,ROW(E195)-1,(COLUMN(E195)-1)*5,1,1))*R$2</f>
        <v>0</v>
      </c>
      <c r="DB198" s="5">
        <f ca="1">SUM(OFFSET(Demand!$H$43,ROW(F195)-1,(COLUMN(F195)-1)*5,1,1))*S$2</f>
        <v>0</v>
      </c>
      <c r="DC198" s="5">
        <f ca="1">SUM(OFFSET(Demand!$H$43,ROW(G195)-1,(COLUMN(G195)-1)*5,1,1))*T$2</f>
        <v>0</v>
      </c>
      <c r="DD198" s="5">
        <f ca="1">SUM(OFFSET(Demand!$H$43,ROW(H195)-1,(COLUMN(H195)-1)*5,1,1))*U$2</f>
        <v>0</v>
      </c>
      <c r="DE198" s="5">
        <f ca="1">SUM(OFFSET(Demand!$H$43,ROW(I195)-1,(COLUMN(I195)-1)*5,1,1))*V$2</f>
        <v>0</v>
      </c>
      <c r="DF198" s="5">
        <f ca="1">SUM(OFFSET(Demand!$H$43,ROW(J195)-1,(COLUMN(J195)-1)*5,1,1))*W$2</f>
        <v>0</v>
      </c>
      <c r="DG198" s="5">
        <f t="shared" ca="1" si="52"/>
        <v>0</v>
      </c>
    </row>
    <row r="199" spans="1:111" x14ac:dyDescent="0.2">
      <c r="A199" s="5">
        <f t="shared" ca="1" si="46"/>
        <v>2</v>
      </c>
      <c r="B199" s="5">
        <f ca="1">COUNTBLANK(OFFSET(Demand!$I208,0,(COLUMN(A196)-1)*5,1,1))</f>
        <v>1</v>
      </c>
      <c r="C199" s="5">
        <f ca="1">COUNTBLANK(OFFSET(Demand!$I208,0,(COLUMN(B196)-1)*5,1,1))</f>
        <v>1</v>
      </c>
      <c r="D199" s="5">
        <f ca="1">COUNTBLANK(OFFSET(Demand!$I208,0,(COLUMN(C196)-1)*5,1,1))</f>
        <v>1</v>
      </c>
      <c r="E199" s="5">
        <f ca="1">COUNTBLANK(OFFSET(Demand!$I208,0,(COLUMN(D196)-1)*5,1,1))</f>
        <v>1</v>
      </c>
      <c r="F199" s="5">
        <f ca="1">COUNTBLANK(OFFSET(Demand!$I208,0,(COLUMN(E196)-1)*5,1,1))</f>
        <v>1</v>
      </c>
      <c r="G199" s="5">
        <f ca="1">COUNTBLANK(OFFSET(Demand!$I208,0,(COLUMN(F196)-1)*5,1,1))</f>
        <v>1</v>
      </c>
      <c r="H199" s="5">
        <f ca="1">COUNTBLANK(OFFSET(Demand!$I208,0,(COLUMN(G196)-1)*5,1,1))</f>
        <v>1</v>
      </c>
      <c r="I199" s="5">
        <f ca="1">COUNTBLANK(OFFSET(Demand!$I208,0,(COLUMN(H196)-1)*5,1,1))</f>
        <v>1</v>
      </c>
      <c r="J199" s="5">
        <f ca="1">COUNTBLANK(OFFSET(Demand!$I208,0,(COLUMN(I196)-1)*5,1,1))</f>
        <v>1</v>
      </c>
      <c r="K199" s="5">
        <f ca="1">COUNTBLANK(OFFSET(Demand!$I208,0,(COLUMN(J196)-1)*5,1,1))</f>
        <v>1</v>
      </c>
      <c r="N199" s="5">
        <f ca="1">SUM(OFFSET(Demand!$E208,0,(COLUMN(A196)-1)*5,1,3))*N$2</f>
        <v>0</v>
      </c>
      <c r="O199" s="5">
        <f ca="1">SUM(OFFSET(Demand!$E208,0,(COLUMN(B196)-1)*5,1,3))*O$2</f>
        <v>0</v>
      </c>
      <c r="P199" s="5">
        <f ca="1">SUM(OFFSET(Demand!$E208,0,(COLUMN(C196)-1)*5,1,3))*P$2</f>
        <v>0</v>
      </c>
      <c r="Q199" s="5">
        <f ca="1">SUM(OFFSET(Demand!$E208,0,(COLUMN(D196)-1)*5,1,3))*Q$2</f>
        <v>0</v>
      </c>
      <c r="R199" s="5">
        <f ca="1">SUM(OFFSET(Demand!$E208,0,(COLUMN(E196)-1)*5,1,3))*R$2</f>
        <v>0</v>
      </c>
      <c r="S199" s="5">
        <f ca="1">SUM(OFFSET(Demand!$E208,0,(COLUMN(F196)-1)*5,1,3))*S$2</f>
        <v>0</v>
      </c>
      <c r="T199" s="5">
        <f ca="1">SUM(OFFSET(Demand!$E208,0,(COLUMN(G196)-1)*5,1,3))*T$2</f>
        <v>0</v>
      </c>
      <c r="U199" s="5">
        <f ca="1">SUM(OFFSET(Demand!$E208,0,(COLUMN(H196)-1)*5,1,3))*U$2</f>
        <v>0</v>
      </c>
      <c r="V199" s="5">
        <f ca="1">SUM(OFFSET(Demand!$E208,0,(COLUMN(I196)-1)*5,1,3))*V$2</f>
        <v>0</v>
      </c>
      <c r="W199" s="5">
        <f ca="1">SUM(OFFSET(Demand!$E208,0,(COLUMN(J196)-1)*5,1,3))*W$2</f>
        <v>0</v>
      </c>
      <c r="X199" s="5">
        <f t="shared" ca="1" si="47"/>
        <v>0</v>
      </c>
      <c r="Y199">
        <f t="shared" ca="1" si="48"/>
        <v>0</v>
      </c>
      <c r="Z199" s="5">
        <f ca="1">SUM(OFFSET(Demand!$H208,0,(COLUMN(A196)-1)*5,1,1))*N$2</f>
        <v>0</v>
      </c>
      <c r="AA199" s="5">
        <f ca="1">SUM(OFFSET(Demand!$H208,0,(COLUMN(B196)-1)*5,1,1))*O$2</f>
        <v>0</v>
      </c>
      <c r="AB199" s="5">
        <f ca="1">SUM(OFFSET(Demand!$H208,0,(COLUMN(C196)-1)*5,1,1))*P$2</f>
        <v>0</v>
      </c>
      <c r="AC199" s="5">
        <f ca="1">SUM(OFFSET(Demand!$H208,0,(COLUMN(D196)-1)*5,1,1))*Q$2</f>
        <v>0</v>
      </c>
      <c r="AD199" s="5">
        <f ca="1">SUM(OFFSET(Demand!$H208,0,(COLUMN(E196)-1)*5,1,1))*R$2</f>
        <v>0</v>
      </c>
      <c r="AE199" s="5">
        <f ca="1">SUM(OFFSET(Demand!$H208,0,(COLUMN(F196)-1)*5,1,1))*S$2</f>
        <v>0</v>
      </c>
      <c r="AF199" s="5">
        <f ca="1">SUM(OFFSET(Demand!$H208,0,(COLUMN(G196)-1)*5,1,1))*T$2</f>
        <v>0</v>
      </c>
      <c r="AG199" s="5">
        <f ca="1">SUM(OFFSET(Demand!$H208,0,(COLUMN(H196)-1)*5,1,1))*U$2</f>
        <v>0</v>
      </c>
      <c r="AH199" s="5">
        <f ca="1">SUM(OFFSET(Demand!$H208,0,(COLUMN(I196)-1)*5,1,1))*V$2</f>
        <v>0</v>
      </c>
      <c r="AI199" s="5">
        <f ca="1">SUM(OFFSET(Demand!$H208,0,(COLUMN(J196)-1)*5,1,1))*W$2</f>
        <v>0</v>
      </c>
      <c r="AJ199" s="5">
        <f t="shared" ca="1" si="49"/>
        <v>0</v>
      </c>
      <c r="AL199" s="5">
        <f t="shared" ca="1" si="50"/>
        <v>0</v>
      </c>
      <c r="AM199" s="5">
        <f t="shared" ca="1" si="51"/>
        <v>0</v>
      </c>
      <c r="AN199" s="5" t="str">
        <f>IF(Demand!BE208="Yes","Yes","")</f>
        <v/>
      </c>
      <c r="AP199" s="37" t="str">
        <f ca="1">Demand!B208</f>
        <v xml:space="preserve"> </v>
      </c>
      <c r="AQ199" t="str">
        <f ca="1">IF(TEXT(Demand!D208,"MMM")&lt;&gt;TEXT(Demand!D207,"MMM"),TEXT(Demand!D208,"MMM"),"")</f>
        <v/>
      </c>
      <c r="AT199" s="5">
        <f t="shared" ca="1" si="53"/>
        <v>0</v>
      </c>
      <c r="BQ199">
        <f ca="1">IF($AN199="",OFFSET(Demand!$A$13,ROW(A196)-1,4+((QUOTIENT(COLUMN(BQ$2)-69,3))*5)+MOD(COLUMN(BQ$2),3),1,1),"")</f>
        <v>0</v>
      </c>
      <c r="BR199">
        <f ca="1">IF($AN199="",OFFSET(Demand!$A$13,ROW(B196)-1,4+((QUOTIENT(COLUMN(BR$2)-69,3))*5)+MOD(COLUMN(BR$2),3),1,1),"")</f>
        <v>0</v>
      </c>
      <c r="BS199">
        <f ca="1">IF($AN199="",OFFSET(Demand!$A$13,ROW(C196)-1,4+((QUOTIENT(COLUMN(BS$2)-69,3))*5)+MOD(COLUMN(BS$2),3),1,1),"")</f>
        <v>0</v>
      </c>
      <c r="BT199">
        <f ca="1">IF($AN199="",OFFSET(Demand!$A$13,ROW(D196)-1,4+((QUOTIENT(COLUMN(BT$2)-69,3))*5)+MOD(COLUMN(BT$2),3),1,1),"")</f>
        <v>0</v>
      </c>
      <c r="BU199">
        <f ca="1">IF($AN199="",OFFSET(Demand!$A$13,ROW(E196)-1,4+((QUOTIENT(COLUMN(BU$2)-69,3))*5)+MOD(COLUMN(BU$2),3),1,1),"")</f>
        <v>0</v>
      </c>
      <c r="BV199">
        <f ca="1">IF($AN199="",OFFSET(Demand!$A$13,ROW(F196)-1,4+((QUOTIENT(COLUMN(BV$2)-69,3))*5)+MOD(COLUMN(BV$2),3),1,1),"")</f>
        <v>0</v>
      </c>
      <c r="BW199">
        <f ca="1">IF($AN199="",OFFSET(Demand!$A$13,ROW(G196)-1,4+((QUOTIENT(COLUMN(BW$2)-69,3))*5)+MOD(COLUMN(BW$2),3),1,1),"")</f>
        <v>0</v>
      </c>
      <c r="BX199">
        <f ca="1">IF($AN199="",OFFSET(Demand!$A$13,ROW(H196)-1,4+((QUOTIENT(COLUMN(BX$2)-69,3))*5)+MOD(COLUMN(BX$2),3),1,1),"")</f>
        <v>0</v>
      </c>
      <c r="BY199">
        <f ca="1">IF($AN199="",OFFSET(Demand!$A$13,ROW(I196)-1,4+((QUOTIENT(COLUMN(BY$2)-69,3))*5)+MOD(COLUMN(BY$2),3),1,1),"")</f>
        <v>0</v>
      </c>
      <c r="BZ199">
        <f ca="1">IF($AN199="",OFFSET(Demand!$A$13,ROW(J196)-1,4+((QUOTIENT(COLUMN(BZ$2)-69,3))*5)+MOD(COLUMN(BZ$2),3),1,1),"")</f>
        <v>0</v>
      </c>
      <c r="CA199">
        <f ca="1">IF($AN199="",OFFSET(Demand!$A$13,ROW(K196)-1,4+((QUOTIENT(COLUMN(CA$2)-69,3))*5)+MOD(COLUMN(CA$2),3),1,1),"")</f>
        <v>0</v>
      </c>
      <c r="CB199">
        <f ca="1">IF($AN199="",OFFSET(Demand!$A$13,ROW(L196)-1,4+((QUOTIENT(COLUMN(CB$2)-69,3))*5)+MOD(COLUMN(CB$2),3),1,1),"")</f>
        <v>0</v>
      </c>
      <c r="CC199">
        <f ca="1">IF($AN199="",OFFSET(Demand!$A$13,ROW(M196)-1,4+((QUOTIENT(COLUMN(CC$2)-69,3))*5)+MOD(COLUMN(CC$2),3),1,1),"")</f>
        <v>0</v>
      </c>
      <c r="CD199">
        <f ca="1">IF($AN199="",OFFSET(Demand!$A$13,ROW(N196)-1,4+((QUOTIENT(COLUMN(CD$2)-69,3))*5)+MOD(COLUMN(CD$2),3),1,1),"")</f>
        <v>0</v>
      </c>
      <c r="CE199">
        <f ca="1">IF($AN199="",OFFSET(Demand!$A$13,ROW(O196)-1,4+((QUOTIENT(COLUMN(CE$2)-69,3))*5)+MOD(COLUMN(CE$2),3),1,1),"")</f>
        <v>0</v>
      </c>
      <c r="CF199">
        <f ca="1">IF($AN199="",OFFSET(Demand!$A$13,ROW(P196)-1,4+((QUOTIENT(COLUMN(CF$2)-69,3))*5)+MOD(COLUMN(CF$2),3),1,1),"")</f>
        <v>0</v>
      </c>
      <c r="CG199">
        <f ca="1">IF($AN199="",OFFSET(Demand!$A$13,ROW(Q196)-1,4+((QUOTIENT(COLUMN(CG$2)-69,3))*5)+MOD(COLUMN(CG$2),3),1,1),"")</f>
        <v>0</v>
      </c>
      <c r="CH199">
        <f ca="1">IF($AN199="",OFFSET(Demand!$A$13,ROW(R196)-1,4+((QUOTIENT(COLUMN(CH$2)-69,3))*5)+MOD(COLUMN(CH$2),3),1,1),"")</f>
        <v>0</v>
      </c>
      <c r="CI199">
        <f ca="1">IF($AN199="",OFFSET(Demand!$A$13,ROW(S196)-1,4+((QUOTIENT(COLUMN(CI$2)-69,3))*5)+MOD(COLUMN(CI$2),3),1,1),"")</f>
        <v>0</v>
      </c>
      <c r="CJ199">
        <f ca="1">IF($AN199="",OFFSET(Demand!$A$13,ROW(T196)-1,4+((QUOTIENT(COLUMN(CJ$2)-69,3))*5)+MOD(COLUMN(CJ$2),3),1,1),"")</f>
        <v>0</v>
      </c>
      <c r="CK199">
        <f ca="1">IF($AN199="",OFFSET(Demand!$A$13,ROW(U196)-1,4+((QUOTIENT(COLUMN(CK$2)-69,3))*5)+MOD(COLUMN(CK$2),3),1,1),"")</f>
        <v>0</v>
      </c>
      <c r="CL199">
        <f ca="1">IF($AN199="",OFFSET(Demand!$A$13,ROW(V196)-1,4+((QUOTIENT(COLUMN(CL$2)-69,3))*5)+MOD(COLUMN(CL$2),3),1,1),"")</f>
        <v>0</v>
      </c>
      <c r="CM199">
        <f ca="1">IF($AN199="",OFFSET(Demand!$A$13,ROW(W196)-1,4+((QUOTIENT(COLUMN(CM$2)-69,3))*5)+MOD(COLUMN(CM$2),3),1,1),"")</f>
        <v>0</v>
      </c>
      <c r="CN199">
        <f ca="1">IF($AN199="",OFFSET(Demand!$A$13,ROW(X196)-1,4+((QUOTIENT(COLUMN(CN$2)-69,3))*5)+MOD(COLUMN(CN$2),3),1,1),"")</f>
        <v>0</v>
      </c>
      <c r="CO199">
        <f ca="1">IF($AN199="",OFFSET(Demand!$A$13,ROW(Y196)-1,4+((QUOTIENT(COLUMN(CO$2)-69,3))*5)+MOD(COLUMN(CO$2),3),1,1),"")</f>
        <v>0</v>
      </c>
      <c r="CP199">
        <f ca="1">IF($AN199="",OFFSET(Demand!$A$13,ROW(Z196)-1,4+((QUOTIENT(COLUMN(CP$2)-69,3))*5)+MOD(COLUMN(CP$2),3),1,1),"")</f>
        <v>0</v>
      </c>
      <c r="CQ199">
        <f ca="1">IF($AN199="",OFFSET(Demand!$A$13,ROW(AA196)-1,4+((QUOTIENT(COLUMN(CQ$2)-69,3))*5)+MOD(COLUMN(CQ$2),3),1,1),"")</f>
        <v>0</v>
      </c>
      <c r="CR199">
        <f ca="1">IF($AN199="",OFFSET(Demand!$A$13,ROW(AB196)-1,4+((QUOTIENT(COLUMN(CR$2)-69,3))*5)+MOD(COLUMN(CR$2),3),1,1),"")</f>
        <v>0</v>
      </c>
      <c r="CS199">
        <f ca="1">IF($AN199="",OFFSET(Demand!$A$13,ROW(AC196)-1,4+((QUOTIENT(COLUMN(CS$2)-69,3))*5)+MOD(COLUMN(CS$2),3),1,1),"")</f>
        <v>0</v>
      </c>
      <c r="CT199">
        <f ca="1">IF($AN199="",OFFSET(Demand!$A$13,ROW(AD196)-1,4+((QUOTIENT(COLUMN(CT$2)-69,3))*5)+MOD(COLUMN(CT$2),3),1,1),"")</f>
        <v>0</v>
      </c>
      <c r="CW199" s="5">
        <f ca="1">SUM(OFFSET(Demand!$H$43,ROW(A196)-1,(COLUMN(A196)-1)*5,1,1))*N$2</f>
        <v>0</v>
      </c>
      <c r="CX199" s="5">
        <f ca="1">SUM(OFFSET(Demand!$H$43,ROW(B196)-1,(COLUMN(B196)-1)*5,1,1))*O$2</f>
        <v>0</v>
      </c>
      <c r="CY199" s="5">
        <f ca="1">SUM(OFFSET(Demand!$H$43,ROW(C196)-1,(COLUMN(C196)-1)*5,1,1))*P$2</f>
        <v>0</v>
      </c>
      <c r="CZ199" s="5">
        <f ca="1">SUM(OFFSET(Demand!$H$43,ROW(D196)-1,(COLUMN(D196)-1)*5,1,1))*Q$2</f>
        <v>0</v>
      </c>
      <c r="DA199" s="5">
        <f ca="1">SUM(OFFSET(Demand!$H$43,ROW(E196)-1,(COLUMN(E196)-1)*5,1,1))*R$2</f>
        <v>0</v>
      </c>
      <c r="DB199" s="5">
        <f ca="1">SUM(OFFSET(Demand!$H$43,ROW(F196)-1,(COLUMN(F196)-1)*5,1,1))*S$2</f>
        <v>0</v>
      </c>
      <c r="DC199" s="5">
        <f ca="1">SUM(OFFSET(Demand!$H$43,ROW(G196)-1,(COLUMN(G196)-1)*5,1,1))*T$2</f>
        <v>0</v>
      </c>
      <c r="DD199" s="5">
        <f ca="1">SUM(OFFSET(Demand!$H$43,ROW(H196)-1,(COLUMN(H196)-1)*5,1,1))*U$2</f>
        <v>0</v>
      </c>
      <c r="DE199" s="5">
        <f ca="1">SUM(OFFSET(Demand!$H$43,ROW(I196)-1,(COLUMN(I196)-1)*5,1,1))*V$2</f>
        <v>0</v>
      </c>
      <c r="DF199" s="5">
        <f ca="1">SUM(OFFSET(Demand!$H$43,ROW(J196)-1,(COLUMN(J196)-1)*5,1,1))*W$2</f>
        <v>0</v>
      </c>
      <c r="DG199" s="5">
        <f t="shared" ca="1" si="52"/>
        <v>0</v>
      </c>
    </row>
    <row r="200" spans="1:111" x14ac:dyDescent="0.2">
      <c r="A200" s="5">
        <f t="shared" ca="1" si="46"/>
        <v>2</v>
      </c>
      <c r="B200" s="5">
        <f ca="1">COUNTBLANK(OFFSET(Demand!$I209,0,(COLUMN(A197)-1)*5,1,1))</f>
        <v>1</v>
      </c>
      <c r="C200" s="5">
        <f ca="1">COUNTBLANK(OFFSET(Demand!$I209,0,(COLUMN(B197)-1)*5,1,1))</f>
        <v>1</v>
      </c>
      <c r="D200" s="5">
        <f ca="1">COUNTBLANK(OFFSET(Demand!$I209,0,(COLUMN(C197)-1)*5,1,1))</f>
        <v>1</v>
      </c>
      <c r="E200" s="5">
        <f ca="1">COUNTBLANK(OFFSET(Demand!$I209,0,(COLUMN(D197)-1)*5,1,1))</f>
        <v>1</v>
      </c>
      <c r="F200" s="5">
        <f ca="1">COUNTBLANK(OFFSET(Demand!$I209,0,(COLUMN(E197)-1)*5,1,1))</f>
        <v>1</v>
      </c>
      <c r="G200" s="5">
        <f ca="1">COUNTBLANK(OFFSET(Demand!$I209,0,(COLUMN(F197)-1)*5,1,1))</f>
        <v>1</v>
      </c>
      <c r="H200" s="5">
        <f ca="1">COUNTBLANK(OFFSET(Demand!$I209,0,(COLUMN(G197)-1)*5,1,1))</f>
        <v>1</v>
      </c>
      <c r="I200" s="5">
        <f ca="1">COUNTBLANK(OFFSET(Demand!$I209,0,(COLUMN(H197)-1)*5,1,1))</f>
        <v>1</v>
      </c>
      <c r="J200" s="5">
        <f ca="1">COUNTBLANK(OFFSET(Demand!$I209,0,(COLUMN(I197)-1)*5,1,1))</f>
        <v>1</v>
      </c>
      <c r="K200" s="5">
        <f ca="1">COUNTBLANK(OFFSET(Demand!$I209,0,(COLUMN(J197)-1)*5,1,1))</f>
        <v>1</v>
      </c>
      <c r="N200" s="5">
        <f ca="1">SUM(OFFSET(Demand!$E209,0,(COLUMN(A197)-1)*5,1,3))*N$2</f>
        <v>0</v>
      </c>
      <c r="O200" s="5">
        <f ca="1">SUM(OFFSET(Demand!$E209,0,(COLUMN(B197)-1)*5,1,3))*O$2</f>
        <v>0</v>
      </c>
      <c r="P200" s="5">
        <f ca="1">SUM(OFFSET(Demand!$E209,0,(COLUMN(C197)-1)*5,1,3))*P$2</f>
        <v>0</v>
      </c>
      <c r="Q200" s="5">
        <f ca="1">SUM(OFFSET(Demand!$E209,0,(COLUMN(D197)-1)*5,1,3))*Q$2</f>
        <v>0</v>
      </c>
      <c r="R200" s="5">
        <f ca="1">SUM(OFFSET(Demand!$E209,0,(COLUMN(E197)-1)*5,1,3))*R$2</f>
        <v>0</v>
      </c>
      <c r="S200" s="5">
        <f ca="1">SUM(OFFSET(Demand!$E209,0,(COLUMN(F197)-1)*5,1,3))*S$2</f>
        <v>0</v>
      </c>
      <c r="T200" s="5">
        <f ca="1">SUM(OFFSET(Demand!$E209,0,(COLUMN(G197)-1)*5,1,3))*T$2</f>
        <v>0</v>
      </c>
      <c r="U200" s="5">
        <f ca="1">SUM(OFFSET(Demand!$E209,0,(COLUMN(H197)-1)*5,1,3))*U$2</f>
        <v>0</v>
      </c>
      <c r="V200" s="5">
        <f ca="1">SUM(OFFSET(Demand!$E209,0,(COLUMN(I197)-1)*5,1,3))*V$2</f>
        <v>0</v>
      </c>
      <c r="W200" s="5">
        <f ca="1">SUM(OFFSET(Demand!$E209,0,(COLUMN(J197)-1)*5,1,3))*W$2</f>
        <v>0</v>
      </c>
      <c r="X200" s="5">
        <f t="shared" ca="1" si="47"/>
        <v>0</v>
      </c>
      <c r="Y200">
        <f t="shared" ca="1" si="48"/>
        <v>0</v>
      </c>
      <c r="Z200" s="5">
        <f ca="1">SUM(OFFSET(Demand!$H209,0,(COLUMN(A197)-1)*5,1,1))*N$2</f>
        <v>0</v>
      </c>
      <c r="AA200" s="5">
        <f ca="1">SUM(OFFSET(Demand!$H209,0,(COLUMN(B197)-1)*5,1,1))*O$2</f>
        <v>0</v>
      </c>
      <c r="AB200" s="5">
        <f ca="1">SUM(OFFSET(Demand!$H209,0,(COLUMN(C197)-1)*5,1,1))*P$2</f>
        <v>0</v>
      </c>
      <c r="AC200" s="5">
        <f ca="1">SUM(OFFSET(Demand!$H209,0,(COLUMN(D197)-1)*5,1,1))*Q$2</f>
        <v>0</v>
      </c>
      <c r="AD200" s="5">
        <f ca="1">SUM(OFFSET(Demand!$H209,0,(COLUMN(E197)-1)*5,1,1))*R$2</f>
        <v>0</v>
      </c>
      <c r="AE200" s="5">
        <f ca="1">SUM(OFFSET(Demand!$H209,0,(COLUMN(F197)-1)*5,1,1))*S$2</f>
        <v>0</v>
      </c>
      <c r="AF200" s="5">
        <f ca="1">SUM(OFFSET(Demand!$H209,0,(COLUMN(G197)-1)*5,1,1))*T$2</f>
        <v>0</v>
      </c>
      <c r="AG200" s="5">
        <f ca="1">SUM(OFFSET(Demand!$H209,0,(COLUMN(H197)-1)*5,1,1))*U$2</f>
        <v>0</v>
      </c>
      <c r="AH200" s="5">
        <f ca="1">SUM(OFFSET(Demand!$H209,0,(COLUMN(I197)-1)*5,1,1))*V$2</f>
        <v>0</v>
      </c>
      <c r="AI200" s="5">
        <f ca="1">SUM(OFFSET(Demand!$H209,0,(COLUMN(J197)-1)*5,1,1))*W$2</f>
        <v>0</v>
      </c>
      <c r="AJ200" s="5">
        <f t="shared" ca="1" si="49"/>
        <v>0</v>
      </c>
      <c r="AL200" s="5">
        <f t="shared" ca="1" si="50"/>
        <v>0</v>
      </c>
      <c r="AM200" s="5">
        <f t="shared" ca="1" si="51"/>
        <v>0</v>
      </c>
      <c r="AN200" s="5" t="str">
        <f>IF(Demand!BE209="Yes","Yes","")</f>
        <v/>
      </c>
      <c r="AP200" s="37" t="str">
        <f ca="1">Demand!B209</f>
        <v xml:space="preserve"> </v>
      </c>
      <c r="AQ200" t="str">
        <f ca="1">IF(TEXT(Demand!D209,"MMM")&lt;&gt;TEXT(Demand!D208,"MMM"),TEXT(Demand!D209,"MMM"),"")</f>
        <v/>
      </c>
      <c r="AT200" s="5">
        <f t="shared" ca="1" si="53"/>
        <v>0</v>
      </c>
      <c r="BQ200">
        <f ca="1">IF($AN200="",OFFSET(Demand!$A$13,ROW(A197)-1,4+((QUOTIENT(COLUMN(BQ$2)-69,3))*5)+MOD(COLUMN(BQ$2),3),1,1),"")</f>
        <v>0</v>
      </c>
      <c r="BR200">
        <f ca="1">IF($AN200="",OFFSET(Demand!$A$13,ROW(B197)-1,4+((QUOTIENT(COLUMN(BR$2)-69,3))*5)+MOD(COLUMN(BR$2),3),1,1),"")</f>
        <v>0</v>
      </c>
      <c r="BS200">
        <f ca="1">IF($AN200="",OFFSET(Demand!$A$13,ROW(C197)-1,4+((QUOTIENT(COLUMN(BS$2)-69,3))*5)+MOD(COLUMN(BS$2),3),1,1),"")</f>
        <v>0</v>
      </c>
      <c r="BT200">
        <f ca="1">IF($AN200="",OFFSET(Demand!$A$13,ROW(D197)-1,4+((QUOTIENT(COLUMN(BT$2)-69,3))*5)+MOD(COLUMN(BT$2),3),1,1),"")</f>
        <v>0</v>
      </c>
      <c r="BU200">
        <f ca="1">IF($AN200="",OFFSET(Demand!$A$13,ROW(E197)-1,4+((QUOTIENT(COLUMN(BU$2)-69,3))*5)+MOD(COLUMN(BU$2),3),1,1),"")</f>
        <v>0</v>
      </c>
      <c r="BV200">
        <f ca="1">IF($AN200="",OFFSET(Demand!$A$13,ROW(F197)-1,4+((QUOTIENT(COLUMN(BV$2)-69,3))*5)+MOD(COLUMN(BV$2),3),1,1),"")</f>
        <v>0</v>
      </c>
      <c r="BW200">
        <f ca="1">IF($AN200="",OFFSET(Demand!$A$13,ROW(G197)-1,4+((QUOTIENT(COLUMN(BW$2)-69,3))*5)+MOD(COLUMN(BW$2),3),1,1),"")</f>
        <v>0</v>
      </c>
      <c r="BX200">
        <f ca="1">IF($AN200="",OFFSET(Demand!$A$13,ROW(H197)-1,4+((QUOTIENT(COLUMN(BX$2)-69,3))*5)+MOD(COLUMN(BX$2),3),1,1),"")</f>
        <v>0</v>
      </c>
      <c r="BY200">
        <f ca="1">IF($AN200="",OFFSET(Demand!$A$13,ROW(I197)-1,4+((QUOTIENT(COLUMN(BY$2)-69,3))*5)+MOD(COLUMN(BY$2),3),1,1),"")</f>
        <v>0</v>
      </c>
      <c r="BZ200">
        <f ca="1">IF($AN200="",OFFSET(Demand!$A$13,ROW(J197)-1,4+((QUOTIENT(COLUMN(BZ$2)-69,3))*5)+MOD(COLUMN(BZ$2),3),1,1),"")</f>
        <v>0</v>
      </c>
      <c r="CA200">
        <f ca="1">IF($AN200="",OFFSET(Demand!$A$13,ROW(K197)-1,4+((QUOTIENT(COLUMN(CA$2)-69,3))*5)+MOD(COLUMN(CA$2),3),1,1),"")</f>
        <v>0</v>
      </c>
      <c r="CB200">
        <f ca="1">IF($AN200="",OFFSET(Demand!$A$13,ROW(L197)-1,4+((QUOTIENT(COLUMN(CB$2)-69,3))*5)+MOD(COLUMN(CB$2),3),1,1),"")</f>
        <v>0</v>
      </c>
      <c r="CC200">
        <f ca="1">IF($AN200="",OFFSET(Demand!$A$13,ROW(M197)-1,4+((QUOTIENT(COLUMN(CC$2)-69,3))*5)+MOD(COLUMN(CC$2),3),1,1),"")</f>
        <v>0</v>
      </c>
      <c r="CD200">
        <f ca="1">IF($AN200="",OFFSET(Demand!$A$13,ROW(N197)-1,4+((QUOTIENT(COLUMN(CD$2)-69,3))*5)+MOD(COLUMN(CD$2),3),1,1),"")</f>
        <v>0</v>
      </c>
      <c r="CE200">
        <f ca="1">IF($AN200="",OFFSET(Demand!$A$13,ROW(O197)-1,4+((QUOTIENT(COLUMN(CE$2)-69,3))*5)+MOD(COLUMN(CE$2),3),1,1),"")</f>
        <v>0</v>
      </c>
      <c r="CF200">
        <f ca="1">IF($AN200="",OFFSET(Demand!$A$13,ROW(P197)-1,4+((QUOTIENT(COLUMN(CF$2)-69,3))*5)+MOD(COLUMN(CF$2),3),1,1),"")</f>
        <v>0</v>
      </c>
      <c r="CG200">
        <f ca="1">IF($AN200="",OFFSET(Demand!$A$13,ROW(Q197)-1,4+((QUOTIENT(COLUMN(CG$2)-69,3))*5)+MOD(COLUMN(CG$2),3),1,1),"")</f>
        <v>0</v>
      </c>
      <c r="CH200">
        <f ca="1">IF($AN200="",OFFSET(Demand!$A$13,ROW(R197)-1,4+((QUOTIENT(COLUMN(CH$2)-69,3))*5)+MOD(COLUMN(CH$2),3),1,1),"")</f>
        <v>0</v>
      </c>
      <c r="CI200">
        <f ca="1">IF($AN200="",OFFSET(Demand!$A$13,ROW(S197)-1,4+((QUOTIENT(COLUMN(CI$2)-69,3))*5)+MOD(COLUMN(CI$2),3),1,1),"")</f>
        <v>0</v>
      </c>
      <c r="CJ200">
        <f ca="1">IF($AN200="",OFFSET(Demand!$A$13,ROW(T197)-1,4+((QUOTIENT(COLUMN(CJ$2)-69,3))*5)+MOD(COLUMN(CJ$2),3),1,1),"")</f>
        <v>0</v>
      </c>
      <c r="CK200">
        <f ca="1">IF($AN200="",OFFSET(Demand!$A$13,ROW(U197)-1,4+((QUOTIENT(COLUMN(CK$2)-69,3))*5)+MOD(COLUMN(CK$2),3),1,1),"")</f>
        <v>0</v>
      </c>
      <c r="CL200">
        <f ca="1">IF($AN200="",OFFSET(Demand!$A$13,ROW(V197)-1,4+((QUOTIENT(COLUMN(CL$2)-69,3))*5)+MOD(COLUMN(CL$2),3),1,1),"")</f>
        <v>0</v>
      </c>
      <c r="CM200">
        <f ca="1">IF($AN200="",OFFSET(Demand!$A$13,ROW(W197)-1,4+((QUOTIENT(COLUMN(CM$2)-69,3))*5)+MOD(COLUMN(CM$2),3),1,1),"")</f>
        <v>0</v>
      </c>
      <c r="CN200">
        <f ca="1">IF($AN200="",OFFSET(Demand!$A$13,ROW(X197)-1,4+((QUOTIENT(COLUMN(CN$2)-69,3))*5)+MOD(COLUMN(CN$2),3),1,1),"")</f>
        <v>0</v>
      </c>
      <c r="CO200">
        <f ca="1">IF($AN200="",OFFSET(Demand!$A$13,ROW(Y197)-1,4+((QUOTIENT(COLUMN(CO$2)-69,3))*5)+MOD(COLUMN(CO$2),3),1,1),"")</f>
        <v>0</v>
      </c>
      <c r="CP200">
        <f ca="1">IF($AN200="",OFFSET(Demand!$A$13,ROW(Z197)-1,4+((QUOTIENT(COLUMN(CP$2)-69,3))*5)+MOD(COLUMN(CP$2),3),1,1),"")</f>
        <v>0</v>
      </c>
      <c r="CQ200">
        <f ca="1">IF($AN200="",OFFSET(Demand!$A$13,ROW(AA197)-1,4+((QUOTIENT(COLUMN(CQ$2)-69,3))*5)+MOD(COLUMN(CQ$2),3),1,1),"")</f>
        <v>0</v>
      </c>
      <c r="CR200">
        <f ca="1">IF($AN200="",OFFSET(Demand!$A$13,ROW(AB197)-1,4+((QUOTIENT(COLUMN(CR$2)-69,3))*5)+MOD(COLUMN(CR$2),3),1,1),"")</f>
        <v>0</v>
      </c>
      <c r="CS200">
        <f ca="1">IF($AN200="",OFFSET(Demand!$A$13,ROW(AC197)-1,4+((QUOTIENT(COLUMN(CS$2)-69,3))*5)+MOD(COLUMN(CS$2),3),1,1),"")</f>
        <v>0</v>
      </c>
      <c r="CT200">
        <f ca="1">IF($AN200="",OFFSET(Demand!$A$13,ROW(AD197)-1,4+((QUOTIENT(COLUMN(CT$2)-69,3))*5)+MOD(COLUMN(CT$2),3),1,1),"")</f>
        <v>0</v>
      </c>
      <c r="CW200" s="5">
        <f ca="1">SUM(OFFSET(Demand!$H$43,ROW(A197)-1,(COLUMN(A197)-1)*5,1,1))*N$2</f>
        <v>0</v>
      </c>
      <c r="CX200" s="5">
        <f ca="1">SUM(OFFSET(Demand!$H$43,ROW(B197)-1,(COLUMN(B197)-1)*5,1,1))*O$2</f>
        <v>0</v>
      </c>
      <c r="CY200" s="5">
        <f ca="1">SUM(OFFSET(Demand!$H$43,ROW(C197)-1,(COLUMN(C197)-1)*5,1,1))*P$2</f>
        <v>0</v>
      </c>
      <c r="CZ200" s="5">
        <f ca="1">SUM(OFFSET(Demand!$H$43,ROW(D197)-1,(COLUMN(D197)-1)*5,1,1))*Q$2</f>
        <v>0</v>
      </c>
      <c r="DA200" s="5">
        <f ca="1">SUM(OFFSET(Demand!$H$43,ROW(E197)-1,(COLUMN(E197)-1)*5,1,1))*R$2</f>
        <v>0</v>
      </c>
      <c r="DB200" s="5">
        <f ca="1">SUM(OFFSET(Demand!$H$43,ROW(F197)-1,(COLUMN(F197)-1)*5,1,1))*S$2</f>
        <v>0</v>
      </c>
      <c r="DC200" s="5">
        <f ca="1">SUM(OFFSET(Demand!$H$43,ROW(G197)-1,(COLUMN(G197)-1)*5,1,1))*T$2</f>
        <v>0</v>
      </c>
      <c r="DD200" s="5">
        <f ca="1">SUM(OFFSET(Demand!$H$43,ROW(H197)-1,(COLUMN(H197)-1)*5,1,1))*U$2</f>
        <v>0</v>
      </c>
      <c r="DE200" s="5">
        <f ca="1">SUM(OFFSET(Demand!$H$43,ROW(I197)-1,(COLUMN(I197)-1)*5,1,1))*V$2</f>
        <v>0</v>
      </c>
      <c r="DF200" s="5">
        <f ca="1">SUM(OFFSET(Demand!$H$43,ROW(J197)-1,(COLUMN(J197)-1)*5,1,1))*W$2</f>
        <v>0</v>
      </c>
      <c r="DG200" s="5">
        <f t="shared" ca="1" si="52"/>
        <v>0</v>
      </c>
    </row>
    <row r="201" spans="1:111" x14ac:dyDescent="0.2">
      <c r="A201" s="5">
        <f t="shared" ca="1" si="46"/>
        <v>2</v>
      </c>
      <c r="B201" s="5">
        <f ca="1">COUNTBLANK(OFFSET(Demand!$I210,0,(COLUMN(A198)-1)*5,1,1))</f>
        <v>1</v>
      </c>
      <c r="C201" s="5">
        <f ca="1">COUNTBLANK(OFFSET(Demand!$I210,0,(COLUMN(B198)-1)*5,1,1))</f>
        <v>1</v>
      </c>
      <c r="D201" s="5">
        <f ca="1">COUNTBLANK(OFFSET(Demand!$I210,0,(COLUMN(C198)-1)*5,1,1))</f>
        <v>1</v>
      </c>
      <c r="E201" s="5">
        <f ca="1">COUNTBLANK(OFFSET(Demand!$I210,0,(COLUMN(D198)-1)*5,1,1))</f>
        <v>1</v>
      </c>
      <c r="F201" s="5">
        <f ca="1">COUNTBLANK(OFFSET(Demand!$I210,0,(COLUMN(E198)-1)*5,1,1))</f>
        <v>1</v>
      </c>
      <c r="G201" s="5">
        <f ca="1">COUNTBLANK(OFFSET(Demand!$I210,0,(COLUMN(F198)-1)*5,1,1))</f>
        <v>1</v>
      </c>
      <c r="H201" s="5">
        <f ca="1">COUNTBLANK(OFFSET(Demand!$I210,0,(COLUMN(G198)-1)*5,1,1))</f>
        <v>1</v>
      </c>
      <c r="I201" s="5">
        <f ca="1">COUNTBLANK(OFFSET(Demand!$I210,0,(COLUMN(H198)-1)*5,1,1))</f>
        <v>1</v>
      </c>
      <c r="J201" s="5">
        <f ca="1">COUNTBLANK(OFFSET(Demand!$I210,0,(COLUMN(I198)-1)*5,1,1))</f>
        <v>1</v>
      </c>
      <c r="K201" s="5">
        <f ca="1">COUNTBLANK(OFFSET(Demand!$I210,0,(COLUMN(J198)-1)*5,1,1))</f>
        <v>1</v>
      </c>
      <c r="N201" s="5">
        <f ca="1">SUM(OFFSET(Demand!$E210,0,(COLUMN(A198)-1)*5,1,3))*N$2</f>
        <v>0</v>
      </c>
      <c r="O201" s="5">
        <f ca="1">SUM(OFFSET(Demand!$E210,0,(COLUMN(B198)-1)*5,1,3))*O$2</f>
        <v>0</v>
      </c>
      <c r="P201" s="5">
        <f ca="1">SUM(OFFSET(Demand!$E210,0,(COLUMN(C198)-1)*5,1,3))*P$2</f>
        <v>0</v>
      </c>
      <c r="Q201" s="5">
        <f ca="1">SUM(OFFSET(Demand!$E210,0,(COLUMN(D198)-1)*5,1,3))*Q$2</f>
        <v>0</v>
      </c>
      <c r="R201" s="5">
        <f ca="1">SUM(OFFSET(Demand!$E210,0,(COLUMN(E198)-1)*5,1,3))*R$2</f>
        <v>0</v>
      </c>
      <c r="S201" s="5">
        <f ca="1">SUM(OFFSET(Demand!$E210,0,(COLUMN(F198)-1)*5,1,3))*S$2</f>
        <v>0</v>
      </c>
      <c r="T201" s="5">
        <f ca="1">SUM(OFFSET(Demand!$E210,0,(COLUMN(G198)-1)*5,1,3))*T$2</f>
        <v>0</v>
      </c>
      <c r="U201" s="5">
        <f ca="1">SUM(OFFSET(Demand!$E210,0,(COLUMN(H198)-1)*5,1,3))*U$2</f>
        <v>0</v>
      </c>
      <c r="V201" s="5">
        <f ca="1">SUM(OFFSET(Demand!$E210,0,(COLUMN(I198)-1)*5,1,3))*V$2</f>
        <v>0</v>
      </c>
      <c r="W201" s="5">
        <f ca="1">SUM(OFFSET(Demand!$E210,0,(COLUMN(J198)-1)*5,1,3))*W$2</f>
        <v>0</v>
      </c>
      <c r="X201" s="5">
        <f t="shared" ca="1" si="47"/>
        <v>0</v>
      </c>
      <c r="Y201">
        <f t="shared" ca="1" si="48"/>
        <v>0</v>
      </c>
      <c r="Z201" s="5">
        <f ca="1">SUM(OFFSET(Demand!$H210,0,(COLUMN(A198)-1)*5,1,1))*N$2</f>
        <v>0</v>
      </c>
      <c r="AA201" s="5">
        <f ca="1">SUM(OFFSET(Demand!$H210,0,(COLUMN(B198)-1)*5,1,1))*O$2</f>
        <v>0</v>
      </c>
      <c r="AB201" s="5">
        <f ca="1">SUM(OFFSET(Demand!$H210,0,(COLUMN(C198)-1)*5,1,1))*P$2</f>
        <v>0</v>
      </c>
      <c r="AC201" s="5">
        <f ca="1">SUM(OFFSET(Demand!$H210,0,(COLUMN(D198)-1)*5,1,1))*Q$2</f>
        <v>0</v>
      </c>
      <c r="AD201" s="5">
        <f ca="1">SUM(OFFSET(Demand!$H210,0,(COLUMN(E198)-1)*5,1,1))*R$2</f>
        <v>0</v>
      </c>
      <c r="AE201" s="5">
        <f ca="1">SUM(OFFSET(Demand!$H210,0,(COLUMN(F198)-1)*5,1,1))*S$2</f>
        <v>0</v>
      </c>
      <c r="AF201" s="5">
        <f ca="1">SUM(OFFSET(Demand!$H210,0,(COLUMN(G198)-1)*5,1,1))*T$2</f>
        <v>0</v>
      </c>
      <c r="AG201" s="5">
        <f ca="1">SUM(OFFSET(Demand!$H210,0,(COLUMN(H198)-1)*5,1,1))*U$2</f>
        <v>0</v>
      </c>
      <c r="AH201" s="5">
        <f ca="1">SUM(OFFSET(Demand!$H210,0,(COLUMN(I198)-1)*5,1,1))*V$2</f>
        <v>0</v>
      </c>
      <c r="AI201" s="5">
        <f ca="1">SUM(OFFSET(Demand!$H210,0,(COLUMN(J198)-1)*5,1,1))*W$2</f>
        <v>0</v>
      </c>
      <c r="AJ201" s="5">
        <f t="shared" ca="1" si="49"/>
        <v>0</v>
      </c>
      <c r="AL201" s="5">
        <f t="shared" ca="1" si="50"/>
        <v>0</v>
      </c>
      <c r="AM201" s="5">
        <f t="shared" ca="1" si="51"/>
        <v>0</v>
      </c>
      <c r="AN201" s="5" t="str">
        <f>IF(Demand!BE210="Yes","Yes","")</f>
        <v/>
      </c>
      <c r="AP201" s="37" t="str">
        <f ca="1">Demand!B210</f>
        <v xml:space="preserve"> </v>
      </c>
      <c r="AQ201" t="str">
        <f ca="1">IF(TEXT(Demand!D210,"MMM")&lt;&gt;TEXT(Demand!D209,"MMM"),TEXT(Demand!D210,"MMM"),"")</f>
        <v/>
      </c>
      <c r="AT201" s="5">
        <f t="shared" ca="1" si="53"/>
        <v>0</v>
      </c>
      <c r="BQ201">
        <f ca="1">IF($AN201="",OFFSET(Demand!$A$13,ROW(A198)-1,4+((QUOTIENT(COLUMN(BQ$2)-69,3))*5)+MOD(COLUMN(BQ$2),3),1,1),"")</f>
        <v>0</v>
      </c>
      <c r="BR201">
        <f ca="1">IF($AN201="",OFFSET(Demand!$A$13,ROW(B198)-1,4+((QUOTIENT(COLUMN(BR$2)-69,3))*5)+MOD(COLUMN(BR$2),3),1,1),"")</f>
        <v>0</v>
      </c>
      <c r="BS201">
        <f ca="1">IF($AN201="",OFFSET(Demand!$A$13,ROW(C198)-1,4+((QUOTIENT(COLUMN(BS$2)-69,3))*5)+MOD(COLUMN(BS$2),3),1,1),"")</f>
        <v>0</v>
      </c>
      <c r="BT201">
        <f ca="1">IF($AN201="",OFFSET(Demand!$A$13,ROW(D198)-1,4+((QUOTIENT(COLUMN(BT$2)-69,3))*5)+MOD(COLUMN(BT$2),3),1,1),"")</f>
        <v>0</v>
      </c>
      <c r="BU201">
        <f ca="1">IF($AN201="",OFFSET(Demand!$A$13,ROW(E198)-1,4+((QUOTIENT(COLUMN(BU$2)-69,3))*5)+MOD(COLUMN(BU$2),3),1,1),"")</f>
        <v>0</v>
      </c>
      <c r="BV201">
        <f ca="1">IF($AN201="",OFFSET(Demand!$A$13,ROW(F198)-1,4+((QUOTIENT(COLUMN(BV$2)-69,3))*5)+MOD(COLUMN(BV$2),3),1,1),"")</f>
        <v>0</v>
      </c>
      <c r="BW201">
        <f ca="1">IF($AN201="",OFFSET(Demand!$A$13,ROW(G198)-1,4+((QUOTIENT(COLUMN(BW$2)-69,3))*5)+MOD(COLUMN(BW$2),3),1,1),"")</f>
        <v>0</v>
      </c>
      <c r="BX201">
        <f ca="1">IF($AN201="",OFFSET(Demand!$A$13,ROW(H198)-1,4+((QUOTIENT(COLUMN(BX$2)-69,3))*5)+MOD(COLUMN(BX$2),3),1,1),"")</f>
        <v>0</v>
      </c>
      <c r="BY201">
        <f ca="1">IF($AN201="",OFFSET(Demand!$A$13,ROW(I198)-1,4+((QUOTIENT(COLUMN(BY$2)-69,3))*5)+MOD(COLUMN(BY$2),3),1,1),"")</f>
        <v>0</v>
      </c>
      <c r="BZ201">
        <f ca="1">IF($AN201="",OFFSET(Demand!$A$13,ROW(J198)-1,4+((QUOTIENT(COLUMN(BZ$2)-69,3))*5)+MOD(COLUMN(BZ$2),3),1,1),"")</f>
        <v>0</v>
      </c>
      <c r="CA201">
        <f ca="1">IF($AN201="",OFFSET(Demand!$A$13,ROW(K198)-1,4+((QUOTIENT(COLUMN(CA$2)-69,3))*5)+MOD(COLUMN(CA$2),3),1,1),"")</f>
        <v>0</v>
      </c>
      <c r="CB201">
        <f ca="1">IF($AN201="",OFFSET(Demand!$A$13,ROW(L198)-1,4+((QUOTIENT(COLUMN(CB$2)-69,3))*5)+MOD(COLUMN(CB$2),3),1,1),"")</f>
        <v>0</v>
      </c>
      <c r="CC201">
        <f ca="1">IF($AN201="",OFFSET(Demand!$A$13,ROW(M198)-1,4+((QUOTIENT(COLUMN(CC$2)-69,3))*5)+MOD(COLUMN(CC$2),3),1,1),"")</f>
        <v>0</v>
      </c>
      <c r="CD201">
        <f ca="1">IF($AN201="",OFFSET(Demand!$A$13,ROW(N198)-1,4+((QUOTIENT(COLUMN(CD$2)-69,3))*5)+MOD(COLUMN(CD$2),3),1,1),"")</f>
        <v>0</v>
      </c>
      <c r="CE201">
        <f ca="1">IF($AN201="",OFFSET(Demand!$A$13,ROW(O198)-1,4+((QUOTIENT(COLUMN(CE$2)-69,3))*5)+MOD(COLUMN(CE$2),3),1,1),"")</f>
        <v>0</v>
      </c>
      <c r="CF201">
        <f ca="1">IF($AN201="",OFFSET(Demand!$A$13,ROW(P198)-1,4+((QUOTIENT(COLUMN(CF$2)-69,3))*5)+MOD(COLUMN(CF$2),3),1,1),"")</f>
        <v>0</v>
      </c>
      <c r="CG201">
        <f ca="1">IF($AN201="",OFFSET(Demand!$A$13,ROW(Q198)-1,4+((QUOTIENT(COLUMN(CG$2)-69,3))*5)+MOD(COLUMN(CG$2),3),1,1),"")</f>
        <v>0</v>
      </c>
      <c r="CH201">
        <f ca="1">IF($AN201="",OFFSET(Demand!$A$13,ROW(R198)-1,4+((QUOTIENT(COLUMN(CH$2)-69,3))*5)+MOD(COLUMN(CH$2),3),1,1),"")</f>
        <v>0</v>
      </c>
      <c r="CI201">
        <f ca="1">IF($AN201="",OFFSET(Demand!$A$13,ROW(S198)-1,4+((QUOTIENT(COLUMN(CI$2)-69,3))*5)+MOD(COLUMN(CI$2),3),1,1),"")</f>
        <v>0</v>
      </c>
      <c r="CJ201">
        <f ca="1">IF($AN201="",OFFSET(Demand!$A$13,ROW(T198)-1,4+((QUOTIENT(COLUMN(CJ$2)-69,3))*5)+MOD(COLUMN(CJ$2),3),1,1),"")</f>
        <v>0</v>
      </c>
      <c r="CK201">
        <f ca="1">IF($AN201="",OFFSET(Demand!$A$13,ROW(U198)-1,4+((QUOTIENT(COLUMN(CK$2)-69,3))*5)+MOD(COLUMN(CK$2),3),1,1),"")</f>
        <v>0</v>
      </c>
      <c r="CL201">
        <f ca="1">IF($AN201="",OFFSET(Demand!$A$13,ROW(V198)-1,4+((QUOTIENT(COLUMN(CL$2)-69,3))*5)+MOD(COLUMN(CL$2),3),1,1),"")</f>
        <v>0</v>
      </c>
      <c r="CM201">
        <f ca="1">IF($AN201="",OFFSET(Demand!$A$13,ROW(W198)-1,4+((QUOTIENT(COLUMN(CM$2)-69,3))*5)+MOD(COLUMN(CM$2),3),1,1),"")</f>
        <v>0</v>
      </c>
      <c r="CN201">
        <f ca="1">IF($AN201="",OFFSET(Demand!$A$13,ROW(X198)-1,4+((QUOTIENT(COLUMN(CN$2)-69,3))*5)+MOD(COLUMN(CN$2),3),1,1),"")</f>
        <v>0</v>
      </c>
      <c r="CO201">
        <f ca="1">IF($AN201="",OFFSET(Demand!$A$13,ROW(Y198)-1,4+((QUOTIENT(COLUMN(CO$2)-69,3))*5)+MOD(COLUMN(CO$2),3),1,1),"")</f>
        <v>0</v>
      </c>
      <c r="CP201">
        <f ca="1">IF($AN201="",OFFSET(Demand!$A$13,ROW(Z198)-1,4+((QUOTIENT(COLUMN(CP$2)-69,3))*5)+MOD(COLUMN(CP$2),3),1,1),"")</f>
        <v>0</v>
      </c>
      <c r="CQ201">
        <f ca="1">IF($AN201="",OFFSET(Demand!$A$13,ROW(AA198)-1,4+((QUOTIENT(COLUMN(CQ$2)-69,3))*5)+MOD(COLUMN(CQ$2),3),1,1),"")</f>
        <v>0</v>
      </c>
      <c r="CR201">
        <f ca="1">IF($AN201="",OFFSET(Demand!$A$13,ROW(AB198)-1,4+((QUOTIENT(COLUMN(CR$2)-69,3))*5)+MOD(COLUMN(CR$2),3),1,1),"")</f>
        <v>0</v>
      </c>
      <c r="CS201">
        <f ca="1">IF($AN201="",OFFSET(Demand!$A$13,ROW(AC198)-1,4+((QUOTIENT(COLUMN(CS$2)-69,3))*5)+MOD(COLUMN(CS$2),3),1,1),"")</f>
        <v>0</v>
      </c>
      <c r="CT201">
        <f ca="1">IF($AN201="",OFFSET(Demand!$A$13,ROW(AD198)-1,4+((QUOTIENT(COLUMN(CT$2)-69,3))*5)+MOD(COLUMN(CT$2),3),1,1),"")</f>
        <v>0</v>
      </c>
      <c r="CW201" s="5">
        <f ca="1">SUM(OFFSET(Demand!$H$43,ROW(A198)-1,(COLUMN(A198)-1)*5,1,1))*N$2</f>
        <v>0</v>
      </c>
      <c r="CX201" s="5">
        <f ca="1">SUM(OFFSET(Demand!$H$43,ROW(B198)-1,(COLUMN(B198)-1)*5,1,1))*O$2</f>
        <v>0</v>
      </c>
      <c r="CY201" s="5">
        <f ca="1">SUM(OFFSET(Demand!$H$43,ROW(C198)-1,(COLUMN(C198)-1)*5,1,1))*P$2</f>
        <v>0</v>
      </c>
      <c r="CZ201" s="5">
        <f ca="1">SUM(OFFSET(Demand!$H$43,ROW(D198)-1,(COLUMN(D198)-1)*5,1,1))*Q$2</f>
        <v>0</v>
      </c>
      <c r="DA201" s="5">
        <f ca="1">SUM(OFFSET(Demand!$H$43,ROW(E198)-1,(COLUMN(E198)-1)*5,1,1))*R$2</f>
        <v>0</v>
      </c>
      <c r="DB201" s="5">
        <f ca="1">SUM(OFFSET(Demand!$H$43,ROW(F198)-1,(COLUMN(F198)-1)*5,1,1))*S$2</f>
        <v>0</v>
      </c>
      <c r="DC201" s="5">
        <f ca="1">SUM(OFFSET(Demand!$H$43,ROW(G198)-1,(COLUMN(G198)-1)*5,1,1))*T$2</f>
        <v>0</v>
      </c>
      <c r="DD201" s="5">
        <f ca="1">SUM(OFFSET(Demand!$H$43,ROW(H198)-1,(COLUMN(H198)-1)*5,1,1))*U$2</f>
        <v>0</v>
      </c>
      <c r="DE201" s="5">
        <f ca="1">SUM(OFFSET(Demand!$H$43,ROW(I198)-1,(COLUMN(I198)-1)*5,1,1))*V$2</f>
        <v>0</v>
      </c>
      <c r="DF201" s="5">
        <f ca="1">SUM(OFFSET(Demand!$H$43,ROW(J198)-1,(COLUMN(J198)-1)*5,1,1))*W$2</f>
        <v>0</v>
      </c>
      <c r="DG201" s="5">
        <f t="shared" ca="1" si="52"/>
        <v>0</v>
      </c>
    </row>
    <row r="202" spans="1:111" x14ac:dyDescent="0.2">
      <c r="A202" s="5">
        <f t="shared" ca="1" si="46"/>
        <v>2</v>
      </c>
      <c r="B202" s="5">
        <f ca="1">COUNTBLANK(OFFSET(Demand!$I211,0,(COLUMN(A199)-1)*5,1,1))</f>
        <v>1</v>
      </c>
      <c r="C202" s="5">
        <f ca="1">COUNTBLANK(OFFSET(Demand!$I211,0,(COLUMN(B199)-1)*5,1,1))</f>
        <v>1</v>
      </c>
      <c r="D202" s="5">
        <f ca="1">COUNTBLANK(OFFSET(Demand!$I211,0,(COLUMN(C199)-1)*5,1,1))</f>
        <v>1</v>
      </c>
      <c r="E202" s="5">
        <f ca="1">COUNTBLANK(OFFSET(Demand!$I211,0,(COLUMN(D199)-1)*5,1,1))</f>
        <v>1</v>
      </c>
      <c r="F202" s="5">
        <f ca="1">COUNTBLANK(OFFSET(Demand!$I211,0,(COLUMN(E199)-1)*5,1,1))</f>
        <v>1</v>
      </c>
      <c r="G202" s="5">
        <f ca="1">COUNTBLANK(OFFSET(Demand!$I211,0,(COLUMN(F199)-1)*5,1,1))</f>
        <v>1</v>
      </c>
      <c r="H202" s="5">
        <f ca="1">COUNTBLANK(OFFSET(Demand!$I211,0,(COLUMN(G199)-1)*5,1,1))</f>
        <v>1</v>
      </c>
      <c r="I202" s="5">
        <f ca="1">COUNTBLANK(OFFSET(Demand!$I211,0,(COLUMN(H199)-1)*5,1,1))</f>
        <v>1</v>
      </c>
      <c r="J202" s="5">
        <f ca="1">COUNTBLANK(OFFSET(Demand!$I211,0,(COLUMN(I199)-1)*5,1,1))</f>
        <v>1</v>
      </c>
      <c r="K202" s="5">
        <f ca="1">COUNTBLANK(OFFSET(Demand!$I211,0,(COLUMN(J199)-1)*5,1,1))</f>
        <v>1</v>
      </c>
      <c r="N202" s="5">
        <f ca="1">SUM(OFFSET(Demand!$E211,0,(COLUMN(A199)-1)*5,1,3))*N$2</f>
        <v>0</v>
      </c>
      <c r="O202" s="5">
        <f ca="1">SUM(OFFSET(Demand!$E211,0,(COLUMN(B199)-1)*5,1,3))*O$2</f>
        <v>0</v>
      </c>
      <c r="P202" s="5">
        <f ca="1">SUM(OFFSET(Demand!$E211,0,(COLUMN(C199)-1)*5,1,3))*P$2</f>
        <v>0</v>
      </c>
      <c r="Q202" s="5">
        <f ca="1">SUM(OFFSET(Demand!$E211,0,(COLUMN(D199)-1)*5,1,3))*Q$2</f>
        <v>0</v>
      </c>
      <c r="R202" s="5">
        <f ca="1">SUM(OFFSET(Demand!$E211,0,(COLUMN(E199)-1)*5,1,3))*R$2</f>
        <v>0</v>
      </c>
      <c r="S202" s="5">
        <f ca="1">SUM(OFFSET(Demand!$E211,0,(COLUMN(F199)-1)*5,1,3))*S$2</f>
        <v>0</v>
      </c>
      <c r="T202" s="5">
        <f ca="1">SUM(OFFSET(Demand!$E211,0,(COLUMN(G199)-1)*5,1,3))*T$2</f>
        <v>0</v>
      </c>
      <c r="U202" s="5">
        <f ca="1">SUM(OFFSET(Demand!$E211,0,(COLUMN(H199)-1)*5,1,3))*U$2</f>
        <v>0</v>
      </c>
      <c r="V202" s="5">
        <f ca="1">SUM(OFFSET(Demand!$E211,0,(COLUMN(I199)-1)*5,1,3))*V$2</f>
        <v>0</v>
      </c>
      <c r="W202" s="5">
        <f ca="1">SUM(OFFSET(Demand!$E211,0,(COLUMN(J199)-1)*5,1,3))*W$2</f>
        <v>0</v>
      </c>
      <c r="X202" s="5">
        <f t="shared" ca="1" si="47"/>
        <v>0</v>
      </c>
      <c r="Y202">
        <f t="shared" ca="1" si="48"/>
        <v>0</v>
      </c>
      <c r="Z202" s="5">
        <f ca="1">SUM(OFFSET(Demand!$H211,0,(COLUMN(A199)-1)*5,1,1))*N$2</f>
        <v>0</v>
      </c>
      <c r="AA202" s="5">
        <f ca="1">SUM(OFFSET(Demand!$H211,0,(COLUMN(B199)-1)*5,1,1))*O$2</f>
        <v>0</v>
      </c>
      <c r="AB202" s="5">
        <f ca="1">SUM(OFFSET(Demand!$H211,0,(COLUMN(C199)-1)*5,1,1))*P$2</f>
        <v>0</v>
      </c>
      <c r="AC202" s="5">
        <f ca="1">SUM(OFFSET(Demand!$H211,0,(COLUMN(D199)-1)*5,1,1))*Q$2</f>
        <v>0</v>
      </c>
      <c r="AD202" s="5">
        <f ca="1">SUM(OFFSET(Demand!$H211,0,(COLUMN(E199)-1)*5,1,1))*R$2</f>
        <v>0</v>
      </c>
      <c r="AE202" s="5">
        <f ca="1">SUM(OFFSET(Demand!$H211,0,(COLUMN(F199)-1)*5,1,1))*S$2</f>
        <v>0</v>
      </c>
      <c r="AF202" s="5">
        <f ca="1">SUM(OFFSET(Demand!$H211,0,(COLUMN(G199)-1)*5,1,1))*T$2</f>
        <v>0</v>
      </c>
      <c r="AG202" s="5">
        <f ca="1">SUM(OFFSET(Demand!$H211,0,(COLUMN(H199)-1)*5,1,1))*U$2</f>
        <v>0</v>
      </c>
      <c r="AH202" s="5">
        <f ca="1">SUM(OFFSET(Demand!$H211,0,(COLUMN(I199)-1)*5,1,1))*V$2</f>
        <v>0</v>
      </c>
      <c r="AI202" s="5">
        <f ca="1">SUM(OFFSET(Demand!$H211,0,(COLUMN(J199)-1)*5,1,1))*W$2</f>
        <v>0</v>
      </c>
      <c r="AJ202" s="5">
        <f t="shared" ca="1" si="49"/>
        <v>0</v>
      </c>
      <c r="AL202" s="5">
        <f t="shared" ca="1" si="50"/>
        <v>0</v>
      </c>
      <c r="AM202" s="5">
        <f t="shared" ca="1" si="51"/>
        <v>0</v>
      </c>
      <c r="AN202" s="5" t="str">
        <f>IF(Demand!BE211="Yes","Yes","")</f>
        <v/>
      </c>
      <c r="AP202" s="37" t="str">
        <f ca="1">Demand!B211</f>
        <v xml:space="preserve"> </v>
      </c>
      <c r="AQ202" t="str">
        <f ca="1">IF(TEXT(Demand!D211,"MMM")&lt;&gt;TEXT(Demand!D210,"MMM"),TEXT(Demand!D211,"MMM"),"")</f>
        <v/>
      </c>
      <c r="AT202" s="5">
        <f t="shared" ca="1" si="53"/>
        <v>0</v>
      </c>
      <c r="BQ202">
        <f ca="1">IF($AN202="",OFFSET(Demand!$A$13,ROW(A199)-1,4+((QUOTIENT(COLUMN(BQ$2)-69,3))*5)+MOD(COLUMN(BQ$2),3),1,1),"")</f>
        <v>0</v>
      </c>
      <c r="BR202">
        <f ca="1">IF($AN202="",OFFSET(Demand!$A$13,ROW(B199)-1,4+((QUOTIENT(COLUMN(BR$2)-69,3))*5)+MOD(COLUMN(BR$2),3),1,1),"")</f>
        <v>0</v>
      </c>
      <c r="BS202">
        <f ca="1">IF($AN202="",OFFSET(Demand!$A$13,ROW(C199)-1,4+((QUOTIENT(COLUMN(BS$2)-69,3))*5)+MOD(COLUMN(BS$2),3),1,1),"")</f>
        <v>0</v>
      </c>
      <c r="BT202">
        <f ca="1">IF($AN202="",OFFSET(Demand!$A$13,ROW(D199)-1,4+((QUOTIENT(COLUMN(BT$2)-69,3))*5)+MOD(COLUMN(BT$2),3),1,1),"")</f>
        <v>0</v>
      </c>
      <c r="BU202">
        <f ca="1">IF($AN202="",OFFSET(Demand!$A$13,ROW(E199)-1,4+((QUOTIENT(COLUMN(BU$2)-69,3))*5)+MOD(COLUMN(BU$2),3),1,1),"")</f>
        <v>0</v>
      </c>
      <c r="BV202">
        <f ca="1">IF($AN202="",OFFSET(Demand!$A$13,ROW(F199)-1,4+((QUOTIENT(COLUMN(BV$2)-69,3))*5)+MOD(COLUMN(BV$2),3),1,1),"")</f>
        <v>0</v>
      </c>
      <c r="BW202">
        <f ca="1">IF($AN202="",OFFSET(Demand!$A$13,ROW(G199)-1,4+((QUOTIENT(COLUMN(BW$2)-69,3))*5)+MOD(COLUMN(BW$2),3),1,1),"")</f>
        <v>0</v>
      </c>
      <c r="BX202">
        <f ca="1">IF($AN202="",OFFSET(Demand!$A$13,ROW(H199)-1,4+((QUOTIENT(COLUMN(BX$2)-69,3))*5)+MOD(COLUMN(BX$2),3),1,1),"")</f>
        <v>0</v>
      </c>
      <c r="BY202">
        <f ca="1">IF($AN202="",OFFSET(Demand!$A$13,ROW(I199)-1,4+((QUOTIENT(COLUMN(BY$2)-69,3))*5)+MOD(COLUMN(BY$2),3),1,1),"")</f>
        <v>0</v>
      </c>
      <c r="BZ202">
        <f ca="1">IF($AN202="",OFFSET(Demand!$A$13,ROW(J199)-1,4+((QUOTIENT(COLUMN(BZ$2)-69,3))*5)+MOD(COLUMN(BZ$2),3),1,1),"")</f>
        <v>0</v>
      </c>
      <c r="CA202">
        <f ca="1">IF($AN202="",OFFSET(Demand!$A$13,ROW(K199)-1,4+((QUOTIENT(COLUMN(CA$2)-69,3))*5)+MOD(COLUMN(CA$2),3),1,1),"")</f>
        <v>0</v>
      </c>
      <c r="CB202">
        <f ca="1">IF($AN202="",OFFSET(Demand!$A$13,ROW(L199)-1,4+((QUOTIENT(COLUMN(CB$2)-69,3))*5)+MOD(COLUMN(CB$2),3),1,1),"")</f>
        <v>0</v>
      </c>
      <c r="CC202">
        <f ca="1">IF($AN202="",OFFSET(Demand!$A$13,ROW(M199)-1,4+((QUOTIENT(COLUMN(CC$2)-69,3))*5)+MOD(COLUMN(CC$2),3),1,1),"")</f>
        <v>0</v>
      </c>
      <c r="CD202">
        <f ca="1">IF($AN202="",OFFSET(Demand!$A$13,ROW(N199)-1,4+((QUOTIENT(COLUMN(CD$2)-69,3))*5)+MOD(COLUMN(CD$2),3),1,1),"")</f>
        <v>0</v>
      </c>
      <c r="CE202">
        <f ca="1">IF($AN202="",OFFSET(Demand!$A$13,ROW(O199)-1,4+((QUOTIENT(COLUMN(CE$2)-69,3))*5)+MOD(COLUMN(CE$2),3),1,1),"")</f>
        <v>0</v>
      </c>
      <c r="CF202">
        <f ca="1">IF($AN202="",OFFSET(Demand!$A$13,ROW(P199)-1,4+((QUOTIENT(COLUMN(CF$2)-69,3))*5)+MOD(COLUMN(CF$2),3),1,1),"")</f>
        <v>0</v>
      </c>
      <c r="CG202">
        <f ca="1">IF($AN202="",OFFSET(Demand!$A$13,ROW(Q199)-1,4+((QUOTIENT(COLUMN(CG$2)-69,3))*5)+MOD(COLUMN(CG$2),3),1,1),"")</f>
        <v>0</v>
      </c>
      <c r="CH202">
        <f ca="1">IF($AN202="",OFFSET(Demand!$A$13,ROW(R199)-1,4+((QUOTIENT(COLUMN(CH$2)-69,3))*5)+MOD(COLUMN(CH$2),3),1,1),"")</f>
        <v>0</v>
      </c>
      <c r="CI202">
        <f ca="1">IF($AN202="",OFFSET(Demand!$A$13,ROW(S199)-1,4+((QUOTIENT(COLUMN(CI$2)-69,3))*5)+MOD(COLUMN(CI$2),3),1,1),"")</f>
        <v>0</v>
      </c>
      <c r="CJ202">
        <f ca="1">IF($AN202="",OFFSET(Demand!$A$13,ROW(T199)-1,4+((QUOTIENT(COLUMN(CJ$2)-69,3))*5)+MOD(COLUMN(CJ$2),3),1,1),"")</f>
        <v>0</v>
      </c>
      <c r="CK202">
        <f ca="1">IF($AN202="",OFFSET(Demand!$A$13,ROW(U199)-1,4+((QUOTIENT(COLUMN(CK$2)-69,3))*5)+MOD(COLUMN(CK$2),3),1,1),"")</f>
        <v>0</v>
      </c>
      <c r="CL202">
        <f ca="1">IF($AN202="",OFFSET(Demand!$A$13,ROW(V199)-1,4+((QUOTIENT(COLUMN(CL$2)-69,3))*5)+MOD(COLUMN(CL$2),3),1,1),"")</f>
        <v>0</v>
      </c>
      <c r="CM202">
        <f ca="1">IF($AN202="",OFFSET(Demand!$A$13,ROW(W199)-1,4+((QUOTIENT(COLUMN(CM$2)-69,3))*5)+MOD(COLUMN(CM$2),3),1,1),"")</f>
        <v>0</v>
      </c>
      <c r="CN202">
        <f ca="1">IF($AN202="",OFFSET(Demand!$A$13,ROW(X199)-1,4+((QUOTIENT(COLUMN(CN$2)-69,3))*5)+MOD(COLUMN(CN$2),3),1,1),"")</f>
        <v>0</v>
      </c>
      <c r="CO202">
        <f ca="1">IF($AN202="",OFFSET(Demand!$A$13,ROW(Y199)-1,4+((QUOTIENT(COLUMN(CO$2)-69,3))*5)+MOD(COLUMN(CO$2),3),1,1),"")</f>
        <v>0</v>
      </c>
      <c r="CP202">
        <f ca="1">IF($AN202="",OFFSET(Demand!$A$13,ROW(Z199)-1,4+((QUOTIENT(COLUMN(CP$2)-69,3))*5)+MOD(COLUMN(CP$2),3),1,1),"")</f>
        <v>0</v>
      </c>
      <c r="CQ202">
        <f ca="1">IF($AN202="",OFFSET(Demand!$A$13,ROW(AA199)-1,4+((QUOTIENT(COLUMN(CQ$2)-69,3))*5)+MOD(COLUMN(CQ$2),3),1,1),"")</f>
        <v>0</v>
      </c>
      <c r="CR202">
        <f ca="1">IF($AN202="",OFFSET(Demand!$A$13,ROW(AB199)-1,4+((QUOTIENT(COLUMN(CR$2)-69,3))*5)+MOD(COLUMN(CR$2),3),1,1),"")</f>
        <v>0</v>
      </c>
      <c r="CS202">
        <f ca="1">IF($AN202="",OFFSET(Demand!$A$13,ROW(AC199)-1,4+((QUOTIENT(COLUMN(CS$2)-69,3))*5)+MOD(COLUMN(CS$2),3),1,1),"")</f>
        <v>0</v>
      </c>
      <c r="CT202">
        <f ca="1">IF($AN202="",OFFSET(Demand!$A$13,ROW(AD199)-1,4+((QUOTIENT(COLUMN(CT$2)-69,3))*5)+MOD(COLUMN(CT$2),3),1,1),"")</f>
        <v>0</v>
      </c>
      <c r="CW202" s="5">
        <f ca="1">SUM(OFFSET(Demand!$H$43,ROW(A199)-1,(COLUMN(A199)-1)*5,1,1))*N$2</f>
        <v>0</v>
      </c>
      <c r="CX202" s="5">
        <f ca="1">SUM(OFFSET(Demand!$H$43,ROW(B199)-1,(COLUMN(B199)-1)*5,1,1))*O$2</f>
        <v>0</v>
      </c>
      <c r="CY202" s="5">
        <f ca="1">SUM(OFFSET(Demand!$H$43,ROW(C199)-1,(COLUMN(C199)-1)*5,1,1))*P$2</f>
        <v>0</v>
      </c>
      <c r="CZ202" s="5">
        <f ca="1">SUM(OFFSET(Demand!$H$43,ROW(D199)-1,(COLUMN(D199)-1)*5,1,1))*Q$2</f>
        <v>0</v>
      </c>
      <c r="DA202" s="5">
        <f ca="1">SUM(OFFSET(Demand!$H$43,ROW(E199)-1,(COLUMN(E199)-1)*5,1,1))*R$2</f>
        <v>0</v>
      </c>
      <c r="DB202" s="5">
        <f ca="1">SUM(OFFSET(Demand!$H$43,ROW(F199)-1,(COLUMN(F199)-1)*5,1,1))*S$2</f>
        <v>0</v>
      </c>
      <c r="DC202" s="5">
        <f ca="1">SUM(OFFSET(Demand!$H$43,ROW(G199)-1,(COLUMN(G199)-1)*5,1,1))*T$2</f>
        <v>0</v>
      </c>
      <c r="DD202" s="5">
        <f ca="1">SUM(OFFSET(Demand!$H$43,ROW(H199)-1,(COLUMN(H199)-1)*5,1,1))*U$2</f>
        <v>0</v>
      </c>
      <c r="DE202" s="5">
        <f ca="1">SUM(OFFSET(Demand!$H$43,ROW(I199)-1,(COLUMN(I199)-1)*5,1,1))*V$2</f>
        <v>0</v>
      </c>
      <c r="DF202" s="5">
        <f ca="1">SUM(OFFSET(Demand!$H$43,ROW(J199)-1,(COLUMN(J199)-1)*5,1,1))*W$2</f>
        <v>0</v>
      </c>
      <c r="DG202" s="5">
        <f t="shared" ca="1" si="52"/>
        <v>0</v>
      </c>
    </row>
    <row r="203" spans="1:111" x14ac:dyDescent="0.2">
      <c r="A203" s="5">
        <f t="shared" ca="1" si="46"/>
        <v>2</v>
      </c>
      <c r="B203" s="5">
        <f ca="1">COUNTBLANK(OFFSET(Demand!$I212,0,(COLUMN(A200)-1)*5,1,1))</f>
        <v>1</v>
      </c>
      <c r="C203" s="5">
        <f ca="1">COUNTBLANK(OFFSET(Demand!$I212,0,(COLUMN(B200)-1)*5,1,1))</f>
        <v>1</v>
      </c>
      <c r="D203" s="5">
        <f ca="1">COUNTBLANK(OFFSET(Demand!$I212,0,(COLUMN(C200)-1)*5,1,1))</f>
        <v>1</v>
      </c>
      <c r="E203" s="5">
        <f ca="1">COUNTBLANK(OFFSET(Demand!$I212,0,(COLUMN(D200)-1)*5,1,1))</f>
        <v>1</v>
      </c>
      <c r="F203" s="5">
        <f ca="1">COUNTBLANK(OFFSET(Demand!$I212,0,(COLUMN(E200)-1)*5,1,1))</f>
        <v>1</v>
      </c>
      <c r="G203" s="5">
        <f ca="1">COUNTBLANK(OFFSET(Demand!$I212,0,(COLUMN(F200)-1)*5,1,1))</f>
        <v>1</v>
      </c>
      <c r="H203" s="5">
        <f ca="1">COUNTBLANK(OFFSET(Demand!$I212,0,(COLUMN(G200)-1)*5,1,1))</f>
        <v>1</v>
      </c>
      <c r="I203" s="5">
        <f ca="1">COUNTBLANK(OFFSET(Demand!$I212,0,(COLUMN(H200)-1)*5,1,1))</f>
        <v>1</v>
      </c>
      <c r="J203" s="5">
        <f ca="1">COUNTBLANK(OFFSET(Demand!$I212,0,(COLUMN(I200)-1)*5,1,1))</f>
        <v>1</v>
      </c>
      <c r="K203" s="5">
        <f ca="1">COUNTBLANK(OFFSET(Demand!$I212,0,(COLUMN(J200)-1)*5,1,1))</f>
        <v>1</v>
      </c>
      <c r="N203" s="5">
        <f ca="1">SUM(OFFSET(Demand!$E212,0,(COLUMN(A200)-1)*5,1,3))*N$2</f>
        <v>0</v>
      </c>
      <c r="O203" s="5">
        <f ca="1">SUM(OFFSET(Demand!$E212,0,(COLUMN(B200)-1)*5,1,3))*O$2</f>
        <v>0</v>
      </c>
      <c r="P203" s="5">
        <f ca="1">SUM(OFFSET(Demand!$E212,0,(COLUMN(C200)-1)*5,1,3))*P$2</f>
        <v>0</v>
      </c>
      <c r="Q203" s="5">
        <f ca="1">SUM(OFFSET(Demand!$E212,0,(COLUMN(D200)-1)*5,1,3))*Q$2</f>
        <v>0</v>
      </c>
      <c r="R203" s="5">
        <f ca="1">SUM(OFFSET(Demand!$E212,0,(COLUMN(E200)-1)*5,1,3))*R$2</f>
        <v>0</v>
      </c>
      <c r="S203" s="5">
        <f ca="1">SUM(OFFSET(Demand!$E212,0,(COLUMN(F200)-1)*5,1,3))*S$2</f>
        <v>0</v>
      </c>
      <c r="T203" s="5">
        <f ca="1">SUM(OFFSET(Demand!$E212,0,(COLUMN(G200)-1)*5,1,3))*T$2</f>
        <v>0</v>
      </c>
      <c r="U203" s="5">
        <f ca="1">SUM(OFFSET(Demand!$E212,0,(COLUMN(H200)-1)*5,1,3))*U$2</f>
        <v>0</v>
      </c>
      <c r="V203" s="5">
        <f ca="1">SUM(OFFSET(Demand!$E212,0,(COLUMN(I200)-1)*5,1,3))*V$2</f>
        <v>0</v>
      </c>
      <c r="W203" s="5">
        <f ca="1">SUM(OFFSET(Demand!$E212,0,(COLUMN(J200)-1)*5,1,3))*W$2</f>
        <v>0</v>
      </c>
      <c r="X203" s="5">
        <f t="shared" ca="1" si="47"/>
        <v>0</v>
      </c>
      <c r="Y203">
        <f t="shared" ca="1" si="48"/>
        <v>0</v>
      </c>
      <c r="Z203" s="5">
        <f ca="1">SUM(OFFSET(Demand!$H212,0,(COLUMN(A200)-1)*5,1,1))*N$2</f>
        <v>0</v>
      </c>
      <c r="AA203" s="5">
        <f ca="1">SUM(OFFSET(Demand!$H212,0,(COLUMN(B200)-1)*5,1,1))*O$2</f>
        <v>0</v>
      </c>
      <c r="AB203" s="5">
        <f ca="1">SUM(OFFSET(Demand!$H212,0,(COLUMN(C200)-1)*5,1,1))*P$2</f>
        <v>0</v>
      </c>
      <c r="AC203" s="5">
        <f ca="1">SUM(OFFSET(Demand!$H212,0,(COLUMN(D200)-1)*5,1,1))*Q$2</f>
        <v>0</v>
      </c>
      <c r="AD203" s="5">
        <f ca="1">SUM(OFFSET(Demand!$H212,0,(COLUMN(E200)-1)*5,1,1))*R$2</f>
        <v>0</v>
      </c>
      <c r="AE203" s="5">
        <f ca="1">SUM(OFFSET(Demand!$H212,0,(COLUMN(F200)-1)*5,1,1))*S$2</f>
        <v>0</v>
      </c>
      <c r="AF203" s="5">
        <f ca="1">SUM(OFFSET(Demand!$H212,0,(COLUMN(G200)-1)*5,1,1))*T$2</f>
        <v>0</v>
      </c>
      <c r="AG203" s="5">
        <f ca="1">SUM(OFFSET(Demand!$H212,0,(COLUMN(H200)-1)*5,1,1))*U$2</f>
        <v>0</v>
      </c>
      <c r="AH203" s="5">
        <f ca="1">SUM(OFFSET(Demand!$H212,0,(COLUMN(I200)-1)*5,1,1))*V$2</f>
        <v>0</v>
      </c>
      <c r="AI203" s="5">
        <f ca="1">SUM(OFFSET(Demand!$H212,0,(COLUMN(J200)-1)*5,1,1))*W$2</f>
        <v>0</v>
      </c>
      <c r="AJ203" s="5">
        <f t="shared" ca="1" si="49"/>
        <v>0</v>
      </c>
      <c r="AL203" s="5">
        <f t="shared" ca="1" si="50"/>
        <v>0</v>
      </c>
      <c r="AM203" s="5">
        <f t="shared" ca="1" si="51"/>
        <v>0</v>
      </c>
      <c r="AN203" s="5" t="str">
        <f>IF(Demand!BE212="Yes","Yes","")</f>
        <v/>
      </c>
      <c r="AP203" s="37" t="str">
        <f ca="1">Demand!B212</f>
        <v xml:space="preserve"> </v>
      </c>
      <c r="AQ203" t="str">
        <f ca="1">IF(TEXT(Demand!D212,"MMM")&lt;&gt;TEXT(Demand!D211,"MMM"),TEXT(Demand!D212,"MMM"),"")</f>
        <v/>
      </c>
      <c r="AT203" s="5">
        <f t="shared" ca="1" si="53"/>
        <v>0</v>
      </c>
      <c r="BQ203">
        <f ca="1">IF($AN203="",OFFSET(Demand!$A$13,ROW(A200)-1,4+((QUOTIENT(COLUMN(BQ$2)-69,3))*5)+MOD(COLUMN(BQ$2),3),1,1),"")</f>
        <v>0</v>
      </c>
      <c r="BR203">
        <f ca="1">IF($AN203="",OFFSET(Demand!$A$13,ROW(B200)-1,4+((QUOTIENT(COLUMN(BR$2)-69,3))*5)+MOD(COLUMN(BR$2),3),1,1),"")</f>
        <v>0</v>
      </c>
      <c r="BS203">
        <f ca="1">IF($AN203="",OFFSET(Demand!$A$13,ROW(C200)-1,4+((QUOTIENT(COLUMN(BS$2)-69,3))*5)+MOD(COLUMN(BS$2),3),1,1),"")</f>
        <v>0</v>
      </c>
      <c r="BT203">
        <f ca="1">IF($AN203="",OFFSET(Demand!$A$13,ROW(D200)-1,4+((QUOTIENT(COLUMN(BT$2)-69,3))*5)+MOD(COLUMN(BT$2),3),1,1),"")</f>
        <v>0</v>
      </c>
      <c r="BU203">
        <f ca="1">IF($AN203="",OFFSET(Demand!$A$13,ROW(E200)-1,4+((QUOTIENT(COLUMN(BU$2)-69,3))*5)+MOD(COLUMN(BU$2),3),1,1),"")</f>
        <v>0</v>
      </c>
      <c r="BV203">
        <f ca="1">IF($AN203="",OFFSET(Demand!$A$13,ROW(F200)-1,4+((QUOTIENT(COLUMN(BV$2)-69,3))*5)+MOD(COLUMN(BV$2),3),1,1),"")</f>
        <v>0</v>
      </c>
      <c r="BW203">
        <f ca="1">IF($AN203="",OFFSET(Demand!$A$13,ROW(G200)-1,4+((QUOTIENT(COLUMN(BW$2)-69,3))*5)+MOD(COLUMN(BW$2),3),1,1),"")</f>
        <v>0</v>
      </c>
      <c r="BX203">
        <f ca="1">IF($AN203="",OFFSET(Demand!$A$13,ROW(H200)-1,4+((QUOTIENT(COLUMN(BX$2)-69,3))*5)+MOD(COLUMN(BX$2),3),1,1),"")</f>
        <v>0</v>
      </c>
      <c r="BY203">
        <f ca="1">IF($AN203="",OFFSET(Demand!$A$13,ROW(I200)-1,4+((QUOTIENT(COLUMN(BY$2)-69,3))*5)+MOD(COLUMN(BY$2),3),1,1),"")</f>
        <v>0</v>
      </c>
      <c r="BZ203">
        <f ca="1">IF($AN203="",OFFSET(Demand!$A$13,ROW(J200)-1,4+((QUOTIENT(COLUMN(BZ$2)-69,3))*5)+MOD(COLUMN(BZ$2),3),1,1),"")</f>
        <v>0</v>
      </c>
      <c r="CA203">
        <f ca="1">IF($AN203="",OFFSET(Demand!$A$13,ROW(K200)-1,4+((QUOTIENT(COLUMN(CA$2)-69,3))*5)+MOD(COLUMN(CA$2),3),1,1),"")</f>
        <v>0</v>
      </c>
      <c r="CB203">
        <f ca="1">IF($AN203="",OFFSET(Demand!$A$13,ROW(L200)-1,4+((QUOTIENT(COLUMN(CB$2)-69,3))*5)+MOD(COLUMN(CB$2),3),1,1),"")</f>
        <v>0</v>
      </c>
      <c r="CC203">
        <f ca="1">IF($AN203="",OFFSET(Demand!$A$13,ROW(M200)-1,4+((QUOTIENT(COLUMN(CC$2)-69,3))*5)+MOD(COLUMN(CC$2),3),1,1),"")</f>
        <v>0</v>
      </c>
      <c r="CD203">
        <f ca="1">IF($AN203="",OFFSET(Demand!$A$13,ROW(N200)-1,4+((QUOTIENT(COLUMN(CD$2)-69,3))*5)+MOD(COLUMN(CD$2),3),1,1),"")</f>
        <v>0</v>
      </c>
      <c r="CE203">
        <f ca="1">IF($AN203="",OFFSET(Demand!$A$13,ROW(O200)-1,4+((QUOTIENT(COLUMN(CE$2)-69,3))*5)+MOD(COLUMN(CE$2),3),1,1),"")</f>
        <v>0</v>
      </c>
      <c r="CF203">
        <f ca="1">IF($AN203="",OFFSET(Demand!$A$13,ROW(P200)-1,4+((QUOTIENT(COLUMN(CF$2)-69,3))*5)+MOD(COLUMN(CF$2),3),1,1),"")</f>
        <v>0</v>
      </c>
      <c r="CG203">
        <f ca="1">IF($AN203="",OFFSET(Demand!$A$13,ROW(Q200)-1,4+((QUOTIENT(COLUMN(CG$2)-69,3))*5)+MOD(COLUMN(CG$2),3),1,1),"")</f>
        <v>0</v>
      </c>
      <c r="CH203">
        <f ca="1">IF($AN203="",OFFSET(Demand!$A$13,ROW(R200)-1,4+((QUOTIENT(COLUMN(CH$2)-69,3))*5)+MOD(COLUMN(CH$2),3),1,1),"")</f>
        <v>0</v>
      </c>
      <c r="CI203">
        <f ca="1">IF($AN203="",OFFSET(Demand!$A$13,ROW(S200)-1,4+((QUOTIENT(COLUMN(CI$2)-69,3))*5)+MOD(COLUMN(CI$2),3),1,1),"")</f>
        <v>0</v>
      </c>
      <c r="CJ203">
        <f ca="1">IF($AN203="",OFFSET(Demand!$A$13,ROW(T200)-1,4+((QUOTIENT(COLUMN(CJ$2)-69,3))*5)+MOD(COLUMN(CJ$2),3),1,1),"")</f>
        <v>0</v>
      </c>
      <c r="CK203">
        <f ca="1">IF($AN203="",OFFSET(Demand!$A$13,ROW(U200)-1,4+((QUOTIENT(COLUMN(CK$2)-69,3))*5)+MOD(COLUMN(CK$2),3),1,1),"")</f>
        <v>0</v>
      </c>
      <c r="CL203">
        <f ca="1">IF($AN203="",OFFSET(Demand!$A$13,ROW(V200)-1,4+((QUOTIENT(COLUMN(CL$2)-69,3))*5)+MOD(COLUMN(CL$2),3),1,1),"")</f>
        <v>0</v>
      </c>
      <c r="CM203">
        <f ca="1">IF($AN203="",OFFSET(Demand!$A$13,ROW(W200)-1,4+((QUOTIENT(COLUMN(CM$2)-69,3))*5)+MOD(COLUMN(CM$2),3),1,1),"")</f>
        <v>0</v>
      </c>
      <c r="CN203">
        <f ca="1">IF($AN203="",OFFSET(Demand!$A$13,ROW(X200)-1,4+((QUOTIENT(COLUMN(CN$2)-69,3))*5)+MOD(COLUMN(CN$2),3),1,1),"")</f>
        <v>0</v>
      </c>
      <c r="CO203">
        <f ca="1">IF($AN203="",OFFSET(Demand!$A$13,ROW(Y200)-1,4+((QUOTIENT(COLUMN(CO$2)-69,3))*5)+MOD(COLUMN(CO$2),3),1,1),"")</f>
        <v>0</v>
      </c>
      <c r="CP203">
        <f ca="1">IF($AN203="",OFFSET(Demand!$A$13,ROW(Z200)-1,4+((QUOTIENT(COLUMN(CP$2)-69,3))*5)+MOD(COLUMN(CP$2),3),1,1),"")</f>
        <v>0</v>
      </c>
      <c r="CQ203">
        <f ca="1">IF($AN203="",OFFSET(Demand!$A$13,ROW(AA200)-1,4+((QUOTIENT(COLUMN(CQ$2)-69,3))*5)+MOD(COLUMN(CQ$2),3),1,1),"")</f>
        <v>0</v>
      </c>
      <c r="CR203">
        <f ca="1">IF($AN203="",OFFSET(Demand!$A$13,ROW(AB200)-1,4+((QUOTIENT(COLUMN(CR$2)-69,3))*5)+MOD(COLUMN(CR$2),3),1,1),"")</f>
        <v>0</v>
      </c>
      <c r="CS203">
        <f ca="1">IF($AN203="",OFFSET(Demand!$A$13,ROW(AC200)-1,4+((QUOTIENT(COLUMN(CS$2)-69,3))*5)+MOD(COLUMN(CS$2),3),1,1),"")</f>
        <v>0</v>
      </c>
      <c r="CT203">
        <f ca="1">IF($AN203="",OFFSET(Demand!$A$13,ROW(AD200)-1,4+((QUOTIENT(COLUMN(CT$2)-69,3))*5)+MOD(COLUMN(CT$2),3),1,1),"")</f>
        <v>0</v>
      </c>
      <c r="CW203" s="5">
        <f ca="1">SUM(OFFSET(Demand!$H$43,ROW(A200)-1,(COLUMN(A200)-1)*5,1,1))*N$2</f>
        <v>0</v>
      </c>
      <c r="CX203" s="5">
        <f ca="1">SUM(OFFSET(Demand!$H$43,ROW(B200)-1,(COLUMN(B200)-1)*5,1,1))*O$2</f>
        <v>0</v>
      </c>
      <c r="CY203" s="5">
        <f ca="1">SUM(OFFSET(Demand!$H$43,ROW(C200)-1,(COLUMN(C200)-1)*5,1,1))*P$2</f>
        <v>0</v>
      </c>
      <c r="CZ203" s="5">
        <f ca="1">SUM(OFFSET(Demand!$H$43,ROW(D200)-1,(COLUMN(D200)-1)*5,1,1))*Q$2</f>
        <v>0</v>
      </c>
      <c r="DA203" s="5">
        <f ca="1">SUM(OFFSET(Demand!$H$43,ROW(E200)-1,(COLUMN(E200)-1)*5,1,1))*R$2</f>
        <v>0</v>
      </c>
      <c r="DB203" s="5">
        <f ca="1">SUM(OFFSET(Demand!$H$43,ROW(F200)-1,(COLUMN(F200)-1)*5,1,1))*S$2</f>
        <v>0</v>
      </c>
      <c r="DC203" s="5">
        <f ca="1">SUM(OFFSET(Demand!$H$43,ROW(G200)-1,(COLUMN(G200)-1)*5,1,1))*T$2</f>
        <v>0</v>
      </c>
      <c r="DD203" s="5">
        <f ca="1">SUM(OFFSET(Demand!$H$43,ROW(H200)-1,(COLUMN(H200)-1)*5,1,1))*U$2</f>
        <v>0</v>
      </c>
      <c r="DE203" s="5">
        <f ca="1">SUM(OFFSET(Demand!$H$43,ROW(I200)-1,(COLUMN(I200)-1)*5,1,1))*V$2</f>
        <v>0</v>
      </c>
      <c r="DF203" s="5">
        <f ca="1">SUM(OFFSET(Demand!$H$43,ROW(J200)-1,(COLUMN(J200)-1)*5,1,1))*W$2</f>
        <v>0</v>
      </c>
      <c r="DG203" s="5">
        <f t="shared" ca="1" si="52"/>
        <v>0</v>
      </c>
    </row>
    <row r="204" spans="1:111" x14ac:dyDescent="0.2">
      <c r="A204" s="5">
        <f t="shared" ca="1" si="46"/>
        <v>2</v>
      </c>
      <c r="B204" s="5">
        <f ca="1">COUNTBLANK(OFFSET(Demand!$I213,0,(COLUMN(A201)-1)*5,1,1))</f>
        <v>1</v>
      </c>
      <c r="C204" s="5">
        <f ca="1">COUNTBLANK(OFFSET(Demand!$I213,0,(COLUMN(B201)-1)*5,1,1))</f>
        <v>1</v>
      </c>
      <c r="D204" s="5">
        <f ca="1">COUNTBLANK(OFFSET(Demand!$I213,0,(COLUMN(C201)-1)*5,1,1))</f>
        <v>1</v>
      </c>
      <c r="E204" s="5">
        <f ca="1">COUNTBLANK(OFFSET(Demand!$I213,0,(COLUMN(D201)-1)*5,1,1))</f>
        <v>1</v>
      </c>
      <c r="F204" s="5">
        <f ca="1">COUNTBLANK(OFFSET(Demand!$I213,0,(COLUMN(E201)-1)*5,1,1))</f>
        <v>1</v>
      </c>
      <c r="G204" s="5">
        <f ca="1">COUNTBLANK(OFFSET(Demand!$I213,0,(COLUMN(F201)-1)*5,1,1))</f>
        <v>1</v>
      </c>
      <c r="H204" s="5">
        <f ca="1">COUNTBLANK(OFFSET(Demand!$I213,0,(COLUMN(G201)-1)*5,1,1))</f>
        <v>1</v>
      </c>
      <c r="I204" s="5">
        <f ca="1">COUNTBLANK(OFFSET(Demand!$I213,0,(COLUMN(H201)-1)*5,1,1))</f>
        <v>1</v>
      </c>
      <c r="J204" s="5">
        <f ca="1">COUNTBLANK(OFFSET(Demand!$I213,0,(COLUMN(I201)-1)*5,1,1))</f>
        <v>1</v>
      </c>
      <c r="K204" s="5">
        <f ca="1">COUNTBLANK(OFFSET(Demand!$I213,0,(COLUMN(J201)-1)*5,1,1))</f>
        <v>1</v>
      </c>
      <c r="N204" s="5">
        <f ca="1">SUM(OFFSET(Demand!$E213,0,(COLUMN(A201)-1)*5,1,3))*N$2</f>
        <v>0</v>
      </c>
      <c r="O204" s="5">
        <f ca="1">SUM(OFFSET(Demand!$E213,0,(COLUMN(B201)-1)*5,1,3))*O$2</f>
        <v>0</v>
      </c>
      <c r="P204" s="5">
        <f ca="1">SUM(OFFSET(Demand!$E213,0,(COLUMN(C201)-1)*5,1,3))*P$2</f>
        <v>0</v>
      </c>
      <c r="Q204" s="5">
        <f ca="1">SUM(OFFSET(Demand!$E213,0,(COLUMN(D201)-1)*5,1,3))*Q$2</f>
        <v>0</v>
      </c>
      <c r="R204" s="5">
        <f ca="1">SUM(OFFSET(Demand!$E213,0,(COLUMN(E201)-1)*5,1,3))*R$2</f>
        <v>0</v>
      </c>
      <c r="S204" s="5">
        <f ca="1">SUM(OFFSET(Demand!$E213,0,(COLUMN(F201)-1)*5,1,3))*S$2</f>
        <v>0</v>
      </c>
      <c r="T204" s="5">
        <f ca="1">SUM(OFFSET(Demand!$E213,0,(COLUMN(G201)-1)*5,1,3))*T$2</f>
        <v>0</v>
      </c>
      <c r="U204" s="5">
        <f ca="1">SUM(OFFSET(Demand!$E213,0,(COLUMN(H201)-1)*5,1,3))*U$2</f>
        <v>0</v>
      </c>
      <c r="V204" s="5">
        <f ca="1">SUM(OFFSET(Demand!$E213,0,(COLUMN(I201)-1)*5,1,3))*V$2</f>
        <v>0</v>
      </c>
      <c r="W204" s="5">
        <f ca="1">SUM(OFFSET(Demand!$E213,0,(COLUMN(J201)-1)*5,1,3))*W$2</f>
        <v>0</v>
      </c>
      <c r="X204" s="5">
        <f t="shared" ca="1" si="47"/>
        <v>0</v>
      </c>
      <c r="Y204">
        <f t="shared" ca="1" si="48"/>
        <v>0</v>
      </c>
      <c r="Z204" s="5">
        <f ca="1">SUM(OFFSET(Demand!$H213,0,(COLUMN(A201)-1)*5,1,1))*N$2</f>
        <v>0</v>
      </c>
      <c r="AA204" s="5">
        <f ca="1">SUM(OFFSET(Demand!$H213,0,(COLUMN(B201)-1)*5,1,1))*O$2</f>
        <v>0</v>
      </c>
      <c r="AB204" s="5">
        <f ca="1">SUM(OFFSET(Demand!$H213,0,(COLUMN(C201)-1)*5,1,1))*P$2</f>
        <v>0</v>
      </c>
      <c r="AC204" s="5">
        <f ca="1">SUM(OFFSET(Demand!$H213,0,(COLUMN(D201)-1)*5,1,1))*Q$2</f>
        <v>0</v>
      </c>
      <c r="AD204" s="5">
        <f ca="1">SUM(OFFSET(Demand!$H213,0,(COLUMN(E201)-1)*5,1,1))*R$2</f>
        <v>0</v>
      </c>
      <c r="AE204" s="5">
        <f ca="1">SUM(OFFSET(Demand!$H213,0,(COLUMN(F201)-1)*5,1,1))*S$2</f>
        <v>0</v>
      </c>
      <c r="AF204" s="5">
        <f ca="1">SUM(OFFSET(Demand!$H213,0,(COLUMN(G201)-1)*5,1,1))*T$2</f>
        <v>0</v>
      </c>
      <c r="AG204" s="5">
        <f ca="1">SUM(OFFSET(Demand!$H213,0,(COLUMN(H201)-1)*5,1,1))*U$2</f>
        <v>0</v>
      </c>
      <c r="AH204" s="5">
        <f ca="1">SUM(OFFSET(Demand!$H213,0,(COLUMN(I201)-1)*5,1,1))*V$2</f>
        <v>0</v>
      </c>
      <c r="AI204" s="5">
        <f ca="1">SUM(OFFSET(Demand!$H213,0,(COLUMN(J201)-1)*5,1,1))*W$2</f>
        <v>0</v>
      </c>
      <c r="AJ204" s="5">
        <f t="shared" ca="1" si="49"/>
        <v>0</v>
      </c>
      <c r="AL204" s="5">
        <f t="shared" ca="1" si="50"/>
        <v>0</v>
      </c>
      <c r="AM204" s="5">
        <f t="shared" ca="1" si="51"/>
        <v>0</v>
      </c>
      <c r="AN204" s="5" t="str">
        <f>IF(Demand!BE213="Yes","Yes","")</f>
        <v/>
      </c>
      <c r="AP204" s="37" t="str">
        <f ca="1">Demand!B213</f>
        <v xml:space="preserve"> </v>
      </c>
      <c r="AQ204" t="str">
        <f ca="1">IF(TEXT(Demand!D213,"MMM")&lt;&gt;TEXT(Demand!D212,"MMM"),TEXT(Demand!D213,"MMM"),"")</f>
        <v/>
      </c>
      <c r="AT204" s="5">
        <f t="shared" ca="1" si="53"/>
        <v>0</v>
      </c>
      <c r="BQ204">
        <f ca="1">IF($AN204="",OFFSET(Demand!$A$13,ROW(A201)-1,4+((QUOTIENT(COLUMN(BQ$2)-69,3))*5)+MOD(COLUMN(BQ$2),3),1,1),"")</f>
        <v>0</v>
      </c>
      <c r="BR204">
        <f ca="1">IF($AN204="",OFFSET(Demand!$A$13,ROW(B201)-1,4+((QUOTIENT(COLUMN(BR$2)-69,3))*5)+MOD(COLUMN(BR$2),3),1,1),"")</f>
        <v>0</v>
      </c>
      <c r="BS204">
        <f ca="1">IF($AN204="",OFFSET(Demand!$A$13,ROW(C201)-1,4+((QUOTIENT(COLUMN(BS$2)-69,3))*5)+MOD(COLUMN(BS$2),3),1,1),"")</f>
        <v>0</v>
      </c>
      <c r="BT204">
        <f ca="1">IF($AN204="",OFFSET(Demand!$A$13,ROW(D201)-1,4+((QUOTIENT(COLUMN(BT$2)-69,3))*5)+MOD(COLUMN(BT$2),3),1,1),"")</f>
        <v>0</v>
      </c>
      <c r="BU204">
        <f ca="1">IF($AN204="",OFFSET(Demand!$A$13,ROW(E201)-1,4+((QUOTIENT(COLUMN(BU$2)-69,3))*5)+MOD(COLUMN(BU$2),3),1,1),"")</f>
        <v>0</v>
      </c>
      <c r="BV204">
        <f ca="1">IF($AN204="",OFFSET(Demand!$A$13,ROW(F201)-1,4+((QUOTIENT(COLUMN(BV$2)-69,3))*5)+MOD(COLUMN(BV$2),3),1,1),"")</f>
        <v>0</v>
      </c>
      <c r="BW204">
        <f ca="1">IF($AN204="",OFFSET(Demand!$A$13,ROW(G201)-1,4+((QUOTIENT(COLUMN(BW$2)-69,3))*5)+MOD(COLUMN(BW$2),3),1,1),"")</f>
        <v>0</v>
      </c>
      <c r="BX204">
        <f ca="1">IF($AN204="",OFFSET(Demand!$A$13,ROW(H201)-1,4+((QUOTIENT(COLUMN(BX$2)-69,3))*5)+MOD(COLUMN(BX$2),3),1,1),"")</f>
        <v>0</v>
      </c>
      <c r="BY204">
        <f ca="1">IF($AN204="",OFFSET(Demand!$A$13,ROW(I201)-1,4+((QUOTIENT(COLUMN(BY$2)-69,3))*5)+MOD(COLUMN(BY$2),3),1,1),"")</f>
        <v>0</v>
      </c>
      <c r="BZ204">
        <f ca="1">IF($AN204="",OFFSET(Demand!$A$13,ROW(J201)-1,4+((QUOTIENT(COLUMN(BZ$2)-69,3))*5)+MOD(COLUMN(BZ$2),3),1,1),"")</f>
        <v>0</v>
      </c>
      <c r="CA204">
        <f ca="1">IF($AN204="",OFFSET(Demand!$A$13,ROW(K201)-1,4+((QUOTIENT(COLUMN(CA$2)-69,3))*5)+MOD(COLUMN(CA$2),3),1,1),"")</f>
        <v>0</v>
      </c>
      <c r="CB204">
        <f ca="1">IF($AN204="",OFFSET(Demand!$A$13,ROW(L201)-1,4+((QUOTIENT(COLUMN(CB$2)-69,3))*5)+MOD(COLUMN(CB$2),3),1,1),"")</f>
        <v>0</v>
      </c>
      <c r="CC204">
        <f ca="1">IF($AN204="",OFFSET(Demand!$A$13,ROW(M201)-1,4+((QUOTIENT(COLUMN(CC$2)-69,3))*5)+MOD(COLUMN(CC$2),3),1,1),"")</f>
        <v>0</v>
      </c>
      <c r="CD204">
        <f ca="1">IF($AN204="",OFFSET(Demand!$A$13,ROW(N201)-1,4+((QUOTIENT(COLUMN(CD$2)-69,3))*5)+MOD(COLUMN(CD$2),3),1,1),"")</f>
        <v>0</v>
      </c>
      <c r="CE204">
        <f ca="1">IF($AN204="",OFFSET(Demand!$A$13,ROW(O201)-1,4+((QUOTIENT(COLUMN(CE$2)-69,3))*5)+MOD(COLUMN(CE$2),3),1,1),"")</f>
        <v>0</v>
      </c>
      <c r="CF204">
        <f ca="1">IF($AN204="",OFFSET(Demand!$A$13,ROW(P201)-1,4+((QUOTIENT(COLUMN(CF$2)-69,3))*5)+MOD(COLUMN(CF$2),3),1,1),"")</f>
        <v>0</v>
      </c>
      <c r="CG204">
        <f ca="1">IF($AN204="",OFFSET(Demand!$A$13,ROW(Q201)-1,4+((QUOTIENT(COLUMN(CG$2)-69,3))*5)+MOD(COLUMN(CG$2),3),1,1),"")</f>
        <v>0</v>
      </c>
      <c r="CH204">
        <f ca="1">IF($AN204="",OFFSET(Demand!$A$13,ROW(R201)-1,4+((QUOTIENT(COLUMN(CH$2)-69,3))*5)+MOD(COLUMN(CH$2),3),1,1),"")</f>
        <v>0</v>
      </c>
      <c r="CI204">
        <f ca="1">IF($AN204="",OFFSET(Demand!$A$13,ROW(S201)-1,4+((QUOTIENT(COLUMN(CI$2)-69,3))*5)+MOD(COLUMN(CI$2),3),1,1),"")</f>
        <v>0</v>
      </c>
      <c r="CJ204">
        <f ca="1">IF($AN204="",OFFSET(Demand!$A$13,ROW(T201)-1,4+((QUOTIENT(COLUMN(CJ$2)-69,3))*5)+MOD(COLUMN(CJ$2),3),1,1),"")</f>
        <v>0</v>
      </c>
      <c r="CK204">
        <f ca="1">IF($AN204="",OFFSET(Demand!$A$13,ROW(U201)-1,4+((QUOTIENT(COLUMN(CK$2)-69,3))*5)+MOD(COLUMN(CK$2),3),1,1),"")</f>
        <v>0</v>
      </c>
      <c r="CL204">
        <f ca="1">IF($AN204="",OFFSET(Demand!$A$13,ROW(V201)-1,4+((QUOTIENT(COLUMN(CL$2)-69,3))*5)+MOD(COLUMN(CL$2),3),1,1),"")</f>
        <v>0</v>
      </c>
      <c r="CM204">
        <f ca="1">IF($AN204="",OFFSET(Demand!$A$13,ROW(W201)-1,4+((QUOTIENT(COLUMN(CM$2)-69,3))*5)+MOD(COLUMN(CM$2),3),1,1),"")</f>
        <v>0</v>
      </c>
      <c r="CN204">
        <f ca="1">IF($AN204="",OFFSET(Demand!$A$13,ROW(X201)-1,4+((QUOTIENT(COLUMN(CN$2)-69,3))*5)+MOD(COLUMN(CN$2),3),1,1),"")</f>
        <v>0</v>
      </c>
      <c r="CO204">
        <f ca="1">IF($AN204="",OFFSET(Demand!$A$13,ROW(Y201)-1,4+((QUOTIENT(COLUMN(CO$2)-69,3))*5)+MOD(COLUMN(CO$2),3),1,1),"")</f>
        <v>0</v>
      </c>
      <c r="CP204">
        <f ca="1">IF($AN204="",OFFSET(Demand!$A$13,ROW(Z201)-1,4+((QUOTIENT(COLUMN(CP$2)-69,3))*5)+MOD(COLUMN(CP$2),3),1,1),"")</f>
        <v>0</v>
      </c>
      <c r="CQ204">
        <f ca="1">IF($AN204="",OFFSET(Demand!$A$13,ROW(AA201)-1,4+((QUOTIENT(COLUMN(CQ$2)-69,3))*5)+MOD(COLUMN(CQ$2),3),1,1),"")</f>
        <v>0</v>
      </c>
      <c r="CR204">
        <f ca="1">IF($AN204="",OFFSET(Demand!$A$13,ROW(AB201)-1,4+((QUOTIENT(COLUMN(CR$2)-69,3))*5)+MOD(COLUMN(CR$2),3),1,1),"")</f>
        <v>0</v>
      </c>
      <c r="CS204">
        <f ca="1">IF($AN204="",OFFSET(Demand!$A$13,ROW(AC201)-1,4+((QUOTIENT(COLUMN(CS$2)-69,3))*5)+MOD(COLUMN(CS$2),3),1,1),"")</f>
        <v>0</v>
      </c>
      <c r="CT204">
        <f ca="1">IF($AN204="",OFFSET(Demand!$A$13,ROW(AD201)-1,4+((QUOTIENT(COLUMN(CT$2)-69,3))*5)+MOD(COLUMN(CT$2),3),1,1),"")</f>
        <v>0</v>
      </c>
      <c r="CW204" s="5">
        <f ca="1">SUM(OFFSET(Demand!$H$43,ROW(A201)-1,(COLUMN(A201)-1)*5,1,1))*N$2</f>
        <v>0</v>
      </c>
      <c r="CX204" s="5">
        <f ca="1">SUM(OFFSET(Demand!$H$43,ROW(B201)-1,(COLUMN(B201)-1)*5,1,1))*O$2</f>
        <v>0</v>
      </c>
      <c r="CY204" s="5">
        <f ca="1">SUM(OFFSET(Demand!$H$43,ROW(C201)-1,(COLUMN(C201)-1)*5,1,1))*P$2</f>
        <v>0</v>
      </c>
      <c r="CZ204" s="5">
        <f ca="1">SUM(OFFSET(Demand!$H$43,ROW(D201)-1,(COLUMN(D201)-1)*5,1,1))*Q$2</f>
        <v>0</v>
      </c>
      <c r="DA204" s="5">
        <f ca="1">SUM(OFFSET(Demand!$H$43,ROW(E201)-1,(COLUMN(E201)-1)*5,1,1))*R$2</f>
        <v>0</v>
      </c>
      <c r="DB204" s="5">
        <f ca="1">SUM(OFFSET(Demand!$H$43,ROW(F201)-1,(COLUMN(F201)-1)*5,1,1))*S$2</f>
        <v>0</v>
      </c>
      <c r="DC204" s="5">
        <f ca="1">SUM(OFFSET(Demand!$H$43,ROW(G201)-1,(COLUMN(G201)-1)*5,1,1))*T$2</f>
        <v>0</v>
      </c>
      <c r="DD204" s="5">
        <f ca="1">SUM(OFFSET(Demand!$H$43,ROW(H201)-1,(COLUMN(H201)-1)*5,1,1))*U$2</f>
        <v>0</v>
      </c>
      <c r="DE204" s="5">
        <f ca="1">SUM(OFFSET(Demand!$H$43,ROW(I201)-1,(COLUMN(I201)-1)*5,1,1))*V$2</f>
        <v>0</v>
      </c>
      <c r="DF204" s="5">
        <f ca="1">SUM(OFFSET(Demand!$H$43,ROW(J201)-1,(COLUMN(J201)-1)*5,1,1))*W$2</f>
        <v>0</v>
      </c>
      <c r="DG204" s="5">
        <f t="shared" ca="1" si="52"/>
        <v>0</v>
      </c>
    </row>
    <row r="205" spans="1:111" x14ac:dyDescent="0.2">
      <c r="A205" s="5">
        <f t="shared" ca="1" si="46"/>
        <v>2</v>
      </c>
      <c r="B205" s="5">
        <f ca="1">COUNTBLANK(OFFSET(Demand!$I214,0,(COLUMN(A202)-1)*5,1,1))</f>
        <v>1</v>
      </c>
      <c r="C205" s="5">
        <f ca="1">COUNTBLANK(OFFSET(Demand!$I214,0,(COLUMN(B202)-1)*5,1,1))</f>
        <v>1</v>
      </c>
      <c r="D205" s="5">
        <f ca="1">COUNTBLANK(OFFSET(Demand!$I214,0,(COLUMN(C202)-1)*5,1,1))</f>
        <v>1</v>
      </c>
      <c r="E205" s="5">
        <f ca="1">COUNTBLANK(OFFSET(Demand!$I214,0,(COLUMN(D202)-1)*5,1,1))</f>
        <v>1</v>
      </c>
      <c r="F205" s="5">
        <f ca="1">COUNTBLANK(OFFSET(Demand!$I214,0,(COLUMN(E202)-1)*5,1,1))</f>
        <v>1</v>
      </c>
      <c r="G205" s="5">
        <f ca="1">COUNTBLANK(OFFSET(Demand!$I214,0,(COLUMN(F202)-1)*5,1,1))</f>
        <v>1</v>
      </c>
      <c r="H205" s="5">
        <f ca="1">COUNTBLANK(OFFSET(Demand!$I214,0,(COLUMN(G202)-1)*5,1,1))</f>
        <v>1</v>
      </c>
      <c r="I205" s="5">
        <f ca="1">COUNTBLANK(OFFSET(Demand!$I214,0,(COLUMN(H202)-1)*5,1,1))</f>
        <v>1</v>
      </c>
      <c r="J205" s="5">
        <f ca="1">COUNTBLANK(OFFSET(Demand!$I214,0,(COLUMN(I202)-1)*5,1,1))</f>
        <v>1</v>
      </c>
      <c r="K205" s="5">
        <f ca="1">COUNTBLANK(OFFSET(Demand!$I214,0,(COLUMN(J202)-1)*5,1,1))</f>
        <v>1</v>
      </c>
      <c r="N205" s="5">
        <f ca="1">SUM(OFFSET(Demand!$E214,0,(COLUMN(A202)-1)*5,1,3))*N$2</f>
        <v>0</v>
      </c>
      <c r="O205" s="5">
        <f ca="1">SUM(OFFSET(Demand!$E214,0,(COLUMN(B202)-1)*5,1,3))*O$2</f>
        <v>0</v>
      </c>
      <c r="P205" s="5">
        <f ca="1">SUM(OFFSET(Demand!$E214,0,(COLUMN(C202)-1)*5,1,3))*P$2</f>
        <v>0</v>
      </c>
      <c r="Q205" s="5">
        <f ca="1">SUM(OFFSET(Demand!$E214,0,(COLUMN(D202)-1)*5,1,3))*Q$2</f>
        <v>0</v>
      </c>
      <c r="R205" s="5">
        <f ca="1">SUM(OFFSET(Demand!$E214,0,(COLUMN(E202)-1)*5,1,3))*R$2</f>
        <v>0</v>
      </c>
      <c r="S205" s="5">
        <f ca="1">SUM(OFFSET(Demand!$E214,0,(COLUMN(F202)-1)*5,1,3))*S$2</f>
        <v>0</v>
      </c>
      <c r="T205" s="5">
        <f ca="1">SUM(OFFSET(Demand!$E214,0,(COLUMN(G202)-1)*5,1,3))*T$2</f>
        <v>0</v>
      </c>
      <c r="U205" s="5">
        <f ca="1">SUM(OFFSET(Demand!$E214,0,(COLUMN(H202)-1)*5,1,3))*U$2</f>
        <v>0</v>
      </c>
      <c r="V205" s="5">
        <f ca="1">SUM(OFFSET(Demand!$E214,0,(COLUMN(I202)-1)*5,1,3))*V$2</f>
        <v>0</v>
      </c>
      <c r="W205" s="5">
        <f ca="1">SUM(OFFSET(Demand!$E214,0,(COLUMN(J202)-1)*5,1,3))*W$2</f>
        <v>0</v>
      </c>
      <c r="X205" s="5">
        <f t="shared" ca="1" si="47"/>
        <v>0</v>
      </c>
      <c r="Y205">
        <f t="shared" ca="1" si="48"/>
        <v>0</v>
      </c>
      <c r="Z205" s="5">
        <f ca="1">SUM(OFFSET(Demand!$H214,0,(COLUMN(A202)-1)*5,1,1))*N$2</f>
        <v>0</v>
      </c>
      <c r="AA205" s="5">
        <f ca="1">SUM(OFFSET(Demand!$H214,0,(COLUMN(B202)-1)*5,1,1))*O$2</f>
        <v>0</v>
      </c>
      <c r="AB205" s="5">
        <f ca="1">SUM(OFFSET(Demand!$H214,0,(COLUMN(C202)-1)*5,1,1))*P$2</f>
        <v>0</v>
      </c>
      <c r="AC205" s="5">
        <f ca="1">SUM(OFFSET(Demand!$H214,0,(COLUMN(D202)-1)*5,1,1))*Q$2</f>
        <v>0</v>
      </c>
      <c r="AD205" s="5">
        <f ca="1">SUM(OFFSET(Demand!$H214,0,(COLUMN(E202)-1)*5,1,1))*R$2</f>
        <v>0</v>
      </c>
      <c r="AE205" s="5">
        <f ca="1">SUM(OFFSET(Demand!$H214,0,(COLUMN(F202)-1)*5,1,1))*S$2</f>
        <v>0</v>
      </c>
      <c r="AF205" s="5">
        <f ca="1">SUM(OFFSET(Demand!$H214,0,(COLUMN(G202)-1)*5,1,1))*T$2</f>
        <v>0</v>
      </c>
      <c r="AG205" s="5">
        <f ca="1">SUM(OFFSET(Demand!$H214,0,(COLUMN(H202)-1)*5,1,1))*U$2</f>
        <v>0</v>
      </c>
      <c r="AH205" s="5">
        <f ca="1">SUM(OFFSET(Demand!$H214,0,(COLUMN(I202)-1)*5,1,1))*V$2</f>
        <v>0</v>
      </c>
      <c r="AI205" s="5">
        <f ca="1">SUM(OFFSET(Demand!$H214,0,(COLUMN(J202)-1)*5,1,1))*W$2</f>
        <v>0</v>
      </c>
      <c r="AJ205" s="5">
        <f t="shared" ca="1" si="49"/>
        <v>0</v>
      </c>
      <c r="AL205" s="5">
        <f t="shared" ca="1" si="50"/>
        <v>0</v>
      </c>
      <c r="AM205" s="5">
        <f t="shared" ca="1" si="51"/>
        <v>0</v>
      </c>
      <c r="AN205" s="5" t="str">
        <f>IF(Demand!BE214="Yes","Yes","")</f>
        <v/>
      </c>
      <c r="AP205" s="37" t="str">
        <f ca="1">Demand!B214</f>
        <v xml:space="preserve"> </v>
      </c>
      <c r="AQ205" t="str">
        <f ca="1">IF(TEXT(Demand!D214,"MMM")&lt;&gt;TEXT(Demand!D213,"MMM"),TEXT(Demand!D214,"MMM"),"")</f>
        <v/>
      </c>
      <c r="AT205" s="5">
        <f t="shared" ca="1" si="53"/>
        <v>0</v>
      </c>
      <c r="BQ205">
        <f ca="1">IF($AN205="",OFFSET(Demand!$A$13,ROW(A202)-1,4+((QUOTIENT(COLUMN(BQ$2)-69,3))*5)+MOD(COLUMN(BQ$2),3),1,1),"")</f>
        <v>0</v>
      </c>
      <c r="BR205">
        <f ca="1">IF($AN205="",OFFSET(Demand!$A$13,ROW(B202)-1,4+((QUOTIENT(COLUMN(BR$2)-69,3))*5)+MOD(COLUMN(BR$2),3),1,1),"")</f>
        <v>0</v>
      </c>
      <c r="BS205">
        <f ca="1">IF($AN205="",OFFSET(Demand!$A$13,ROW(C202)-1,4+((QUOTIENT(COLUMN(BS$2)-69,3))*5)+MOD(COLUMN(BS$2),3),1,1),"")</f>
        <v>0</v>
      </c>
      <c r="BT205">
        <f ca="1">IF($AN205="",OFFSET(Demand!$A$13,ROW(D202)-1,4+((QUOTIENT(COLUMN(BT$2)-69,3))*5)+MOD(COLUMN(BT$2),3),1,1),"")</f>
        <v>0</v>
      </c>
      <c r="BU205">
        <f ca="1">IF($AN205="",OFFSET(Demand!$A$13,ROW(E202)-1,4+((QUOTIENT(COLUMN(BU$2)-69,3))*5)+MOD(COLUMN(BU$2),3),1,1),"")</f>
        <v>0</v>
      </c>
      <c r="BV205">
        <f ca="1">IF($AN205="",OFFSET(Demand!$A$13,ROW(F202)-1,4+((QUOTIENT(COLUMN(BV$2)-69,3))*5)+MOD(COLUMN(BV$2),3),1,1),"")</f>
        <v>0</v>
      </c>
      <c r="BW205">
        <f ca="1">IF($AN205="",OFFSET(Demand!$A$13,ROW(G202)-1,4+((QUOTIENT(COLUMN(BW$2)-69,3))*5)+MOD(COLUMN(BW$2),3),1,1),"")</f>
        <v>0</v>
      </c>
      <c r="BX205">
        <f ca="1">IF($AN205="",OFFSET(Demand!$A$13,ROW(H202)-1,4+((QUOTIENT(COLUMN(BX$2)-69,3))*5)+MOD(COLUMN(BX$2),3),1,1),"")</f>
        <v>0</v>
      </c>
      <c r="BY205">
        <f ca="1">IF($AN205="",OFFSET(Demand!$A$13,ROW(I202)-1,4+((QUOTIENT(COLUMN(BY$2)-69,3))*5)+MOD(COLUMN(BY$2),3),1,1),"")</f>
        <v>0</v>
      </c>
      <c r="BZ205">
        <f ca="1">IF($AN205="",OFFSET(Demand!$A$13,ROW(J202)-1,4+((QUOTIENT(COLUMN(BZ$2)-69,3))*5)+MOD(COLUMN(BZ$2),3),1,1),"")</f>
        <v>0</v>
      </c>
      <c r="CA205">
        <f ca="1">IF($AN205="",OFFSET(Demand!$A$13,ROW(K202)-1,4+((QUOTIENT(COLUMN(CA$2)-69,3))*5)+MOD(COLUMN(CA$2),3),1,1),"")</f>
        <v>0</v>
      </c>
      <c r="CB205">
        <f ca="1">IF($AN205="",OFFSET(Demand!$A$13,ROW(L202)-1,4+((QUOTIENT(COLUMN(CB$2)-69,3))*5)+MOD(COLUMN(CB$2),3),1,1),"")</f>
        <v>0</v>
      </c>
      <c r="CC205">
        <f ca="1">IF($AN205="",OFFSET(Demand!$A$13,ROW(M202)-1,4+((QUOTIENT(COLUMN(CC$2)-69,3))*5)+MOD(COLUMN(CC$2),3),1,1),"")</f>
        <v>0</v>
      </c>
      <c r="CD205">
        <f ca="1">IF($AN205="",OFFSET(Demand!$A$13,ROW(N202)-1,4+((QUOTIENT(COLUMN(CD$2)-69,3))*5)+MOD(COLUMN(CD$2),3),1,1),"")</f>
        <v>0</v>
      </c>
      <c r="CE205">
        <f ca="1">IF($AN205="",OFFSET(Demand!$A$13,ROW(O202)-1,4+((QUOTIENT(COLUMN(CE$2)-69,3))*5)+MOD(COLUMN(CE$2),3),1,1),"")</f>
        <v>0</v>
      </c>
      <c r="CF205">
        <f ca="1">IF($AN205="",OFFSET(Demand!$A$13,ROW(P202)-1,4+((QUOTIENT(COLUMN(CF$2)-69,3))*5)+MOD(COLUMN(CF$2),3),1,1),"")</f>
        <v>0</v>
      </c>
      <c r="CG205">
        <f ca="1">IF($AN205="",OFFSET(Demand!$A$13,ROW(Q202)-1,4+((QUOTIENT(COLUMN(CG$2)-69,3))*5)+MOD(COLUMN(CG$2),3),1,1),"")</f>
        <v>0</v>
      </c>
      <c r="CH205">
        <f ca="1">IF($AN205="",OFFSET(Demand!$A$13,ROW(R202)-1,4+((QUOTIENT(COLUMN(CH$2)-69,3))*5)+MOD(COLUMN(CH$2),3),1,1),"")</f>
        <v>0</v>
      </c>
      <c r="CI205">
        <f ca="1">IF($AN205="",OFFSET(Demand!$A$13,ROW(S202)-1,4+((QUOTIENT(COLUMN(CI$2)-69,3))*5)+MOD(COLUMN(CI$2),3),1,1),"")</f>
        <v>0</v>
      </c>
      <c r="CJ205">
        <f ca="1">IF($AN205="",OFFSET(Demand!$A$13,ROW(T202)-1,4+((QUOTIENT(COLUMN(CJ$2)-69,3))*5)+MOD(COLUMN(CJ$2),3),1,1),"")</f>
        <v>0</v>
      </c>
      <c r="CK205">
        <f ca="1">IF($AN205="",OFFSET(Demand!$A$13,ROW(U202)-1,4+((QUOTIENT(COLUMN(CK$2)-69,3))*5)+MOD(COLUMN(CK$2),3),1,1),"")</f>
        <v>0</v>
      </c>
      <c r="CL205">
        <f ca="1">IF($AN205="",OFFSET(Demand!$A$13,ROW(V202)-1,4+((QUOTIENT(COLUMN(CL$2)-69,3))*5)+MOD(COLUMN(CL$2),3),1,1),"")</f>
        <v>0</v>
      </c>
      <c r="CM205">
        <f ca="1">IF($AN205="",OFFSET(Demand!$A$13,ROW(W202)-1,4+((QUOTIENT(COLUMN(CM$2)-69,3))*5)+MOD(COLUMN(CM$2),3),1,1),"")</f>
        <v>0</v>
      </c>
      <c r="CN205">
        <f ca="1">IF($AN205="",OFFSET(Demand!$A$13,ROW(X202)-1,4+((QUOTIENT(COLUMN(CN$2)-69,3))*5)+MOD(COLUMN(CN$2),3),1,1),"")</f>
        <v>0</v>
      </c>
      <c r="CO205">
        <f ca="1">IF($AN205="",OFFSET(Demand!$A$13,ROW(Y202)-1,4+((QUOTIENT(COLUMN(CO$2)-69,3))*5)+MOD(COLUMN(CO$2),3),1,1),"")</f>
        <v>0</v>
      </c>
      <c r="CP205">
        <f ca="1">IF($AN205="",OFFSET(Demand!$A$13,ROW(Z202)-1,4+((QUOTIENT(COLUMN(CP$2)-69,3))*5)+MOD(COLUMN(CP$2),3),1,1),"")</f>
        <v>0</v>
      </c>
      <c r="CQ205">
        <f ca="1">IF($AN205="",OFFSET(Demand!$A$13,ROW(AA202)-1,4+((QUOTIENT(COLUMN(CQ$2)-69,3))*5)+MOD(COLUMN(CQ$2),3),1,1),"")</f>
        <v>0</v>
      </c>
      <c r="CR205">
        <f ca="1">IF($AN205="",OFFSET(Demand!$A$13,ROW(AB202)-1,4+((QUOTIENT(COLUMN(CR$2)-69,3))*5)+MOD(COLUMN(CR$2),3),1,1),"")</f>
        <v>0</v>
      </c>
      <c r="CS205">
        <f ca="1">IF($AN205="",OFFSET(Demand!$A$13,ROW(AC202)-1,4+((QUOTIENT(COLUMN(CS$2)-69,3))*5)+MOD(COLUMN(CS$2),3),1,1),"")</f>
        <v>0</v>
      </c>
      <c r="CT205">
        <f ca="1">IF($AN205="",OFFSET(Demand!$A$13,ROW(AD202)-1,4+((QUOTIENT(COLUMN(CT$2)-69,3))*5)+MOD(COLUMN(CT$2),3),1,1),"")</f>
        <v>0</v>
      </c>
      <c r="CW205" s="5">
        <f ca="1">SUM(OFFSET(Demand!$H$43,ROW(A202)-1,(COLUMN(A202)-1)*5,1,1))*N$2</f>
        <v>0</v>
      </c>
      <c r="CX205" s="5">
        <f ca="1">SUM(OFFSET(Demand!$H$43,ROW(B202)-1,(COLUMN(B202)-1)*5,1,1))*O$2</f>
        <v>0</v>
      </c>
      <c r="CY205" s="5">
        <f ca="1">SUM(OFFSET(Demand!$H$43,ROW(C202)-1,(COLUMN(C202)-1)*5,1,1))*P$2</f>
        <v>0</v>
      </c>
      <c r="CZ205" s="5">
        <f ca="1">SUM(OFFSET(Demand!$H$43,ROW(D202)-1,(COLUMN(D202)-1)*5,1,1))*Q$2</f>
        <v>0</v>
      </c>
      <c r="DA205" s="5">
        <f ca="1">SUM(OFFSET(Demand!$H$43,ROW(E202)-1,(COLUMN(E202)-1)*5,1,1))*R$2</f>
        <v>0</v>
      </c>
      <c r="DB205" s="5">
        <f ca="1">SUM(OFFSET(Demand!$H$43,ROW(F202)-1,(COLUMN(F202)-1)*5,1,1))*S$2</f>
        <v>0</v>
      </c>
      <c r="DC205" s="5">
        <f ca="1">SUM(OFFSET(Demand!$H$43,ROW(G202)-1,(COLUMN(G202)-1)*5,1,1))*T$2</f>
        <v>0</v>
      </c>
      <c r="DD205" s="5">
        <f ca="1">SUM(OFFSET(Demand!$H$43,ROW(H202)-1,(COLUMN(H202)-1)*5,1,1))*U$2</f>
        <v>0</v>
      </c>
      <c r="DE205" s="5">
        <f ca="1">SUM(OFFSET(Demand!$H$43,ROW(I202)-1,(COLUMN(I202)-1)*5,1,1))*V$2</f>
        <v>0</v>
      </c>
      <c r="DF205" s="5">
        <f ca="1">SUM(OFFSET(Demand!$H$43,ROW(J202)-1,(COLUMN(J202)-1)*5,1,1))*W$2</f>
        <v>0</v>
      </c>
      <c r="DG205" s="5">
        <f t="shared" ca="1" si="52"/>
        <v>0</v>
      </c>
    </row>
    <row r="206" spans="1:111" x14ac:dyDescent="0.2">
      <c r="A206" s="5">
        <f t="shared" ca="1" si="46"/>
        <v>2</v>
      </c>
      <c r="B206" s="5">
        <f ca="1">COUNTBLANK(OFFSET(Demand!$I215,0,(COLUMN(A203)-1)*5,1,1))</f>
        <v>1</v>
      </c>
      <c r="C206" s="5">
        <f ca="1">COUNTBLANK(OFFSET(Demand!$I215,0,(COLUMN(B203)-1)*5,1,1))</f>
        <v>1</v>
      </c>
      <c r="D206" s="5">
        <f ca="1">COUNTBLANK(OFFSET(Demand!$I215,0,(COLUMN(C203)-1)*5,1,1))</f>
        <v>1</v>
      </c>
      <c r="E206" s="5">
        <f ca="1">COUNTBLANK(OFFSET(Demand!$I215,0,(COLUMN(D203)-1)*5,1,1))</f>
        <v>1</v>
      </c>
      <c r="F206" s="5">
        <f ca="1">COUNTBLANK(OFFSET(Demand!$I215,0,(COLUMN(E203)-1)*5,1,1))</f>
        <v>1</v>
      </c>
      <c r="G206" s="5">
        <f ca="1">COUNTBLANK(OFFSET(Demand!$I215,0,(COLUMN(F203)-1)*5,1,1))</f>
        <v>1</v>
      </c>
      <c r="H206" s="5">
        <f ca="1">COUNTBLANK(OFFSET(Demand!$I215,0,(COLUMN(G203)-1)*5,1,1))</f>
        <v>1</v>
      </c>
      <c r="I206" s="5">
        <f ca="1">COUNTBLANK(OFFSET(Demand!$I215,0,(COLUMN(H203)-1)*5,1,1))</f>
        <v>1</v>
      </c>
      <c r="J206" s="5">
        <f ca="1">COUNTBLANK(OFFSET(Demand!$I215,0,(COLUMN(I203)-1)*5,1,1))</f>
        <v>1</v>
      </c>
      <c r="K206" s="5">
        <f ca="1">COUNTBLANK(OFFSET(Demand!$I215,0,(COLUMN(J203)-1)*5,1,1))</f>
        <v>1</v>
      </c>
      <c r="N206" s="5">
        <f ca="1">SUM(OFFSET(Demand!$E215,0,(COLUMN(A203)-1)*5,1,3))*N$2</f>
        <v>0</v>
      </c>
      <c r="O206" s="5">
        <f ca="1">SUM(OFFSET(Demand!$E215,0,(COLUMN(B203)-1)*5,1,3))*O$2</f>
        <v>0</v>
      </c>
      <c r="P206" s="5">
        <f ca="1">SUM(OFFSET(Demand!$E215,0,(COLUMN(C203)-1)*5,1,3))*P$2</f>
        <v>0</v>
      </c>
      <c r="Q206" s="5">
        <f ca="1">SUM(OFFSET(Demand!$E215,0,(COLUMN(D203)-1)*5,1,3))*Q$2</f>
        <v>0</v>
      </c>
      <c r="R206" s="5">
        <f ca="1">SUM(OFFSET(Demand!$E215,0,(COLUMN(E203)-1)*5,1,3))*R$2</f>
        <v>0</v>
      </c>
      <c r="S206" s="5">
        <f ca="1">SUM(OFFSET(Demand!$E215,0,(COLUMN(F203)-1)*5,1,3))*S$2</f>
        <v>0</v>
      </c>
      <c r="T206" s="5">
        <f ca="1">SUM(OFFSET(Demand!$E215,0,(COLUMN(G203)-1)*5,1,3))*T$2</f>
        <v>0</v>
      </c>
      <c r="U206" s="5">
        <f ca="1">SUM(OFFSET(Demand!$E215,0,(COLUMN(H203)-1)*5,1,3))*U$2</f>
        <v>0</v>
      </c>
      <c r="V206" s="5">
        <f ca="1">SUM(OFFSET(Demand!$E215,0,(COLUMN(I203)-1)*5,1,3))*V$2</f>
        <v>0</v>
      </c>
      <c r="W206" s="5">
        <f ca="1">SUM(OFFSET(Demand!$E215,0,(COLUMN(J203)-1)*5,1,3))*W$2</f>
        <v>0</v>
      </c>
      <c r="X206" s="5">
        <f t="shared" ca="1" si="47"/>
        <v>0</v>
      </c>
      <c r="Y206">
        <f t="shared" ca="1" si="48"/>
        <v>0</v>
      </c>
      <c r="Z206" s="5">
        <f ca="1">SUM(OFFSET(Demand!$H215,0,(COLUMN(A203)-1)*5,1,1))*N$2</f>
        <v>0</v>
      </c>
      <c r="AA206" s="5">
        <f ca="1">SUM(OFFSET(Demand!$H215,0,(COLUMN(B203)-1)*5,1,1))*O$2</f>
        <v>0</v>
      </c>
      <c r="AB206" s="5">
        <f ca="1">SUM(OFFSET(Demand!$H215,0,(COLUMN(C203)-1)*5,1,1))*P$2</f>
        <v>0</v>
      </c>
      <c r="AC206" s="5">
        <f ca="1">SUM(OFFSET(Demand!$H215,0,(COLUMN(D203)-1)*5,1,1))*Q$2</f>
        <v>0</v>
      </c>
      <c r="AD206" s="5">
        <f ca="1">SUM(OFFSET(Demand!$H215,0,(COLUMN(E203)-1)*5,1,1))*R$2</f>
        <v>0</v>
      </c>
      <c r="AE206" s="5">
        <f ca="1">SUM(OFFSET(Demand!$H215,0,(COLUMN(F203)-1)*5,1,1))*S$2</f>
        <v>0</v>
      </c>
      <c r="AF206" s="5">
        <f ca="1">SUM(OFFSET(Demand!$H215,0,(COLUMN(G203)-1)*5,1,1))*T$2</f>
        <v>0</v>
      </c>
      <c r="AG206" s="5">
        <f ca="1">SUM(OFFSET(Demand!$H215,0,(COLUMN(H203)-1)*5,1,1))*U$2</f>
        <v>0</v>
      </c>
      <c r="AH206" s="5">
        <f ca="1">SUM(OFFSET(Demand!$H215,0,(COLUMN(I203)-1)*5,1,1))*V$2</f>
        <v>0</v>
      </c>
      <c r="AI206" s="5">
        <f ca="1">SUM(OFFSET(Demand!$H215,0,(COLUMN(J203)-1)*5,1,1))*W$2</f>
        <v>0</v>
      </c>
      <c r="AJ206" s="5">
        <f t="shared" ca="1" si="49"/>
        <v>0</v>
      </c>
      <c r="AL206" s="5">
        <f t="shared" ca="1" si="50"/>
        <v>0</v>
      </c>
      <c r="AM206" s="5">
        <f t="shared" ca="1" si="51"/>
        <v>0</v>
      </c>
      <c r="AN206" s="5" t="str">
        <f>IF(Demand!BE215="Yes","Yes","")</f>
        <v/>
      </c>
      <c r="AP206" s="37" t="str">
        <f ca="1">Demand!B215</f>
        <v xml:space="preserve"> </v>
      </c>
      <c r="AQ206" t="str">
        <f ca="1">IF(TEXT(Demand!D215,"MMM")&lt;&gt;TEXT(Demand!D214,"MMM"),TEXT(Demand!D215,"MMM"),"")</f>
        <v/>
      </c>
      <c r="AT206" s="5">
        <f t="shared" ca="1" si="53"/>
        <v>0</v>
      </c>
      <c r="BQ206">
        <f ca="1">IF($AN206="",OFFSET(Demand!$A$13,ROW(A203)-1,4+((QUOTIENT(COLUMN(BQ$2)-69,3))*5)+MOD(COLUMN(BQ$2),3),1,1),"")</f>
        <v>0</v>
      </c>
      <c r="BR206">
        <f ca="1">IF($AN206="",OFFSET(Demand!$A$13,ROW(B203)-1,4+((QUOTIENT(COLUMN(BR$2)-69,3))*5)+MOD(COLUMN(BR$2),3),1,1),"")</f>
        <v>0</v>
      </c>
      <c r="BS206">
        <f ca="1">IF($AN206="",OFFSET(Demand!$A$13,ROW(C203)-1,4+((QUOTIENT(COLUMN(BS$2)-69,3))*5)+MOD(COLUMN(BS$2),3),1,1),"")</f>
        <v>0</v>
      </c>
      <c r="BT206">
        <f ca="1">IF($AN206="",OFFSET(Demand!$A$13,ROW(D203)-1,4+((QUOTIENT(COLUMN(BT$2)-69,3))*5)+MOD(COLUMN(BT$2),3),1,1),"")</f>
        <v>0</v>
      </c>
      <c r="BU206">
        <f ca="1">IF($AN206="",OFFSET(Demand!$A$13,ROW(E203)-1,4+((QUOTIENT(COLUMN(BU$2)-69,3))*5)+MOD(COLUMN(BU$2),3),1,1),"")</f>
        <v>0</v>
      </c>
      <c r="BV206">
        <f ca="1">IF($AN206="",OFFSET(Demand!$A$13,ROW(F203)-1,4+((QUOTIENT(COLUMN(BV$2)-69,3))*5)+MOD(COLUMN(BV$2),3),1,1),"")</f>
        <v>0</v>
      </c>
      <c r="BW206">
        <f ca="1">IF($AN206="",OFFSET(Demand!$A$13,ROW(G203)-1,4+((QUOTIENT(COLUMN(BW$2)-69,3))*5)+MOD(COLUMN(BW$2),3),1,1),"")</f>
        <v>0</v>
      </c>
      <c r="BX206">
        <f ca="1">IF($AN206="",OFFSET(Demand!$A$13,ROW(H203)-1,4+((QUOTIENT(COLUMN(BX$2)-69,3))*5)+MOD(COLUMN(BX$2),3),1,1),"")</f>
        <v>0</v>
      </c>
      <c r="BY206">
        <f ca="1">IF($AN206="",OFFSET(Demand!$A$13,ROW(I203)-1,4+((QUOTIENT(COLUMN(BY$2)-69,3))*5)+MOD(COLUMN(BY$2),3),1,1),"")</f>
        <v>0</v>
      </c>
      <c r="BZ206">
        <f ca="1">IF($AN206="",OFFSET(Demand!$A$13,ROW(J203)-1,4+((QUOTIENT(COLUMN(BZ$2)-69,3))*5)+MOD(COLUMN(BZ$2),3),1,1),"")</f>
        <v>0</v>
      </c>
      <c r="CA206">
        <f ca="1">IF($AN206="",OFFSET(Demand!$A$13,ROW(K203)-1,4+((QUOTIENT(COLUMN(CA$2)-69,3))*5)+MOD(COLUMN(CA$2),3),1,1),"")</f>
        <v>0</v>
      </c>
      <c r="CB206">
        <f ca="1">IF($AN206="",OFFSET(Demand!$A$13,ROW(L203)-1,4+((QUOTIENT(COLUMN(CB$2)-69,3))*5)+MOD(COLUMN(CB$2),3),1,1),"")</f>
        <v>0</v>
      </c>
      <c r="CC206">
        <f ca="1">IF($AN206="",OFFSET(Demand!$A$13,ROW(M203)-1,4+((QUOTIENT(COLUMN(CC$2)-69,3))*5)+MOD(COLUMN(CC$2),3),1,1),"")</f>
        <v>0</v>
      </c>
      <c r="CD206">
        <f ca="1">IF($AN206="",OFFSET(Demand!$A$13,ROW(N203)-1,4+((QUOTIENT(COLUMN(CD$2)-69,3))*5)+MOD(COLUMN(CD$2),3),1,1),"")</f>
        <v>0</v>
      </c>
      <c r="CE206">
        <f ca="1">IF($AN206="",OFFSET(Demand!$A$13,ROW(O203)-1,4+((QUOTIENT(COLUMN(CE$2)-69,3))*5)+MOD(COLUMN(CE$2),3),1,1),"")</f>
        <v>0</v>
      </c>
      <c r="CF206">
        <f ca="1">IF($AN206="",OFFSET(Demand!$A$13,ROW(P203)-1,4+((QUOTIENT(COLUMN(CF$2)-69,3))*5)+MOD(COLUMN(CF$2),3),1,1),"")</f>
        <v>0</v>
      </c>
      <c r="CG206">
        <f ca="1">IF($AN206="",OFFSET(Demand!$A$13,ROW(Q203)-1,4+((QUOTIENT(COLUMN(CG$2)-69,3))*5)+MOD(COLUMN(CG$2),3),1,1),"")</f>
        <v>0</v>
      </c>
      <c r="CH206">
        <f ca="1">IF($AN206="",OFFSET(Demand!$A$13,ROW(R203)-1,4+((QUOTIENT(COLUMN(CH$2)-69,3))*5)+MOD(COLUMN(CH$2),3),1,1),"")</f>
        <v>0</v>
      </c>
      <c r="CI206">
        <f ca="1">IF($AN206="",OFFSET(Demand!$A$13,ROW(S203)-1,4+((QUOTIENT(COLUMN(CI$2)-69,3))*5)+MOD(COLUMN(CI$2),3),1,1),"")</f>
        <v>0</v>
      </c>
      <c r="CJ206">
        <f ca="1">IF($AN206="",OFFSET(Demand!$A$13,ROW(T203)-1,4+((QUOTIENT(COLUMN(CJ$2)-69,3))*5)+MOD(COLUMN(CJ$2),3),1,1),"")</f>
        <v>0</v>
      </c>
      <c r="CK206">
        <f ca="1">IF($AN206="",OFFSET(Demand!$A$13,ROW(U203)-1,4+((QUOTIENT(COLUMN(CK$2)-69,3))*5)+MOD(COLUMN(CK$2),3),1,1),"")</f>
        <v>0</v>
      </c>
      <c r="CL206">
        <f ca="1">IF($AN206="",OFFSET(Demand!$A$13,ROW(V203)-1,4+((QUOTIENT(COLUMN(CL$2)-69,3))*5)+MOD(COLUMN(CL$2),3),1,1),"")</f>
        <v>0</v>
      </c>
      <c r="CM206">
        <f ca="1">IF($AN206="",OFFSET(Demand!$A$13,ROW(W203)-1,4+((QUOTIENT(COLUMN(CM$2)-69,3))*5)+MOD(COLUMN(CM$2),3),1,1),"")</f>
        <v>0</v>
      </c>
      <c r="CN206">
        <f ca="1">IF($AN206="",OFFSET(Demand!$A$13,ROW(X203)-1,4+((QUOTIENT(COLUMN(CN$2)-69,3))*5)+MOD(COLUMN(CN$2),3),1,1),"")</f>
        <v>0</v>
      </c>
      <c r="CO206">
        <f ca="1">IF($AN206="",OFFSET(Demand!$A$13,ROW(Y203)-1,4+((QUOTIENT(COLUMN(CO$2)-69,3))*5)+MOD(COLUMN(CO$2),3),1,1),"")</f>
        <v>0</v>
      </c>
      <c r="CP206">
        <f ca="1">IF($AN206="",OFFSET(Demand!$A$13,ROW(Z203)-1,4+((QUOTIENT(COLUMN(CP$2)-69,3))*5)+MOD(COLUMN(CP$2),3),1,1),"")</f>
        <v>0</v>
      </c>
      <c r="CQ206">
        <f ca="1">IF($AN206="",OFFSET(Demand!$A$13,ROW(AA203)-1,4+((QUOTIENT(COLUMN(CQ$2)-69,3))*5)+MOD(COLUMN(CQ$2),3),1,1),"")</f>
        <v>0</v>
      </c>
      <c r="CR206">
        <f ca="1">IF($AN206="",OFFSET(Demand!$A$13,ROW(AB203)-1,4+((QUOTIENT(COLUMN(CR$2)-69,3))*5)+MOD(COLUMN(CR$2),3),1,1),"")</f>
        <v>0</v>
      </c>
      <c r="CS206">
        <f ca="1">IF($AN206="",OFFSET(Demand!$A$13,ROW(AC203)-1,4+((QUOTIENT(COLUMN(CS$2)-69,3))*5)+MOD(COLUMN(CS$2),3),1,1),"")</f>
        <v>0</v>
      </c>
      <c r="CT206">
        <f ca="1">IF($AN206="",OFFSET(Demand!$A$13,ROW(AD203)-1,4+((QUOTIENT(COLUMN(CT$2)-69,3))*5)+MOD(COLUMN(CT$2),3),1,1),"")</f>
        <v>0</v>
      </c>
      <c r="CW206" s="5">
        <f ca="1">SUM(OFFSET(Demand!$H$43,ROW(A203)-1,(COLUMN(A203)-1)*5,1,1))*N$2</f>
        <v>0</v>
      </c>
      <c r="CX206" s="5">
        <f ca="1">SUM(OFFSET(Demand!$H$43,ROW(B203)-1,(COLUMN(B203)-1)*5,1,1))*O$2</f>
        <v>0</v>
      </c>
      <c r="CY206" s="5">
        <f ca="1">SUM(OFFSET(Demand!$H$43,ROW(C203)-1,(COLUMN(C203)-1)*5,1,1))*P$2</f>
        <v>0</v>
      </c>
      <c r="CZ206" s="5">
        <f ca="1">SUM(OFFSET(Demand!$H$43,ROW(D203)-1,(COLUMN(D203)-1)*5,1,1))*Q$2</f>
        <v>0</v>
      </c>
      <c r="DA206" s="5">
        <f ca="1">SUM(OFFSET(Demand!$H$43,ROW(E203)-1,(COLUMN(E203)-1)*5,1,1))*R$2</f>
        <v>0</v>
      </c>
      <c r="DB206" s="5">
        <f ca="1">SUM(OFFSET(Demand!$H$43,ROW(F203)-1,(COLUMN(F203)-1)*5,1,1))*S$2</f>
        <v>0</v>
      </c>
      <c r="DC206" s="5">
        <f ca="1">SUM(OFFSET(Demand!$H$43,ROW(G203)-1,(COLUMN(G203)-1)*5,1,1))*T$2</f>
        <v>0</v>
      </c>
      <c r="DD206" s="5">
        <f ca="1">SUM(OFFSET(Demand!$H$43,ROW(H203)-1,(COLUMN(H203)-1)*5,1,1))*U$2</f>
        <v>0</v>
      </c>
      <c r="DE206" s="5">
        <f ca="1">SUM(OFFSET(Demand!$H$43,ROW(I203)-1,(COLUMN(I203)-1)*5,1,1))*V$2</f>
        <v>0</v>
      </c>
      <c r="DF206" s="5">
        <f ca="1">SUM(OFFSET(Demand!$H$43,ROW(J203)-1,(COLUMN(J203)-1)*5,1,1))*W$2</f>
        <v>0</v>
      </c>
      <c r="DG206" s="5">
        <f t="shared" ca="1" si="52"/>
        <v>0</v>
      </c>
    </row>
    <row r="207" spans="1:111" x14ac:dyDescent="0.2">
      <c r="A207" s="5">
        <f t="shared" ca="1" si="46"/>
        <v>2</v>
      </c>
      <c r="B207" s="5">
        <f ca="1">COUNTBLANK(OFFSET(Demand!$I216,0,(COLUMN(A204)-1)*5,1,1))</f>
        <v>1</v>
      </c>
      <c r="C207" s="5">
        <f ca="1">COUNTBLANK(OFFSET(Demand!$I216,0,(COLUMN(B204)-1)*5,1,1))</f>
        <v>1</v>
      </c>
      <c r="D207" s="5">
        <f ca="1">COUNTBLANK(OFFSET(Demand!$I216,0,(COLUMN(C204)-1)*5,1,1))</f>
        <v>1</v>
      </c>
      <c r="E207" s="5">
        <f ca="1">COUNTBLANK(OFFSET(Demand!$I216,0,(COLUMN(D204)-1)*5,1,1))</f>
        <v>1</v>
      </c>
      <c r="F207" s="5">
        <f ca="1">COUNTBLANK(OFFSET(Demand!$I216,0,(COLUMN(E204)-1)*5,1,1))</f>
        <v>1</v>
      </c>
      <c r="G207" s="5">
        <f ca="1">COUNTBLANK(OFFSET(Demand!$I216,0,(COLUMN(F204)-1)*5,1,1))</f>
        <v>1</v>
      </c>
      <c r="H207" s="5">
        <f ca="1">COUNTBLANK(OFFSET(Demand!$I216,0,(COLUMN(G204)-1)*5,1,1))</f>
        <v>1</v>
      </c>
      <c r="I207" s="5">
        <f ca="1">COUNTBLANK(OFFSET(Demand!$I216,0,(COLUMN(H204)-1)*5,1,1))</f>
        <v>1</v>
      </c>
      <c r="J207" s="5">
        <f ca="1">COUNTBLANK(OFFSET(Demand!$I216,0,(COLUMN(I204)-1)*5,1,1))</f>
        <v>1</v>
      </c>
      <c r="K207" s="5">
        <f ca="1">COUNTBLANK(OFFSET(Demand!$I216,0,(COLUMN(J204)-1)*5,1,1))</f>
        <v>1</v>
      </c>
      <c r="N207" s="5">
        <f ca="1">SUM(OFFSET(Demand!$E216,0,(COLUMN(A204)-1)*5,1,3))*N$2</f>
        <v>0</v>
      </c>
      <c r="O207" s="5">
        <f ca="1">SUM(OFFSET(Demand!$E216,0,(COLUMN(B204)-1)*5,1,3))*O$2</f>
        <v>0</v>
      </c>
      <c r="P207" s="5">
        <f ca="1">SUM(OFFSET(Demand!$E216,0,(COLUMN(C204)-1)*5,1,3))*P$2</f>
        <v>0</v>
      </c>
      <c r="Q207" s="5">
        <f ca="1">SUM(OFFSET(Demand!$E216,0,(COLUMN(D204)-1)*5,1,3))*Q$2</f>
        <v>0</v>
      </c>
      <c r="R207" s="5">
        <f ca="1">SUM(OFFSET(Demand!$E216,0,(COLUMN(E204)-1)*5,1,3))*R$2</f>
        <v>0</v>
      </c>
      <c r="S207" s="5">
        <f ca="1">SUM(OFFSET(Demand!$E216,0,(COLUMN(F204)-1)*5,1,3))*S$2</f>
        <v>0</v>
      </c>
      <c r="T207" s="5">
        <f ca="1">SUM(OFFSET(Demand!$E216,0,(COLUMN(G204)-1)*5,1,3))*T$2</f>
        <v>0</v>
      </c>
      <c r="U207" s="5">
        <f ca="1">SUM(OFFSET(Demand!$E216,0,(COLUMN(H204)-1)*5,1,3))*U$2</f>
        <v>0</v>
      </c>
      <c r="V207" s="5">
        <f ca="1">SUM(OFFSET(Demand!$E216,0,(COLUMN(I204)-1)*5,1,3))*V$2</f>
        <v>0</v>
      </c>
      <c r="W207" s="5">
        <f ca="1">SUM(OFFSET(Demand!$E216,0,(COLUMN(J204)-1)*5,1,3))*W$2</f>
        <v>0</v>
      </c>
      <c r="X207" s="5">
        <f t="shared" ca="1" si="47"/>
        <v>0</v>
      </c>
      <c r="Y207">
        <f t="shared" ca="1" si="48"/>
        <v>0</v>
      </c>
      <c r="Z207" s="5">
        <f ca="1">SUM(OFFSET(Demand!$H216,0,(COLUMN(A204)-1)*5,1,1))*N$2</f>
        <v>0</v>
      </c>
      <c r="AA207" s="5">
        <f ca="1">SUM(OFFSET(Demand!$H216,0,(COLUMN(B204)-1)*5,1,1))*O$2</f>
        <v>0</v>
      </c>
      <c r="AB207" s="5">
        <f ca="1">SUM(OFFSET(Demand!$H216,0,(COLUMN(C204)-1)*5,1,1))*P$2</f>
        <v>0</v>
      </c>
      <c r="AC207" s="5">
        <f ca="1">SUM(OFFSET(Demand!$H216,0,(COLUMN(D204)-1)*5,1,1))*Q$2</f>
        <v>0</v>
      </c>
      <c r="AD207" s="5">
        <f ca="1">SUM(OFFSET(Demand!$H216,0,(COLUMN(E204)-1)*5,1,1))*R$2</f>
        <v>0</v>
      </c>
      <c r="AE207" s="5">
        <f ca="1">SUM(OFFSET(Demand!$H216,0,(COLUMN(F204)-1)*5,1,1))*S$2</f>
        <v>0</v>
      </c>
      <c r="AF207" s="5">
        <f ca="1">SUM(OFFSET(Demand!$H216,0,(COLUMN(G204)-1)*5,1,1))*T$2</f>
        <v>0</v>
      </c>
      <c r="AG207" s="5">
        <f ca="1">SUM(OFFSET(Demand!$H216,0,(COLUMN(H204)-1)*5,1,1))*U$2</f>
        <v>0</v>
      </c>
      <c r="AH207" s="5">
        <f ca="1">SUM(OFFSET(Demand!$H216,0,(COLUMN(I204)-1)*5,1,1))*V$2</f>
        <v>0</v>
      </c>
      <c r="AI207" s="5">
        <f ca="1">SUM(OFFSET(Demand!$H216,0,(COLUMN(J204)-1)*5,1,1))*W$2</f>
        <v>0</v>
      </c>
      <c r="AJ207" s="5">
        <f t="shared" ca="1" si="49"/>
        <v>0</v>
      </c>
      <c r="AL207" s="5">
        <f t="shared" ca="1" si="50"/>
        <v>0</v>
      </c>
      <c r="AM207" s="5">
        <f t="shared" ca="1" si="51"/>
        <v>0</v>
      </c>
      <c r="AN207" s="5" t="str">
        <f>IF(Demand!BE216="Yes","Yes","")</f>
        <v/>
      </c>
      <c r="AP207" s="37" t="str">
        <f ca="1">Demand!B216</f>
        <v xml:space="preserve"> </v>
      </c>
      <c r="AQ207" t="str">
        <f ca="1">IF(TEXT(Demand!D216,"MMM")&lt;&gt;TEXT(Demand!D215,"MMM"),TEXT(Demand!D216,"MMM"),"")</f>
        <v/>
      </c>
      <c r="AT207" s="5">
        <f t="shared" ca="1" si="53"/>
        <v>0</v>
      </c>
      <c r="BQ207">
        <f ca="1">IF($AN207="",OFFSET(Demand!$A$13,ROW(A204)-1,4+((QUOTIENT(COLUMN(BQ$2)-69,3))*5)+MOD(COLUMN(BQ$2),3),1,1),"")</f>
        <v>0</v>
      </c>
      <c r="BR207">
        <f ca="1">IF($AN207="",OFFSET(Demand!$A$13,ROW(B204)-1,4+((QUOTIENT(COLUMN(BR$2)-69,3))*5)+MOD(COLUMN(BR$2),3),1,1),"")</f>
        <v>0</v>
      </c>
      <c r="BS207">
        <f ca="1">IF($AN207="",OFFSET(Demand!$A$13,ROW(C204)-1,4+((QUOTIENT(COLUMN(BS$2)-69,3))*5)+MOD(COLUMN(BS$2),3),1,1),"")</f>
        <v>0</v>
      </c>
      <c r="BT207">
        <f ca="1">IF($AN207="",OFFSET(Demand!$A$13,ROW(D204)-1,4+((QUOTIENT(COLUMN(BT$2)-69,3))*5)+MOD(COLUMN(BT$2),3),1,1),"")</f>
        <v>0</v>
      </c>
      <c r="BU207">
        <f ca="1">IF($AN207="",OFFSET(Demand!$A$13,ROW(E204)-1,4+((QUOTIENT(COLUMN(BU$2)-69,3))*5)+MOD(COLUMN(BU$2),3),1,1),"")</f>
        <v>0</v>
      </c>
      <c r="BV207">
        <f ca="1">IF($AN207="",OFFSET(Demand!$A$13,ROW(F204)-1,4+((QUOTIENT(COLUMN(BV$2)-69,3))*5)+MOD(COLUMN(BV$2),3),1,1),"")</f>
        <v>0</v>
      </c>
      <c r="BW207">
        <f ca="1">IF($AN207="",OFFSET(Demand!$A$13,ROW(G204)-1,4+((QUOTIENT(COLUMN(BW$2)-69,3))*5)+MOD(COLUMN(BW$2),3),1,1),"")</f>
        <v>0</v>
      </c>
      <c r="BX207">
        <f ca="1">IF($AN207="",OFFSET(Demand!$A$13,ROW(H204)-1,4+((QUOTIENT(COLUMN(BX$2)-69,3))*5)+MOD(COLUMN(BX$2),3),1,1),"")</f>
        <v>0</v>
      </c>
      <c r="BY207">
        <f ca="1">IF($AN207="",OFFSET(Demand!$A$13,ROW(I204)-1,4+((QUOTIENT(COLUMN(BY$2)-69,3))*5)+MOD(COLUMN(BY$2),3),1,1),"")</f>
        <v>0</v>
      </c>
      <c r="BZ207">
        <f ca="1">IF($AN207="",OFFSET(Demand!$A$13,ROW(J204)-1,4+((QUOTIENT(COLUMN(BZ$2)-69,3))*5)+MOD(COLUMN(BZ$2),3),1,1),"")</f>
        <v>0</v>
      </c>
      <c r="CA207">
        <f ca="1">IF($AN207="",OFFSET(Demand!$A$13,ROW(K204)-1,4+((QUOTIENT(COLUMN(CA$2)-69,3))*5)+MOD(COLUMN(CA$2),3),1,1),"")</f>
        <v>0</v>
      </c>
      <c r="CB207">
        <f ca="1">IF($AN207="",OFFSET(Demand!$A$13,ROW(L204)-1,4+((QUOTIENT(COLUMN(CB$2)-69,3))*5)+MOD(COLUMN(CB$2),3),1,1),"")</f>
        <v>0</v>
      </c>
      <c r="CC207">
        <f ca="1">IF($AN207="",OFFSET(Demand!$A$13,ROW(M204)-1,4+((QUOTIENT(COLUMN(CC$2)-69,3))*5)+MOD(COLUMN(CC$2),3),1,1),"")</f>
        <v>0</v>
      </c>
      <c r="CD207">
        <f ca="1">IF($AN207="",OFFSET(Demand!$A$13,ROW(N204)-1,4+((QUOTIENT(COLUMN(CD$2)-69,3))*5)+MOD(COLUMN(CD$2),3),1,1),"")</f>
        <v>0</v>
      </c>
      <c r="CE207">
        <f ca="1">IF($AN207="",OFFSET(Demand!$A$13,ROW(O204)-1,4+((QUOTIENT(COLUMN(CE$2)-69,3))*5)+MOD(COLUMN(CE$2),3),1,1),"")</f>
        <v>0</v>
      </c>
      <c r="CF207">
        <f ca="1">IF($AN207="",OFFSET(Demand!$A$13,ROW(P204)-1,4+((QUOTIENT(COLUMN(CF$2)-69,3))*5)+MOD(COLUMN(CF$2),3),1,1),"")</f>
        <v>0</v>
      </c>
      <c r="CG207">
        <f ca="1">IF($AN207="",OFFSET(Demand!$A$13,ROW(Q204)-1,4+((QUOTIENT(COLUMN(CG$2)-69,3))*5)+MOD(COLUMN(CG$2),3),1,1),"")</f>
        <v>0</v>
      </c>
      <c r="CH207">
        <f ca="1">IF($AN207="",OFFSET(Demand!$A$13,ROW(R204)-1,4+((QUOTIENT(COLUMN(CH$2)-69,3))*5)+MOD(COLUMN(CH$2),3),1,1),"")</f>
        <v>0</v>
      </c>
      <c r="CI207">
        <f ca="1">IF($AN207="",OFFSET(Demand!$A$13,ROW(S204)-1,4+((QUOTIENT(COLUMN(CI$2)-69,3))*5)+MOD(COLUMN(CI$2),3),1,1),"")</f>
        <v>0</v>
      </c>
      <c r="CJ207">
        <f ca="1">IF($AN207="",OFFSET(Demand!$A$13,ROW(T204)-1,4+((QUOTIENT(COLUMN(CJ$2)-69,3))*5)+MOD(COLUMN(CJ$2),3),1,1),"")</f>
        <v>0</v>
      </c>
      <c r="CK207">
        <f ca="1">IF($AN207="",OFFSET(Demand!$A$13,ROW(U204)-1,4+((QUOTIENT(COLUMN(CK$2)-69,3))*5)+MOD(COLUMN(CK$2),3),1,1),"")</f>
        <v>0</v>
      </c>
      <c r="CL207">
        <f ca="1">IF($AN207="",OFFSET(Demand!$A$13,ROW(V204)-1,4+((QUOTIENT(COLUMN(CL$2)-69,3))*5)+MOD(COLUMN(CL$2),3),1,1),"")</f>
        <v>0</v>
      </c>
      <c r="CM207">
        <f ca="1">IF($AN207="",OFFSET(Demand!$A$13,ROW(W204)-1,4+((QUOTIENT(COLUMN(CM$2)-69,3))*5)+MOD(COLUMN(CM$2),3),1,1),"")</f>
        <v>0</v>
      </c>
      <c r="CN207">
        <f ca="1">IF($AN207="",OFFSET(Demand!$A$13,ROW(X204)-1,4+((QUOTIENT(COLUMN(CN$2)-69,3))*5)+MOD(COLUMN(CN$2),3),1,1),"")</f>
        <v>0</v>
      </c>
      <c r="CO207">
        <f ca="1">IF($AN207="",OFFSET(Demand!$A$13,ROW(Y204)-1,4+((QUOTIENT(COLUMN(CO$2)-69,3))*5)+MOD(COLUMN(CO$2),3),1,1),"")</f>
        <v>0</v>
      </c>
      <c r="CP207">
        <f ca="1">IF($AN207="",OFFSET(Demand!$A$13,ROW(Z204)-1,4+((QUOTIENT(COLUMN(CP$2)-69,3))*5)+MOD(COLUMN(CP$2),3),1,1),"")</f>
        <v>0</v>
      </c>
      <c r="CQ207">
        <f ca="1">IF($AN207="",OFFSET(Demand!$A$13,ROW(AA204)-1,4+((QUOTIENT(COLUMN(CQ$2)-69,3))*5)+MOD(COLUMN(CQ$2),3),1,1),"")</f>
        <v>0</v>
      </c>
      <c r="CR207">
        <f ca="1">IF($AN207="",OFFSET(Demand!$A$13,ROW(AB204)-1,4+((QUOTIENT(COLUMN(CR$2)-69,3))*5)+MOD(COLUMN(CR$2),3),1,1),"")</f>
        <v>0</v>
      </c>
      <c r="CS207">
        <f ca="1">IF($AN207="",OFFSET(Demand!$A$13,ROW(AC204)-1,4+((QUOTIENT(COLUMN(CS$2)-69,3))*5)+MOD(COLUMN(CS$2),3),1,1),"")</f>
        <v>0</v>
      </c>
      <c r="CT207">
        <f ca="1">IF($AN207="",OFFSET(Demand!$A$13,ROW(AD204)-1,4+((QUOTIENT(COLUMN(CT$2)-69,3))*5)+MOD(COLUMN(CT$2),3),1,1),"")</f>
        <v>0</v>
      </c>
      <c r="CW207" s="5">
        <f ca="1">SUM(OFFSET(Demand!$H$43,ROW(A204)-1,(COLUMN(A204)-1)*5,1,1))*N$2</f>
        <v>0</v>
      </c>
      <c r="CX207" s="5">
        <f ca="1">SUM(OFFSET(Demand!$H$43,ROW(B204)-1,(COLUMN(B204)-1)*5,1,1))*O$2</f>
        <v>0</v>
      </c>
      <c r="CY207" s="5">
        <f ca="1">SUM(OFFSET(Demand!$H$43,ROW(C204)-1,(COLUMN(C204)-1)*5,1,1))*P$2</f>
        <v>0</v>
      </c>
      <c r="CZ207" s="5">
        <f ca="1">SUM(OFFSET(Demand!$H$43,ROW(D204)-1,(COLUMN(D204)-1)*5,1,1))*Q$2</f>
        <v>0</v>
      </c>
      <c r="DA207" s="5">
        <f ca="1">SUM(OFFSET(Demand!$H$43,ROW(E204)-1,(COLUMN(E204)-1)*5,1,1))*R$2</f>
        <v>0</v>
      </c>
      <c r="DB207" s="5">
        <f ca="1">SUM(OFFSET(Demand!$H$43,ROW(F204)-1,(COLUMN(F204)-1)*5,1,1))*S$2</f>
        <v>0</v>
      </c>
      <c r="DC207" s="5">
        <f ca="1">SUM(OFFSET(Demand!$H$43,ROW(G204)-1,(COLUMN(G204)-1)*5,1,1))*T$2</f>
        <v>0</v>
      </c>
      <c r="DD207" s="5">
        <f ca="1">SUM(OFFSET(Demand!$H$43,ROW(H204)-1,(COLUMN(H204)-1)*5,1,1))*U$2</f>
        <v>0</v>
      </c>
      <c r="DE207" s="5">
        <f ca="1">SUM(OFFSET(Demand!$H$43,ROW(I204)-1,(COLUMN(I204)-1)*5,1,1))*V$2</f>
        <v>0</v>
      </c>
      <c r="DF207" s="5">
        <f ca="1">SUM(OFFSET(Demand!$H$43,ROW(J204)-1,(COLUMN(J204)-1)*5,1,1))*W$2</f>
        <v>0</v>
      </c>
      <c r="DG207" s="5">
        <f t="shared" ca="1" si="52"/>
        <v>0</v>
      </c>
    </row>
    <row r="208" spans="1:111" x14ac:dyDescent="0.2">
      <c r="A208" s="5">
        <f t="shared" ca="1" si="46"/>
        <v>2</v>
      </c>
      <c r="B208" s="5">
        <f ca="1">COUNTBLANK(OFFSET(Demand!$I217,0,(COLUMN(A205)-1)*5,1,1))</f>
        <v>1</v>
      </c>
      <c r="C208" s="5">
        <f ca="1">COUNTBLANK(OFFSET(Demand!$I217,0,(COLUMN(B205)-1)*5,1,1))</f>
        <v>1</v>
      </c>
      <c r="D208" s="5">
        <f ca="1">COUNTBLANK(OFFSET(Demand!$I217,0,(COLUMN(C205)-1)*5,1,1))</f>
        <v>1</v>
      </c>
      <c r="E208" s="5">
        <f ca="1">COUNTBLANK(OFFSET(Demand!$I217,0,(COLUMN(D205)-1)*5,1,1))</f>
        <v>1</v>
      </c>
      <c r="F208" s="5">
        <f ca="1">COUNTBLANK(OFFSET(Demand!$I217,0,(COLUMN(E205)-1)*5,1,1))</f>
        <v>1</v>
      </c>
      <c r="G208" s="5">
        <f ca="1">COUNTBLANK(OFFSET(Demand!$I217,0,(COLUMN(F205)-1)*5,1,1))</f>
        <v>1</v>
      </c>
      <c r="H208" s="5">
        <f ca="1">COUNTBLANK(OFFSET(Demand!$I217,0,(COLUMN(G205)-1)*5,1,1))</f>
        <v>1</v>
      </c>
      <c r="I208" s="5">
        <f ca="1">COUNTBLANK(OFFSET(Demand!$I217,0,(COLUMN(H205)-1)*5,1,1))</f>
        <v>1</v>
      </c>
      <c r="J208" s="5">
        <f ca="1">COUNTBLANK(OFFSET(Demand!$I217,0,(COLUMN(I205)-1)*5,1,1))</f>
        <v>1</v>
      </c>
      <c r="K208" s="5">
        <f ca="1">COUNTBLANK(OFFSET(Demand!$I217,0,(COLUMN(J205)-1)*5,1,1))</f>
        <v>1</v>
      </c>
      <c r="N208" s="5">
        <f ca="1">SUM(OFFSET(Demand!$E217,0,(COLUMN(A205)-1)*5,1,3))*N$2</f>
        <v>0</v>
      </c>
      <c r="O208" s="5">
        <f ca="1">SUM(OFFSET(Demand!$E217,0,(COLUMN(B205)-1)*5,1,3))*O$2</f>
        <v>0</v>
      </c>
      <c r="P208" s="5">
        <f ca="1">SUM(OFFSET(Demand!$E217,0,(COLUMN(C205)-1)*5,1,3))*P$2</f>
        <v>0</v>
      </c>
      <c r="Q208" s="5">
        <f ca="1">SUM(OFFSET(Demand!$E217,0,(COLUMN(D205)-1)*5,1,3))*Q$2</f>
        <v>0</v>
      </c>
      <c r="R208" s="5">
        <f ca="1">SUM(OFFSET(Demand!$E217,0,(COLUMN(E205)-1)*5,1,3))*R$2</f>
        <v>0</v>
      </c>
      <c r="S208" s="5">
        <f ca="1">SUM(OFFSET(Demand!$E217,0,(COLUMN(F205)-1)*5,1,3))*S$2</f>
        <v>0</v>
      </c>
      <c r="T208" s="5">
        <f ca="1">SUM(OFFSET(Demand!$E217,0,(COLUMN(G205)-1)*5,1,3))*T$2</f>
        <v>0</v>
      </c>
      <c r="U208" s="5">
        <f ca="1">SUM(OFFSET(Demand!$E217,0,(COLUMN(H205)-1)*5,1,3))*U$2</f>
        <v>0</v>
      </c>
      <c r="V208" s="5">
        <f ca="1">SUM(OFFSET(Demand!$E217,0,(COLUMN(I205)-1)*5,1,3))*V$2</f>
        <v>0</v>
      </c>
      <c r="W208" s="5">
        <f ca="1">SUM(OFFSET(Demand!$E217,0,(COLUMN(J205)-1)*5,1,3))*W$2</f>
        <v>0</v>
      </c>
      <c r="X208" s="5">
        <f t="shared" ca="1" si="47"/>
        <v>0</v>
      </c>
      <c r="Y208">
        <f t="shared" ca="1" si="48"/>
        <v>0</v>
      </c>
      <c r="Z208" s="5">
        <f ca="1">SUM(OFFSET(Demand!$H217,0,(COLUMN(A205)-1)*5,1,1))*N$2</f>
        <v>0</v>
      </c>
      <c r="AA208" s="5">
        <f ca="1">SUM(OFFSET(Demand!$H217,0,(COLUMN(B205)-1)*5,1,1))*O$2</f>
        <v>0</v>
      </c>
      <c r="AB208" s="5">
        <f ca="1">SUM(OFFSET(Demand!$H217,0,(COLUMN(C205)-1)*5,1,1))*P$2</f>
        <v>0</v>
      </c>
      <c r="AC208" s="5">
        <f ca="1">SUM(OFFSET(Demand!$H217,0,(COLUMN(D205)-1)*5,1,1))*Q$2</f>
        <v>0</v>
      </c>
      <c r="AD208" s="5">
        <f ca="1">SUM(OFFSET(Demand!$H217,0,(COLUMN(E205)-1)*5,1,1))*R$2</f>
        <v>0</v>
      </c>
      <c r="AE208" s="5">
        <f ca="1">SUM(OFFSET(Demand!$H217,0,(COLUMN(F205)-1)*5,1,1))*S$2</f>
        <v>0</v>
      </c>
      <c r="AF208" s="5">
        <f ca="1">SUM(OFFSET(Demand!$H217,0,(COLUMN(G205)-1)*5,1,1))*T$2</f>
        <v>0</v>
      </c>
      <c r="AG208" s="5">
        <f ca="1">SUM(OFFSET(Demand!$H217,0,(COLUMN(H205)-1)*5,1,1))*U$2</f>
        <v>0</v>
      </c>
      <c r="AH208" s="5">
        <f ca="1">SUM(OFFSET(Demand!$H217,0,(COLUMN(I205)-1)*5,1,1))*V$2</f>
        <v>0</v>
      </c>
      <c r="AI208" s="5">
        <f ca="1">SUM(OFFSET(Demand!$H217,0,(COLUMN(J205)-1)*5,1,1))*W$2</f>
        <v>0</v>
      </c>
      <c r="AJ208" s="5">
        <f t="shared" ca="1" si="49"/>
        <v>0</v>
      </c>
      <c r="AL208" s="5">
        <f t="shared" ca="1" si="50"/>
        <v>0</v>
      </c>
      <c r="AM208" s="5">
        <f t="shared" ca="1" si="51"/>
        <v>0</v>
      </c>
      <c r="AN208" s="5" t="str">
        <f>IF(Demand!BE217="Yes","Yes","")</f>
        <v/>
      </c>
      <c r="AP208" s="37" t="str">
        <f ca="1">Demand!B217</f>
        <v xml:space="preserve"> </v>
      </c>
      <c r="AQ208" t="str">
        <f ca="1">IF(TEXT(Demand!D217,"MMM")&lt;&gt;TEXT(Demand!D216,"MMM"),TEXT(Demand!D217,"MMM"),"")</f>
        <v/>
      </c>
      <c r="AT208" s="5">
        <f t="shared" ca="1" si="53"/>
        <v>0</v>
      </c>
      <c r="BQ208">
        <f ca="1">IF($AN208="",OFFSET(Demand!$A$13,ROW(A205)-1,4+((QUOTIENT(COLUMN(BQ$2)-69,3))*5)+MOD(COLUMN(BQ$2),3),1,1),"")</f>
        <v>0</v>
      </c>
      <c r="BR208">
        <f ca="1">IF($AN208="",OFFSET(Demand!$A$13,ROW(B205)-1,4+((QUOTIENT(COLUMN(BR$2)-69,3))*5)+MOD(COLUMN(BR$2),3),1,1),"")</f>
        <v>0</v>
      </c>
      <c r="BS208">
        <f ca="1">IF($AN208="",OFFSET(Demand!$A$13,ROW(C205)-1,4+((QUOTIENT(COLUMN(BS$2)-69,3))*5)+MOD(COLUMN(BS$2),3),1,1),"")</f>
        <v>0</v>
      </c>
      <c r="BT208">
        <f ca="1">IF($AN208="",OFFSET(Demand!$A$13,ROW(D205)-1,4+((QUOTIENT(COLUMN(BT$2)-69,3))*5)+MOD(COLUMN(BT$2),3),1,1),"")</f>
        <v>0</v>
      </c>
      <c r="BU208">
        <f ca="1">IF($AN208="",OFFSET(Demand!$A$13,ROW(E205)-1,4+((QUOTIENT(COLUMN(BU$2)-69,3))*5)+MOD(COLUMN(BU$2),3),1,1),"")</f>
        <v>0</v>
      </c>
      <c r="BV208">
        <f ca="1">IF($AN208="",OFFSET(Demand!$A$13,ROW(F205)-1,4+((QUOTIENT(COLUMN(BV$2)-69,3))*5)+MOD(COLUMN(BV$2),3),1,1),"")</f>
        <v>0</v>
      </c>
      <c r="BW208">
        <f ca="1">IF($AN208="",OFFSET(Demand!$A$13,ROW(G205)-1,4+((QUOTIENT(COLUMN(BW$2)-69,3))*5)+MOD(COLUMN(BW$2),3),1,1),"")</f>
        <v>0</v>
      </c>
      <c r="BX208">
        <f ca="1">IF($AN208="",OFFSET(Demand!$A$13,ROW(H205)-1,4+((QUOTIENT(COLUMN(BX$2)-69,3))*5)+MOD(COLUMN(BX$2),3),1,1),"")</f>
        <v>0</v>
      </c>
      <c r="BY208">
        <f ca="1">IF($AN208="",OFFSET(Demand!$A$13,ROW(I205)-1,4+((QUOTIENT(COLUMN(BY$2)-69,3))*5)+MOD(COLUMN(BY$2),3),1,1),"")</f>
        <v>0</v>
      </c>
      <c r="BZ208">
        <f ca="1">IF($AN208="",OFFSET(Demand!$A$13,ROW(J205)-1,4+((QUOTIENT(COLUMN(BZ$2)-69,3))*5)+MOD(COLUMN(BZ$2),3),1,1),"")</f>
        <v>0</v>
      </c>
      <c r="CA208">
        <f ca="1">IF($AN208="",OFFSET(Demand!$A$13,ROW(K205)-1,4+((QUOTIENT(COLUMN(CA$2)-69,3))*5)+MOD(COLUMN(CA$2),3),1,1),"")</f>
        <v>0</v>
      </c>
      <c r="CB208">
        <f ca="1">IF($AN208="",OFFSET(Demand!$A$13,ROW(L205)-1,4+((QUOTIENT(COLUMN(CB$2)-69,3))*5)+MOD(COLUMN(CB$2),3),1,1),"")</f>
        <v>0</v>
      </c>
      <c r="CC208">
        <f ca="1">IF($AN208="",OFFSET(Demand!$A$13,ROW(M205)-1,4+((QUOTIENT(COLUMN(CC$2)-69,3))*5)+MOD(COLUMN(CC$2),3),1,1),"")</f>
        <v>0</v>
      </c>
      <c r="CD208">
        <f ca="1">IF($AN208="",OFFSET(Demand!$A$13,ROW(N205)-1,4+((QUOTIENT(COLUMN(CD$2)-69,3))*5)+MOD(COLUMN(CD$2),3),1,1),"")</f>
        <v>0</v>
      </c>
      <c r="CE208">
        <f ca="1">IF($AN208="",OFFSET(Demand!$A$13,ROW(O205)-1,4+((QUOTIENT(COLUMN(CE$2)-69,3))*5)+MOD(COLUMN(CE$2),3),1,1),"")</f>
        <v>0</v>
      </c>
      <c r="CF208">
        <f ca="1">IF($AN208="",OFFSET(Demand!$A$13,ROW(P205)-1,4+((QUOTIENT(COLUMN(CF$2)-69,3))*5)+MOD(COLUMN(CF$2),3),1,1),"")</f>
        <v>0</v>
      </c>
      <c r="CG208">
        <f ca="1">IF($AN208="",OFFSET(Demand!$A$13,ROW(Q205)-1,4+((QUOTIENT(COLUMN(CG$2)-69,3))*5)+MOD(COLUMN(CG$2),3),1,1),"")</f>
        <v>0</v>
      </c>
      <c r="CH208">
        <f ca="1">IF($AN208="",OFFSET(Demand!$A$13,ROW(R205)-1,4+((QUOTIENT(COLUMN(CH$2)-69,3))*5)+MOD(COLUMN(CH$2),3),1,1),"")</f>
        <v>0</v>
      </c>
      <c r="CI208">
        <f ca="1">IF($AN208="",OFFSET(Demand!$A$13,ROW(S205)-1,4+((QUOTIENT(COLUMN(CI$2)-69,3))*5)+MOD(COLUMN(CI$2),3),1,1),"")</f>
        <v>0</v>
      </c>
      <c r="CJ208">
        <f ca="1">IF($AN208="",OFFSET(Demand!$A$13,ROW(T205)-1,4+((QUOTIENT(COLUMN(CJ$2)-69,3))*5)+MOD(COLUMN(CJ$2),3),1,1),"")</f>
        <v>0</v>
      </c>
      <c r="CK208">
        <f ca="1">IF($AN208="",OFFSET(Demand!$A$13,ROW(U205)-1,4+((QUOTIENT(COLUMN(CK$2)-69,3))*5)+MOD(COLUMN(CK$2),3),1,1),"")</f>
        <v>0</v>
      </c>
      <c r="CL208">
        <f ca="1">IF($AN208="",OFFSET(Demand!$A$13,ROW(V205)-1,4+((QUOTIENT(COLUMN(CL$2)-69,3))*5)+MOD(COLUMN(CL$2),3),1,1),"")</f>
        <v>0</v>
      </c>
      <c r="CM208">
        <f ca="1">IF($AN208="",OFFSET(Demand!$A$13,ROW(W205)-1,4+((QUOTIENT(COLUMN(CM$2)-69,3))*5)+MOD(COLUMN(CM$2),3),1,1),"")</f>
        <v>0</v>
      </c>
      <c r="CN208">
        <f ca="1">IF($AN208="",OFFSET(Demand!$A$13,ROW(X205)-1,4+((QUOTIENT(COLUMN(CN$2)-69,3))*5)+MOD(COLUMN(CN$2),3),1,1),"")</f>
        <v>0</v>
      </c>
      <c r="CO208">
        <f ca="1">IF($AN208="",OFFSET(Demand!$A$13,ROW(Y205)-1,4+((QUOTIENT(COLUMN(CO$2)-69,3))*5)+MOD(COLUMN(CO$2),3),1,1),"")</f>
        <v>0</v>
      </c>
      <c r="CP208">
        <f ca="1">IF($AN208="",OFFSET(Demand!$A$13,ROW(Z205)-1,4+((QUOTIENT(COLUMN(CP$2)-69,3))*5)+MOD(COLUMN(CP$2),3),1,1),"")</f>
        <v>0</v>
      </c>
      <c r="CQ208">
        <f ca="1">IF($AN208="",OFFSET(Demand!$A$13,ROW(AA205)-1,4+((QUOTIENT(COLUMN(CQ$2)-69,3))*5)+MOD(COLUMN(CQ$2),3),1,1),"")</f>
        <v>0</v>
      </c>
      <c r="CR208">
        <f ca="1">IF($AN208="",OFFSET(Demand!$A$13,ROW(AB205)-1,4+((QUOTIENT(COLUMN(CR$2)-69,3))*5)+MOD(COLUMN(CR$2),3),1,1),"")</f>
        <v>0</v>
      </c>
      <c r="CS208">
        <f ca="1">IF($AN208="",OFFSET(Demand!$A$13,ROW(AC205)-1,4+((QUOTIENT(COLUMN(CS$2)-69,3))*5)+MOD(COLUMN(CS$2),3),1,1),"")</f>
        <v>0</v>
      </c>
      <c r="CT208">
        <f ca="1">IF($AN208="",OFFSET(Demand!$A$13,ROW(AD205)-1,4+((QUOTIENT(COLUMN(CT$2)-69,3))*5)+MOD(COLUMN(CT$2),3),1,1),"")</f>
        <v>0</v>
      </c>
      <c r="CW208" s="5">
        <f ca="1">SUM(OFFSET(Demand!$H$43,ROW(A205)-1,(COLUMN(A205)-1)*5,1,1))*N$2</f>
        <v>0</v>
      </c>
      <c r="CX208" s="5">
        <f ca="1">SUM(OFFSET(Demand!$H$43,ROW(B205)-1,(COLUMN(B205)-1)*5,1,1))*O$2</f>
        <v>0</v>
      </c>
      <c r="CY208" s="5">
        <f ca="1">SUM(OFFSET(Demand!$H$43,ROW(C205)-1,(COLUMN(C205)-1)*5,1,1))*P$2</f>
        <v>0</v>
      </c>
      <c r="CZ208" s="5">
        <f ca="1">SUM(OFFSET(Demand!$H$43,ROW(D205)-1,(COLUMN(D205)-1)*5,1,1))*Q$2</f>
        <v>0</v>
      </c>
      <c r="DA208" s="5">
        <f ca="1">SUM(OFFSET(Demand!$H$43,ROW(E205)-1,(COLUMN(E205)-1)*5,1,1))*R$2</f>
        <v>0</v>
      </c>
      <c r="DB208" s="5">
        <f ca="1">SUM(OFFSET(Demand!$H$43,ROW(F205)-1,(COLUMN(F205)-1)*5,1,1))*S$2</f>
        <v>0</v>
      </c>
      <c r="DC208" s="5">
        <f ca="1">SUM(OFFSET(Demand!$H$43,ROW(G205)-1,(COLUMN(G205)-1)*5,1,1))*T$2</f>
        <v>0</v>
      </c>
      <c r="DD208" s="5">
        <f ca="1">SUM(OFFSET(Demand!$H$43,ROW(H205)-1,(COLUMN(H205)-1)*5,1,1))*U$2</f>
        <v>0</v>
      </c>
      <c r="DE208" s="5">
        <f ca="1">SUM(OFFSET(Demand!$H$43,ROW(I205)-1,(COLUMN(I205)-1)*5,1,1))*V$2</f>
        <v>0</v>
      </c>
      <c r="DF208" s="5">
        <f ca="1">SUM(OFFSET(Demand!$H$43,ROW(J205)-1,(COLUMN(J205)-1)*5,1,1))*W$2</f>
        <v>0</v>
      </c>
      <c r="DG208" s="5">
        <f t="shared" ca="1" si="52"/>
        <v>0</v>
      </c>
    </row>
    <row r="209" spans="1:111" x14ac:dyDescent="0.2">
      <c r="A209" s="5">
        <f t="shared" ca="1" si="46"/>
        <v>2</v>
      </c>
      <c r="B209" s="5">
        <f ca="1">COUNTBLANK(OFFSET(Demand!$I218,0,(COLUMN(A206)-1)*5,1,1))</f>
        <v>1</v>
      </c>
      <c r="C209" s="5">
        <f ca="1">COUNTBLANK(OFFSET(Demand!$I218,0,(COLUMN(B206)-1)*5,1,1))</f>
        <v>1</v>
      </c>
      <c r="D209" s="5">
        <f ca="1">COUNTBLANK(OFFSET(Demand!$I218,0,(COLUMN(C206)-1)*5,1,1))</f>
        <v>1</v>
      </c>
      <c r="E209" s="5">
        <f ca="1">COUNTBLANK(OFFSET(Demand!$I218,0,(COLUMN(D206)-1)*5,1,1))</f>
        <v>1</v>
      </c>
      <c r="F209" s="5">
        <f ca="1">COUNTBLANK(OFFSET(Demand!$I218,0,(COLUMN(E206)-1)*5,1,1))</f>
        <v>1</v>
      </c>
      <c r="G209" s="5">
        <f ca="1">COUNTBLANK(OFFSET(Demand!$I218,0,(COLUMN(F206)-1)*5,1,1))</f>
        <v>1</v>
      </c>
      <c r="H209" s="5">
        <f ca="1">COUNTBLANK(OFFSET(Demand!$I218,0,(COLUMN(G206)-1)*5,1,1))</f>
        <v>1</v>
      </c>
      <c r="I209" s="5">
        <f ca="1">COUNTBLANK(OFFSET(Demand!$I218,0,(COLUMN(H206)-1)*5,1,1))</f>
        <v>1</v>
      </c>
      <c r="J209" s="5">
        <f ca="1">COUNTBLANK(OFFSET(Demand!$I218,0,(COLUMN(I206)-1)*5,1,1))</f>
        <v>1</v>
      </c>
      <c r="K209" s="5">
        <f ca="1">COUNTBLANK(OFFSET(Demand!$I218,0,(COLUMN(J206)-1)*5,1,1))</f>
        <v>1</v>
      </c>
      <c r="N209" s="5">
        <f ca="1">SUM(OFFSET(Demand!$E218,0,(COLUMN(A206)-1)*5,1,3))*N$2</f>
        <v>0</v>
      </c>
      <c r="O209" s="5">
        <f ca="1">SUM(OFFSET(Demand!$E218,0,(COLUMN(B206)-1)*5,1,3))*O$2</f>
        <v>0</v>
      </c>
      <c r="P209" s="5">
        <f ca="1">SUM(OFFSET(Demand!$E218,0,(COLUMN(C206)-1)*5,1,3))*P$2</f>
        <v>0</v>
      </c>
      <c r="Q209" s="5">
        <f ca="1">SUM(OFFSET(Demand!$E218,0,(COLUMN(D206)-1)*5,1,3))*Q$2</f>
        <v>0</v>
      </c>
      <c r="R209" s="5">
        <f ca="1">SUM(OFFSET(Demand!$E218,0,(COLUMN(E206)-1)*5,1,3))*R$2</f>
        <v>0</v>
      </c>
      <c r="S209" s="5">
        <f ca="1">SUM(OFFSET(Demand!$E218,0,(COLUMN(F206)-1)*5,1,3))*S$2</f>
        <v>0</v>
      </c>
      <c r="T209" s="5">
        <f ca="1">SUM(OFFSET(Demand!$E218,0,(COLUMN(G206)-1)*5,1,3))*T$2</f>
        <v>0</v>
      </c>
      <c r="U209" s="5">
        <f ca="1">SUM(OFFSET(Demand!$E218,0,(COLUMN(H206)-1)*5,1,3))*U$2</f>
        <v>0</v>
      </c>
      <c r="V209" s="5">
        <f ca="1">SUM(OFFSET(Demand!$E218,0,(COLUMN(I206)-1)*5,1,3))*V$2</f>
        <v>0</v>
      </c>
      <c r="W209" s="5">
        <f ca="1">SUM(OFFSET(Demand!$E218,0,(COLUMN(J206)-1)*5,1,3))*W$2</f>
        <v>0</v>
      </c>
      <c r="X209" s="5">
        <f t="shared" ca="1" si="47"/>
        <v>0</v>
      </c>
      <c r="Y209">
        <f t="shared" ca="1" si="48"/>
        <v>0</v>
      </c>
      <c r="Z209" s="5">
        <f ca="1">SUM(OFFSET(Demand!$H218,0,(COLUMN(A206)-1)*5,1,1))*N$2</f>
        <v>0</v>
      </c>
      <c r="AA209" s="5">
        <f ca="1">SUM(OFFSET(Demand!$H218,0,(COLUMN(B206)-1)*5,1,1))*O$2</f>
        <v>0</v>
      </c>
      <c r="AB209" s="5">
        <f ca="1">SUM(OFFSET(Demand!$H218,0,(COLUMN(C206)-1)*5,1,1))*P$2</f>
        <v>0</v>
      </c>
      <c r="AC209" s="5">
        <f ca="1">SUM(OFFSET(Demand!$H218,0,(COLUMN(D206)-1)*5,1,1))*Q$2</f>
        <v>0</v>
      </c>
      <c r="AD209" s="5">
        <f ca="1">SUM(OFFSET(Demand!$H218,0,(COLUMN(E206)-1)*5,1,1))*R$2</f>
        <v>0</v>
      </c>
      <c r="AE209" s="5">
        <f ca="1">SUM(OFFSET(Demand!$H218,0,(COLUMN(F206)-1)*5,1,1))*S$2</f>
        <v>0</v>
      </c>
      <c r="AF209" s="5">
        <f ca="1">SUM(OFFSET(Demand!$H218,0,(COLUMN(G206)-1)*5,1,1))*T$2</f>
        <v>0</v>
      </c>
      <c r="AG209" s="5">
        <f ca="1">SUM(OFFSET(Demand!$H218,0,(COLUMN(H206)-1)*5,1,1))*U$2</f>
        <v>0</v>
      </c>
      <c r="AH209" s="5">
        <f ca="1">SUM(OFFSET(Demand!$H218,0,(COLUMN(I206)-1)*5,1,1))*V$2</f>
        <v>0</v>
      </c>
      <c r="AI209" s="5">
        <f ca="1">SUM(OFFSET(Demand!$H218,0,(COLUMN(J206)-1)*5,1,1))*W$2</f>
        <v>0</v>
      </c>
      <c r="AJ209" s="5">
        <f t="shared" ca="1" si="49"/>
        <v>0</v>
      </c>
      <c r="AL209" s="5">
        <f t="shared" ca="1" si="50"/>
        <v>0</v>
      </c>
      <c r="AM209" s="5">
        <f t="shared" ca="1" si="51"/>
        <v>0</v>
      </c>
      <c r="AN209" s="5" t="str">
        <f>IF(Demand!BE218="Yes","Yes","")</f>
        <v/>
      </c>
      <c r="AP209" s="37" t="str">
        <f ca="1">Demand!B218</f>
        <v xml:space="preserve"> </v>
      </c>
      <c r="AQ209" t="str">
        <f ca="1">IF(TEXT(Demand!D218,"MMM")&lt;&gt;TEXT(Demand!D217,"MMM"),TEXT(Demand!D218,"MMM"),"")</f>
        <v/>
      </c>
      <c r="AT209" s="5">
        <f t="shared" ca="1" si="53"/>
        <v>0</v>
      </c>
      <c r="BQ209">
        <f ca="1">IF($AN209="",OFFSET(Demand!$A$13,ROW(A206)-1,4+((QUOTIENT(COLUMN(BQ$2)-69,3))*5)+MOD(COLUMN(BQ$2),3),1,1),"")</f>
        <v>0</v>
      </c>
      <c r="BR209">
        <f ca="1">IF($AN209="",OFFSET(Demand!$A$13,ROW(B206)-1,4+((QUOTIENT(COLUMN(BR$2)-69,3))*5)+MOD(COLUMN(BR$2),3),1,1),"")</f>
        <v>0</v>
      </c>
      <c r="BS209">
        <f ca="1">IF($AN209="",OFFSET(Demand!$A$13,ROW(C206)-1,4+((QUOTIENT(COLUMN(BS$2)-69,3))*5)+MOD(COLUMN(BS$2),3),1,1),"")</f>
        <v>0</v>
      </c>
      <c r="BT209">
        <f ca="1">IF($AN209="",OFFSET(Demand!$A$13,ROW(D206)-1,4+((QUOTIENT(COLUMN(BT$2)-69,3))*5)+MOD(COLUMN(BT$2),3),1,1),"")</f>
        <v>0</v>
      </c>
      <c r="BU209">
        <f ca="1">IF($AN209="",OFFSET(Demand!$A$13,ROW(E206)-1,4+((QUOTIENT(COLUMN(BU$2)-69,3))*5)+MOD(COLUMN(BU$2),3),1,1),"")</f>
        <v>0</v>
      </c>
      <c r="BV209">
        <f ca="1">IF($AN209="",OFFSET(Demand!$A$13,ROW(F206)-1,4+((QUOTIENT(COLUMN(BV$2)-69,3))*5)+MOD(COLUMN(BV$2),3),1,1),"")</f>
        <v>0</v>
      </c>
      <c r="BW209">
        <f ca="1">IF($AN209="",OFFSET(Demand!$A$13,ROW(G206)-1,4+((QUOTIENT(COLUMN(BW$2)-69,3))*5)+MOD(COLUMN(BW$2),3),1,1),"")</f>
        <v>0</v>
      </c>
      <c r="BX209">
        <f ca="1">IF($AN209="",OFFSET(Demand!$A$13,ROW(H206)-1,4+((QUOTIENT(COLUMN(BX$2)-69,3))*5)+MOD(COLUMN(BX$2),3),1,1),"")</f>
        <v>0</v>
      </c>
      <c r="BY209">
        <f ca="1">IF($AN209="",OFFSET(Demand!$A$13,ROW(I206)-1,4+((QUOTIENT(COLUMN(BY$2)-69,3))*5)+MOD(COLUMN(BY$2),3),1,1),"")</f>
        <v>0</v>
      </c>
      <c r="BZ209">
        <f ca="1">IF($AN209="",OFFSET(Demand!$A$13,ROW(J206)-1,4+((QUOTIENT(COLUMN(BZ$2)-69,3))*5)+MOD(COLUMN(BZ$2),3),1,1),"")</f>
        <v>0</v>
      </c>
      <c r="CA209">
        <f ca="1">IF($AN209="",OFFSET(Demand!$A$13,ROW(K206)-1,4+((QUOTIENT(COLUMN(CA$2)-69,3))*5)+MOD(COLUMN(CA$2),3),1,1),"")</f>
        <v>0</v>
      </c>
      <c r="CB209">
        <f ca="1">IF($AN209="",OFFSET(Demand!$A$13,ROW(L206)-1,4+((QUOTIENT(COLUMN(CB$2)-69,3))*5)+MOD(COLUMN(CB$2),3),1,1),"")</f>
        <v>0</v>
      </c>
      <c r="CC209">
        <f ca="1">IF($AN209="",OFFSET(Demand!$A$13,ROW(M206)-1,4+((QUOTIENT(COLUMN(CC$2)-69,3))*5)+MOD(COLUMN(CC$2),3),1,1),"")</f>
        <v>0</v>
      </c>
      <c r="CD209">
        <f ca="1">IF($AN209="",OFFSET(Demand!$A$13,ROW(N206)-1,4+((QUOTIENT(COLUMN(CD$2)-69,3))*5)+MOD(COLUMN(CD$2),3),1,1),"")</f>
        <v>0</v>
      </c>
      <c r="CE209">
        <f ca="1">IF($AN209="",OFFSET(Demand!$A$13,ROW(O206)-1,4+((QUOTIENT(COLUMN(CE$2)-69,3))*5)+MOD(COLUMN(CE$2),3),1,1),"")</f>
        <v>0</v>
      </c>
      <c r="CF209">
        <f ca="1">IF($AN209="",OFFSET(Demand!$A$13,ROW(P206)-1,4+((QUOTIENT(COLUMN(CF$2)-69,3))*5)+MOD(COLUMN(CF$2),3),1,1),"")</f>
        <v>0</v>
      </c>
      <c r="CG209">
        <f ca="1">IF($AN209="",OFFSET(Demand!$A$13,ROW(Q206)-1,4+((QUOTIENT(COLUMN(CG$2)-69,3))*5)+MOD(COLUMN(CG$2),3),1,1),"")</f>
        <v>0</v>
      </c>
      <c r="CH209">
        <f ca="1">IF($AN209="",OFFSET(Demand!$A$13,ROW(R206)-1,4+((QUOTIENT(COLUMN(CH$2)-69,3))*5)+MOD(COLUMN(CH$2),3),1,1),"")</f>
        <v>0</v>
      </c>
      <c r="CI209">
        <f ca="1">IF($AN209="",OFFSET(Demand!$A$13,ROW(S206)-1,4+((QUOTIENT(COLUMN(CI$2)-69,3))*5)+MOD(COLUMN(CI$2),3),1,1),"")</f>
        <v>0</v>
      </c>
      <c r="CJ209">
        <f ca="1">IF($AN209="",OFFSET(Demand!$A$13,ROW(T206)-1,4+((QUOTIENT(COLUMN(CJ$2)-69,3))*5)+MOD(COLUMN(CJ$2),3),1,1),"")</f>
        <v>0</v>
      </c>
      <c r="CK209">
        <f ca="1">IF($AN209="",OFFSET(Demand!$A$13,ROW(U206)-1,4+((QUOTIENT(COLUMN(CK$2)-69,3))*5)+MOD(COLUMN(CK$2),3),1,1),"")</f>
        <v>0</v>
      </c>
      <c r="CL209">
        <f ca="1">IF($AN209="",OFFSET(Demand!$A$13,ROW(V206)-1,4+((QUOTIENT(COLUMN(CL$2)-69,3))*5)+MOD(COLUMN(CL$2),3),1,1),"")</f>
        <v>0</v>
      </c>
      <c r="CM209">
        <f ca="1">IF($AN209="",OFFSET(Demand!$A$13,ROW(W206)-1,4+((QUOTIENT(COLUMN(CM$2)-69,3))*5)+MOD(COLUMN(CM$2),3),1,1),"")</f>
        <v>0</v>
      </c>
      <c r="CN209">
        <f ca="1">IF($AN209="",OFFSET(Demand!$A$13,ROW(X206)-1,4+((QUOTIENT(COLUMN(CN$2)-69,3))*5)+MOD(COLUMN(CN$2),3),1,1),"")</f>
        <v>0</v>
      </c>
      <c r="CO209">
        <f ca="1">IF($AN209="",OFFSET(Demand!$A$13,ROW(Y206)-1,4+((QUOTIENT(COLUMN(CO$2)-69,3))*5)+MOD(COLUMN(CO$2),3),1,1),"")</f>
        <v>0</v>
      </c>
      <c r="CP209">
        <f ca="1">IF($AN209="",OFFSET(Demand!$A$13,ROW(Z206)-1,4+((QUOTIENT(COLUMN(CP$2)-69,3))*5)+MOD(COLUMN(CP$2),3),1,1),"")</f>
        <v>0</v>
      </c>
      <c r="CQ209">
        <f ca="1">IF($AN209="",OFFSET(Demand!$A$13,ROW(AA206)-1,4+((QUOTIENT(COLUMN(CQ$2)-69,3))*5)+MOD(COLUMN(CQ$2),3),1,1),"")</f>
        <v>0</v>
      </c>
      <c r="CR209">
        <f ca="1">IF($AN209="",OFFSET(Demand!$A$13,ROW(AB206)-1,4+((QUOTIENT(COLUMN(CR$2)-69,3))*5)+MOD(COLUMN(CR$2),3),1,1),"")</f>
        <v>0</v>
      </c>
      <c r="CS209">
        <f ca="1">IF($AN209="",OFFSET(Demand!$A$13,ROW(AC206)-1,4+((QUOTIENT(COLUMN(CS$2)-69,3))*5)+MOD(COLUMN(CS$2),3),1,1),"")</f>
        <v>0</v>
      </c>
      <c r="CT209">
        <f ca="1">IF($AN209="",OFFSET(Demand!$A$13,ROW(AD206)-1,4+((QUOTIENT(COLUMN(CT$2)-69,3))*5)+MOD(COLUMN(CT$2),3),1,1),"")</f>
        <v>0</v>
      </c>
      <c r="CW209" s="5">
        <f ca="1">SUM(OFFSET(Demand!$H$43,ROW(A206)-1,(COLUMN(A206)-1)*5,1,1))*N$2</f>
        <v>0</v>
      </c>
      <c r="CX209" s="5">
        <f ca="1">SUM(OFFSET(Demand!$H$43,ROW(B206)-1,(COLUMN(B206)-1)*5,1,1))*O$2</f>
        <v>0</v>
      </c>
      <c r="CY209" s="5">
        <f ca="1">SUM(OFFSET(Demand!$H$43,ROW(C206)-1,(COLUMN(C206)-1)*5,1,1))*P$2</f>
        <v>0</v>
      </c>
      <c r="CZ209" s="5">
        <f ca="1">SUM(OFFSET(Demand!$H$43,ROW(D206)-1,(COLUMN(D206)-1)*5,1,1))*Q$2</f>
        <v>0</v>
      </c>
      <c r="DA209" s="5">
        <f ca="1">SUM(OFFSET(Demand!$H$43,ROW(E206)-1,(COLUMN(E206)-1)*5,1,1))*R$2</f>
        <v>0</v>
      </c>
      <c r="DB209" s="5">
        <f ca="1">SUM(OFFSET(Demand!$H$43,ROW(F206)-1,(COLUMN(F206)-1)*5,1,1))*S$2</f>
        <v>0</v>
      </c>
      <c r="DC209" s="5">
        <f ca="1">SUM(OFFSET(Demand!$H$43,ROW(G206)-1,(COLUMN(G206)-1)*5,1,1))*T$2</f>
        <v>0</v>
      </c>
      <c r="DD209" s="5">
        <f ca="1">SUM(OFFSET(Demand!$H$43,ROW(H206)-1,(COLUMN(H206)-1)*5,1,1))*U$2</f>
        <v>0</v>
      </c>
      <c r="DE209" s="5">
        <f ca="1">SUM(OFFSET(Demand!$H$43,ROW(I206)-1,(COLUMN(I206)-1)*5,1,1))*V$2</f>
        <v>0</v>
      </c>
      <c r="DF209" s="5">
        <f ca="1">SUM(OFFSET(Demand!$H$43,ROW(J206)-1,(COLUMN(J206)-1)*5,1,1))*W$2</f>
        <v>0</v>
      </c>
      <c r="DG209" s="5">
        <f t="shared" ca="1" si="52"/>
        <v>0</v>
      </c>
    </row>
    <row r="210" spans="1:111" x14ac:dyDescent="0.2">
      <c r="A210" s="5">
        <f t="shared" ca="1" si="46"/>
        <v>2</v>
      </c>
      <c r="B210" s="5">
        <f ca="1">COUNTBLANK(OFFSET(Demand!$I219,0,(COLUMN(A207)-1)*5,1,1))</f>
        <v>1</v>
      </c>
      <c r="C210" s="5">
        <f ca="1">COUNTBLANK(OFFSET(Demand!$I219,0,(COLUMN(B207)-1)*5,1,1))</f>
        <v>1</v>
      </c>
      <c r="D210" s="5">
        <f ca="1">COUNTBLANK(OFFSET(Demand!$I219,0,(COLUMN(C207)-1)*5,1,1))</f>
        <v>1</v>
      </c>
      <c r="E210" s="5">
        <f ca="1">COUNTBLANK(OFFSET(Demand!$I219,0,(COLUMN(D207)-1)*5,1,1))</f>
        <v>1</v>
      </c>
      <c r="F210" s="5">
        <f ca="1">COUNTBLANK(OFFSET(Demand!$I219,0,(COLUMN(E207)-1)*5,1,1))</f>
        <v>1</v>
      </c>
      <c r="G210" s="5">
        <f ca="1">COUNTBLANK(OFFSET(Demand!$I219,0,(COLUMN(F207)-1)*5,1,1))</f>
        <v>1</v>
      </c>
      <c r="H210" s="5">
        <f ca="1">COUNTBLANK(OFFSET(Demand!$I219,0,(COLUMN(G207)-1)*5,1,1))</f>
        <v>1</v>
      </c>
      <c r="I210" s="5">
        <f ca="1">COUNTBLANK(OFFSET(Demand!$I219,0,(COLUMN(H207)-1)*5,1,1))</f>
        <v>1</v>
      </c>
      <c r="J210" s="5">
        <f ca="1">COUNTBLANK(OFFSET(Demand!$I219,0,(COLUMN(I207)-1)*5,1,1))</f>
        <v>1</v>
      </c>
      <c r="K210" s="5">
        <f ca="1">COUNTBLANK(OFFSET(Demand!$I219,0,(COLUMN(J207)-1)*5,1,1))</f>
        <v>1</v>
      </c>
      <c r="N210" s="5">
        <f ca="1">SUM(OFFSET(Demand!$E219,0,(COLUMN(A207)-1)*5,1,3))*N$2</f>
        <v>0</v>
      </c>
      <c r="O210" s="5">
        <f ca="1">SUM(OFFSET(Demand!$E219,0,(COLUMN(B207)-1)*5,1,3))*O$2</f>
        <v>0</v>
      </c>
      <c r="P210" s="5">
        <f ca="1">SUM(OFFSET(Demand!$E219,0,(COLUMN(C207)-1)*5,1,3))*P$2</f>
        <v>0</v>
      </c>
      <c r="Q210" s="5">
        <f ca="1">SUM(OFFSET(Demand!$E219,0,(COLUMN(D207)-1)*5,1,3))*Q$2</f>
        <v>0</v>
      </c>
      <c r="R210" s="5">
        <f ca="1">SUM(OFFSET(Demand!$E219,0,(COLUMN(E207)-1)*5,1,3))*R$2</f>
        <v>0</v>
      </c>
      <c r="S210" s="5">
        <f ca="1">SUM(OFFSET(Demand!$E219,0,(COLUMN(F207)-1)*5,1,3))*S$2</f>
        <v>0</v>
      </c>
      <c r="T210" s="5">
        <f ca="1">SUM(OFFSET(Demand!$E219,0,(COLUMN(G207)-1)*5,1,3))*T$2</f>
        <v>0</v>
      </c>
      <c r="U210" s="5">
        <f ca="1">SUM(OFFSET(Demand!$E219,0,(COLUMN(H207)-1)*5,1,3))*U$2</f>
        <v>0</v>
      </c>
      <c r="V210" s="5">
        <f ca="1">SUM(OFFSET(Demand!$E219,0,(COLUMN(I207)-1)*5,1,3))*V$2</f>
        <v>0</v>
      </c>
      <c r="W210" s="5">
        <f ca="1">SUM(OFFSET(Demand!$E219,0,(COLUMN(J207)-1)*5,1,3))*W$2</f>
        <v>0</v>
      </c>
      <c r="X210" s="5">
        <f t="shared" ca="1" si="47"/>
        <v>0</v>
      </c>
      <c r="Y210">
        <f t="shared" ca="1" si="48"/>
        <v>0</v>
      </c>
      <c r="Z210" s="5">
        <f ca="1">SUM(OFFSET(Demand!$H219,0,(COLUMN(A207)-1)*5,1,1))*N$2</f>
        <v>0</v>
      </c>
      <c r="AA210" s="5">
        <f ca="1">SUM(OFFSET(Demand!$H219,0,(COLUMN(B207)-1)*5,1,1))*O$2</f>
        <v>0</v>
      </c>
      <c r="AB210" s="5">
        <f ca="1">SUM(OFFSET(Demand!$H219,0,(COLUMN(C207)-1)*5,1,1))*P$2</f>
        <v>0</v>
      </c>
      <c r="AC210" s="5">
        <f ca="1">SUM(OFFSET(Demand!$H219,0,(COLUMN(D207)-1)*5,1,1))*Q$2</f>
        <v>0</v>
      </c>
      <c r="AD210" s="5">
        <f ca="1">SUM(OFFSET(Demand!$H219,0,(COLUMN(E207)-1)*5,1,1))*R$2</f>
        <v>0</v>
      </c>
      <c r="AE210" s="5">
        <f ca="1">SUM(OFFSET(Demand!$H219,0,(COLUMN(F207)-1)*5,1,1))*S$2</f>
        <v>0</v>
      </c>
      <c r="AF210" s="5">
        <f ca="1">SUM(OFFSET(Demand!$H219,0,(COLUMN(G207)-1)*5,1,1))*T$2</f>
        <v>0</v>
      </c>
      <c r="AG210" s="5">
        <f ca="1">SUM(OFFSET(Demand!$H219,0,(COLUMN(H207)-1)*5,1,1))*U$2</f>
        <v>0</v>
      </c>
      <c r="AH210" s="5">
        <f ca="1">SUM(OFFSET(Demand!$H219,0,(COLUMN(I207)-1)*5,1,1))*V$2</f>
        <v>0</v>
      </c>
      <c r="AI210" s="5">
        <f ca="1">SUM(OFFSET(Demand!$H219,0,(COLUMN(J207)-1)*5,1,1))*W$2</f>
        <v>0</v>
      </c>
      <c r="AJ210" s="5">
        <f t="shared" ca="1" si="49"/>
        <v>0</v>
      </c>
      <c r="AL210" s="5">
        <f t="shared" ca="1" si="50"/>
        <v>0</v>
      </c>
      <c r="AM210" s="5">
        <f t="shared" ca="1" si="51"/>
        <v>0</v>
      </c>
      <c r="AN210" s="5" t="str">
        <f>IF(Demand!BE219="Yes","Yes","")</f>
        <v/>
      </c>
      <c r="AP210" s="37" t="str">
        <f ca="1">Demand!B219</f>
        <v xml:space="preserve"> </v>
      </c>
      <c r="AQ210" t="str">
        <f ca="1">IF(TEXT(Demand!D219,"MMM")&lt;&gt;TEXT(Demand!D218,"MMM"),TEXT(Demand!D219,"MMM"),"")</f>
        <v/>
      </c>
      <c r="AT210" s="5">
        <f t="shared" ca="1" si="53"/>
        <v>0</v>
      </c>
      <c r="BQ210">
        <f ca="1">IF($AN210="",OFFSET(Demand!$A$13,ROW(A207)-1,4+((QUOTIENT(COLUMN(BQ$2)-69,3))*5)+MOD(COLUMN(BQ$2),3),1,1),"")</f>
        <v>0</v>
      </c>
      <c r="BR210">
        <f ca="1">IF($AN210="",OFFSET(Demand!$A$13,ROW(B207)-1,4+((QUOTIENT(COLUMN(BR$2)-69,3))*5)+MOD(COLUMN(BR$2),3),1,1),"")</f>
        <v>0</v>
      </c>
      <c r="BS210">
        <f ca="1">IF($AN210="",OFFSET(Demand!$A$13,ROW(C207)-1,4+((QUOTIENT(COLUMN(BS$2)-69,3))*5)+MOD(COLUMN(BS$2),3),1,1),"")</f>
        <v>0</v>
      </c>
      <c r="BT210">
        <f ca="1">IF($AN210="",OFFSET(Demand!$A$13,ROW(D207)-1,4+((QUOTIENT(COLUMN(BT$2)-69,3))*5)+MOD(COLUMN(BT$2),3),1,1),"")</f>
        <v>0</v>
      </c>
      <c r="BU210">
        <f ca="1">IF($AN210="",OFFSET(Demand!$A$13,ROW(E207)-1,4+((QUOTIENT(COLUMN(BU$2)-69,3))*5)+MOD(COLUMN(BU$2),3),1,1),"")</f>
        <v>0</v>
      </c>
      <c r="BV210">
        <f ca="1">IF($AN210="",OFFSET(Demand!$A$13,ROW(F207)-1,4+((QUOTIENT(COLUMN(BV$2)-69,3))*5)+MOD(COLUMN(BV$2),3),1,1),"")</f>
        <v>0</v>
      </c>
      <c r="BW210">
        <f ca="1">IF($AN210="",OFFSET(Demand!$A$13,ROW(G207)-1,4+((QUOTIENT(COLUMN(BW$2)-69,3))*5)+MOD(COLUMN(BW$2),3),1,1),"")</f>
        <v>0</v>
      </c>
      <c r="BX210">
        <f ca="1">IF($AN210="",OFFSET(Demand!$A$13,ROW(H207)-1,4+((QUOTIENT(COLUMN(BX$2)-69,3))*5)+MOD(COLUMN(BX$2),3),1,1),"")</f>
        <v>0</v>
      </c>
      <c r="BY210">
        <f ca="1">IF($AN210="",OFFSET(Demand!$A$13,ROW(I207)-1,4+((QUOTIENT(COLUMN(BY$2)-69,3))*5)+MOD(COLUMN(BY$2),3),1,1),"")</f>
        <v>0</v>
      </c>
      <c r="BZ210">
        <f ca="1">IF($AN210="",OFFSET(Demand!$A$13,ROW(J207)-1,4+((QUOTIENT(COLUMN(BZ$2)-69,3))*5)+MOD(COLUMN(BZ$2),3),1,1),"")</f>
        <v>0</v>
      </c>
      <c r="CA210">
        <f ca="1">IF($AN210="",OFFSET(Demand!$A$13,ROW(K207)-1,4+((QUOTIENT(COLUMN(CA$2)-69,3))*5)+MOD(COLUMN(CA$2),3),1,1),"")</f>
        <v>0</v>
      </c>
      <c r="CB210">
        <f ca="1">IF($AN210="",OFFSET(Demand!$A$13,ROW(L207)-1,4+((QUOTIENT(COLUMN(CB$2)-69,3))*5)+MOD(COLUMN(CB$2),3),1,1),"")</f>
        <v>0</v>
      </c>
      <c r="CC210">
        <f ca="1">IF($AN210="",OFFSET(Demand!$A$13,ROW(M207)-1,4+((QUOTIENT(COLUMN(CC$2)-69,3))*5)+MOD(COLUMN(CC$2),3),1,1),"")</f>
        <v>0</v>
      </c>
      <c r="CD210">
        <f ca="1">IF($AN210="",OFFSET(Demand!$A$13,ROW(N207)-1,4+((QUOTIENT(COLUMN(CD$2)-69,3))*5)+MOD(COLUMN(CD$2),3),1,1),"")</f>
        <v>0</v>
      </c>
      <c r="CE210">
        <f ca="1">IF($AN210="",OFFSET(Demand!$A$13,ROW(O207)-1,4+((QUOTIENT(COLUMN(CE$2)-69,3))*5)+MOD(COLUMN(CE$2),3),1,1),"")</f>
        <v>0</v>
      </c>
      <c r="CF210">
        <f ca="1">IF($AN210="",OFFSET(Demand!$A$13,ROW(P207)-1,4+((QUOTIENT(COLUMN(CF$2)-69,3))*5)+MOD(COLUMN(CF$2),3),1,1),"")</f>
        <v>0</v>
      </c>
      <c r="CG210">
        <f ca="1">IF($AN210="",OFFSET(Demand!$A$13,ROW(Q207)-1,4+((QUOTIENT(COLUMN(CG$2)-69,3))*5)+MOD(COLUMN(CG$2),3),1,1),"")</f>
        <v>0</v>
      </c>
      <c r="CH210">
        <f ca="1">IF($AN210="",OFFSET(Demand!$A$13,ROW(R207)-1,4+((QUOTIENT(COLUMN(CH$2)-69,3))*5)+MOD(COLUMN(CH$2),3),1,1),"")</f>
        <v>0</v>
      </c>
      <c r="CI210">
        <f ca="1">IF($AN210="",OFFSET(Demand!$A$13,ROW(S207)-1,4+((QUOTIENT(COLUMN(CI$2)-69,3))*5)+MOD(COLUMN(CI$2),3),1,1),"")</f>
        <v>0</v>
      </c>
      <c r="CJ210">
        <f ca="1">IF($AN210="",OFFSET(Demand!$A$13,ROW(T207)-1,4+((QUOTIENT(COLUMN(CJ$2)-69,3))*5)+MOD(COLUMN(CJ$2),3),1,1),"")</f>
        <v>0</v>
      </c>
      <c r="CK210">
        <f ca="1">IF($AN210="",OFFSET(Demand!$A$13,ROW(U207)-1,4+((QUOTIENT(COLUMN(CK$2)-69,3))*5)+MOD(COLUMN(CK$2),3),1,1),"")</f>
        <v>0</v>
      </c>
      <c r="CL210">
        <f ca="1">IF($AN210="",OFFSET(Demand!$A$13,ROW(V207)-1,4+((QUOTIENT(COLUMN(CL$2)-69,3))*5)+MOD(COLUMN(CL$2),3),1,1),"")</f>
        <v>0</v>
      </c>
      <c r="CM210">
        <f ca="1">IF($AN210="",OFFSET(Demand!$A$13,ROW(W207)-1,4+((QUOTIENT(COLUMN(CM$2)-69,3))*5)+MOD(COLUMN(CM$2),3),1,1),"")</f>
        <v>0</v>
      </c>
      <c r="CN210">
        <f ca="1">IF($AN210="",OFFSET(Demand!$A$13,ROW(X207)-1,4+((QUOTIENT(COLUMN(CN$2)-69,3))*5)+MOD(COLUMN(CN$2),3),1,1),"")</f>
        <v>0</v>
      </c>
      <c r="CO210">
        <f ca="1">IF($AN210="",OFFSET(Demand!$A$13,ROW(Y207)-1,4+((QUOTIENT(COLUMN(CO$2)-69,3))*5)+MOD(COLUMN(CO$2),3),1,1),"")</f>
        <v>0</v>
      </c>
      <c r="CP210">
        <f ca="1">IF($AN210="",OFFSET(Demand!$A$13,ROW(Z207)-1,4+((QUOTIENT(COLUMN(CP$2)-69,3))*5)+MOD(COLUMN(CP$2),3),1,1),"")</f>
        <v>0</v>
      </c>
      <c r="CQ210">
        <f ca="1">IF($AN210="",OFFSET(Demand!$A$13,ROW(AA207)-1,4+((QUOTIENT(COLUMN(CQ$2)-69,3))*5)+MOD(COLUMN(CQ$2),3),1,1),"")</f>
        <v>0</v>
      </c>
      <c r="CR210">
        <f ca="1">IF($AN210="",OFFSET(Demand!$A$13,ROW(AB207)-1,4+((QUOTIENT(COLUMN(CR$2)-69,3))*5)+MOD(COLUMN(CR$2),3),1,1),"")</f>
        <v>0</v>
      </c>
      <c r="CS210">
        <f ca="1">IF($AN210="",OFFSET(Demand!$A$13,ROW(AC207)-1,4+((QUOTIENT(COLUMN(CS$2)-69,3))*5)+MOD(COLUMN(CS$2),3),1,1),"")</f>
        <v>0</v>
      </c>
      <c r="CT210">
        <f ca="1">IF($AN210="",OFFSET(Demand!$A$13,ROW(AD207)-1,4+((QUOTIENT(COLUMN(CT$2)-69,3))*5)+MOD(COLUMN(CT$2),3),1,1),"")</f>
        <v>0</v>
      </c>
      <c r="CW210" s="5">
        <f ca="1">SUM(OFFSET(Demand!$H$43,ROW(A207)-1,(COLUMN(A207)-1)*5,1,1))*N$2</f>
        <v>0</v>
      </c>
      <c r="CX210" s="5">
        <f ca="1">SUM(OFFSET(Demand!$H$43,ROW(B207)-1,(COLUMN(B207)-1)*5,1,1))*O$2</f>
        <v>0</v>
      </c>
      <c r="CY210" s="5">
        <f ca="1">SUM(OFFSET(Demand!$H$43,ROW(C207)-1,(COLUMN(C207)-1)*5,1,1))*P$2</f>
        <v>0</v>
      </c>
      <c r="CZ210" s="5">
        <f ca="1">SUM(OFFSET(Demand!$H$43,ROW(D207)-1,(COLUMN(D207)-1)*5,1,1))*Q$2</f>
        <v>0</v>
      </c>
      <c r="DA210" s="5">
        <f ca="1">SUM(OFFSET(Demand!$H$43,ROW(E207)-1,(COLUMN(E207)-1)*5,1,1))*R$2</f>
        <v>0</v>
      </c>
      <c r="DB210" s="5">
        <f ca="1">SUM(OFFSET(Demand!$H$43,ROW(F207)-1,(COLUMN(F207)-1)*5,1,1))*S$2</f>
        <v>0</v>
      </c>
      <c r="DC210" s="5">
        <f ca="1">SUM(OFFSET(Demand!$H$43,ROW(G207)-1,(COLUMN(G207)-1)*5,1,1))*T$2</f>
        <v>0</v>
      </c>
      <c r="DD210" s="5">
        <f ca="1">SUM(OFFSET(Demand!$H$43,ROW(H207)-1,(COLUMN(H207)-1)*5,1,1))*U$2</f>
        <v>0</v>
      </c>
      <c r="DE210" s="5">
        <f ca="1">SUM(OFFSET(Demand!$H$43,ROW(I207)-1,(COLUMN(I207)-1)*5,1,1))*V$2</f>
        <v>0</v>
      </c>
      <c r="DF210" s="5">
        <f ca="1">SUM(OFFSET(Demand!$H$43,ROW(J207)-1,(COLUMN(J207)-1)*5,1,1))*W$2</f>
        <v>0</v>
      </c>
      <c r="DG210" s="5">
        <f t="shared" ca="1" si="52"/>
        <v>0</v>
      </c>
    </row>
    <row r="211" spans="1:111" x14ac:dyDescent="0.2">
      <c r="A211" s="5">
        <f t="shared" ca="1" si="46"/>
        <v>2</v>
      </c>
      <c r="B211" s="5">
        <f ca="1">COUNTBLANK(OFFSET(Demand!$I220,0,(COLUMN(A208)-1)*5,1,1))</f>
        <v>1</v>
      </c>
      <c r="C211" s="5">
        <f ca="1">COUNTBLANK(OFFSET(Demand!$I220,0,(COLUMN(B208)-1)*5,1,1))</f>
        <v>1</v>
      </c>
      <c r="D211" s="5">
        <f ca="1">COUNTBLANK(OFFSET(Demand!$I220,0,(COLUMN(C208)-1)*5,1,1))</f>
        <v>1</v>
      </c>
      <c r="E211" s="5">
        <f ca="1">COUNTBLANK(OFFSET(Demand!$I220,0,(COLUMN(D208)-1)*5,1,1))</f>
        <v>1</v>
      </c>
      <c r="F211" s="5">
        <f ca="1">COUNTBLANK(OFFSET(Demand!$I220,0,(COLUMN(E208)-1)*5,1,1))</f>
        <v>1</v>
      </c>
      <c r="G211" s="5">
        <f ca="1">COUNTBLANK(OFFSET(Demand!$I220,0,(COLUMN(F208)-1)*5,1,1))</f>
        <v>1</v>
      </c>
      <c r="H211" s="5">
        <f ca="1">COUNTBLANK(OFFSET(Demand!$I220,0,(COLUMN(G208)-1)*5,1,1))</f>
        <v>1</v>
      </c>
      <c r="I211" s="5">
        <f ca="1">COUNTBLANK(OFFSET(Demand!$I220,0,(COLUMN(H208)-1)*5,1,1))</f>
        <v>1</v>
      </c>
      <c r="J211" s="5">
        <f ca="1">COUNTBLANK(OFFSET(Demand!$I220,0,(COLUMN(I208)-1)*5,1,1))</f>
        <v>1</v>
      </c>
      <c r="K211" s="5">
        <f ca="1">COUNTBLANK(OFFSET(Demand!$I220,0,(COLUMN(J208)-1)*5,1,1))</f>
        <v>1</v>
      </c>
      <c r="N211" s="5">
        <f ca="1">SUM(OFFSET(Demand!$E220,0,(COLUMN(A208)-1)*5,1,3))*N$2</f>
        <v>0</v>
      </c>
      <c r="O211" s="5">
        <f ca="1">SUM(OFFSET(Demand!$E220,0,(COLUMN(B208)-1)*5,1,3))*O$2</f>
        <v>0</v>
      </c>
      <c r="P211" s="5">
        <f ca="1">SUM(OFFSET(Demand!$E220,0,(COLUMN(C208)-1)*5,1,3))*P$2</f>
        <v>0</v>
      </c>
      <c r="Q211" s="5">
        <f ca="1">SUM(OFFSET(Demand!$E220,0,(COLUMN(D208)-1)*5,1,3))*Q$2</f>
        <v>0</v>
      </c>
      <c r="R211" s="5">
        <f ca="1">SUM(OFFSET(Demand!$E220,0,(COLUMN(E208)-1)*5,1,3))*R$2</f>
        <v>0</v>
      </c>
      <c r="S211" s="5">
        <f ca="1">SUM(OFFSET(Demand!$E220,0,(COLUMN(F208)-1)*5,1,3))*S$2</f>
        <v>0</v>
      </c>
      <c r="T211" s="5">
        <f ca="1">SUM(OFFSET(Demand!$E220,0,(COLUMN(G208)-1)*5,1,3))*T$2</f>
        <v>0</v>
      </c>
      <c r="U211" s="5">
        <f ca="1">SUM(OFFSET(Demand!$E220,0,(COLUMN(H208)-1)*5,1,3))*U$2</f>
        <v>0</v>
      </c>
      <c r="V211" s="5">
        <f ca="1">SUM(OFFSET(Demand!$E220,0,(COLUMN(I208)-1)*5,1,3))*V$2</f>
        <v>0</v>
      </c>
      <c r="W211" s="5">
        <f ca="1">SUM(OFFSET(Demand!$E220,0,(COLUMN(J208)-1)*5,1,3))*W$2</f>
        <v>0</v>
      </c>
      <c r="X211" s="5">
        <f t="shared" ca="1" si="47"/>
        <v>0</v>
      </c>
      <c r="Y211">
        <f t="shared" ca="1" si="48"/>
        <v>0</v>
      </c>
      <c r="Z211" s="5">
        <f ca="1">SUM(OFFSET(Demand!$H220,0,(COLUMN(A208)-1)*5,1,1))*N$2</f>
        <v>0</v>
      </c>
      <c r="AA211" s="5">
        <f ca="1">SUM(OFFSET(Demand!$H220,0,(COLUMN(B208)-1)*5,1,1))*O$2</f>
        <v>0</v>
      </c>
      <c r="AB211" s="5">
        <f ca="1">SUM(OFFSET(Demand!$H220,0,(COLUMN(C208)-1)*5,1,1))*P$2</f>
        <v>0</v>
      </c>
      <c r="AC211" s="5">
        <f ca="1">SUM(OFFSET(Demand!$H220,0,(COLUMN(D208)-1)*5,1,1))*Q$2</f>
        <v>0</v>
      </c>
      <c r="AD211" s="5">
        <f ca="1">SUM(OFFSET(Demand!$H220,0,(COLUMN(E208)-1)*5,1,1))*R$2</f>
        <v>0</v>
      </c>
      <c r="AE211" s="5">
        <f ca="1">SUM(OFFSET(Demand!$H220,0,(COLUMN(F208)-1)*5,1,1))*S$2</f>
        <v>0</v>
      </c>
      <c r="AF211" s="5">
        <f ca="1">SUM(OFFSET(Demand!$H220,0,(COLUMN(G208)-1)*5,1,1))*T$2</f>
        <v>0</v>
      </c>
      <c r="AG211" s="5">
        <f ca="1">SUM(OFFSET(Demand!$H220,0,(COLUMN(H208)-1)*5,1,1))*U$2</f>
        <v>0</v>
      </c>
      <c r="AH211" s="5">
        <f ca="1">SUM(OFFSET(Demand!$H220,0,(COLUMN(I208)-1)*5,1,1))*V$2</f>
        <v>0</v>
      </c>
      <c r="AI211" s="5">
        <f ca="1">SUM(OFFSET(Demand!$H220,0,(COLUMN(J208)-1)*5,1,1))*W$2</f>
        <v>0</v>
      </c>
      <c r="AJ211" s="5">
        <f t="shared" ca="1" si="49"/>
        <v>0</v>
      </c>
      <c r="AL211" s="5">
        <f t="shared" ca="1" si="50"/>
        <v>0</v>
      </c>
      <c r="AM211" s="5">
        <f t="shared" ca="1" si="51"/>
        <v>0</v>
      </c>
      <c r="AN211" s="5" t="str">
        <f>IF(Demand!BE220="Yes","Yes","")</f>
        <v/>
      </c>
      <c r="AP211" s="37" t="str">
        <f ca="1">Demand!B220</f>
        <v xml:space="preserve"> </v>
      </c>
      <c r="AQ211" t="str">
        <f ca="1">IF(TEXT(Demand!D220,"MMM")&lt;&gt;TEXT(Demand!D219,"MMM"),TEXT(Demand!D220,"MMM"),"")</f>
        <v/>
      </c>
      <c r="AT211" s="5">
        <f t="shared" ca="1" si="53"/>
        <v>0</v>
      </c>
      <c r="BQ211">
        <f ca="1">IF($AN211="",OFFSET(Demand!$A$13,ROW(A208)-1,4+((QUOTIENT(COLUMN(BQ$2)-69,3))*5)+MOD(COLUMN(BQ$2),3),1,1),"")</f>
        <v>0</v>
      </c>
      <c r="BR211">
        <f ca="1">IF($AN211="",OFFSET(Demand!$A$13,ROW(B208)-1,4+((QUOTIENT(COLUMN(BR$2)-69,3))*5)+MOD(COLUMN(BR$2),3),1,1),"")</f>
        <v>0</v>
      </c>
      <c r="BS211">
        <f ca="1">IF($AN211="",OFFSET(Demand!$A$13,ROW(C208)-1,4+((QUOTIENT(COLUMN(BS$2)-69,3))*5)+MOD(COLUMN(BS$2),3),1,1),"")</f>
        <v>0</v>
      </c>
      <c r="BT211">
        <f ca="1">IF($AN211="",OFFSET(Demand!$A$13,ROW(D208)-1,4+((QUOTIENT(COLUMN(BT$2)-69,3))*5)+MOD(COLUMN(BT$2),3),1,1),"")</f>
        <v>0</v>
      </c>
      <c r="BU211">
        <f ca="1">IF($AN211="",OFFSET(Demand!$A$13,ROW(E208)-1,4+((QUOTIENT(COLUMN(BU$2)-69,3))*5)+MOD(COLUMN(BU$2),3),1,1),"")</f>
        <v>0</v>
      </c>
      <c r="BV211">
        <f ca="1">IF($AN211="",OFFSET(Demand!$A$13,ROW(F208)-1,4+((QUOTIENT(COLUMN(BV$2)-69,3))*5)+MOD(COLUMN(BV$2),3),1,1),"")</f>
        <v>0</v>
      </c>
      <c r="BW211">
        <f ca="1">IF($AN211="",OFFSET(Demand!$A$13,ROW(G208)-1,4+((QUOTIENT(COLUMN(BW$2)-69,3))*5)+MOD(COLUMN(BW$2),3),1,1),"")</f>
        <v>0</v>
      </c>
      <c r="BX211">
        <f ca="1">IF($AN211="",OFFSET(Demand!$A$13,ROW(H208)-1,4+((QUOTIENT(COLUMN(BX$2)-69,3))*5)+MOD(COLUMN(BX$2),3),1,1),"")</f>
        <v>0</v>
      </c>
      <c r="BY211">
        <f ca="1">IF($AN211="",OFFSET(Demand!$A$13,ROW(I208)-1,4+((QUOTIENT(COLUMN(BY$2)-69,3))*5)+MOD(COLUMN(BY$2),3),1,1),"")</f>
        <v>0</v>
      </c>
      <c r="BZ211">
        <f ca="1">IF($AN211="",OFFSET(Demand!$A$13,ROW(J208)-1,4+((QUOTIENT(COLUMN(BZ$2)-69,3))*5)+MOD(COLUMN(BZ$2),3),1,1),"")</f>
        <v>0</v>
      </c>
      <c r="CA211">
        <f ca="1">IF($AN211="",OFFSET(Demand!$A$13,ROW(K208)-1,4+((QUOTIENT(COLUMN(CA$2)-69,3))*5)+MOD(COLUMN(CA$2),3),1,1),"")</f>
        <v>0</v>
      </c>
      <c r="CB211">
        <f ca="1">IF($AN211="",OFFSET(Demand!$A$13,ROW(L208)-1,4+((QUOTIENT(COLUMN(CB$2)-69,3))*5)+MOD(COLUMN(CB$2),3),1,1),"")</f>
        <v>0</v>
      </c>
      <c r="CC211">
        <f ca="1">IF($AN211="",OFFSET(Demand!$A$13,ROW(M208)-1,4+((QUOTIENT(COLUMN(CC$2)-69,3))*5)+MOD(COLUMN(CC$2),3),1,1),"")</f>
        <v>0</v>
      </c>
      <c r="CD211">
        <f ca="1">IF($AN211="",OFFSET(Demand!$A$13,ROW(N208)-1,4+((QUOTIENT(COLUMN(CD$2)-69,3))*5)+MOD(COLUMN(CD$2),3),1,1),"")</f>
        <v>0</v>
      </c>
      <c r="CE211">
        <f ca="1">IF($AN211="",OFFSET(Demand!$A$13,ROW(O208)-1,4+((QUOTIENT(COLUMN(CE$2)-69,3))*5)+MOD(COLUMN(CE$2),3),1,1),"")</f>
        <v>0</v>
      </c>
      <c r="CF211">
        <f ca="1">IF($AN211="",OFFSET(Demand!$A$13,ROW(P208)-1,4+((QUOTIENT(COLUMN(CF$2)-69,3))*5)+MOD(COLUMN(CF$2),3),1,1),"")</f>
        <v>0</v>
      </c>
      <c r="CG211">
        <f ca="1">IF($AN211="",OFFSET(Demand!$A$13,ROW(Q208)-1,4+((QUOTIENT(COLUMN(CG$2)-69,3))*5)+MOD(COLUMN(CG$2),3),1,1),"")</f>
        <v>0</v>
      </c>
      <c r="CH211">
        <f ca="1">IF($AN211="",OFFSET(Demand!$A$13,ROW(R208)-1,4+((QUOTIENT(COLUMN(CH$2)-69,3))*5)+MOD(COLUMN(CH$2),3),1,1),"")</f>
        <v>0</v>
      </c>
      <c r="CI211">
        <f ca="1">IF($AN211="",OFFSET(Demand!$A$13,ROW(S208)-1,4+((QUOTIENT(COLUMN(CI$2)-69,3))*5)+MOD(COLUMN(CI$2),3),1,1),"")</f>
        <v>0</v>
      </c>
      <c r="CJ211">
        <f ca="1">IF($AN211="",OFFSET(Demand!$A$13,ROW(T208)-1,4+((QUOTIENT(COLUMN(CJ$2)-69,3))*5)+MOD(COLUMN(CJ$2),3),1,1),"")</f>
        <v>0</v>
      </c>
      <c r="CK211">
        <f ca="1">IF($AN211="",OFFSET(Demand!$A$13,ROW(U208)-1,4+((QUOTIENT(COLUMN(CK$2)-69,3))*5)+MOD(COLUMN(CK$2),3),1,1),"")</f>
        <v>0</v>
      </c>
      <c r="CL211">
        <f ca="1">IF($AN211="",OFFSET(Demand!$A$13,ROW(V208)-1,4+((QUOTIENT(COLUMN(CL$2)-69,3))*5)+MOD(COLUMN(CL$2),3),1,1),"")</f>
        <v>0</v>
      </c>
      <c r="CM211">
        <f ca="1">IF($AN211="",OFFSET(Demand!$A$13,ROW(W208)-1,4+((QUOTIENT(COLUMN(CM$2)-69,3))*5)+MOD(COLUMN(CM$2),3),1,1),"")</f>
        <v>0</v>
      </c>
      <c r="CN211">
        <f ca="1">IF($AN211="",OFFSET(Demand!$A$13,ROW(X208)-1,4+((QUOTIENT(COLUMN(CN$2)-69,3))*5)+MOD(COLUMN(CN$2),3),1,1),"")</f>
        <v>0</v>
      </c>
      <c r="CO211">
        <f ca="1">IF($AN211="",OFFSET(Demand!$A$13,ROW(Y208)-1,4+((QUOTIENT(COLUMN(CO$2)-69,3))*5)+MOD(COLUMN(CO$2),3),1,1),"")</f>
        <v>0</v>
      </c>
      <c r="CP211">
        <f ca="1">IF($AN211="",OFFSET(Demand!$A$13,ROW(Z208)-1,4+((QUOTIENT(COLUMN(CP$2)-69,3))*5)+MOD(COLUMN(CP$2),3),1,1),"")</f>
        <v>0</v>
      </c>
      <c r="CQ211">
        <f ca="1">IF($AN211="",OFFSET(Demand!$A$13,ROW(AA208)-1,4+((QUOTIENT(COLUMN(CQ$2)-69,3))*5)+MOD(COLUMN(CQ$2),3),1,1),"")</f>
        <v>0</v>
      </c>
      <c r="CR211">
        <f ca="1">IF($AN211="",OFFSET(Demand!$A$13,ROW(AB208)-1,4+((QUOTIENT(COLUMN(CR$2)-69,3))*5)+MOD(COLUMN(CR$2),3),1,1),"")</f>
        <v>0</v>
      </c>
      <c r="CS211">
        <f ca="1">IF($AN211="",OFFSET(Demand!$A$13,ROW(AC208)-1,4+((QUOTIENT(COLUMN(CS$2)-69,3))*5)+MOD(COLUMN(CS$2),3),1,1),"")</f>
        <v>0</v>
      </c>
      <c r="CT211">
        <f ca="1">IF($AN211="",OFFSET(Demand!$A$13,ROW(AD208)-1,4+((QUOTIENT(COLUMN(CT$2)-69,3))*5)+MOD(COLUMN(CT$2),3),1,1),"")</f>
        <v>0</v>
      </c>
      <c r="CW211" s="5">
        <f ca="1">SUM(OFFSET(Demand!$H$43,ROW(A208)-1,(COLUMN(A208)-1)*5,1,1))*N$2</f>
        <v>0</v>
      </c>
      <c r="CX211" s="5">
        <f ca="1">SUM(OFFSET(Demand!$H$43,ROW(B208)-1,(COLUMN(B208)-1)*5,1,1))*O$2</f>
        <v>0</v>
      </c>
      <c r="CY211" s="5">
        <f ca="1">SUM(OFFSET(Demand!$H$43,ROW(C208)-1,(COLUMN(C208)-1)*5,1,1))*P$2</f>
        <v>0</v>
      </c>
      <c r="CZ211" s="5">
        <f ca="1">SUM(OFFSET(Demand!$H$43,ROW(D208)-1,(COLUMN(D208)-1)*5,1,1))*Q$2</f>
        <v>0</v>
      </c>
      <c r="DA211" s="5">
        <f ca="1">SUM(OFFSET(Demand!$H$43,ROW(E208)-1,(COLUMN(E208)-1)*5,1,1))*R$2</f>
        <v>0</v>
      </c>
      <c r="DB211" s="5">
        <f ca="1">SUM(OFFSET(Demand!$H$43,ROW(F208)-1,(COLUMN(F208)-1)*5,1,1))*S$2</f>
        <v>0</v>
      </c>
      <c r="DC211" s="5">
        <f ca="1">SUM(OFFSET(Demand!$H$43,ROW(G208)-1,(COLUMN(G208)-1)*5,1,1))*T$2</f>
        <v>0</v>
      </c>
      <c r="DD211" s="5">
        <f ca="1">SUM(OFFSET(Demand!$H$43,ROW(H208)-1,(COLUMN(H208)-1)*5,1,1))*U$2</f>
        <v>0</v>
      </c>
      <c r="DE211" s="5">
        <f ca="1">SUM(OFFSET(Demand!$H$43,ROW(I208)-1,(COLUMN(I208)-1)*5,1,1))*V$2</f>
        <v>0</v>
      </c>
      <c r="DF211" s="5">
        <f ca="1">SUM(OFFSET(Demand!$H$43,ROW(J208)-1,(COLUMN(J208)-1)*5,1,1))*W$2</f>
        <v>0</v>
      </c>
      <c r="DG211" s="5">
        <f t="shared" ca="1" si="52"/>
        <v>0</v>
      </c>
    </row>
    <row r="212" spans="1:111" x14ac:dyDescent="0.2">
      <c r="A212" s="5">
        <f t="shared" ca="1" si="46"/>
        <v>2</v>
      </c>
      <c r="B212" s="5">
        <f ca="1">COUNTBLANK(OFFSET(Demand!$I221,0,(COLUMN(A209)-1)*5,1,1))</f>
        <v>1</v>
      </c>
      <c r="C212" s="5">
        <f ca="1">COUNTBLANK(OFFSET(Demand!$I221,0,(COLUMN(B209)-1)*5,1,1))</f>
        <v>1</v>
      </c>
      <c r="D212" s="5">
        <f ca="1">COUNTBLANK(OFFSET(Demand!$I221,0,(COLUMN(C209)-1)*5,1,1))</f>
        <v>1</v>
      </c>
      <c r="E212" s="5">
        <f ca="1">COUNTBLANK(OFFSET(Demand!$I221,0,(COLUMN(D209)-1)*5,1,1))</f>
        <v>1</v>
      </c>
      <c r="F212" s="5">
        <f ca="1">COUNTBLANK(OFFSET(Demand!$I221,0,(COLUMN(E209)-1)*5,1,1))</f>
        <v>1</v>
      </c>
      <c r="G212" s="5">
        <f ca="1">COUNTBLANK(OFFSET(Demand!$I221,0,(COLUMN(F209)-1)*5,1,1))</f>
        <v>1</v>
      </c>
      <c r="H212" s="5">
        <f ca="1">COUNTBLANK(OFFSET(Demand!$I221,0,(COLUMN(G209)-1)*5,1,1))</f>
        <v>1</v>
      </c>
      <c r="I212" s="5">
        <f ca="1">COUNTBLANK(OFFSET(Demand!$I221,0,(COLUMN(H209)-1)*5,1,1))</f>
        <v>1</v>
      </c>
      <c r="J212" s="5">
        <f ca="1">COUNTBLANK(OFFSET(Demand!$I221,0,(COLUMN(I209)-1)*5,1,1))</f>
        <v>1</v>
      </c>
      <c r="K212" s="5">
        <f ca="1">COUNTBLANK(OFFSET(Demand!$I221,0,(COLUMN(J209)-1)*5,1,1))</f>
        <v>1</v>
      </c>
      <c r="N212" s="5">
        <f ca="1">SUM(OFFSET(Demand!$E221,0,(COLUMN(A209)-1)*5,1,3))*N$2</f>
        <v>0</v>
      </c>
      <c r="O212" s="5">
        <f ca="1">SUM(OFFSET(Demand!$E221,0,(COLUMN(B209)-1)*5,1,3))*O$2</f>
        <v>0</v>
      </c>
      <c r="P212" s="5">
        <f ca="1">SUM(OFFSET(Demand!$E221,0,(COLUMN(C209)-1)*5,1,3))*P$2</f>
        <v>0</v>
      </c>
      <c r="Q212" s="5">
        <f ca="1">SUM(OFFSET(Demand!$E221,0,(COLUMN(D209)-1)*5,1,3))*Q$2</f>
        <v>0</v>
      </c>
      <c r="R212" s="5">
        <f ca="1">SUM(OFFSET(Demand!$E221,0,(COLUMN(E209)-1)*5,1,3))*R$2</f>
        <v>0</v>
      </c>
      <c r="S212" s="5">
        <f ca="1">SUM(OFFSET(Demand!$E221,0,(COLUMN(F209)-1)*5,1,3))*S$2</f>
        <v>0</v>
      </c>
      <c r="T212" s="5">
        <f ca="1">SUM(OFFSET(Demand!$E221,0,(COLUMN(G209)-1)*5,1,3))*T$2</f>
        <v>0</v>
      </c>
      <c r="U212" s="5">
        <f ca="1">SUM(OFFSET(Demand!$E221,0,(COLUMN(H209)-1)*5,1,3))*U$2</f>
        <v>0</v>
      </c>
      <c r="V212" s="5">
        <f ca="1">SUM(OFFSET(Demand!$E221,0,(COLUMN(I209)-1)*5,1,3))*V$2</f>
        <v>0</v>
      </c>
      <c r="W212" s="5">
        <f ca="1">SUM(OFFSET(Demand!$E221,0,(COLUMN(J209)-1)*5,1,3))*W$2</f>
        <v>0</v>
      </c>
      <c r="X212" s="5">
        <f t="shared" ca="1" si="47"/>
        <v>0</v>
      </c>
      <c r="Y212">
        <f t="shared" ca="1" si="48"/>
        <v>0</v>
      </c>
      <c r="Z212" s="5">
        <f ca="1">SUM(OFFSET(Demand!$H221,0,(COLUMN(A209)-1)*5,1,1))*N$2</f>
        <v>0</v>
      </c>
      <c r="AA212" s="5">
        <f ca="1">SUM(OFFSET(Demand!$H221,0,(COLUMN(B209)-1)*5,1,1))*O$2</f>
        <v>0</v>
      </c>
      <c r="AB212" s="5">
        <f ca="1">SUM(OFFSET(Demand!$H221,0,(COLUMN(C209)-1)*5,1,1))*P$2</f>
        <v>0</v>
      </c>
      <c r="AC212" s="5">
        <f ca="1">SUM(OFFSET(Demand!$H221,0,(COLUMN(D209)-1)*5,1,1))*Q$2</f>
        <v>0</v>
      </c>
      <c r="AD212" s="5">
        <f ca="1">SUM(OFFSET(Demand!$H221,0,(COLUMN(E209)-1)*5,1,1))*R$2</f>
        <v>0</v>
      </c>
      <c r="AE212" s="5">
        <f ca="1">SUM(OFFSET(Demand!$H221,0,(COLUMN(F209)-1)*5,1,1))*S$2</f>
        <v>0</v>
      </c>
      <c r="AF212" s="5">
        <f ca="1">SUM(OFFSET(Demand!$H221,0,(COLUMN(G209)-1)*5,1,1))*T$2</f>
        <v>0</v>
      </c>
      <c r="AG212" s="5">
        <f ca="1">SUM(OFFSET(Demand!$H221,0,(COLUMN(H209)-1)*5,1,1))*U$2</f>
        <v>0</v>
      </c>
      <c r="AH212" s="5">
        <f ca="1">SUM(OFFSET(Demand!$H221,0,(COLUMN(I209)-1)*5,1,1))*V$2</f>
        <v>0</v>
      </c>
      <c r="AI212" s="5">
        <f ca="1">SUM(OFFSET(Demand!$H221,0,(COLUMN(J209)-1)*5,1,1))*W$2</f>
        <v>0</v>
      </c>
      <c r="AJ212" s="5">
        <f t="shared" ca="1" si="49"/>
        <v>0</v>
      </c>
      <c r="AL212" s="5">
        <f t="shared" ca="1" si="50"/>
        <v>0</v>
      </c>
      <c r="AM212" s="5">
        <f t="shared" ca="1" si="51"/>
        <v>0</v>
      </c>
      <c r="AN212" s="5" t="str">
        <f>IF(Demand!BE221="Yes","Yes","")</f>
        <v/>
      </c>
      <c r="AP212" s="37" t="str">
        <f ca="1">Demand!B221</f>
        <v xml:space="preserve"> </v>
      </c>
      <c r="AQ212" t="str">
        <f ca="1">IF(TEXT(Demand!D221,"MMM")&lt;&gt;TEXT(Demand!D220,"MMM"),TEXT(Demand!D221,"MMM"),"")</f>
        <v/>
      </c>
      <c r="AT212" s="5">
        <f t="shared" ca="1" si="53"/>
        <v>0</v>
      </c>
      <c r="BQ212">
        <f ca="1">IF($AN212="",OFFSET(Demand!$A$13,ROW(A209)-1,4+((QUOTIENT(COLUMN(BQ$2)-69,3))*5)+MOD(COLUMN(BQ$2),3),1,1),"")</f>
        <v>0</v>
      </c>
      <c r="BR212">
        <f ca="1">IF($AN212="",OFFSET(Demand!$A$13,ROW(B209)-1,4+((QUOTIENT(COLUMN(BR$2)-69,3))*5)+MOD(COLUMN(BR$2),3),1,1),"")</f>
        <v>0</v>
      </c>
      <c r="BS212">
        <f ca="1">IF($AN212="",OFFSET(Demand!$A$13,ROW(C209)-1,4+((QUOTIENT(COLUMN(BS$2)-69,3))*5)+MOD(COLUMN(BS$2),3),1,1),"")</f>
        <v>0</v>
      </c>
      <c r="BT212">
        <f ca="1">IF($AN212="",OFFSET(Demand!$A$13,ROW(D209)-1,4+((QUOTIENT(COLUMN(BT$2)-69,3))*5)+MOD(COLUMN(BT$2),3),1,1),"")</f>
        <v>0</v>
      </c>
      <c r="BU212">
        <f ca="1">IF($AN212="",OFFSET(Demand!$A$13,ROW(E209)-1,4+((QUOTIENT(COLUMN(BU$2)-69,3))*5)+MOD(COLUMN(BU$2),3),1,1),"")</f>
        <v>0</v>
      </c>
      <c r="BV212">
        <f ca="1">IF($AN212="",OFFSET(Demand!$A$13,ROW(F209)-1,4+((QUOTIENT(COLUMN(BV$2)-69,3))*5)+MOD(COLUMN(BV$2),3),1,1),"")</f>
        <v>0</v>
      </c>
      <c r="BW212">
        <f ca="1">IF($AN212="",OFFSET(Demand!$A$13,ROW(G209)-1,4+((QUOTIENT(COLUMN(BW$2)-69,3))*5)+MOD(COLUMN(BW$2),3),1,1),"")</f>
        <v>0</v>
      </c>
      <c r="BX212">
        <f ca="1">IF($AN212="",OFFSET(Demand!$A$13,ROW(H209)-1,4+((QUOTIENT(COLUMN(BX$2)-69,3))*5)+MOD(COLUMN(BX$2),3),1,1),"")</f>
        <v>0</v>
      </c>
      <c r="BY212">
        <f ca="1">IF($AN212="",OFFSET(Demand!$A$13,ROW(I209)-1,4+((QUOTIENT(COLUMN(BY$2)-69,3))*5)+MOD(COLUMN(BY$2),3),1,1),"")</f>
        <v>0</v>
      </c>
      <c r="BZ212">
        <f ca="1">IF($AN212="",OFFSET(Demand!$A$13,ROW(J209)-1,4+((QUOTIENT(COLUMN(BZ$2)-69,3))*5)+MOD(COLUMN(BZ$2),3),1,1),"")</f>
        <v>0</v>
      </c>
      <c r="CA212">
        <f ca="1">IF($AN212="",OFFSET(Demand!$A$13,ROW(K209)-1,4+((QUOTIENT(COLUMN(CA$2)-69,3))*5)+MOD(COLUMN(CA$2),3),1,1),"")</f>
        <v>0</v>
      </c>
      <c r="CB212">
        <f ca="1">IF($AN212="",OFFSET(Demand!$A$13,ROW(L209)-1,4+((QUOTIENT(COLUMN(CB$2)-69,3))*5)+MOD(COLUMN(CB$2),3),1,1),"")</f>
        <v>0</v>
      </c>
      <c r="CC212">
        <f ca="1">IF($AN212="",OFFSET(Demand!$A$13,ROW(M209)-1,4+((QUOTIENT(COLUMN(CC$2)-69,3))*5)+MOD(COLUMN(CC$2),3),1,1),"")</f>
        <v>0</v>
      </c>
      <c r="CD212">
        <f ca="1">IF($AN212="",OFFSET(Demand!$A$13,ROW(N209)-1,4+((QUOTIENT(COLUMN(CD$2)-69,3))*5)+MOD(COLUMN(CD$2),3),1,1),"")</f>
        <v>0</v>
      </c>
      <c r="CE212">
        <f ca="1">IF($AN212="",OFFSET(Demand!$A$13,ROW(O209)-1,4+((QUOTIENT(COLUMN(CE$2)-69,3))*5)+MOD(COLUMN(CE$2),3),1,1),"")</f>
        <v>0</v>
      </c>
      <c r="CF212">
        <f ca="1">IF($AN212="",OFFSET(Demand!$A$13,ROW(P209)-1,4+((QUOTIENT(COLUMN(CF$2)-69,3))*5)+MOD(COLUMN(CF$2),3),1,1),"")</f>
        <v>0</v>
      </c>
      <c r="CG212">
        <f ca="1">IF($AN212="",OFFSET(Demand!$A$13,ROW(Q209)-1,4+((QUOTIENT(COLUMN(CG$2)-69,3))*5)+MOD(COLUMN(CG$2),3),1,1),"")</f>
        <v>0</v>
      </c>
      <c r="CH212">
        <f ca="1">IF($AN212="",OFFSET(Demand!$A$13,ROW(R209)-1,4+((QUOTIENT(COLUMN(CH$2)-69,3))*5)+MOD(COLUMN(CH$2),3),1,1),"")</f>
        <v>0</v>
      </c>
      <c r="CI212">
        <f ca="1">IF($AN212="",OFFSET(Demand!$A$13,ROW(S209)-1,4+((QUOTIENT(COLUMN(CI$2)-69,3))*5)+MOD(COLUMN(CI$2),3),1,1),"")</f>
        <v>0</v>
      </c>
      <c r="CJ212">
        <f ca="1">IF($AN212="",OFFSET(Demand!$A$13,ROW(T209)-1,4+((QUOTIENT(COLUMN(CJ$2)-69,3))*5)+MOD(COLUMN(CJ$2),3),1,1),"")</f>
        <v>0</v>
      </c>
      <c r="CK212">
        <f ca="1">IF($AN212="",OFFSET(Demand!$A$13,ROW(U209)-1,4+((QUOTIENT(COLUMN(CK$2)-69,3))*5)+MOD(COLUMN(CK$2),3),1,1),"")</f>
        <v>0</v>
      </c>
      <c r="CL212">
        <f ca="1">IF($AN212="",OFFSET(Demand!$A$13,ROW(V209)-1,4+((QUOTIENT(COLUMN(CL$2)-69,3))*5)+MOD(COLUMN(CL$2),3),1,1),"")</f>
        <v>0</v>
      </c>
      <c r="CM212">
        <f ca="1">IF($AN212="",OFFSET(Demand!$A$13,ROW(W209)-1,4+((QUOTIENT(COLUMN(CM$2)-69,3))*5)+MOD(COLUMN(CM$2),3),1,1),"")</f>
        <v>0</v>
      </c>
      <c r="CN212">
        <f ca="1">IF($AN212="",OFFSET(Demand!$A$13,ROW(X209)-1,4+((QUOTIENT(COLUMN(CN$2)-69,3))*5)+MOD(COLUMN(CN$2),3),1,1),"")</f>
        <v>0</v>
      </c>
      <c r="CO212">
        <f ca="1">IF($AN212="",OFFSET(Demand!$A$13,ROW(Y209)-1,4+((QUOTIENT(COLUMN(CO$2)-69,3))*5)+MOD(COLUMN(CO$2),3),1,1),"")</f>
        <v>0</v>
      </c>
      <c r="CP212">
        <f ca="1">IF($AN212="",OFFSET(Demand!$A$13,ROW(Z209)-1,4+((QUOTIENT(COLUMN(CP$2)-69,3))*5)+MOD(COLUMN(CP$2),3),1,1),"")</f>
        <v>0</v>
      </c>
      <c r="CQ212">
        <f ca="1">IF($AN212="",OFFSET(Demand!$A$13,ROW(AA209)-1,4+((QUOTIENT(COLUMN(CQ$2)-69,3))*5)+MOD(COLUMN(CQ$2),3),1,1),"")</f>
        <v>0</v>
      </c>
      <c r="CR212">
        <f ca="1">IF($AN212="",OFFSET(Demand!$A$13,ROW(AB209)-1,4+((QUOTIENT(COLUMN(CR$2)-69,3))*5)+MOD(COLUMN(CR$2),3),1,1),"")</f>
        <v>0</v>
      </c>
      <c r="CS212">
        <f ca="1">IF($AN212="",OFFSET(Demand!$A$13,ROW(AC209)-1,4+((QUOTIENT(COLUMN(CS$2)-69,3))*5)+MOD(COLUMN(CS$2),3),1,1),"")</f>
        <v>0</v>
      </c>
      <c r="CT212">
        <f ca="1">IF($AN212="",OFFSET(Demand!$A$13,ROW(AD209)-1,4+((QUOTIENT(COLUMN(CT$2)-69,3))*5)+MOD(COLUMN(CT$2),3),1,1),"")</f>
        <v>0</v>
      </c>
      <c r="CW212" s="5">
        <f ca="1">SUM(OFFSET(Demand!$H$43,ROW(A209)-1,(COLUMN(A209)-1)*5,1,1))*N$2</f>
        <v>0</v>
      </c>
      <c r="CX212" s="5">
        <f ca="1">SUM(OFFSET(Demand!$H$43,ROW(B209)-1,(COLUMN(B209)-1)*5,1,1))*O$2</f>
        <v>0</v>
      </c>
      <c r="CY212" s="5">
        <f ca="1">SUM(OFFSET(Demand!$H$43,ROW(C209)-1,(COLUMN(C209)-1)*5,1,1))*P$2</f>
        <v>0</v>
      </c>
      <c r="CZ212" s="5">
        <f ca="1">SUM(OFFSET(Demand!$H$43,ROW(D209)-1,(COLUMN(D209)-1)*5,1,1))*Q$2</f>
        <v>0</v>
      </c>
      <c r="DA212" s="5">
        <f ca="1">SUM(OFFSET(Demand!$H$43,ROW(E209)-1,(COLUMN(E209)-1)*5,1,1))*R$2</f>
        <v>0</v>
      </c>
      <c r="DB212" s="5">
        <f ca="1">SUM(OFFSET(Demand!$H$43,ROW(F209)-1,(COLUMN(F209)-1)*5,1,1))*S$2</f>
        <v>0</v>
      </c>
      <c r="DC212" s="5">
        <f ca="1">SUM(OFFSET(Demand!$H$43,ROW(G209)-1,(COLUMN(G209)-1)*5,1,1))*T$2</f>
        <v>0</v>
      </c>
      <c r="DD212" s="5">
        <f ca="1">SUM(OFFSET(Demand!$H$43,ROW(H209)-1,(COLUMN(H209)-1)*5,1,1))*U$2</f>
        <v>0</v>
      </c>
      <c r="DE212" s="5">
        <f ca="1">SUM(OFFSET(Demand!$H$43,ROW(I209)-1,(COLUMN(I209)-1)*5,1,1))*V$2</f>
        <v>0</v>
      </c>
      <c r="DF212" s="5">
        <f ca="1">SUM(OFFSET(Demand!$H$43,ROW(J209)-1,(COLUMN(J209)-1)*5,1,1))*W$2</f>
        <v>0</v>
      </c>
      <c r="DG212" s="5">
        <f t="shared" ca="1" si="52"/>
        <v>0</v>
      </c>
    </row>
    <row r="213" spans="1:111" x14ac:dyDescent="0.2">
      <c r="A213" s="5">
        <f t="shared" ca="1" si="46"/>
        <v>2</v>
      </c>
      <c r="B213" s="5">
        <f ca="1">COUNTBLANK(OFFSET(Demand!$I222,0,(COLUMN(A210)-1)*5,1,1))</f>
        <v>1</v>
      </c>
      <c r="C213" s="5">
        <f ca="1">COUNTBLANK(OFFSET(Demand!$I222,0,(COLUMN(B210)-1)*5,1,1))</f>
        <v>1</v>
      </c>
      <c r="D213" s="5">
        <f ca="1">COUNTBLANK(OFFSET(Demand!$I222,0,(COLUMN(C210)-1)*5,1,1))</f>
        <v>1</v>
      </c>
      <c r="E213" s="5">
        <f ca="1">COUNTBLANK(OFFSET(Demand!$I222,0,(COLUMN(D210)-1)*5,1,1))</f>
        <v>1</v>
      </c>
      <c r="F213" s="5">
        <f ca="1">COUNTBLANK(OFFSET(Demand!$I222,0,(COLUMN(E210)-1)*5,1,1))</f>
        <v>1</v>
      </c>
      <c r="G213" s="5">
        <f ca="1">COUNTBLANK(OFFSET(Demand!$I222,0,(COLUMN(F210)-1)*5,1,1))</f>
        <v>1</v>
      </c>
      <c r="H213" s="5">
        <f ca="1">COUNTBLANK(OFFSET(Demand!$I222,0,(COLUMN(G210)-1)*5,1,1))</f>
        <v>1</v>
      </c>
      <c r="I213" s="5">
        <f ca="1">COUNTBLANK(OFFSET(Demand!$I222,0,(COLUMN(H210)-1)*5,1,1))</f>
        <v>1</v>
      </c>
      <c r="J213" s="5">
        <f ca="1">COUNTBLANK(OFFSET(Demand!$I222,0,(COLUMN(I210)-1)*5,1,1))</f>
        <v>1</v>
      </c>
      <c r="K213" s="5">
        <f ca="1">COUNTBLANK(OFFSET(Demand!$I222,0,(COLUMN(J210)-1)*5,1,1))</f>
        <v>1</v>
      </c>
      <c r="N213" s="5">
        <f ca="1">SUM(OFFSET(Demand!$E222,0,(COLUMN(A210)-1)*5,1,3))*N$2</f>
        <v>0</v>
      </c>
      <c r="O213" s="5">
        <f ca="1">SUM(OFFSET(Demand!$E222,0,(COLUMN(B210)-1)*5,1,3))*O$2</f>
        <v>0</v>
      </c>
      <c r="P213" s="5">
        <f ca="1">SUM(OFFSET(Demand!$E222,0,(COLUMN(C210)-1)*5,1,3))*P$2</f>
        <v>0</v>
      </c>
      <c r="Q213" s="5">
        <f ca="1">SUM(OFFSET(Demand!$E222,0,(COLUMN(D210)-1)*5,1,3))*Q$2</f>
        <v>0</v>
      </c>
      <c r="R213" s="5">
        <f ca="1">SUM(OFFSET(Demand!$E222,0,(COLUMN(E210)-1)*5,1,3))*R$2</f>
        <v>0</v>
      </c>
      <c r="S213" s="5">
        <f ca="1">SUM(OFFSET(Demand!$E222,0,(COLUMN(F210)-1)*5,1,3))*S$2</f>
        <v>0</v>
      </c>
      <c r="T213" s="5">
        <f ca="1">SUM(OFFSET(Demand!$E222,0,(COLUMN(G210)-1)*5,1,3))*T$2</f>
        <v>0</v>
      </c>
      <c r="U213" s="5">
        <f ca="1">SUM(OFFSET(Demand!$E222,0,(COLUMN(H210)-1)*5,1,3))*U$2</f>
        <v>0</v>
      </c>
      <c r="V213" s="5">
        <f ca="1">SUM(OFFSET(Demand!$E222,0,(COLUMN(I210)-1)*5,1,3))*V$2</f>
        <v>0</v>
      </c>
      <c r="W213" s="5">
        <f ca="1">SUM(OFFSET(Demand!$E222,0,(COLUMN(J210)-1)*5,1,3))*W$2</f>
        <v>0</v>
      </c>
      <c r="X213" s="5">
        <f t="shared" ca="1" si="47"/>
        <v>0</v>
      </c>
      <c r="Y213">
        <f t="shared" ca="1" si="48"/>
        <v>0</v>
      </c>
      <c r="Z213" s="5">
        <f ca="1">SUM(OFFSET(Demand!$H222,0,(COLUMN(A210)-1)*5,1,1))*N$2</f>
        <v>0</v>
      </c>
      <c r="AA213" s="5">
        <f ca="1">SUM(OFFSET(Demand!$H222,0,(COLUMN(B210)-1)*5,1,1))*O$2</f>
        <v>0</v>
      </c>
      <c r="AB213" s="5">
        <f ca="1">SUM(OFFSET(Demand!$H222,0,(COLUMN(C210)-1)*5,1,1))*P$2</f>
        <v>0</v>
      </c>
      <c r="AC213" s="5">
        <f ca="1">SUM(OFFSET(Demand!$H222,0,(COLUMN(D210)-1)*5,1,1))*Q$2</f>
        <v>0</v>
      </c>
      <c r="AD213" s="5">
        <f ca="1">SUM(OFFSET(Demand!$H222,0,(COLUMN(E210)-1)*5,1,1))*R$2</f>
        <v>0</v>
      </c>
      <c r="AE213" s="5">
        <f ca="1">SUM(OFFSET(Demand!$H222,0,(COLUMN(F210)-1)*5,1,1))*S$2</f>
        <v>0</v>
      </c>
      <c r="AF213" s="5">
        <f ca="1">SUM(OFFSET(Demand!$H222,0,(COLUMN(G210)-1)*5,1,1))*T$2</f>
        <v>0</v>
      </c>
      <c r="AG213" s="5">
        <f ca="1">SUM(OFFSET(Demand!$H222,0,(COLUMN(H210)-1)*5,1,1))*U$2</f>
        <v>0</v>
      </c>
      <c r="AH213" s="5">
        <f ca="1">SUM(OFFSET(Demand!$H222,0,(COLUMN(I210)-1)*5,1,1))*V$2</f>
        <v>0</v>
      </c>
      <c r="AI213" s="5">
        <f ca="1">SUM(OFFSET(Demand!$H222,0,(COLUMN(J210)-1)*5,1,1))*W$2</f>
        <v>0</v>
      </c>
      <c r="AJ213" s="5">
        <f t="shared" ca="1" si="49"/>
        <v>0</v>
      </c>
      <c r="AL213" s="5">
        <f t="shared" ca="1" si="50"/>
        <v>0</v>
      </c>
      <c r="AM213" s="5">
        <f t="shared" ca="1" si="51"/>
        <v>0</v>
      </c>
      <c r="AN213" s="5" t="str">
        <f>IF(Demand!BE222="Yes","Yes","")</f>
        <v/>
      </c>
      <c r="AP213" s="37" t="str">
        <f ca="1">Demand!B222</f>
        <v xml:space="preserve"> </v>
      </c>
      <c r="AQ213" t="str">
        <f ca="1">IF(TEXT(Demand!D222,"MMM")&lt;&gt;TEXT(Demand!D221,"MMM"),TEXT(Demand!D222,"MMM"),"")</f>
        <v/>
      </c>
      <c r="AT213" s="5">
        <f t="shared" ca="1" si="53"/>
        <v>0</v>
      </c>
      <c r="BQ213">
        <f ca="1">IF($AN213="",OFFSET(Demand!$A$13,ROW(A210)-1,4+((QUOTIENT(COLUMN(BQ$2)-69,3))*5)+MOD(COLUMN(BQ$2),3),1,1),"")</f>
        <v>0</v>
      </c>
      <c r="BR213">
        <f ca="1">IF($AN213="",OFFSET(Demand!$A$13,ROW(B210)-1,4+((QUOTIENT(COLUMN(BR$2)-69,3))*5)+MOD(COLUMN(BR$2),3),1,1),"")</f>
        <v>0</v>
      </c>
      <c r="BS213">
        <f ca="1">IF($AN213="",OFFSET(Demand!$A$13,ROW(C210)-1,4+((QUOTIENT(COLUMN(BS$2)-69,3))*5)+MOD(COLUMN(BS$2),3),1,1),"")</f>
        <v>0</v>
      </c>
      <c r="BT213">
        <f ca="1">IF($AN213="",OFFSET(Demand!$A$13,ROW(D210)-1,4+((QUOTIENT(COLUMN(BT$2)-69,3))*5)+MOD(COLUMN(BT$2),3),1,1),"")</f>
        <v>0</v>
      </c>
      <c r="BU213">
        <f ca="1">IF($AN213="",OFFSET(Demand!$A$13,ROW(E210)-1,4+((QUOTIENT(COLUMN(BU$2)-69,3))*5)+MOD(COLUMN(BU$2),3),1,1),"")</f>
        <v>0</v>
      </c>
      <c r="BV213">
        <f ca="1">IF($AN213="",OFFSET(Demand!$A$13,ROW(F210)-1,4+((QUOTIENT(COLUMN(BV$2)-69,3))*5)+MOD(COLUMN(BV$2),3),1,1),"")</f>
        <v>0</v>
      </c>
      <c r="BW213">
        <f ca="1">IF($AN213="",OFFSET(Demand!$A$13,ROW(G210)-1,4+((QUOTIENT(COLUMN(BW$2)-69,3))*5)+MOD(COLUMN(BW$2),3),1,1),"")</f>
        <v>0</v>
      </c>
      <c r="BX213">
        <f ca="1">IF($AN213="",OFFSET(Demand!$A$13,ROW(H210)-1,4+((QUOTIENT(COLUMN(BX$2)-69,3))*5)+MOD(COLUMN(BX$2),3),1,1),"")</f>
        <v>0</v>
      </c>
      <c r="BY213">
        <f ca="1">IF($AN213="",OFFSET(Demand!$A$13,ROW(I210)-1,4+((QUOTIENT(COLUMN(BY$2)-69,3))*5)+MOD(COLUMN(BY$2),3),1,1),"")</f>
        <v>0</v>
      </c>
      <c r="BZ213">
        <f ca="1">IF($AN213="",OFFSET(Demand!$A$13,ROW(J210)-1,4+((QUOTIENT(COLUMN(BZ$2)-69,3))*5)+MOD(COLUMN(BZ$2),3),1,1),"")</f>
        <v>0</v>
      </c>
      <c r="CA213">
        <f ca="1">IF($AN213="",OFFSET(Demand!$A$13,ROW(K210)-1,4+((QUOTIENT(COLUMN(CA$2)-69,3))*5)+MOD(COLUMN(CA$2),3),1,1),"")</f>
        <v>0</v>
      </c>
      <c r="CB213">
        <f ca="1">IF($AN213="",OFFSET(Demand!$A$13,ROW(L210)-1,4+((QUOTIENT(COLUMN(CB$2)-69,3))*5)+MOD(COLUMN(CB$2),3),1,1),"")</f>
        <v>0</v>
      </c>
      <c r="CC213">
        <f ca="1">IF($AN213="",OFFSET(Demand!$A$13,ROW(M210)-1,4+((QUOTIENT(COLUMN(CC$2)-69,3))*5)+MOD(COLUMN(CC$2),3),1,1),"")</f>
        <v>0</v>
      </c>
      <c r="CD213">
        <f ca="1">IF($AN213="",OFFSET(Demand!$A$13,ROW(N210)-1,4+((QUOTIENT(COLUMN(CD$2)-69,3))*5)+MOD(COLUMN(CD$2),3),1,1),"")</f>
        <v>0</v>
      </c>
      <c r="CE213">
        <f ca="1">IF($AN213="",OFFSET(Demand!$A$13,ROW(O210)-1,4+((QUOTIENT(COLUMN(CE$2)-69,3))*5)+MOD(COLUMN(CE$2),3),1,1),"")</f>
        <v>0</v>
      </c>
      <c r="CF213">
        <f ca="1">IF($AN213="",OFFSET(Demand!$A$13,ROW(P210)-1,4+((QUOTIENT(COLUMN(CF$2)-69,3))*5)+MOD(COLUMN(CF$2),3),1,1),"")</f>
        <v>0</v>
      </c>
      <c r="CG213">
        <f ca="1">IF($AN213="",OFFSET(Demand!$A$13,ROW(Q210)-1,4+((QUOTIENT(COLUMN(CG$2)-69,3))*5)+MOD(COLUMN(CG$2),3),1,1),"")</f>
        <v>0</v>
      </c>
      <c r="CH213">
        <f ca="1">IF($AN213="",OFFSET(Demand!$A$13,ROW(R210)-1,4+((QUOTIENT(COLUMN(CH$2)-69,3))*5)+MOD(COLUMN(CH$2),3),1,1),"")</f>
        <v>0</v>
      </c>
      <c r="CI213">
        <f ca="1">IF($AN213="",OFFSET(Demand!$A$13,ROW(S210)-1,4+((QUOTIENT(COLUMN(CI$2)-69,3))*5)+MOD(COLUMN(CI$2),3),1,1),"")</f>
        <v>0</v>
      </c>
      <c r="CJ213">
        <f ca="1">IF($AN213="",OFFSET(Demand!$A$13,ROW(T210)-1,4+((QUOTIENT(COLUMN(CJ$2)-69,3))*5)+MOD(COLUMN(CJ$2),3),1,1),"")</f>
        <v>0</v>
      </c>
      <c r="CK213">
        <f ca="1">IF($AN213="",OFFSET(Demand!$A$13,ROW(U210)-1,4+((QUOTIENT(COLUMN(CK$2)-69,3))*5)+MOD(COLUMN(CK$2),3),1,1),"")</f>
        <v>0</v>
      </c>
      <c r="CL213">
        <f ca="1">IF($AN213="",OFFSET(Demand!$A$13,ROW(V210)-1,4+((QUOTIENT(COLUMN(CL$2)-69,3))*5)+MOD(COLUMN(CL$2),3),1,1),"")</f>
        <v>0</v>
      </c>
      <c r="CM213">
        <f ca="1">IF($AN213="",OFFSET(Demand!$A$13,ROW(W210)-1,4+((QUOTIENT(COLUMN(CM$2)-69,3))*5)+MOD(COLUMN(CM$2),3),1,1),"")</f>
        <v>0</v>
      </c>
      <c r="CN213">
        <f ca="1">IF($AN213="",OFFSET(Demand!$A$13,ROW(X210)-1,4+((QUOTIENT(COLUMN(CN$2)-69,3))*5)+MOD(COLUMN(CN$2),3),1,1),"")</f>
        <v>0</v>
      </c>
      <c r="CO213">
        <f ca="1">IF($AN213="",OFFSET(Demand!$A$13,ROW(Y210)-1,4+((QUOTIENT(COLUMN(CO$2)-69,3))*5)+MOD(COLUMN(CO$2),3),1,1),"")</f>
        <v>0</v>
      </c>
      <c r="CP213">
        <f ca="1">IF($AN213="",OFFSET(Demand!$A$13,ROW(Z210)-1,4+((QUOTIENT(COLUMN(CP$2)-69,3))*5)+MOD(COLUMN(CP$2),3),1,1),"")</f>
        <v>0</v>
      </c>
      <c r="CQ213">
        <f ca="1">IF($AN213="",OFFSET(Demand!$A$13,ROW(AA210)-1,4+((QUOTIENT(COLUMN(CQ$2)-69,3))*5)+MOD(COLUMN(CQ$2),3),1,1),"")</f>
        <v>0</v>
      </c>
      <c r="CR213">
        <f ca="1">IF($AN213="",OFFSET(Demand!$A$13,ROW(AB210)-1,4+((QUOTIENT(COLUMN(CR$2)-69,3))*5)+MOD(COLUMN(CR$2),3),1,1),"")</f>
        <v>0</v>
      </c>
      <c r="CS213">
        <f ca="1">IF($AN213="",OFFSET(Demand!$A$13,ROW(AC210)-1,4+((QUOTIENT(COLUMN(CS$2)-69,3))*5)+MOD(COLUMN(CS$2),3),1,1),"")</f>
        <v>0</v>
      </c>
      <c r="CT213">
        <f ca="1">IF($AN213="",OFFSET(Demand!$A$13,ROW(AD210)-1,4+((QUOTIENT(COLUMN(CT$2)-69,3))*5)+MOD(COLUMN(CT$2),3),1,1),"")</f>
        <v>0</v>
      </c>
      <c r="CW213" s="5">
        <f ca="1">SUM(OFFSET(Demand!$H$43,ROW(A210)-1,(COLUMN(A210)-1)*5,1,1))*N$2</f>
        <v>0</v>
      </c>
      <c r="CX213" s="5">
        <f ca="1">SUM(OFFSET(Demand!$H$43,ROW(B210)-1,(COLUMN(B210)-1)*5,1,1))*O$2</f>
        <v>0</v>
      </c>
      <c r="CY213" s="5">
        <f ca="1">SUM(OFFSET(Demand!$H$43,ROW(C210)-1,(COLUMN(C210)-1)*5,1,1))*P$2</f>
        <v>0</v>
      </c>
      <c r="CZ213" s="5">
        <f ca="1">SUM(OFFSET(Demand!$H$43,ROW(D210)-1,(COLUMN(D210)-1)*5,1,1))*Q$2</f>
        <v>0</v>
      </c>
      <c r="DA213" s="5">
        <f ca="1">SUM(OFFSET(Demand!$H$43,ROW(E210)-1,(COLUMN(E210)-1)*5,1,1))*R$2</f>
        <v>0</v>
      </c>
      <c r="DB213" s="5">
        <f ca="1">SUM(OFFSET(Demand!$H$43,ROW(F210)-1,(COLUMN(F210)-1)*5,1,1))*S$2</f>
        <v>0</v>
      </c>
      <c r="DC213" s="5">
        <f ca="1">SUM(OFFSET(Demand!$H$43,ROW(G210)-1,(COLUMN(G210)-1)*5,1,1))*T$2</f>
        <v>0</v>
      </c>
      <c r="DD213" s="5">
        <f ca="1">SUM(OFFSET(Demand!$H$43,ROW(H210)-1,(COLUMN(H210)-1)*5,1,1))*U$2</f>
        <v>0</v>
      </c>
      <c r="DE213" s="5">
        <f ca="1">SUM(OFFSET(Demand!$H$43,ROW(I210)-1,(COLUMN(I210)-1)*5,1,1))*V$2</f>
        <v>0</v>
      </c>
      <c r="DF213" s="5">
        <f ca="1">SUM(OFFSET(Demand!$H$43,ROW(J210)-1,(COLUMN(J210)-1)*5,1,1))*W$2</f>
        <v>0</v>
      </c>
      <c r="DG213" s="5">
        <f t="shared" ca="1" si="52"/>
        <v>0</v>
      </c>
    </row>
    <row r="214" spans="1:111" x14ac:dyDescent="0.2">
      <c r="A214" s="5">
        <f t="shared" ca="1" si="46"/>
        <v>2</v>
      </c>
      <c r="B214" s="5">
        <f ca="1">COUNTBLANK(OFFSET(Demand!$I223,0,(COLUMN(A211)-1)*5,1,1))</f>
        <v>1</v>
      </c>
      <c r="C214" s="5">
        <f ca="1">COUNTBLANK(OFFSET(Demand!$I223,0,(COLUMN(B211)-1)*5,1,1))</f>
        <v>1</v>
      </c>
      <c r="D214" s="5">
        <f ca="1">COUNTBLANK(OFFSET(Demand!$I223,0,(COLUMN(C211)-1)*5,1,1))</f>
        <v>1</v>
      </c>
      <c r="E214" s="5">
        <f ca="1">COUNTBLANK(OFFSET(Demand!$I223,0,(COLUMN(D211)-1)*5,1,1))</f>
        <v>1</v>
      </c>
      <c r="F214" s="5">
        <f ca="1">COUNTBLANK(OFFSET(Demand!$I223,0,(COLUMN(E211)-1)*5,1,1))</f>
        <v>1</v>
      </c>
      <c r="G214" s="5">
        <f ca="1">COUNTBLANK(OFFSET(Demand!$I223,0,(COLUMN(F211)-1)*5,1,1))</f>
        <v>1</v>
      </c>
      <c r="H214" s="5">
        <f ca="1">COUNTBLANK(OFFSET(Demand!$I223,0,(COLUMN(G211)-1)*5,1,1))</f>
        <v>1</v>
      </c>
      <c r="I214" s="5">
        <f ca="1">COUNTBLANK(OFFSET(Demand!$I223,0,(COLUMN(H211)-1)*5,1,1))</f>
        <v>1</v>
      </c>
      <c r="J214" s="5">
        <f ca="1">COUNTBLANK(OFFSET(Demand!$I223,0,(COLUMN(I211)-1)*5,1,1))</f>
        <v>1</v>
      </c>
      <c r="K214" s="5">
        <f ca="1">COUNTBLANK(OFFSET(Demand!$I223,0,(COLUMN(J211)-1)*5,1,1))</f>
        <v>1</v>
      </c>
      <c r="N214" s="5">
        <f ca="1">SUM(OFFSET(Demand!$E223,0,(COLUMN(A211)-1)*5,1,3))*N$2</f>
        <v>0</v>
      </c>
      <c r="O214" s="5">
        <f ca="1">SUM(OFFSET(Demand!$E223,0,(COLUMN(B211)-1)*5,1,3))*O$2</f>
        <v>0</v>
      </c>
      <c r="P214" s="5">
        <f ca="1">SUM(OFFSET(Demand!$E223,0,(COLUMN(C211)-1)*5,1,3))*P$2</f>
        <v>0</v>
      </c>
      <c r="Q214" s="5">
        <f ca="1">SUM(OFFSET(Demand!$E223,0,(COLUMN(D211)-1)*5,1,3))*Q$2</f>
        <v>0</v>
      </c>
      <c r="R214" s="5">
        <f ca="1">SUM(OFFSET(Demand!$E223,0,(COLUMN(E211)-1)*5,1,3))*R$2</f>
        <v>0</v>
      </c>
      <c r="S214" s="5">
        <f ca="1">SUM(OFFSET(Demand!$E223,0,(COLUMN(F211)-1)*5,1,3))*S$2</f>
        <v>0</v>
      </c>
      <c r="T214" s="5">
        <f ca="1">SUM(OFFSET(Demand!$E223,0,(COLUMN(G211)-1)*5,1,3))*T$2</f>
        <v>0</v>
      </c>
      <c r="U214" s="5">
        <f ca="1">SUM(OFFSET(Demand!$E223,0,(COLUMN(H211)-1)*5,1,3))*U$2</f>
        <v>0</v>
      </c>
      <c r="V214" s="5">
        <f ca="1">SUM(OFFSET(Demand!$E223,0,(COLUMN(I211)-1)*5,1,3))*V$2</f>
        <v>0</v>
      </c>
      <c r="W214" s="5">
        <f ca="1">SUM(OFFSET(Demand!$E223,0,(COLUMN(J211)-1)*5,1,3))*W$2</f>
        <v>0</v>
      </c>
      <c r="X214" s="5">
        <f t="shared" ca="1" si="47"/>
        <v>0</v>
      </c>
      <c r="Y214">
        <f t="shared" ca="1" si="48"/>
        <v>0</v>
      </c>
      <c r="Z214" s="5">
        <f ca="1">SUM(OFFSET(Demand!$H223,0,(COLUMN(A211)-1)*5,1,1))*N$2</f>
        <v>0</v>
      </c>
      <c r="AA214" s="5">
        <f ca="1">SUM(OFFSET(Demand!$H223,0,(COLUMN(B211)-1)*5,1,1))*O$2</f>
        <v>0</v>
      </c>
      <c r="AB214" s="5">
        <f ca="1">SUM(OFFSET(Demand!$H223,0,(COLUMN(C211)-1)*5,1,1))*P$2</f>
        <v>0</v>
      </c>
      <c r="AC214" s="5">
        <f ca="1">SUM(OFFSET(Demand!$H223,0,(COLUMN(D211)-1)*5,1,1))*Q$2</f>
        <v>0</v>
      </c>
      <c r="AD214" s="5">
        <f ca="1">SUM(OFFSET(Demand!$H223,0,(COLUMN(E211)-1)*5,1,1))*R$2</f>
        <v>0</v>
      </c>
      <c r="AE214" s="5">
        <f ca="1">SUM(OFFSET(Demand!$H223,0,(COLUMN(F211)-1)*5,1,1))*S$2</f>
        <v>0</v>
      </c>
      <c r="AF214" s="5">
        <f ca="1">SUM(OFFSET(Demand!$H223,0,(COLUMN(G211)-1)*5,1,1))*T$2</f>
        <v>0</v>
      </c>
      <c r="AG214" s="5">
        <f ca="1">SUM(OFFSET(Demand!$H223,0,(COLUMN(H211)-1)*5,1,1))*U$2</f>
        <v>0</v>
      </c>
      <c r="AH214" s="5">
        <f ca="1">SUM(OFFSET(Demand!$H223,0,(COLUMN(I211)-1)*5,1,1))*V$2</f>
        <v>0</v>
      </c>
      <c r="AI214" s="5">
        <f ca="1">SUM(OFFSET(Demand!$H223,0,(COLUMN(J211)-1)*5,1,1))*W$2</f>
        <v>0</v>
      </c>
      <c r="AJ214" s="5">
        <f t="shared" ca="1" si="49"/>
        <v>0</v>
      </c>
      <c r="AL214" s="5">
        <f t="shared" ca="1" si="50"/>
        <v>0</v>
      </c>
      <c r="AM214" s="5">
        <f t="shared" ca="1" si="51"/>
        <v>0</v>
      </c>
      <c r="AN214" s="5" t="str">
        <f>IF(Demand!BE223="Yes","Yes","")</f>
        <v/>
      </c>
      <c r="AP214" s="37" t="str">
        <f ca="1">Demand!B223</f>
        <v xml:space="preserve"> </v>
      </c>
      <c r="AQ214" t="str">
        <f ca="1">IF(TEXT(Demand!D223,"MMM")&lt;&gt;TEXT(Demand!D222,"MMM"),TEXT(Demand!D223,"MMM"),"")</f>
        <v/>
      </c>
      <c r="AT214" s="5">
        <f t="shared" ca="1" si="53"/>
        <v>0</v>
      </c>
      <c r="BQ214">
        <f ca="1">IF($AN214="",OFFSET(Demand!$A$13,ROW(A211)-1,4+((QUOTIENT(COLUMN(BQ$2)-69,3))*5)+MOD(COLUMN(BQ$2),3),1,1),"")</f>
        <v>0</v>
      </c>
      <c r="BR214">
        <f ca="1">IF($AN214="",OFFSET(Demand!$A$13,ROW(B211)-1,4+((QUOTIENT(COLUMN(BR$2)-69,3))*5)+MOD(COLUMN(BR$2),3),1,1),"")</f>
        <v>0</v>
      </c>
      <c r="BS214">
        <f ca="1">IF($AN214="",OFFSET(Demand!$A$13,ROW(C211)-1,4+((QUOTIENT(COLUMN(BS$2)-69,3))*5)+MOD(COLUMN(BS$2),3),1,1),"")</f>
        <v>0</v>
      </c>
      <c r="BT214">
        <f ca="1">IF($AN214="",OFFSET(Demand!$A$13,ROW(D211)-1,4+((QUOTIENT(COLUMN(BT$2)-69,3))*5)+MOD(COLUMN(BT$2),3),1,1),"")</f>
        <v>0</v>
      </c>
      <c r="BU214">
        <f ca="1">IF($AN214="",OFFSET(Demand!$A$13,ROW(E211)-1,4+((QUOTIENT(COLUMN(BU$2)-69,3))*5)+MOD(COLUMN(BU$2),3),1,1),"")</f>
        <v>0</v>
      </c>
      <c r="BV214">
        <f ca="1">IF($AN214="",OFFSET(Demand!$A$13,ROW(F211)-1,4+((QUOTIENT(COLUMN(BV$2)-69,3))*5)+MOD(COLUMN(BV$2),3),1,1),"")</f>
        <v>0</v>
      </c>
      <c r="BW214">
        <f ca="1">IF($AN214="",OFFSET(Demand!$A$13,ROW(G211)-1,4+((QUOTIENT(COLUMN(BW$2)-69,3))*5)+MOD(COLUMN(BW$2),3),1,1),"")</f>
        <v>0</v>
      </c>
      <c r="BX214">
        <f ca="1">IF($AN214="",OFFSET(Demand!$A$13,ROW(H211)-1,4+((QUOTIENT(COLUMN(BX$2)-69,3))*5)+MOD(COLUMN(BX$2),3),1,1),"")</f>
        <v>0</v>
      </c>
      <c r="BY214">
        <f ca="1">IF($AN214="",OFFSET(Demand!$A$13,ROW(I211)-1,4+((QUOTIENT(COLUMN(BY$2)-69,3))*5)+MOD(COLUMN(BY$2),3),1,1),"")</f>
        <v>0</v>
      </c>
      <c r="BZ214">
        <f ca="1">IF($AN214="",OFFSET(Demand!$A$13,ROW(J211)-1,4+((QUOTIENT(COLUMN(BZ$2)-69,3))*5)+MOD(COLUMN(BZ$2),3),1,1),"")</f>
        <v>0</v>
      </c>
      <c r="CA214">
        <f ca="1">IF($AN214="",OFFSET(Demand!$A$13,ROW(K211)-1,4+((QUOTIENT(COLUMN(CA$2)-69,3))*5)+MOD(COLUMN(CA$2),3),1,1),"")</f>
        <v>0</v>
      </c>
      <c r="CB214">
        <f ca="1">IF($AN214="",OFFSET(Demand!$A$13,ROW(L211)-1,4+((QUOTIENT(COLUMN(CB$2)-69,3))*5)+MOD(COLUMN(CB$2),3),1,1),"")</f>
        <v>0</v>
      </c>
      <c r="CC214">
        <f ca="1">IF($AN214="",OFFSET(Demand!$A$13,ROW(M211)-1,4+((QUOTIENT(COLUMN(CC$2)-69,3))*5)+MOD(COLUMN(CC$2),3),1,1),"")</f>
        <v>0</v>
      </c>
      <c r="CD214">
        <f ca="1">IF($AN214="",OFFSET(Demand!$A$13,ROW(N211)-1,4+((QUOTIENT(COLUMN(CD$2)-69,3))*5)+MOD(COLUMN(CD$2),3),1,1),"")</f>
        <v>0</v>
      </c>
      <c r="CE214">
        <f ca="1">IF($AN214="",OFFSET(Demand!$A$13,ROW(O211)-1,4+((QUOTIENT(COLUMN(CE$2)-69,3))*5)+MOD(COLUMN(CE$2),3),1,1),"")</f>
        <v>0</v>
      </c>
      <c r="CF214">
        <f ca="1">IF($AN214="",OFFSET(Demand!$A$13,ROW(P211)-1,4+((QUOTIENT(COLUMN(CF$2)-69,3))*5)+MOD(COLUMN(CF$2),3),1,1),"")</f>
        <v>0</v>
      </c>
      <c r="CG214">
        <f ca="1">IF($AN214="",OFFSET(Demand!$A$13,ROW(Q211)-1,4+((QUOTIENT(COLUMN(CG$2)-69,3))*5)+MOD(COLUMN(CG$2),3),1,1),"")</f>
        <v>0</v>
      </c>
      <c r="CH214">
        <f ca="1">IF($AN214="",OFFSET(Demand!$A$13,ROW(R211)-1,4+((QUOTIENT(COLUMN(CH$2)-69,3))*5)+MOD(COLUMN(CH$2),3),1,1),"")</f>
        <v>0</v>
      </c>
      <c r="CI214">
        <f ca="1">IF($AN214="",OFFSET(Demand!$A$13,ROW(S211)-1,4+((QUOTIENT(COLUMN(CI$2)-69,3))*5)+MOD(COLUMN(CI$2),3),1,1),"")</f>
        <v>0</v>
      </c>
      <c r="CJ214">
        <f ca="1">IF($AN214="",OFFSET(Demand!$A$13,ROW(T211)-1,4+((QUOTIENT(COLUMN(CJ$2)-69,3))*5)+MOD(COLUMN(CJ$2),3),1,1),"")</f>
        <v>0</v>
      </c>
      <c r="CK214">
        <f ca="1">IF($AN214="",OFFSET(Demand!$A$13,ROW(U211)-1,4+((QUOTIENT(COLUMN(CK$2)-69,3))*5)+MOD(COLUMN(CK$2),3),1,1),"")</f>
        <v>0</v>
      </c>
      <c r="CL214">
        <f ca="1">IF($AN214="",OFFSET(Demand!$A$13,ROW(V211)-1,4+((QUOTIENT(COLUMN(CL$2)-69,3))*5)+MOD(COLUMN(CL$2),3),1,1),"")</f>
        <v>0</v>
      </c>
      <c r="CM214">
        <f ca="1">IF($AN214="",OFFSET(Demand!$A$13,ROW(W211)-1,4+((QUOTIENT(COLUMN(CM$2)-69,3))*5)+MOD(COLUMN(CM$2),3),1,1),"")</f>
        <v>0</v>
      </c>
      <c r="CN214">
        <f ca="1">IF($AN214="",OFFSET(Demand!$A$13,ROW(X211)-1,4+((QUOTIENT(COLUMN(CN$2)-69,3))*5)+MOD(COLUMN(CN$2),3),1,1),"")</f>
        <v>0</v>
      </c>
      <c r="CO214">
        <f ca="1">IF($AN214="",OFFSET(Demand!$A$13,ROW(Y211)-1,4+((QUOTIENT(COLUMN(CO$2)-69,3))*5)+MOD(COLUMN(CO$2),3),1,1),"")</f>
        <v>0</v>
      </c>
      <c r="CP214">
        <f ca="1">IF($AN214="",OFFSET(Demand!$A$13,ROW(Z211)-1,4+((QUOTIENT(COLUMN(CP$2)-69,3))*5)+MOD(COLUMN(CP$2),3),1,1),"")</f>
        <v>0</v>
      </c>
      <c r="CQ214">
        <f ca="1">IF($AN214="",OFFSET(Demand!$A$13,ROW(AA211)-1,4+((QUOTIENT(COLUMN(CQ$2)-69,3))*5)+MOD(COLUMN(CQ$2),3),1,1),"")</f>
        <v>0</v>
      </c>
      <c r="CR214">
        <f ca="1">IF($AN214="",OFFSET(Demand!$A$13,ROW(AB211)-1,4+((QUOTIENT(COLUMN(CR$2)-69,3))*5)+MOD(COLUMN(CR$2),3),1,1),"")</f>
        <v>0</v>
      </c>
      <c r="CS214">
        <f ca="1">IF($AN214="",OFFSET(Demand!$A$13,ROW(AC211)-1,4+((QUOTIENT(COLUMN(CS$2)-69,3))*5)+MOD(COLUMN(CS$2),3),1,1),"")</f>
        <v>0</v>
      </c>
      <c r="CT214">
        <f ca="1">IF($AN214="",OFFSET(Demand!$A$13,ROW(AD211)-1,4+((QUOTIENT(COLUMN(CT$2)-69,3))*5)+MOD(COLUMN(CT$2),3),1,1),"")</f>
        <v>0</v>
      </c>
      <c r="CW214" s="5">
        <f ca="1">SUM(OFFSET(Demand!$H$43,ROW(A211)-1,(COLUMN(A211)-1)*5,1,1))*N$2</f>
        <v>0</v>
      </c>
      <c r="CX214" s="5">
        <f ca="1">SUM(OFFSET(Demand!$H$43,ROW(B211)-1,(COLUMN(B211)-1)*5,1,1))*O$2</f>
        <v>0</v>
      </c>
      <c r="CY214" s="5">
        <f ca="1">SUM(OFFSET(Demand!$H$43,ROW(C211)-1,(COLUMN(C211)-1)*5,1,1))*P$2</f>
        <v>0</v>
      </c>
      <c r="CZ214" s="5">
        <f ca="1">SUM(OFFSET(Demand!$H$43,ROW(D211)-1,(COLUMN(D211)-1)*5,1,1))*Q$2</f>
        <v>0</v>
      </c>
      <c r="DA214" s="5">
        <f ca="1">SUM(OFFSET(Demand!$H$43,ROW(E211)-1,(COLUMN(E211)-1)*5,1,1))*R$2</f>
        <v>0</v>
      </c>
      <c r="DB214" s="5">
        <f ca="1">SUM(OFFSET(Demand!$H$43,ROW(F211)-1,(COLUMN(F211)-1)*5,1,1))*S$2</f>
        <v>0</v>
      </c>
      <c r="DC214" s="5">
        <f ca="1">SUM(OFFSET(Demand!$H$43,ROW(G211)-1,(COLUMN(G211)-1)*5,1,1))*T$2</f>
        <v>0</v>
      </c>
      <c r="DD214" s="5">
        <f ca="1">SUM(OFFSET(Demand!$H$43,ROW(H211)-1,(COLUMN(H211)-1)*5,1,1))*U$2</f>
        <v>0</v>
      </c>
      <c r="DE214" s="5">
        <f ca="1">SUM(OFFSET(Demand!$H$43,ROW(I211)-1,(COLUMN(I211)-1)*5,1,1))*V$2</f>
        <v>0</v>
      </c>
      <c r="DF214" s="5">
        <f ca="1">SUM(OFFSET(Demand!$H$43,ROW(J211)-1,(COLUMN(J211)-1)*5,1,1))*W$2</f>
        <v>0</v>
      </c>
      <c r="DG214" s="5">
        <f t="shared" ca="1" si="52"/>
        <v>0</v>
      </c>
    </row>
    <row r="215" spans="1:111" x14ac:dyDescent="0.2">
      <c r="A215" s="5">
        <f t="shared" ca="1" si="46"/>
        <v>2</v>
      </c>
      <c r="B215" s="5">
        <f ca="1">COUNTBLANK(OFFSET(Demand!$I224,0,(COLUMN(A212)-1)*5,1,1))</f>
        <v>1</v>
      </c>
      <c r="C215" s="5">
        <f ca="1">COUNTBLANK(OFFSET(Demand!$I224,0,(COLUMN(B212)-1)*5,1,1))</f>
        <v>1</v>
      </c>
      <c r="D215" s="5">
        <f ca="1">COUNTBLANK(OFFSET(Demand!$I224,0,(COLUMN(C212)-1)*5,1,1))</f>
        <v>1</v>
      </c>
      <c r="E215" s="5">
        <f ca="1">COUNTBLANK(OFFSET(Demand!$I224,0,(COLUMN(D212)-1)*5,1,1))</f>
        <v>1</v>
      </c>
      <c r="F215" s="5">
        <f ca="1">COUNTBLANK(OFFSET(Demand!$I224,0,(COLUMN(E212)-1)*5,1,1))</f>
        <v>1</v>
      </c>
      <c r="G215" s="5">
        <f ca="1">COUNTBLANK(OFFSET(Demand!$I224,0,(COLUMN(F212)-1)*5,1,1))</f>
        <v>1</v>
      </c>
      <c r="H215" s="5">
        <f ca="1">COUNTBLANK(OFFSET(Demand!$I224,0,(COLUMN(G212)-1)*5,1,1))</f>
        <v>1</v>
      </c>
      <c r="I215" s="5">
        <f ca="1">COUNTBLANK(OFFSET(Demand!$I224,0,(COLUMN(H212)-1)*5,1,1))</f>
        <v>1</v>
      </c>
      <c r="J215" s="5">
        <f ca="1">COUNTBLANK(OFFSET(Demand!$I224,0,(COLUMN(I212)-1)*5,1,1))</f>
        <v>1</v>
      </c>
      <c r="K215" s="5">
        <f ca="1">COUNTBLANK(OFFSET(Demand!$I224,0,(COLUMN(J212)-1)*5,1,1))</f>
        <v>1</v>
      </c>
      <c r="N215" s="5">
        <f ca="1">SUM(OFFSET(Demand!$E224,0,(COLUMN(A212)-1)*5,1,3))*N$2</f>
        <v>0</v>
      </c>
      <c r="O215" s="5">
        <f ca="1">SUM(OFFSET(Demand!$E224,0,(COLUMN(B212)-1)*5,1,3))*O$2</f>
        <v>0</v>
      </c>
      <c r="P215" s="5">
        <f ca="1">SUM(OFFSET(Demand!$E224,0,(COLUMN(C212)-1)*5,1,3))*P$2</f>
        <v>0</v>
      </c>
      <c r="Q215" s="5">
        <f ca="1">SUM(OFFSET(Demand!$E224,0,(COLUMN(D212)-1)*5,1,3))*Q$2</f>
        <v>0</v>
      </c>
      <c r="R215" s="5">
        <f ca="1">SUM(OFFSET(Demand!$E224,0,(COLUMN(E212)-1)*5,1,3))*R$2</f>
        <v>0</v>
      </c>
      <c r="S215" s="5">
        <f ca="1">SUM(OFFSET(Demand!$E224,0,(COLUMN(F212)-1)*5,1,3))*S$2</f>
        <v>0</v>
      </c>
      <c r="T215" s="5">
        <f ca="1">SUM(OFFSET(Demand!$E224,0,(COLUMN(G212)-1)*5,1,3))*T$2</f>
        <v>0</v>
      </c>
      <c r="U215" s="5">
        <f ca="1">SUM(OFFSET(Demand!$E224,0,(COLUMN(H212)-1)*5,1,3))*U$2</f>
        <v>0</v>
      </c>
      <c r="V215" s="5">
        <f ca="1">SUM(OFFSET(Demand!$E224,0,(COLUMN(I212)-1)*5,1,3))*V$2</f>
        <v>0</v>
      </c>
      <c r="W215" s="5">
        <f ca="1">SUM(OFFSET(Demand!$E224,0,(COLUMN(J212)-1)*5,1,3))*W$2</f>
        <v>0</v>
      </c>
      <c r="X215" s="5">
        <f t="shared" ca="1" si="47"/>
        <v>0</v>
      </c>
      <c r="Y215">
        <f t="shared" ca="1" si="48"/>
        <v>0</v>
      </c>
      <c r="Z215" s="5">
        <f ca="1">SUM(OFFSET(Demand!$H224,0,(COLUMN(A212)-1)*5,1,1))*N$2</f>
        <v>0</v>
      </c>
      <c r="AA215" s="5">
        <f ca="1">SUM(OFFSET(Demand!$H224,0,(COLUMN(B212)-1)*5,1,1))*O$2</f>
        <v>0</v>
      </c>
      <c r="AB215" s="5">
        <f ca="1">SUM(OFFSET(Demand!$H224,0,(COLUMN(C212)-1)*5,1,1))*P$2</f>
        <v>0</v>
      </c>
      <c r="AC215" s="5">
        <f ca="1">SUM(OFFSET(Demand!$H224,0,(COLUMN(D212)-1)*5,1,1))*Q$2</f>
        <v>0</v>
      </c>
      <c r="AD215" s="5">
        <f ca="1">SUM(OFFSET(Demand!$H224,0,(COLUMN(E212)-1)*5,1,1))*R$2</f>
        <v>0</v>
      </c>
      <c r="AE215" s="5">
        <f ca="1">SUM(OFFSET(Demand!$H224,0,(COLUMN(F212)-1)*5,1,1))*S$2</f>
        <v>0</v>
      </c>
      <c r="AF215" s="5">
        <f ca="1">SUM(OFFSET(Demand!$H224,0,(COLUMN(G212)-1)*5,1,1))*T$2</f>
        <v>0</v>
      </c>
      <c r="AG215" s="5">
        <f ca="1">SUM(OFFSET(Demand!$H224,0,(COLUMN(H212)-1)*5,1,1))*U$2</f>
        <v>0</v>
      </c>
      <c r="AH215" s="5">
        <f ca="1">SUM(OFFSET(Demand!$H224,0,(COLUMN(I212)-1)*5,1,1))*V$2</f>
        <v>0</v>
      </c>
      <c r="AI215" s="5">
        <f ca="1">SUM(OFFSET(Demand!$H224,0,(COLUMN(J212)-1)*5,1,1))*W$2</f>
        <v>0</v>
      </c>
      <c r="AJ215" s="5">
        <f t="shared" ca="1" si="49"/>
        <v>0</v>
      </c>
      <c r="AL215" s="5">
        <f t="shared" ca="1" si="50"/>
        <v>0</v>
      </c>
      <c r="AM215" s="5">
        <f t="shared" ca="1" si="51"/>
        <v>0</v>
      </c>
      <c r="AN215" s="5" t="str">
        <f>IF(Demand!BE224="Yes","Yes","")</f>
        <v/>
      </c>
      <c r="AP215" s="37" t="str">
        <f ca="1">Demand!B224</f>
        <v xml:space="preserve"> </v>
      </c>
      <c r="AQ215" t="str">
        <f ca="1">IF(TEXT(Demand!D224,"MMM")&lt;&gt;TEXT(Demand!D223,"MMM"),TEXT(Demand!D224,"MMM"),"")</f>
        <v/>
      </c>
      <c r="AT215" s="5">
        <f t="shared" ca="1" si="53"/>
        <v>0</v>
      </c>
      <c r="BQ215">
        <f ca="1">IF($AN215="",OFFSET(Demand!$A$13,ROW(A212)-1,4+((QUOTIENT(COLUMN(BQ$2)-69,3))*5)+MOD(COLUMN(BQ$2),3),1,1),"")</f>
        <v>0</v>
      </c>
      <c r="BR215">
        <f ca="1">IF($AN215="",OFFSET(Demand!$A$13,ROW(B212)-1,4+((QUOTIENT(COLUMN(BR$2)-69,3))*5)+MOD(COLUMN(BR$2),3),1,1),"")</f>
        <v>0</v>
      </c>
      <c r="BS215">
        <f ca="1">IF($AN215="",OFFSET(Demand!$A$13,ROW(C212)-1,4+((QUOTIENT(COLUMN(BS$2)-69,3))*5)+MOD(COLUMN(BS$2),3),1,1),"")</f>
        <v>0</v>
      </c>
      <c r="BT215">
        <f ca="1">IF($AN215="",OFFSET(Demand!$A$13,ROW(D212)-1,4+((QUOTIENT(COLUMN(BT$2)-69,3))*5)+MOD(COLUMN(BT$2),3),1,1),"")</f>
        <v>0</v>
      </c>
      <c r="BU215">
        <f ca="1">IF($AN215="",OFFSET(Demand!$A$13,ROW(E212)-1,4+((QUOTIENT(COLUMN(BU$2)-69,3))*5)+MOD(COLUMN(BU$2),3),1,1),"")</f>
        <v>0</v>
      </c>
      <c r="BV215">
        <f ca="1">IF($AN215="",OFFSET(Demand!$A$13,ROW(F212)-1,4+((QUOTIENT(COLUMN(BV$2)-69,3))*5)+MOD(COLUMN(BV$2),3),1,1),"")</f>
        <v>0</v>
      </c>
      <c r="BW215">
        <f ca="1">IF($AN215="",OFFSET(Demand!$A$13,ROW(G212)-1,4+((QUOTIENT(COLUMN(BW$2)-69,3))*5)+MOD(COLUMN(BW$2),3),1,1),"")</f>
        <v>0</v>
      </c>
      <c r="BX215">
        <f ca="1">IF($AN215="",OFFSET(Demand!$A$13,ROW(H212)-1,4+((QUOTIENT(COLUMN(BX$2)-69,3))*5)+MOD(COLUMN(BX$2),3),1,1),"")</f>
        <v>0</v>
      </c>
      <c r="BY215">
        <f ca="1">IF($AN215="",OFFSET(Demand!$A$13,ROW(I212)-1,4+((QUOTIENT(COLUMN(BY$2)-69,3))*5)+MOD(COLUMN(BY$2),3),1,1),"")</f>
        <v>0</v>
      </c>
      <c r="BZ215">
        <f ca="1">IF($AN215="",OFFSET(Demand!$A$13,ROW(J212)-1,4+((QUOTIENT(COLUMN(BZ$2)-69,3))*5)+MOD(COLUMN(BZ$2),3),1,1),"")</f>
        <v>0</v>
      </c>
      <c r="CA215">
        <f ca="1">IF($AN215="",OFFSET(Demand!$A$13,ROW(K212)-1,4+((QUOTIENT(COLUMN(CA$2)-69,3))*5)+MOD(COLUMN(CA$2),3),1,1),"")</f>
        <v>0</v>
      </c>
      <c r="CB215">
        <f ca="1">IF($AN215="",OFFSET(Demand!$A$13,ROW(L212)-1,4+((QUOTIENT(COLUMN(CB$2)-69,3))*5)+MOD(COLUMN(CB$2),3),1,1),"")</f>
        <v>0</v>
      </c>
      <c r="CC215">
        <f ca="1">IF($AN215="",OFFSET(Demand!$A$13,ROW(M212)-1,4+((QUOTIENT(COLUMN(CC$2)-69,3))*5)+MOD(COLUMN(CC$2),3),1,1),"")</f>
        <v>0</v>
      </c>
      <c r="CD215">
        <f ca="1">IF($AN215="",OFFSET(Demand!$A$13,ROW(N212)-1,4+((QUOTIENT(COLUMN(CD$2)-69,3))*5)+MOD(COLUMN(CD$2),3),1,1),"")</f>
        <v>0</v>
      </c>
      <c r="CE215">
        <f ca="1">IF($AN215="",OFFSET(Demand!$A$13,ROW(O212)-1,4+((QUOTIENT(COLUMN(CE$2)-69,3))*5)+MOD(COLUMN(CE$2),3),1,1),"")</f>
        <v>0</v>
      </c>
      <c r="CF215">
        <f ca="1">IF($AN215="",OFFSET(Demand!$A$13,ROW(P212)-1,4+((QUOTIENT(COLUMN(CF$2)-69,3))*5)+MOD(COLUMN(CF$2),3),1,1),"")</f>
        <v>0</v>
      </c>
      <c r="CG215">
        <f ca="1">IF($AN215="",OFFSET(Demand!$A$13,ROW(Q212)-1,4+((QUOTIENT(COLUMN(CG$2)-69,3))*5)+MOD(COLUMN(CG$2),3),1,1),"")</f>
        <v>0</v>
      </c>
      <c r="CH215">
        <f ca="1">IF($AN215="",OFFSET(Demand!$A$13,ROW(R212)-1,4+((QUOTIENT(COLUMN(CH$2)-69,3))*5)+MOD(COLUMN(CH$2),3),1,1),"")</f>
        <v>0</v>
      </c>
      <c r="CI215">
        <f ca="1">IF($AN215="",OFFSET(Demand!$A$13,ROW(S212)-1,4+((QUOTIENT(COLUMN(CI$2)-69,3))*5)+MOD(COLUMN(CI$2),3),1,1),"")</f>
        <v>0</v>
      </c>
      <c r="CJ215">
        <f ca="1">IF($AN215="",OFFSET(Demand!$A$13,ROW(T212)-1,4+((QUOTIENT(COLUMN(CJ$2)-69,3))*5)+MOD(COLUMN(CJ$2),3),1,1),"")</f>
        <v>0</v>
      </c>
      <c r="CK215">
        <f ca="1">IF($AN215="",OFFSET(Demand!$A$13,ROW(U212)-1,4+((QUOTIENT(COLUMN(CK$2)-69,3))*5)+MOD(COLUMN(CK$2),3),1,1),"")</f>
        <v>0</v>
      </c>
      <c r="CL215">
        <f ca="1">IF($AN215="",OFFSET(Demand!$A$13,ROW(V212)-1,4+((QUOTIENT(COLUMN(CL$2)-69,3))*5)+MOD(COLUMN(CL$2),3),1,1),"")</f>
        <v>0</v>
      </c>
      <c r="CM215">
        <f ca="1">IF($AN215="",OFFSET(Demand!$A$13,ROW(W212)-1,4+((QUOTIENT(COLUMN(CM$2)-69,3))*5)+MOD(COLUMN(CM$2),3),1,1),"")</f>
        <v>0</v>
      </c>
      <c r="CN215">
        <f ca="1">IF($AN215="",OFFSET(Demand!$A$13,ROW(X212)-1,4+((QUOTIENT(COLUMN(CN$2)-69,3))*5)+MOD(COLUMN(CN$2),3),1,1),"")</f>
        <v>0</v>
      </c>
      <c r="CO215">
        <f ca="1">IF($AN215="",OFFSET(Demand!$A$13,ROW(Y212)-1,4+((QUOTIENT(COLUMN(CO$2)-69,3))*5)+MOD(COLUMN(CO$2),3),1,1),"")</f>
        <v>0</v>
      </c>
      <c r="CP215">
        <f ca="1">IF($AN215="",OFFSET(Demand!$A$13,ROW(Z212)-1,4+((QUOTIENT(COLUMN(CP$2)-69,3))*5)+MOD(COLUMN(CP$2),3),1,1),"")</f>
        <v>0</v>
      </c>
      <c r="CQ215">
        <f ca="1">IF($AN215="",OFFSET(Demand!$A$13,ROW(AA212)-1,4+((QUOTIENT(COLUMN(CQ$2)-69,3))*5)+MOD(COLUMN(CQ$2),3),1,1),"")</f>
        <v>0</v>
      </c>
      <c r="CR215">
        <f ca="1">IF($AN215="",OFFSET(Demand!$A$13,ROW(AB212)-1,4+((QUOTIENT(COLUMN(CR$2)-69,3))*5)+MOD(COLUMN(CR$2),3),1,1),"")</f>
        <v>0</v>
      </c>
      <c r="CS215">
        <f ca="1">IF($AN215="",OFFSET(Demand!$A$13,ROW(AC212)-1,4+((QUOTIENT(COLUMN(CS$2)-69,3))*5)+MOD(COLUMN(CS$2),3),1,1),"")</f>
        <v>0</v>
      </c>
      <c r="CT215">
        <f ca="1">IF($AN215="",OFFSET(Demand!$A$13,ROW(AD212)-1,4+((QUOTIENT(COLUMN(CT$2)-69,3))*5)+MOD(COLUMN(CT$2),3),1,1),"")</f>
        <v>0</v>
      </c>
      <c r="CW215" s="5">
        <f ca="1">SUM(OFFSET(Demand!$H$43,ROW(A212)-1,(COLUMN(A212)-1)*5,1,1))*N$2</f>
        <v>0</v>
      </c>
      <c r="CX215" s="5">
        <f ca="1">SUM(OFFSET(Demand!$H$43,ROW(B212)-1,(COLUMN(B212)-1)*5,1,1))*O$2</f>
        <v>0</v>
      </c>
      <c r="CY215" s="5">
        <f ca="1">SUM(OFFSET(Demand!$H$43,ROW(C212)-1,(COLUMN(C212)-1)*5,1,1))*P$2</f>
        <v>0</v>
      </c>
      <c r="CZ215" s="5">
        <f ca="1">SUM(OFFSET(Demand!$H$43,ROW(D212)-1,(COLUMN(D212)-1)*5,1,1))*Q$2</f>
        <v>0</v>
      </c>
      <c r="DA215" s="5">
        <f ca="1">SUM(OFFSET(Demand!$H$43,ROW(E212)-1,(COLUMN(E212)-1)*5,1,1))*R$2</f>
        <v>0</v>
      </c>
      <c r="DB215" s="5">
        <f ca="1">SUM(OFFSET(Demand!$H$43,ROW(F212)-1,(COLUMN(F212)-1)*5,1,1))*S$2</f>
        <v>0</v>
      </c>
      <c r="DC215" s="5">
        <f ca="1">SUM(OFFSET(Demand!$H$43,ROW(G212)-1,(COLUMN(G212)-1)*5,1,1))*T$2</f>
        <v>0</v>
      </c>
      <c r="DD215" s="5">
        <f ca="1">SUM(OFFSET(Demand!$H$43,ROW(H212)-1,(COLUMN(H212)-1)*5,1,1))*U$2</f>
        <v>0</v>
      </c>
      <c r="DE215" s="5">
        <f ca="1">SUM(OFFSET(Demand!$H$43,ROW(I212)-1,(COLUMN(I212)-1)*5,1,1))*V$2</f>
        <v>0</v>
      </c>
      <c r="DF215" s="5">
        <f ca="1">SUM(OFFSET(Demand!$H$43,ROW(J212)-1,(COLUMN(J212)-1)*5,1,1))*W$2</f>
        <v>0</v>
      </c>
      <c r="DG215" s="5">
        <f t="shared" ca="1" si="52"/>
        <v>0</v>
      </c>
    </row>
    <row r="216" spans="1:111" x14ac:dyDescent="0.2">
      <c r="A216" s="5">
        <f t="shared" ca="1" si="46"/>
        <v>2</v>
      </c>
      <c r="B216" s="5">
        <f ca="1">COUNTBLANK(OFFSET(Demand!$I225,0,(COLUMN(A213)-1)*5,1,1))</f>
        <v>1</v>
      </c>
      <c r="C216" s="5">
        <f ca="1">COUNTBLANK(OFFSET(Demand!$I225,0,(COLUMN(B213)-1)*5,1,1))</f>
        <v>1</v>
      </c>
      <c r="D216" s="5">
        <f ca="1">COUNTBLANK(OFFSET(Demand!$I225,0,(COLUMN(C213)-1)*5,1,1))</f>
        <v>1</v>
      </c>
      <c r="E216" s="5">
        <f ca="1">COUNTBLANK(OFFSET(Demand!$I225,0,(COLUMN(D213)-1)*5,1,1))</f>
        <v>1</v>
      </c>
      <c r="F216" s="5">
        <f ca="1">COUNTBLANK(OFFSET(Demand!$I225,0,(COLUMN(E213)-1)*5,1,1))</f>
        <v>1</v>
      </c>
      <c r="G216" s="5">
        <f ca="1">COUNTBLANK(OFFSET(Demand!$I225,0,(COLUMN(F213)-1)*5,1,1))</f>
        <v>1</v>
      </c>
      <c r="H216" s="5">
        <f ca="1">COUNTBLANK(OFFSET(Demand!$I225,0,(COLUMN(G213)-1)*5,1,1))</f>
        <v>1</v>
      </c>
      <c r="I216" s="5">
        <f ca="1">COUNTBLANK(OFFSET(Demand!$I225,0,(COLUMN(H213)-1)*5,1,1))</f>
        <v>1</v>
      </c>
      <c r="J216" s="5">
        <f ca="1">COUNTBLANK(OFFSET(Demand!$I225,0,(COLUMN(I213)-1)*5,1,1))</f>
        <v>1</v>
      </c>
      <c r="K216" s="5">
        <f ca="1">COUNTBLANK(OFFSET(Demand!$I225,0,(COLUMN(J213)-1)*5,1,1))</f>
        <v>1</v>
      </c>
      <c r="N216" s="5">
        <f ca="1">SUM(OFFSET(Demand!$E225,0,(COLUMN(A213)-1)*5,1,3))*N$2</f>
        <v>0</v>
      </c>
      <c r="O216" s="5">
        <f ca="1">SUM(OFFSET(Demand!$E225,0,(COLUMN(B213)-1)*5,1,3))*O$2</f>
        <v>0</v>
      </c>
      <c r="P216" s="5">
        <f ca="1">SUM(OFFSET(Demand!$E225,0,(COLUMN(C213)-1)*5,1,3))*P$2</f>
        <v>0</v>
      </c>
      <c r="Q216" s="5">
        <f ca="1">SUM(OFFSET(Demand!$E225,0,(COLUMN(D213)-1)*5,1,3))*Q$2</f>
        <v>0</v>
      </c>
      <c r="R216" s="5">
        <f ca="1">SUM(OFFSET(Demand!$E225,0,(COLUMN(E213)-1)*5,1,3))*R$2</f>
        <v>0</v>
      </c>
      <c r="S216" s="5">
        <f ca="1">SUM(OFFSET(Demand!$E225,0,(COLUMN(F213)-1)*5,1,3))*S$2</f>
        <v>0</v>
      </c>
      <c r="T216" s="5">
        <f ca="1">SUM(OFFSET(Demand!$E225,0,(COLUMN(G213)-1)*5,1,3))*T$2</f>
        <v>0</v>
      </c>
      <c r="U216" s="5">
        <f ca="1">SUM(OFFSET(Demand!$E225,0,(COLUMN(H213)-1)*5,1,3))*U$2</f>
        <v>0</v>
      </c>
      <c r="V216" s="5">
        <f ca="1">SUM(OFFSET(Demand!$E225,0,(COLUMN(I213)-1)*5,1,3))*V$2</f>
        <v>0</v>
      </c>
      <c r="W216" s="5">
        <f ca="1">SUM(OFFSET(Demand!$E225,0,(COLUMN(J213)-1)*5,1,3))*W$2</f>
        <v>0</v>
      </c>
      <c r="X216" s="5">
        <f t="shared" ca="1" si="47"/>
        <v>0</v>
      </c>
      <c r="Y216">
        <f t="shared" ca="1" si="48"/>
        <v>0</v>
      </c>
      <c r="Z216" s="5">
        <f ca="1">SUM(OFFSET(Demand!$H225,0,(COLUMN(A213)-1)*5,1,1))*N$2</f>
        <v>0</v>
      </c>
      <c r="AA216" s="5">
        <f ca="1">SUM(OFFSET(Demand!$H225,0,(COLUMN(B213)-1)*5,1,1))*O$2</f>
        <v>0</v>
      </c>
      <c r="AB216" s="5">
        <f ca="1">SUM(OFFSET(Demand!$H225,0,(COLUMN(C213)-1)*5,1,1))*P$2</f>
        <v>0</v>
      </c>
      <c r="AC216" s="5">
        <f ca="1">SUM(OFFSET(Demand!$H225,0,(COLUMN(D213)-1)*5,1,1))*Q$2</f>
        <v>0</v>
      </c>
      <c r="AD216" s="5">
        <f ca="1">SUM(OFFSET(Demand!$H225,0,(COLUMN(E213)-1)*5,1,1))*R$2</f>
        <v>0</v>
      </c>
      <c r="AE216" s="5">
        <f ca="1">SUM(OFFSET(Demand!$H225,0,(COLUMN(F213)-1)*5,1,1))*S$2</f>
        <v>0</v>
      </c>
      <c r="AF216" s="5">
        <f ca="1">SUM(OFFSET(Demand!$H225,0,(COLUMN(G213)-1)*5,1,1))*T$2</f>
        <v>0</v>
      </c>
      <c r="AG216" s="5">
        <f ca="1">SUM(OFFSET(Demand!$H225,0,(COLUMN(H213)-1)*5,1,1))*U$2</f>
        <v>0</v>
      </c>
      <c r="AH216" s="5">
        <f ca="1">SUM(OFFSET(Demand!$H225,0,(COLUMN(I213)-1)*5,1,1))*V$2</f>
        <v>0</v>
      </c>
      <c r="AI216" s="5">
        <f ca="1">SUM(OFFSET(Demand!$H225,0,(COLUMN(J213)-1)*5,1,1))*W$2</f>
        <v>0</v>
      </c>
      <c r="AJ216" s="5">
        <f t="shared" ca="1" si="49"/>
        <v>0</v>
      </c>
      <c r="AL216" s="5">
        <f t="shared" ca="1" si="50"/>
        <v>0</v>
      </c>
      <c r="AM216" s="5">
        <f t="shared" ca="1" si="51"/>
        <v>0</v>
      </c>
      <c r="AN216" s="5" t="str">
        <f>IF(Demand!BE225="Yes","Yes","")</f>
        <v/>
      </c>
      <c r="AP216" s="37" t="str">
        <f ca="1">Demand!B225</f>
        <v xml:space="preserve"> </v>
      </c>
      <c r="AQ216" t="str">
        <f ca="1">IF(TEXT(Demand!D225,"MMM")&lt;&gt;TEXT(Demand!D224,"MMM"),TEXT(Demand!D225,"MMM"),"")</f>
        <v/>
      </c>
      <c r="AT216" s="5">
        <f t="shared" ca="1" si="53"/>
        <v>0</v>
      </c>
      <c r="BQ216">
        <f ca="1">IF($AN216="",OFFSET(Demand!$A$13,ROW(A213)-1,4+((QUOTIENT(COLUMN(BQ$2)-69,3))*5)+MOD(COLUMN(BQ$2),3),1,1),"")</f>
        <v>0</v>
      </c>
      <c r="BR216">
        <f ca="1">IF($AN216="",OFFSET(Demand!$A$13,ROW(B213)-1,4+((QUOTIENT(COLUMN(BR$2)-69,3))*5)+MOD(COLUMN(BR$2),3),1,1),"")</f>
        <v>0</v>
      </c>
      <c r="BS216">
        <f ca="1">IF($AN216="",OFFSET(Demand!$A$13,ROW(C213)-1,4+((QUOTIENT(COLUMN(BS$2)-69,3))*5)+MOD(COLUMN(BS$2),3),1,1),"")</f>
        <v>0</v>
      </c>
      <c r="BT216">
        <f ca="1">IF($AN216="",OFFSET(Demand!$A$13,ROW(D213)-1,4+((QUOTIENT(COLUMN(BT$2)-69,3))*5)+MOD(COLUMN(BT$2),3),1,1),"")</f>
        <v>0</v>
      </c>
      <c r="BU216">
        <f ca="1">IF($AN216="",OFFSET(Demand!$A$13,ROW(E213)-1,4+((QUOTIENT(COLUMN(BU$2)-69,3))*5)+MOD(COLUMN(BU$2),3),1,1),"")</f>
        <v>0</v>
      </c>
      <c r="BV216">
        <f ca="1">IF($AN216="",OFFSET(Demand!$A$13,ROW(F213)-1,4+((QUOTIENT(COLUMN(BV$2)-69,3))*5)+MOD(COLUMN(BV$2),3),1,1),"")</f>
        <v>0</v>
      </c>
      <c r="BW216">
        <f ca="1">IF($AN216="",OFFSET(Demand!$A$13,ROW(G213)-1,4+((QUOTIENT(COLUMN(BW$2)-69,3))*5)+MOD(COLUMN(BW$2),3),1,1),"")</f>
        <v>0</v>
      </c>
      <c r="BX216">
        <f ca="1">IF($AN216="",OFFSET(Demand!$A$13,ROW(H213)-1,4+((QUOTIENT(COLUMN(BX$2)-69,3))*5)+MOD(COLUMN(BX$2),3),1,1),"")</f>
        <v>0</v>
      </c>
      <c r="BY216">
        <f ca="1">IF($AN216="",OFFSET(Demand!$A$13,ROW(I213)-1,4+((QUOTIENT(COLUMN(BY$2)-69,3))*5)+MOD(COLUMN(BY$2),3),1,1),"")</f>
        <v>0</v>
      </c>
      <c r="BZ216">
        <f ca="1">IF($AN216="",OFFSET(Demand!$A$13,ROW(J213)-1,4+((QUOTIENT(COLUMN(BZ$2)-69,3))*5)+MOD(COLUMN(BZ$2),3),1,1),"")</f>
        <v>0</v>
      </c>
      <c r="CA216">
        <f ca="1">IF($AN216="",OFFSET(Demand!$A$13,ROW(K213)-1,4+((QUOTIENT(COLUMN(CA$2)-69,3))*5)+MOD(COLUMN(CA$2),3),1,1),"")</f>
        <v>0</v>
      </c>
      <c r="CB216">
        <f ca="1">IF($AN216="",OFFSET(Demand!$A$13,ROW(L213)-1,4+((QUOTIENT(COLUMN(CB$2)-69,3))*5)+MOD(COLUMN(CB$2),3),1,1),"")</f>
        <v>0</v>
      </c>
      <c r="CC216">
        <f ca="1">IF($AN216="",OFFSET(Demand!$A$13,ROW(M213)-1,4+((QUOTIENT(COLUMN(CC$2)-69,3))*5)+MOD(COLUMN(CC$2),3),1,1),"")</f>
        <v>0</v>
      </c>
      <c r="CD216">
        <f ca="1">IF($AN216="",OFFSET(Demand!$A$13,ROW(N213)-1,4+((QUOTIENT(COLUMN(CD$2)-69,3))*5)+MOD(COLUMN(CD$2),3),1,1),"")</f>
        <v>0</v>
      </c>
      <c r="CE216">
        <f ca="1">IF($AN216="",OFFSET(Demand!$A$13,ROW(O213)-1,4+((QUOTIENT(COLUMN(CE$2)-69,3))*5)+MOD(COLUMN(CE$2),3),1,1),"")</f>
        <v>0</v>
      </c>
      <c r="CF216">
        <f ca="1">IF($AN216="",OFFSET(Demand!$A$13,ROW(P213)-1,4+((QUOTIENT(COLUMN(CF$2)-69,3))*5)+MOD(COLUMN(CF$2),3),1,1),"")</f>
        <v>0</v>
      </c>
      <c r="CG216">
        <f ca="1">IF($AN216="",OFFSET(Demand!$A$13,ROW(Q213)-1,4+((QUOTIENT(COLUMN(CG$2)-69,3))*5)+MOD(COLUMN(CG$2),3),1,1),"")</f>
        <v>0</v>
      </c>
      <c r="CH216">
        <f ca="1">IF($AN216="",OFFSET(Demand!$A$13,ROW(R213)-1,4+((QUOTIENT(COLUMN(CH$2)-69,3))*5)+MOD(COLUMN(CH$2),3),1,1),"")</f>
        <v>0</v>
      </c>
      <c r="CI216">
        <f ca="1">IF($AN216="",OFFSET(Demand!$A$13,ROW(S213)-1,4+((QUOTIENT(COLUMN(CI$2)-69,3))*5)+MOD(COLUMN(CI$2),3),1,1),"")</f>
        <v>0</v>
      </c>
      <c r="CJ216">
        <f ca="1">IF($AN216="",OFFSET(Demand!$A$13,ROW(T213)-1,4+((QUOTIENT(COLUMN(CJ$2)-69,3))*5)+MOD(COLUMN(CJ$2),3),1,1),"")</f>
        <v>0</v>
      </c>
      <c r="CK216">
        <f ca="1">IF($AN216="",OFFSET(Demand!$A$13,ROW(U213)-1,4+((QUOTIENT(COLUMN(CK$2)-69,3))*5)+MOD(COLUMN(CK$2),3),1,1),"")</f>
        <v>0</v>
      </c>
      <c r="CL216">
        <f ca="1">IF($AN216="",OFFSET(Demand!$A$13,ROW(V213)-1,4+((QUOTIENT(COLUMN(CL$2)-69,3))*5)+MOD(COLUMN(CL$2),3),1,1),"")</f>
        <v>0</v>
      </c>
      <c r="CM216">
        <f ca="1">IF($AN216="",OFFSET(Demand!$A$13,ROW(W213)-1,4+((QUOTIENT(COLUMN(CM$2)-69,3))*5)+MOD(COLUMN(CM$2),3),1,1),"")</f>
        <v>0</v>
      </c>
      <c r="CN216">
        <f ca="1">IF($AN216="",OFFSET(Demand!$A$13,ROW(X213)-1,4+((QUOTIENT(COLUMN(CN$2)-69,3))*5)+MOD(COLUMN(CN$2),3),1,1),"")</f>
        <v>0</v>
      </c>
      <c r="CO216">
        <f ca="1">IF($AN216="",OFFSET(Demand!$A$13,ROW(Y213)-1,4+((QUOTIENT(COLUMN(CO$2)-69,3))*5)+MOD(COLUMN(CO$2),3),1,1),"")</f>
        <v>0</v>
      </c>
      <c r="CP216">
        <f ca="1">IF($AN216="",OFFSET(Demand!$A$13,ROW(Z213)-1,4+((QUOTIENT(COLUMN(CP$2)-69,3))*5)+MOD(COLUMN(CP$2),3),1,1),"")</f>
        <v>0</v>
      </c>
      <c r="CQ216">
        <f ca="1">IF($AN216="",OFFSET(Demand!$A$13,ROW(AA213)-1,4+((QUOTIENT(COLUMN(CQ$2)-69,3))*5)+MOD(COLUMN(CQ$2),3),1,1),"")</f>
        <v>0</v>
      </c>
      <c r="CR216">
        <f ca="1">IF($AN216="",OFFSET(Demand!$A$13,ROW(AB213)-1,4+((QUOTIENT(COLUMN(CR$2)-69,3))*5)+MOD(COLUMN(CR$2),3),1,1),"")</f>
        <v>0</v>
      </c>
      <c r="CS216">
        <f ca="1">IF($AN216="",OFFSET(Demand!$A$13,ROW(AC213)-1,4+((QUOTIENT(COLUMN(CS$2)-69,3))*5)+MOD(COLUMN(CS$2),3),1,1),"")</f>
        <v>0</v>
      </c>
      <c r="CT216">
        <f ca="1">IF($AN216="",OFFSET(Demand!$A$13,ROW(AD213)-1,4+((QUOTIENT(COLUMN(CT$2)-69,3))*5)+MOD(COLUMN(CT$2),3),1,1),"")</f>
        <v>0</v>
      </c>
      <c r="CW216" s="5">
        <f ca="1">SUM(OFFSET(Demand!$H$43,ROW(A213)-1,(COLUMN(A213)-1)*5,1,1))*N$2</f>
        <v>0</v>
      </c>
      <c r="CX216" s="5">
        <f ca="1">SUM(OFFSET(Demand!$H$43,ROW(B213)-1,(COLUMN(B213)-1)*5,1,1))*O$2</f>
        <v>0</v>
      </c>
      <c r="CY216" s="5">
        <f ca="1">SUM(OFFSET(Demand!$H$43,ROW(C213)-1,(COLUMN(C213)-1)*5,1,1))*P$2</f>
        <v>0</v>
      </c>
      <c r="CZ216" s="5">
        <f ca="1">SUM(OFFSET(Demand!$H$43,ROW(D213)-1,(COLUMN(D213)-1)*5,1,1))*Q$2</f>
        <v>0</v>
      </c>
      <c r="DA216" s="5">
        <f ca="1">SUM(OFFSET(Demand!$H$43,ROW(E213)-1,(COLUMN(E213)-1)*5,1,1))*R$2</f>
        <v>0</v>
      </c>
      <c r="DB216" s="5">
        <f ca="1">SUM(OFFSET(Demand!$H$43,ROW(F213)-1,(COLUMN(F213)-1)*5,1,1))*S$2</f>
        <v>0</v>
      </c>
      <c r="DC216" s="5">
        <f ca="1">SUM(OFFSET(Demand!$H$43,ROW(G213)-1,(COLUMN(G213)-1)*5,1,1))*T$2</f>
        <v>0</v>
      </c>
      <c r="DD216" s="5">
        <f ca="1">SUM(OFFSET(Demand!$H$43,ROW(H213)-1,(COLUMN(H213)-1)*5,1,1))*U$2</f>
        <v>0</v>
      </c>
      <c r="DE216" s="5">
        <f ca="1">SUM(OFFSET(Demand!$H$43,ROW(I213)-1,(COLUMN(I213)-1)*5,1,1))*V$2</f>
        <v>0</v>
      </c>
      <c r="DF216" s="5">
        <f ca="1">SUM(OFFSET(Demand!$H$43,ROW(J213)-1,(COLUMN(J213)-1)*5,1,1))*W$2</f>
        <v>0</v>
      </c>
      <c r="DG216" s="5">
        <f t="shared" ca="1" si="52"/>
        <v>0</v>
      </c>
    </row>
    <row r="217" spans="1:111" x14ac:dyDescent="0.2">
      <c r="A217" s="5">
        <f t="shared" ca="1" si="46"/>
        <v>2</v>
      </c>
      <c r="B217" s="5">
        <f ca="1">COUNTBLANK(OFFSET(Demand!$I226,0,(COLUMN(A214)-1)*5,1,1))</f>
        <v>1</v>
      </c>
      <c r="C217" s="5">
        <f ca="1">COUNTBLANK(OFFSET(Demand!$I226,0,(COLUMN(B214)-1)*5,1,1))</f>
        <v>1</v>
      </c>
      <c r="D217" s="5">
        <f ca="1">COUNTBLANK(OFFSET(Demand!$I226,0,(COLUMN(C214)-1)*5,1,1))</f>
        <v>1</v>
      </c>
      <c r="E217" s="5">
        <f ca="1">COUNTBLANK(OFFSET(Demand!$I226,0,(COLUMN(D214)-1)*5,1,1))</f>
        <v>1</v>
      </c>
      <c r="F217" s="5">
        <f ca="1">COUNTBLANK(OFFSET(Demand!$I226,0,(COLUMN(E214)-1)*5,1,1))</f>
        <v>1</v>
      </c>
      <c r="G217" s="5">
        <f ca="1">COUNTBLANK(OFFSET(Demand!$I226,0,(COLUMN(F214)-1)*5,1,1))</f>
        <v>1</v>
      </c>
      <c r="H217" s="5">
        <f ca="1">COUNTBLANK(OFFSET(Demand!$I226,0,(COLUMN(G214)-1)*5,1,1))</f>
        <v>1</v>
      </c>
      <c r="I217" s="5">
        <f ca="1">COUNTBLANK(OFFSET(Demand!$I226,0,(COLUMN(H214)-1)*5,1,1))</f>
        <v>1</v>
      </c>
      <c r="J217" s="5">
        <f ca="1">COUNTBLANK(OFFSET(Demand!$I226,0,(COLUMN(I214)-1)*5,1,1))</f>
        <v>1</v>
      </c>
      <c r="K217" s="5">
        <f ca="1">COUNTBLANK(OFFSET(Demand!$I226,0,(COLUMN(J214)-1)*5,1,1))</f>
        <v>1</v>
      </c>
      <c r="N217" s="5">
        <f ca="1">SUM(OFFSET(Demand!$E226,0,(COLUMN(A214)-1)*5,1,3))*N$2</f>
        <v>0</v>
      </c>
      <c r="O217" s="5">
        <f ca="1">SUM(OFFSET(Demand!$E226,0,(COLUMN(B214)-1)*5,1,3))*O$2</f>
        <v>0</v>
      </c>
      <c r="P217" s="5">
        <f ca="1">SUM(OFFSET(Demand!$E226,0,(COLUMN(C214)-1)*5,1,3))*P$2</f>
        <v>0</v>
      </c>
      <c r="Q217" s="5">
        <f ca="1">SUM(OFFSET(Demand!$E226,0,(COLUMN(D214)-1)*5,1,3))*Q$2</f>
        <v>0</v>
      </c>
      <c r="R217" s="5">
        <f ca="1">SUM(OFFSET(Demand!$E226,0,(COLUMN(E214)-1)*5,1,3))*R$2</f>
        <v>0</v>
      </c>
      <c r="S217" s="5">
        <f ca="1">SUM(OFFSET(Demand!$E226,0,(COLUMN(F214)-1)*5,1,3))*S$2</f>
        <v>0</v>
      </c>
      <c r="T217" s="5">
        <f ca="1">SUM(OFFSET(Demand!$E226,0,(COLUMN(G214)-1)*5,1,3))*T$2</f>
        <v>0</v>
      </c>
      <c r="U217" s="5">
        <f ca="1">SUM(OFFSET(Demand!$E226,0,(COLUMN(H214)-1)*5,1,3))*U$2</f>
        <v>0</v>
      </c>
      <c r="V217" s="5">
        <f ca="1">SUM(OFFSET(Demand!$E226,0,(COLUMN(I214)-1)*5,1,3))*V$2</f>
        <v>0</v>
      </c>
      <c r="W217" s="5">
        <f ca="1">SUM(OFFSET(Demand!$E226,0,(COLUMN(J214)-1)*5,1,3))*W$2</f>
        <v>0</v>
      </c>
      <c r="X217" s="5">
        <f t="shared" ca="1" si="47"/>
        <v>0</v>
      </c>
      <c r="Y217">
        <f t="shared" ca="1" si="48"/>
        <v>0</v>
      </c>
      <c r="Z217" s="5">
        <f ca="1">SUM(OFFSET(Demand!$H226,0,(COLUMN(A214)-1)*5,1,1))*N$2</f>
        <v>0</v>
      </c>
      <c r="AA217" s="5">
        <f ca="1">SUM(OFFSET(Demand!$H226,0,(COLUMN(B214)-1)*5,1,1))*O$2</f>
        <v>0</v>
      </c>
      <c r="AB217" s="5">
        <f ca="1">SUM(OFFSET(Demand!$H226,0,(COLUMN(C214)-1)*5,1,1))*P$2</f>
        <v>0</v>
      </c>
      <c r="AC217" s="5">
        <f ca="1">SUM(OFFSET(Demand!$H226,0,(COLUMN(D214)-1)*5,1,1))*Q$2</f>
        <v>0</v>
      </c>
      <c r="AD217" s="5">
        <f ca="1">SUM(OFFSET(Demand!$H226,0,(COLUMN(E214)-1)*5,1,1))*R$2</f>
        <v>0</v>
      </c>
      <c r="AE217" s="5">
        <f ca="1">SUM(OFFSET(Demand!$H226,0,(COLUMN(F214)-1)*5,1,1))*S$2</f>
        <v>0</v>
      </c>
      <c r="AF217" s="5">
        <f ca="1">SUM(OFFSET(Demand!$H226,0,(COLUMN(G214)-1)*5,1,1))*T$2</f>
        <v>0</v>
      </c>
      <c r="AG217" s="5">
        <f ca="1">SUM(OFFSET(Demand!$H226,0,(COLUMN(H214)-1)*5,1,1))*U$2</f>
        <v>0</v>
      </c>
      <c r="AH217" s="5">
        <f ca="1">SUM(OFFSET(Demand!$H226,0,(COLUMN(I214)-1)*5,1,1))*V$2</f>
        <v>0</v>
      </c>
      <c r="AI217" s="5">
        <f ca="1">SUM(OFFSET(Demand!$H226,0,(COLUMN(J214)-1)*5,1,1))*W$2</f>
        <v>0</v>
      </c>
      <c r="AJ217" s="5">
        <f t="shared" ca="1" si="49"/>
        <v>0</v>
      </c>
      <c r="AL217" s="5">
        <f t="shared" ca="1" si="50"/>
        <v>0</v>
      </c>
      <c r="AM217" s="5">
        <f t="shared" ca="1" si="51"/>
        <v>0</v>
      </c>
      <c r="AN217" s="5" t="str">
        <f>IF(Demand!BE226="Yes","Yes","")</f>
        <v/>
      </c>
      <c r="AP217" s="37" t="str">
        <f ca="1">Demand!B226</f>
        <v xml:space="preserve"> </v>
      </c>
      <c r="AQ217" t="str">
        <f ca="1">IF(TEXT(Demand!D226,"MMM")&lt;&gt;TEXT(Demand!D225,"MMM"),TEXT(Demand!D226,"MMM"),"")</f>
        <v/>
      </c>
      <c r="AT217" s="5">
        <f t="shared" ca="1" si="53"/>
        <v>0</v>
      </c>
      <c r="BQ217">
        <f ca="1">IF($AN217="",OFFSET(Demand!$A$13,ROW(A214)-1,4+((QUOTIENT(COLUMN(BQ$2)-69,3))*5)+MOD(COLUMN(BQ$2),3),1,1),"")</f>
        <v>0</v>
      </c>
      <c r="BR217">
        <f ca="1">IF($AN217="",OFFSET(Demand!$A$13,ROW(B214)-1,4+((QUOTIENT(COLUMN(BR$2)-69,3))*5)+MOD(COLUMN(BR$2),3),1,1),"")</f>
        <v>0</v>
      </c>
      <c r="BS217">
        <f ca="1">IF($AN217="",OFFSET(Demand!$A$13,ROW(C214)-1,4+((QUOTIENT(COLUMN(BS$2)-69,3))*5)+MOD(COLUMN(BS$2),3),1,1),"")</f>
        <v>0</v>
      </c>
      <c r="BT217">
        <f ca="1">IF($AN217="",OFFSET(Demand!$A$13,ROW(D214)-1,4+((QUOTIENT(COLUMN(BT$2)-69,3))*5)+MOD(COLUMN(BT$2),3),1,1),"")</f>
        <v>0</v>
      </c>
      <c r="BU217">
        <f ca="1">IF($AN217="",OFFSET(Demand!$A$13,ROW(E214)-1,4+((QUOTIENT(COLUMN(BU$2)-69,3))*5)+MOD(COLUMN(BU$2),3),1,1),"")</f>
        <v>0</v>
      </c>
      <c r="BV217">
        <f ca="1">IF($AN217="",OFFSET(Demand!$A$13,ROW(F214)-1,4+((QUOTIENT(COLUMN(BV$2)-69,3))*5)+MOD(COLUMN(BV$2),3),1,1),"")</f>
        <v>0</v>
      </c>
      <c r="BW217">
        <f ca="1">IF($AN217="",OFFSET(Demand!$A$13,ROW(G214)-1,4+((QUOTIENT(COLUMN(BW$2)-69,3))*5)+MOD(COLUMN(BW$2),3),1,1),"")</f>
        <v>0</v>
      </c>
      <c r="BX217">
        <f ca="1">IF($AN217="",OFFSET(Demand!$A$13,ROW(H214)-1,4+((QUOTIENT(COLUMN(BX$2)-69,3))*5)+MOD(COLUMN(BX$2),3),1,1),"")</f>
        <v>0</v>
      </c>
      <c r="BY217">
        <f ca="1">IF($AN217="",OFFSET(Demand!$A$13,ROW(I214)-1,4+((QUOTIENT(COLUMN(BY$2)-69,3))*5)+MOD(COLUMN(BY$2),3),1,1),"")</f>
        <v>0</v>
      </c>
      <c r="BZ217">
        <f ca="1">IF($AN217="",OFFSET(Demand!$A$13,ROW(J214)-1,4+((QUOTIENT(COLUMN(BZ$2)-69,3))*5)+MOD(COLUMN(BZ$2),3),1,1),"")</f>
        <v>0</v>
      </c>
      <c r="CA217">
        <f ca="1">IF($AN217="",OFFSET(Demand!$A$13,ROW(K214)-1,4+((QUOTIENT(COLUMN(CA$2)-69,3))*5)+MOD(COLUMN(CA$2),3),1,1),"")</f>
        <v>0</v>
      </c>
      <c r="CB217">
        <f ca="1">IF($AN217="",OFFSET(Demand!$A$13,ROW(L214)-1,4+((QUOTIENT(COLUMN(CB$2)-69,3))*5)+MOD(COLUMN(CB$2),3),1,1),"")</f>
        <v>0</v>
      </c>
      <c r="CC217">
        <f ca="1">IF($AN217="",OFFSET(Demand!$A$13,ROW(M214)-1,4+((QUOTIENT(COLUMN(CC$2)-69,3))*5)+MOD(COLUMN(CC$2),3),1,1),"")</f>
        <v>0</v>
      </c>
      <c r="CD217">
        <f ca="1">IF($AN217="",OFFSET(Demand!$A$13,ROW(N214)-1,4+((QUOTIENT(COLUMN(CD$2)-69,3))*5)+MOD(COLUMN(CD$2),3),1,1),"")</f>
        <v>0</v>
      </c>
      <c r="CE217">
        <f ca="1">IF($AN217="",OFFSET(Demand!$A$13,ROW(O214)-1,4+((QUOTIENT(COLUMN(CE$2)-69,3))*5)+MOD(COLUMN(CE$2),3),1,1),"")</f>
        <v>0</v>
      </c>
      <c r="CF217">
        <f ca="1">IF($AN217="",OFFSET(Demand!$A$13,ROW(P214)-1,4+((QUOTIENT(COLUMN(CF$2)-69,3))*5)+MOD(COLUMN(CF$2),3),1,1),"")</f>
        <v>0</v>
      </c>
      <c r="CG217">
        <f ca="1">IF($AN217="",OFFSET(Demand!$A$13,ROW(Q214)-1,4+((QUOTIENT(COLUMN(CG$2)-69,3))*5)+MOD(COLUMN(CG$2),3),1,1),"")</f>
        <v>0</v>
      </c>
      <c r="CH217">
        <f ca="1">IF($AN217="",OFFSET(Demand!$A$13,ROW(R214)-1,4+((QUOTIENT(COLUMN(CH$2)-69,3))*5)+MOD(COLUMN(CH$2),3),1,1),"")</f>
        <v>0</v>
      </c>
      <c r="CI217">
        <f ca="1">IF($AN217="",OFFSET(Demand!$A$13,ROW(S214)-1,4+((QUOTIENT(COLUMN(CI$2)-69,3))*5)+MOD(COLUMN(CI$2),3),1,1),"")</f>
        <v>0</v>
      </c>
      <c r="CJ217">
        <f ca="1">IF($AN217="",OFFSET(Demand!$A$13,ROW(T214)-1,4+((QUOTIENT(COLUMN(CJ$2)-69,3))*5)+MOD(COLUMN(CJ$2),3),1,1),"")</f>
        <v>0</v>
      </c>
      <c r="CK217">
        <f ca="1">IF($AN217="",OFFSET(Demand!$A$13,ROW(U214)-1,4+((QUOTIENT(COLUMN(CK$2)-69,3))*5)+MOD(COLUMN(CK$2),3),1,1),"")</f>
        <v>0</v>
      </c>
      <c r="CL217">
        <f ca="1">IF($AN217="",OFFSET(Demand!$A$13,ROW(V214)-1,4+((QUOTIENT(COLUMN(CL$2)-69,3))*5)+MOD(COLUMN(CL$2),3),1,1),"")</f>
        <v>0</v>
      </c>
      <c r="CM217">
        <f ca="1">IF($AN217="",OFFSET(Demand!$A$13,ROW(W214)-1,4+((QUOTIENT(COLUMN(CM$2)-69,3))*5)+MOD(COLUMN(CM$2),3),1,1),"")</f>
        <v>0</v>
      </c>
      <c r="CN217">
        <f ca="1">IF($AN217="",OFFSET(Demand!$A$13,ROW(X214)-1,4+((QUOTIENT(COLUMN(CN$2)-69,3))*5)+MOD(COLUMN(CN$2),3),1,1),"")</f>
        <v>0</v>
      </c>
      <c r="CO217">
        <f ca="1">IF($AN217="",OFFSET(Demand!$A$13,ROW(Y214)-1,4+((QUOTIENT(COLUMN(CO$2)-69,3))*5)+MOD(COLUMN(CO$2),3),1,1),"")</f>
        <v>0</v>
      </c>
      <c r="CP217">
        <f ca="1">IF($AN217="",OFFSET(Demand!$A$13,ROW(Z214)-1,4+((QUOTIENT(COLUMN(CP$2)-69,3))*5)+MOD(COLUMN(CP$2),3),1,1),"")</f>
        <v>0</v>
      </c>
      <c r="CQ217">
        <f ca="1">IF($AN217="",OFFSET(Demand!$A$13,ROW(AA214)-1,4+((QUOTIENT(COLUMN(CQ$2)-69,3))*5)+MOD(COLUMN(CQ$2),3),1,1),"")</f>
        <v>0</v>
      </c>
      <c r="CR217">
        <f ca="1">IF($AN217="",OFFSET(Demand!$A$13,ROW(AB214)-1,4+((QUOTIENT(COLUMN(CR$2)-69,3))*5)+MOD(COLUMN(CR$2),3),1,1),"")</f>
        <v>0</v>
      </c>
      <c r="CS217">
        <f ca="1">IF($AN217="",OFFSET(Demand!$A$13,ROW(AC214)-1,4+((QUOTIENT(COLUMN(CS$2)-69,3))*5)+MOD(COLUMN(CS$2),3),1,1),"")</f>
        <v>0</v>
      </c>
      <c r="CT217">
        <f ca="1">IF($AN217="",OFFSET(Demand!$A$13,ROW(AD214)-1,4+((QUOTIENT(COLUMN(CT$2)-69,3))*5)+MOD(COLUMN(CT$2),3),1,1),"")</f>
        <v>0</v>
      </c>
      <c r="CW217" s="5">
        <f ca="1">SUM(OFFSET(Demand!$H$43,ROW(A214)-1,(COLUMN(A214)-1)*5,1,1))*N$2</f>
        <v>0</v>
      </c>
      <c r="CX217" s="5">
        <f ca="1">SUM(OFFSET(Demand!$H$43,ROW(B214)-1,(COLUMN(B214)-1)*5,1,1))*O$2</f>
        <v>0</v>
      </c>
      <c r="CY217" s="5">
        <f ca="1">SUM(OFFSET(Demand!$H$43,ROW(C214)-1,(COLUMN(C214)-1)*5,1,1))*P$2</f>
        <v>0</v>
      </c>
      <c r="CZ217" s="5">
        <f ca="1">SUM(OFFSET(Demand!$H$43,ROW(D214)-1,(COLUMN(D214)-1)*5,1,1))*Q$2</f>
        <v>0</v>
      </c>
      <c r="DA217" s="5">
        <f ca="1">SUM(OFFSET(Demand!$H$43,ROW(E214)-1,(COLUMN(E214)-1)*5,1,1))*R$2</f>
        <v>0</v>
      </c>
      <c r="DB217" s="5">
        <f ca="1">SUM(OFFSET(Demand!$H$43,ROW(F214)-1,(COLUMN(F214)-1)*5,1,1))*S$2</f>
        <v>0</v>
      </c>
      <c r="DC217" s="5">
        <f ca="1">SUM(OFFSET(Demand!$H$43,ROW(G214)-1,(COLUMN(G214)-1)*5,1,1))*T$2</f>
        <v>0</v>
      </c>
      <c r="DD217" s="5">
        <f ca="1">SUM(OFFSET(Demand!$H$43,ROW(H214)-1,(COLUMN(H214)-1)*5,1,1))*U$2</f>
        <v>0</v>
      </c>
      <c r="DE217" s="5">
        <f ca="1">SUM(OFFSET(Demand!$H$43,ROW(I214)-1,(COLUMN(I214)-1)*5,1,1))*V$2</f>
        <v>0</v>
      </c>
      <c r="DF217" s="5">
        <f ca="1">SUM(OFFSET(Demand!$H$43,ROW(J214)-1,(COLUMN(J214)-1)*5,1,1))*W$2</f>
        <v>0</v>
      </c>
      <c r="DG217" s="5">
        <f t="shared" ca="1" si="52"/>
        <v>0</v>
      </c>
    </row>
    <row r="218" spans="1:111" x14ac:dyDescent="0.2">
      <c r="A218" s="5">
        <f t="shared" ca="1" si="46"/>
        <v>2</v>
      </c>
      <c r="B218" s="5">
        <f ca="1">COUNTBLANK(OFFSET(Demand!$I227,0,(COLUMN(A215)-1)*5,1,1))</f>
        <v>1</v>
      </c>
      <c r="C218" s="5">
        <f ca="1">COUNTBLANK(OFFSET(Demand!$I227,0,(COLUMN(B215)-1)*5,1,1))</f>
        <v>1</v>
      </c>
      <c r="D218" s="5">
        <f ca="1">COUNTBLANK(OFFSET(Demand!$I227,0,(COLUMN(C215)-1)*5,1,1))</f>
        <v>1</v>
      </c>
      <c r="E218" s="5">
        <f ca="1">COUNTBLANK(OFFSET(Demand!$I227,0,(COLUMN(D215)-1)*5,1,1))</f>
        <v>1</v>
      </c>
      <c r="F218" s="5">
        <f ca="1">COUNTBLANK(OFFSET(Demand!$I227,0,(COLUMN(E215)-1)*5,1,1))</f>
        <v>1</v>
      </c>
      <c r="G218" s="5">
        <f ca="1">COUNTBLANK(OFFSET(Demand!$I227,0,(COLUMN(F215)-1)*5,1,1))</f>
        <v>1</v>
      </c>
      <c r="H218" s="5">
        <f ca="1">COUNTBLANK(OFFSET(Demand!$I227,0,(COLUMN(G215)-1)*5,1,1))</f>
        <v>1</v>
      </c>
      <c r="I218" s="5">
        <f ca="1">COUNTBLANK(OFFSET(Demand!$I227,0,(COLUMN(H215)-1)*5,1,1))</f>
        <v>1</v>
      </c>
      <c r="J218" s="5">
        <f ca="1">COUNTBLANK(OFFSET(Demand!$I227,0,(COLUMN(I215)-1)*5,1,1))</f>
        <v>1</v>
      </c>
      <c r="K218" s="5">
        <f ca="1">COUNTBLANK(OFFSET(Demand!$I227,0,(COLUMN(J215)-1)*5,1,1))</f>
        <v>1</v>
      </c>
      <c r="N218" s="5">
        <f ca="1">SUM(OFFSET(Demand!$E227,0,(COLUMN(A215)-1)*5,1,3))*N$2</f>
        <v>0</v>
      </c>
      <c r="O218" s="5">
        <f ca="1">SUM(OFFSET(Demand!$E227,0,(COLUMN(B215)-1)*5,1,3))*O$2</f>
        <v>0</v>
      </c>
      <c r="P218" s="5">
        <f ca="1">SUM(OFFSET(Demand!$E227,0,(COLUMN(C215)-1)*5,1,3))*P$2</f>
        <v>0</v>
      </c>
      <c r="Q218" s="5">
        <f ca="1">SUM(OFFSET(Demand!$E227,0,(COLUMN(D215)-1)*5,1,3))*Q$2</f>
        <v>0</v>
      </c>
      <c r="R218" s="5">
        <f ca="1">SUM(OFFSET(Demand!$E227,0,(COLUMN(E215)-1)*5,1,3))*R$2</f>
        <v>0</v>
      </c>
      <c r="S218" s="5">
        <f ca="1">SUM(OFFSET(Demand!$E227,0,(COLUMN(F215)-1)*5,1,3))*S$2</f>
        <v>0</v>
      </c>
      <c r="T218" s="5">
        <f ca="1">SUM(OFFSET(Demand!$E227,0,(COLUMN(G215)-1)*5,1,3))*T$2</f>
        <v>0</v>
      </c>
      <c r="U218" s="5">
        <f ca="1">SUM(OFFSET(Demand!$E227,0,(COLUMN(H215)-1)*5,1,3))*U$2</f>
        <v>0</v>
      </c>
      <c r="V218" s="5">
        <f ca="1">SUM(OFFSET(Demand!$E227,0,(COLUMN(I215)-1)*5,1,3))*V$2</f>
        <v>0</v>
      </c>
      <c r="W218" s="5">
        <f ca="1">SUM(OFFSET(Demand!$E227,0,(COLUMN(J215)-1)*5,1,3))*W$2</f>
        <v>0</v>
      </c>
      <c r="X218" s="5">
        <f t="shared" ca="1" si="47"/>
        <v>0</v>
      </c>
      <c r="Y218">
        <f t="shared" ca="1" si="48"/>
        <v>0</v>
      </c>
      <c r="Z218" s="5">
        <f ca="1">SUM(OFFSET(Demand!$H227,0,(COLUMN(A215)-1)*5,1,1))*N$2</f>
        <v>0</v>
      </c>
      <c r="AA218" s="5">
        <f ca="1">SUM(OFFSET(Demand!$H227,0,(COLUMN(B215)-1)*5,1,1))*O$2</f>
        <v>0</v>
      </c>
      <c r="AB218" s="5">
        <f ca="1">SUM(OFFSET(Demand!$H227,0,(COLUMN(C215)-1)*5,1,1))*P$2</f>
        <v>0</v>
      </c>
      <c r="AC218" s="5">
        <f ca="1">SUM(OFFSET(Demand!$H227,0,(COLUMN(D215)-1)*5,1,1))*Q$2</f>
        <v>0</v>
      </c>
      <c r="AD218" s="5">
        <f ca="1">SUM(OFFSET(Demand!$H227,0,(COLUMN(E215)-1)*5,1,1))*R$2</f>
        <v>0</v>
      </c>
      <c r="AE218" s="5">
        <f ca="1">SUM(OFFSET(Demand!$H227,0,(COLUMN(F215)-1)*5,1,1))*S$2</f>
        <v>0</v>
      </c>
      <c r="AF218" s="5">
        <f ca="1">SUM(OFFSET(Demand!$H227,0,(COLUMN(G215)-1)*5,1,1))*T$2</f>
        <v>0</v>
      </c>
      <c r="AG218" s="5">
        <f ca="1">SUM(OFFSET(Demand!$H227,0,(COLUMN(H215)-1)*5,1,1))*U$2</f>
        <v>0</v>
      </c>
      <c r="AH218" s="5">
        <f ca="1">SUM(OFFSET(Demand!$H227,0,(COLUMN(I215)-1)*5,1,1))*V$2</f>
        <v>0</v>
      </c>
      <c r="AI218" s="5">
        <f ca="1">SUM(OFFSET(Demand!$H227,0,(COLUMN(J215)-1)*5,1,1))*W$2</f>
        <v>0</v>
      </c>
      <c r="AJ218" s="5">
        <f t="shared" ca="1" si="49"/>
        <v>0</v>
      </c>
      <c r="AL218" s="5">
        <f t="shared" ca="1" si="50"/>
        <v>0</v>
      </c>
      <c r="AM218" s="5">
        <f t="shared" ca="1" si="51"/>
        <v>0</v>
      </c>
      <c r="AN218" s="5" t="str">
        <f>IF(Demand!BE227="Yes","Yes","")</f>
        <v/>
      </c>
      <c r="AP218" s="37" t="str">
        <f ca="1">Demand!B227</f>
        <v xml:space="preserve"> </v>
      </c>
      <c r="AQ218" t="str">
        <f ca="1">IF(TEXT(Demand!D227,"MMM")&lt;&gt;TEXT(Demand!D226,"MMM"),TEXT(Demand!D227,"MMM"),"")</f>
        <v/>
      </c>
      <c r="AT218" s="5">
        <f t="shared" ca="1" si="53"/>
        <v>0</v>
      </c>
      <c r="BQ218">
        <f ca="1">IF($AN218="",OFFSET(Demand!$A$13,ROW(A215)-1,4+((QUOTIENT(COLUMN(BQ$2)-69,3))*5)+MOD(COLUMN(BQ$2),3),1,1),"")</f>
        <v>0</v>
      </c>
      <c r="BR218">
        <f ca="1">IF($AN218="",OFFSET(Demand!$A$13,ROW(B215)-1,4+((QUOTIENT(COLUMN(BR$2)-69,3))*5)+MOD(COLUMN(BR$2),3),1,1),"")</f>
        <v>0</v>
      </c>
      <c r="BS218">
        <f ca="1">IF($AN218="",OFFSET(Demand!$A$13,ROW(C215)-1,4+((QUOTIENT(COLUMN(BS$2)-69,3))*5)+MOD(COLUMN(BS$2),3),1,1),"")</f>
        <v>0</v>
      </c>
      <c r="BT218">
        <f ca="1">IF($AN218="",OFFSET(Demand!$A$13,ROW(D215)-1,4+((QUOTIENT(COLUMN(BT$2)-69,3))*5)+MOD(COLUMN(BT$2),3),1,1),"")</f>
        <v>0</v>
      </c>
      <c r="BU218">
        <f ca="1">IF($AN218="",OFFSET(Demand!$A$13,ROW(E215)-1,4+((QUOTIENT(COLUMN(BU$2)-69,3))*5)+MOD(COLUMN(BU$2),3),1,1),"")</f>
        <v>0</v>
      </c>
      <c r="BV218">
        <f ca="1">IF($AN218="",OFFSET(Demand!$A$13,ROW(F215)-1,4+((QUOTIENT(COLUMN(BV$2)-69,3))*5)+MOD(COLUMN(BV$2),3),1,1),"")</f>
        <v>0</v>
      </c>
      <c r="BW218">
        <f ca="1">IF($AN218="",OFFSET(Demand!$A$13,ROW(G215)-1,4+((QUOTIENT(COLUMN(BW$2)-69,3))*5)+MOD(COLUMN(BW$2),3),1,1),"")</f>
        <v>0</v>
      </c>
      <c r="BX218">
        <f ca="1">IF($AN218="",OFFSET(Demand!$A$13,ROW(H215)-1,4+((QUOTIENT(COLUMN(BX$2)-69,3))*5)+MOD(COLUMN(BX$2),3),1,1),"")</f>
        <v>0</v>
      </c>
      <c r="BY218">
        <f ca="1">IF($AN218="",OFFSET(Demand!$A$13,ROW(I215)-1,4+((QUOTIENT(COLUMN(BY$2)-69,3))*5)+MOD(COLUMN(BY$2),3),1,1),"")</f>
        <v>0</v>
      </c>
      <c r="BZ218">
        <f ca="1">IF($AN218="",OFFSET(Demand!$A$13,ROW(J215)-1,4+((QUOTIENT(COLUMN(BZ$2)-69,3))*5)+MOD(COLUMN(BZ$2),3),1,1),"")</f>
        <v>0</v>
      </c>
      <c r="CA218">
        <f ca="1">IF($AN218="",OFFSET(Demand!$A$13,ROW(K215)-1,4+((QUOTIENT(COLUMN(CA$2)-69,3))*5)+MOD(COLUMN(CA$2),3),1,1),"")</f>
        <v>0</v>
      </c>
      <c r="CB218">
        <f ca="1">IF($AN218="",OFFSET(Demand!$A$13,ROW(L215)-1,4+((QUOTIENT(COLUMN(CB$2)-69,3))*5)+MOD(COLUMN(CB$2),3),1,1),"")</f>
        <v>0</v>
      </c>
      <c r="CC218">
        <f ca="1">IF($AN218="",OFFSET(Demand!$A$13,ROW(M215)-1,4+((QUOTIENT(COLUMN(CC$2)-69,3))*5)+MOD(COLUMN(CC$2),3),1,1),"")</f>
        <v>0</v>
      </c>
      <c r="CD218">
        <f ca="1">IF($AN218="",OFFSET(Demand!$A$13,ROW(N215)-1,4+((QUOTIENT(COLUMN(CD$2)-69,3))*5)+MOD(COLUMN(CD$2),3),1,1),"")</f>
        <v>0</v>
      </c>
      <c r="CE218">
        <f ca="1">IF($AN218="",OFFSET(Demand!$A$13,ROW(O215)-1,4+((QUOTIENT(COLUMN(CE$2)-69,3))*5)+MOD(COLUMN(CE$2),3),1,1),"")</f>
        <v>0</v>
      </c>
      <c r="CF218">
        <f ca="1">IF($AN218="",OFFSET(Demand!$A$13,ROW(P215)-1,4+((QUOTIENT(COLUMN(CF$2)-69,3))*5)+MOD(COLUMN(CF$2),3),1,1),"")</f>
        <v>0</v>
      </c>
      <c r="CG218">
        <f ca="1">IF($AN218="",OFFSET(Demand!$A$13,ROW(Q215)-1,4+((QUOTIENT(COLUMN(CG$2)-69,3))*5)+MOD(COLUMN(CG$2),3),1,1),"")</f>
        <v>0</v>
      </c>
      <c r="CH218">
        <f ca="1">IF($AN218="",OFFSET(Demand!$A$13,ROW(R215)-1,4+((QUOTIENT(COLUMN(CH$2)-69,3))*5)+MOD(COLUMN(CH$2),3),1,1),"")</f>
        <v>0</v>
      </c>
      <c r="CI218">
        <f ca="1">IF($AN218="",OFFSET(Demand!$A$13,ROW(S215)-1,4+((QUOTIENT(COLUMN(CI$2)-69,3))*5)+MOD(COLUMN(CI$2),3),1,1),"")</f>
        <v>0</v>
      </c>
      <c r="CJ218">
        <f ca="1">IF($AN218="",OFFSET(Demand!$A$13,ROW(T215)-1,4+((QUOTIENT(COLUMN(CJ$2)-69,3))*5)+MOD(COLUMN(CJ$2),3),1,1),"")</f>
        <v>0</v>
      </c>
      <c r="CK218">
        <f ca="1">IF($AN218="",OFFSET(Demand!$A$13,ROW(U215)-1,4+((QUOTIENT(COLUMN(CK$2)-69,3))*5)+MOD(COLUMN(CK$2),3),1,1),"")</f>
        <v>0</v>
      </c>
      <c r="CL218">
        <f ca="1">IF($AN218="",OFFSET(Demand!$A$13,ROW(V215)-1,4+((QUOTIENT(COLUMN(CL$2)-69,3))*5)+MOD(COLUMN(CL$2),3),1,1),"")</f>
        <v>0</v>
      </c>
      <c r="CM218">
        <f ca="1">IF($AN218="",OFFSET(Demand!$A$13,ROW(W215)-1,4+((QUOTIENT(COLUMN(CM$2)-69,3))*5)+MOD(COLUMN(CM$2),3),1,1),"")</f>
        <v>0</v>
      </c>
      <c r="CN218">
        <f ca="1">IF($AN218="",OFFSET(Demand!$A$13,ROW(X215)-1,4+((QUOTIENT(COLUMN(CN$2)-69,3))*5)+MOD(COLUMN(CN$2),3),1,1),"")</f>
        <v>0</v>
      </c>
      <c r="CO218">
        <f ca="1">IF($AN218="",OFFSET(Demand!$A$13,ROW(Y215)-1,4+((QUOTIENT(COLUMN(CO$2)-69,3))*5)+MOD(COLUMN(CO$2),3),1,1),"")</f>
        <v>0</v>
      </c>
      <c r="CP218">
        <f ca="1">IF($AN218="",OFFSET(Demand!$A$13,ROW(Z215)-1,4+((QUOTIENT(COLUMN(CP$2)-69,3))*5)+MOD(COLUMN(CP$2),3),1,1),"")</f>
        <v>0</v>
      </c>
      <c r="CQ218">
        <f ca="1">IF($AN218="",OFFSET(Demand!$A$13,ROW(AA215)-1,4+((QUOTIENT(COLUMN(CQ$2)-69,3))*5)+MOD(COLUMN(CQ$2),3),1,1),"")</f>
        <v>0</v>
      </c>
      <c r="CR218">
        <f ca="1">IF($AN218="",OFFSET(Demand!$A$13,ROW(AB215)-1,4+((QUOTIENT(COLUMN(CR$2)-69,3))*5)+MOD(COLUMN(CR$2),3),1,1),"")</f>
        <v>0</v>
      </c>
      <c r="CS218">
        <f ca="1">IF($AN218="",OFFSET(Demand!$A$13,ROW(AC215)-1,4+((QUOTIENT(COLUMN(CS$2)-69,3))*5)+MOD(COLUMN(CS$2),3),1,1),"")</f>
        <v>0</v>
      </c>
      <c r="CT218">
        <f ca="1">IF($AN218="",OFFSET(Demand!$A$13,ROW(AD215)-1,4+((QUOTIENT(COLUMN(CT$2)-69,3))*5)+MOD(COLUMN(CT$2),3),1,1),"")</f>
        <v>0</v>
      </c>
      <c r="CW218" s="5">
        <f ca="1">SUM(OFFSET(Demand!$H$43,ROW(A215)-1,(COLUMN(A215)-1)*5,1,1))*N$2</f>
        <v>0</v>
      </c>
      <c r="CX218" s="5">
        <f ca="1">SUM(OFFSET(Demand!$H$43,ROW(B215)-1,(COLUMN(B215)-1)*5,1,1))*O$2</f>
        <v>0</v>
      </c>
      <c r="CY218" s="5">
        <f ca="1">SUM(OFFSET(Demand!$H$43,ROW(C215)-1,(COLUMN(C215)-1)*5,1,1))*P$2</f>
        <v>0</v>
      </c>
      <c r="CZ218" s="5">
        <f ca="1">SUM(OFFSET(Demand!$H$43,ROW(D215)-1,(COLUMN(D215)-1)*5,1,1))*Q$2</f>
        <v>0</v>
      </c>
      <c r="DA218" s="5">
        <f ca="1">SUM(OFFSET(Demand!$H$43,ROW(E215)-1,(COLUMN(E215)-1)*5,1,1))*R$2</f>
        <v>0</v>
      </c>
      <c r="DB218" s="5">
        <f ca="1">SUM(OFFSET(Demand!$H$43,ROW(F215)-1,(COLUMN(F215)-1)*5,1,1))*S$2</f>
        <v>0</v>
      </c>
      <c r="DC218" s="5">
        <f ca="1">SUM(OFFSET(Demand!$H$43,ROW(G215)-1,(COLUMN(G215)-1)*5,1,1))*T$2</f>
        <v>0</v>
      </c>
      <c r="DD218" s="5">
        <f ca="1">SUM(OFFSET(Demand!$H$43,ROW(H215)-1,(COLUMN(H215)-1)*5,1,1))*U$2</f>
        <v>0</v>
      </c>
      <c r="DE218" s="5">
        <f ca="1">SUM(OFFSET(Demand!$H$43,ROW(I215)-1,(COLUMN(I215)-1)*5,1,1))*V$2</f>
        <v>0</v>
      </c>
      <c r="DF218" s="5">
        <f ca="1">SUM(OFFSET(Demand!$H$43,ROW(J215)-1,(COLUMN(J215)-1)*5,1,1))*W$2</f>
        <v>0</v>
      </c>
      <c r="DG218" s="5">
        <f t="shared" ca="1" si="52"/>
        <v>0</v>
      </c>
    </row>
    <row r="219" spans="1:111" x14ac:dyDescent="0.2">
      <c r="A219" s="5">
        <f t="shared" ca="1" si="46"/>
        <v>2</v>
      </c>
      <c r="B219" s="5">
        <f ca="1">COUNTBLANK(OFFSET(Demand!$I228,0,(COLUMN(A216)-1)*5,1,1))</f>
        <v>1</v>
      </c>
      <c r="C219" s="5">
        <f ca="1">COUNTBLANK(OFFSET(Demand!$I228,0,(COLUMN(B216)-1)*5,1,1))</f>
        <v>1</v>
      </c>
      <c r="D219" s="5">
        <f ca="1">COUNTBLANK(OFFSET(Demand!$I228,0,(COLUMN(C216)-1)*5,1,1))</f>
        <v>1</v>
      </c>
      <c r="E219" s="5">
        <f ca="1">COUNTBLANK(OFFSET(Demand!$I228,0,(COLUMN(D216)-1)*5,1,1))</f>
        <v>1</v>
      </c>
      <c r="F219" s="5">
        <f ca="1">COUNTBLANK(OFFSET(Demand!$I228,0,(COLUMN(E216)-1)*5,1,1))</f>
        <v>1</v>
      </c>
      <c r="G219" s="5">
        <f ca="1">COUNTBLANK(OFFSET(Demand!$I228,0,(COLUMN(F216)-1)*5,1,1))</f>
        <v>1</v>
      </c>
      <c r="H219" s="5">
        <f ca="1">COUNTBLANK(OFFSET(Demand!$I228,0,(COLUMN(G216)-1)*5,1,1))</f>
        <v>1</v>
      </c>
      <c r="I219" s="5">
        <f ca="1">COUNTBLANK(OFFSET(Demand!$I228,0,(COLUMN(H216)-1)*5,1,1))</f>
        <v>1</v>
      </c>
      <c r="J219" s="5">
        <f ca="1">COUNTBLANK(OFFSET(Demand!$I228,0,(COLUMN(I216)-1)*5,1,1))</f>
        <v>1</v>
      </c>
      <c r="K219" s="5">
        <f ca="1">COUNTBLANK(OFFSET(Demand!$I228,0,(COLUMN(J216)-1)*5,1,1))</f>
        <v>1</v>
      </c>
      <c r="N219" s="5">
        <f ca="1">SUM(OFFSET(Demand!$E228,0,(COLUMN(A216)-1)*5,1,3))*N$2</f>
        <v>0</v>
      </c>
      <c r="O219" s="5">
        <f ca="1">SUM(OFFSET(Demand!$E228,0,(COLUMN(B216)-1)*5,1,3))*O$2</f>
        <v>0</v>
      </c>
      <c r="P219" s="5">
        <f ca="1">SUM(OFFSET(Demand!$E228,0,(COLUMN(C216)-1)*5,1,3))*P$2</f>
        <v>0</v>
      </c>
      <c r="Q219" s="5">
        <f ca="1">SUM(OFFSET(Demand!$E228,0,(COLUMN(D216)-1)*5,1,3))*Q$2</f>
        <v>0</v>
      </c>
      <c r="R219" s="5">
        <f ca="1">SUM(OFFSET(Demand!$E228,0,(COLUMN(E216)-1)*5,1,3))*R$2</f>
        <v>0</v>
      </c>
      <c r="S219" s="5">
        <f ca="1">SUM(OFFSET(Demand!$E228,0,(COLUMN(F216)-1)*5,1,3))*S$2</f>
        <v>0</v>
      </c>
      <c r="T219" s="5">
        <f ca="1">SUM(OFFSET(Demand!$E228,0,(COLUMN(G216)-1)*5,1,3))*T$2</f>
        <v>0</v>
      </c>
      <c r="U219" s="5">
        <f ca="1">SUM(OFFSET(Demand!$E228,0,(COLUMN(H216)-1)*5,1,3))*U$2</f>
        <v>0</v>
      </c>
      <c r="V219" s="5">
        <f ca="1">SUM(OFFSET(Demand!$E228,0,(COLUMN(I216)-1)*5,1,3))*V$2</f>
        <v>0</v>
      </c>
      <c r="W219" s="5">
        <f ca="1">SUM(OFFSET(Demand!$E228,0,(COLUMN(J216)-1)*5,1,3))*W$2</f>
        <v>0</v>
      </c>
      <c r="X219" s="5">
        <f t="shared" ca="1" si="47"/>
        <v>0</v>
      </c>
      <c r="Y219">
        <f t="shared" ca="1" si="48"/>
        <v>0</v>
      </c>
      <c r="Z219" s="5">
        <f ca="1">SUM(OFFSET(Demand!$H228,0,(COLUMN(A216)-1)*5,1,1))*N$2</f>
        <v>0</v>
      </c>
      <c r="AA219" s="5">
        <f ca="1">SUM(OFFSET(Demand!$H228,0,(COLUMN(B216)-1)*5,1,1))*O$2</f>
        <v>0</v>
      </c>
      <c r="AB219" s="5">
        <f ca="1">SUM(OFFSET(Demand!$H228,0,(COLUMN(C216)-1)*5,1,1))*P$2</f>
        <v>0</v>
      </c>
      <c r="AC219" s="5">
        <f ca="1">SUM(OFFSET(Demand!$H228,0,(COLUMN(D216)-1)*5,1,1))*Q$2</f>
        <v>0</v>
      </c>
      <c r="AD219" s="5">
        <f ca="1">SUM(OFFSET(Demand!$H228,0,(COLUMN(E216)-1)*5,1,1))*R$2</f>
        <v>0</v>
      </c>
      <c r="AE219" s="5">
        <f ca="1">SUM(OFFSET(Demand!$H228,0,(COLUMN(F216)-1)*5,1,1))*S$2</f>
        <v>0</v>
      </c>
      <c r="AF219" s="5">
        <f ca="1">SUM(OFFSET(Demand!$H228,0,(COLUMN(G216)-1)*5,1,1))*T$2</f>
        <v>0</v>
      </c>
      <c r="AG219" s="5">
        <f ca="1">SUM(OFFSET(Demand!$H228,0,(COLUMN(H216)-1)*5,1,1))*U$2</f>
        <v>0</v>
      </c>
      <c r="AH219" s="5">
        <f ca="1">SUM(OFFSET(Demand!$H228,0,(COLUMN(I216)-1)*5,1,1))*V$2</f>
        <v>0</v>
      </c>
      <c r="AI219" s="5">
        <f ca="1">SUM(OFFSET(Demand!$H228,0,(COLUMN(J216)-1)*5,1,1))*W$2</f>
        <v>0</v>
      </c>
      <c r="AJ219" s="5">
        <f t="shared" ca="1" si="49"/>
        <v>0</v>
      </c>
      <c r="AL219" s="5">
        <f t="shared" ca="1" si="50"/>
        <v>0</v>
      </c>
      <c r="AM219" s="5">
        <f t="shared" ca="1" si="51"/>
        <v>0</v>
      </c>
      <c r="AN219" s="5" t="str">
        <f>IF(Demand!BE228="Yes","Yes","")</f>
        <v/>
      </c>
      <c r="AP219" s="37" t="str">
        <f ca="1">Demand!B228</f>
        <v xml:space="preserve"> </v>
      </c>
      <c r="AQ219" t="str">
        <f ca="1">IF(TEXT(Demand!D228,"MMM")&lt;&gt;TEXT(Demand!D227,"MMM"),TEXT(Demand!D228,"MMM"),"")</f>
        <v/>
      </c>
      <c r="AT219" s="5">
        <f t="shared" ca="1" si="53"/>
        <v>0</v>
      </c>
      <c r="BQ219">
        <f ca="1">IF($AN219="",OFFSET(Demand!$A$13,ROW(A216)-1,4+((QUOTIENT(COLUMN(BQ$2)-69,3))*5)+MOD(COLUMN(BQ$2),3),1,1),"")</f>
        <v>0</v>
      </c>
      <c r="BR219">
        <f ca="1">IF($AN219="",OFFSET(Demand!$A$13,ROW(B216)-1,4+((QUOTIENT(COLUMN(BR$2)-69,3))*5)+MOD(COLUMN(BR$2),3),1,1),"")</f>
        <v>0</v>
      </c>
      <c r="BS219">
        <f ca="1">IF($AN219="",OFFSET(Demand!$A$13,ROW(C216)-1,4+((QUOTIENT(COLUMN(BS$2)-69,3))*5)+MOD(COLUMN(BS$2),3),1,1),"")</f>
        <v>0</v>
      </c>
      <c r="BT219">
        <f ca="1">IF($AN219="",OFFSET(Demand!$A$13,ROW(D216)-1,4+((QUOTIENT(COLUMN(BT$2)-69,3))*5)+MOD(COLUMN(BT$2),3),1,1),"")</f>
        <v>0</v>
      </c>
      <c r="BU219">
        <f ca="1">IF($AN219="",OFFSET(Demand!$A$13,ROW(E216)-1,4+((QUOTIENT(COLUMN(BU$2)-69,3))*5)+MOD(COLUMN(BU$2),3),1,1),"")</f>
        <v>0</v>
      </c>
      <c r="BV219">
        <f ca="1">IF($AN219="",OFFSET(Demand!$A$13,ROW(F216)-1,4+((QUOTIENT(COLUMN(BV$2)-69,3))*5)+MOD(COLUMN(BV$2),3),1,1),"")</f>
        <v>0</v>
      </c>
      <c r="BW219">
        <f ca="1">IF($AN219="",OFFSET(Demand!$A$13,ROW(G216)-1,4+((QUOTIENT(COLUMN(BW$2)-69,3))*5)+MOD(COLUMN(BW$2),3),1,1),"")</f>
        <v>0</v>
      </c>
      <c r="BX219">
        <f ca="1">IF($AN219="",OFFSET(Demand!$A$13,ROW(H216)-1,4+((QUOTIENT(COLUMN(BX$2)-69,3))*5)+MOD(COLUMN(BX$2),3),1,1),"")</f>
        <v>0</v>
      </c>
      <c r="BY219">
        <f ca="1">IF($AN219="",OFFSET(Demand!$A$13,ROW(I216)-1,4+((QUOTIENT(COLUMN(BY$2)-69,3))*5)+MOD(COLUMN(BY$2),3),1,1),"")</f>
        <v>0</v>
      </c>
      <c r="BZ219">
        <f ca="1">IF($AN219="",OFFSET(Demand!$A$13,ROW(J216)-1,4+((QUOTIENT(COLUMN(BZ$2)-69,3))*5)+MOD(COLUMN(BZ$2),3),1,1),"")</f>
        <v>0</v>
      </c>
      <c r="CA219">
        <f ca="1">IF($AN219="",OFFSET(Demand!$A$13,ROW(K216)-1,4+((QUOTIENT(COLUMN(CA$2)-69,3))*5)+MOD(COLUMN(CA$2),3),1,1),"")</f>
        <v>0</v>
      </c>
      <c r="CB219">
        <f ca="1">IF($AN219="",OFFSET(Demand!$A$13,ROW(L216)-1,4+((QUOTIENT(COLUMN(CB$2)-69,3))*5)+MOD(COLUMN(CB$2),3),1,1),"")</f>
        <v>0</v>
      </c>
      <c r="CC219">
        <f ca="1">IF($AN219="",OFFSET(Demand!$A$13,ROW(M216)-1,4+((QUOTIENT(COLUMN(CC$2)-69,3))*5)+MOD(COLUMN(CC$2),3),1,1),"")</f>
        <v>0</v>
      </c>
      <c r="CD219">
        <f ca="1">IF($AN219="",OFFSET(Demand!$A$13,ROW(N216)-1,4+((QUOTIENT(COLUMN(CD$2)-69,3))*5)+MOD(COLUMN(CD$2),3),1,1),"")</f>
        <v>0</v>
      </c>
      <c r="CE219">
        <f ca="1">IF($AN219="",OFFSET(Demand!$A$13,ROW(O216)-1,4+((QUOTIENT(COLUMN(CE$2)-69,3))*5)+MOD(COLUMN(CE$2),3),1,1),"")</f>
        <v>0</v>
      </c>
      <c r="CF219">
        <f ca="1">IF($AN219="",OFFSET(Demand!$A$13,ROW(P216)-1,4+((QUOTIENT(COLUMN(CF$2)-69,3))*5)+MOD(COLUMN(CF$2),3),1,1),"")</f>
        <v>0</v>
      </c>
      <c r="CG219">
        <f ca="1">IF($AN219="",OFFSET(Demand!$A$13,ROW(Q216)-1,4+((QUOTIENT(COLUMN(CG$2)-69,3))*5)+MOD(COLUMN(CG$2),3),1,1),"")</f>
        <v>0</v>
      </c>
      <c r="CH219">
        <f ca="1">IF($AN219="",OFFSET(Demand!$A$13,ROW(R216)-1,4+((QUOTIENT(COLUMN(CH$2)-69,3))*5)+MOD(COLUMN(CH$2),3),1,1),"")</f>
        <v>0</v>
      </c>
      <c r="CI219">
        <f ca="1">IF($AN219="",OFFSET(Demand!$A$13,ROW(S216)-1,4+((QUOTIENT(COLUMN(CI$2)-69,3))*5)+MOD(COLUMN(CI$2),3),1,1),"")</f>
        <v>0</v>
      </c>
      <c r="CJ219">
        <f ca="1">IF($AN219="",OFFSET(Demand!$A$13,ROW(T216)-1,4+((QUOTIENT(COLUMN(CJ$2)-69,3))*5)+MOD(COLUMN(CJ$2),3),1,1),"")</f>
        <v>0</v>
      </c>
      <c r="CK219">
        <f ca="1">IF($AN219="",OFFSET(Demand!$A$13,ROW(U216)-1,4+((QUOTIENT(COLUMN(CK$2)-69,3))*5)+MOD(COLUMN(CK$2),3),1,1),"")</f>
        <v>0</v>
      </c>
      <c r="CL219">
        <f ca="1">IF($AN219="",OFFSET(Demand!$A$13,ROW(V216)-1,4+((QUOTIENT(COLUMN(CL$2)-69,3))*5)+MOD(COLUMN(CL$2),3),1,1),"")</f>
        <v>0</v>
      </c>
      <c r="CM219">
        <f ca="1">IF($AN219="",OFFSET(Demand!$A$13,ROW(W216)-1,4+((QUOTIENT(COLUMN(CM$2)-69,3))*5)+MOD(COLUMN(CM$2),3),1,1),"")</f>
        <v>0</v>
      </c>
      <c r="CN219">
        <f ca="1">IF($AN219="",OFFSET(Demand!$A$13,ROW(X216)-1,4+((QUOTIENT(COLUMN(CN$2)-69,3))*5)+MOD(COLUMN(CN$2),3),1,1),"")</f>
        <v>0</v>
      </c>
      <c r="CO219">
        <f ca="1">IF($AN219="",OFFSET(Demand!$A$13,ROW(Y216)-1,4+((QUOTIENT(COLUMN(CO$2)-69,3))*5)+MOD(COLUMN(CO$2),3),1,1),"")</f>
        <v>0</v>
      </c>
      <c r="CP219">
        <f ca="1">IF($AN219="",OFFSET(Demand!$A$13,ROW(Z216)-1,4+((QUOTIENT(COLUMN(CP$2)-69,3))*5)+MOD(COLUMN(CP$2),3),1,1),"")</f>
        <v>0</v>
      </c>
      <c r="CQ219">
        <f ca="1">IF($AN219="",OFFSET(Demand!$A$13,ROW(AA216)-1,4+((QUOTIENT(COLUMN(CQ$2)-69,3))*5)+MOD(COLUMN(CQ$2),3),1,1),"")</f>
        <v>0</v>
      </c>
      <c r="CR219">
        <f ca="1">IF($AN219="",OFFSET(Demand!$A$13,ROW(AB216)-1,4+((QUOTIENT(COLUMN(CR$2)-69,3))*5)+MOD(COLUMN(CR$2),3),1,1),"")</f>
        <v>0</v>
      </c>
      <c r="CS219">
        <f ca="1">IF($AN219="",OFFSET(Demand!$A$13,ROW(AC216)-1,4+((QUOTIENT(COLUMN(CS$2)-69,3))*5)+MOD(COLUMN(CS$2),3),1,1),"")</f>
        <v>0</v>
      </c>
      <c r="CT219">
        <f ca="1">IF($AN219="",OFFSET(Demand!$A$13,ROW(AD216)-1,4+((QUOTIENT(COLUMN(CT$2)-69,3))*5)+MOD(COLUMN(CT$2),3),1,1),"")</f>
        <v>0</v>
      </c>
      <c r="CW219" s="5">
        <f ca="1">SUM(OFFSET(Demand!$H$43,ROW(A216)-1,(COLUMN(A216)-1)*5,1,1))*N$2</f>
        <v>0</v>
      </c>
      <c r="CX219" s="5">
        <f ca="1">SUM(OFFSET(Demand!$H$43,ROW(B216)-1,(COLUMN(B216)-1)*5,1,1))*O$2</f>
        <v>0</v>
      </c>
      <c r="CY219" s="5">
        <f ca="1">SUM(OFFSET(Demand!$H$43,ROW(C216)-1,(COLUMN(C216)-1)*5,1,1))*P$2</f>
        <v>0</v>
      </c>
      <c r="CZ219" s="5">
        <f ca="1">SUM(OFFSET(Demand!$H$43,ROW(D216)-1,(COLUMN(D216)-1)*5,1,1))*Q$2</f>
        <v>0</v>
      </c>
      <c r="DA219" s="5">
        <f ca="1">SUM(OFFSET(Demand!$H$43,ROW(E216)-1,(COLUMN(E216)-1)*5,1,1))*R$2</f>
        <v>0</v>
      </c>
      <c r="DB219" s="5">
        <f ca="1">SUM(OFFSET(Demand!$H$43,ROW(F216)-1,(COLUMN(F216)-1)*5,1,1))*S$2</f>
        <v>0</v>
      </c>
      <c r="DC219" s="5">
        <f ca="1">SUM(OFFSET(Demand!$H$43,ROW(G216)-1,(COLUMN(G216)-1)*5,1,1))*T$2</f>
        <v>0</v>
      </c>
      <c r="DD219" s="5">
        <f ca="1">SUM(OFFSET(Demand!$H$43,ROW(H216)-1,(COLUMN(H216)-1)*5,1,1))*U$2</f>
        <v>0</v>
      </c>
      <c r="DE219" s="5">
        <f ca="1">SUM(OFFSET(Demand!$H$43,ROW(I216)-1,(COLUMN(I216)-1)*5,1,1))*V$2</f>
        <v>0</v>
      </c>
      <c r="DF219" s="5">
        <f ca="1">SUM(OFFSET(Demand!$H$43,ROW(J216)-1,(COLUMN(J216)-1)*5,1,1))*W$2</f>
        <v>0</v>
      </c>
      <c r="DG219" s="5">
        <f t="shared" ca="1" si="52"/>
        <v>0</v>
      </c>
    </row>
    <row r="220" spans="1:111" x14ac:dyDescent="0.2">
      <c r="A220" s="5">
        <f t="shared" ca="1" si="46"/>
        <v>2</v>
      </c>
      <c r="B220" s="5">
        <f ca="1">COUNTBLANK(OFFSET(Demand!$I229,0,(COLUMN(A217)-1)*5,1,1))</f>
        <v>1</v>
      </c>
      <c r="C220" s="5">
        <f ca="1">COUNTBLANK(OFFSET(Demand!$I229,0,(COLUMN(B217)-1)*5,1,1))</f>
        <v>1</v>
      </c>
      <c r="D220" s="5">
        <f ca="1">COUNTBLANK(OFFSET(Demand!$I229,0,(COLUMN(C217)-1)*5,1,1))</f>
        <v>1</v>
      </c>
      <c r="E220" s="5">
        <f ca="1">COUNTBLANK(OFFSET(Demand!$I229,0,(COLUMN(D217)-1)*5,1,1))</f>
        <v>1</v>
      </c>
      <c r="F220" s="5">
        <f ca="1">COUNTBLANK(OFFSET(Demand!$I229,0,(COLUMN(E217)-1)*5,1,1))</f>
        <v>1</v>
      </c>
      <c r="G220" s="5">
        <f ca="1">COUNTBLANK(OFFSET(Demand!$I229,0,(COLUMN(F217)-1)*5,1,1))</f>
        <v>1</v>
      </c>
      <c r="H220" s="5">
        <f ca="1">COUNTBLANK(OFFSET(Demand!$I229,0,(COLUMN(G217)-1)*5,1,1))</f>
        <v>1</v>
      </c>
      <c r="I220" s="5">
        <f ca="1">COUNTBLANK(OFFSET(Demand!$I229,0,(COLUMN(H217)-1)*5,1,1))</f>
        <v>1</v>
      </c>
      <c r="J220" s="5">
        <f ca="1">COUNTBLANK(OFFSET(Demand!$I229,0,(COLUMN(I217)-1)*5,1,1))</f>
        <v>1</v>
      </c>
      <c r="K220" s="5">
        <f ca="1">COUNTBLANK(OFFSET(Demand!$I229,0,(COLUMN(J217)-1)*5,1,1))</f>
        <v>1</v>
      </c>
      <c r="N220" s="5">
        <f ca="1">SUM(OFFSET(Demand!$E229,0,(COLUMN(A217)-1)*5,1,3))*N$2</f>
        <v>0</v>
      </c>
      <c r="O220" s="5">
        <f ca="1">SUM(OFFSET(Demand!$E229,0,(COLUMN(B217)-1)*5,1,3))*O$2</f>
        <v>0</v>
      </c>
      <c r="P220" s="5">
        <f ca="1">SUM(OFFSET(Demand!$E229,0,(COLUMN(C217)-1)*5,1,3))*P$2</f>
        <v>0</v>
      </c>
      <c r="Q220" s="5">
        <f ca="1">SUM(OFFSET(Demand!$E229,0,(COLUMN(D217)-1)*5,1,3))*Q$2</f>
        <v>0</v>
      </c>
      <c r="R220" s="5">
        <f ca="1">SUM(OFFSET(Demand!$E229,0,(COLUMN(E217)-1)*5,1,3))*R$2</f>
        <v>0</v>
      </c>
      <c r="S220" s="5">
        <f ca="1">SUM(OFFSET(Demand!$E229,0,(COLUMN(F217)-1)*5,1,3))*S$2</f>
        <v>0</v>
      </c>
      <c r="T220" s="5">
        <f ca="1">SUM(OFFSET(Demand!$E229,0,(COLUMN(G217)-1)*5,1,3))*T$2</f>
        <v>0</v>
      </c>
      <c r="U220" s="5">
        <f ca="1">SUM(OFFSET(Demand!$E229,0,(COLUMN(H217)-1)*5,1,3))*U$2</f>
        <v>0</v>
      </c>
      <c r="V220" s="5">
        <f ca="1">SUM(OFFSET(Demand!$E229,0,(COLUMN(I217)-1)*5,1,3))*V$2</f>
        <v>0</v>
      </c>
      <c r="W220" s="5">
        <f ca="1">SUM(OFFSET(Demand!$E229,0,(COLUMN(J217)-1)*5,1,3))*W$2</f>
        <v>0</v>
      </c>
      <c r="X220" s="5">
        <f t="shared" ca="1" si="47"/>
        <v>0</v>
      </c>
      <c r="Y220">
        <f t="shared" ca="1" si="48"/>
        <v>0</v>
      </c>
      <c r="Z220" s="5">
        <f ca="1">SUM(OFFSET(Demand!$H229,0,(COLUMN(A217)-1)*5,1,1))*N$2</f>
        <v>0</v>
      </c>
      <c r="AA220" s="5">
        <f ca="1">SUM(OFFSET(Demand!$H229,0,(COLUMN(B217)-1)*5,1,1))*O$2</f>
        <v>0</v>
      </c>
      <c r="AB220" s="5">
        <f ca="1">SUM(OFFSET(Demand!$H229,0,(COLUMN(C217)-1)*5,1,1))*P$2</f>
        <v>0</v>
      </c>
      <c r="AC220" s="5">
        <f ca="1">SUM(OFFSET(Demand!$H229,0,(COLUMN(D217)-1)*5,1,1))*Q$2</f>
        <v>0</v>
      </c>
      <c r="AD220" s="5">
        <f ca="1">SUM(OFFSET(Demand!$H229,0,(COLUMN(E217)-1)*5,1,1))*R$2</f>
        <v>0</v>
      </c>
      <c r="AE220" s="5">
        <f ca="1">SUM(OFFSET(Demand!$H229,0,(COLUMN(F217)-1)*5,1,1))*S$2</f>
        <v>0</v>
      </c>
      <c r="AF220" s="5">
        <f ca="1">SUM(OFFSET(Demand!$H229,0,(COLUMN(G217)-1)*5,1,1))*T$2</f>
        <v>0</v>
      </c>
      <c r="AG220" s="5">
        <f ca="1">SUM(OFFSET(Demand!$H229,0,(COLUMN(H217)-1)*5,1,1))*U$2</f>
        <v>0</v>
      </c>
      <c r="AH220" s="5">
        <f ca="1">SUM(OFFSET(Demand!$H229,0,(COLUMN(I217)-1)*5,1,1))*V$2</f>
        <v>0</v>
      </c>
      <c r="AI220" s="5">
        <f ca="1">SUM(OFFSET(Demand!$H229,0,(COLUMN(J217)-1)*5,1,1))*W$2</f>
        <v>0</v>
      </c>
      <c r="AJ220" s="5">
        <f t="shared" ca="1" si="49"/>
        <v>0</v>
      </c>
      <c r="AL220" s="5">
        <f t="shared" ca="1" si="50"/>
        <v>0</v>
      </c>
      <c r="AM220" s="5">
        <f t="shared" ca="1" si="51"/>
        <v>0</v>
      </c>
      <c r="AN220" s="5" t="str">
        <f>IF(Demand!BE229="Yes","Yes","")</f>
        <v/>
      </c>
      <c r="AP220" s="37" t="str">
        <f ca="1">Demand!B229</f>
        <v xml:space="preserve"> </v>
      </c>
      <c r="AQ220" t="str">
        <f ca="1">IF(TEXT(Demand!D229,"MMM")&lt;&gt;TEXT(Demand!D228,"MMM"),TEXT(Demand!D229,"MMM"),"")</f>
        <v/>
      </c>
      <c r="AT220" s="5">
        <f t="shared" ca="1" si="53"/>
        <v>0</v>
      </c>
      <c r="BQ220">
        <f ca="1">IF($AN220="",OFFSET(Demand!$A$13,ROW(A217)-1,4+((QUOTIENT(COLUMN(BQ$2)-69,3))*5)+MOD(COLUMN(BQ$2),3),1,1),"")</f>
        <v>0</v>
      </c>
      <c r="BR220">
        <f ca="1">IF($AN220="",OFFSET(Demand!$A$13,ROW(B217)-1,4+((QUOTIENT(COLUMN(BR$2)-69,3))*5)+MOD(COLUMN(BR$2),3),1,1),"")</f>
        <v>0</v>
      </c>
      <c r="BS220">
        <f ca="1">IF($AN220="",OFFSET(Demand!$A$13,ROW(C217)-1,4+((QUOTIENT(COLUMN(BS$2)-69,3))*5)+MOD(COLUMN(BS$2),3),1,1),"")</f>
        <v>0</v>
      </c>
      <c r="BT220">
        <f ca="1">IF($AN220="",OFFSET(Demand!$A$13,ROW(D217)-1,4+((QUOTIENT(COLUMN(BT$2)-69,3))*5)+MOD(COLUMN(BT$2),3),1,1),"")</f>
        <v>0</v>
      </c>
      <c r="BU220">
        <f ca="1">IF($AN220="",OFFSET(Demand!$A$13,ROW(E217)-1,4+((QUOTIENT(COLUMN(BU$2)-69,3))*5)+MOD(COLUMN(BU$2),3),1,1),"")</f>
        <v>0</v>
      </c>
      <c r="BV220">
        <f ca="1">IF($AN220="",OFFSET(Demand!$A$13,ROW(F217)-1,4+((QUOTIENT(COLUMN(BV$2)-69,3))*5)+MOD(COLUMN(BV$2),3),1,1),"")</f>
        <v>0</v>
      </c>
      <c r="BW220">
        <f ca="1">IF($AN220="",OFFSET(Demand!$A$13,ROW(G217)-1,4+((QUOTIENT(COLUMN(BW$2)-69,3))*5)+MOD(COLUMN(BW$2),3),1,1),"")</f>
        <v>0</v>
      </c>
      <c r="BX220">
        <f ca="1">IF($AN220="",OFFSET(Demand!$A$13,ROW(H217)-1,4+((QUOTIENT(COLUMN(BX$2)-69,3))*5)+MOD(COLUMN(BX$2),3),1,1),"")</f>
        <v>0</v>
      </c>
      <c r="BY220">
        <f ca="1">IF($AN220="",OFFSET(Demand!$A$13,ROW(I217)-1,4+((QUOTIENT(COLUMN(BY$2)-69,3))*5)+MOD(COLUMN(BY$2),3),1,1),"")</f>
        <v>0</v>
      </c>
      <c r="BZ220">
        <f ca="1">IF($AN220="",OFFSET(Demand!$A$13,ROW(J217)-1,4+((QUOTIENT(COLUMN(BZ$2)-69,3))*5)+MOD(COLUMN(BZ$2),3),1,1),"")</f>
        <v>0</v>
      </c>
      <c r="CA220">
        <f ca="1">IF($AN220="",OFFSET(Demand!$A$13,ROW(K217)-1,4+((QUOTIENT(COLUMN(CA$2)-69,3))*5)+MOD(COLUMN(CA$2),3),1,1),"")</f>
        <v>0</v>
      </c>
      <c r="CB220">
        <f ca="1">IF($AN220="",OFFSET(Demand!$A$13,ROW(L217)-1,4+((QUOTIENT(COLUMN(CB$2)-69,3))*5)+MOD(COLUMN(CB$2),3),1,1),"")</f>
        <v>0</v>
      </c>
      <c r="CC220">
        <f ca="1">IF($AN220="",OFFSET(Demand!$A$13,ROW(M217)-1,4+((QUOTIENT(COLUMN(CC$2)-69,3))*5)+MOD(COLUMN(CC$2),3),1,1),"")</f>
        <v>0</v>
      </c>
      <c r="CD220">
        <f ca="1">IF($AN220="",OFFSET(Demand!$A$13,ROW(N217)-1,4+((QUOTIENT(COLUMN(CD$2)-69,3))*5)+MOD(COLUMN(CD$2),3),1,1),"")</f>
        <v>0</v>
      </c>
      <c r="CE220">
        <f ca="1">IF($AN220="",OFFSET(Demand!$A$13,ROW(O217)-1,4+((QUOTIENT(COLUMN(CE$2)-69,3))*5)+MOD(COLUMN(CE$2),3),1,1),"")</f>
        <v>0</v>
      </c>
      <c r="CF220">
        <f ca="1">IF($AN220="",OFFSET(Demand!$A$13,ROW(P217)-1,4+((QUOTIENT(COLUMN(CF$2)-69,3))*5)+MOD(COLUMN(CF$2),3),1,1),"")</f>
        <v>0</v>
      </c>
      <c r="CG220">
        <f ca="1">IF($AN220="",OFFSET(Demand!$A$13,ROW(Q217)-1,4+((QUOTIENT(COLUMN(CG$2)-69,3))*5)+MOD(COLUMN(CG$2),3),1,1),"")</f>
        <v>0</v>
      </c>
      <c r="CH220">
        <f ca="1">IF($AN220="",OFFSET(Demand!$A$13,ROW(R217)-1,4+((QUOTIENT(COLUMN(CH$2)-69,3))*5)+MOD(COLUMN(CH$2),3),1,1),"")</f>
        <v>0</v>
      </c>
      <c r="CI220">
        <f ca="1">IF($AN220="",OFFSET(Demand!$A$13,ROW(S217)-1,4+((QUOTIENT(COLUMN(CI$2)-69,3))*5)+MOD(COLUMN(CI$2),3),1,1),"")</f>
        <v>0</v>
      </c>
      <c r="CJ220">
        <f ca="1">IF($AN220="",OFFSET(Demand!$A$13,ROW(T217)-1,4+((QUOTIENT(COLUMN(CJ$2)-69,3))*5)+MOD(COLUMN(CJ$2),3),1,1),"")</f>
        <v>0</v>
      </c>
      <c r="CK220">
        <f ca="1">IF($AN220="",OFFSET(Demand!$A$13,ROW(U217)-1,4+((QUOTIENT(COLUMN(CK$2)-69,3))*5)+MOD(COLUMN(CK$2),3),1,1),"")</f>
        <v>0</v>
      </c>
      <c r="CL220">
        <f ca="1">IF($AN220="",OFFSET(Demand!$A$13,ROW(V217)-1,4+((QUOTIENT(COLUMN(CL$2)-69,3))*5)+MOD(COLUMN(CL$2),3),1,1),"")</f>
        <v>0</v>
      </c>
      <c r="CM220">
        <f ca="1">IF($AN220="",OFFSET(Demand!$A$13,ROW(W217)-1,4+((QUOTIENT(COLUMN(CM$2)-69,3))*5)+MOD(COLUMN(CM$2),3),1,1),"")</f>
        <v>0</v>
      </c>
      <c r="CN220">
        <f ca="1">IF($AN220="",OFFSET(Demand!$A$13,ROW(X217)-1,4+((QUOTIENT(COLUMN(CN$2)-69,3))*5)+MOD(COLUMN(CN$2),3),1,1),"")</f>
        <v>0</v>
      </c>
      <c r="CO220">
        <f ca="1">IF($AN220="",OFFSET(Demand!$A$13,ROW(Y217)-1,4+((QUOTIENT(COLUMN(CO$2)-69,3))*5)+MOD(COLUMN(CO$2),3),1,1),"")</f>
        <v>0</v>
      </c>
      <c r="CP220">
        <f ca="1">IF($AN220="",OFFSET(Demand!$A$13,ROW(Z217)-1,4+((QUOTIENT(COLUMN(CP$2)-69,3))*5)+MOD(COLUMN(CP$2),3),1,1),"")</f>
        <v>0</v>
      </c>
      <c r="CQ220">
        <f ca="1">IF($AN220="",OFFSET(Demand!$A$13,ROW(AA217)-1,4+((QUOTIENT(COLUMN(CQ$2)-69,3))*5)+MOD(COLUMN(CQ$2),3),1,1),"")</f>
        <v>0</v>
      </c>
      <c r="CR220">
        <f ca="1">IF($AN220="",OFFSET(Demand!$A$13,ROW(AB217)-1,4+((QUOTIENT(COLUMN(CR$2)-69,3))*5)+MOD(COLUMN(CR$2),3),1,1),"")</f>
        <v>0</v>
      </c>
      <c r="CS220">
        <f ca="1">IF($AN220="",OFFSET(Demand!$A$13,ROW(AC217)-1,4+((QUOTIENT(COLUMN(CS$2)-69,3))*5)+MOD(COLUMN(CS$2),3),1,1),"")</f>
        <v>0</v>
      </c>
      <c r="CT220">
        <f ca="1">IF($AN220="",OFFSET(Demand!$A$13,ROW(AD217)-1,4+((QUOTIENT(COLUMN(CT$2)-69,3))*5)+MOD(COLUMN(CT$2),3),1,1),"")</f>
        <v>0</v>
      </c>
      <c r="CW220" s="5">
        <f ca="1">SUM(OFFSET(Demand!$H$43,ROW(A217)-1,(COLUMN(A217)-1)*5,1,1))*N$2</f>
        <v>0</v>
      </c>
      <c r="CX220" s="5">
        <f ca="1">SUM(OFFSET(Demand!$H$43,ROW(B217)-1,(COLUMN(B217)-1)*5,1,1))*O$2</f>
        <v>0</v>
      </c>
      <c r="CY220" s="5">
        <f ca="1">SUM(OFFSET(Demand!$H$43,ROW(C217)-1,(COLUMN(C217)-1)*5,1,1))*P$2</f>
        <v>0</v>
      </c>
      <c r="CZ220" s="5">
        <f ca="1">SUM(OFFSET(Demand!$H$43,ROW(D217)-1,(COLUMN(D217)-1)*5,1,1))*Q$2</f>
        <v>0</v>
      </c>
      <c r="DA220" s="5">
        <f ca="1">SUM(OFFSET(Demand!$H$43,ROW(E217)-1,(COLUMN(E217)-1)*5,1,1))*R$2</f>
        <v>0</v>
      </c>
      <c r="DB220" s="5">
        <f ca="1">SUM(OFFSET(Demand!$H$43,ROW(F217)-1,(COLUMN(F217)-1)*5,1,1))*S$2</f>
        <v>0</v>
      </c>
      <c r="DC220" s="5">
        <f ca="1">SUM(OFFSET(Demand!$H$43,ROW(G217)-1,(COLUMN(G217)-1)*5,1,1))*T$2</f>
        <v>0</v>
      </c>
      <c r="DD220" s="5">
        <f ca="1">SUM(OFFSET(Demand!$H$43,ROW(H217)-1,(COLUMN(H217)-1)*5,1,1))*U$2</f>
        <v>0</v>
      </c>
      <c r="DE220" s="5">
        <f ca="1">SUM(OFFSET(Demand!$H$43,ROW(I217)-1,(COLUMN(I217)-1)*5,1,1))*V$2</f>
        <v>0</v>
      </c>
      <c r="DF220" s="5">
        <f ca="1">SUM(OFFSET(Demand!$H$43,ROW(J217)-1,(COLUMN(J217)-1)*5,1,1))*W$2</f>
        <v>0</v>
      </c>
      <c r="DG220" s="5">
        <f t="shared" ca="1" si="52"/>
        <v>0</v>
      </c>
    </row>
    <row r="221" spans="1:111" x14ac:dyDescent="0.2">
      <c r="A221" s="5">
        <f t="shared" ca="1" si="46"/>
        <v>2</v>
      </c>
      <c r="B221" s="5">
        <f ca="1">COUNTBLANK(OFFSET(Demand!$I230,0,(COLUMN(A218)-1)*5,1,1))</f>
        <v>1</v>
      </c>
      <c r="C221" s="5">
        <f ca="1">COUNTBLANK(OFFSET(Demand!$I230,0,(COLUMN(B218)-1)*5,1,1))</f>
        <v>1</v>
      </c>
      <c r="D221" s="5">
        <f ca="1">COUNTBLANK(OFFSET(Demand!$I230,0,(COLUMN(C218)-1)*5,1,1))</f>
        <v>1</v>
      </c>
      <c r="E221" s="5">
        <f ca="1">COUNTBLANK(OFFSET(Demand!$I230,0,(COLUMN(D218)-1)*5,1,1))</f>
        <v>1</v>
      </c>
      <c r="F221" s="5">
        <f ca="1">COUNTBLANK(OFFSET(Demand!$I230,0,(COLUMN(E218)-1)*5,1,1))</f>
        <v>1</v>
      </c>
      <c r="G221" s="5">
        <f ca="1">COUNTBLANK(OFFSET(Demand!$I230,0,(COLUMN(F218)-1)*5,1,1))</f>
        <v>1</v>
      </c>
      <c r="H221" s="5">
        <f ca="1">COUNTBLANK(OFFSET(Demand!$I230,0,(COLUMN(G218)-1)*5,1,1))</f>
        <v>1</v>
      </c>
      <c r="I221" s="5">
        <f ca="1">COUNTBLANK(OFFSET(Demand!$I230,0,(COLUMN(H218)-1)*5,1,1))</f>
        <v>1</v>
      </c>
      <c r="J221" s="5">
        <f ca="1">COUNTBLANK(OFFSET(Demand!$I230,0,(COLUMN(I218)-1)*5,1,1))</f>
        <v>1</v>
      </c>
      <c r="K221" s="5">
        <f ca="1">COUNTBLANK(OFFSET(Demand!$I230,0,(COLUMN(J218)-1)*5,1,1))</f>
        <v>1</v>
      </c>
      <c r="N221" s="5">
        <f ca="1">SUM(OFFSET(Demand!$E230,0,(COLUMN(A218)-1)*5,1,3))*N$2</f>
        <v>0</v>
      </c>
      <c r="O221" s="5">
        <f ca="1">SUM(OFFSET(Demand!$E230,0,(COLUMN(B218)-1)*5,1,3))*O$2</f>
        <v>0</v>
      </c>
      <c r="P221" s="5">
        <f ca="1">SUM(OFFSET(Demand!$E230,0,(COLUMN(C218)-1)*5,1,3))*P$2</f>
        <v>0</v>
      </c>
      <c r="Q221" s="5">
        <f ca="1">SUM(OFFSET(Demand!$E230,0,(COLUMN(D218)-1)*5,1,3))*Q$2</f>
        <v>0</v>
      </c>
      <c r="R221" s="5">
        <f ca="1">SUM(OFFSET(Demand!$E230,0,(COLUMN(E218)-1)*5,1,3))*R$2</f>
        <v>0</v>
      </c>
      <c r="S221" s="5">
        <f ca="1">SUM(OFFSET(Demand!$E230,0,(COLUMN(F218)-1)*5,1,3))*S$2</f>
        <v>0</v>
      </c>
      <c r="T221" s="5">
        <f ca="1">SUM(OFFSET(Demand!$E230,0,(COLUMN(G218)-1)*5,1,3))*T$2</f>
        <v>0</v>
      </c>
      <c r="U221" s="5">
        <f ca="1">SUM(OFFSET(Demand!$E230,0,(COLUMN(H218)-1)*5,1,3))*U$2</f>
        <v>0</v>
      </c>
      <c r="V221" s="5">
        <f ca="1">SUM(OFFSET(Demand!$E230,0,(COLUMN(I218)-1)*5,1,3))*V$2</f>
        <v>0</v>
      </c>
      <c r="W221" s="5">
        <f ca="1">SUM(OFFSET(Demand!$E230,0,(COLUMN(J218)-1)*5,1,3))*W$2</f>
        <v>0</v>
      </c>
      <c r="X221" s="5">
        <f t="shared" ca="1" si="47"/>
        <v>0</v>
      </c>
      <c r="Y221">
        <f t="shared" ca="1" si="48"/>
        <v>0</v>
      </c>
      <c r="Z221" s="5">
        <f ca="1">SUM(OFFSET(Demand!$H230,0,(COLUMN(A218)-1)*5,1,1))*N$2</f>
        <v>0</v>
      </c>
      <c r="AA221" s="5">
        <f ca="1">SUM(OFFSET(Demand!$H230,0,(COLUMN(B218)-1)*5,1,1))*O$2</f>
        <v>0</v>
      </c>
      <c r="AB221" s="5">
        <f ca="1">SUM(OFFSET(Demand!$H230,0,(COLUMN(C218)-1)*5,1,1))*P$2</f>
        <v>0</v>
      </c>
      <c r="AC221" s="5">
        <f ca="1">SUM(OFFSET(Demand!$H230,0,(COLUMN(D218)-1)*5,1,1))*Q$2</f>
        <v>0</v>
      </c>
      <c r="AD221" s="5">
        <f ca="1">SUM(OFFSET(Demand!$H230,0,(COLUMN(E218)-1)*5,1,1))*R$2</f>
        <v>0</v>
      </c>
      <c r="AE221" s="5">
        <f ca="1">SUM(OFFSET(Demand!$H230,0,(COLUMN(F218)-1)*5,1,1))*S$2</f>
        <v>0</v>
      </c>
      <c r="AF221" s="5">
        <f ca="1">SUM(OFFSET(Demand!$H230,0,(COLUMN(G218)-1)*5,1,1))*T$2</f>
        <v>0</v>
      </c>
      <c r="AG221" s="5">
        <f ca="1">SUM(OFFSET(Demand!$H230,0,(COLUMN(H218)-1)*5,1,1))*U$2</f>
        <v>0</v>
      </c>
      <c r="AH221" s="5">
        <f ca="1">SUM(OFFSET(Demand!$H230,0,(COLUMN(I218)-1)*5,1,1))*V$2</f>
        <v>0</v>
      </c>
      <c r="AI221" s="5">
        <f ca="1">SUM(OFFSET(Demand!$H230,0,(COLUMN(J218)-1)*5,1,1))*W$2</f>
        <v>0</v>
      </c>
      <c r="AJ221" s="5">
        <f t="shared" ca="1" si="49"/>
        <v>0</v>
      </c>
      <c r="AL221" s="5">
        <f t="shared" ca="1" si="50"/>
        <v>0</v>
      </c>
      <c r="AM221" s="5">
        <f t="shared" ca="1" si="51"/>
        <v>0</v>
      </c>
      <c r="AN221" s="5" t="str">
        <f>IF(Demand!BE230="Yes","Yes","")</f>
        <v/>
      </c>
      <c r="AP221" s="37" t="str">
        <f ca="1">Demand!B230</f>
        <v xml:space="preserve"> </v>
      </c>
      <c r="AQ221" t="str">
        <f ca="1">IF(TEXT(Demand!D230,"MMM")&lt;&gt;TEXT(Demand!D229,"MMM"),TEXT(Demand!D230,"MMM"),"")</f>
        <v/>
      </c>
      <c r="AT221" s="5">
        <f t="shared" ca="1" si="53"/>
        <v>0</v>
      </c>
      <c r="BQ221">
        <f ca="1">IF($AN221="",OFFSET(Demand!$A$13,ROW(A218)-1,4+((QUOTIENT(COLUMN(BQ$2)-69,3))*5)+MOD(COLUMN(BQ$2),3),1,1),"")</f>
        <v>0</v>
      </c>
      <c r="BR221">
        <f ca="1">IF($AN221="",OFFSET(Demand!$A$13,ROW(B218)-1,4+((QUOTIENT(COLUMN(BR$2)-69,3))*5)+MOD(COLUMN(BR$2),3),1,1),"")</f>
        <v>0</v>
      </c>
      <c r="BS221">
        <f ca="1">IF($AN221="",OFFSET(Demand!$A$13,ROW(C218)-1,4+((QUOTIENT(COLUMN(BS$2)-69,3))*5)+MOD(COLUMN(BS$2),3),1,1),"")</f>
        <v>0</v>
      </c>
      <c r="BT221">
        <f ca="1">IF($AN221="",OFFSET(Demand!$A$13,ROW(D218)-1,4+((QUOTIENT(COLUMN(BT$2)-69,3))*5)+MOD(COLUMN(BT$2),3),1,1),"")</f>
        <v>0</v>
      </c>
      <c r="BU221">
        <f ca="1">IF($AN221="",OFFSET(Demand!$A$13,ROW(E218)-1,4+((QUOTIENT(COLUMN(BU$2)-69,3))*5)+MOD(COLUMN(BU$2),3),1,1),"")</f>
        <v>0</v>
      </c>
      <c r="BV221">
        <f ca="1">IF($AN221="",OFFSET(Demand!$A$13,ROW(F218)-1,4+((QUOTIENT(COLUMN(BV$2)-69,3))*5)+MOD(COLUMN(BV$2),3),1,1),"")</f>
        <v>0</v>
      </c>
      <c r="BW221">
        <f ca="1">IF($AN221="",OFFSET(Demand!$A$13,ROW(G218)-1,4+((QUOTIENT(COLUMN(BW$2)-69,3))*5)+MOD(COLUMN(BW$2),3),1,1),"")</f>
        <v>0</v>
      </c>
      <c r="BX221">
        <f ca="1">IF($AN221="",OFFSET(Demand!$A$13,ROW(H218)-1,4+((QUOTIENT(COLUMN(BX$2)-69,3))*5)+MOD(COLUMN(BX$2),3),1,1),"")</f>
        <v>0</v>
      </c>
      <c r="BY221">
        <f ca="1">IF($AN221="",OFFSET(Demand!$A$13,ROW(I218)-1,4+((QUOTIENT(COLUMN(BY$2)-69,3))*5)+MOD(COLUMN(BY$2),3),1,1),"")</f>
        <v>0</v>
      </c>
      <c r="BZ221">
        <f ca="1">IF($AN221="",OFFSET(Demand!$A$13,ROW(J218)-1,4+((QUOTIENT(COLUMN(BZ$2)-69,3))*5)+MOD(COLUMN(BZ$2),3),1,1),"")</f>
        <v>0</v>
      </c>
      <c r="CA221">
        <f ca="1">IF($AN221="",OFFSET(Demand!$A$13,ROW(K218)-1,4+((QUOTIENT(COLUMN(CA$2)-69,3))*5)+MOD(COLUMN(CA$2),3),1,1),"")</f>
        <v>0</v>
      </c>
      <c r="CB221">
        <f ca="1">IF($AN221="",OFFSET(Demand!$A$13,ROW(L218)-1,4+((QUOTIENT(COLUMN(CB$2)-69,3))*5)+MOD(COLUMN(CB$2),3),1,1),"")</f>
        <v>0</v>
      </c>
      <c r="CC221">
        <f ca="1">IF($AN221="",OFFSET(Demand!$A$13,ROW(M218)-1,4+((QUOTIENT(COLUMN(CC$2)-69,3))*5)+MOD(COLUMN(CC$2),3),1,1),"")</f>
        <v>0</v>
      </c>
      <c r="CD221">
        <f ca="1">IF($AN221="",OFFSET(Demand!$A$13,ROW(N218)-1,4+((QUOTIENT(COLUMN(CD$2)-69,3))*5)+MOD(COLUMN(CD$2),3),1,1),"")</f>
        <v>0</v>
      </c>
      <c r="CE221">
        <f ca="1">IF($AN221="",OFFSET(Demand!$A$13,ROW(O218)-1,4+((QUOTIENT(COLUMN(CE$2)-69,3))*5)+MOD(COLUMN(CE$2),3),1,1),"")</f>
        <v>0</v>
      </c>
      <c r="CF221">
        <f ca="1">IF($AN221="",OFFSET(Demand!$A$13,ROW(P218)-1,4+((QUOTIENT(COLUMN(CF$2)-69,3))*5)+MOD(COLUMN(CF$2),3),1,1),"")</f>
        <v>0</v>
      </c>
      <c r="CG221">
        <f ca="1">IF($AN221="",OFFSET(Demand!$A$13,ROW(Q218)-1,4+((QUOTIENT(COLUMN(CG$2)-69,3))*5)+MOD(COLUMN(CG$2),3),1,1),"")</f>
        <v>0</v>
      </c>
      <c r="CH221">
        <f ca="1">IF($AN221="",OFFSET(Demand!$A$13,ROW(R218)-1,4+((QUOTIENT(COLUMN(CH$2)-69,3))*5)+MOD(COLUMN(CH$2),3),1,1),"")</f>
        <v>0</v>
      </c>
      <c r="CI221">
        <f ca="1">IF($AN221="",OFFSET(Demand!$A$13,ROW(S218)-1,4+((QUOTIENT(COLUMN(CI$2)-69,3))*5)+MOD(COLUMN(CI$2),3),1,1),"")</f>
        <v>0</v>
      </c>
      <c r="CJ221">
        <f ca="1">IF($AN221="",OFFSET(Demand!$A$13,ROW(T218)-1,4+((QUOTIENT(COLUMN(CJ$2)-69,3))*5)+MOD(COLUMN(CJ$2),3),1,1),"")</f>
        <v>0</v>
      </c>
      <c r="CK221">
        <f ca="1">IF($AN221="",OFFSET(Demand!$A$13,ROW(U218)-1,4+((QUOTIENT(COLUMN(CK$2)-69,3))*5)+MOD(COLUMN(CK$2),3),1,1),"")</f>
        <v>0</v>
      </c>
      <c r="CL221">
        <f ca="1">IF($AN221="",OFFSET(Demand!$A$13,ROW(V218)-1,4+((QUOTIENT(COLUMN(CL$2)-69,3))*5)+MOD(COLUMN(CL$2),3),1,1),"")</f>
        <v>0</v>
      </c>
      <c r="CM221">
        <f ca="1">IF($AN221="",OFFSET(Demand!$A$13,ROW(W218)-1,4+((QUOTIENT(COLUMN(CM$2)-69,3))*5)+MOD(COLUMN(CM$2),3),1,1),"")</f>
        <v>0</v>
      </c>
      <c r="CN221">
        <f ca="1">IF($AN221="",OFFSET(Demand!$A$13,ROW(X218)-1,4+((QUOTIENT(COLUMN(CN$2)-69,3))*5)+MOD(COLUMN(CN$2),3),1,1),"")</f>
        <v>0</v>
      </c>
      <c r="CO221">
        <f ca="1">IF($AN221="",OFFSET(Demand!$A$13,ROW(Y218)-1,4+((QUOTIENT(COLUMN(CO$2)-69,3))*5)+MOD(COLUMN(CO$2),3),1,1),"")</f>
        <v>0</v>
      </c>
      <c r="CP221">
        <f ca="1">IF($AN221="",OFFSET(Demand!$A$13,ROW(Z218)-1,4+((QUOTIENT(COLUMN(CP$2)-69,3))*5)+MOD(COLUMN(CP$2),3),1,1),"")</f>
        <v>0</v>
      </c>
      <c r="CQ221">
        <f ca="1">IF($AN221="",OFFSET(Demand!$A$13,ROW(AA218)-1,4+((QUOTIENT(COLUMN(CQ$2)-69,3))*5)+MOD(COLUMN(CQ$2),3),1,1),"")</f>
        <v>0</v>
      </c>
      <c r="CR221">
        <f ca="1">IF($AN221="",OFFSET(Demand!$A$13,ROW(AB218)-1,4+((QUOTIENT(COLUMN(CR$2)-69,3))*5)+MOD(COLUMN(CR$2),3),1,1),"")</f>
        <v>0</v>
      </c>
      <c r="CS221">
        <f ca="1">IF($AN221="",OFFSET(Demand!$A$13,ROW(AC218)-1,4+((QUOTIENT(COLUMN(CS$2)-69,3))*5)+MOD(COLUMN(CS$2),3),1,1),"")</f>
        <v>0</v>
      </c>
      <c r="CT221">
        <f ca="1">IF($AN221="",OFFSET(Demand!$A$13,ROW(AD218)-1,4+((QUOTIENT(COLUMN(CT$2)-69,3))*5)+MOD(COLUMN(CT$2),3),1,1),"")</f>
        <v>0</v>
      </c>
      <c r="CW221" s="5">
        <f ca="1">SUM(OFFSET(Demand!$H$43,ROW(A218)-1,(COLUMN(A218)-1)*5,1,1))*N$2</f>
        <v>0</v>
      </c>
      <c r="CX221" s="5">
        <f ca="1">SUM(OFFSET(Demand!$H$43,ROW(B218)-1,(COLUMN(B218)-1)*5,1,1))*O$2</f>
        <v>0</v>
      </c>
      <c r="CY221" s="5">
        <f ca="1">SUM(OFFSET(Demand!$H$43,ROW(C218)-1,(COLUMN(C218)-1)*5,1,1))*P$2</f>
        <v>0</v>
      </c>
      <c r="CZ221" s="5">
        <f ca="1">SUM(OFFSET(Demand!$H$43,ROW(D218)-1,(COLUMN(D218)-1)*5,1,1))*Q$2</f>
        <v>0</v>
      </c>
      <c r="DA221" s="5">
        <f ca="1">SUM(OFFSET(Demand!$H$43,ROW(E218)-1,(COLUMN(E218)-1)*5,1,1))*R$2</f>
        <v>0</v>
      </c>
      <c r="DB221" s="5">
        <f ca="1">SUM(OFFSET(Demand!$H$43,ROW(F218)-1,(COLUMN(F218)-1)*5,1,1))*S$2</f>
        <v>0</v>
      </c>
      <c r="DC221" s="5">
        <f ca="1">SUM(OFFSET(Demand!$H$43,ROW(G218)-1,(COLUMN(G218)-1)*5,1,1))*T$2</f>
        <v>0</v>
      </c>
      <c r="DD221" s="5">
        <f ca="1">SUM(OFFSET(Demand!$H$43,ROW(H218)-1,(COLUMN(H218)-1)*5,1,1))*U$2</f>
        <v>0</v>
      </c>
      <c r="DE221" s="5">
        <f ca="1">SUM(OFFSET(Demand!$H$43,ROW(I218)-1,(COLUMN(I218)-1)*5,1,1))*V$2</f>
        <v>0</v>
      </c>
      <c r="DF221" s="5">
        <f ca="1">SUM(OFFSET(Demand!$H$43,ROW(J218)-1,(COLUMN(J218)-1)*5,1,1))*W$2</f>
        <v>0</v>
      </c>
      <c r="DG221" s="5">
        <f t="shared" ca="1" si="52"/>
        <v>0</v>
      </c>
    </row>
    <row r="222" spans="1:111" x14ac:dyDescent="0.2">
      <c r="A222" s="5">
        <f t="shared" ca="1" si="46"/>
        <v>2</v>
      </c>
      <c r="B222" s="5">
        <f ca="1">COUNTBLANK(OFFSET(Demand!$I231,0,(COLUMN(A219)-1)*5,1,1))</f>
        <v>1</v>
      </c>
      <c r="C222" s="5">
        <f ca="1">COUNTBLANK(OFFSET(Demand!$I231,0,(COLUMN(B219)-1)*5,1,1))</f>
        <v>1</v>
      </c>
      <c r="D222" s="5">
        <f ca="1">COUNTBLANK(OFFSET(Demand!$I231,0,(COLUMN(C219)-1)*5,1,1))</f>
        <v>1</v>
      </c>
      <c r="E222" s="5">
        <f ca="1">COUNTBLANK(OFFSET(Demand!$I231,0,(COLUMN(D219)-1)*5,1,1))</f>
        <v>1</v>
      </c>
      <c r="F222" s="5">
        <f ca="1">COUNTBLANK(OFFSET(Demand!$I231,0,(COLUMN(E219)-1)*5,1,1))</f>
        <v>1</v>
      </c>
      <c r="G222" s="5">
        <f ca="1">COUNTBLANK(OFFSET(Demand!$I231,0,(COLUMN(F219)-1)*5,1,1))</f>
        <v>1</v>
      </c>
      <c r="H222" s="5">
        <f ca="1">COUNTBLANK(OFFSET(Demand!$I231,0,(COLUMN(G219)-1)*5,1,1))</f>
        <v>1</v>
      </c>
      <c r="I222" s="5">
        <f ca="1">COUNTBLANK(OFFSET(Demand!$I231,0,(COLUMN(H219)-1)*5,1,1))</f>
        <v>1</v>
      </c>
      <c r="J222" s="5">
        <f ca="1">COUNTBLANK(OFFSET(Demand!$I231,0,(COLUMN(I219)-1)*5,1,1))</f>
        <v>1</v>
      </c>
      <c r="K222" s="5">
        <f ca="1">COUNTBLANK(OFFSET(Demand!$I231,0,(COLUMN(J219)-1)*5,1,1))</f>
        <v>1</v>
      </c>
      <c r="N222" s="5">
        <f ca="1">SUM(OFFSET(Demand!$E231,0,(COLUMN(A219)-1)*5,1,3))*N$2</f>
        <v>0</v>
      </c>
      <c r="O222" s="5">
        <f ca="1">SUM(OFFSET(Demand!$E231,0,(COLUMN(B219)-1)*5,1,3))*O$2</f>
        <v>0</v>
      </c>
      <c r="P222" s="5">
        <f ca="1">SUM(OFFSET(Demand!$E231,0,(COLUMN(C219)-1)*5,1,3))*P$2</f>
        <v>0</v>
      </c>
      <c r="Q222" s="5">
        <f ca="1">SUM(OFFSET(Demand!$E231,0,(COLUMN(D219)-1)*5,1,3))*Q$2</f>
        <v>0</v>
      </c>
      <c r="R222" s="5">
        <f ca="1">SUM(OFFSET(Demand!$E231,0,(COLUMN(E219)-1)*5,1,3))*R$2</f>
        <v>0</v>
      </c>
      <c r="S222" s="5">
        <f ca="1">SUM(OFFSET(Demand!$E231,0,(COLUMN(F219)-1)*5,1,3))*S$2</f>
        <v>0</v>
      </c>
      <c r="T222" s="5">
        <f ca="1">SUM(OFFSET(Demand!$E231,0,(COLUMN(G219)-1)*5,1,3))*T$2</f>
        <v>0</v>
      </c>
      <c r="U222" s="5">
        <f ca="1">SUM(OFFSET(Demand!$E231,0,(COLUMN(H219)-1)*5,1,3))*U$2</f>
        <v>0</v>
      </c>
      <c r="V222" s="5">
        <f ca="1">SUM(OFFSET(Demand!$E231,0,(COLUMN(I219)-1)*5,1,3))*V$2</f>
        <v>0</v>
      </c>
      <c r="W222" s="5">
        <f ca="1">SUM(OFFSET(Demand!$E231,0,(COLUMN(J219)-1)*5,1,3))*W$2</f>
        <v>0</v>
      </c>
      <c r="X222" s="5">
        <f t="shared" ca="1" si="47"/>
        <v>0</v>
      </c>
      <c r="Y222">
        <f t="shared" ca="1" si="48"/>
        <v>0</v>
      </c>
      <c r="Z222" s="5">
        <f ca="1">SUM(OFFSET(Demand!$H231,0,(COLUMN(A219)-1)*5,1,1))*N$2</f>
        <v>0</v>
      </c>
      <c r="AA222" s="5">
        <f ca="1">SUM(OFFSET(Demand!$H231,0,(COLUMN(B219)-1)*5,1,1))*O$2</f>
        <v>0</v>
      </c>
      <c r="AB222" s="5">
        <f ca="1">SUM(OFFSET(Demand!$H231,0,(COLUMN(C219)-1)*5,1,1))*P$2</f>
        <v>0</v>
      </c>
      <c r="AC222" s="5">
        <f ca="1">SUM(OFFSET(Demand!$H231,0,(COLUMN(D219)-1)*5,1,1))*Q$2</f>
        <v>0</v>
      </c>
      <c r="AD222" s="5">
        <f ca="1">SUM(OFFSET(Demand!$H231,0,(COLUMN(E219)-1)*5,1,1))*R$2</f>
        <v>0</v>
      </c>
      <c r="AE222" s="5">
        <f ca="1">SUM(OFFSET(Demand!$H231,0,(COLUMN(F219)-1)*5,1,1))*S$2</f>
        <v>0</v>
      </c>
      <c r="AF222" s="5">
        <f ca="1">SUM(OFFSET(Demand!$H231,0,(COLUMN(G219)-1)*5,1,1))*T$2</f>
        <v>0</v>
      </c>
      <c r="AG222" s="5">
        <f ca="1">SUM(OFFSET(Demand!$H231,0,(COLUMN(H219)-1)*5,1,1))*U$2</f>
        <v>0</v>
      </c>
      <c r="AH222" s="5">
        <f ca="1">SUM(OFFSET(Demand!$H231,0,(COLUMN(I219)-1)*5,1,1))*V$2</f>
        <v>0</v>
      </c>
      <c r="AI222" s="5">
        <f ca="1">SUM(OFFSET(Demand!$H231,0,(COLUMN(J219)-1)*5,1,1))*W$2</f>
        <v>0</v>
      </c>
      <c r="AJ222" s="5">
        <f t="shared" ca="1" si="49"/>
        <v>0</v>
      </c>
      <c r="AL222" s="5">
        <f t="shared" ca="1" si="50"/>
        <v>0</v>
      </c>
      <c r="AM222" s="5">
        <f t="shared" ca="1" si="51"/>
        <v>0</v>
      </c>
      <c r="AN222" s="5" t="str">
        <f>IF(Demand!BE231="Yes","Yes","")</f>
        <v/>
      </c>
      <c r="AP222" s="37" t="str">
        <f ca="1">Demand!B231</f>
        <v xml:space="preserve"> </v>
      </c>
      <c r="AQ222" t="str">
        <f ca="1">IF(TEXT(Demand!D231,"MMM")&lt;&gt;TEXT(Demand!D230,"MMM"),TEXT(Demand!D231,"MMM"),"")</f>
        <v/>
      </c>
      <c r="AT222" s="5">
        <f t="shared" ca="1" si="53"/>
        <v>0</v>
      </c>
      <c r="BQ222">
        <f ca="1">IF($AN222="",OFFSET(Demand!$A$13,ROW(A219)-1,4+((QUOTIENT(COLUMN(BQ$2)-69,3))*5)+MOD(COLUMN(BQ$2),3),1,1),"")</f>
        <v>0</v>
      </c>
      <c r="BR222">
        <f ca="1">IF($AN222="",OFFSET(Demand!$A$13,ROW(B219)-1,4+((QUOTIENT(COLUMN(BR$2)-69,3))*5)+MOD(COLUMN(BR$2),3),1,1),"")</f>
        <v>0</v>
      </c>
      <c r="BS222">
        <f ca="1">IF($AN222="",OFFSET(Demand!$A$13,ROW(C219)-1,4+((QUOTIENT(COLUMN(BS$2)-69,3))*5)+MOD(COLUMN(BS$2),3),1,1),"")</f>
        <v>0</v>
      </c>
      <c r="BT222">
        <f ca="1">IF($AN222="",OFFSET(Demand!$A$13,ROW(D219)-1,4+((QUOTIENT(COLUMN(BT$2)-69,3))*5)+MOD(COLUMN(BT$2),3),1,1),"")</f>
        <v>0</v>
      </c>
      <c r="BU222">
        <f ca="1">IF($AN222="",OFFSET(Demand!$A$13,ROW(E219)-1,4+((QUOTIENT(COLUMN(BU$2)-69,3))*5)+MOD(COLUMN(BU$2),3),1,1),"")</f>
        <v>0</v>
      </c>
      <c r="BV222">
        <f ca="1">IF($AN222="",OFFSET(Demand!$A$13,ROW(F219)-1,4+((QUOTIENT(COLUMN(BV$2)-69,3))*5)+MOD(COLUMN(BV$2),3),1,1),"")</f>
        <v>0</v>
      </c>
      <c r="BW222">
        <f ca="1">IF($AN222="",OFFSET(Demand!$A$13,ROW(G219)-1,4+((QUOTIENT(COLUMN(BW$2)-69,3))*5)+MOD(COLUMN(BW$2),3),1,1),"")</f>
        <v>0</v>
      </c>
      <c r="BX222">
        <f ca="1">IF($AN222="",OFFSET(Demand!$A$13,ROW(H219)-1,4+((QUOTIENT(COLUMN(BX$2)-69,3))*5)+MOD(COLUMN(BX$2),3),1,1),"")</f>
        <v>0</v>
      </c>
      <c r="BY222">
        <f ca="1">IF($AN222="",OFFSET(Demand!$A$13,ROW(I219)-1,4+((QUOTIENT(COLUMN(BY$2)-69,3))*5)+MOD(COLUMN(BY$2),3),1,1),"")</f>
        <v>0</v>
      </c>
      <c r="BZ222">
        <f ca="1">IF($AN222="",OFFSET(Demand!$A$13,ROW(J219)-1,4+((QUOTIENT(COLUMN(BZ$2)-69,3))*5)+MOD(COLUMN(BZ$2),3),1,1),"")</f>
        <v>0</v>
      </c>
      <c r="CA222">
        <f ca="1">IF($AN222="",OFFSET(Demand!$A$13,ROW(K219)-1,4+((QUOTIENT(COLUMN(CA$2)-69,3))*5)+MOD(COLUMN(CA$2),3),1,1),"")</f>
        <v>0</v>
      </c>
      <c r="CB222">
        <f ca="1">IF($AN222="",OFFSET(Demand!$A$13,ROW(L219)-1,4+((QUOTIENT(COLUMN(CB$2)-69,3))*5)+MOD(COLUMN(CB$2),3),1,1),"")</f>
        <v>0</v>
      </c>
      <c r="CC222">
        <f ca="1">IF($AN222="",OFFSET(Demand!$A$13,ROW(M219)-1,4+((QUOTIENT(COLUMN(CC$2)-69,3))*5)+MOD(COLUMN(CC$2),3),1,1),"")</f>
        <v>0</v>
      </c>
      <c r="CD222">
        <f ca="1">IF($AN222="",OFFSET(Demand!$A$13,ROW(N219)-1,4+((QUOTIENT(COLUMN(CD$2)-69,3))*5)+MOD(COLUMN(CD$2),3),1,1),"")</f>
        <v>0</v>
      </c>
      <c r="CE222">
        <f ca="1">IF($AN222="",OFFSET(Demand!$A$13,ROW(O219)-1,4+((QUOTIENT(COLUMN(CE$2)-69,3))*5)+MOD(COLUMN(CE$2),3),1,1),"")</f>
        <v>0</v>
      </c>
      <c r="CF222">
        <f ca="1">IF($AN222="",OFFSET(Demand!$A$13,ROW(P219)-1,4+((QUOTIENT(COLUMN(CF$2)-69,3))*5)+MOD(COLUMN(CF$2),3),1,1),"")</f>
        <v>0</v>
      </c>
      <c r="CG222">
        <f ca="1">IF($AN222="",OFFSET(Demand!$A$13,ROW(Q219)-1,4+((QUOTIENT(COLUMN(CG$2)-69,3))*5)+MOD(COLUMN(CG$2),3),1,1),"")</f>
        <v>0</v>
      </c>
      <c r="CH222">
        <f ca="1">IF($AN222="",OFFSET(Demand!$A$13,ROW(R219)-1,4+((QUOTIENT(COLUMN(CH$2)-69,3))*5)+MOD(COLUMN(CH$2),3),1,1),"")</f>
        <v>0</v>
      </c>
      <c r="CI222">
        <f ca="1">IF($AN222="",OFFSET(Demand!$A$13,ROW(S219)-1,4+((QUOTIENT(COLUMN(CI$2)-69,3))*5)+MOD(COLUMN(CI$2),3),1,1),"")</f>
        <v>0</v>
      </c>
      <c r="CJ222">
        <f ca="1">IF($AN222="",OFFSET(Demand!$A$13,ROW(T219)-1,4+((QUOTIENT(COLUMN(CJ$2)-69,3))*5)+MOD(COLUMN(CJ$2),3),1,1),"")</f>
        <v>0</v>
      </c>
      <c r="CK222">
        <f ca="1">IF($AN222="",OFFSET(Demand!$A$13,ROW(U219)-1,4+((QUOTIENT(COLUMN(CK$2)-69,3))*5)+MOD(COLUMN(CK$2),3),1,1),"")</f>
        <v>0</v>
      </c>
      <c r="CL222">
        <f ca="1">IF($AN222="",OFFSET(Demand!$A$13,ROW(V219)-1,4+((QUOTIENT(COLUMN(CL$2)-69,3))*5)+MOD(COLUMN(CL$2),3),1,1),"")</f>
        <v>0</v>
      </c>
      <c r="CM222">
        <f ca="1">IF($AN222="",OFFSET(Demand!$A$13,ROW(W219)-1,4+((QUOTIENT(COLUMN(CM$2)-69,3))*5)+MOD(COLUMN(CM$2),3),1,1),"")</f>
        <v>0</v>
      </c>
      <c r="CN222">
        <f ca="1">IF($AN222="",OFFSET(Demand!$A$13,ROW(X219)-1,4+((QUOTIENT(COLUMN(CN$2)-69,3))*5)+MOD(COLUMN(CN$2),3),1,1),"")</f>
        <v>0</v>
      </c>
      <c r="CO222">
        <f ca="1">IF($AN222="",OFFSET(Demand!$A$13,ROW(Y219)-1,4+((QUOTIENT(COLUMN(CO$2)-69,3))*5)+MOD(COLUMN(CO$2),3),1,1),"")</f>
        <v>0</v>
      </c>
      <c r="CP222">
        <f ca="1">IF($AN222="",OFFSET(Demand!$A$13,ROW(Z219)-1,4+((QUOTIENT(COLUMN(CP$2)-69,3))*5)+MOD(COLUMN(CP$2),3),1,1),"")</f>
        <v>0</v>
      </c>
      <c r="CQ222">
        <f ca="1">IF($AN222="",OFFSET(Demand!$A$13,ROW(AA219)-1,4+((QUOTIENT(COLUMN(CQ$2)-69,3))*5)+MOD(COLUMN(CQ$2),3),1,1),"")</f>
        <v>0</v>
      </c>
      <c r="CR222">
        <f ca="1">IF($AN222="",OFFSET(Demand!$A$13,ROW(AB219)-1,4+((QUOTIENT(COLUMN(CR$2)-69,3))*5)+MOD(COLUMN(CR$2),3),1,1),"")</f>
        <v>0</v>
      </c>
      <c r="CS222">
        <f ca="1">IF($AN222="",OFFSET(Demand!$A$13,ROW(AC219)-1,4+((QUOTIENT(COLUMN(CS$2)-69,3))*5)+MOD(COLUMN(CS$2),3),1,1),"")</f>
        <v>0</v>
      </c>
      <c r="CT222">
        <f ca="1">IF($AN222="",OFFSET(Demand!$A$13,ROW(AD219)-1,4+((QUOTIENT(COLUMN(CT$2)-69,3))*5)+MOD(COLUMN(CT$2),3),1,1),"")</f>
        <v>0</v>
      </c>
      <c r="CW222" s="5">
        <f ca="1">SUM(OFFSET(Demand!$H$43,ROW(A219)-1,(COLUMN(A219)-1)*5,1,1))*N$2</f>
        <v>0</v>
      </c>
      <c r="CX222" s="5">
        <f ca="1">SUM(OFFSET(Demand!$H$43,ROW(B219)-1,(COLUMN(B219)-1)*5,1,1))*O$2</f>
        <v>0</v>
      </c>
      <c r="CY222" s="5">
        <f ca="1">SUM(OFFSET(Demand!$H$43,ROW(C219)-1,(COLUMN(C219)-1)*5,1,1))*P$2</f>
        <v>0</v>
      </c>
      <c r="CZ222" s="5">
        <f ca="1">SUM(OFFSET(Demand!$H$43,ROW(D219)-1,(COLUMN(D219)-1)*5,1,1))*Q$2</f>
        <v>0</v>
      </c>
      <c r="DA222" s="5">
        <f ca="1">SUM(OFFSET(Demand!$H$43,ROW(E219)-1,(COLUMN(E219)-1)*5,1,1))*R$2</f>
        <v>0</v>
      </c>
      <c r="DB222" s="5">
        <f ca="1">SUM(OFFSET(Demand!$H$43,ROW(F219)-1,(COLUMN(F219)-1)*5,1,1))*S$2</f>
        <v>0</v>
      </c>
      <c r="DC222" s="5">
        <f ca="1">SUM(OFFSET(Demand!$H$43,ROW(G219)-1,(COLUMN(G219)-1)*5,1,1))*T$2</f>
        <v>0</v>
      </c>
      <c r="DD222" s="5">
        <f ca="1">SUM(OFFSET(Demand!$H$43,ROW(H219)-1,(COLUMN(H219)-1)*5,1,1))*U$2</f>
        <v>0</v>
      </c>
      <c r="DE222" s="5">
        <f ca="1">SUM(OFFSET(Demand!$H$43,ROW(I219)-1,(COLUMN(I219)-1)*5,1,1))*V$2</f>
        <v>0</v>
      </c>
      <c r="DF222" s="5">
        <f ca="1">SUM(OFFSET(Demand!$H$43,ROW(J219)-1,(COLUMN(J219)-1)*5,1,1))*W$2</f>
        <v>0</v>
      </c>
      <c r="DG222" s="5">
        <f t="shared" ca="1" si="52"/>
        <v>0</v>
      </c>
    </row>
    <row r="223" spans="1:111" x14ac:dyDescent="0.2">
      <c r="A223" s="5">
        <f t="shared" ca="1" si="46"/>
        <v>2</v>
      </c>
      <c r="B223" s="5">
        <f ca="1">COUNTBLANK(OFFSET(Demand!$I232,0,(COLUMN(A220)-1)*5,1,1))</f>
        <v>1</v>
      </c>
      <c r="C223" s="5">
        <f ca="1">COUNTBLANK(OFFSET(Demand!$I232,0,(COLUMN(B220)-1)*5,1,1))</f>
        <v>1</v>
      </c>
      <c r="D223" s="5">
        <f ca="1">COUNTBLANK(OFFSET(Demand!$I232,0,(COLUMN(C220)-1)*5,1,1))</f>
        <v>1</v>
      </c>
      <c r="E223" s="5">
        <f ca="1">COUNTBLANK(OFFSET(Demand!$I232,0,(COLUMN(D220)-1)*5,1,1))</f>
        <v>1</v>
      </c>
      <c r="F223" s="5">
        <f ca="1">COUNTBLANK(OFFSET(Demand!$I232,0,(COLUMN(E220)-1)*5,1,1))</f>
        <v>1</v>
      </c>
      <c r="G223" s="5">
        <f ca="1">COUNTBLANK(OFFSET(Demand!$I232,0,(COLUMN(F220)-1)*5,1,1))</f>
        <v>1</v>
      </c>
      <c r="H223" s="5">
        <f ca="1">COUNTBLANK(OFFSET(Demand!$I232,0,(COLUMN(G220)-1)*5,1,1))</f>
        <v>1</v>
      </c>
      <c r="I223" s="5">
        <f ca="1">COUNTBLANK(OFFSET(Demand!$I232,0,(COLUMN(H220)-1)*5,1,1))</f>
        <v>1</v>
      </c>
      <c r="J223" s="5">
        <f ca="1">COUNTBLANK(OFFSET(Demand!$I232,0,(COLUMN(I220)-1)*5,1,1))</f>
        <v>1</v>
      </c>
      <c r="K223" s="5">
        <f ca="1">COUNTBLANK(OFFSET(Demand!$I232,0,(COLUMN(J220)-1)*5,1,1))</f>
        <v>1</v>
      </c>
      <c r="N223" s="5">
        <f ca="1">SUM(OFFSET(Demand!$E232,0,(COLUMN(A220)-1)*5,1,3))*N$2</f>
        <v>0</v>
      </c>
      <c r="O223" s="5">
        <f ca="1">SUM(OFFSET(Demand!$E232,0,(COLUMN(B220)-1)*5,1,3))*O$2</f>
        <v>0</v>
      </c>
      <c r="P223" s="5">
        <f ca="1">SUM(OFFSET(Demand!$E232,0,(COLUMN(C220)-1)*5,1,3))*P$2</f>
        <v>0</v>
      </c>
      <c r="Q223" s="5">
        <f ca="1">SUM(OFFSET(Demand!$E232,0,(COLUMN(D220)-1)*5,1,3))*Q$2</f>
        <v>0</v>
      </c>
      <c r="R223" s="5">
        <f ca="1">SUM(OFFSET(Demand!$E232,0,(COLUMN(E220)-1)*5,1,3))*R$2</f>
        <v>0</v>
      </c>
      <c r="S223" s="5">
        <f ca="1">SUM(OFFSET(Demand!$E232,0,(COLUMN(F220)-1)*5,1,3))*S$2</f>
        <v>0</v>
      </c>
      <c r="T223" s="5">
        <f ca="1">SUM(OFFSET(Demand!$E232,0,(COLUMN(G220)-1)*5,1,3))*T$2</f>
        <v>0</v>
      </c>
      <c r="U223" s="5">
        <f ca="1">SUM(OFFSET(Demand!$E232,0,(COLUMN(H220)-1)*5,1,3))*U$2</f>
        <v>0</v>
      </c>
      <c r="V223" s="5">
        <f ca="1">SUM(OFFSET(Demand!$E232,0,(COLUMN(I220)-1)*5,1,3))*V$2</f>
        <v>0</v>
      </c>
      <c r="W223" s="5">
        <f ca="1">SUM(OFFSET(Demand!$E232,0,(COLUMN(J220)-1)*5,1,3))*W$2</f>
        <v>0</v>
      </c>
      <c r="X223" s="5">
        <f t="shared" ca="1" si="47"/>
        <v>0</v>
      </c>
      <c r="Y223">
        <f t="shared" ca="1" si="48"/>
        <v>0</v>
      </c>
      <c r="Z223" s="5">
        <f ca="1">SUM(OFFSET(Demand!$H232,0,(COLUMN(A220)-1)*5,1,1))*N$2</f>
        <v>0</v>
      </c>
      <c r="AA223" s="5">
        <f ca="1">SUM(OFFSET(Demand!$H232,0,(COLUMN(B220)-1)*5,1,1))*O$2</f>
        <v>0</v>
      </c>
      <c r="AB223" s="5">
        <f ca="1">SUM(OFFSET(Demand!$H232,0,(COLUMN(C220)-1)*5,1,1))*P$2</f>
        <v>0</v>
      </c>
      <c r="AC223" s="5">
        <f ca="1">SUM(OFFSET(Demand!$H232,0,(COLUMN(D220)-1)*5,1,1))*Q$2</f>
        <v>0</v>
      </c>
      <c r="AD223" s="5">
        <f ca="1">SUM(OFFSET(Demand!$H232,0,(COLUMN(E220)-1)*5,1,1))*R$2</f>
        <v>0</v>
      </c>
      <c r="AE223" s="5">
        <f ca="1">SUM(OFFSET(Demand!$H232,0,(COLUMN(F220)-1)*5,1,1))*S$2</f>
        <v>0</v>
      </c>
      <c r="AF223" s="5">
        <f ca="1">SUM(OFFSET(Demand!$H232,0,(COLUMN(G220)-1)*5,1,1))*T$2</f>
        <v>0</v>
      </c>
      <c r="AG223" s="5">
        <f ca="1">SUM(OFFSET(Demand!$H232,0,(COLUMN(H220)-1)*5,1,1))*U$2</f>
        <v>0</v>
      </c>
      <c r="AH223" s="5">
        <f ca="1">SUM(OFFSET(Demand!$H232,0,(COLUMN(I220)-1)*5,1,1))*V$2</f>
        <v>0</v>
      </c>
      <c r="AI223" s="5">
        <f ca="1">SUM(OFFSET(Demand!$H232,0,(COLUMN(J220)-1)*5,1,1))*W$2</f>
        <v>0</v>
      </c>
      <c r="AJ223" s="5">
        <f t="shared" ca="1" si="49"/>
        <v>0</v>
      </c>
      <c r="AL223" s="5">
        <f t="shared" ca="1" si="50"/>
        <v>0</v>
      </c>
      <c r="AM223" s="5">
        <f t="shared" ca="1" si="51"/>
        <v>0</v>
      </c>
      <c r="AN223" s="5" t="str">
        <f>IF(Demand!BE232="Yes","Yes","")</f>
        <v/>
      </c>
      <c r="AP223" s="37" t="str">
        <f ca="1">Demand!B232</f>
        <v xml:space="preserve"> </v>
      </c>
      <c r="AQ223" t="str">
        <f ca="1">IF(TEXT(Demand!D232,"MMM")&lt;&gt;TEXT(Demand!D231,"MMM"),TEXT(Demand!D232,"MMM"),"")</f>
        <v/>
      </c>
      <c r="AT223" s="5">
        <f t="shared" ca="1" si="53"/>
        <v>0</v>
      </c>
      <c r="BQ223">
        <f ca="1">IF($AN223="",OFFSET(Demand!$A$13,ROW(A220)-1,4+((QUOTIENT(COLUMN(BQ$2)-69,3))*5)+MOD(COLUMN(BQ$2),3),1,1),"")</f>
        <v>0</v>
      </c>
      <c r="BR223">
        <f ca="1">IF($AN223="",OFFSET(Demand!$A$13,ROW(B220)-1,4+((QUOTIENT(COLUMN(BR$2)-69,3))*5)+MOD(COLUMN(BR$2),3),1,1),"")</f>
        <v>0</v>
      </c>
      <c r="BS223">
        <f ca="1">IF($AN223="",OFFSET(Demand!$A$13,ROW(C220)-1,4+((QUOTIENT(COLUMN(BS$2)-69,3))*5)+MOD(COLUMN(BS$2),3),1,1),"")</f>
        <v>0</v>
      </c>
      <c r="BT223">
        <f ca="1">IF($AN223="",OFFSET(Demand!$A$13,ROW(D220)-1,4+((QUOTIENT(COLUMN(BT$2)-69,3))*5)+MOD(COLUMN(BT$2),3),1,1),"")</f>
        <v>0</v>
      </c>
      <c r="BU223">
        <f ca="1">IF($AN223="",OFFSET(Demand!$A$13,ROW(E220)-1,4+((QUOTIENT(COLUMN(BU$2)-69,3))*5)+MOD(COLUMN(BU$2),3),1,1),"")</f>
        <v>0</v>
      </c>
      <c r="BV223">
        <f ca="1">IF($AN223="",OFFSET(Demand!$A$13,ROW(F220)-1,4+((QUOTIENT(COLUMN(BV$2)-69,3))*5)+MOD(COLUMN(BV$2),3),1,1),"")</f>
        <v>0</v>
      </c>
      <c r="BW223">
        <f ca="1">IF($AN223="",OFFSET(Demand!$A$13,ROW(G220)-1,4+((QUOTIENT(COLUMN(BW$2)-69,3))*5)+MOD(COLUMN(BW$2),3),1,1),"")</f>
        <v>0</v>
      </c>
      <c r="BX223">
        <f ca="1">IF($AN223="",OFFSET(Demand!$A$13,ROW(H220)-1,4+((QUOTIENT(COLUMN(BX$2)-69,3))*5)+MOD(COLUMN(BX$2),3),1,1),"")</f>
        <v>0</v>
      </c>
      <c r="BY223">
        <f ca="1">IF($AN223="",OFFSET(Demand!$A$13,ROW(I220)-1,4+((QUOTIENT(COLUMN(BY$2)-69,3))*5)+MOD(COLUMN(BY$2),3),1,1),"")</f>
        <v>0</v>
      </c>
      <c r="BZ223">
        <f ca="1">IF($AN223="",OFFSET(Demand!$A$13,ROW(J220)-1,4+((QUOTIENT(COLUMN(BZ$2)-69,3))*5)+MOD(COLUMN(BZ$2),3),1,1),"")</f>
        <v>0</v>
      </c>
      <c r="CA223">
        <f ca="1">IF($AN223="",OFFSET(Demand!$A$13,ROW(K220)-1,4+((QUOTIENT(COLUMN(CA$2)-69,3))*5)+MOD(COLUMN(CA$2),3),1,1),"")</f>
        <v>0</v>
      </c>
      <c r="CB223">
        <f ca="1">IF($AN223="",OFFSET(Demand!$A$13,ROW(L220)-1,4+((QUOTIENT(COLUMN(CB$2)-69,3))*5)+MOD(COLUMN(CB$2),3),1,1),"")</f>
        <v>0</v>
      </c>
      <c r="CC223">
        <f ca="1">IF($AN223="",OFFSET(Demand!$A$13,ROW(M220)-1,4+((QUOTIENT(COLUMN(CC$2)-69,3))*5)+MOD(COLUMN(CC$2),3),1,1),"")</f>
        <v>0</v>
      </c>
      <c r="CD223">
        <f ca="1">IF($AN223="",OFFSET(Demand!$A$13,ROW(N220)-1,4+((QUOTIENT(COLUMN(CD$2)-69,3))*5)+MOD(COLUMN(CD$2),3),1,1),"")</f>
        <v>0</v>
      </c>
      <c r="CE223">
        <f ca="1">IF($AN223="",OFFSET(Demand!$A$13,ROW(O220)-1,4+((QUOTIENT(COLUMN(CE$2)-69,3))*5)+MOD(COLUMN(CE$2),3),1,1),"")</f>
        <v>0</v>
      </c>
      <c r="CF223">
        <f ca="1">IF($AN223="",OFFSET(Demand!$A$13,ROW(P220)-1,4+((QUOTIENT(COLUMN(CF$2)-69,3))*5)+MOD(COLUMN(CF$2),3),1,1),"")</f>
        <v>0</v>
      </c>
      <c r="CG223">
        <f ca="1">IF($AN223="",OFFSET(Demand!$A$13,ROW(Q220)-1,4+((QUOTIENT(COLUMN(CG$2)-69,3))*5)+MOD(COLUMN(CG$2),3),1,1),"")</f>
        <v>0</v>
      </c>
      <c r="CH223">
        <f ca="1">IF($AN223="",OFFSET(Demand!$A$13,ROW(R220)-1,4+((QUOTIENT(COLUMN(CH$2)-69,3))*5)+MOD(COLUMN(CH$2),3),1,1),"")</f>
        <v>0</v>
      </c>
      <c r="CI223">
        <f ca="1">IF($AN223="",OFFSET(Demand!$A$13,ROW(S220)-1,4+((QUOTIENT(COLUMN(CI$2)-69,3))*5)+MOD(COLUMN(CI$2),3),1,1),"")</f>
        <v>0</v>
      </c>
      <c r="CJ223">
        <f ca="1">IF($AN223="",OFFSET(Demand!$A$13,ROW(T220)-1,4+((QUOTIENT(COLUMN(CJ$2)-69,3))*5)+MOD(COLUMN(CJ$2),3),1,1),"")</f>
        <v>0</v>
      </c>
      <c r="CK223">
        <f ca="1">IF($AN223="",OFFSET(Demand!$A$13,ROW(U220)-1,4+((QUOTIENT(COLUMN(CK$2)-69,3))*5)+MOD(COLUMN(CK$2),3),1,1),"")</f>
        <v>0</v>
      </c>
      <c r="CL223">
        <f ca="1">IF($AN223="",OFFSET(Demand!$A$13,ROW(V220)-1,4+((QUOTIENT(COLUMN(CL$2)-69,3))*5)+MOD(COLUMN(CL$2),3),1,1),"")</f>
        <v>0</v>
      </c>
      <c r="CM223">
        <f ca="1">IF($AN223="",OFFSET(Demand!$A$13,ROW(W220)-1,4+((QUOTIENT(COLUMN(CM$2)-69,3))*5)+MOD(COLUMN(CM$2),3),1,1),"")</f>
        <v>0</v>
      </c>
      <c r="CN223">
        <f ca="1">IF($AN223="",OFFSET(Demand!$A$13,ROW(X220)-1,4+((QUOTIENT(COLUMN(CN$2)-69,3))*5)+MOD(COLUMN(CN$2),3),1,1),"")</f>
        <v>0</v>
      </c>
      <c r="CO223">
        <f ca="1">IF($AN223="",OFFSET(Demand!$A$13,ROW(Y220)-1,4+((QUOTIENT(COLUMN(CO$2)-69,3))*5)+MOD(COLUMN(CO$2),3),1,1),"")</f>
        <v>0</v>
      </c>
      <c r="CP223">
        <f ca="1">IF($AN223="",OFFSET(Demand!$A$13,ROW(Z220)-1,4+((QUOTIENT(COLUMN(CP$2)-69,3))*5)+MOD(COLUMN(CP$2),3),1,1),"")</f>
        <v>0</v>
      </c>
      <c r="CQ223">
        <f ca="1">IF($AN223="",OFFSET(Demand!$A$13,ROW(AA220)-1,4+((QUOTIENT(COLUMN(CQ$2)-69,3))*5)+MOD(COLUMN(CQ$2),3),1,1),"")</f>
        <v>0</v>
      </c>
      <c r="CR223">
        <f ca="1">IF($AN223="",OFFSET(Demand!$A$13,ROW(AB220)-1,4+((QUOTIENT(COLUMN(CR$2)-69,3))*5)+MOD(COLUMN(CR$2),3),1,1),"")</f>
        <v>0</v>
      </c>
      <c r="CS223">
        <f ca="1">IF($AN223="",OFFSET(Demand!$A$13,ROW(AC220)-1,4+((QUOTIENT(COLUMN(CS$2)-69,3))*5)+MOD(COLUMN(CS$2),3),1,1),"")</f>
        <v>0</v>
      </c>
      <c r="CT223">
        <f ca="1">IF($AN223="",OFFSET(Demand!$A$13,ROW(AD220)-1,4+((QUOTIENT(COLUMN(CT$2)-69,3))*5)+MOD(COLUMN(CT$2),3),1,1),"")</f>
        <v>0</v>
      </c>
      <c r="CW223" s="5">
        <f ca="1">SUM(OFFSET(Demand!$H$43,ROW(A220)-1,(COLUMN(A220)-1)*5,1,1))*N$2</f>
        <v>0</v>
      </c>
      <c r="CX223" s="5">
        <f ca="1">SUM(OFFSET(Demand!$H$43,ROW(B220)-1,(COLUMN(B220)-1)*5,1,1))*O$2</f>
        <v>0</v>
      </c>
      <c r="CY223" s="5">
        <f ca="1">SUM(OFFSET(Demand!$H$43,ROW(C220)-1,(COLUMN(C220)-1)*5,1,1))*P$2</f>
        <v>0</v>
      </c>
      <c r="CZ223" s="5">
        <f ca="1">SUM(OFFSET(Demand!$H$43,ROW(D220)-1,(COLUMN(D220)-1)*5,1,1))*Q$2</f>
        <v>0</v>
      </c>
      <c r="DA223" s="5">
        <f ca="1">SUM(OFFSET(Demand!$H$43,ROW(E220)-1,(COLUMN(E220)-1)*5,1,1))*R$2</f>
        <v>0</v>
      </c>
      <c r="DB223" s="5">
        <f ca="1">SUM(OFFSET(Demand!$H$43,ROW(F220)-1,(COLUMN(F220)-1)*5,1,1))*S$2</f>
        <v>0</v>
      </c>
      <c r="DC223" s="5">
        <f ca="1">SUM(OFFSET(Demand!$H$43,ROW(G220)-1,(COLUMN(G220)-1)*5,1,1))*T$2</f>
        <v>0</v>
      </c>
      <c r="DD223" s="5">
        <f ca="1">SUM(OFFSET(Demand!$H$43,ROW(H220)-1,(COLUMN(H220)-1)*5,1,1))*U$2</f>
        <v>0</v>
      </c>
      <c r="DE223" s="5">
        <f ca="1">SUM(OFFSET(Demand!$H$43,ROW(I220)-1,(COLUMN(I220)-1)*5,1,1))*V$2</f>
        <v>0</v>
      </c>
      <c r="DF223" s="5">
        <f ca="1">SUM(OFFSET(Demand!$H$43,ROW(J220)-1,(COLUMN(J220)-1)*5,1,1))*W$2</f>
        <v>0</v>
      </c>
      <c r="DG223" s="5">
        <f t="shared" ca="1" si="52"/>
        <v>0</v>
      </c>
    </row>
    <row r="224" spans="1:111" x14ac:dyDescent="0.2">
      <c r="A224" s="5">
        <f t="shared" ca="1" si="46"/>
        <v>2</v>
      </c>
      <c r="B224" s="5">
        <f ca="1">COUNTBLANK(OFFSET(Demand!$I233,0,(COLUMN(A221)-1)*5,1,1))</f>
        <v>1</v>
      </c>
      <c r="C224" s="5">
        <f ca="1">COUNTBLANK(OFFSET(Demand!$I233,0,(COLUMN(B221)-1)*5,1,1))</f>
        <v>1</v>
      </c>
      <c r="D224" s="5">
        <f ca="1">COUNTBLANK(OFFSET(Demand!$I233,0,(COLUMN(C221)-1)*5,1,1))</f>
        <v>1</v>
      </c>
      <c r="E224" s="5">
        <f ca="1">COUNTBLANK(OFFSET(Demand!$I233,0,(COLUMN(D221)-1)*5,1,1))</f>
        <v>1</v>
      </c>
      <c r="F224" s="5">
        <f ca="1">COUNTBLANK(OFFSET(Demand!$I233,0,(COLUMN(E221)-1)*5,1,1))</f>
        <v>1</v>
      </c>
      <c r="G224" s="5">
        <f ca="1">COUNTBLANK(OFFSET(Demand!$I233,0,(COLUMN(F221)-1)*5,1,1))</f>
        <v>1</v>
      </c>
      <c r="H224" s="5">
        <f ca="1">COUNTBLANK(OFFSET(Demand!$I233,0,(COLUMN(G221)-1)*5,1,1))</f>
        <v>1</v>
      </c>
      <c r="I224" s="5">
        <f ca="1">COUNTBLANK(OFFSET(Demand!$I233,0,(COLUMN(H221)-1)*5,1,1))</f>
        <v>1</v>
      </c>
      <c r="J224" s="5">
        <f ca="1">COUNTBLANK(OFFSET(Demand!$I233,0,(COLUMN(I221)-1)*5,1,1))</f>
        <v>1</v>
      </c>
      <c r="K224" s="5">
        <f ca="1">COUNTBLANK(OFFSET(Demand!$I233,0,(COLUMN(J221)-1)*5,1,1))</f>
        <v>1</v>
      </c>
      <c r="N224" s="5">
        <f ca="1">SUM(OFFSET(Demand!$E233,0,(COLUMN(A221)-1)*5,1,3))*N$2</f>
        <v>0</v>
      </c>
      <c r="O224" s="5">
        <f ca="1">SUM(OFFSET(Demand!$E233,0,(COLUMN(B221)-1)*5,1,3))*O$2</f>
        <v>0</v>
      </c>
      <c r="P224" s="5">
        <f ca="1">SUM(OFFSET(Demand!$E233,0,(COLUMN(C221)-1)*5,1,3))*P$2</f>
        <v>0</v>
      </c>
      <c r="Q224" s="5">
        <f ca="1">SUM(OFFSET(Demand!$E233,0,(COLUMN(D221)-1)*5,1,3))*Q$2</f>
        <v>0</v>
      </c>
      <c r="R224" s="5">
        <f ca="1">SUM(OFFSET(Demand!$E233,0,(COLUMN(E221)-1)*5,1,3))*R$2</f>
        <v>0</v>
      </c>
      <c r="S224" s="5">
        <f ca="1">SUM(OFFSET(Demand!$E233,0,(COLUMN(F221)-1)*5,1,3))*S$2</f>
        <v>0</v>
      </c>
      <c r="T224" s="5">
        <f ca="1">SUM(OFFSET(Demand!$E233,0,(COLUMN(G221)-1)*5,1,3))*T$2</f>
        <v>0</v>
      </c>
      <c r="U224" s="5">
        <f ca="1">SUM(OFFSET(Demand!$E233,0,(COLUMN(H221)-1)*5,1,3))*U$2</f>
        <v>0</v>
      </c>
      <c r="V224" s="5">
        <f ca="1">SUM(OFFSET(Demand!$E233,0,(COLUMN(I221)-1)*5,1,3))*V$2</f>
        <v>0</v>
      </c>
      <c r="W224" s="5">
        <f ca="1">SUM(OFFSET(Demand!$E233,0,(COLUMN(J221)-1)*5,1,3))*W$2</f>
        <v>0</v>
      </c>
      <c r="X224" s="5">
        <f t="shared" ca="1" si="47"/>
        <v>0</v>
      </c>
      <c r="Y224">
        <f t="shared" ca="1" si="48"/>
        <v>0</v>
      </c>
      <c r="Z224" s="5">
        <f ca="1">SUM(OFFSET(Demand!$H233,0,(COLUMN(A221)-1)*5,1,1))*N$2</f>
        <v>0</v>
      </c>
      <c r="AA224" s="5">
        <f ca="1">SUM(OFFSET(Demand!$H233,0,(COLUMN(B221)-1)*5,1,1))*O$2</f>
        <v>0</v>
      </c>
      <c r="AB224" s="5">
        <f ca="1">SUM(OFFSET(Demand!$H233,0,(COLUMN(C221)-1)*5,1,1))*P$2</f>
        <v>0</v>
      </c>
      <c r="AC224" s="5">
        <f ca="1">SUM(OFFSET(Demand!$H233,0,(COLUMN(D221)-1)*5,1,1))*Q$2</f>
        <v>0</v>
      </c>
      <c r="AD224" s="5">
        <f ca="1">SUM(OFFSET(Demand!$H233,0,(COLUMN(E221)-1)*5,1,1))*R$2</f>
        <v>0</v>
      </c>
      <c r="AE224" s="5">
        <f ca="1">SUM(OFFSET(Demand!$H233,0,(COLUMN(F221)-1)*5,1,1))*S$2</f>
        <v>0</v>
      </c>
      <c r="AF224" s="5">
        <f ca="1">SUM(OFFSET(Demand!$H233,0,(COLUMN(G221)-1)*5,1,1))*T$2</f>
        <v>0</v>
      </c>
      <c r="AG224" s="5">
        <f ca="1">SUM(OFFSET(Demand!$H233,0,(COLUMN(H221)-1)*5,1,1))*U$2</f>
        <v>0</v>
      </c>
      <c r="AH224" s="5">
        <f ca="1">SUM(OFFSET(Demand!$H233,0,(COLUMN(I221)-1)*5,1,1))*V$2</f>
        <v>0</v>
      </c>
      <c r="AI224" s="5">
        <f ca="1">SUM(OFFSET(Demand!$H233,0,(COLUMN(J221)-1)*5,1,1))*W$2</f>
        <v>0</v>
      </c>
      <c r="AJ224" s="5">
        <f t="shared" ca="1" si="49"/>
        <v>0</v>
      </c>
      <c r="AL224" s="5">
        <f t="shared" ca="1" si="50"/>
        <v>0</v>
      </c>
      <c r="AM224" s="5">
        <f t="shared" ca="1" si="51"/>
        <v>0</v>
      </c>
      <c r="AN224" s="5" t="str">
        <f>IF(Demand!BE233="Yes","Yes","")</f>
        <v/>
      </c>
      <c r="AP224" s="37" t="str">
        <f ca="1">Demand!B233</f>
        <v xml:space="preserve"> </v>
      </c>
      <c r="AQ224" t="str">
        <f ca="1">IF(TEXT(Demand!D233,"MMM")&lt;&gt;TEXT(Demand!D232,"MMM"),TEXT(Demand!D233,"MMM"),"")</f>
        <v/>
      </c>
      <c r="AT224" s="5">
        <f t="shared" ca="1" si="53"/>
        <v>0</v>
      </c>
      <c r="BQ224">
        <f ca="1">IF($AN224="",OFFSET(Demand!$A$13,ROW(A221)-1,4+((QUOTIENT(COLUMN(BQ$2)-69,3))*5)+MOD(COLUMN(BQ$2),3),1,1),"")</f>
        <v>0</v>
      </c>
      <c r="BR224">
        <f ca="1">IF($AN224="",OFFSET(Demand!$A$13,ROW(B221)-1,4+((QUOTIENT(COLUMN(BR$2)-69,3))*5)+MOD(COLUMN(BR$2),3),1,1),"")</f>
        <v>0</v>
      </c>
      <c r="BS224">
        <f ca="1">IF($AN224="",OFFSET(Demand!$A$13,ROW(C221)-1,4+((QUOTIENT(COLUMN(BS$2)-69,3))*5)+MOD(COLUMN(BS$2),3),1,1),"")</f>
        <v>0</v>
      </c>
      <c r="BT224">
        <f ca="1">IF($AN224="",OFFSET(Demand!$A$13,ROW(D221)-1,4+((QUOTIENT(COLUMN(BT$2)-69,3))*5)+MOD(COLUMN(BT$2),3),1,1),"")</f>
        <v>0</v>
      </c>
      <c r="BU224">
        <f ca="1">IF($AN224="",OFFSET(Demand!$A$13,ROW(E221)-1,4+((QUOTIENT(COLUMN(BU$2)-69,3))*5)+MOD(COLUMN(BU$2),3),1,1),"")</f>
        <v>0</v>
      </c>
      <c r="BV224">
        <f ca="1">IF($AN224="",OFFSET(Demand!$A$13,ROW(F221)-1,4+((QUOTIENT(COLUMN(BV$2)-69,3))*5)+MOD(COLUMN(BV$2),3),1,1),"")</f>
        <v>0</v>
      </c>
      <c r="BW224">
        <f ca="1">IF($AN224="",OFFSET(Demand!$A$13,ROW(G221)-1,4+((QUOTIENT(COLUMN(BW$2)-69,3))*5)+MOD(COLUMN(BW$2),3),1,1),"")</f>
        <v>0</v>
      </c>
      <c r="BX224">
        <f ca="1">IF($AN224="",OFFSET(Demand!$A$13,ROW(H221)-1,4+((QUOTIENT(COLUMN(BX$2)-69,3))*5)+MOD(COLUMN(BX$2),3),1,1),"")</f>
        <v>0</v>
      </c>
      <c r="BY224">
        <f ca="1">IF($AN224="",OFFSET(Demand!$A$13,ROW(I221)-1,4+((QUOTIENT(COLUMN(BY$2)-69,3))*5)+MOD(COLUMN(BY$2),3),1,1),"")</f>
        <v>0</v>
      </c>
      <c r="BZ224">
        <f ca="1">IF($AN224="",OFFSET(Demand!$A$13,ROW(J221)-1,4+((QUOTIENT(COLUMN(BZ$2)-69,3))*5)+MOD(COLUMN(BZ$2),3),1,1),"")</f>
        <v>0</v>
      </c>
      <c r="CA224">
        <f ca="1">IF($AN224="",OFFSET(Demand!$A$13,ROW(K221)-1,4+((QUOTIENT(COLUMN(CA$2)-69,3))*5)+MOD(COLUMN(CA$2),3),1,1),"")</f>
        <v>0</v>
      </c>
      <c r="CB224">
        <f ca="1">IF($AN224="",OFFSET(Demand!$A$13,ROW(L221)-1,4+((QUOTIENT(COLUMN(CB$2)-69,3))*5)+MOD(COLUMN(CB$2),3),1,1),"")</f>
        <v>0</v>
      </c>
      <c r="CC224">
        <f ca="1">IF($AN224="",OFFSET(Demand!$A$13,ROW(M221)-1,4+((QUOTIENT(COLUMN(CC$2)-69,3))*5)+MOD(COLUMN(CC$2),3),1,1),"")</f>
        <v>0</v>
      </c>
      <c r="CD224">
        <f ca="1">IF($AN224="",OFFSET(Demand!$A$13,ROW(N221)-1,4+((QUOTIENT(COLUMN(CD$2)-69,3))*5)+MOD(COLUMN(CD$2),3),1,1),"")</f>
        <v>0</v>
      </c>
      <c r="CE224">
        <f ca="1">IF($AN224="",OFFSET(Demand!$A$13,ROW(O221)-1,4+((QUOTIENT(COLUMN(CE$2)-69,3))*5)+MOD(COLUMN(CE$2),3),1,1),"")</f>
        <v>0</v>
      </c>
      <c r="CF224">
        <f ca="1">IF($AN224="",OFFSET(Demand!$A$13,ROW(P221)-1,4+((QUOTIENT(COLUMN(CF$2)-69,3))*5)+MOD(COLUMN(CF$2),3),1,1),"")</f>
        <v>0</v>
      </c>
      <c r="CG224">
        <f ca="1">IF($AN224="",OFFSET(Demand!$A$13,ROW(Q221)-1,4+((QUOTIENT(COLUMN(CG$2)-69,3))*5)+MOD(COLUMN(CG$2),3),1,1),"")</f>
        <v>0</v>
      </c>
      <c r="CH224">
        <f ca="1">IF($AN224="",OFFSET(Demand!$A$13,ROW(R221)-1,4+((QUOTIENT(COLUMN(CH$2)-69,3))*5)+MOD(COLUMN(CH$2),3),1,1),"")</f>
        <v>0</v>
      </c>
      <c r="CI224">
        <f ca="1">IF($AN224="",OFFSET(Demand!$A$13,ROW(S221)-1,4+((QUOTIENT(COLUMN(CI$2)-69,3))*5)+MOD(COLUMN(CI$2),3),1,1),"")</f>
        <v>0</v>
      </c>
      <c r="CJ224">
        <f ca="1">IF($AN224="",OFFSET(Demand!$A$13,ROW(T221)-1,4+((QUOTIENT(COLUMN(CJ$2)-69,3))*5)+MOD(COLUMN(CJ$2),3),1,1),"")</f>
        <v>0</v>
      </c>
      <c r="CK224">
        <f ca="1">IF($AN224="",OFFSET(Demand!$A$13,ROW(U221)-1,4+((QUOTIENT(COLUMN(CK$2)-69,3))*5)+MOD(COLUMN(CK$2),3),1,1),"")</f>
        <v>0</v>
      </c>
      <c r="CL224">
        <f ca="1">IF($AN224="",OFFSET(Demand!$A$13,ROW(V221)-1,4+((QUOTIENT(COLUMN(CL$2)-69,3))*5)+MOD(COLUMN(CL$2),3),1,1),"")</f>
        <v>0</v>
      </c>
      <c r="CM224">
        <f ca="1">IF($AN224="",OFFSET(Demand!$A$13,ROW(W221)-1,4+((QUOTIENT(COLUMN(CM$2)-69,3))*5)+MOD(COLUMN(CM$2),3),1,1),"")</f>
        <v>0</v>
      </c>
      <c r="CN224">
        <f ca="1">IF($AN224="",OFFSET(Demand!$A$13,ROW(X221)-1,4+((QUOTIENT(COLUMN(CN$2)-69,3))*5)+MOD(COLUMN(CN$2),3),1,1),"")</f>
        <v>0</v>
      </c>
      <c r="CO224">
        <f ca="1">IF($AN224="",OFFSET(Demand!$A$13,ROW(Y221)-1,4+((QUOTIENT(COLUMN(CO$2)-69,3))*5)+MOD(COLUMN(CO$2),3),1,1),"")</f>
        <v>0</v>
      </c>
      <c r="CP224">
        <f ca="1">IF($AN224="",OFFSET(Demand!$A$13,ROW(Z221)-1,4+((QUOTIENT(COLUMN(CP$2)-69,3))*5)+MOD(COLUMN(CP$2),3),1,1),"")</f>
        <v>0</v>
      </c>
      <c r="CQ224">
        <f ca="1">IF($AN224="",OFFSET(Demand!$A$13,ROW(AA221)-1,4+((QUOTIENT(COLUMN(CQ$2)-69,3))*5)+MOD(COLUMN(CQ$2),3),1,1),"")</f>
        <v>0</v>
      </c>
      <c r="CR224">
        <f ca="1">IF($AN224="",OFFSET(Demand!$A$13,ROW(AB221)-1,4+((QUOTIENT(COLUMN(CR$2)-69,3))*5)+MOD(COLUMN(CR$2),3),1,1),"")</f>
        <v>0</v>
      </c>
      <c r="CS224">
        <f ca="1">IF($AN224="",OFFSET(Demand!$A$13,ROW(AC221)-1,4+((QUOTIENT(COLUMN(CS$2)-69,3))*5)+MOD(COLUMN(CS$2),3),1,1),"")</f>
        <v>0</v>
      </c>
      <c r="CT224">
        <f ca="1">IF($AN224="",OFFSET(Demand!$A$13,ROW(AD221)-1,4+((QUOTIENT(COLUMN(CT$2)-69,3))*5)+MOD(COLUMN(CT$2),3),1,1),"")</f>
        <v>0</v>
      </c>
      <c r="CW224" s="5">
        <f ca="1">SUM(OFFSET(Demand!$H$43,ROW(A221)-1,(COLUMN(A221)-1)*5,1,1))*N$2</f>
        <v>0</v>
      </c>
      <c r="CX224" s="5">
        <f ca="1">SUM(OFFSET(Demand!$H$43,ROW(B221)-1,(COLUMN(B221)-1)*5,1,1))*O$2</f>
        <v>0</v>
      </c>
      <c r="CY224" s="5">
        <f ca="1">SUM(OFFSET(Demand!$H$43,ROW(C221)-1,(COLUMN(C221)-1)*5,1,1))*P$2</f>
        <v>0</v>
      </c>
      <c r="CZ224" s="5">
        <f ca="1">SUM(OFFSET(Demand!$H$43,ROW(D221)-1,(COLUMN(D221)-1)*5,1,1))*Q$2</f>
        <v>0</v>
      </c>
      <c r="DA224" s="5">
        <f ca="1">SUM(OFFSET(Demand!$H$43,ROW(E221)-1,(COLUMN(E221)-1)*5,1,1))*R$2</f>
        <v>0</v>
      </c>
      <c r="DB224" s="5">
        <f ca="1">SUM(OFFSET(Demand!$H$43,ROW(F221)-1,(COLUMN(F221)-1)*5,1,1))*S$2</f>
        <v>0</v>
      </c>
      <c r="DC224" s="5">
        <f ca="1">SUM(OFFSET(Demand!$H$43,ROW(G221)-1,(COLUMN(G221)-1)*5,1,1))*T$2</f>
        <v>0</v>
      </c>
      <c r="DD224" s="5">
        <f ca="1">SUM(OFFSET(Demand!$H$43,ROW(H221)-1,(COLUMN(H221)-1)*5,1,1))*U$2</f>
        <v>0</v>
      </c>
      <c r="DE224" s="5">
        <f ca="1">SUM(OFFSET(Demand!$H$43,ROW(I221)-1,(COLUMN(I221)-1)*5,1,1))*V$2</f>
        <v>0</v>
      </c>
      <c r="DF224" s="5">
        <f ca="1">SUM(OFFSET(Demand!$H$43,ROW(J221)-1,(COLUMN(J221)-1)*5,1,1))*W$2</f>
        <v>0</v>
      </c>
      <c r="DG224" s="5">
        <f t="shared" ca="1" si="52"/>
        <v>0</v>
      </c>
    </row>
    <row r="225" spans="1:111" x14ac:dyDescent="0.2">
      <c r="A225" s="5">
        <f t="shared" ca="1" si="46"/>
        <v>2</v>
      </c>
      <c r="B225" s="5">
        <f ca="1">COUNTBLANK(OFFSET(Demand!$I234,0,(COLUMN(A222)-1)*5,1,1))</f>
        <v>1</v>
      </c>
      <c r="C225" s="5">
        <f ca="1">COUNTBLANK(OFFSET(Demand!$I234,0,(COLUMN(B222)-1)*5,1,1))</f>
        <v>1</v>
      </c>
      <c r="D225" s="5">
        <f ca="1">COUNTBLANK(OFFSET(Demand!$I234,0,(COLUMN(C222)-1)*5,1,1))</f>
        <v>1</v>
      </c>
      <c r="E225" s="5">
        <f ca="1">COUNTBLANK(OFFSET(Demand!$I234,0,(COLUMN(D222)-1)*5,1,1))</f>
        <v>1</v>
      </c>
      <c r="F225" s="5">
        <f ca="1">COUNTBLANK(OFFSET(Demand!$I234,0,(COLUMN(E222)-1)*5,1,1))</f>
        <v>1</v>
      </c>
      <c r="G225" s="5">
        <f ca="1">COUNTBLANK(OFFSET(Demand!$I234,0,(COLUMN(F222)-1)*5,1,1))</f>
        <v>1</v>
      </c>
      <c r="H225" s="5">
        <f ca="1">COUNTBLANK(OFFSET(Demand!$I234,0,(COLUMN(G222)-1)*5,1,1))</f>
        <v>1</v>
      </c>
      <c r="I225" s="5">
        <f ca="1">COUNTBLANK(OFFSET(Demand!$I234,0,(COLUMN(H222)-1)*5,1,1))</f>
        <v>1</v>
      </c>
      <c r="J225" s="5">
        <f ca="1">COUNTBLANK(OFFSET(Demand!$I234,0,(COLUMN(I222)-1)*5,1,1))</f>
        <v>1</v>
      </c>
      <c r="K225" s="5">
        <f ca="1">COUNTBLANK(OFFSET(Demand!$I234,0,(COLUMN(J222)-1)*5,1,1))</f>
        <v>1</v>
      </c>
      <c r="N225" s="5">
        <f ca="1">SUM(OFFSET(Demand!$E234,0,(COLUMN(A222)-1)*5,1,3))*N$2</f>
        <v>0</v>
      </c>
      <c r="O225" s="5">
        <f ca="1">SUM(OFFSET(Demand!$E234,0,(COLUMN(B222)-1)*5,1,3))*O$2</f>
        <v>0</v>
      </c>
      <c r="P225" s="5">
        <f ca="1">SUM(OFFSET(Demand!$E234,0,(COLUMN(C222)-1)*5,1,3))*P$2</f>
        <v>0</v>
      </c>
      <c r="Q225" s="5">
        <f ca="1">SUM(OFFSET(Demand!$E234,0,(COLUMN(D222)-1)*5,1,3))*Q$2</f>
        <v>0</v>
      </c>
      <c r="R225" s="5">
        <f ca="1">SUM(OFFSET(Demand!$E234,0,(COLUMN(E222)-1)*5,1,3))*R$2</f>
        <v>0</v>
      </c>
      <c r="S225" s="5">
        <f ca="1">SUM(OFFSET(Demand!$E234,0,(COLUMN(F222)-1)*5,1,3))*S$2</f>
        <v>0</v>
      </c>
      <c r="T225" s="5">
        <f ca="1">SUM(OFFSET(Demand!$E234,0,(COLUMN(G222)-1)*5,1,3))*T$2</f>
        <v>0</v>
      </c>
      <c r="U225" s="5">
        <f ca="1">SUM(OFFSET(Demand!$E234,0,(COLUMN(H222)-1)*5,1,3))*U$2</f>
        <v>0</v>
      </c>
      <c r="V225" s="5">
        <f ca="1">SUM(OFFSET(Demand!$E234,0,(COLUMN(I222)-1)*5,1,3))*V$2</f>
        <v>0</v>
      </c>
      <c r="W225" s="5">
        <f ca="1">SUM(OFFSET(Demand!$E234,0,(COLUMN(J222)-1)*5,1,3))*W$2</f>
        <v>0</v>
      </c>
      <c r="X225" s="5">
        <f t="shared" ca="1" si="47"/>
        <v>0</v>
      </c>
      <c r="Y225">
        <f t="shared" ca="1" si="48"/>
        <v>0</v>
      </c>
      <c r="Z225" s="5">
        <f ca="1">SUM(OFFSET(Demand!$H234,0,(COLUMN(A222)-1)*5,1,1))*N$2</f>
        <v>0</v>
      </c>
      <c r="AA225" s="5">
        <f ca="1">SUM(OFFSET(Demand!$H234,0,(COLUMN(B222)-1)*5,1,1))*O$2</f>
        <v>0</v>
      </c>
      <c r="AB225" s="5">
        <f ca="1">SUM(OFFSET(Demand!$H234,0,(COLUMN(C222)-1)*5,1,1))*P$2</f>
        <v>0</v>
      </c>
      <c r="AC225" s="5">
        <f ca="1">SUM(OFFSET(Demand!$H234,0,(COLUMN(D222)-1)*5,1,1))*Q$2</f>
        <v>0</v>
      </c>
      <c r="AD225" s="5">
        <f ca="1">SUM(OFFSET(Demand!$H234,0,(COLUMN(E222)-1)*5,1,1))*R$2</f>
        <v>0</v>
      </c>
      <c r="AE225" s="5">
        <f ca="1">SUM(OFFSET(Demand!$H234,0,(COLUMN(F222)-1)*5,1,1))*S$2</f>
        <v>0</v>
      </c>
      <c r="AF225" s="5">
        <f ca="1">SUM(OFFSET(Demand!$H234,0,(COLUMN(G222)-1)*5,1,1))*T$2</f>
        <v>0</v>
      </c>
      <c r="AG225" s="5">
        <f ca="1">SUM(OFFSET(Demand!$H234,0,(COLUMN(H222)-1)*5,1,1))*U$2</f>
        <v>0</v>
      </c>
      <c r="AH225" s="5">
        <f ca="1">SUM(OFFSET(Demand!$H234,0,(COLUMN(I222)-1)*5,1,1))*V$2</f>
        <v>0</v>
      </c>
      <c r="AI225" s="5">
        <f ca="1">SUM(OFFSET(Demand!$H234,0,(COLUMN(J222)-1)*5,1,1))*W$2</f>
        <v>0</v>
      </c>
      <c r="AJ225" s="5">
        <f t="shared" ca="1" si="49"/>
        <v>0</v>
      </c>
      <c r="AL225" s="5">
        <f t="shared" ca="1" si="50"/>
        <v>0</v>
      </c>
      <c r="AM225" s="5">
        <f t="shared" ca="1" si="51"/>
        <v>0</v>
      </c>
      <c r="AN225" s="5" t="str">
        <f>IF(Demand!BE234="Yes","Yes","")</f>
        <v/>
      </c>
      <c r="AP225" s="37" t="str">
        <f ca="1">Demand!B234</f>
        <v xml:space="preserve"> </v>
      </c>
      <c r="AQ225" t="str">
        <f ca="1">IF(TEXT(Demand!D234,"MMM")&lt;&gt;TEXT(Demand!D233,"MMM"),TEXT(Demand!D234,"MMM"),"")</f>
        <v/>
      </c>
      <c r="AT225" s="5">
        <f t="shared" ca="1" si="53"/>
        <v>0</v>
      </c>
      <c r="BQ225">
        <f ca="1">IF($AN225="",OFFSET(Demand!$A$13,ROW(A222)-1,4+((QUOTIENT(COLUMN(BQ$2)-69,3))*5)+MOD(COLUMN(BQ$2),3),1,1),"")</f>
        <v>0</v>
      </c>
      <c r="BR225">
        <f ca="1">IF($AN225="",OFFSET(Demand!$A$13,ROW(B222)-1,4+((QUOTIENT(COLUMN(BR$2)-69,3))*5)+MOD(COLUMN(BR$2),3),1,1),"")</f>
        <v>0</v>
      </c>
      <c r="BS225">
        <f ca="1">IF($AN225="",OFFSET(Demand!$A$13,ROW(C222)-1,4+((QUOTIENT(COLUMN(BS$2)-69,3))*5)+MOD(COLUMN(BS$2),3),1,1),"")</f>
        <v>0</v>
      </c>
      <c r="BT225">
        <f ca="1">IF($AN225="",OFFSET(Demand!$A$13,ROW(D222)-1,4+((QUOTIENT(COLUMN(BT$2)-69,3))*5)+MOD(COLUMN(BT$2),3),1,1),"")</f>
        <v>0</v>
      </c>
      <c r="BU225">
        <f ca="1">IF($AN225="",OFFSET(Demand!$A$13,ROW(E222)-1,4+((QUOTIENT(COLUMN(BU$2)-69,3))*5)+MOD(COLUMN(BU$2),3),1,1),"")</f>
        <v>0</v>
      </c>
      <c r="BV225">
        <f ca="1">IF($AN225="",OFFSET(Demand!$A$13,ROW(F222)-1,4+((QUOTIENT(COLUMN(BV$2)-69,3))*5)+MOD(COLUMN(BV$2),3),1,1),"")</f>
        <v>0</v>
      </c>
      <c r="BW225">
        <f ca="1">IF($AN225="",OFFSET(Demand!$A$13,ROW(G222)-1,4+((QUOTIENT(COLUMN(BW$2)-69,3))*5)+MOD(COLUMN(BW$2),3),1,1),"")</f>
        <v>0</v>
      </c>
      <c r="BX225">
        <f ca="1">IF($AN225="",OFFSET(Demand!$A$13,ROW(H222)-1,4+((QUOTIENT(COLUMN(BX$2)-69,3))*5)+MOD(COLUMN(BX$2),3),1,1),"")</f>
        <v>0</v>
      </c>
      <c r="BY225">
        <f ca="1">IF($AN225="",OFFSET(Demand!$A$13,ROW(I222)-1,4+((QUOTIENT(COLUMN(BY$2)-69,3))*5)+MOD(COLUMN(BY$2),3),1,1),"")</f>
        <v>0</v>
      </c>
      <c r="BZ225">
        <f ca="1">IF($AN225="",OFFSET(Demand!$A$13,ROW(J222)-1,4+((QUOTIENT(COLUMN(BZ$2)-69,3))*5)+MOD(COLUMN(BZ$2),3),1,1),"")</f>
        <v>0</v>
      </c>
      <c r="CA225">
        <f ca="1">IF($AN225="",OFFSET(Demand!$A$13,ROW(K222)-1,4+((QUOTIENT(COLUMN(CA$2)-69,3))*5)+MOD(COLUMN(CA$2),3),1,1),"")</f>
        <v>0</v>
      </c>
      <c r="CB225">
        <f ca="1">IF($AN225="",OFFSET(Demand!$A$13,ROW(L222)-1,4+((QUOTIENT(COLUMN(CB$2)-69,3))*5)+MOD(COLUMN(CB$2),3),1,1),"")</f>
        <v>0</v>
      </c>
      <c r="CC225">
        <f ca="1">IF($AN225="",OFFSET(Demand!$A$13,ROW(M222)-1,4+((QUOTIENT(COLUMN(CC$2)-69,3))*5)+MOD(COLUMN(CC$2),3),1,1),"")</f>
        <v>0</v>
      </c>
      <c r="CD225">
        <f ca="1">IF($AN225="",OFFSET(Demand!$A$13,ROW(N222)-1,4+((QUOTIENT(COLUMN(CD$2)-69,3))*5)+MOD(COLUMN(CD$2),3),1,1),"")</f>
        <v>0</v>
      </c>
      <c r="CE225">
        <f ca="1">IF($AN225="",OFFSET(Demand!$A$13,ROW(O222)-1,4+((QUOTIENT(COLUMN(CE$2)-69,3))*5)+MOD(COLUMN(CE$2),3),1,1),"")</f>
        <v>0</v>
      </c>
      <c r="CF225">
        <f ca="1">IF($AN225="",OFFSET(Demand!$A$13,ROW(P222)-1,4+((QUOTIENT(COLUMN(CF$2)-69,3))*5)+MOD(COLUMN(CF$2),3),1,1),"")</f>
        <v>0</v>
      </c>
      <c r="CG225">
        <f ca="1">IF($AN225="",OFFSET(Demand!$A$13,ROW(Q222)-1,4+((QUOTIENT(COLUMN(CG$2)-69,3))*5)+MOD(COLUMN(CG$2),3),1,1),"")</f>
        <v>0</v>
      </c>
      <c r="CH225">
        <f ca="1">IF($AN225="",OFFSET(Demand!$A$13,ROW(R222)-1,4+((QUOTIENT(COLUMN(CH$2)-69,3))*5)+MOD(COLUMN(CH$2),3),1,1),"")</f>
        <v>0</v>
      </c>
      <c r="CI225">
        <f ca="1">IF($AN225="",OFFSET(Demand!$A$13,ROW(S222)-1,4+((QUOTIENT(COLUMN(CI$2)-69,3))*5)+MOD(COLUMN(CI$2),3),1,1),"")</f>
        <v>0</v>
      </c>
      <c r="CJ225">
        <f ca="1">IF($AN225="",OFFSET(Demand!$A$13,ROW(T222)-1,4+((QUOTIENT(COLUMN(CJ$2)-69,3))*5)+MOD(COLUMN(CJ$2),3),1,1),"")</f>
        <v>0</v>
      </c>
      <c r="CK225">
        <f ca="1">IF($AN225="",OFFSET(Demand!$A$13,ROW(U222)-1,4+((QUOTIENT(COLUMN(CK$2)-69,3))*5)+MOD(COLUMN(CK$2),3),1,1),"")</f>
        <v>0</v>
      </c>
      <c r="CL225">
        <f ca="1">IF($AN225="",OFFSET(Demand!$A$13,ROW(V222)-1,4+((QUOTIENT(COLUMN(CL$2)-69,3))*5)+MOD(COLUMN(CL$2),3),1,1),"")</f>
        <v>0</v>
      </c>
      <c r="CM225">
        <f ca="1">IF($AN225="",OFFSET(Demand!$A$13,ROW(W222)-1,4+((QUOTIENT(COLUMN(CM$2)-69,3))*5)+MOD(COLUMN(CM$2),3),1,1),"")</f>
        <v>0</v>
      </c>
      <c r="CN225">
        <f ca="1">IF($AN225="",OFFSET(Demand!$A$13,ROW(X222)-1,4+((QUOTIENT(COLUMN(CN$2)-69,3))*5)+MOD(COLUMN(CN$2),3),1,1),"")</f>
        <v>0</v>
      </c>
      <c r="CO225">
        <f ca="1">IF($AN225="",OFFSET(Demand!$A$13,ROW(Y222)-1,4+((QUOTIENT(COLUMN(CO$2)-69,3))*5)+MOD(COLUMN(CO$2),3),1,1),"")</f>
        <v>0</v>
      </c>
      <c r="CP225">
        <f ca="1">IF($AN225="",OFFSET(Demand!$A$13,ROW(Z222)-1,4+((QUOTIENT(COLUMN(CP$2)-69,3))*5)+MOD(COLUMN(CP$2),3),1,1),"")</f>
        <v>0</v>
      </c>
      <c r="CQ225">
        <f ca="1">IF($AN225="",OFFSET(Demand!$A$13,ROW(AA222)-1,4+((QUOTIENT(COLUMN(CQ$2)-69,3))*5)+MOD(COLUMN(CQ$2),3),1,1),"")</f>
        <v>0</v>
      </c>
      <c r="CR225">
        <f ca="1">IF($AN225="",OFFSET(Demand!$A$13,ROW(AB222)-1,4+((QUOTIENT(COLUMN(CR$2)-69,3))*5)+MOD(COLUMN(CR$2),3),1,1),"")</f>
        <v>0</v>
      </c>
      <c r="CS225">
        <f ca="1">IF($AN225="",OFFSET(Demand!$A$13,ROW(AC222)-1,4+((QUOTIENT(COLUMN(CS$2)-69,3))*5)+MOD(COLUMN(CS$2),3),1,1),"")</f>
        <v>0</v>
      </c>
      <c r="CT225">
        <f ca="1">IF($AN225="",OFFSET(Demand!$A$13,ROW(AD222)-1,4+((QUOTIENT(COLUMN(CT$2)-69,3))*5)+MOD(COLUMN(CT$2),3),1,1),"")</f>
        <v>0</v>
      </c>
      <c r="CW225" s="5">
        <f ca="1">SUM(OFFSET(Demand!$H$43,ROW(A222)-1,(COLUMN(A222)-1)*5,1,1))*N$2</f>
        <v>0</v>
      </c>
      <c r="CX225" s="5">
        <f ca="1">SUM(OFFSET(Demand!$H$43,ROW(B222)-1,(COLUMN(B222)-1)*5,1,1))*O$2</f>
        <v>0</v>
      </c>
      <c r="CY225" s="5">
        <f ca="1">SUM(OFFSET(Demand!$H$43,ROW(C222)-1,(COLUMN(C222)-1)*5,1,1))*P$2</f>
        <v>0</v>
      </c>
      <c r="CZ225" s="5">
        <f ca="1">SUM(OFFSET(Demand!$H$43,ROW(D222)-1,(COLUMN(D222)-1)*5,1,1))*Q$2</f>
        <v>0</v>
      </c>
      <c r="DA225" s="5">
        <f ca="1">SUM(OFFSET(Demand!$H$43,ROW(E222)-1,(COLUMN(E222)-1)*5,1,1))*R$2</f>
        <v>0</v>
      </c>
      <c r="DB225" s="5">
        <f ca="1">SUM(OFFSET(Demand!$H$43,ROW(F222)-1,(COLUMN(F222)-1)*5,1,1))*S$2</f>
        <v>0</v>
      </c>
      <c r="DC225" s="5">
        <f ca="1">SUM(OFFSET(Demand!$H$43,ROW(G222)-1,(COLUMN(G222)-1)*5,1,1))*T$2</f>
        <v>0</v>
      </c>
      <c r="DD225" s="5">
        <f ca="1">SUM(OFFSET(Demand!$H$43,ROW(H222)-1,(COLUMN(H222)-1)*5,1,1))*U$2</f>
        <v>0</v>
      </c>
      <c r="DE225" s="5">
        <f ca="1">SUM(OFFSET(Demand!$H$43,ROW(I222)-1,(COLUMN(I222)-1)*5,1,1))*V$2</f>
        <v>0</v>
      </c>
      <c r="DF225" s="5">
        <f ca="1">SUM(OFFSET(Demand!$H$43,ROW(J222)-1,(COLUMN(J222)-1)*5,1,1))*W$2</f>
        <v>0</v>
      </c>
      <c r="DG225" s="5">
        <f t="shared" ca="1" si="52"/>
        <v>0</v>
      </c>
    </row>
    <row r="226" spans="1:111" x14ac:dyDescent="0.2">
      <c r="A226" s="5">
        <f t="shared" ca="1" si="46"/>
        <v>2</v>
      </c>
      <c r="B226" s="5">
        <f ca="1">COUNTBLANK(OFFSET(Demand!$I235,0,(COLUMN(A223)-1)*5,1,1))</f>
        <v>1</v>
      </c>
      <c r="C226" s="5">
        <f ca="1">COUNTBLANK(OFFSET(Demand!$I235,0,(COLUMN(B223)-1)*5,1,1))</f>
        <v>1</v>
      </c>
      <c r="D226" s="5">
        <f ca="1">COUNTBLANK(OFFSET(Demand!$I235,0,(COLUMN(C223)-1)*5,1,1))</f>
        <v>1</v>
      </c>
      <c r="E226" s="5">
        <f ca="1">COUNTBLANK(OFFSET(Demand!$I235,0,(COLUMN(D223)-1)*5,1,1))</f>
        <v>1</v>
      </c>
      <c r="F226" s="5">
        <f ca="1">COUNTBLANK(OFFSET(Demand!$I235,0,(COLUMN(E223)-1)*5,1,1))</f>
        <v>1</v>
      </c>
      <c r="G226" s="5">
        <f ca="1">COUNTBLANK(OFFSET(Demand!$I235,0,(COLUMN(F223)-1)*5,1,1))</f>
        <v>1</v>
      </c>
      <c r="H226" s="5">
        <f ca="1">COUNTBLANK(OFFSET(Demand!$I235,0,(COLUMN(G223)-1)*5,1,1))</f>
        <v>1</v>
      </c>
      <c r="I226" s="5">
        <f ca="1">COUNTBLANK(OFFSET(Demand!$I235,0,(COLUMN(H223)-1)*5,1,1))</f>
        <v>1</v>
      </c>
      <c r="J226" s="5">
        <f ca="1">COUNTBLANK(OFFSET(Demand!$I235,0,(COLUMN(I223)-1)*5,1,1))</f>
        <v>1</v>
      </c>
      <c r="K226" s="5">
        <f ca="1">COUNTBLANK(OFFSET(Demand!$I235,0,(COLUMN(J223)-1)*5,1,1))</f>
        <v>1</v>
      </c>
      <c r="N226" s="5">
        <f ca="1">SUM(OFFSET(Demand!$E235,0,(COLUMN(A223)-1)*5,1,3))*N$2</f>
        <v>0</v>
      </c>
      <c r="O226" s="5">
        <f ca="1">SUM(OFFSET(Demand!$E235,0,(COLUMN(B223)-1)*5,1,3))*O$2</f>
        <v>0</v>
      </c>
      <c r="P226" s="5">
        <f ca="1">SUM(OFFSET(Demand!$E235,0,(COLUMN(C223)-1)*5,1,3))*P$2</f>
        <v>0</v>
      </c>
      <c r="Q226" s="5">
        <f ca="1">SUM(OFFSET(Demand!$E235,0,(COLUMN(D223)-1)*5,1,3))*Q$2</f>
        <v>0</v>
      </c>
      <c r="R226" s="5">
        <f ca="1">SUM(OFFSET(Demand!$E235,0,(COLUMN(E223)-1)*5,1,3))*R$2</f>
        <v>0</v>
      </c>
      <c r="S226" s="5">
        <f ca="1">SUM(OFFSET(Demand!$E235,0,(COLUMN(F223)-1)*5,1,3))*S$2</f>
        <v>0</v>
      </c>
      <c r="T226" s="5">
        <f ca="1">SUM(OFFSET(Demand!$E235,0,(COLUMN(G223)-1)*5,1,3))*T$2</f>
        <v>0</v>
      </c>
      <c r="U226" s="5">
        <f ca="1">SUM(OFFSET(Demand!$E235,0,(COLUMN(H223)-1)*5,1,3))*U$2</f>
        <v>0</v>
      </c>
      <c r="V226" s="5">
        <f ca="1">SUM(OFFSET(Demand!$E235,0,(COLUMN(I223)-1)*5,1,3))*V$2</f>
        <v>0</v>
      </c>
      <c r="W226" s="5">
        <f ca="1">SUM(OFFSET(Demand!$E235,0,(COLUMN(J223)-1)*5,1,3))*W$2</f>
        <v>0</v>
      </c>
      <c r="X226" s="5">
        <f t="shared" ca="1" si="47"/>
        <v>0</v>
      </c>
      <c r="Y226">
        <f t="shared" ca="1" si="48"/>
        <v>0</v>
      </c>
      <c r="Z226" s="5">
        <f ca="1">SUM(OFFSET(Demand!$H235,0,(COLUMN(A223)-1)*5,1,1))*N$2</f>
        <v>0</v>
      </c>
      <c r="AA226" s="5">
        <f ca="1">SUM(OFFSET(Demand!$H235,0,(COLUMN(B223)-1)*5,1,1))*O$2</f>
        <v>0</v>
      </c>
      <c r="AB226" s="5">
        <f ca="1">SUM(OFFSET(Demand!$H235,0,(COLUMN(C223)-1)*5,1,1))*P$2</f>
        <v>0</v>
      </c>
      <c r="AC226" s="5">
        <f ca="1">SUM(OFFSET(Demand!$H235,0,(COLUMN(D223)-1)*5,1,1))*Q$2</f>
        <v>0</v>
      </c>
      <c r="AD226" s="5">
        <f ca="1">SUM(OFFSET(Demand!$H235,0,(COLUMN(E223)-1)*5,1,1))*R$2</f>
        <v>0</v>
      </c>
      <c r="AE226" s="5">
        <f ca="1">SUM(OFFSET(Demand!$H235,0,(COLUMN(F223)-1)*5,1,1))*S$2</f>
        <v>0</v>
      </c>
      <c r="AF226" s="5">
        <f ca="1">SUM(OFFSET(Demand!$H235,0,(COLUMN(G223)-1)*5,1,1))*T$2</f>
        <v>0</v>
      </c>
      <c r="AG226" s="5">
        <f ca="1">SUM(OFFSET(Demand!$H235,0,(COLUMN(H223)-1)*5,1,1))*U$2</f>
        <v>0</v>
      </c>
      <c r="AH226" s="5">
        <f ca="1">SUM(OFFSET(Demand!$H235,0,(COLUMN(I223)-1)*5,1,1))*V$2</f>
        <v>0</v>
      </c>
      <c r="AI226" s="5">
        <f ca="1">SUM(OFFSET(Demand!$H235,0,(COLUMN(J223)-1)*5,1,1))*W$2</f>
        <v>0</v>
      </c>
      <c r="AJ226" s="5">
        <f t="shared" ca="1" si="49"/>
        <v>0</v>
      </c>
      <c r="AL226" s="5">
        <f t="shared" ca="1" si="50"/>
        <v>0</v>
      </c>
      <c r="AM226" s="5">
        <f t="shared" ca="1" si="51"/>
        <v>0</v>
      </c>
      <c r="AN226" s="5" t="str">
        <f>IF(Demand!BE235="Yes","Yes","")</f>
        <v/>
      </c>
      <c r="AP226" s="37" t="str">
        <f ca="1">Demand!B235</f>
        <v xml:space="preserve"> </v>
      </c>
      <c r="AQ226" t="str">
        <f ca="1">IF(TEXT(Demand!D235,"MMM")&lt;&gt;TEXT(Demand!D234,"MMM"),TEXT(Demand!D235,"MMM"),"")</f>
        <v/>
      </c>
      <c r="AT226" s="5">
        <f t="shared" ca="1" si="53"/>
        <v>0</v>
      </c>
      <c r="BQ226">
        <f ca="1">IF($AN226="",OFFSET(Demand!$A$13,ROW(A223)-1,4+((QUOTIENT(COLUMN(BQ$2)-69,3))*5)+MOD(COLUMN(BQ$2),3),1,1),"")</f>
        <v>0</v>
      </c>
      <c r="BR226">
        <f ca="1">IF($AN226="",OFFSET(Demand!$A$13,ROW(B223)-1,4+((QUOTIENT(COLUMN(BR$2)-69,3))*5)+MOD(COLUMN(BR$2),3),1,1),"")</f>
        <v>0</v>
      </c>
      <c r="BS226">
        <f ca="1">IF($AN226="",OFFSET(Demand!$A$13,ROW(C223)-1,4+((QUOTIENT(COLUMN(BS$2)-69,3))*5)+MOD(COLUMN(BS$2),3),1,1),"")</f>
        <v>0</v>
      </c>
      <c r="BT226">
        <f ca="1">IF($AN226="",OFFSET(Demand!$A$13,ROW(D223)-1,4+((QUOTIENT(COLUMN(BT$2)-69,3))*5)+MOD(COLUMN(BT$2),3),1,1),"")</f>
        <v>0</v>
      </c>
      <c r="BU226">
        <f ca="1">IF($AN226="",OFFSET(Demand!$A$13,ROW(E223)-1,4+((QUOTIENT(COLUMN(BU$2)-69,3))*5)+MOD(COLUMN(BU$2),3),1,1),"")</f>
        <v>0</v>
      </c>
      <c r="BV226">
        <f ca="1">IF($AN226="",OFFSET(Demand!$A$13,ROW(F223)-1,4+((QUOTIENT(COLUMN(BV$2)-69,3))*5)+MOD(COLUMN(BV$2),3),1,1),"")</f>
        <v>0</v>
      </c>
      <c r="BW226">
        <f ca="1">IF($AN226="",OFFSET(Demand!$A$13,ROW(G223)-1,4+((QUOTIENT(COLUMN(BW$2)-69,3))*5)+MOD(COLUMN(BW$2),3),1,1),"")</f>
        <v>0</v>
      </c>
      <c r="BX226">
        <f ca="1">IF($AN226="",OFFSET(Demand!$A$13,ROW(H223)-1,4+((QUOTIENT(COLUMN(BX$2)-69,3))*5)+MOD(COLUMN(BX$2),3),1,1),"")</f>
        <v>0</v>
      </c>
      <c r="BY226">
        <f ca="1">IF($AN226="",OFFSET(Demand!$A$13,ROW(I223)-1,4+((QUOTIENT(COLUMN(BY$2)-69,3))*5)+MOD(COLUMN(BY$2),3),1,1),"")</f>
        <v>0</v>
      </c>
      <c r="BZ226">
        <f ca="1">IF($AN226="",OFFSET(Demand!$A$13,ROW(J223)-1,4+((QUOTIENT(COLUMN(BZ$2)-69,3))*5)+MOD(COLUMN(BZ$2),3),1,1),"")</f>
        <v>0</v>
      </c>
      <c r="CA226">
        <f ca="1">IF($AN226="",OFFSET(Demand!$A$13,ROW(K223)-1,4+((QUOTIENT(COLUMN(CA$2)-69,3))*5)+MOD(COLUMN(CA$2),3),1,1),"")</f>
        <v>0</v>
      </c>
      <c r="CB226">
        <f ca="1">IF($AN226="",OFFSET(Demand!$A$13,ROW(L223)-1,4+((QUOTIENT(COLUMN(CB$2)-69,3))*5)+MOD(COLUMN(CB$2),3),1,1),"")</f>
        <v>0</v>
      </c>
      <c r="CC226">
        <f ca="1">IF($AN226="",OFFSET(Demand!$A$13,ROW(M223)-1,4+((QUOTIENT(COLUMN(CC$2)-69,3))*5)+MOD(COLUMN(CC$2),3),1,1),"")</f>
        <v>0</v>
      </c>
      <c r="CD226">
        <f ca="1">IF($AN226="",OFFSET(Demand!$A$13,ROW(N223)-1,4+((QUOTIENT(COLUMN(CD$2)-69,3))*5)+MOD(COLUMN(CD$2),3),1,1),"")</f>
        <v>0</v>
      </c>
      <c r="CE226">
        <f ca="1">IF($AN226="",OFFSET(Demand!$A$13,ROW(O223)-1,4+((QUOTIENT(COLUMN(CE$2)-69,3))*5)+MOD(COLUMN(CE$2),3),1,1),"")</f>
        <v>0</v>
      </c>
      <c r="CF226">
        <f ca="1">IF($AN226="",OFFSET(Demand!$A$13,ROW(P223)-1,4+((QUOTIENT(COLUMN(CF$2)-69,3))*5)+MOD(COLUMN(CF$2),3),1,1),"")</f>
        <v>0</v>
      </c>
      <c r="CG226">
        <f ca="1">IF($AN226="",OFFSET(Demand!$A$13,ROW(Q223)-1,4+((QUOTIENT(COLUMN(CG$2)-69,3))*5)+MOD(COLUMN(CG$2),3),1,1),"")</f>
        <v>0</v>
      </c>
      <c r="CH226">
        <f ca="1">IF($AN226="",OFFSET(Demand!$A$13,ROW(R223)-1,4+((QUOTIENT(COLUMN(CH$2)-69,3))*5)+MOD(COLUMN(CH$2),3),1,1),"")</f>
        <v>0</v>
      </c>
      <c r="CI226">
        <f ca="1">IF($AN226="",OFFSET(Demand!$A$13,ROW(S223)-1,4+((QUOTIENT(COLUMN(CI$2)-69,3))*5)+MOD(COLUMN(CI$2),3),1,1),"")</f>
        <v>0</v>
      </c>
      <c r="CJ226">
        <f ca="1">IF($AN226="",OFFSET(Demand!$A$13,ROW(T223)-1,4+((QUOTIENT(COLUMN(CJ$2)-69,3))*5)+MOD(COLUMN(CJ$2),3),1,1),"")</f>
        <v>0</v>
      </c>
      <c r="CK226">
        <f ca="1">IF($AN226="",OFFSET(Demand!$A$13,ROW(U223)-1,4+((QUOTIENT(COLUMN(CK$2)-69,3))*5)+MOD(COLUMN(CK$2),3),1,1),"")</f>
        <v>0</v>
      </c>
      <c r="CL226">
        <f ca="1">IF($AN226="",OFFSET(Demand!$A$13,ROW(V223)-1,4+((QUOTIENT(COLUMN(CL$2)-69,3))*5)+MOD(COLUMN(CL$2),3),1,1),"")</f>
        <v>0</v>
      </c>
      <c r="CM226">
        <f ca="1">IF($AN226="",OFFSET(Demand!$A$13,ROW(W223)-1,4+((QUOTIENT(COLUMN(CM$2)-69,3))*5)+MOD(COLUMN(CM$2),3),1,1),"")</f>
        <v>0</v>
      </c>
      <c r="CN226">
        <f ca="1">IF($AN226="",OFFSET(Demand!$A$13,ROW(X223)-1,4+((QUOTIENT(COLUMN(CN$2)-69,3))*5)+MOD(COLUMN(CN$2),3),1,1),"")</f>
        <v>0</v>
      </c>
      <c r="CO226">
        <f ca="1">IF($AN226="",OFFSET(Demand!$A$13,ROW(Y223)-1,4+((QUOTIENT(COLUMN(CO$2)-69,3))*5)+MOD(COLUMN(CO$2),3),1,1),"")</f>
        <v>0</v>
      </c>
      <c r="CP226">
        <f ca="1">IF($AN226="",OFFSET(Demand!$A$13,ROW(Z223)-1,4+((QUOTIENT(COLUMN(CP$2)-69,3))*5)+MOD(COLUMN(CP$2),3),1,1),"")</f>
        <v>0</v>
      </c>
      <c r="CQ226">
        <f ca="1">IF($AN226="",OFFSET(Demand!$A$13,ROW(AA223)-1,4+((QUOTIENT(COLUMN(CQ$2)-69,3))*5)+MOD(COLUMN(CQ$2),3),1,1),"")</f>
        <v>0</v>
      </c>
      <c r="CR226">
        <f ca="1">IF($AN226="",OFFSET(Demand!$A$13,ROW(AB223)-1,4+((QUOTIENT(COLUMN(CR$2)-69,3))*5)+MOD(COLUMN(CR$2),3),1,1),"")</f>
        <v>0</v>
      </c>
      <c r="CS226">
        <f ca="1">IF($AN226="",OFFSET(Demand!$A$13,ROW(AC223)-1,4+((QUOTIENT(COLUMN(CS$2)-69,3))*5)+MOD(COLUMN(CS$2),3),1,1),"")</f>
        <v>0</v>
      </c>
      <c r="CT226">
        <f ca="1">IF($AN226="",OFFSET(Demand!$A$13,ROW(AD223)-1,4+((QUOTIENT(COLUMN(CT$2)-69,3))*5)+MOD(COLUMN(CT$2),3),1,1),"")</f>
        <v>0</v>
      </c>
      <c r="CW226" s="5">
        <f ca="1">SUM(OFFSET(Demand!$H$43,ROW(A223)-1,(COLUMN(A223)-1)*5,1,1))*N$2</f>
        <v>0</v>
      </c>
      <c r="CX226" s="5">
        <f ca="1">SUM(OFFSET(Demand!$H$43,ROW(B223)-1,(COLUMN(B223)-1)*5,1,1))*O$2</f>
        <v>0</v>
      </c>
      <c r="CY226" s="5">
        <f ca="1">SUM(OFFSET(Demand!$H$43,ROW(C223)-1,(COLUMN(C223)-1)*5,1,1))*P$2</f>
        <v>0</v>
      </c>
      <c r="CZ226" s="5">
        <f ca="1">SUM(OFFSET(Demand!$H$43,ROW(D223)-1,(COLUMN(D223)-1)*5,1,1))*Q$2</f>
        <v>0</v>
      </c>
      <c r="DA226" s="5">
        <f ca="1">SUM(OFFSET(Demand!$H$43,ROW(E223)-1,(COLUMN(E223)-1)*5,1,1))*R$2</f>
        <v>0</v>
      </c>
      <c r="DB226" s="5">
        <f ca="1">SUM(OFFSET(Demand!$H$43,ROW(F223)-1,(COLUMN(F223)-1)*5,1,1))*S$2</f>
        <v>0</v>
      </c>
      <c r="DC226" s="5">
        <f ca="1">SUM(OFFSET(Demand!$H$43,ROW(G223)-1,(COLUMN(G223)-1)*5,1,1))*T$2</f>
        <v>0</v>
      </c>
      <c r="DD226" s="5">
        <f ca="1">SUM(OFFSET(Demand!$H$43,ROW(H223)-1,(COLUMN(H223)-1)*5,1,1))*U$2</f>
        <v>0</v>
      </c>
      <c r="DE226" s="5">
        <f ca="1">SUM(OFFSET(Demand!$H$43,ROW(I223)-1,(COLUMN(I223)-1)*5,1,1))*V$2</f>
        <v>0</v>
      </c>
      <c r="DF226" s="5">
        <f ca="1">SUM(OFFSET(Demand!$H$43,ROW(J223)-1,(COLUMN(J223)-1)*5,1,1))*W$2</f>
        <v>0</v>
      </c>
      <c r="DG226" s="5">
        <f t="shared" ca="1" si="52"/>
        <v>0</v>
      </c>
    </row>
    <row r="227" spans="1:111" x14ac:dyDescent="0.2">
      <c r="A227" s="5">
        <f t="shared" ca="1" si="46"/>
        <v>2</v>
      </c>
      <c r="B227" s="5">
        <f ca="1">COUNTBLANK(OFFSET(Demand!$I236,0,(COLUMN(A224)-1)*5,1,1))</f>
        <v>1</v>
      </c>
      <c r="C227" s="5">
        <f ca="1">COUNTBLANK(OFFSET(Demand!$I236,0,(COLUMN(B224)-1)*5,1,1))</f>
        <v>1</v>
      </c>
      <c r="D227" s="5">
        <f ca="1">COUNTBLANK(OFFSET(Demand!$I236,0,(COLUMN(C224)-1)*5,1,1))</f>
        <v>1</v>
      </c>
      <c r="E227" s="5">
        <f ca="1">COUNTBLANK(OFFSET(Demand!$I236,0,(COLUMN(D224)-1)*5,1,1))</f>
        <v>1</v>
      </c>
      <c r="F227" s="5">
        <f ca="1">COUNTBLANK(OFFSET(Demand!$I236,0,(COLUMN(E224)-1)*5,1,1))</f>
        <v>1</v>
      </c>
      <c r="G227" s="5">
        <f ca="1">COUNTBLANK(OFFSET(Demand!$I236,0,(COLUMN(F224)-1)*5,1,1))</f>
        <v>1</v>
      </c>
      <c r="H227" s="5">
        <f ca="1">COUNTBLANK(OFFSET(Demand!$I236,0,(COLUMN(G224)-1)*5,1,1))</f>
        <v>1</v>
      </c>
      <c r="I227" s="5">
        <f ca="1">COUNTBLANK(OFFSET(Demand!$I236,0,(COLUMN(H224)-1)*5,1,1))</f>
        <v>1</v>
      </c>
      <c r="J227" s="5">
        <f ca="1">COUNTBLANK(OFFSET(Demand!$I236,0,(COLUMN(I224)-1)*5,1,1))</f>
        <v>1</v>
      </c>
      <c r="K227" s="5">
        <f ca="1">COUNTBLANK(OFFSET(Demand!$I236,0,(COLUMN(J224)-1)*5,1,1))</f>
        <v>1</v>
      </c>
      <c r="N227" s="5">
        <f ca="1">SUM(OFFSET(Demand!$E236,0,(COLUMN(A224)-1)*5,1,3))*N$2</f>
        <v>0</v>
      </c>
      <c r="O227" s="5">
        <f ca="1">SUM(OFFSET(Demand!$E236,0,(COLUMN(B224)-1)*5,1,3))*O$2</f>
        <v>0</v>
      </c>
      <c r="P227" s="5">
        <f ca="1">SUM(OFFSET(Demand!$E236,0,(COLUMN(C224)-1)*5,1,3))*P$2</f>
        <v>0</v>
      </c>
      <c r="Q227" s="5">
        <f ca="1">SUM(OFFSET(Demand!$E236,0,(COLUMN(D224)-1)*5,1,3))*Q$2</f>
        <v>0</v>
      </c>
      <c r="R227" s="5">
        <f ca="1">SUM(OFFSET(Demand!$E236,0,(COLUMN(E224)-1)*5,1,3))*R$2</f>
        <v>0</v>
      </c>
      <c r="S227" s="5">
        <f ca="1">SUM(OFFSET(Demand!$E236,0,(COLUMN(F224)-1)*5,1,3))*S$2</f>
        <v>0</v>
      </c>
      <c r="T227" s="5">
        <f ca="1">SUM(OFFSET(Demand!$E236,0,(COLUMN(G224)-1)*5,1,3))*T$2</f>
        <v>0</v>
      </c>
      <c r="U227" s="5">
        <f ca="1">SUM(OFFSET(Demand!$E236,0,(COLUMN(H224)-1)*5,1,3))*U$2</f>
        <v>0</v>
      </c>
      <c r="V227" s="5">
        <f ca="1">SUM(OFFSET(Demand!$E236,0,(COLUMN(I224)-1)*5,1,3))*V$2</f>
        <v>0</v>
      </c>
      <c r="W227" s="5">
        <f ca="1">SUM(OFFSET(Demand!$E236,0,(COLUMN(J224)-1)*5,1,3))*W$2</f>
        <v>0</v>
      </c>
      <c r="X227" s="5">
        <f t="shared" ca="1" si="47"/>
        <v>0</v>
      </c>
      <c r="Y227">
        <f t="shared" ca="1" si="48"/>
        <v>0</v>
      </c>
      <c r="Z227" s="5">
        <f ca="1">SUM(OFFSET(Demand!$H236,0,(COLUMN(A224)-1)*5,1,1))*N$2</f>
        <v>0</v>
      </c>
      <c r="AA227" s="5">
        <f ca="1">SUM(OFFSET(Demand!$H236,0,(COLUMN(B224)-1)*5,1,1))*O$2</f>
        <v>0</v>
      </c>
      <c r="AB227" s="5">
        <f ca="1">SUM(OFFSET(Demand!$H236,0,(COLUMN(C224)-1)*5,1,1))*P$2</f>
        <v>0</v>
      </c>
      <c r="AC227" s="5">
        <f ca="1">SUM(OFFSET(Demand!$H236,0,(COLUMN(D224)-1)*5,1,1))*Q$2</f>
        <v>0</v>
      </c>
      <c r="AD227" s="5">
        <f ca="1">SUM(OFFSET(Demand!$H236,0,(COLUMN(E224)-1)*5,1,1))*R$2</f>
        <v>0</v>
      </c>
      <c r="AE227" s="5">
        <f ca="1">SUM(OFFSET(Demand!$H236,0,(COLUMN(F224)-1)*5,1,1))*S$2</f>
        <v>0</v>
      </c>
      <c r="AF227" s="5">
        <f ca="1">SUM(OFFSET(Demand!$H236,0,(COLUMN(G224)-1)*5,1,1))*T$2</f>
        <v>0</v>
      </c>
      <c r="AG227" s="5">
        <f ca="1">SUM(OFFSET(Demand!$H236,0,(COLUMN(H224)-1)*5,1,1))*U$2</f>
        <v>0</v>
      </c>
      <c r="AH227" s="5">
        <f ca="1">SUM(OFFSET(Demand!$H236,0,(COLUMN(I224)-1)*5,1,1))*V$2</f>
        <v>0</v>
      </c>
      <c r="AI227" s="5">
        <f ca="1">SUM(OFFSET(Demand!$H236,0,(COLUMN(J224)-1)*5,1,1))*W$2</f>
        <v>0</v>
      </c>
      <c r="AJ227" s="5">
        <f t="shared" ca="1" si="49"/>
        <v>0</v>
      </c>
      <c r="AL227" s="5">
        <f t="shared" ca="1" si="50"/>
        <v>0</v>
      </c>
      <c r="AM227" s="5">
        <f t="shared" ca="1" si="51"/>
        <v>0</v>
      </c>
      <c r="AN227" s="5" t="str">
        <f>IF(Demand!BE236="Yes","Yes","")</f>
        <v/>
      </c>
      <c r="AP227" s="37" t="str">
        <f ca="1">Demand!B236</f>
        <v xml:space="preserve"> </v>
      </c>
      <c r="AQ227" t="str">
        <f ca="1">IF(TEXT(Demand!D236,"MMM")&lt;&gt;TEXT(Demand!D235,"MMM"),TEXT(Demand!D236,"MMM"),"")</f>
        <v/>
      </c>
      <c r="AT227" s="5">
        <f t="shared" ca="1" si="53"/>
        <v>0</v>
      </c>
      <c r="BQ227">
        <f ca="1">IF($AN227="",OFFSET(Demand!$A$13,ROW(A224)-1,4+((QUOTIENT(COLUMN(BQ$2)-69,3))*5)+MOD(COLUMN(BQ$2),3),1,1),"")</f>
        <v>0</v>
      </c>
      <c r="BR227">
        <f ca="1">IF($AN227="",OFFSET(Demand!$A$13,ROW(B224)-1,4+((QUOTIENT(COLUMN(BR$2)-69,3))*5)+MOD(COLUMN(BR$2),3),1,1),"")</f>
        <v>0</v>
      </c>
      <c r="BS227">
        <f ca="1">IF($AN227="",OFFSET(Demand!$A$13,ROW(C224)-1,4+((QUOTIENT(COLUMN(BS$2)-69,3))*5)+MOD(COLUMN(BS$2),3),1,1),"")</f>
        <v>0</v>
      </c>
      <c r="BT227">
        <f ca="1">IF($AN227="",OFFSET(Demand!$A$13,ROW(D224)-1,4+((QUOTIENT(COLUMN(BT$2)-69,3))*5)+MOD(COLUMN(BT$2),3),1,1),"")</f>
        <v>0</v>
      </c>
      <c r="BU227">
        <f ca="1">IF($AN227="",OFFSET(Demand!$A$13,ROW(E224)-1,4+((QUOTIENT(COLUMN(BU$2)-69,3))*5)+MOD(COLUMN(BU$2),3),1,1),"")</f>
        <v>0</v>
      </c>
      <c r="BV227">
        <f ca="1">IF($AN227="",OFFSET(Demand!$A$13,ROW(F224)-1,4+((QUOTIENT(COLUMN(BV$2)-69,3))*5)+MOD(COLUMN(BV$2),3),1,1),"")</f>
        <v>0</v>
      </c>
      <c r="BW227">
        <f ca="1">IF($AN227="",OFFSET(Demand!$A$13,ROW(G224)-1,4+((QUOTIENT(COLUMN(BW$2)-69,3))*5)+MOD(COLUMN(BW$2),3),1,1),"")</f>
        <v>0</v>
      </c>
      <c r="BX227">
        <f ca="1">IF($AN227="",OFFSET(Demand!$A$13,ROW(H224)-1,4+((QUOTIENT(COLUMN(BX$2)-69,3))*5)+MOD(COLUMN(BX$2),3),1,1),"")</f>
        <v>0</v>
      </c>
      <c r="BY227">
        <f ca="1">IF($AN227="",OFFSET(Demand!$A$13,ROW(I224)-1,4+((QUOTIENT(COLUMN(BY$2)-69,3))*5)+MOD(COLUMN(BY$2),3),1,1),"")</f>
        <v>0</v>
      </c>
      <c r="BZ227">
        <f ca="1">IF($AN227="",OFFSET(Demand!$A$13,ROW(J224)-1,4+((QUOTIENT(COLUMN(BZ$2)-69,3))*5)+MOD(COLUMN(BZ$2),3),1,1),"")</f>
        <v>0</v>
      </c>
      <c r="CA227">
        <f ca="1">IF($AN227="",OFFSET(Demand!$A$13,ROW(K224)-1,4+((QUOTIENT(COLUMN(CA$2)-69,3))*5)+MOD(COLUMN(CA$2),3),1,1),"")</f>
        <v>0</v>
      </c>
      <c r="CB227">
        <f ca="1">IF($AN227="",OFFSET(Demand!$A$13,ROW(L224)-1,4+((QUOTIENT(COLUMN(CB$2)-69,3))*5)+MOD(COLUMN(CB$2),3),1,1),"")</f>
        <v>0</v>
      </c>
      <c r="CC227">
        <f ca="1">IF($AN227="",OFFSET(Demand!$A$13,ROW(M224)-1,4+((QUOTIENT(COLUMN(CC$2)-69,3))*5)+MOD(COLUMN(CC$2),3),1,1),"")</f>
        <v>0</v>
      </c>
      <c r="CD227">
        <f ca="1">IF($AN227="",OFFSET(Demand!$A$13,ROW(N224)-1,4+((QUOTIENT(COLUMN(CD$2)-69,3))*5)+MOD(COLUMN(CD$2),3),1,1),"")</f>
        <v>0</v>
      </c>
      <c r="CE227">
        <f ca="1">IF($AN227="",OFFSET(Demand!$A$13,ROW(O224)-1,4+((QUOTIENT(COLUMN(CE$2)-69,3))*5)+MOD(COLUMN(CE$2),3),1,1),"")</f>
        <v>0</v>
      </c>
      <c r="CF227">
        <f ca="1">IF($AN227="",OFFSET(Demand!$A$13,ROW(P224)-1,4+((QUOTIENT(COLUMN(CF$2)-69,3))*5)+MOD(COLUMN(CF$2),3),1,1),"")</f>
        <v>0</v>
      </c>
      <c r="CG227">
        <f ca="1">IF($AN227="",OFFSET(Demand!$A$13,ROW(Q224)-1,4+((QUOTIENT(COLUMN(CG$2)-69,3))*5)+MOD(COLUMN(CG$2),3),1,1),"")</f>
        <v>0</v>
      </c>
      <c r="CH227">
        <f ca="1">IF($AN227="",OFFSET(Demand!$A$13,ROW(R224)-1,4+((QUOTIENT(COLUMN(CH$2)-69,3))*5)+MOD(COLUMN(CH$2),3),1,1),"")</f>
        <v>0</v>
      </c>
      <c r="CI227">
        <f ca="1">IF($AN227="",OFFSET(Demand!$A$13,ROW(S224)-1,4+((QUOTIENT(COLUMN(CI$2)-69,3))*5)+MOD(COLUMN(CI$2),3),1,1),"")</f>
        <v>0</v>
      </c>
      <c r="CJ227">
        <f ca="1">IF($AN227="",OFFSET(Demand!$A$13,ROW(T224)-1,4+((QUOTIENT(COLUMN(CJ$2)-69,3))*5)+MOD(COLUMN(CJ$2),3),1,1),"")</f>
        <v>0</v>
      </c>
      <c r="CK227">
        <f ca="1">IF($AN227="",OFFSET(Demand!$A$13,ROW(U224)-1,4+((QUOTIENT(COLUMN(CK$2)-69,3))*5)+MOD(COLUMN(CK$2),3),1,1),"")</f>
        <v>0</v>
      </c>
      <c r="CL227">
        <f ca="1">IF($AN227="",OFFSET(Demand!$A$13,ROW(V224)-1,4+((QUOTIENT(COLUMN(CL$2)-69,3))*5)+MOD(COLUMN(CL$2),3),1,1),"")</f>
        <v>0</v>
      </c>
      <c r="CM227">
        <f ca="1">IF($AN227="",OFFSET(Demand!$A$13,ROW(W224)-1,4+((QUOTIENT(COLUMN(CM$2)-69,3))*5)+MOD(COLUMN(CM$2),3),1,1),"")</f>
        <v>0</v>
      </c>
      <c r="CN227">
        <f ca="1">IF($AN227="",OFFSET(Demand!$A$13,ROW(X224)-1,4+((QUOTIENT(COLUMN(CN$2)-69,3))*5)+MOD(COLUMN(CN$2),3),1,1),"")</f>
        <v>0</v>
      </c>
      <c r="CO227">
        <f ca="1">IF($AN227="",OFFSET(Demand!$A$13,ROW(Y224)-1,4+((QUOTIENT(COLUMN(CO$2)-69,3))*5)+MOD(COLUMN(CO$2),3),1,1),"")</f>
        <v>0</v>
      </c>
      <c r="CP227">
        <f ca="1">IF($AN227="",OFFSET(Demand!$A$13,ROW(Z224)-1,4+((QUOTIENT(COLUMN(CP$2)-69,3))*5)+MOD(COLUMN(CP$2),3),1,1),"")</f>
        <v>0</v>
      </c>
      <c r="CQ227">
        <f ca="1">IF($AN227="",OFFSET(Demand!$A$13,ROW(AA224)-1,4+((QUOTIENT(COLUMN(CQ$2)-69,3))*5)+MOD(COLUMN(CQ$2),3),1,1),"")</f>
        <v>0</v>
      </c>
      <c r="CR227">
        <f ca="1">IF($AN227="",OFFSET(Demand!$A$13,ROW(AB224)-1,4+((QUOTIENT(COLUMN(CR$2)-69,3))*5)+MOD(COLUMN(CR$2),3),1,1),"")</f>
        <v>0</v>
      </c>
      <c r="CS227">
        <f ca="1">IF($AN227="",OFFSET(Demand!$A$13,ROW(AC224)-1,4+((QUOTIENT(COLUMN(CS$2)-69,3))*5)+MOD(COLUMN(CS$2),3),1,1),"")</f>
        <v>0</v>
      </c>
      <c r="CT227">
        <f ca="1">IF($AN227="",OFFSET(Demand!$A$13,ROW(AD224)-1,4+((QUOTIENT(COLUMN(CT$2)-69,3))*5)+MOD(COLUMN(CT$2),3),1,1),"")</f>
        <v>0</v>
      </c>
      <c r="CW227" s="5">
        <f ca="1">SUM(OFFSET(Demand!$H$43,ROW(A224)-1,(COLUMN(A224)-1)*5,1,1))*N$2</f>
        <v>0</v>
      </c>
      <c r="CX227" s="5">
        <f ca="1">SUM(OFFSET(Demand!$H$43,ROW(B224)-1,(COLUMN(B224)-1)*5,1,1))*O$2</f>
        <v>0</v>
      </c>
      <c r="CY227" s="5">
        <f ca="1">SUM(OFFSET(Demand!$H$43,ROW(C224)-1,(COLUMN(C224)-1)*5,1,1))*P$2</f>
        <v>0</v>
      </c>
      <c r="CZ227" s="5">
        <f ca="1">SUM(OFFSET(Demand!$H$43,ROW(D224)-1,(COLUMN(D224)-1)*5,1,1))*Q$2</f>
        <v>0</v>
      </c>
      <c r="DA227" s="5">
        <f ca="1">SUM(OFFSET(Demand!$H$43,ROW(E224)-1,(COLUMN(E224)-1)*5,1,1))*R$2</f>
        <v>0</v>
      </c>
      <c r="DB227" s="5">
        <f ca="1">SUM(OFFSET(Demand!$H$43,ROW(F224)-1,(COLUMN(F224)-1)*5,1,1))*S$2</f>
        <v>0</v>
      </c>
      <c r="DC227" s="5">
        <f ca="1">SUM(OFFSET(Demand!$H$43,ROW(G224)-1,(COLUMN(G224)-1)*5,1,1))*T$2</f>
        <v>0</v>
      </c>
      <c r="DD227" s="5">
        <f ca="1">SUM(OFFSET(Demand!$H$43,ROW(H224)-1,(COLUMN(H224)-1)*5,1,1))*U$2</f>
        <v>0</v>
      </c>
      <c r="DE227" s="5">
        <f ca="1">SUM(OFFSET(Demand!$H$43,ROW(I224)-1,(COLUMN(I224)-1)*5,1,1))*V$2</f>
        <v>0</v>
      </c>
      <c r="DF227" s="5">
        <f ca="1">SUM(OFFSET(Demand!$H$43,ROW(J224)-1,(COLUMN(J224)-1)*5,1,1))*W$2</f>
        <v>0</v>
      </c>
      <c r="DG227" s="5">
        <f t="shared" ca="1" si="52"/>
        <v>0</v>
      </c>
    </row>
    <row r="228" spans="1:111" x14ac:dyDescent="0.2">
      <c r="A228" s="5">
        <f t="shared" ca="1" si="46"/>
        <v>2</v>
      </c>
      <c r="B228" s="5">
        <f ca="1">COUNTBLANK(OFFSET(Demand!$I237,0,(COLUMN(A225)-1)*5,1,1))</f>
        <v>1</v>
      </c>
      <c r="C228" s="5">
        <f ca="1">COUNTBLANK(OFFSET(Demand!$I237,0,(COLUMN(B225)-1)*5,1,1))</f>
        <v>1</v>
      </c>
      <c r="D228" s="5">
        <f ca="1">COUNTBLANK(OFFSET(Demand!$I237,0,(COLUMN(C225)-1)*5,1,1))</f>
        <v>1</v>
      </c>
      <c r="E228" s="5">
        <f ca="1">COUNTBLANK(OFFSET(Demand!$I237,0,(COLUMN(D225)-1)*5,1,1))</f>
        <v>1</v>
      </c>
      <c r="F228" s="5">
        <f ca="1">COUNTBLANK(OFFSET(Demand!$I237,0,(COLUMN(E225)-1)*5,1,1))</f>
        <v>1</v>
      </c>
      <c r="G228" s="5">
        <f ca="1">COUNTBLANK(OFFSET(Demand!$I237,0,(COLUMN(F225)-1)*5,1,1))</f>
        <v>1</v>
      </c>
      <c r="H228" s="5">
        <f ca="1">COUNTBLANK(OFFSET(Demand!$I237,0,(COLUMN(G225)-1)*5,1,1))</f>
        <v>1</v>
      </c>
      <c r="I228" s="5">
        <f ca="1">COUNTBLANK(OFFSET(Demand!$I237,0,(COLUMN(H225)-1)*5,1,1))</f>
        <v>1</v>
      </c>
      <c r="J228" s="5">
        <f ca="1">COUNTBLANK(OFFSET(Demand!$I237,0,(COLUMN(I225)-1)*5,1,1))</f>
        <v>1</v>
      </c>
      <c r="K228" s="5">
        <f ca="1">COUNTBLANK(OFFSET(Demand!$I237,0,(COLUMN(J225)-1)*5,1,1))</f>
        <v>1</v>
      </c>
      <c r="N228" s="5">
        <f ca="1">SUM(OFFSET(Demand!$E237,0,(COLUMN(A225)-1)*5,1,3))*N$2</f>
        <v>0</v>
      </c>
      <c r="O228" s="5">
        <f ca="1">SUM(OFFSET(Demand!$E237,0,(COLUMN(B225)-1)*5,1,3))*O$2</f>
        <v>0</v>
      </c>
      <c r="P228" s="5">
        <f ca="1">SUM(OFFSET(Demand!$E237,0,(COLUMN(C225)-1)*5,1,3))*P$2</f>
        <v>0</v>
      </c>
      <c r="Q228" s="5">
        <f ca="1">SUM(OFFSET(Demand!$E237,0,(COLUMN(D225)-1)*5,1,3))*Q$2</f>
        <v>0</v>
      </c>
      <c r="R228" s="5">
        <f ca="1">SUM(OFFSET(Demand!$E237,0,(COLUMN(E225)-1)*5,1,3))*R$2</f>
        <v>0</v>
      </c>
      <c r="S228" s="5">
        <f ca="1">SUM(OFFSET(Demand!$E237,0,(COLUMN(F225)-1)*5,1,3))*S$2</f>
        <v>0</v>
      </c>
      <c r="T228" s="5">
        <f ca="1">SUM(OFFSET(Demand!$E237,0,(COLUMN(G225)-1)*5,1,3))*T$2</f>
        <v>0</v>
      </c>
      <c r="U228" s="5">
        <f ca="1">SUM(OFFSET(Demand!$E237,0,(COLUMN(H225)-1)*5,1,3))*U$2</f>
        <v>0</v>
      </c>
      <c r="V228" s="5">
        <f ca="1">SUM(OFFSET(Demand!$E237,0,(COLUMN(I225)-1)*5,1,3))*V$2</f>
        <v>0</v>
      </c>
      <c r="W228" s="5">
        <f ca="1">SUM(OFFSET(Demand!$E237,0,(COLUMN(J225)-1)*5,1,3))*W$2</f>
        <v>0</v>
      </c>
      <c r="X228" s="5">
        <f t="shared" ca="1" si="47"/>
        <v>0</v>
      </c>
      <c r="Y228">
        <f t="shared" ca="1" si="48"/>
        <v>0</v>
      </c>
      <c r="Z228" s="5">
        <f ca="1">SUM(OFFSET(Demand!$H237,0,(COLUMN(A225)-1)*5,1,1))*N$2</f>
        <v>0</v>
      </c>
      <c r="AA228" s="5">
        <f ca="1">SUM(OFFSET(Demand!$H237,0,(COLUMN(B225)-1)*5,1,1))*O$2</f>
        <v>0</v>
      </c>
      <c r="AB228" s="5">
        <f ca="1">SUM(OFFSET(Demand!$H237,0,(COLUMN(C225)-1)*5,1,1))*P$2</f>
        <v>0</v>
      </c>
      <c r="AC228" s="5">
        <f ca="1">SUM(OFFSET(Demand!$H237,0,(COLUMN(D225)-1)*5,1,1))*Q$2</f>
        <v>0</v>
      </c>
      <c r="AD228" s="5">
        <f ca="1">SUM(OFFSET(Demand!$H237,0,(COLUMN(E225)-1)*5,1,1))*R$2</f>
        <v>0</v>
      </c>
      <c r="AE228" s="5">
        <f ca="1">SUM(OFFSET(Demand!$H237,0,(COLUMN(F225)-1)*5,1,1))*S$2</f>
        <v>0</v>
      </c>
      <c r="AF228" s="5">
        <f ca="1">SUM(OFFSET(Demand!$H237,0,(COLUMN(G225)-1)*5,1,1))*T$2</f>
        <v>0</v>
      </c>
      <c r="AG228" s="5">
        <f ca="1">SUM(OFFSET(Demand!$H237,0,(COLUMN(H225)-1)*5,1,1))*U$2</f>
        <v>0</v>
      </c>
      <c r="AH228" s="5">
        <f ca="1">SUM(OFFSET(Demand!$H237,0,(COLUMN(I225)-1)*5,1,1))*V$2</f>
        <v>0</v>
      </c>
      <c r="AI228" s="5">
        <f ca="1">SUM(OFFSET(Demand!$H237,0,(COLUMN(J225)-1)*5,1,1))*W$2</f>
        <v>0</v>
      </c>
      <c r="AJ228" s="5">
        <f t="shared" ca="1" si="49"/>
        <v>0</v>
      </c>
      <c r="AL228" s="5">
        <f t="shared" ca="1" si="50"/>
        <v>0</v>
      </c>
      <c r="AM228" s="5">
        <f t="shared" ca="1" si="51"/>
        <v>0</v>
      </c>
      <c r="AN228" s="5" t="str">
        <f>IF(Demand!BE237="Yes","Yes","")</f>
        <v/>
      </c>
      <c r="AP228" s="37" t="str">
        <f ca="1">Demand!B237</f>
        <v xml:space="preserve"> </v>
      </c>
      <c r="AQ228" t="str">
        <f ca="1">IF(TEXT(Demand!D237,"MMM")&lt;&gt;TEXT(Demand!D236,"MMM"),TEXT(Demand!D237,"MMM"),"")</f>
        <v/>
      </c>
      <c r="AT228" s="5">
        <f t="shared" ca="1" si="53"/>
        <v>0</v>
      </c>
      <c r="BQ228">
        <f ca="1">IF($AN228="",OFFSET(Demand!$A$13,ROW(A225)-1,4+((QUOTIENT(COLUMN(BQ$2)-69,3))*5)+MOD(COLUMN(BQ$2),3),1,1),"")</f>
        <v>0</v>
      </c>
      <c r="BR228">
        <f ca="1">IF($AN228="",OFFSET(Demand!$A$13,ROW(B225)-1,4+((QUOTIENT(COLUMN(BR$2)-69,3))*5)+MOD(COLUMN(BR$2),3),1,1),"")</f>
        <v>0</v>
      </c>
      <c r="BS228">
        <f ca="1">IF($AN228="",OFFSET(Demand!$A$13,ROW(C225)-1,4+((QUOTIENT(COLUMN(BS$2)-69,3))*5)+MOD(COLUMN(BS$2),3),1,1),"")</f>
        <v>0</v>
      </c>
      <c r="BT228">
        <f ca="1">IF($AN228="",OFFSET(Demand!$A$13,ROW(D225)-1,4+((QUOTIENT(COLUMN(BT$2)-69,3))*5)+MOD(COLUMN(BT$2),3),1,1),"")</f>
        <v>0</v>
      </c>
      <c r="BU228">
        <f ca="1">IF($AN228="",OFFSET(Demand!$A$13,ROW(E225)-1,4+((QUOTIENT(COLUMN(BU$2)-69,3))*5)+MOD(COLUMN(BU$2),3),1,1),"")</f>
        <v>0</v>
      </c>
      <c r="BV228">
        <f ca="1">IF($AN228="",OFFSET(Demand!$A$13,ROW(F225)-1,4+((QUOTIENT(COLUMN(BV$2)-69,3))*5)+MOD(COLUMN(BV$2),3),1,1),"")</f>
        <v>0</v>
      </c>
      <c r="BW228">
        <f ca="1">IF($AN228="",OFFSET(Demand!$A$13,ROW(G225)-1,4+((QUOTIENT(COLUMN(BW$2)-69,3))*5)+MOD(COLUMN(BW$2),3),1,1),"")</f>
        <v>0</v>
      </c>
      <c r="BX228">
        <f ca="1">IF($AN228="",OFFSET(Demand!$A$13,ROW(H225)-1,4+((QUOTIENT(COLUMN(BX$2)-69,3))*5)+MOD(COLUMN(BX$2),3),1,1),"")</f>
        <v>0</v>
      </c>
      <c r="BY228">
        <f ca="1">IF($AN228="",OFFSET(Demand!$A$13,ROW(I225)-1,4+((QUOTIENT(COLUMN(BY$2)-69,3))*5)+MOD(COLUMN(BY$2),3),1,1),"")</f>
        <v>0</v>
      </c>
      <c r="BZ228">
        <f ca="1">IF($AN228="",OFFSET(Demand!$A$13,ROW(J225)-1,4+((QUOTIENT(COLUMN(BZ$2)-69,3))*5)+MOD(COLUMN(BZ$2),3),1,1),"")</f>
        <v>0</v>
      </c>
      <c r="CA228">
        <f ca="1">IF($AN228="",OFFSET(Demand!$A$13,ROW(K225)-1,4+((QUOTIENT(COLUMN(CA$2)-69,3))*5)+MOD(COLUMN(CA$2),3),1,1),"")</f>
        <v>0</v>
      </c>
      <c r="CB228">
        <f ca="1">IF($AN228="",OFFSET(Demand!$A$13,ROW(L225)-1,4+((QUOTIENT(COLUMN(CB$2)-69,3))*5)+MOD(COLUMN(CB$2),3),1,1),"")</f>
        <v>0</v>
      </c>
      <c r="CC228">
        <f ca="1">IF($AN228="",OFFSET(Demand!$A$13,ROW(M225)-1,4+((QUOTIENT(COLUMN(CC$2)-69,3))*5)+MOD(COLUMN(CC$2),3),1,1),"")</f>
        <v>0</v>
      </c>
      <c r="CD228">
        <f ca="1">IF($AN228="",OFFSET(Demand!$A$13,ROW(N225)-1,4+((QUOTIENT(COLUMN(CD$2)-69,3))*5)+MOD(COLUMN(CD$2),3),1,1),"")</f>
        <v>0</v>
      </c>
      <c r="CE228">
        <f ca="1">IF($AN228="",OFFSET(Demand!$A$13,ROW(O225)-1,4+((QUOTIENT(COLUMN(CE$2)-69,3))*5)+MOD(COLUMN(CE$2),3),1,1),"")</f>
        <v>0</v>
      </c>
      <c r="CF228">
        <f ca="1">IF($AN228="",OFFSET(Demand!$A$13,ROW(P225)-1,4+((QUOTIENT(COLUMN(CF$2)-69,3))*5)+MOD(COLUMN(CF$2),3),1,1),"")</f>
        <v>0</v>
      </c>
      <c r="CG228">
        <f ca="1">IF($AN228="",OFFSET(Demand!$A$13,ROW(Q225)-1,4+((QUOTIENT(COLUMN(CG$2)-69,3))*5)+MOD(COLUMN(CG$2),3),1,1),"")</f>
        <v>0</v>
      </c>
      <c r="CH228">
        <f ca="1">IF($AN228="",OFFSET(Demand!$A$13,ROW(R225)-1,4+((QUOTIENT(COLUMN(CH$2)-69,3))*5)+MOD(COLUMN(CH$2),3),1,1),"")</f>
        <v>0</v>
      </c>
      <c r="CI228">
        <f ca="1">IF($AN228="",OFFSET(Demand!$A$13,ROW(S225)-1,4+((QUOTIENT(COLUMN(CI$2)-69,3))*5)+MOD(COLUMN(CI$2),3),1,1),"")</f>
        <v>0</v>
      </c>
      <c r="CJ228">
        <f ca="1">IF($AN228="",OFFSET(Demand!$A$13,ROW(T225)-1,4+((QUOTIENT(COLUMN(CJ$2)-69,3))*5)+MOD(COLUMN(CJ$2),3),1,1),"")</f>
        <v>0</v>
      </c>
      <c r="CK228">
        <f ca="1">IF($AN228="",OFFSET(Demand!$A$13,ROW(U225)-1,4+((QUOTIENT(COLUMN(CK$2)-69,3))*5)+MOD(COLUMN(CK$2),3),1,1),"")</f>
        <v>0</v>
      </c>
      <c r="CL228">
        <f ca="1">IF($AN228="",OFFSET(Demand!$A$13,ROW(V225)-1,4+((QUOTIENT(COLUMN(CL$2)-69,3))*5)+MOD(COLUMN(CL$2),3),1,1),"")</f>
        <v>0</v>
      </c>
      <c r="CM228">
        <f ca="1">IF($AN228="",OFFSET(Demand!$A$13,ROW(W225)-1,4+((QUOTIENT(COLUMN(CM$2)-69,3))*5)+MOD(COLUMN(CM$2),3),1,1),"")</f>
        <v>0</v>
      </c>
      <c r="CN228">
        <f ca="1">IF($AN228="",OFFSET(Demand!$A$13,ROW(X225)-1,4+((QUOTIENT(COLUMN(CN$2)-69,3))*5)+MOD(COLUMN(CN$2),3),1,1),"")</f>
        <v>0</v>
      </c>
      <c r="CO228">
        <f ca="1">IF($AN228="",OFFSET(Demand!$A$13,ROW(Y225)-1,4+((QUOTIENT(COLUMN(CO$2)-69,3))*5)+MOD(COLUMN(CO$2),3),1,1),"")</f>
        <v>0</v>
      </c>
      <c r="CP228">
        <f ca="1">IF($AN228="",OFFSET(Demand!$A$13,ROW(Z225)-1,4+((QUOTIENT(COLUMN(CP$2)-69,3))*5)+MOD(COLUMN(CP$2),3),1,1),"")</f>
        <v>0</v>
      </c>
      <c r="CQ228">
        <f ca="1">IF($AN228="",OFFSET(Demand!$A$13,ROW(AA225)-1,4+((QUOTIENT(COLUMN(CQ$2)-69,3))*5)+MOD(COLUMN(CQ$2),3),1,1),"")</f>
        <v>0</v>
      </c>
      <c r="CR228">
        <f ca="1">IF($AN228="",OFFSET(Demand!$A$13,ROW(AB225)-1,4+((QUOTIENT(COLUMN(CR$2)-69,3))*5)+MOD(COLUMN(CR$2),3),1,1),"")</f>
        <v>0</v>
      </c>
      <c r="CS228">
        <f ca="1">IF($AN228="",OFFSET(Demand!$A$13,ROW(AC225)-1,4+((QUOTIENT(COLUMN(CS$2)-69,3))*5)+MOD(COLUMN(CS$2),3),1,1),"")</f>
        <v>0</v>
      </c>
      <c r="CT228">
        <f ca="1">IF($AN228="",OFFSET(Demand!$A$13,ROW(AD225)-1,4+((QUOTIENT(COLUMN(CT$2)-69,3))*5)+MOD(COLUMN(CT$2),3),1,1),"")</f>
        <v>0</v>
      </c>
      <c r="CW228" s="5">
        <f ca="1">SUM(OFFSET(Demand!$H$43,ROW(A225)-1,(COLUMN(A225)-1)*5,1,1))*N$2</f>
        <v>0</v>
      </c>
      <c r="CX228" s="5">
        <f ca="1">SUM(OFFSET(Demand!$H$43,ROW(B225)-1,(COLUMN(B225)-1)*5,1,1))*O$2</f>
        <v>0</v>
      </c>
      <c r="CY228" s="5">
        <f ca="1">SUM(OFFSET(Demand!$H$43,ROW(C225)-1,(COLUMN(C225)-1)*5,1,1))*P$2</f>
        <v>0</v>
      </c>
      <c r="CZ228" s="5">
        <f ca="1">SUM(OFFSET(Demand!$H$43,ROW(D225)-1,(COLUMN(D225)-1)*5,1,1))*Q$2</f>
        <v>0</v>
      </c>
      <c r="DA228" s="5">
        <f ca="1">SUM(OFFSET(Demand!$H$43,ROW(E225)-1,(COLUMN(E225)-1)*5,1,1))*R$2</f>
        <v>0</v>
      </c>
      <c r="DB228" s="5">
        <f ca="1">SUM(OFFSET(Demand!$H$43,ROW(F225)-1,(COLUMN(F225)-1)*5,1,1))*S$2</f>
        <v>0</v>
      </c>
      <c r="DC228" s="5">
        <f ca="1">SUM(OFFSET(Demand!$H$43,ROW(G225)-1,(COLUMN(G225)-1)*5,1,1))*T$2</f>
        <v>0</v>
      </c>
      <c r="DD228" s="5">
        <f ca="1">SUM(OFFSET(Demand!$H$43,ROW(H225)-1,(COLUMN(H225)-1)*5,1,1))*U$2</f>
        <v>0</v>
      </c>
      <c r="DE228" s="5">
        <f ca="1">SUM(OFFSET(Demand!$H$43,ROW(I225)-1,(COLUMN(I225)-1)*5,1,1))*V$2</f>
        <v>0</v>
      </c>
      <c r="DF228" s="5">
        <f ca="1">SUM(OFFSET(Demand!$H$43,ROW(J225)-1,(COLUMN(J225)-1)*5,1,1))*W$2</f>
        <v>0</v>
      </c>
      <c r="DG228" s="5">
        <f t="shared" ca="1" si="52"/>
        <v>0</v>
      </c>
    </row>
    <row r="229" spans="1:111" x14ac:dyDescent="0.2">
      <c r="A229" s="5">
        <f t="shared" ca="1" si="46"/>
        <v>2</v>
      </c>
      <c r="B229" s="5">
        <f ca="1">COUNTBLANK(OFFSET(Demand!$I238,0,(COLUMN(A226)-1)*5,1,1))</f>
        <v>1</v>
      </c>
      <c r="C229" s="5">
        <f ca="1">COUNTBLANK(OFFSET(Demand!$I238,0,(COLUMN(B226)-1)*5,1,1))</f>
        <v>1</v>
      </c>
      <c r="D229" s="5">
        <f ca="1">COUNTBLANK(OFFSET(Demand!$I238,0,(COLUMN(C226)-1)*5,1,1))</f>
        <v>1</v>
      </c>
      <c r="E229" s="5">
        <f ca="1">COUNTBLANK(OFFSET(Demand!$I238,0,(COLUMN(D226)-1)*5,1,1))</f>
        <v>1</v>
      </c>
      <c r="F229" s="5">
        <f ca="1">COUNTBLANK(OFFSET(Demand!$I238,0,(COLUMN(E226)-1)*5,1,1))</f>
        <v>1</v>
      </c>
      <c r="G229" s="5">
        <f ca="1">COUNTBLANK(OFFSET(Demand!$I238,0,(COLUMN(F226)-1)*5,1,1))</f>
        <v>1</v>
      </c>
      <c r="H229" s="5">
        <f ca="1">COUNTBLANK(OFFSET(Demand!$I238,0,(COLUMN(G226)-1)*5,1,1))</f>
        <v>1</v>
      </c>
      <c r="I229" s="5">
        <f ca="1">COUNTBLANK(OFFSET(Demand!$I238,0,(COLUMN(H226)-1)*5,1,1))</f>
        <v>1</v>
      </c>
      <c r="J229" s="5">
        <f ca="1">COUNTBLANK(OFFSET(Demand!$I238,0,(COLUMN(I226)-1)*5,1,1))</f>
        <v>1</v>
      </c>
      <c r="K229" s="5">
        <f ca="1">COUNTBLANK(OFFSET(Demand!$I238,0,(COLUMN(J226)-1)*5,1,1))</f>
        <v>1</v>
      </c>
      <c r="N229" s="5">
        <f ca="1">SUM(OFFSET(Demand!$E238,0,(COLUMN(A226)-1)*5,1,3))*N$2</f>
        <v>0</v>
      </c>
      <c r="O229" s="5">
        <f ca="1">SUM(OFFSET(Demand!$E238,0,(COLUMN(B226)-1)*5,1,3))*O$2</f>
        <v>0</v>
      </c>
      <c r="P229" s="5">
        <f ca="1">SUM(OFFSET(Demand!$E238,0,(COLUMN(C226)-1)*5,1,3))*P$2</f>
        <v>0</v>
      </c>
      <c r="Q229" s="5">
        <f ca="1">SUM(OFFSET(Demand!$E238,0,(COLUMN(D226)-1)*5,1,3))*Q$2</f>
        <v>0</v>
      </c>
      <c r="R229" s="5">
        <f ca="1">SUM(OFFSET(Demand!$E238,0,(COLUMN(E226)-1)*5,1,3))*R$2</f>
        <v>0</v>
      </c>
      <c r="S229" s="5">
        <f ca="1">SUM(OFFSET(Demand!$E238,0,(COLUMN(F226)-1)*5,1,3))*S$2</f>
        <v>0</v>
      </c>
      <c r="T229" s="5">
        <f ca="1">SUM(OFFSET(Demand!$E238,0,(COLUMN(G226)-1)*5,1,3))*T$2</f>
        <v>0</v>
      </c>
      <c r="U229" s="5">
        <f ca="1">SUM(OFFSET(Demand!$E238,0,(COLUMN(H226)-1)*5,1,3))*U$2</f>
        <v>0</v>
      </c>
      <c r="V229" s="5">
        <f ca="1">SUM(OFFSET(Demand!$E238,0,(COLUMN(I226)-1)*5,1,3))*V$2</f>
        <v>0</v>
      </c>
      <c r="W229" s="5">
        <f ca="1">SUM(OFFSET(Demand!$E238,0,(COLUMN(J226)-1)*5,1,3))*W$2</f>
        <v>0</v>
      </c>
      <c r="X229" s="5">
        <f t="shared" ca="1" si="47"/>
        <v>0</v>
      </c>
      <c r="Y229">
        <f t="shared" ca="1" si="48"/>
        <v>0</v>
      </c>
      <c r="Z229" s="5">
        <f ca="1">SUM(OFFSET(Demand!$H238,0,(COLUMN(A226)-1)*5,1,1))*N$2</f>
        <v>0</v>
      </c>
      <c r="AA229" s="5">
        <f ca="1">SUM(OFFSET(Demand!$H238,0,(COLUMN(B226)-1)*5,1,1))*O$2</f>
        <v>0</v>
      </c>
      <c r="AB229" s="5">
        <f ca="1">SUM(OFFSET(Demand!$H238,0,(COLUMN(C226)-1)*5,1,1))*P$2</f>
        <v>0</v>
      </c>
      <c r="AC229" s="5">
        <f ca="1">SUM(OFFSET(Demand!$H238,0,(COLUMN(D226)-1)*5,1,1))*Q$2</f>
        <v>0</v>
      </c>
      <c r="AD229" s="5">
        <f ca="1">SUM(OFFSET(Demand!$H238,0,(COLUMN(E226)-1)*5,1,1))*R$2</f>
        <v>0</v>
      </c>
      <c r="AE229" s="5">
        <f ca="1">SUM(OFFSET(Demand!$H238,0,(COLUMN(F226)-1)*5,1,1))*S$2</f>
        <v>0</v>
      </c>
      <c r="AF229" s="5">
        <f ca="1">SUM(OFFSET(Demand!$H238,0,(COLUMN(G226)-1)*5,1,1))*T$2</f>
        <v>0</v>
      </c>
      <c r="AG229" s="5">
        <f ca="1">SUM(OFFSET(Demand!$H238,0,(COLUMN(H226)-1)*5,1,1))*U$2</f>
        <v>0</v>
      </c>
      <c r="AH229" s="5">
        <f ca="1">SUM(OFFSET(Demand!$H238,0,(COLUMN(I226)-1)*5,1,1))*V$2</f>
        <v>0</v>
      </c>
      <c r="AI229" s="5">
        <f ca="1">SUM(OFFSET(Demand!$H238,0,(COLUMN(J226)-1)*5,1,1))*W$2</f>
        <v>0</v>
      </c>
      <c r="AJ229" s="5">
        <f t="shared" ca="1" si="49"/>
        <v>0</v>
      </c>
      <c r="AL229" s="5">
        <f t="shared" ca="1" si="50"/>
        <v>0</v>
      </c>
      <c r="AM229" s="5">
        <f t="shared" ca="1" si="51"/>
        <v>0</v>
      </c>
      <c r="AN229" s="5" t="str">
        <f>IF(Demand!BE238="Yes","Yes","")</f>
        <v/>
      </c>
      <c r="AP229" s="37" t="str">
        <f ca="1">Demand!B238</f>
        <v xml:space="preserve"> </v>
      </c>
      <c r="AQ229" t="str">
        <f ca="1">IF(TEXT(Demand!D238,"MMM")&lt;&gt;TEXT(Demand!D237,"MMM"),TEXT(Demand!D238,"MMM"),"")</f>
        <v/>
      </c>
      <c r="AT229" s="5">
        <f t="shared" ca="1" si="53"/>
        <v>0</v>
      </c>
      <c r="BQ229">
        <f ca="1">IF($AN229="",OFFSET(Demand!$A$13,ROW(A226)-1,4+((QUOTIENT(COLUMN(BQ$2)-69,3))*5)+MOD(COLUMN(BQ$2),3),1,1),"")</f>
        <v>0</v>
      </c>
      <c r="BR229">
        <f ca="1">IF($AN229="",OFFSET(Demand!$A$13,ROW(B226)-1,4+((QUOTIENT(COLUMN(BR$2)-69,3))*5)+MOD(COLUMN(BR$2),3),1,1),"")</f>
        <v>0</v>
      </c>
      <c r="BS229">
        <f ca="1">IF($AN229="",OFFSET(Demand!$A$13,ROW(C226)-1,4+((QUOTIENT(COLUMN(BS$2)-69,3))*5)+MOD(COLUMN(BS$2),3),1,1),"")</f>
        <v>0</v>
      </c>
      <c r="BT229">
        <f ca="1">IF($AN229="",OFFSET(Demand!$A$13,ROW(D226)-1,4+((QUOTIENT(COLUMN(BT$2)-69,3))*5)+MOD(COLUMN(BT$2),3),1,1),"")</f>
        <v>0</v>
      </c>
      <c r="BU229">
        <f ca="1">IF($AN229="",OFFSET(Demand!$A$13,ROW(E226)-1,4+((QUOTIENT(COLUMN(BU$2)-69,3))*5)+MOD(COLUMN(BU$2),3),1,1),"")</f>
        <v>0</v>
      </c>
      <c r="BV229">
        <f ca="1">IF($AN229="",OFFSET(Demand!$A$13,ROW(F226)-1,4+((QUOTIENT(COLUMN(BV$2)-69,3))*5)+MOD(COLUMN(BV$2),3),1,1),"")</f>
        <v>0</v>
      </c>
      <c r="BW229">
        <f ca="1">IF($AN229="",OFFSET(Demand!$A$13,ROW(G226)-1,4+((QUOTIENT(COLUMN(BW$2)-69,3))*5)+MOD(COLUMN(BW$2),3),1,1),"")</f>
        <v>0</v>
      </c>
      <c r="BX229">
        <f ca="1">IF($AN229="",OFFSET(Demand!$A$13,ROW(H226)-1,4+((QUOTIENT(COLUMN(BX$2)-69,3))*5)+MOD(COLUMN(BX$2),3),1,1),"")</f>
        <v>0</v>
      </c>
      <c r="BY229">
        <f ca="1">IF($AN229="",OFFSET(Demand!$A$13,ROW(I226)-1,4+((QUOTIENT(COLUMN(BY$2)-69,3))*5)+MOD(COLUMN(BY$2),3),1,1),"")</f>
        <v>0</v>
      </c>
      <c r="BZ229">
        <f ca="1">IF($AN229="",OFFSET(Demand!$A$13,ROW(J226)-1,4+((QUOTIENT(COLUMN(BZ$2)-69,3))*5)+MOD(COLUMN(BZ$2),3),1,1),"")</f>
        <v>0</v>
      </c>
      <c r="CA229">
        <f ca="1">IF($AN229="",OFFSET(Demand!$A$13,ROW(K226)-1,4+((QUOTIENT(COLUMN(CA$2)-69,3))*5)+MOD(COLUMN(CA$2),3),1,1),"")</f>
        <v>0</v>
      </c>
      <c r="CB229">
        <f ca="1">IF($AN229="",OFFSET(Demand!$A$13,ROW(L226)-1,4+((QUOTIENT(COLUMN(CB$2)-69,3))*5)+MOD(COLUMN(CB$2),3),1,1),"")</f>
        <v>0</v>
      </c>
      <c r="CC229">
        <f ca="1">IF($AN229="",OFFSET(Demand!$A$13,ROW(M226)-1,4+((QUOTIENT(COLUMN(CC$2)-69,3))*5)+MOD(COLUMN(CC$2),3),1,1),"")</f>
        <v>0</v>
      </c>
      <c r="CD229">
        <f ca="1">IF($AN229="",OFFSET(Demand!$A$13,ROW(N226)-1,4+((QUOTIENT(COLUMN(CD$2)-69,3))*5)+MOD(COLUMN(CD$2),3),1,1),"")</f>
        <v>0</v>
      </c>
      <c r="CE229">
        <f ca="1">IF($AN229="",OFFSET(Demand!$A$13,ROW(O226)-1,4+((QUOTIENT(COLUMN(CE$2)-69,3))*5)+MOD(COLUMN(CE$2),3),1,1),"")</f>
        <v>0</v>
      </c>
      <c r="CF229">
        <f ca="1">IF($AN229="",OFFSET(Demand!$A$13,ROW(P226)-1,4+((QUOTIENT(COLUMN(CF$2)-69,3))*5)+MOD(COLUMN(CF$2),3),1,1),"")</f>
        <v>0</v>
      </c>
      <c r="CG229">
        <f ca="1">IF($AN229="",OFFSET(Demand!$A$13,ROW(Q226)-1,4+((QUOTIENT(COLUMN(CG$2)-69,3))*5)+MOD(COLUMN(CG$2),3),1,1),"")</f>
        <v>0</v>
      </c>
      <c r="CH229">
        <f ca="1">IF($AN229="",OFFSET(Demand!$A$13,ROW(R226)-1,4+((QUOTIENT(COLUMN(CH$2)-69,3))*5)+MOD(COLUMN(CH$2),3),1,1),"")</f>
        <v>0</v>
      </c>
      <c r="CI229">
        <f ca="1">IF($AN229="",OFFSET(Demand!$A$13,ROW(S226)-1,4+((QUOTIENT(COLUMN(CI$2)-69,3))*5)+MOD(COLUMN(CI$2),3),1,1),"")</f>
        <v>0</v>
      </c>
      <c r="CJ229">
        <f ca="1">IF($AN229="",OFFSET(Demand!$A$13,ROW(T226)-1,4+((QUOTIENT(COLUMN(CJ$2)-69,3))*5)+MOD(COLUMN(CJ$2),3),1,1),"")</f>
        <v>0</v>
      </c>
      <c r="CK229">
        <f ca="1">IF($AN229="",OFFSET(Demand!$A$13,ROW(U226)-1,4+((QUOTIENT(COLUMN(CK$2)-69,3))*5)+MOD(COLUMN(CK$2),3),1,1),"")</f>
        <v>0</v>
      </c>
      <c r="CL229">
        <f ca="1">IF($AN229="",OFFSET(Demand!$A$13,ROW(V226)-1,4+((QUOTIENT(COLUMN(CL$2)-69,3))*5)+MOD(COLUMN(CL$2),3),1,1),"")</f>
        <v>0</v>
      </c>
      <c r="CM229">
        <f ca="1">IF($AN229="",OFFSET(Demand!$A$13,ROW(W226)-1,4+((QUOTIENT(COLUMN(CM$2)-69,3))*5)+MOD(COLUMN(CM$2),3),1,1),"")</f>
        <v>0</v>
      </c>
      <c r="CN229">
        <f ca="1">IF($AN229="",OFFSET(Demand!$A$13,ROW(X226)-1,4+((QUOTIENT(COLUMN(CN$2)-69,3))*5)+MOD(COLUMN(CN$2),3),1,1),"")</f>
        <v>0</v>
      </c>
      <c r="CO229">
        <f ca="1">IF($AN229="",OFFSET(Demand!$A$13,ROW(Y226)-1,4+((QUOTIENT(COLUMN(CO$2)-69,3))*5)+MOD(COLUMN(CO$2),3),1,1),"")</f>
        <v>0</v>
      </c>
      <c r="CP229">
        <f ca="1">IF($AN229="",OFFSET(Demand!$A$13,ROW(Z226)-1,4+((QUOTIENT(COLUMN(CP$2)-69,3))*5)+MOD(COLUMN(CP$2),3),1,1),"")</f>
        <v>0</v>
      </c>
      <c r="CQ229">
        <f ca="1">IF($AN229="",OFFSET(Demand!$A$13,ROW(AA226)-1,4+((QUOTIENT(COLUMN(CQ$2)-69,3))*5)+MOD(COLUMN(CQ$2),3),1,1),"")</f>
        <v>0</v>
      </c>
      <c r="CR229">
        <f ca="1">IF($AN229="",OFFSET(Demand!$A$13,ROW(AB226)-1,4+((QUOTIENT(COLUMN(CR$2)-69,3))*5)+MOD(COLUMN(CR$2),3),1,1),"")</f>
        <v>0</v>
      </c>
      <c r="CS229">
        <f ca="1">IF($AN229="",OFFSET(Demand!$A$13,ROW(AC226)-1,4+((QUOTIENT(COLUMN(CS$2)-69,3))*5)+MOD(COLUMN(CS$2),3),1,1),"")</f>
        <v>0</v>
      </c>
      <c r="CT229">
        <f ca="1">IF($AN229="",OFFSET(Demand!$A$13,ROW(AD226)-1,4+((QUOTIENT(COLUMN(CT$2)-69,3))*5)+MOD(COLUMN(CT$2),3),1,1),"")</f>
        <v>0</v>
      </c>
      <c r="CW229" s="5">
        <f ca="1">SUM(OFFSET(Demand!$H$43,ROW(A226)-1,(COLUMN(A226)-1)*5,1,1))*N$2</f>
        <v>0</v>
      </c>
      <c r="CX229" s="5">
        <f ca="1">SUM(OFFSET(Demand!$H$43,ROW(B226)-1,(COLUMN(B226)-1)*5,1,1))*O$2</f>
        <v>0</v>
      </c>
      <c r="CY229" s="5">
        <f ca="1">SUM(OFFSET(Demand!$H$43,ROW(C226)-1,(COLUMN(C226)-1)*5,1,1))*P$2</f>
        <v>0</v>
      </c>
      <c r="CZ229" s="5">
        <f ca="1">SUM(OFFSET(Demand!$H$43,ROW(D226)-1,(COLUMN(D226)-1)*5,1,1))*Q$2</f>
        <v>0</v>
      </c>
      <c r="DA229" s="5">
        <f ca="1">SUM(OFFSET(Demand!$H$43,ROW(E226)-1,(COLUMN(E226)-1)*5,1,1))*R$2</f>
        <v>0</v>
      </c>
      <c r="DB229" s="5">
        <f ca="1">SUM(OFFSET(Demand!$H$43,ROW(F226)-1,(COLUMN(F226)-1)*5,1,1))*S$2</f>
        <v>0</v>
      </c>
      <c r="DC229" s="5">
        <f ca="1">SUM(OFFSET(Demand!$H$43,ROW(G226)-1,(COLUMN(G226)-1)*5,1,1))*T$2</f>
        <v>0</v>
      </c>
      <c r="DD229" s="5">
        <f ca="1">SUM(OFFSET(Demand!$H$43,ROW(H226)-1,(COLUMN(H226)-1)*5,1,1))*U$2</f>
        <v>0</v>
      </c>
      <c r="DE229" s="5">
        <f ca="1">SUM(OFFSET(Demand!$H$43,ROW(I226)-1,(COLUMN(I226)-1)*5,1,1))*V$2</f>
        <v>0</v>
      </c>
      <c r="DF229" s="5">
        <f ca="1">SUM(OFFSET(Demand!$H$43,ROW(J226)-1,(COLUMN(J226)-1)*5,1,1))*W$2</f>
        <v>0</v>
      </c>
      <c r="DG229" s="5">
        <f t="shared" ca="1" si="52"/>
        <v>0</v>
      </c>
    </row>
    <row r="230" spans="1:111" x14ac:dyDescent="0.2">
      <c r="A230" s="5">
        <f t="shared" ca="1" si="46"/>
        <v>2</v>
      </c>
      <c r="B230" s="5">
        <f ca="1">COUNTBLANK(OFFSET(Demand!$I239,0,(COLUMN(A227)-1)*5,1,1))</f>
        <v>1</v>
      </c>
      <c r="C230" s="5">
        <f ca="1">COUNTBLANK(OFFSET(Demand!$I239,0,(COLUMN(B227)-1)*5,1,1))</f>
        <v>1</v>
      </c>
      <c r="D230" s="5">
        <f ca="1">COUNTBLANK(OFFSET(Demand!$I239,0,(COLUMN(C227)-1)*5,1,1))</f>
        <v>1</v>
      </c>
      <c r="E230" s="5">
        <f ca="1">COUNTBLANK(OFFSET(Demand!$I239,0,(COLUMN(D227)-1)*5,1,1))</f>
        <v>1</v>
      </c>
      <c r="F230" s="5">
        <f ca="1">COUNTBLANK(OFFSET(Demand!$I239,0,(COLUMN(E227)-1)*5,1,1))</f>
        <v>1</v>
      </c>
      <c r="G230" s="5">
        <f ca="1">COUNTBLANK(OFFSET(Demand!$I239,0,(COLUMN(F227)-1)*5,1,1))</f>
        <v>1</v>
      </c>
      <c r="H230" s="5">
        <f ca="1">COUNTBLANK(OFFSET(Demand!$I239,0,(COLUMN(G227)-1)*5,1,1))</f>
        <v>1</v>
      </c>
      <c r="I230" s="5">
        <f ca="1">COUNTBLANK(OFFSET(Demand!$I239,0,(COLUMN(H227)-1)*5,1,1))</f>
        <v>1</v>
      </c>
      <c r="J230" s="5">
        <f ca="1">COUNTBLANK(OFFSET(Demand!$I239,0,(COLUMN(I227)-1)*5,1,1))</f>
        <v>1</v>
      </c>
      <c r="K230" s="5">
        <f ca="1">COUNTBLANK(OFFSET(Demand!$I239,0,(COLUMN(J227)-1)*5,1,1))</f>
        <v>1</v>
      </c>
      <c r="N230" s="5">
        <f ca="1">SUM(OFFSET(Demand!$E239,0,(COLUMN(A227)-1)*5,1,3))*N$2</f>
        <v>0</v>
      </c>
      <c r="O230" s="5">
        <f ca="1">SUM(OFFSET(Demand!$E239,0,(COLUMN(B227)-1)*5,1,3))*O$2</f>
        <v>0</v>
      </c>
      <c r="P230" s="5">
        <f ca="1">SUM(OFFSET(Demand!$E239,0,(COLUMN(C227)-1)*5,1,3))*P$2</f>
        <v>0</v>
      </c>
      <c r="Q230" s="5">
        <f ca="1">SUM(OFFSET(Demand!$E239,0,(COLUMN(D227)-1)*5,1,3))*Q$2</f>
        <v>0</v>
      </c>
      <c r="R230" s="5">
        <f ca="1">SUM(OFFSET(Demand!$E239,0,(COLUMN(E227)-1)*5,1,3))*R$2</f>
        <v>0</v>
      </c>
      <c r="S230" s="5">
        <f ca="1">SUM(OFFSET(Demand!$E239,0,(COLUMN(F227)-1)*5,1,3))*S$2</f>
        <v>0</v>
      </c>
      <c r="T230" s="5">
        <f ca="1">SUM(OFFSET(Demand!$E239,0,(COLUMN(G227)-1)*5,1,3))*T$2</f>
        <v>0</v>
      </c>
      <c r="U230" s="5">
        <f ca="1">SUM(OFFSET(Demand!$E239,0,(COLUMN(H227)-1)*5,1,3))*U$2</f>
        <v>0</v>
      </c>
      <c r="V230" s="5">
        <f ca="1">SUM(OFFSET(Demand!$E239,0,(COLUMN(I227)-1)*5,1,3))*V$2</f>
        <v>0</v>
      </c>
      <c r="W230" s="5">
        <f ca="1">SUM(OFFSET(Demand!$E239,0,(COLUMN(J227)-1)*5,1,3))*W$2</f>
        <v>0</v>
      </c>
      <c r="X230" s="5">
        <f t="shared" ca="1" si="47"/>
        <v>0</v>
      </c>
      <c r="Y230">
        <f t="shared" ca="1" si="48"/>
        <v>0</v>
      </c>
      <c r="Z230" s="5">
        <f ca="1">SUM(OFFSET(Demand!$H239,0,(COLUMN(A227)-1)*5,1,1))*N$2</f>
        <v>0</v>
      </c>
      <c r="AA230" s="5">
        <f ca="1">SUM(OFFSET(Demand!$H239,0,(COLUMN(B227)-1)*5,1,1))*O$2</f>
        <v>0</v>
      </c>
      <c r="AB230" s="5">
        <f ca="1">SUM(OFFSET(Demand!$H239,0,(COLUMN(C227)-1)*5,1,1))*P$2</f>
        <v>0</v>
      </c>
      <c r="AC230" s="5">
        <f ca="1">SUM(OFFSET(Demand!$H239,0,(COLUMN(D227)-1)*5,1,1))*Q$2</f>
        <v>0</v>
      </c>
      <c r="AD230" s="5">
        <f ca="1">SUM(OFFSET(Demand!$H239,0,(COLUMN(E227)-1)*5,1,1))*R$2</f>
        <v>0</v>
      </c>
      <c r="AE230" s="5">
        <f ca="1">SUM(OFFSET(Demand!$H239,0,(COLUMN(F227)-1)*5,1,1))*S$2</f>
        <v>0</v>
      </c>
      <c r="AF230" s="5">
        <f ca="1">SUM(OFFSET(Demand!$H239,0,(COLUMN(G227)-1)*5,1,1))*T$2</f>
        <v>0</v>
      </c>
      <c r="AG230" s="5">
        <f ca="1">SUM(OFFSET(Demand!$H239,0,(COLUMN(H227)-1)*5,1,1))*U$2</f>
        <v>0</v>
      </c>
      <c r="AH230" s="5">
        <f ca="1">SUM(OFFSET(Demand!$H239,0,(COLUMN(I227)-1)*5,1,1))*V$2</f>
        <v>0</v>
      </c>
      <c r="AI230" s="5">
        <f ca="1">SUM(OFFSET(Demand!$H239,0,(COLUMN(J227)-1)*5,1,1))*W$2</f>
        <v>0</v>
      </c>
      <c r="AJ230" s="5">
        <f t="shared" ca="1" si="49"/>
        <v>0</v>
      </c>
      <c r="AL230" s="5">
        <f t="shared" ca="1" si="50"/>
        <v>0</v>
      </c>
      <c r="AM230" s="5">
        <f t="shared" ca="1" si="51"/>
        <v>0</v>
      </c>
      <c r="AN230" s="5" t="str">
        <f>IF(Demand!BE239="Yes","Yes","")</f>
        <v/>
      </c>
      <c r="AP230" s="37" t="str">
        <f ca="1">Demand!B239</f>
        <v xml:space="preserve"> </v>
      </c>
      <c r="AQ230" t="str">
        <f ca="1">IF(TEXT(Demand!D239,"MMM")&lt;&gt;TEXT(Demand!D238,"MMM"),TEXT(Demand!D239,"MMM"),"")</f>
        <v/>
      </c>
      <c r="AT230" s="5">
        <f t="shared" ca="1" si="53"/>
        <v>0</v>
      </c>
      <c r="BQ230">
        <f ca="1">IF($AN230="",OFFSET(Demand!$A$13,ROW(A227)-1,4+((QUOTIENT(COLUMN(BQ$2)-69,3))*5)+MOD(COLUMN(BQ$2),3),1,1),"")</f>
        <v>0</v>
      </c>
      <c r="BR230">
        <f ca="1">IF($AN230="",OFFSET(Demand!$A$13,ROW(B227)-1,4+((QUOTIENT(COLUMN(BR$2)-69,3))*5)+MOD(COLUMN(BR$2),3),1,1),"")</f>
        <v>0</v>
      </c>
      <c r="BS230">
        <f ca="1">IF($AN230="",OFFSET(Demand!$A$13,ROW(C227)-1,4+((QUOTIENT(COLUMN(BS$2)-69,3))*5)+MOD(COLUMN(BS$2),3),1,1),"")</f>
        <v>0</v>
      </c>
      <c r="BT230">
        <f ca="1">IF($AN230="",OFFSET(Demand!$A$13,ROW(D227)-1,4+((QUOTIENT(COLUMN(BT$2)-69,3))*5)+MOD(COLUMN(BT$2),3),1,1),"")</f>
        <v>0</v>
      </c>
      <c r="BU230">
        <f ca="1">IF($AN230="",OFFSET(Demand!$A$13,ROW(E227)-1,4+((QUOTIENT(COLUMN(BU$2)-69,3))*5)+MOD(COLUMN(BU$2),3),1,1),"")</f>
        <v>0</v>
      </c>
      <c r="BV230">
        <f ca="1">IF($AN230="",OFFSET(Demand!$A$13,ROW(F227)-1,4+((QUOTIENT(COLUMN(BV$2)-69,3))*5)+MOD(COLUMN(BV$2),3),1,1),"")</f>
        <v>0</v>
      </c>
      <c r="BW230">
        <f ca="1">IF($AN230="",OFFSET(Demand!$A$13,ROW(G227)-1,4+((QUOTIENT(COLUMN(BW$2)-69,3))*5)+MOD(COLUMN(BW$2),3),1,1),"")</f>
        <v>0</v>
      </c>
      <c r="BX230">
        <f ca="1">IF($AN230="",OFFSET(Demand!$A$13,ROW(H227)-1,4+((QUOTIENT(COLUMN(BX$2)-69,3))*5)+MOD(COLUMN(BX$2),3),1,1),"")</f>
        <v>0</v>
      </c>
      <c r="BY230">
        <f ca="1">IF($AN230="",OFFSET(Demand!$A$13,ROW(I227)-1,4+((QUOTIENT(COLUMN(BY$2)-69,3))*5)+MOD(COLUMN(BY$2),3),1,1),"")</f>
        <v>0</v>
      </c>
      <c r="BZ230">
        <f ca="1">IF($AN230="",OFFSET(Demand!$A$13,ROW(J227)-1,4+((QUOTIENT(COLUMN(BZ$2)-69,3))*5)+MOD(COLUMN(BZ$2),3),1,1),"")</f>
        <v>0</v>
      </c>
      <c r="CA230">
        <f ca="1">IF($AN230="",OFFSET(Demand!$A$13,ROW(K227)-1,4+((QUOTIENT(COLUMN(CA$2)-69,3))*5)+MOD(COLUMN(CA$2),3),1,1),"")</f>
        <v>0</v>
      </c>
      <c r="CB230">
        <f ca="1">IF($AN230="",OFFSET(Demand!$A$13,ROW(L227)-1,4+((QUOTIENT(COLUMN(CB$2)-69,3))*5)+MOD(COLUMN(CB$2),3),1,1),"")</f>
        <v>0</v>
      </c>
      <c r="CC230">
        <f ca="1">IF($AN230="",OFFSET(Demand!$A$13,ROW(M227)-1,4+((QUOTIENT(COLUMN(CC$2)-69,3))*5)+MOD(COLUMN(CC$2),3),1,1),"")</f>
        <v>0</v>
      </c>
      <c r="CD230">
        <f ca="1">IF($AN230="",OFFSET(Demand!$A$13,ROW(N227)-1,4+((QUOTIENT(COLUMN(CD$2)-69,3))*5)+MOD(COLUMN(CD$2),3),1,1),"")</f>
        <v>0</v>
      </c>
      <c r="CE230">
        <f ca="1">IF($AN230="",OFFSET(Demand!$A$13,ROW(O227)-1,4+((QUOTIENT(COLUMN(CE$2)-69,3))*5)+MOD(COLUMN(CE$2),3),1,1),"")</f>
        <v>0</v>
      </c>
      <c r="CF230">
        <f ca="1">IF($AN230="",OFFSET(Demand!$A$13,ROW(P227)-1,4+((QUOTIENT(COLUMN(CF$2)-69,3))*5)+MOD(COLUMN(CF$2),3),1,1),"")</f>
        <v>0</v>
      </c>
      <c r="CG230">
        <f ca="1">IF($AN230="",OFFSET(Demand!$A$13,ROW(Q227)-1,4+((QUOTIENT(COLUMN(CG$2)-69,3))*5)+MOD(COLUMN(CG$2),3),1,1),"")</f>
        <v>0</v>
      </c>
      <c r="CH230">
        <f ca="1">IF($AN230="",OFFSET(Demand!$A$13,ROW(R227)-1,4+((QUOTIENT(COLUMN(CH$2)-69,3))*5)+MOD(COLUMN(CH$2),3),1,1),"")</f>
        <v>0</v>
      </c>
      <c r="CI230">
        <f ca="1">IF($AN230="",OFFSET(Demand!$A$13,ROW(S227)-1,4+((QUOTIENT(COLUMN(CI$2)-69,3))*5)+MOD(COLUMN(CI$2),3),1,1),"")</f>
        <v>0</v>
      </c>
      <c r="CJ230">
        <f ca="1">IF($AN230="",OFFSET(Demand!$A$13,ROW(T227)-1,4+((QUOTIENT(COLUMN(CJ$2)-69,3))*5)+MOD(COLUMN(CJ$2),3),1,1),"")</f>
        <v>0</v>
      </c>
      <c r="CK230">
        <f ca="1">IF($AN230="",OFFSET(Demand!$A$13,ROW(U227)-1,4+((QUOTIENT(COLUMN(CK$2)-69,3))*5)+MOD(COLUMN(CK$2),3),1,1),"")</f>
        <v>0</v>
      </c>
      <c r="CL230">
        <f ca="1">IF($AN230="",OFFSET(Demand!$A$13,ROW(V227)-1,4+((QUOTIENT(COLUMN(CL$2)-69,3))*5)+MOD(COLUMN(CL$2),3),1,1),"")</f>
        <v>0</v>
      </c>
      <c r="CM230">
        <f ca="1">IF($AN230="",OFFSET(Demand!$A$13,ROW(W227)-1,4+((QUOTIENT(COLUMN(CM$2)-69,3))*5)+MOD(COLUMN(CM$2),3),1,1),"")</f>
        <v>0</v>
      </c>
      <c r="CN230">
        <f ca="1">IF($AN230="",OFFSET(Demand!$A$13,ROW(X227)-1,4+((QUOTIENT(COLUMN(CN$2)-69,3))*5)+MOD(COLUMN(CN$2),3),1,1),"")</f>
        <v>0</v>
      </c>
      <c r="CO230">
        <f ca="1">IF($AN230="",OFFSET(Demand!$A$13,ROW(Y227)-1,4+((QUOTIENT(COLUMN(CO$2)-69,3))*5)+MOD(COLUMN(CO$2),3),1,1),"")</f>
        <v>0</v>
      </c>
      <c r="CP230">
        <f ca="1">IF($AN230="",OFFSET(Demand!$A$13,ROW(Z227)-1,4+((QUOTIENT(COLUMN(CP$2)-69,3))*5)+MOD(COLUMN(CP$2),3),1,1),"")</f>
        <v>0</v>
      </c>
      <c r="CQ230">
        <f ca="1">IF($AN230="",OFFSET(Demand!$A$13,ROW(AA227)-1,4+((QUOTIENT(COLUMN(CQ$2)-69,3))*5)+MOD(COLUMN(CQ$2),3),1,1),"")</f>
        <v>0</v>
      </c>
      <c r="CR230">
        <f ca="1">IF($AN230="",OFFSET(Demand!$A$13,ROW(AB227)-1,4+((QUOTIENT(COLUMN(CR$2)-69,3))*5)+MOD(COLUMN(CR$2),3),1,1),"")</f>
        <v>0</v>
      </c>
      <c r="CS230">
        <f ca="1">IF($AN230="",OFFSET(Demand!$A$13,ROW(AC227)-1,4+((QUOTIENT(COLUMN(CS$2)-69,3))*5)+MOD(COLUMN(CS$2),3),1,1),"")</f>
        <v>0</v>
      </c>
      <c r="CT230">
        <f ca="1">IF($AN230="",OFFSET(Demand!$A$13,ROW(AD227)-1,4+((QUOTIENT(COLUMN(CT$2)-69,3))*5)+MOD(COLUMN(CT$2),3),1,1),"")</f>
        <v>0</v>
      </c>
      <c r="CW230" s="5">
        <f ca="1">SUM(OFFSET(Demand!$H$43,ROW(A227)-1,(COLUMN(A227)-1)*5,1,1))*N$2</f>
        <v>0</v>
      </c>
      <c r="CX230" s="5">
        <f ca="1">SUM(OFFSET(Demand!$H$43,ROW(B227)-1,(COLUMN(B227)-1)*5,1,1))*O$2</f>
        <v>0</v>
      </c>
      <c r="CY230" s="5">
        <f ca="1">SUM(OFFSET(Demand!$H$43,ROW(C227)-1,(COLUMN(C227)-1)*5,1,1))*P$2</f>
        <v>0</v>
      </c>
      <c r="CZ230" s="5">
        <f ca="1">SUM(OFFSET(Demand!$H$43,ROW(D227)-1,(COLUMN(D227)-1)*5,1,1))*Q$2</f>
        <v>0</v>
      </c>
      <c r="DA230" s="5">
        <f ca="1">SUM(OFFSET(Demand!$H$43,ROW(E227)-1,(COLUMN(E227)-1)*5,1,1))*R$2</f>
        <v>0</v>
      </c>
      <c r="DB230" s="5">
        <f ca="1">SUM(OFFSET(Demand!$H$43,ROW(F227)-1,(COLUMN(F227)-1)*5,1,1))*S$2</f>
        <v>0</v>
      </c>
      <c r="DC230" s="5">
        <f ca="1">SUM(OFFSET(Demand!$H$43,ROW(G227)-1,(COLUMN(G227)-1)*5,1,1))*T$2</f>
        <v>0</v>
      </c>
      <c r="DD230" s="5">
        <f ca="1">SUM(OFFSET(Demand!$H$43,ROW(H227)-1,(COLUMN(H227)-1)*5,1,1))*U$2</f>
        <v>0</v>
      </c>
      <c r="DE230" s="5">
        <f ca="1">SUM(OFFSET(Demand!$H$43,ROW(I227)-1,(COLUMN(I227)-1)*5,1,1))*V$2</f>
        <v>0</v>
      </c>
      <c r="DF230" s="5">
        <f ca="1">SUM(OFFSET(Demand!$H$43,ROW(J227)-1,(COLUMN(J227)-1)*5,1,1))*W$2</f>
        <v>0</v>
      </c>
      <c r="DG230" s="5">
        <f t="shared" ca="1" si="52"/>
        <v>0</v>
      </c>
    </row>
    <row r="231" spans="1:111" x14ac:dyDescent="0.2">
      <c r="A231" s="5">
        <f t="shared" ca="1" si="46"/>
        <v>2</v>
      </c>
      <c r="B231" s="5">
        <f ca="1">COUNTBLANK(OFFSET(Demand!$I240,0,(COLUMN(A228)-1)*5,1,1))</f>
        <v>1</v>
      </c>
      <c r="C231" s="5">
        <f ca="1">COUNTBLANK(OFFSET(Demand!$I240,0,(COLUMN(B228)-1)*5,1,1))</f>
        <v>1</v>
      </c>
      <c r="D231" s="5">
        <f ca="1">COUNTBLANK(OFFSET(Demand!$I240,0,(COLUMN(C228)-1)*5,1,1))</f>
        <v>1</v>
      </c>
      <c r="E231" s="5">
        <f ca="1">COUNTBLANK(OFFSET(Demand!$I240,0,(COLUMN(D228)-1)*5,1,1))</f>
        <v>1</v>
      </c>
      <c r="F231" s="5">
        <f ca="1">COUNTBLANK(OFFSET(Demand!$I240,0,(COLUMN(E228)-1)*5,1,1))</f>
        <v>1</v>
      </c>
      <c r="G231" s="5">
        <f ca="1">COUNTBLANK(OFFSET(Demand!$I240,0,(COLUMN(F228)-1)*5,1,1))</f>
        <v>1</v>
      </c>
      <c r="H231" s="5">
        <f ca="1">COUNTBLANK(OFFSET(Demand!$I240,0,(COLUMN(G228)-1)*5,1,1))</f>
        <v>1</v>
      </c>
      <c r="I231" s="5">
        <f ca="1">COUNTBLANK(OFFSET(Demand!$I240,0,(COLUMN(H228)-1)*5,1,1))</f>
        <v>1</v>
      </c>
      <c r="J231" s="5">
        <f ca="1">COUNTBLANK(OFFSET(Demand!$I240,0,(COLUMN(I228)-1)*5,1,1))</f>
        <v>1</v>
      </c>
      <c r="K231" s="5">
        <f ca="1">COUNTBLANK(OFFSET(Demand!$I240,0,(COLUMN(J228)-1)*5,1,1))</f>
        <v>1</v>
      </c>
      <c r="N231" s="5">
        <f ca="1">SUM(OFFSET(Demand!$E240,0,(COLUMN(A228)-1)*5,1,3))*N$2</f>
        <v>0</v>
      </c>
      <c r="O231" s="5">
        <f ca="1">SUM(OFFSET(Demand!$E240,0,(COLUMN(B228)-1)*5,1,3))*O$2</f>
        <v>0</v>
      </c>
      <c r="P231" s="5">
        <f ca="1">SUM(OFFSET(Demand!$E240,0,(COLUMN(C228)-1)*5,1,3))*P$2</f>
        <v>0</v>
      </c>
      <c r="Q231" s="5">
        <f ca="1">SUM(OFFSET(Demand!$E240,0,(COLUMN(D228)-1)*5,1,3))*Q$2</f>
        <v>0</v>
      </c>
      <c r="R231" s="5">
        <f ca="1">SUM(OFFSET(Demand!$E240,0,(COLUMN(E228)-1)*5,1,3))*R$2</f>
        <v>0</v>
      </c>
      <c r="S231" s="5">
        <f ca="1">SUM(OFFSET(Demand!$E240,0,(COLUMN(F228)-1)*5,1,3))*S$2</f>
        <v>0</v>
      </c>
      <c r="T231" s="5">
        <f ca="1">SUM(OFFSET(Demand!$E240,0,(COLUMN(G228)-1)*5,1,3))*T$2</f>
        <v>0</v>
      </c>
      <c r="U231" s="5">
        <f ca="1">SUM(OFFSET(Demand!$E240,0,(COLUMN(H228)-1)*5,1,3))*U$2</f>
        <v>0</v>
      </c>
      <c r="V231" s="5">
        <f ca="1">SUM(OFFSET(Demand!$E240,0,(COLUMN(I228)-1)*5,1,3))*V$2</f>
        <v>0</v>
      </c>
      <c r="W231" s="5">
        <f ca="1">SUM(OFFSET(Demand!$E240,0,(COLUMN(J228)-1)*5,1,3))*W$2</f>
        <v>0</v>
      </c>
      <c r="X231" s="5">
        <f t="shared" ca="1" si="47"/>
        <v>0</v>
      </c>
      <c r="Y231">
        <f t="shared" ca="1" si="48"/>
        <v>0</v>
      </c>
      <c r="Z231" s="5">
        <f ca="1">SUM(OFFSET(Demand!$H240,0,(COLUMN(A228)-1)*5,1,1))*N$2</f>
        <v>0</v>
      </c>
      <c r="AA231" s="5">
        <f ca="1">SUM(OFFSET(Demand!$H240,0,(COLUMN(B228)-1)*5,1,1))*O$2</f>
        <v>0</v>
      </c>
      <c r="AB231" s="5">
        <f ca="1">SUM(OFFSET(Demand!$H240,0,(COLUMN(C228)-1)*5,1,1))*P$2</f>
        <v>0</v>
      </c>
      <c r="AC231" s="5">
        <f ca="1">SUM(OFFSET(Demand!$H240,0,(COLUMN(D228)-1)*5,1,1))*Q$2</f>
        <v>0</v>
      </c>
      <c r="AD231" s="5">
        <f ca="1">SUM(OFFSET(Demand!$H240,0,(COLUMN(E228)-1)*5,1,1))*R$2</f>
        <v>0</v>
      </c>
      <c r="AE231" s="5">
        <f ca="1">SUM(OFFSET(Demand!$H240,0,(COLUMN(F228)-1)*5,1,1))*S$2</f>
        <v>0</v>
      </c>
      <c r="AF231" s="5">
        <f ca="1">SUM(OFFSET(Demand!$H240,0,(COLUMN(G228)-1)*5,1,1))*T$2</f>
        <v>0</v>
      </c>
      <c r="AG231" s="5">
        <f ca="1">SUM(OFFSET(Demand!$H240,0,(COLUMN(H228)-1)*5,1,1))*U$2</f>
        <v>0</v>
      </c>
      <c r="AH231" s="5">
        <f ca="1">SUM(OFFSET(Demand!$H240,0,(COLUMN(I228)-1)*5,1,1))*V$2</f>
        <v>0</v>
      </c>
      <c r="AI231" s="5">
        <f ca="1">SUM(OFFSET(Demand!$H240,0,(COLUMN(J228)-1)*5,1,1))*W$2</f>
        <v>0</v>
      </c>
      <c r="AJ231" s="5">
        <f t="shared" ca="1" si="49"/>
        <v>0</v>
      </c>
      <c r="AL231" s="5">
        <f t="shared" ca="1" si="50"/>
        <v>0</v>
      </c>
      <c r="AM231" s="5">
        <f t="shared" ca="1" si="51"/>
        <v>0</v>
      </c>
      <c r="AN231" s="5" t="str">
        <f>IF(Demand!BE240="Yes","Yes","")</f>
        <v/>
      </c>
      <c r="AP231" s="37" t="str">
        <f ca="1">Demand!B240</f>
        <v xml:space="preserve"> </v>
      </c>
      <c r="AQ231" t="str">
        <f ca="1">IF(TEXT(Demand!D240,"MMM")&lt;&gt;TEXT(Demand!D239,"MMM"),TEXT(Demand!D240,"MMM"),"")</f>
        <v/>
      </c>
      <c r="AT231" s="5">
        <f t="shared" ca="1" si="53"/>
        <v>0</v>
      </c>
      <c r="BQ231">
        <f ca="1">IF($AN231="",OFFSET(Demand!$A$13,ROW(A228)-1,4+((QUOTIENT(COLUMN(BQ$2)-69,3))*5)+MOD(COLUMN(BQ$2),3),1,1),"")</f>
        <v>0</v>
      </c>
      <c r="BR231">
        <f ca="1">IF($AN231="",OFFSET(Demand!$A$13,ROW(B228)-1,4+((QUOTIENT(COLUMN(BR$2)-69,3))*5)+MOD(COLUMN(BR$2),3),1,1),"")</f>
        <v>0</v>
      </c>
      <c r="BS231">
        <f ca="1">IF($AN231="",OFFSET(Demand!$A$13,ROW(C228)-1,4+((QUOTIENT(COLUMN(BS$2)-69,3))*5)+MOD(COLUMN(BS$2),3),1,1),"")</f>
        <v>0</v>
      </c>
      <c r="BT231">
        <f ca="1">IF($AN231="",OFFSET(Demand!$A$13,ROW(D228)-1,4+((QUOTIENT(COLUMN(BT$2)-69,3))*5)+MOD(COLUMN(BT$2),3),1,1),"")</f>
        <v>0</v>
      </c>
      <c r="BU231">
        <f ca="1">IF($AN231="",OFFSET(Demand!$A$13,ROW(E228)-1,4+((QUOTIENT(COLUMN(BU$2)-69,3))*5)+MOD(COLUMN(BU$2),3),1,1),"")</f>
        <v>0</v>
      </c>
      <c r="BV231">
        <f ca="1">IF($AN231="",OFFSET(Demand!$A$13,ROW(F228)-1,4+((QUOTIENT(COLUMN(BV$2)-69,3))*5)+MOD(COLUMN(BV$2),3),1,1),"")</f>
        <v>0</v>
      </c>
      <c r="BW231">
        <f ca="1">IF($AN231="",OFFSET(Demand!$A$13,ROW(G228)-1,4+((QUOTIENT(COLUMN(BW$2)-69,3))*5)+MOD(COLUMN(BW$2),3),1,1),"")</f>
        <v>0</v>
      </c>
      <c r="BX231">
        <f ca="1">IF($AN231="",OFFSET(Demand!$A$13,ROW(H228)-1,4+((QUOTIENT(COLUMN(BX$2)-69,3))*5)+MOD(COLUMN(BX$2),3),1,1),"")</f>
        <v>0</v>
      </c>
      <c r="BY231">
        <f ca="1">IF($AN231="",OFFSET(Demand!$A$13,ROW(I228)-1,4+((QUOTIENT(COLUMN(BY$2)-69,3))*5)+MOD(COLUMN(BY$2),3),1,1),"")</f>
        <v>0</v>
      </c>
      <c r="BZ231">
        <f ca="1">IF($AN231="",OFFSET(Demand!$A$13,ROW(J228)-1,4+((QUOTIENT(COLUMN(BZ$2)-69,3))*5)+MOD(COLUMN(BZ$2),3),1,1),"")</f>
        <v>0</v>
      </c>
      <c r="CA231">
        <f ca="1">IF($AN231="",OFFSET(Demand!$A$13,ROW(K228)-1,4+((QUOTIENT(COLUMN(CA$2)-69,3))*5)+MOD(COLUMN(CA$2),3),1,1),"")</f>
        <v>0</v>
      </c>
      <c r="CB231">
        <f ca="1">IF($AN231="",OFFSET(Demand!$A$13,ROW(L228)-1,4+((QUOTIENT(COLUMN(CB$2)-69,3))*5)+MOD(COLUMN(CB$2),3),1,1),"")</f>
        <v>0</v>
      </c>
      <c r="CC231">
        <f ca="1">IF($AN231="",OFFSET(Demand!$A$13,ROW(M228)-1,4+((QUOTIENT(COLUMN(CC$2)-69,3))*5)+MOD(COLUMN(CC$2),3),1,1),"")</f>
        <v>0</v>
      </c>
      <c r="CD231">
        <f ca="1">IF($AN231="",OFFSET(Demand!$A$13,ROW(N228)-1,4+((QUOTIENT(COLUMN(CD$2)-69,3))*5)+MOD(COLUMN(CD$2),3),1,1),"")</f>
        <v>0</v>
      </c>
      <c r="CE231">
        <f ca="1">IF($AN231="",OFFSET(Demand!$A$13,ROW(O228)-1,4+((QUOTIENT(COLUMN(CE$2)-69,3))*5)+MOD(COLUMN(CE$2),3),1,1),"")</f>
        <v>0</v>
      </c>
      <c r="CF231">
        <f ca="1">IF($AN231="",OFFSET(Demand!$A$13,ROW(P228)-1,4+((QUOTIENT(COLUMN(CF$2)-69,3))*5)+MOD(COLUMN(CF$2),3),1,1),"")</f>
        <v>0</v>
      </c>
      <c r="CG231">
        <f ca="1">IF($AN231="",OFFSET(Demand!$A$13,ROW(Q228)-1,4+((QUOTIENT(COLUMN(CG$2)-69,3))*5)+MOD(COLUMN(CG$2),3),1,1),"")</f>
        <v>0</v>
      </c>
      <c r="CH231">
        <f ca="1">IF($AN231="",OFFSET(Demand!$A$13,ROW(R228)-1,4+((QUOTIENT(COLUMN(CH$2)-69,3))*5)+MOD(COLUMN(CH$2),3),1,1),"")</f>
        <v>0</v>
      </c>
      <c r="CI231">
        <f ca="1">IF($AN231="",OFFSET(Demand!$A$13,ROW(S228)-1,4+((QUOTIENT(COLUMN(CI$2)-69,3))*5)+MOD(COLUMN(CI$2),3),1,1),"")</f>
        <v>0</v>
      </c>
      <c r="CJ231">
        <f ca="1">IF($AN231="",OFFSET(Demand!$A$13,ROW(T228)-1,4+((QUOTIENT(COLUMN(CJ$2)-69,3))*5)+MOD(COLUMN(CJ$2),3),1,1),"")</f>
        <v>0</v>
      </c>
      <c r="CK231">
        <f ca="1">IF($AN231="",OFFSET(Demand!$A$13,ROW(U228)-1,4+((QUOTIENT(COLUMN(CK$2)-69,3))*5)+MOD(COLUMN(CK$2),3),1,1),"")</f>
        <v>0</v>
      </c>
      <c r="CL231">
        <f ca="1">IF($AN231="",OFFSET(Demand!$A$13,ROW(V228)-1,4+((QUOTIENT(COLUMN(CL$2)-69,3))*5)+MOD(COLUMN(CL$2),3),1,1),"")</f>
        <v>0</v>
      </c>
      <c r="CM231">
        <f ca="1">IF($AN231="",OFFSET(Demand!$A$13,ROW(W228)-1,4+((QUOTIENT(COLUMN(CM$2)-69,3))*5)+MOD(COLUMN(CM$2),3),1,1),"")</f>
        <v>0</v>
      </c>
      <c r="CN231">
        <f ca="1">IF($AN231="",OFFSET(Demand!$A$13,ROW(X228)-1,4+((QUOTIENT(COLUMN(CN$2)-69,3))*5)+MOD(COLUMN(CN$2),3),1,1),"")</f>
        <v>0</v>
      </c>
      <c r="CO231">
        <f ca="1">IF($AN231="",OFFSET(Demand!$A$13,ROW(Y228)-1,4+((QUOTIENT(COLUMN(CO$2)-69,3))*5)+MOD(COLUMN(CO$2),3),1,1),"")</f>
        <v>0</v>
      </c>
      <c r="CP231">
        <f ca="1">IF($AN231="",OFFSET(Demand!$A$13,ROW(Z228)-1,4+((QUOTIENT(COLUMN(CP$2)-69,3))*5)+MOD(COLUMN(CP$2),3),1,1),"")</f>
        <v>0</v>
      </c>
      <c r="CQ231">
        <f ca="1">IF($AN231="",OFFSET(Demand!$A$13,ROW(AA228)-1,4+((QUOTIENT(COLUMN(CQ$2)-69,3))*5)+MOD(COLUMN(CQ$2),3),1,1),"")</f>
        <v>0</v>
      </c>
      <c r="CR231">
        <f ca="1">IF($AN231="",OFFSET(Demand!$A$13,ROW(AB228)-1,4+((QUOTIENT(COLUMN(CR$2)-69,3))*5)+MOD(COLUMN(CR$2),3),1,1),"")</f>
        <v>0</v>
      </c>
      <c r="CS231">
        <f ca="1">IF($AN231="",OFFSET(Demand!$A$13,ROW(AC228)-1,4+((QUOTIENT(COLUMN(CS$2)-69,3))*5)+MOD(COLUMN(CS$2),3),1,1),"")</f>
        <v>0</v>
      </c>
      <c r="CT231">
        <f ca="1">IF($AN231="",OFFSET(Demand!$A$13,ROW(AD228)-1,4+((QUOTIENT(COLUMN(CT$2)-69,3))*5)+MOD(COLUMN(CT$2),3),1,1),"")</f>
        <v>0</v>
      </c>
      <c r="CW231" s="5">
        <f ca="1">SUM(OFFSET(Demand!$H$43,ROW(A228)-1,(COLUMN(A228)-1)*5,1,1))*N$2</f>
        <v>0</v>
      </c>
      <c r="CX231" s="5">
        <f ca="1">SUM(OFFSET(Demand!$H$43,ROW(B228)-1,(COLUMN(B228)-1)*5,1,1))*O$2</f>
        <v>0</v>
      </c>
      <c r="CY231" s="5">
        <f ca="1">SUM(OFFSET(Demand!$H$43,ROW(C228)-1,(COLUMN(C228)-1)*5,1,1))*P$2</f>
        <v>0</v>
      </c>
      <c r="CZ231" s="5">
        <f ca="1">SUM(OFFSET(Demand!$H$43,ROW(D228)-1,(COLUMN(D228)-1)*5,1,1))*Q$2</f>
        <v>0</v>
      </c>
      <c r="DA231" s="5">
        <f ca="1">SUM(OFFSET(Demand!$H$43,ROW(E228)-1,(COLUMN(E228)-1)*5,1,1))*R$2</f>
        <v>0</v>
      </c>
      <c r="DB231" s="5">
        <f ca="1">SUM(OFFSET(Demand!$H$43,ROW(F228)-1,(COLUMN(F228)-1)*5,1,1))*S$2</f>
        <v>0</v>
      </c>
      <c r="DC231" s="5">
        <f ca="1">SUM(OFFSET(Demand!$H$43,ROW(G228)-1,(COLUMN(G228)-1)*5,1,1))*T$2</f>
        <v>0</v>
      </c>
      <c r="DD231" s="5">
        <f ca="1">SUM(OFFSET(Demand!$H$43,ROW(H228)-1,(COLUMN(H228)-1)*5,1,1))*U$2</f>
        <v>0</v>
      </c>
      <c r="DE231" s="5">
        <f ca="1">SUM(OFFSET(Demand!$H$43,ROW(I228)-1,(COLUMN(I228)-1)*5,1,1))*V$2</f>
        <v>0</v>
      </c>
      <c r="DF231" s="5">
        <f ca="1">SUM(OFFSET(Demand!$H$43,ROW(J228)-1,(COLUMN(J228)-1)*5,1,1))*W$2</f>
        <v>0</v>
      </c>
      <c r="DG231" s="5">
        <f t="shared" ca="1" si="52"/>
        <v>0</v>
      </c>
    </row>
    <row r="232" spans="1:111" x14ac:dyDescent="0.2">
      <c r="A232" s="5">
        <f t="shared" ca="1" si="46"/>
        <v>2</v>
      </c>
      <c r="B232" s="5">
        <f ca="1">COUNTBLANK(OFFSET(Demand!$I241,0,(COLUMN(A229)-1)*5,1,1))</f>
        <v>1</v>
      </c>
      <c r="C232" s="5">
        <f ca="1">COUNTBLANK(OFFSET(Demand!$I241,0,(COLUMN(B229)-1)*5,1,1))</f>
        <v>1</v>
      </c>
      <c r="D232" s="5">
        <f ca="1">COUNTBLANK(OFFSET(Demand!$I241,0,(COLUMN(C229)-1)*5,1,1))</f>
        <v>1</v>
      </c>
      <c r="E232" s="5">
        <f ca="1">COUNTBLANK(OFFSET(Demand!$I241,0,(COLUMN(D229)-1)*5,1,1))</f>
        <v>1</v>
      </c>
      <c r="F232" s="5">
        <f ca="1">COUNTBLANK(OFFSET(Demand!$I241,0,(COLUMN(E229)-1)*5,1,1))</f>
        <v>1</v>
      </c>
      <c r="G232" s="5">
        <f ca="1">COUNTBLANK(OFFSET(Demand!$I241,0,(COLUMN(F229)-1)*5,1,1))</f>
        <v>1</v>
      </c>
      <c r="H232" s="5">
        <f ca="1">COUNTBLANK(OFFSET(Demand!$I241,0,(COLUMN(G229)-1)*5,1,1))</f>
        <v>1</v>
      </c>
      <c r="I232" s="5">
        <f ca="1">COUNTBLANK(OFFSET(Demand!$I241,0,(COLUMN(H229)-1)*5,1,1))</f>
        <v>1</v>
      </c>
      <c r="J232" s="5">
        <f ca="1">COUNTBLANK(OFFSET(Demand!$I241,0,(COLUMN(I229)-1)*5,1,1))</f>
        <v>1</v>
      </c>
      <c r="K232" s="5">
        <f ca="1">COUNTBLANK(OFFSET(Demand!$I241,0,(COLUMN(J229)-1)*5,1,1))</f>
        <v>1</v>
      </c>
      <c r="N232" s="5">
        <f ca="1">SUM(OFFSET(Demand!$E241,0,(COLUMN(A229)-1)*5,1,3))*N$2</f>
        <v>0</v>
      </c>
      <c r="O232" s="5">
        <f ca="1">SUM(OFFSET(Demand!$E241,0,(COLUMN(B229)-1)*5,1,3))*O$2</f>
        <v>0</v>
      </c>
      <c r="P232" s="5">
        <f ca="1">SUM(OFFSET(Demand!$E241,0,(COLUMN(C229)-1)*5,1,3))*P$2</f>
        <v>0</v>
      </c>
      <c r="Q232" s="5">
        <f ca="1">SUM(OFFSET(Demand!$E241,0,(COLUMN(D229)-1)*5,1,3))*Q$2</f>
        <v>0</v>
      </c>
      <c r="R232" s="5">
        <f ca="1">SUM(OFFSET(Demand!$E241,0,(COLUMN(E229)-1)*5,1,3))*R$2</f>
        <v>0</v>
      </c>
      <c r="S232" s="5">
        <f ca="1">SUM(OFFSET(Demand!$E241,0,(COLUMN(F229)-1)*5,1,3))*S$2</f>
        <v>0</v>
      </c>
      <c r="T232" s="5">
        <f ca="1">SUM(OFFSET(Demand!$E241,0,(COLUMN(G229)-1)*5,1,3))*T$2</f>
        <v>0</v>
      </c>
      <c r="U232" s="5">
        <f ca="1">SUM(OFFSET(Demand!$E241,0,(COLUMN(H229)-1)*5,1,3))*U$2</f>
        <v>0</v>
      </c>
      <c r="V232" s="5">
        <f ca="1">SUM(OFFSET(Demand!$E241,0,(COLUMN(I229)-1)*5,1,3))*V$2</f>
        <v>0</v>
      </c>
      <c r="W232" s="5">
        <f ca="1">SUM(OFFSET(Demand!$E241,0,(COLUMN(J229)-1)*5,1,3))*W$2</f>
        <v>0</v>
      </c>
      <c r="X232" s="5">
        <f t="shared" ca="1" si="47"/>
        <v>0</v>
      </c>
      <c r="Y232">
        <f t="shared" ca="1" si="48"/>
        <v>0</v>
      </c>
      <c r="Z232" s="5">
        <f ca="1">SUM(OFFSET(Demand!$H241,0,(COLUMN(A229)-1)*5,1,1))*N$2</f>
        <v>0</v>
      </c>
      <c r="AA232" s="5">
        <f ca="1">SUM(OFFSET(Demand!$H241,0,(COLUMN(B229)-1)*5,1,1))*O$2</f>
        <v>0</v>
      </c>
      <c r="AB232" s="5">
        <f ca="1">SUM(OFFSET(Demand!$H241,0,(COLUMN(C229)-1)*5,1,1))*P$2</f>
        <v>0</v>
      </c>
      <c r="AC232" s="5">
        <f ca="1">SUM(OFFSET(Demand!$H241,0,(COLUMN(D229)-1)*5,1,1))*Q$2</f>
        <v>0</v>
      </c>
      <c r="AD232" s="5">
        <f ca="1">SUM(OFFSET(Demand!$H241,0,(COLUMN(E229)-1)*5,1,1))*R$2</f>
        <v>0</v>
      </c>
      <c r="AE232" s="5">
        <f ca="1">SUM(OFFSET(Demand!$H241,0,(COLUMN(F229)-1)*5,1,1))*S$2</f>
        <v>0</v>
      </c>
      <c r="AF232" s="5">
        <f ca="1">SUM(OFFSET(Demand!$H241,0,(COLUMN(G229)-1)*5,1,1))*T$2</f>
        <v>0</v>
      </c>
      <c r="AG232" s="5">
        <f ca="1">SUM(OFFSET(Demand!$H241,0,(COLUMN(H229)-1)*5,1,1))*U$2</f>
        <v>0</v>
      </c>
      <c r="AH232" s="5">
        <f ca="1">SUM(OFFSET(Demand!$H241,0,(COLUMN(I229)-1)*5,1,1))*V$2</f>
        <v>0</v>
      </c>
      <c r="AI232" s="5">
        <f ca="1">SUM(OFFSET(Demand!$H241,0,(COLUMN(J229)-1)*5,1,1))*W$2</f>
        <v>0</v>
      </c>
      <c r="AJ232" s="5">
        <f t="shared" ca="1" si="49"/>
        <v>0</v>
      </c>
      <c r="AL232" s="5">
        <f t="shared" ca="1" si="50"/>
        <v>0</v>
      </c>
      <c r="AM232" s="5">
        <f t="shared" ca="1" si="51"/>
        <v>0</v>
      </c>
      <c r="AN232" s="5" t="str">
        <f>IF(Demand!BE241="Yes","Yes","")</f>
        <v/>
      </c>
      <c r="AP232" s="37" t="str">
        <f ca="1">Demand!B241</f>
        <v xml:space="preserve"> </v>
      </c>
      <c r="AQ232" t="str">
        <f ca="1">IF(TEXT(Demand!D241,"MMM")&lt;&gt;TEXT(Demand!D240,"MMM"),TEXT(Demand!D241,"MMM"),"")</f>
        <v/>
      </c>
      <c r="AT232" s="5">
        <f t="shared" ca="1" si="53"/>
        <v>0</v>
      </c>
      <c r="BQ232">
        <f ca="1">IF($AN232="",OFFSET(Demand!$A$13,ROW(A229)-1,4+((QUOTIENT(COLUMN(BQ$2)-69,3))*5)+MOD(COLUMN(BQ$2),3),1,1),"")</f>
        <v>0</v>
      </c>
      <c r="BR232">
        <f ca="1">IF($AN232="",OFFSET(Demand!$A$13,ROW(B229)-1,4+((QUOTIENT(COLUMN(BR$2)-69,3))*5)+MOD(COLUMN(BR$2),3),1,1),"")</f>
        <v>0</v>
      </c>
      <c r="BS232">
        <f ca="1">IF($AN232="",OFFSET(Demand!$A$13,ROW(C229)-1,4+((QUOTIENT(COLUMN(BS$2)-69,3))*5)+MOD(COLUMN(BS$2),3),1,1),"")</f>
        <v>0</v>
      </c>
      <c r="BT232">
        <f ca="1">IF($AN232="",OFFSET(Demand!$A$13,ROW(D229)-1,4+((QUOTIENT(COLUMN(BT$2)-69,3))*5)+MOD(COLUMN(BT$2),3),1,1),"")</f>
        <v>0</v>
      </c>
      <c r="BU232">
        <f ca="1">IF($AN232="",OFFSET(Demand!$A$13,ROW(E229)-1,4+((QUOTIENT(COLUMN(BU$2)-69,3))*5)+MOD(COLUMN(BU$2),3),1,1),"")</f>
        <v>0</v>
      </c>
      <c r="BV232">
        <f ca="1">IF($AN232="",OFFSET(Demand!$A$13,ROW(F229)-1,4+((QUOTIENT(COLUMN(BV$2)-69,3))*5)+MOD(COLUMN(BV$2),3),1,1),"")</f>
        <v>0</v>
      </c>
      <c r="BW232">
        <f ca="1">IF($AN232="",OFFSET(Demand!$A$13,ROW(G229)-1,4+((QUOTIENT(COLUMN(BW$2)-69,3))*5)+MOD(COLUMN(BW$2),3),1,1),"")</f>
        <v>0</v>
      </c>
      <c r="BX232">
        <f ca="1">IF($AN232="",OFFSET(Demand!$A$13,ROW(H229)-1,4+((QUOTIENT(COLUMN(BX$2)-69,3))*5)+MOD(COLUMN(BX$2),3),1,1),"")</f>
        <v>0</v>
      </c>
      <c r="BY232">
        <f ca="1">IF($AN232="",OFFSET(Demand!$A$13,ROW(I229)-1,4+((QUOTIENT(COLUMN(BY$2)-69,3))*5)+MOD(COLUMN(BY$2),3),1,1),"")</f>
        <v>0</v>
      </c>
      <c r="BZ232">
        <f ca="1">IF($AN232="",OFFSET(Demand!$A$13,ROW(J229)-1,4+((QUOTIENT(COLUMN(BZ$2)-69,3))*5)+MOD(COLUMN(BZ$2),3),1,1),"")</f>
        <v>0</v>
      </c>
      <c r="CA232">
        <f ca="1">IF($AN232="",OFFSET(Demand!$A$13,ROW(K229)-1,4+((QUOTIENT(COLUMN(CA$2)-69,3))*5)+MOD(COLUMN(CA$2),3),1,1),"")</f>
        <v>0</v>
      </c>
      <c r="CB232">
        <f ca="1">IF($AN232="",OFFSET(Demand!$A$13,ROW(L229)-1,4+((QUOTIENT(COLUMN(CB$2)-69,3))*5)+MOD(COLUMN(CB$2),3),1,1),"")</f>
        <v>0</v>
      </c>
      <c r="CC232">
        <f ca="1">IF($AN232="",OFFSET(Demand!$A$13,ROW(M229)-1,4+((QUOTIENT(COLUMN(CC$2)-69,3))*5)+MOD(COLUMN(CC$2),3),1,1),"")</f>
        <v>0</v>
      </c>
      <c r="CD232">
        <f ca="1">IF($AN232="",OFFSET(Demand!$A$13,ROW(N229)-1,4+((QUOTIENT(COLUMN(CD$2)-69,3))*5)+MOD(COLUMN(CD$2),3),1,1),"")</f>
        <v>0</v>
      </c>
      <c r="CE232">
        <f ca="1">IF($AN232="",OFFSET(Demand!$A$13,ROW(O229)-1,4+((QUOTIENT(COLUMN(CE$2)-69,3))*5)+MOD(COLUMN(CE$2),3),1,1),"")</f>
        <v>0</v>
      </c>
      <c r="CF232">
        <f ca="1">IF($AN232="",OFFSET(Demand!$A$13,ROW(P229)-1,4+((QUOTIENT(COLUMN(CF$2)-69,3))*5)+MOD(COLUMN(CF$2),3),1,1),"")</f>
        <v>0</v>
      </c>
      <c r="CG232">
        <f ca="1">IF($AN232="",OFFSET(Demand!$A$13,ROW(Q229)-1,4+((QUOTIENT(COLUMN(CG$2)-69,3))*5)+MOD(COLUMN(CG$2),3),1,1),"")</f>
        <v>0</v>
      </c>
      <c r="CH232">
        <f ca="1">IF($AN232="",OFFSET(Demand!$A$13,ROW(R229)-1,4+((QUOTIENT(COLUMN(CH$2)-69,3))*5)+MOD(COLUMN(CH$2),3),1,1),"")</f>
        <v>0</v>
      </c>
      <c r="CI232">
        <f ca="1">IF($AN232="",OFFSET(Demand!$A$13,ROW(S229)-1,4+((QUOTIENT(COLUMN(CI$2)-69,3))*5)+MOD(COLUMN(CI$2),3),1,1),"")</f>
        <v>0</v>
      </c>
      <c r="CJ232">
        <f ca="1">IF($AN232="",OFFSET(Demand!$A$13,ROW(T229)-1,4+((QUOTIENT(COLUMN(CJ$2)-69,3))*5)+MOD(COLUMN(CJ$2),3),1,1),"")</f>
        <v>0</v>
      </c>
      <c r="CK232">
        <f ca="1">IF($AN232="",OFFSET(Demand!$A$13,ROW(U229)-1,4+((QUOTIENT(COLUMN(CK$2)-69,3))*5)+MOD(COLUMN(CK$2),3),1,1),"")</f>
        <v>0</v>
      </c>
      <c r="CL232">
        <f ca="1">IF($AN232="",OFFSET(Demand!$A$13,ROW(V229)-1,4+((QUOTIENT(COLUMN(CL$2)-69,3))*5)+MOD(COLUMN(CL$2),3),1,1),"")</f>
        <v>0</v>
      </c>
      <c r="CM232">
        <f ca="1">IF($AN232="",OFFSET(Demand!$A$13,ROW(W229)-1,4+((QUOTIENT(COLUMN(CM$2)-69,3))*5)+MOD(COLUMN(CM$2),3),1,1),"")</f>
        <v>0</v>
      </c>
      <c r="CN232">
        <f ca="1">IF($AN232="",OFFSET(Demand!$A$13,ROW(X229)-1,4+((QUOTIENT(COLUMN(CN$2)-69,3))*5)+MOD(COLUMN(CN$2),3),1,1),"")</f>
        <v>0</v>
      </c>
      <c r="CO232">
        <f ca="1">IF($AN232="",OFFSET(Demand!$A$13,ROW(Y229)-1,4+((QUOTIENT(COLUMN(CO$2)-69,3))*5)+MOD(COLUMN(CO$2),3),1,1),"")</f>
        <v>0</v>
      </c>
      <c r="CP232">
        <f ca="1">IF($AN232="",OFFSET(Demand!$A$13,ROW(Z229)-1,4+((QUOTIENT(COLUMN(CP$2)-69,3))*5)+MOD(COLUMN(CP$2),3),1,1),"")</f>
        <v>0</v>
      </c>
      <c r="CQ232">
        <f ca="1">IF($AN232="",OFFSET(Demand!$A$13,ROW(AA229)-1,4+((QUOTIENT(COLUMN(CQ$2)-69,3))*5)+MOD(COLUMN(CQ$2),3),1,1),"")</f>
        <v>0</v>
      </c>
      <c r="CR232">
        <f ca="1">IF($AN232="",OFFSET(Demand!$A$13,ROW(AB229)-1,4+((QUOTIENT(COLUMN(CR$2)-69,3))*5)+MOD(COLUMN(CR$2),3),1,1),"")</f>
        <v>0</v>
      </c>
      <c r="CS232">
        <f ca="1">IF($AN232="",OFFSET(Demand!$A$13,ROW(AC229)-1,4+((QUOTIENT(COLUMN(CS$2)-69,3))*5)+MOD(COLUMN(CS$2),3),1,1),"")</f>
        <v>0</v>
      </c>
      <c r="CT232">
        <f ca="1">IF($AN232="",OFFSET(Demand!$A$13,ROW(AD229)-1,4+((QUOTIENT(COLUMN(CT$2)-69,3))*5)+MOD(COLUMN(CT$2),3),1,1),"")</f>
        <v>0</v>
      </c>
      <c r="CW232" s="5">
        <f ca="1">SUM(OFFSET(Demand!$H$43,ROW(A229)-1,(COLUMN(A229)-1)*5,1,1))*N$2</f>
        <v>0</v>
      </c>
      <c r="CX232" s="5">
        <f ca="1">SUM(OFFSET(Demand!$H$43,ROW(B229)-1,(COLUMN(B229)-1)*5,1,1))*O$2</f>
        <v>0</v>
      </c>
      <c r="CY232" s="5">
        <f ca="1">SUM(OFFSET(Demand!$H$43,ROW(C229)-1,(COLUMN(C229)-1)*5,1,1))*P$2</f>
        <v>0</v>
      </c>
      <c r="CZ232" s="5">
        <f ca="1">SUM(OFFSET(Demand!$H$43,ROW(D229)-1,(COLUMN(D229)-1)*5,1,1))*Q$2</f>
        <v>0</v>
      </c>
      <c r="DA232" s="5">
        <f ca="1">SUM(OFFSET(Demand!$H$43,ROW(E229)-1,(COLUMN(E229)-1)*5,1,1))*R$2</f>
        <v>0</v>
      </c>
      <c r="DB232" s="5">
        <f ca="1">SUM(OFFSET(Demand!$H$43,ROW(F229)-1,(COLUMN(F229)-1)*5,1,1))*S$2</f>
        <v>0</v>
      </c>
      <c r="DC232" s="5">
        <f ca="1">SUM(OFFSET(Demand!$H$43,ROW(G229)-1,(COLUMN(G229)-1)*5,1,1))*T$2</f>
        <v>0</v>
      </c>
      <c r="DD232" s="5">
        <f ca="1">SUM(OFFSET(Demand!$H$43,ROW(H229)-1,(COLUMN(H229)-1)*5,1,1))*U$2</f>
        <v>0</v>
      </c>
      <c r="DE232" s="5">
        <f ca="1">SUM(OFFSET(Demand!$H$43,ROW(I229)-1,(COLUMN(I229)-1)*5,1,1))*V$2</f>
        <v>0</v>
      </c>
      <c r="DF232" s="5">
        <f ca="1">SUM(OFFSET(Demand!$H$43,ROW(J229)-1,(COLUMN(J229)-1)*5,1,1))*W$2</f>
        <v>0</v>
      </c>
      <c r="DG232" s="5">
        <f t="shared" ca="1" si="52"/>
        <v>0</v>
      </c>
    </row>
    <row r="233" spans="1:111" x14ac:dyDescent="0.2">
      <c r="A233" s="5">
        <f t="shared" ca="1" si="46"/>
        <v>2</v>
      </c>
      <c r="B233" s="5">
        <f ca="1">COUNTBLANK(OFFSET(Demand!$I242,0,(COLUMN(A230)-1)*5,1,1))</f>
        <v>1</v>
      </c>
      <c r="C233" s="5">
        <f ca="1">COUNTBLANK(OFFSET(Demand!$I242,0,(COLUMN(B230)-1)*5,1,1))</f>
        <v>1</v>
      </c>
      <c r="D233" s="5">
        <f ca="1">COUNTBLANK(OFFSET(Demand!$I242,0,(COLUMN(C230)-1)*5,1,1))</f>
        <v>1</v>
      </c>
      <c r="E233" s="5">
        <f ca="1">COUNTBLANK(OFFSET(Demand!$I242,0,(COLUMN(D230)-1)*5,1,1))</f>
        <v>1</v>
      </c>
      <c r="F233" s="5">
        <f ca="1">COUNTBLANK(OFFSET(Demand!$I242,0,(COLUMN(E230)-1)*5,1,1))</f>
        <v>1</v>
      </c>
      <c r="G233" s="5">
        <f ca="1">COUNTBLANK(OFFSET(Demand!$I242,0,(COLUMN(F230)-1)*5,1,1))</f>
        <v>1</v>
      </c>
      <c r="H233" s="5">
        <f ca="1">COUNTBLANK(OFFSET(Demand!$I242,0,(COLUMN(G230)-1)*5,1,1))</f>
        <v>1</v>
      </c>
      <c r="I233" s="5">
        <f ca="1">COUNTBLANK(OFFSET(Demand!$I242,0,(COLUMN(H230)-1)*5,1,1))</f>
        <v>1</v>
      </c>
      <c r="J233" s="5">
        <f ca="1">COUNTBLANK(OFFSET(Demand!$I242,0,(COLUMN(I230)-1)*5,1,1))</f>
        <v>1</v>
      </c>
      <c r="K233" s="5">
        <f ca="1">COUNTBLANK(OFFSET(Demand!$I242,0,(COLUMN(J230)-1)*5,1,1))</f>
        <v>1</v>
      </c>
      <c r="N233" s="5">
        <f ca="1">SUM(OFFSET(Demand!$E242,0,(COLUMN(A230)-1)*5,1,3))*N$2</f>
        <v>0</v>
      </c>
      <c r="O233" s="5">
        <f ca="1">SUM(OFFSET(Demand!$E242,0,(COLUMN(B230)-1)*5,1,3))*O$2</f>
        <v>0</v>
      </c>
      <c r="P233" s="5">
        <f ca="1">SUM(OFFSET(Demand!$E242,0,(COLUMN(C230)-1)*5,1,3))*P$2</f>
        <v>0</v>
      </c>
      <c r="Q233" s="5">
        <f ca="1">SUM(OFFSET(Demand!$E242,0,(COLUMN(D230)-1)*5,1,3))*Q$2</f>
        <v>0</v>
      </c>
      <c r="R233" s="5">
        <f ca="1">SUM(OFFSET(Demand!$E242,0,(COLUMN(E230)-1)*5,1,3))*R$2</f>
        <v>0</v>
      </c>
      <c r="S233" s="5">
        <f ca="1">SUM(OFFSET(Demand!$E242,0,(COLUMN(F230)-1)*5,1,3))*S$2</f>
        <v>0</v>
      </c>
      <c r="T233" s="5">
        <f ca="1">SUM(OFFSET(Demand!$E242,0,(COLUMN(G230)-1)*5,1,3))*T$2</f>
        <v>0</v>
      </c>
      <c r="U233" s="5">
        <f ca="1">SUM(OFFSET(Demand!$E242,0,(COLUMN(H230)-1)*5,1,3))*U$2</f>
        <v>0</v>
      </c>
      <c r="V233" s="5">
        <f ca="1">SUM(OFFSET(Demand!$E242,0,(COLUMN(I230)-1)*5,1,3))*V$2</f>
        <v>0</v>
      </c>
      <c r="W233" s="5">
        <f ca="1">SUM(OFFSET(Demand!$E242,0,(COLUMN(J230)-1)*5,1,3))*W$2</f>
        <v>0</v>
      </c>
      <c r="X233" s="5">
        <f t="shared" ca="1" si="47"/>
        <v>0</v>
      </c>
      <c r="Y233">
        <f t="shared" ca="1" si="48"/>
        <v>0</v>
      </c>
      <c r="Z233" s="5">
        <f ca="1">SUM(OFFSET(Demand!$H242,0,(COLUMN(A230)-1)*5,1,1))*N$2</f>
        <v>0</v>
      </c>
      <c r="AA233" s="5">
        <f ca="1">SUM(OFFSET(Demand!$H242,0,(COLUMN(B230)-1)*5,1,1))*O$2</f>
        <v>0</v>
      </c>
      <c r="AB233" s="5">
        <f ca="1">SUM(OFFSET(Demand!$H242,0,(COLUMN(C230)-1)*5,1,1))*P$2</f>
        <v>0</v>
      </c>
      <c r="AC233" s="5">
        <f ca="1">SUM(OFFSET(Demand!$H242,0,(COLUMN(D230)-1)*5,1,1))*Q$2</f>
        <v>0</v>
      </c>
      <c r="AD233" s="5">
        <f ca="1">SUM(OFFSET(Demand!$H242,0,(COLUMN(E230)-1)*5,1,1))*R$2</f>
        <v>0</v>
      </c>
      <c r="AE233" s="5">
        <f ca="1">SUM(OFFSET(Demand!$H242,0,(COLUMN(F230)-1)*5,1,1))*S$2</f>
        <v>0</v>
      </c>
      <c r="AF233" s="5">
        <f ca="1">SUM(OFFSET(Demand!$H242,0,(COLUMN(G230)-1)*5,1,1))*T$2</f>
        <v>0</v>
      </c>
      <c r="AG233" s="5">
        <f ca="1">SUM(OFFSET(Demand!$H242,0,(COLUMN(H230)-1)*5,1,1))*U$2</f>
        <v>0</v>
      </c>
      <c r="AH233" s="5">
        <f ca="1">SUM(OFFSET(Demand!$H242,0,(COLUMN(I230)-1)*5,1,1))*V$2</f>
        <v>0</v>
      </c>
      <c r="AI233" s="5">
        <f ca="1">SUM(OFFSET(Demand!$H242,0,(COLUMN(J230)-1)*5,1,1))*W$2</f>
        <v>0</v>
      </c>
      <c r="AJ233" s="5">
        <f t="shared" ca="1" si="49"/>
        <v>0</v>
      </c>
      <c r="AL233" s="5">
        <f t="shared" ca="1" si="50"/>
        <v>0</v>
      </c>
      <c r="AM233" s="5">
        <f t="shared" ca="1" si="51"/>
        <v>0</v>
      </c>
      <c r="AN233" s="5" t="str">
        <f>IF(Demand!BE242="Yes","Yes","")</f>
        <v/>
      </c>
      <c r="AP233" s="37" t="str">
        <f ca="1">Demand!B242</f>
        <v xml:space="preserve"> </v>
      </c>
      <c r="AQ233" t="str">
        <f ca="1">IF(TEXT(Demand!D242,"MMM")&lt;&gt;TEXT(Demand!D241,"MMM"),TEXT(Demand!D242,"MMM"),"")</f>
        <v/>
      </c>
      <c r="AT233" s="5">
        <f t="shared" ca="1" si="53"/>
        <v>0</v>
      </c>
      <c r="BQ233">
        <f ca="1">IF($AN233="",OFFSET(Demand!$A$13,ROW(A230)-1,4+((QUOTIENT(COLUMN(BQ$2)-69,3))*5)+MOD(COLUMN(BQ$2),3),1,1),"")</f>
        <v>0</v>
      </c>
      <c r="BR233">
        <f ca="1">IF($AN233="",OFFSET(Demand!$A$13,ROW(B230)-1,4+((QUOTIENT(COLUMN(BR$2)-69,3))*5)+MOD(COLUMN(BR$2),3),1,1),"")</f>
        <v>0</v>
      </c>
      <c r="BS233">
        <f ca="1">IF($AN233="",OFFSET(Demand!$A$13,ROW(C230)-1,4+((QUOTIENT(COLUMN(BS$2)-69,3))*5)+MOD(COLUMN(BS$2),3),1,1),"")</f>
        <v>0</v>
      </c>
      <c r="BT233">
        <f ca="1">IF($AN233="",OFFSET(Demand!$A$13,ROW(D230)-1,4+((QUOTIENT(COLUMN(BT$2)-69,3))*5)+MOD(COLUMN(BT$2),3),1,1),"")</f>
        <v>0</v>
      </c>
      <c r="BU233">
        <f ca="1">IF($AN233="",OFFSET(Demand!$A$13,ROW(E230)-1,4+((QUOTIENT(COLUMN(BU$2)-69,3))*5)+MOD(COLUMN(BU$2),3),1,1),"")</f>
        <v>0</v>
      </c>
      <c r="BV233">
        <f ca="1">IF($AN233="",OFFSET(Demand!$A$13,ROW(F230)-1,4+((QUOTIENT(COLUMN(BV$2)-69,3))*5)+MOD(COLUMN(BV$2),3),1,1),"")</f>
        <v>0</v>
      </c>
      <c r="BW233">
        <f ca="1">IF($AN233="",OFFSET(Demand!$A$13,ROW(G230)-1,4+((QUOTIENT(COLUMN(BW$2)-69,3))*5)+MOD(COLUMN(BW$2),3),1,1),"")</f>
        <v>0</v>
      </c>
      <c r="BX233">
        <f ca="1">IF($AN233="",OFFSET(Demand!$A$13,ROW(H230)-1,4+((QUOTIENT(COLUMN(BX$2)-69,3))*5)+MOD(COLUMN(BX$2),3),1,1),"")</f>
        <v>0</v>
      </c>
      <c r="BY233">
        <f ca="1">IF($AN233="",OFFSET(Demand!$A$13,ROW(I230)-1,4+((QUOTIENT(COLUMN(BY$2)-69,3))*5)+MOD(COLUMN(BY$2),3),1,1),"")</f>
        <v>0</v>
      </c>
      <c r="BZ233">
        <f ca="1">IF($AN233="",OFFSET(Demand!$A$13,ROW(J230)-1,4+((QUOTIENT(COLUMN(BZ$2)-69,3))*5)+MOD(COLUMN(BZ$2),3),1,1),"")</f>
        <v>0</v>
      </c>
      <c r="CA233">
        <f ca="1">IF($AN233="",OFFSET(Demand!$A$13,ROW(K230)-1,4+((QUOTIENT(COLUMN(CA$2)-69,3))*5)+MOD(COLUMN(CA$2),3),1,1),"")</f>
        <v>0</v>
      </c>
      <c r="CB233">
        <f ca="1">IF($AN233="",OFFSET(Demand!$A$13,ROW(L230)-1,4+((QUOTIENT(COLUMN(CB$2)-69,3))*5)+MOD(COLUMN(CB$2),3),1,1),"")</f>
        <v>0</v>
      </c>
      <c r="CC233">
        <f ca="1">IF($AN233="",OFFSET(Demand!$A$13,ROW(M230)-1,4+((QUOTIENT(COLUMN(CC$2)-69,3))*5)+MOD(COLUMN(CC$2),3),1,1),"")</f>
        <v>0</v>
      </c>
      <c r="CD233">
        <f ca="1">IF($AN233="",OFFSET(Demand!$A$13,ROW(N230)-1,4+((QUOTIENT(COLUMN(CD$2)-69,3))*5)+MOD(COLUMN(CD$2),3),1,1),"")</f>
        <v>0</v>
      </c>
      <c r="CE233">
        <f ca="1">IF($AN233="",OFFSET(Demand!$A$13,ROW(O230)-1,4+((QUOTIENT(COLUMN(CE$2)-69,3))*5)+MOD(COLUMN(CE$2),3),1,1),"")</f>
        <v>0</v>
      </c>
      <c r="CF233">
        <f ca="1">IF($AN233="",OFFSET(Demand!$A$13,ROW(P230)-1,4+((QUOTIENT(COLUMN(CF$2)-69,3))*5)+MOD(COLUMN(CF$2),3),1,1),"")</f>
        <v>0</v>
      </c>
      <c r="CG233">
        <f ca="1">IF($AN233="",OFFSET(Demand!$A$13,ROW(Q230)-1,4+((QUOTIENT(COLUMN(CG$2)-69,3))*5)+MOD(COLUMN(CG$2),3),1,1),"")</f>
        <v>0</v>
      </c>
      <c r="CH233">
        <f ca="1">IF($AN233="",OFFSET(Demand!$A$13,ROW(R230)-1,4+((QUOTIENT(COLUMN(CH$2)-69,3))*5)+MOD(COLUMN(CH$2),3),1,1),"")</f>
        <v>0</v>
      </c>
      <c r="CI233">
        <f ca="1">IF($AN233="",OFFSET(Demand!$A$13,ROW(S230)-1,4+((QUOTIENT(COLUMN(CI$2)-69,3))*5)+MOD(COLUMN(CI$2),3),1,1),"")</f>
        <v>0</v>
      </c>
      <c r="CJ233">
        <f ca="1">IF($AN233="",OFFSET(Demand!$A$13,ROW(T230)-1,4+((QUOTIENT(COLUMN(CJ$2)-69,3))*5)+MOD(COLUMN(CJ$2),3),1,1),"")</f>
        <v>0</v>
      </c>
      <c r="CK233">
        <f ca="1">IF($AN233="",OFFSET(Demand!$A$13,ROW(U230)-1,4+((QUOTIENT(COLUMN(CK$2)-69,3))*5)+MOD(COLUMN(CK$2),3),1,1),"")</f>
        <v>0</v>
      </c>
      <c r="CL233">
        <f ca="1">IF($AN233="",OFFSET(Demand!$A$13,ROW(V230)-1,4+((QUOTIENT(COLUMN(CL$2)-69,3))*5)+MOD(COLUMN(CL$2),3),1,1),"")</f>
        <v>0</v>
      </c>
      <c r="CM233">
        <f ca="1">IF($AN233="",OFFSET(Demand!$A$13,ROW(W230)-1,4+((QUOTIENT(COLUMN(CM$2)-69,3))*5)+MOD(COLUMN(CM$2),3),1,1),"")</f>
        <v>0</v>
      </c>
      <c r="CN233">
        <f ca="1">IF($AN233="",OFFSET(Demand!$A$13,ROW(X230)-1,4+((QUOTIENT(COLUMN(CN$2)-69,3))*5)+MOD(COLUMN(CN$2),3),1,1),"")</f>
        <v>0</v>
      </c>
      <c r="CO233">
        <f ca="1">IF($AN233="",OFFSET(Demand!$A$13,ROW(Y230)-1,4+((QUOTIENT(COLUMN(CO$2)-69,3))*5)+MOD(COLUMN(CO$2),3),1,1),"")</f>
        <v>0</v>
      </c>
      <c r="CP233">
        <f ca="1">IF($AN233="",OFFSET(Demand!$A$13,ROW(Z230)-1,4+((QUOTIENT(COLUMN(CP$2)-69,3))*5)+MOD(COLUMN(CP$2),3),1,1),"")</f>
        <v>0</v>
      </c>
      <c r="CQ233">
        <f ca="1">IF($AN233="",OFFSET(Demand!$A$13,ROW(AA230)-1,4+((QUOTIENT(COLUMN(CQ$2)-69,3))*5)+MOD(COLUMN(CQ$2),3),1,1),"")</f>
        <v>0</v>
      </c>
      <c r="CR233">
        <f ca="1">IF($AN233="",OFFSET(Demand!$A$13,ROW(AB230)-1,4+((QUOTIENT(COLUMN(CR$2)-69,3))*5)+MOD(COLUMN(CR$2),3),1,1),"")</f>
        <v>0</v>
      </c>
      <c r="CS233">
        <f ca="1">IF($AN233="",OFFSET(Demand!$A$13,ROW(AC230)-1,4+((QUOTIENT(COLUMN(CS$2)-69,3))*5)+MOD(COLUMN(CS$2),3),1,1),"")</f>
        <v>0</v>
      </c>
      <c r="CT233">
        <f ca="1">IF($AN233="",OFFSET(Demand!$A$13,ROW(AD230)-1,4+((QUOTIENT(COLUMN(CT$2)-69,3))*5)+MOD(COLUMN(CT$2),3),1,1),"")</f>
        <v>0</v>
      </c>
      <c r="CW233" s="5">
        <f ca="1">SUM(OFFSET(Demand!$H$43,ROW(A230)-1,(COLUMN(A230)-1)*5,1,1))*N$2</f>
        <v>0</v>
      </c>
      <c r="CX233" s="5">
        <f ca="1">SUM(OFFSET(Demand!$H$43,ROW(B230)-1,(COLUMN(B230)-1)*5,1,1))*O$2</f>
        <v>0</v>
      </c>
      <c r="CY233" s="5">
        <f ca="1">SUM(OFFSET(Demand!$H$43,ROW(C230)-1,(COLUMN(C230)-1)*5,1,1))*P$2</f>
        <v>0</v>
      </c>
      <c r="CZ233" s="5">
        <f ca="1">SUM(OFFSET(Demand!$H$43,ROW(D230)-1,(COLUMN(D230)-1)*5,1,1))*Q$2</f>
        <v>0</v>
      </c>
      <c r="DA233" s="5">
        <f ca="1">SUM(OFFSET(Demand!$H$43,ROW(E230)-1,(COLUMN(E230)-1)*5,1,1))*R$2</f>
        <v>0</v>
      </c>
      <c r="DB233" s="5">
        <f ca="1">SUM(OFFSET(Demand!$H$43,ROW(F230)-1,(COLUMN(F230)-1)*5,1,1))*S$2</f>
        <v>0</v>
      </c>
      <c r="DC233" s="5">
        <f ca="1">SUM(OFFSET(Demand!$H$43,ROW(G230)-1,(COLUMN(G230)-1)*5,1,1))*T$2</f>
        <v>0</v>
      </c>
      <c r="DD233" s="5">
        <f ca="1">SUM(OFFSET(Demand!$H$43,ROW(H230)-1,(COLUMN(H230)-1)*5,1,1))*U$2</f>
        <v>0</v>
      </c>
      <c r="DE233" s="5">
        <f ca="1">SUM(OFFSET(Demand!$H$43,ROW(I230)-1,(COLUMN(I230)-1)*5,1,1))*V$2</f>
        <v>0</v>
      </c>
      <c r="DF233" s="5">
        <f ca="1">SUM(OFFSET(Demand!$H$43,ROW(J230)-1,(COLUMN(J230)-1)*5,1,1))*W$2</f>
        <v>0</v>
      </c>
      <c r="DG233" s="5">
        <f t="shared" ca="1" si="52"/>
        <v>0</v>
      </c>
    </row>
    <row r="234" spans="1:111" x14ac:dyDescent="0.2">
      <c r="A234" s="5">
        <f t="shared" ca="1" si="46"/>
        <v>2</v>
      </c>
      <c r="B234" s="5">
        <f ca="1">COUNTBLANK(OFFSET(Demand!$I243,0,(COLUMN(A231)-1)*5,1,1))</f>
        <v>1</v>
      </c>
      <c r="C234" s="5">
        <f ca="1">COUNTBLANK(OFFSET(Demand!$I243,0,(COLUMN(B231)-1)*5,1,1))</f>
        <v>1</v>
      </c>
      <c r="D234" s="5">
        <f ca="1">COUNTBLANK(OFFSET(Demand!$I243,0,(COLUMN(C231)-1)*5,1,1))</f>
        <v>1</v>
      </c>
      <c r="E234" s="5">
        <f ca="1">COUNTBLANK(OFFSET(Demand!$I243,0,(COLUMN(D231)-1)*5,1,1))</f>
        <v>1</v>
      </c>
      <c r="F234" s="5">
        <f ca="1">COUNTBLANK(OFFSET(Demand!$I243,0,(COLUMN(E231)-1)*5,1,1))</f>
        <v>1</v>
      </c>
      <c r="G234" s="5">
        <f ca="1">COUNTBLANK(OFFSET(Demand!$I243,0,(COLUMN(F231)-1)*5,1,1))</f>
        <v>1</v>
      </c>
      <c r="H234" s="5">
        <f ca="1">COUNTBLANK(OFFSET(Demand!$I243,0,(COLUMN(G231)-1)*5,1,1))</f>
        <v>1</v>
      </c>
      <c r="I234" s="5">
        <f ca="1">COUNTBLANK(OFFSET(Demand!$I243,0,(COLUMN(H231)-1)*5,1,1))</f>
        <v>1</v>
      </c>
      <c r="J234" s="5">
        <f ca="1">COUNTBLANK(OFFSET(Demand!$I243,0,(COLUMN(I231)-1)*5,1,1))</f>
        <v>1</v>
      </c>
      <c r="K234" s="5">
        <f ca="1">COUNTBLANK(OFFSET(Demand!$I243,0,(COLUMN(J231)-1)*5,1,1))</f>
        <v>1</v>
      </c>
      <c r="N234" s="5">
        <f ca="1">SUM(OFFSET(Demand!$E243,0,(COLUMN(A231)-1)*5,1,3))*N$2</f>
        <v>0</v>
      </c>
      <c r="O234" s="5">
        <f ca="1">SUM(OFFSET(Demand!$E243,0,(COLUMN(B231)-1)*5,1,3))*O$2</f>
        <v>0</v>
      </c>
      <c r="P234" s="5">
        <f ca="1">SUM(OFFSET(Demand!$E243,0,(COLUMN(C231)-1)*5,1,3))*P$2</f>
        <v>0</v>
      </c>
      <c r="Q234" s="5">
        <f ca="1">SUM(OFFSET(Demand!$E243,0,(COLUMN(D231)-1)*5,1,3))*Q$2</f>
        <v>0</v>
      </c>
      <c r="R234" s="5">
        <f ca="1">SUM(OFFSET(Demand!$E243,0,(COLUMN(E231)-1)*5,1,3))*R$2</f>
        <v>0</v>
      </c>
      <c r="S234" s="5">
        <f ca="1">SUM(OFFSET(Demand!$E243,0,(COLUMN(F231)-1)*5,1,3))*S$2</f>
        <v>0</v>
      </c>
      <c r="T234" s="5">
        <f ca="1">SUM(OFFSET(Demand!$E243,0,(COLUMN(G231)-1)*5,1,3))*T$2</f>
        <v>0</v>
      </c>
      <c r="U234" s="5">
        <f ca="1">SUM(OFFSET(Demand!$E243,0,(COLUMN(H231)-1)*5,1,3))*U$2</f>
        <v>0</v>
      </c>
      <c r="V234" s="5">
        <f ca="1">SUM(OFFSET(Demand!$E243,0,(COLUMN(I231)-1)*5,1,3))*V$2</f>
        <v>0</v>
      </c>
      <c r="W234" s="5">
        <f ca="1">SUM(OFFSET(Demand!$E243,0,(COLUMN(J231)-1)*5,1,3))*W$2</f>
        <v>0</v>
      </c>
      <c r="X234" s="5">
        <f t="shared" ca="1" si="47"/>
        <v>0</v>
      </c>
      <c r="Y234">
        <f t="shared" ca="1" si="48"/>
        <v>0</v>
      </c>
      <c r="Z234" s="5">
        <f ca="1">SUM(OFFSET(Demand!$H243,0,(COLUMN(A231)-1)*5,1,1))*N$2</f>
        <v>0</v>
      </c>
      <c r="AA234" s="5">
        <f ca="1">SUM(OFFSET(Demand!$H243,0,(COLUMN(B231)-1)*5,1,1))*O$2</f>
        <v>0</v>
      </c>
      <c r="AB234" s="5">
        <f ca="1">SUM(OFFSET(Demand!$H243,0,(COLUMN(C231)-1)*5,1,1))*P$2</f>
        <v>0</v>
      </c>
      <c r="AC234" s="5">
        <f ca="1">SUM(OFFSET(Demand!$H243,0,(COLUMN(D231)-1)*5,1,1))*Q$2</f>
        <v>0</v>
      </c>
      <c r="AD234" s="5">
        <f ca="1">SUM(OFFSET(Demand!$H243,0,(COLUMN(E231)-1)*5,1,1))*R$2</f>
        <v>0</v>
      </c>
      <c r="AE234" s="5">
        <f ca="1">SUM(OFFSET(Demand!$H243,0,(COLUMN(F231)-1)*5,1,1))*S$2</f>
        <v>0</v>
      </c>
      <c r="AF234" s="5">
        <f ca="1">SUM(OFFSET(Demand!$H243,0,(COLUMN(G231)-1)*5,1,1))*T$2</f>
        <v>0</v>
      </c>
      <c r="AG234" s="5">
        <f ca="1">SUM(OFFSET(Demand!$H243,0,(COLUMN(H231)-1)*5,1,1))*U$2</f>
        <v>0</v>
      </c>
      <c r="AH234" s="5">
        <f ca="1">SUM(OFFSET(Demand!$H243,0,(COLUMN(I231)-1)*5,1,1))*V$2</f>
        <v>0</v>
      </c>
      <c r="AI234" s="5">
        <f ca="1">SUM(OFFSET(Demand!$H243,0,(COLUMN(J231)-1)*5,1,1))*W$2</f>
        <v>0</v>
      </c>
      <c r="AJ234" s="5">
        <f t="shared" ca="1" si="49"/>
        <v>0</v>
      </c>
      <c r="AL234" s="5">
        <f t="shared" ca="1" si="50"/>
        <v>0</v>
      </c>
      <c r="AM234" s="5">
        <f t="shared" ca="1" si="51"/>
        <v>0</v>
      </c>
      <c r="AN234" s="5" t="str">
        <f>IF(Demand!BE243="Yes","Yes","")</f>
        <v/>
      </c>
      <c r="AP234" s="37" t="str">
        <f ca="1">Demand!B243</f>
        <v xml:space="preserve"> </v>
      </c>
      <c r="AQ234" t="str">
        <f ca="1">IF(TEXT(Demand!D243,"MMM")&lt;&gt;TEXT(Demand!D242,"MMM"),TEXT(Demand!D243,"MMM"),"")</f>
        <v/>
      </c>
      <c r="AT234" s="5">
        <f t="shared" ca="1" si="53"/>
        <v>0</v>
      </c>
      <c r="BQ234">
        <f ca="1">IF($AN234="",OFFSET(Demand!$A$13,ROW(A231)-1,4+((QUOTIENT(COLUMN(BQ$2)-69,3))*5)+MOD(COLUMN(BQ$2),3),1,1),"")</f>
        <v>0</v>
      </c>
      <c r="BR234">
        <f ca="1">IF($AN234="",OFFSET(Demand!$A$13,ROW(B231)-1,4+((QUOTIENT(COLUMN(BR$2)-69,3))*5)+MOD(COLUMN(BR$2),3),1,1),"")</f>
        <v>0</v>
      </c>
      <c r="BS234">
        <f ca="1">IF($AN234="",OFFSET(Demand!$A$13,ROW(C231)-1,4+((QUOTIENT(COLUMN(BS$2)-69,3))*5)+MOD(COLUMN(BS$2),3),1,1),"")</f>
        <v>0</v>
      </c>
      <c r="BT234">
        <f ca="1">IF($AN234="",OFFSET(Demand!$A$13,ROW(D231)-1,4+((QUOTIENT(COLUMN(BT$2)-69,3))*5)+MOD(COLUMN(BT$2),3),1,1),"")</f>
        <v>0</v>
      </c>
      <c r="BU234">
        <f ca="1">IF($AN234="",OFFSET(Demand!$A$13,ROW(E231)-1,4+((QUOTIENT(COLUMN(BU$2)-69,3))*5)+MOD(COLUMN(BU$2),3),1,1),"")</f>
        <v>0</v>
      </c>
      <c r="BV234">
        <f ca="1">IF($AN234="",OFFSET(Demand!$A$13,ROW(F231)-1,4+((QUOTIENT(COLUMN(BV$2)-69,3))*5)+MOD(COLUMN(BV$2),3),1,1),"")</f>
        <v>0</v>
      </c>
      <c r="BW234">
        <f ca="1">IF($AN234="",OFFSET(Demand!$A$13,ROW(G231)-1,4+((QUOTIENT(COLUMN(BW$2)-69,3))*5)+MOD(COLUMN(BW$2),3),1,1),"")</f>
        <v>0</v>
      </c>
      <c r="BX234">
        <f ca="1">IF($AN234="",OFFSET(Demand!$A$13,ROW(H231)-1,4+((QUOTIENT(COLUMN(BX$2)-69,3))*5)+MOD(COLUMN(BX$2),3),1,1),"")</f>
        <v>0</v>
      </c>
      <c r="BY234">
        <f ca="1">IF($AN234="",OFFSET(Demand!$A$13,ROW(I231)-1,4+((QUOTIENT(COLUMN(BY$2)-69,3))*5)+MOD(COLUMN(BY$2),3),1,1),"")</f>
        <v>0</v>
      </c>
      <c r="BZ234">
        <f ca="1">IF($AN234="",OFFSET(Demand!$A$13,ROW(J231)-1,4+((QUOTIENT(COLUMN(BZ$2)-69,3))*5)+MOD(COLUMN(BZ$2),3),1,1),"")</f>
        <v>0</v>
      </c>
      <c r="CA234">
        <f ca="1">IF($AN234="",OFFSET(Demand!$A$13,ROW(K231)-1,4+((QUOTIENT(COLUMN(CA$2)-69,3))*5)+MOD(COLUMN(CA$2),3),1,1),"")</f>
        <v>0</v>
      </c>
      <c r="CB234">
        <f ca="1">IF($AN234="",OFFSET(Demand!$A$13,ROW(L231)-1,4+((QUOTIENT(COLUMN(CB$2)-69,3))*5)+MOD(COLUMN(CB$2),3),1,1),"")</f>
        <v>0</v>
      </c>
      <c r="CC234">
        <f ca="1">IF($AN234="",OFFSET(Demand!$A$13,ROW(M231)-1,4+((QUOTIENT(COLUMN(CC$2)-69,3))*5)+MOD(COLUMN(CC$2),3),1,1),"")</f>
        <v>0</v>
      </c>
      <c r="CD234">
        <f ca="1">IF($AN234="",OFFSET(Demand!$A$13,ROW(N231)-1,4+((QUOTIENT(COLUMN(CD$2)-69,3))*5)+MOD(COLUMN(CD$2),3),1,1),"")</f>
        <v>0</v>
      </c>
      <c r="CE234">
        <f ca="1">IF($AN234="",OFFSET(Demand!$A$13,ROW(O231)-1,4+((QUOTIENT(COLUMN(CE$2)-69,3))*5)+MOD(COLUMN(CE$2),3),1,1),"")</f>
        <v>0</v>
      </c>
      <c r="CF234">
        <f ca="1">IF($AN234="",OFFSET(Demand!$A$13,ROW(P231)-1,4+((QUOTIENT(COLUMN(CF$2)-69,3))*5)+MOD(COLUMN(CF$2),3),1,1),"")</f>
        <v>0</v>
      </c>
      <c r="CG234">
        <f ca="1">IF($AN234="",OFFSET(Demand!$A$13,ROW(Q231)-1,4+((QUOTIENT(COLUMN(CG$2)-69,3))*5)+MOD(COLUMN(CG$2),3),1,1),"")</f>
        <v>0</v>
      </c>
      <c r="CH234">
        <f ca="1">IF($AN234="",OFFSET(Demand!$A$13,ROW(R231)-1,4+((QUOTIENT(COLUMN(CH$2)-69,3))*5)+MOD(COLUMN(CH$2),3),1,1),"")</f>
        <v>0</v>
      </c>
      <c r="CI234">
        <f ca="1">IF($AN234="",OFFSET(Demand!$A$13,ROW(S231)-1,4+((QUOTIENT(COLUMN(CI$2)-69,3))*5)+MOD(COLUMN(CI$2),3),1,1),"")</f>
        <v>0</v>
      </c>
      <c r="CJ234">
        <f ca="1">IF($AN234="",OFFSET(Demand!$A$13,ROW(T231)-1,4+((QUOTIENT(COLUMN(CJ$2)-69,3))*5)+MOD(COLUMN(CJ$2),3),1,1),"")</f>
        <v>0</v>
      </c>
      <c r="CK234">
        <f ca="1">IF($AN234="",OFFSET(Demand!$A$13,ROW(U231)-1,4+((QUOTIENT(COLUMN(CK$2)-69,3))*5)+MOD(COLUMN(CK$2),3),1,1),"")</f>
        <v>0</v>
      </c>
      <c r="CL234">
        <f ca="1">IF($AN234="",OFFSET(Demand!$A$13,ROW(V231)-1,4+((QUOTIENT(COLUMN(CL$2)-69,3))*5)+MOD(COLUMN(CL$2),3),1,1),"")</f>
        <v>0</v>
      </c>
      <c r="CM234">
        <f ca="1">IF($AN234="",OFFSET(Demand!$A$13,ROW(W231)-1,4+((QUOTIENT(COLUMN(CM$2)-69,3))*5)+MOD(COLUMN(CM$2),3),1,1),"")</f>
        <v>0</v>
      </c>
      <c r="CN234">
        <f ca="1">IF($AN234="",OFFSET(Demand!$A$13,ROW(X231)-1,4+((QUOTIENT(COLUMN(CN$2)-69,3))*5)+MOD(COLUMN(CN$2),3),1,1),"")</f>
        <v>0</v>
      </c>
      <c r="CO234">
        <f ca="1">IF($AN234="",OFFSET(Demand!$A$13,ROW(Y231)-1,4+((QUOTIENT(COLUMN(CO$2)-69,3))*5)+MOD(COLUMN(CO$2),3),1,1),"")</f>
        <v>0</v>
      </c>
      <c r="CP234">
        <f ca="1">IF($AN234="",OFFSET(Demand!$A$13,ROW(Z231)-1,4+((QUOTIENT(COLUMN(CP$2)-69,3))*5)+MOD(COLUMN(CP$2),3),1,1),"")</f>
        <v>0</v>
      </c>
      <c r="CQ234">
        <f ca="1">IF($AN234="",OFFSET(Demand!$A$13,ROW(AA231)-1,4+((QUOTIENT(COLUMN(CQ$2)-69,3))*5)+MOD(COLUMN(CQ$2),3),1,1),"")</f>
        <v>0</v>
      </c>
      <c r="CR234">
        <f ca="1">IF($AN234="",OFFSET(Demand!$A$13,ROW(AB231)-1,4+((QUOTIENT(COLUMN(CR$2)-69,3))*5)+MOD(COLUMN(CR$2),3),1,1),"")</f>
        <v>0</v>
      </c>
      <c r="CS234">
        <f ca="1">IF($AN234="",OFFSET(Demand!$A$13,ROW(AC231)-1,4+((QUOTIENT(COLUMN(CS$2)-69,3))*5)+MOD(COLUMN(CS$2),3),1,1),"")</f>
        <v>0</v>
      </c>
      <c r="CT234">
        <f ca="1">IF($AN234="",OFFSET(Demand!$A$13,ROW(AD231)-1,4+((QUOTIENT(COLUMN(CT$2)-69,3))*5)+MOD(COLUMN(CT$2),3),1,1),"")</f>
        <v>0</v>
      </c>
      <c r="CW234" s="5">
        <f ca="1">SUM(OFFSET(Demand!$H$43,ROW(A231)-1,(COLUMN(A231)-1)*5,1,1))*N$2</f>
        <v>0</v>
      </c>
      <c r="CX234" s="5">
        <f ca="1">SUM(OFFSET(Demand!$H$43,ROW(B231)-1,(COLUMN(B231)-1)*5,1,1))*O$2</f>
        <v>0</v>
      </c>
      <c r="CY234" s="5">
        <f ca="1">SUM(OFFSET(Demand!$H$43,ROW(C231)-1,(COLUMN(C231)-1)*5,1,1))*P$2</f>
        <v>0</v>
      </c>
      <c r="CZ234" s="5">
        <f ca="1">SUM(OFFSET(Demand!$H$43,ROW(D231)-1,(COLUMN(D231)-1)*5,1,1))*Q$2</f>
        <v>0</v>
      </c>
      <c r="DA234" s="5">
        <f ca="1">SUM(OFFSET(Demand!$H$43,ROW(E231)-1,(COLUMN(E231)-1)*5,1,1))*R$2</f>
        <v>0</v>
      </c>
      <c r="DB234" s="5">
        <f ca="1">SUM(OFFSET(Demand!$H$43,ROW(F231)-1,(COLUMN(F231)-1)*5,1,1))*S$2</f>
        <v>0</v>
      </c>
      <c r="DC234" s="5">
        <f ca="1">SUM(OFFSET(Demand!$H$43,ROW(G231)-1,(COLUMN(G231)-1)*5,1,1))*T$2</f>
        <v>0</v>
      </c>
      <c r="DD234" s="5">
        <f ca="1">SUM(OFFSET(Demand!$H$43,ROW(H231)-1,(COLUMN(H231)-1)*5,1,1))*U$2</f>
        <v>0</v>
      </c>
      <c r="DE234" s="5">
        <f ca="1">SUM(OFFSET(Demand!$H$43,ROW(I231)-1,(COLUMN(I231)-1)*5,1,1))*V$2</f>
        <v>0</v>
      </c>
      <c r="DF234" s="5">
        <f ca="1">SUM(OFFSET(Demand!$H$43,ROW(J231)-1,(COLUMN(J231)-1)*5,1,1))*W$2</f>
        <v>0</v>
      </c>
      <c r="DG234" s="5">
        <f t="shared" ca="1" si="52"/>
        <v>0</v>
      </c>
    </row>
    <row r="235" spans="1:111" x14ac:dyDescent="0.2">
      <c r="A235" s="5">
        <f t="shared" ca="1" si="46"/>
        <v>2</v>
      </c>
      <c r="B235" s="5">
        <f ca="1">COUNTBLANK(OFFSET(Demand!$I244,0,(COLUMN(A232)-1)*5,1,1))</f>
        <v>1</v>
      </c>
      <c r="C235" s="5">
        <f ca="1">COUNTBLANK(OFFSET(Demand!$I244,0,(COLUMN(B232)-1)*5,1,1))</f>
        <v>1</v>
      </c>
      <c r="D235" s="5">
        <f ca="1">COUNTBLANK(OFFSET(Demand!$I244,0,(COLUMN(C232)-1)*5,1,1))</f>
        <v>1</v>
      </c>
      <c r="E235" s="5">
        <f ca="1">COUNTBLANK(OFFSET(Demand!$I244,0,(COLUMN(D232)-1)*5,1,1))</f>
        <v>1</v>
      </c>
      <c r="F235" s="5">
        <f ca="1">COUNTBLANK(OFFSET(Demand!$I244,0,(COLUMN(E232)-1)*5,1,1))</f>
        <v>1</v>
      </c>
      <c r="G235" s="5">
        <f ca="1">COUNTBLANK(OFFSET(Demand!$I244,0,(COLUMN(F232)-1)*5,1,1))</f>
        <v>1</v>
      </c>
      <c r="H235" s="5">
        <f ca="1">COUNTBLANK(OFFSET(Demand!$I244,0,(COLUMN(G232)-1)*5,1,1))</f>
        <v>1</v>
      </c>
      <c r="I235" s="5">
        <f ca="1">COUNTBLANK(OFFSET(Demand!$I244,0,(COLUMN(H232)-1)*5,1,1))</f>
        <v>1</v>
      </c>
      <c r="J235" s="5">
        <f ca="1">COUNTBLANK(OFFSET(Demand!$I244,0,(COLUMN(I232)-1)*5,1,1))</f>
        <v>1</v>
      </c>
      <c r="K235" s="5">
        <f ca="1">COUNTBLANK(OFFSET(Demand!$I244,0,(COLUMN(J232)-1)*5,1,1))</f>
        <v>1</v>
      </c>
      <c r="N235" s="5">
        <f ca="1">SUM(OFFSET(Demand!$E244,0,(COLUMN(A232)-1)*5,1,3))*N$2</f>
        <v>0</v>
      </c>
      <c r="O235" s="5">
        <f ca="1">SUM(OFFSET(Demand!$E244,0,(COLUMN(B232)-1)*5,1,3))*O$2</f>
        <v>0</v>
      </c>
      <c r="P235" s="5">
        <f ca="1">SUM(OFFSET(Demand!$E244,0,(COLUMN(C232)-1)*5,1,3))*P$2</f>
        <v>0</v>
      </c>
      <c r="Q235" s="5">
        <f ca="1">SUM(OFFSET(Demand!$E244,0,(COLUMN(D232)-1)*5,1,3))*Q$2</f>
        <v>0</v>
      </c>
      <c r="R235" s="5">
        <f ca="1">SUM(OFFSET(Demand!$E244,0,(COLUMN(E232)-1)*5,1,3))*R$2</f>
        <v>0</v>
      </c>
      <c r="S235" s="5">
        <f ca="1">SUM(OFFSET(Demand!$E244,0,(COLUMN(F232)-1)*5,1,3))*S$2</f>
        <v>0</v>
      </c>
      <c r="T235" s="5">
        <f ca="1">SUM(OFFSET(Demand!$E244,0,(COLUMN(G232)-1)*5,1,3))*T$2</f>
        <v>0</v>
      </c>
      <c r="U235" s="5">
        <f ca="1">SUM(OFFSET(Demand!$E244,0,(COLUMN(H232)-1)*5,1,3))*U$2</f>
        <v>0</v>
      </c>
      <c r="V235" s="5">
        <f ca="1">SUM(OFFSET(Demand!$E244,0,(COLUMN(I232)-1)*5,1,3))*V$2</f>
        <v>0</v>
      </c>
      <c r="W235" s="5">
        <f ca="1">SUM(OFFSET(Demand!$E244,0,(COLUMN(J232)-1)*5,1,3))*W$2</f>
        <v>0</v>
      </c>
      <c r="X235" s="5">
        <f t="shared" ca="1" si="47"/>
        <v>0</v>
      </c>
      <c r="Y235">
        <f t="shared" ca="1" si="48"/>
        <v>0</v>
      </c>
      <c r="Z235" s="5">
        <f ca="1">SUM(OFFSET(Demand!$H244,0,(COLUMN(A232)-1)*5,1,1))*N$2</f>
        <v>0</v>
      </c>
      <c r="AA235" s="5">
        <f ca="1">SUM(OFFSET(Demand!$H244,0,(COLUMN(B232)-1)*5,1,1))*O$2</f>
        <v>0</v>
      </c>
      <c r="AB235" s="5">
        <f ca="1">SUM(OFFSET(Demand!$H244,0,(COLUMN(C232)-1)*5,1,1))*P$2</f>
        <v>0</v>
      </c>
      <c r="AC235" s="5">
        <f ca="1">SUM(OFFSET(Demand!$H244,0,(COLUMN(D232)-1)*5,1,1))*Q$2</f>
        <v>0</v>
      </c>
      <c r="AD235" s="5">
        <f ca="1">SUM(OFFSET(Demand!$H244,0,(COLUMN(E232)-1)*5,1,1))*R$2</f>
        <v>0</v>
      </c>
      <c r="AE235" s="5">
        <f ca="1">SUM(OFFSET(Demand!$H244,0,(COLUMN(F232)-1)*5,1,1))*S$2</f>
        <v>0</v>
      </c>
      <c r="AF235" s="5">
        <f ca="1">SUM(OFFSET(Demand!$H244,0,(COLUMN(G232)-1)*5,1,1))*T$2</f>
        <v>0</v>
      </c>
      <c r="AG235" s="5">
        <f ca="1">SUM(OFFSET(Demand!$H244,0,(COLUMN(H232)-1)*5,1,1))*U$2</f>
        <v>0</v>
      </c>
      <c r="AH235" s="5">
        <f ca="1">SUM(OFFSET(Demand!$H244,0,(COLUMN(I232)-1)*5,1,1))*V$2</f>
        <v>0</v>
      </c>
      <c r="AI235" s="5">
        <f ca="1">SUM(OFFSET(Demand!$H244,0,(COLUMN(J232)-1)*5,1,1))*W$2</f>
        <v>0</v>
      </c>
      <c r="AJ235" s="5">
        <f t="shared" ca="1" si="49"/>
        <v>0</v>
      </c>
      <c r="AL235" s="5">
        <f t="shared" ca="1" si="50"/>
        <v>0</v>
      </c>
      <c r="AM235" s="5">
        <f t="shared" ca="1" si="51"/>
        <v>0</v>
      </c>
      <c r="AN235" s="5" t="str">
        <f>IF(Demand!BE244="Yes","Yes","")</f>
        <v/>
      </c>
      <c r="AP235" s="37" t="str">
        <f ca="1">Demand!B244</f>
        <v xml:space="preserve"> </v>
      </c>
      <c r="AQ235" t="str">
        <f ca="1">IF(TEXT(Demand!D244,"MMM")&lt;&gt;TEXT(Demand!D243,"MMM"),TEXT(Demand!D244,"MMM"),"")</f>
        <v/>
      </c>
      <c r="AT235" s="5">
        <f t="shared" ca="1" si="53"/>
        <v>0</v>
      </c>
      <c r="BQ235">
        <f ca="1">IF($AN235="",OFFSET(Demand!$A$13,ROW(A232)-1,4+((QUOTIENT(COLUMN(BQ$2)-69,3))*5)+MOD(COLUMN(BQ$2),3),1,1),"")</f>
        <v>0</v>
      </c>
      <c r="BR235">
        <f ca="1">IF($AN235="",OFFSET(Demand!$A$13,ROW(B232)-1,4+((QUOTIENT(COLUMN(BR$2)-69,3))*5)+MOD(COLUMN(BR$2),3),1,1),"")</f>
        <v>0</v>
      </c>
      <c r="BS235">
        <f ca="1">IF($AN235="",OFFSET(Demand!$A$13,ROW(C232)-1,4+((QUOTIENT(COLUMN(BS$2)-69,3))*5)+MOD(COLUMN(BS$2),3),1,1),"")</f>
        <v>0</v>
      </c>
      <c r="BT235">
        <f ca="1">IF($AN235="",OFFSET(Demand!$A$13,ROW(D232)-1,4+((QUOTIENT(COLUMN(BT$2)-69,3))*5)+MOD(COLUMN(BT$2),3),1,1),"")</f>
        <v>0</v>
      </c>
      <c r="BU235">
        <f ca="1">IF($AN235="",OFFSET(Demand!$A$13,ROW(E232)-1,4+((QUOTIENT(COLUMN(BU$2)-69,3))*5)+MOD(COLUMN(BU$2),3),1,1),"")</f>
        <v>0</v>
      </c>
      <c r="BV235">
        <f ca="1">IF($AN235="",OFFSET(Demand!$A$13,ROW(F232)-1,4+((QUOTIENT(COLUMN(BV$2)-69,3))*5)+MOD(COLUMN(BV$2),3),1,1),"")</f>
        <v>0</v>
      </c>
      <c r="BW235">
        <f ca="1">IF($AN235="",OFFSET(Demand!$A$13,ROW(G232)-1,4+((QUOTIENT(COLUMN(BW$2)-69,3))*5)+MOD(COLUMN(BW$2),3),1,1),"")</f>
        <v>0</v>
      </c>
      <c r="BX235">
        <f ca="1">IF($AN235="",OFFSET(Demand!$A$13,ROW(H232)-1,4+((QUOTIENT(COLUMN(BX$2)-69,3))*5)+MOD(COLUMN(BX$2),3),1,1),"")</f>
        <v>0</v>
      </c>
      <c r="BY235">
        <f ca="1">IF($AN235="",OFFSET(Demand!$A$13,ROW(I232)-1,4+((QUOTIENT(COLUMN(BY$2)-69,3))*5)+MOD(COLUMN(BY$2),3),1,1),"")</f>
        <v>0</v>
      </c>
      <c r="BZ235">
        <f ca="1">IF($AN235="",OFFSET(Demand!$A$13,ROW(J232)-1,4+((QUOTIENT(COLUMN(BZ$2)-69,3))*5)+MOD(COLUMN(BZ$2),3),1,1),"")</f>
        <v>0</v>
      </c>
      <c r="CA235">
        <f ca="1">IF($AN235="",OFFSET(Demand!$A$13,ROW(K232)-1,4+((QUOTIENT(COLUMN(CA$2)-69,3))*5)+MOD(COLUMN(CA$2),3),1,1),"")</f>
        <v>0</v>
      </c>
      <c r="CB235">
        <f ca="1">IF($AN235="",OFFSET(Demand!$A$13,ROW(L232)-1,4+((QUOTIENT(COLUMN(CB$2)-69,3))*5)+MOD(COLUMN(CB$2),3),1,1),"")</f>
        <v>0</v>
      </c>
      <c r="CC235">
        <f ca="1">IF($AN235="",OFFSET(Demand!$A$13,ROW(M232)-1,4+((QUOTIENT(COLUMN(CC$2)-69,3))*5)+MOD(COLUMN(CC$2),3),1,1),"")</f>
        <v>0</v>
      </c>
      <c r="CD235">
        <f ca="1">IF($AN235="",OFFSET(Demand!$A$13,ROW(N232)-1,4+((QUOTIENT(COLUMN(CD$2)-69,3))*5)+MOD(COLUMN(CD$2),3),1,1),"")</f>
        <v>0</v>
      </c>
      <c r="CE235">
        <f ca="1">IF($AN235="",OFFSET(Demand!$A$13,ROW(O232)-1,4+((QUOTIENT(COLUMN(CE$2)-69,3))*5)+MOD(COLUMN(CE$2),3),1,1),"")</f>
        <v>0</v>
      </c>
      <c r="CF235">
        <f ca="1">IF($AN235="",OFFSET(Demand!$A$13,ROW(P232)-1,4+((QUOTIENT(COLUMN(CF$2)-69,3))*5)+MOD(COLUMN(CF$2),3),1,1),"")</f>
        <v>0</v>
      </c>
      <c r="CG235">
        <f ca="1">IF($AN235="",OFFSET(Demand!$A$13,ROW(Q232)-1,4+((QUOTIENT(COLUMN(CG$2)-69,3))*5)+MOD(COLUMN(CG$2),3),1,1),"")</f>
        <v>0</v>
      </c>
      <c r="CH235">
        <f ca="1">IF($AN235="",OFFSET(Demand!$A$13,ROW(R232)-1,4+((QUOTIENT(COLUMN(CH$2)-69,3))*5)+MOD(COLUMN(CH$2),3),1,1),"")</f>
        <v>0</v>
      </c>
      <c r="CI235">
        <f ca="1">IF($AN235="",OFFSET(Demand!$A$13,ROW(S232)-1,4+((QUOTIENT(COLUMN(CI$2)-69,3))*5)+MOD(COLUMN(CI$2),3),1,1),"")</f>
        <v>0</v>
      </c>
      <c r="CJ235">
        <f ca="1">IF($AN235="",OFFSET(Demand!$A$13,ROW(T232)-1,4+((QUOTIENT(COLUMN(CJ$2)-69,3))*5)+MOD(COLUMN(CJ$2),3),1,1),"")</f>
        <v>0</v>
      </c>
      <c r="CK235">
        <f ca="1">IF($AN235="",OFFSET(Demand!$A$13,ROW(U232)-1,4+((QUOTIENT(COLUMN(CK$2)-69,3))*5)+MOD(COLUMN(CK$2),3),1,1),"")</f>
        <v>0</v>
      </c>
      <c r="CL235">
        <f ca="1">IF($AN235="",OFFSET(Demand!$A$13,ROW(V232)-1,4+((QUOTIENT(COLUMN(CL$2)-69,3))*5)+MOD(COLUMN(CL$2),3),1,1),"")</f>
        <v>0</v>
      </c>
      <c r="CM235">
        <f ca="1">IF($AN235="",OFFSET(Demand!$A$13,ROW(W232)-1,4+((QUOTIENT(COLUMN(CM$2)-69,3))*5)+MOD(COLUMN(CM$2),3),1,1),"")</f>
        <v>0</v>
      </c>
      <c r="CN235">
        <f ca="1">IF($AN235="",OFFSET(Demand!$A$13,ROW(X232)-1,4+((QUOTIENT(COLUMN(CN$2)-69,3))*5)+MOD(COLUMN(CN$2),3),1,1),"")</f>
        <v>0</v>
      </c>
      <c r="CO235">
        <f ca="1">IF($AN235="",OFFSET(Demand!$A$13,ROW(Y232)-1,4+((QUOTIENT(COLUMN(CO$2)-69,3))*5)+MOD(COLUMN(CO$2),3),1,1),"")</f>
        <v>0</v>
      </c>
      <c r="CP235">
        <f ca="1">IF($AN235="",OFFSET(Demand!$A$13,ROW(Z232)-1,4+((QUOTIENT(COLUMN(CP$2)-69,3))*5)+MOD(COLUMN(CP$2),3),1,1),"")</f>
        <v>0</v>
      </c>
      <c r="CQ235">
        <f ca="1">IF($AN235="",OFFSET(Demand!$A$13,ROW(AA232)-1,4+((QUOTIENT(COLUMN(CQ$2)-69,3))*5)+MOD(COLUMN(CQ$2),3),1,1),"")</f>
        <v>0</v>
      </c>
      <c r="CR235">
        <f ca="1">IF($AN235="",OFFSET(Demand!$A$13,ROW(AB232)-1,4+((QUOTIENT(COLUMN(CR$2)-69,3))*5)+MOD(COLUMN(CR$2),3),1,1),"")</f>
        <v>0</v>
      </c>
      <c r="CS235">
        <f ca="1">IF($AN235="",OFFSET(Demand!$A$13,ROW(AC232)-1,4+((QUOTIENT(COLUMN(CS$2)-69,3))*5)+MOD(COLUMN(CS$2),3),1,1),"")</f>
        <v>0</v>
      </c>
      <c r="CT235">
        <f ca="1">IF($AN235="",OFFSET(Demand!$A$13,ROW(AD232)-1,4+((QUOTIENT(COLUMN(CT$2)-69,3))*5)+MOD(COLUMN(CT$2),3),1,1),"")</f>
        <v>0</v>
      </c>
      <c r="CW235" s="5">
        <f ca="1">SUM(OFFSET(Demand!$H$43,ROW(A232)-1,(COLUMN(A232)-1)*5,1,1))*N$2</f>
        <v>0</v>
      </c>
      <c r="CX235" s="5">
        <f ca="1">SUM(OFFSET(Demand!$H$43,ROW(B232)-1,(COLUMN(B232)-1)*5,1,1))*O$2</f>
        <v>0</v>
      </c>
      <c r="CY235" s="5">
        <f ca="1">SUM(OFFSET(Demand!$H$43,ROW(C232)-1,(COLUMN(C232)-1)*5,1,1))*P$2</f>
        <v>0</v>
      </c>
      <c r="CZ235" s="5">
        <f ca="1">SUM(OFFSET(Demand!$H$43,ROW(D232)-1,(COLUMN(D232)-1)*5,1,1))*Q$2</f>
        <v>0</v>
      </c>
      <c r="DA235" s="5">
        <f ca="1">SUM(OFFSET(Demand!$H$43,ROW(E232)-1,(COLUMN(E232)-1)*5,1,1))*R$2</f>
        <v>0</v>
      </c>
      <c r="DB235" s="5">
        <f ca="1">SUM(OFFSET(Demand!$H$43,ROW(F232)-1,(COLUMN(F232)-1)*5,1,1))*S$2</f>
        <v>0</v>
      </c>
      <c r="DC235" s="5">
        <f ca="1">SUM(OFFSET(Demand!$H$43,ROW(G232)-1,(COLUMN(G232)-1)*5,1,1))*T$2</f>
        <v>0</v>
      </c>
      <c r="DD235" s="5">
        <f ca="1">SUM(OFFSET(Demand!$H$43,ROW(H232)-1,(COLUMN(H232)-1)*5,1,1))*U$2</f>
        <v>0</v>
      </c>
      <c r="DE235" s="5">
        <f ca="1">SUM(OFFSET(Demand!$H$43,ROW(I232)-1,(COLUMN(I232)-1)*5,1,1))*V$2</f>
        <v>0</v>
      </c>
      <c r="DF235" s="5">
        <f ca="1">SUM(OFFSET(Demand!$H$43,ROW(J232)-1,(COLUMN(J232)-1)*5,1,1))*W$2</f>
        <v>0</v>
      </c>
      <c r="DG235" s="5">
        <f t="shared" ca="1" si="52"/>
        <v>0</v>
      </c>
    </row>
    <row r="236" spans="1:111" x14ac:dyDescent="0.2">
      <c r="A236" s="5">
        <f t="shared" ca="1" si="46"/>
        <v>2</v>
      </c>
      <c r="B236" s="5">
        <f ca="1">COUNTBLANK(OFFSET(Demand!$I245,0,(COLUMN(A233)-1)*5,1,1))</f>
        <v>1</v>
      </c>
      <c r="C236" s="5">
        <f ca="1">COUNTBLANK(OFFSET(Demand!$I245,0,(COLUMN(B233)-1)*5,1,1))</f>
        <v>1</v>
      </c>
      <c r="D236" s="5">
        <f ca="1">COUNTBLANK(OFFSET(Demand!$I245,0,(COLUMN(C233)-1)*5,1,1))</f>
        <v>1</v>
      </c>
      <c r="E236" s="5">
        <f ca="1">COUNTBLANK(OFFSET(Demand!$I245,0,(COLUMN(D233)-1)*5,1,1))</f>
        <v>1</v>
      </c>
      <c r="F236" s="5">
        <f ca="1">COUNTBLANK(OFFSET(Demand!$I245,0,(COLUMN(E233)-1)*5,1,1))</f>
        <v>1</v>
      </c>
      <c r="G236" s="5">
        <f ca="1">COUNTBLANK(OFFSET(Demand!$I245,0,(COLUMN(F233)-1)*5,1,1))</f>
        <v>1</v>
      </c>
      <c r="H236" s="5">
        <f ca="1">COUNTBLANK(OFFSET(Demand!$I245,0,(COLUMN(G233)-1)*5,1,1))</f>
        <v>1</v>
      </c>
      <c r="I236" s="5">
        <f ca="1">COUNTBLANK(OFFSET(Demand!$I245,0,(COLUMN(H233)-1)*5,1,1))</f>
        <v>1</v>
      </c>
      <c r="J236" s="5">
        <f ca="1">COUNTBLANK(OFFSET(Demand!$I245,0,(COLUMN(I233)-1)*5,1,1))</f>
        <v>1</v>
      </c>
      <c r="K236" s="5">
        <f ca="1">COUNTBLANK(OFFSET(Demand!$I245,0,(COLUMN(J233)-1)*5,1,1))</f>
        <v>1</v>
      </c>
      <c r="N236" s="5">
        <f ca="1">SUM(OFFSET(Demand!$E245,0,(COLUMN(A233)-1)*5,1,3))*N$2</f>
        <v>0</v>
      </c>
      <c r="O236" s="5">
        <f ca="1">SUM(OFFSET(Demand!$E245,0,(COLUMN(B233)-1)*5,1,3))*O$2</f>
        <v>0</v>
      </c>
      <c r="P236" s="5">
        <f ca="1">SUM(OFFSET(Demand!$E245,0,(COLUMN(C233)-1)*5,1,3))*P$2</f>
        <v>0</v>
      </c>
      <c r="Q236" s="5">
        <f ca="1">SUM(OFFSET(Demand!$E245,0,(COLUMN(D233)-1)*5,1,3))*Q$2</f>
        <v>0</v>
      </c>
      <c r="R236" s="5">
        <f ca="1">SUM(OFFSET(Demand!$E245,0,(COLUMN(E233)-1)*5,1,3))*R$2</f>
        <v>0</v>
      </c>
      <c r="S236" s="5">
        <f ca="1">SUM(OFFSET(Demand!$E245,0,(COLUMN(F233)-1)*5,1,3))*S$2</f>
        <v>0</v>
      </c>
      <c r="T236" s="5">
        <f ca="1">SUM(OFFSET(Demand!$E245,0,(COLUMN(G233)-1)*5,1,3))*T$2</f>
        <v>0</v>
      </c>
      <c r="U236" s="5">
        <f ca="1">SUM(OFFSET(Demand!$E245,0,(COLUMN(H233)-1)*5,1,3))*U$2</f>
        <v>0</v>
      </c>
      <c r="V236" s="5">
        <f ca="1">SUM(OFFSET(Demand!$E245,0,(COLUMN(I233)-1)*5,1,3))*V$2</f>
        <v>0</v>
      </c>
      <c r="W236" s="5">
        <f ca="1">SUM(OFFSET(Demand!$E245,0,(COLUMN(J233)-1)*5,1,3))*W$2</f>
        <v>0</v>
      </c>
      <c r="X236" s="5">
        <f t="shared" ca="1" si="47"/>
        <v>0</v>
      </c>
      <c r="Y236">
        <f t="shared" ca="1" si="48"/>
        <v>0</v>
      </c>
      <c r="Z236" s="5">
        <f ca="1">SUM(OFFSET(Demand!$H245,0,(COLUMN(A233)-1)*5,1,1))*N$2</f>
        <v>0</v>
      </c>
      <c r="AA236" s="5">
        <f ca="1">SUM(OFFSET(Demand!$H245,0,(COLUMN(B233)-1)*5,1,1))*O$2</f>
        <v>0</v>
      </c>
      <c r="AB236" s="5">
        <f ca="1">SUM(OFFSET(Demand!$H245,0,(COLUMN(C233)-1)*5,1,1))*P$2</f>
        <v>0</v>
      </c>
      <c r="AC236" s="5">
        <f ca="1">SUM(OFFSET(Demand!$H245,0,(COLUMN(D233)-1)*5,1,1))*Q$2</f>
        <v>0</v>
      </c>
      <c r="AD236" s="5">
        <f ca="1">SUM(OFFSET(Demand!$H245,0,(COLUMN(E233)-1)*5,1,1))*R$2</f>
        <v>0</v>
      </c>
      <c r="AE236" s="5">
        <f ca="1">SUM(OFFSET(Demand!$H245,0,(COLUMN(F233)-1)*5,1,1))*S$2</f>
        <v>0</v>
      </c>
      <c r="AF236" s="5">
        <f ca="1">SUM(OFFSET(Demand!$H245,0,(COLUMN(G233)-1)*5,1,1))*T$2</f>
        <v>0</v>
      </c>
      <c r="AG236" s="5">
        <f ca="1">SUM(OFFSET(Demand!$H245,0,(COLUMN(H233)-1)*5,1,1))*U$2</f>
        <v>0</v>
      </c>
      <c r="AH236" s="5">
        <f ca="1">SUM(OFFSET(Demand!$H245,0,(COLUMN(I233)-1)*5,1,1))*V$2</f>
        <v>0</v>
      </c>
      <c r="AI236" s="5">
        <f ca="1">SUM(OFFSET(Demand!$H245,0,(COLUMN(J233)-1)*5,1,1))*W$2</f>
        <v>0</v>
      </c>
      <c r="AJ236" s="5">
        <f t="shared" ca="1" si="49"/>
        <v>0</v>
      </c>
      <c r="AL236" s="5">
        <f t="shared" ca="1" si="50"/>
        <v>0</v>
      </c>
      <c r="AM236" s="5">
        <f t="shared" ca="1" si="51"/>
        <v>0</v>
      </c>
      <c r="AN236" s="5" t="str">
        <f>IF(Demand!BE245="Yes","Yes","")</f>
        <v/>
      </c>
      <c r="AP236" s="37" t="str">
        <f ca="1">Demand!B245</f>
        <v xml:space="preserve"> </v>
      </c>
      <c r="AQ236" t="str">
        <f ca="1">IF(TEXT(Demand!D245,"MMM")&lt;&gt;TEXT(Demand!D244,"MMM"),TEXT(Demand!D245,"MMM"),"")</f>
        <v/>
      </c>
      <c r="AT236" s="5">
        <f t="shared" ca="1" si="53"/>
        <v>0</v>
      </c>
      <c r="BQ236">
        <f ca="1">IF($AN236="",OFFSET(Demand!$A$13,ROW(A233)-1,4+((QUOTIENT(COLUMN(BQ$2)-69,3))*5)+MOD(COLUMN(BQ$2),3),1,1),"")</f>
        <v>0</v>
      </c>
      <c r="BR236">
        <f ca="1">IF($AN236="",OFFSET(Demand!$A$13,ROW(B233)-1,4+((QUOTIENT(COLUMN(BR$2)-69,3))*5)+MOD(COLUMN(BR$2),3),1,1),"")</f>
        <v>0</v>
      </c>
      <c r="BS236">
        <f ca="1">IF($AN236="",OFFSET(Demand!$A$13,ROW(C233)-1,4+((QUOTIENT(COLUMN(BS$2)-69,3))*5)+MOD(COLUMN(BS$2),3),1,1),"")</f>
        <v>0</v>
      </c>
      <c r="BT236">
        <f ca="1">IF($AN236="",OFFSET(Demand!$A$13,ROW(D233)-1,4+((QUOTIENT(COLUMN(BT$2)-69,3))*5)+MOD(COLUMN(BT$2),3),1,1),"")</f>
        <v>0</v>
      </c>
      <c r="BU236">
        <f ca="1">IF($AN236="",OFFSET(Demand!$A$13,ROW(E233)-1,4+((QUOTIENT(COLUMN(BU$2)-69,3))*5)+MOD(COLUMN(BU$2),3),1,1),"")</f>
        <v>0</v>
      </c>
      <c r="BV236">
        <f ca="1">IF($AN236="",OFFSET(Demand!$A$13,ROW(F233)-1,4+((QUOTIENT(COLUMN(BV$2)-69,3))*5)+MOD(COLUMN(BV$2),3),1,1),"")</f>
        <v>0</v>
      </c>
      <c r="BW236">
        <f ca="1">IF($AN236="",OFFSET(Demand!$A$13,ROW(G233)-1,4+((QUOTIENT(COLUMN(BW$2)-69,3))*5)+MOD(COLUMN(BW$2),3),1,1),"")</f>
        <v>0</v>
      </c>
      <c r="BX236">
        <f ca="1">IF($AN236="",OFFSET(Demand!$A$13,ROW(H233)-1,4+((QUOTIENT(COLUMN(BX$2)-69,3))*5)+MOD(COLUMN(BX$2),3),1,1),"")</f>
        <v>0</v>
      </c>
      <c r="BY236">
        <f ca="1">IF($AN236="",OFFSET(Demand!$A$13,ROW(I233)-1,4+((QUOTIENT(COLUMN(BY$2)-69,3))*5)+MOD(COLUMN(BY$2),3),1,1),"")</f>
        <v>0</v>
      </c>
      <c r="BZ236">
        <f ca="1">IF($AN236="",OFFSET(Demand!$A$13,ROW(J233)-1,4+((QUOTIENT(COLUMN(BZ$2)-69,3))*5)+MOD(COLUMN(BZ$2),3),1,1),"")</f>
        <v>0</v>
      </c>
      <c r="CA236">
        <f ca="1">IF($AN236="",OFFSET(Demand!$A$13,ROW(K233)-1,4+((QUOTIENT(COLUMN(CA$2)-69,3))*5)+MOD(COLUMN(CA$2),3),1,1),"")</f>
        <v>0</v>
      </c>
      <c r="CB236">
        <f ca="1">IF($AN236="",OFFSET(Demand!$A$13,ROW(L233)-1,4+((QUOTIENT(COLUMN(CB$2)-69,3))*5)+MOD(COLUMN(CB$2),3),1,1),"")</f>
        <v>0</v>
      </c>
      <c r="CC236">
        <f ca="1">IF($AN236="",OFFSET(Demand!$A$13,ROW(M233)-1,4+((QUOTIENT(COLUMN(CC$2)-69,3))*5)+MOD(COLUMN(CC$2),3),1,1),"")</f>
        <v>0</v>
      </c>
      <c r="CD236">
        <f ca="1">IF($AN236="",OFFSET(Demand!$A$13,ROW(N233)-1,4+((QUOTIENT(COLUMN(CD$2)-69,3))*5)+MOD(COLUMN(CD$2),3),1,1),"")</f>
        <v>0</v>
      </c>
      <c r="CE236">
        <f ca="1">IF($AN236="",OFFSET(Demand!$A$13,ROW(O233)-1,4+((QUOTIENT(COLUMN(CE$2)-69,3))*5)+MOD(COLUMN(CE$2),3),1,1),"")</f>
        <v>0</v>
      </c>
      <c r="CF236">
        <f ca="1">IF($AN236="",OFFSET(Demand!$A$13,ROW(P233)-1,4+((QUOTIENT(COLUMN(CF$2)-69,3))*5)+MOD(COLUMN(CF$2),3),1,1),"")</f>
        <v>0</v>
      </c>
      <c r="CG236">
        <f ca="1">IF($AN236="",OFFSET(Demand!$A$13,ROW(Q233)-1,4+((QUOTIENT(COLUMN(CG$2)-69,3))*5)+MOD(COLUMN(CG$2),3),1,1),"")</f>
        <v>0</v>
      </c>
      <c r="CH236">
        <f ca="1">IF($AN236="",OFFSET(Demand!$A$13,ROW(R233)-1,4+((QUOTIENT(COLUMN(CH$2)-69,3))*5)+MOD(COLUMN(CH$2),3),1,1),"")</f>
        <v>0</v>
      </c>
      <c r="CI236">
        <f ca="1">IF($AN236="",OFFSET(Demand!$A$13,ROW(S233)-1,4+((QUOTIENT(COLUMN(CI$2)-69,3))*5)+MOD(COLUMN(CI$2),3),1,1),"")</f>
        <v>0</v>
      </c>
      <c r="CJ236">
        <f ca="1">IF($AN236="",OFFSET(Demand!$A$13,ROW(T233)-1,4+((QUOTIENT(COLUMN(CJ$2)-69,3))*5)+MOD(COLUMN(CJ$2),3),1,1),"")</f>
        <v>0</v>
      </c>
      <c r="CK236">
        <f ca="1">IF($AN236="",OFFSET(Demand!$A$13,ROW(U233)-1,4+((QUOTIENT(COLUMN(CK$2)-69,3))*5)+MOD(COLUMN(CK$2),3),1,1),"")</f>
        <v>0</v>
      </c>
      <c r="CL236">
        <f ca="1">IF($AN236="",OFFSET(Demand!$A$13,ROW(V233)-1,4+((QUOTIENT(COLUMN(CL$2)-69,3))*5)+MOD(COLUMN(CL$2),3),1,1),"")</f>
        <v>0</v>
      </c>
      <c r="CM236">
        <f ca="1">IF($AN236="",OFFSET(Demand!$A$13,ROW(W233)-1,4+((QUOTIENT(COLUMN(CM$2)-69,3))*5)+MOD(COLUMN(CM$2),3),1,1),"")</f>
        <v>0</v>
      </c>
      <c r="CN236">
        <f ca="1">IF($AN236="",OFFSET(Demand!$A$13,ROW(X233)-1,4+((QUOTIENT(COLUMN(CN$2)-69,3))*5)+MOD(COLUMN(CN$2),3),1,1),"")</f>
        <v>0</v>
      </c>
      <c r="CO236">
        <f ca="1">IF($AN236="",OFFSET(Demand!$A$13,ROW(Y233)-1,4+((QUOTIENT(COLUMN(CO$2)-69,3))*5)+MOD(COLUMN(CO$2),3),1,1),"")</f>
        <v>0</v>
      </c>
      <c r="CP236">
        <f ca="1">IF($AN236="",OFFSET(Demand!$A$13,ROW(Z233)-1,4+((QUOTIENT(COLUMN(CP$2)-69,3))*5)+MOD(COLUMN(CP$2),3),1,1),"")</f>
        <v>0</v>
      </c>
      <c r="CQ236">
        <f ca="1">IF($AN236="",OFFSET(Demand!$A$13,ROW(AA233)-1,4+((QUOTIENT(COLUMN(CQ$2)-69,3))*5)+MOD(COLUMN(CQ$2),3),1,1),"")</f>
        <v>0</v>
      </c>
      <c r="CR236">
        <f ca="1">IF($AN236="",OFFSET(Demand!$A$13,ROW(AB233)-1,4+((QUOTIENT(COLUMN(CR$2)-69,3))*5)+MOD(COLUMN(CR$2),3),1,1),"")</f>
        <v>0</v>
      </c>
      <c r="CS236">
        <f ca="1">IF($AN236="",OFFSET(Demand!$A$13,ROW(AC233)-1,4+((QUOTIENT(COLUMN(CS$2)-69,3))*5)+MOD(COLUMN(CS$2),3),1,1),"")</f>
        <v>0</v>
      </c>
      <c r="CT236">
        <f ca="1">IF($AN236="",OFFSET(Demand!$A$13,ROW(AD233)-1,4+((QUOTIENT(COLUMN(CT$2)-69,3))*5)+MOD(COLUMN(CT$2),3),1,1),"")</f>
        <v>0</v>
      </c>
      <c r="CW236" s="5">
        <f ca="1">SUM(OFFSET(Demand!$H$43,ROW(A233)-1,(COLUMN(A233)-1)*5,1,1))*N$2</f>
        <v>0</v>
      </c>
      <c r="CX236" s="5">
        <f ca="1">SUM(OFFSET(Demand!$H$43,ROW(B233)-1,(COLUMN(B233)-1)*5,1,1))*O$2</f>
        <v>0</v>
      </c>
      <c r="CY236" s="5">
        <f ca="1">SUM(OFFSET(Demand!$H$43,ROW(C233)-1,(COLUMN(C233)-1)*5,1,1))*P$2</f>
        <v>0</v>
      </c>
      <c r="CZ236" s="5">
        <f ca="1">SUM(OFFSET(Demand!$H$43,ROW(D233)-1,(COLUMN(D233)-1)*5,1,1))*Q$2</f>
        <v>0</v>
      </c>
      <c r="DA236" s="5">
        <f ca="1">SUM(OFFSET(Demand!$H$43,ROW(E233)-1,(COLUMN(E233)-1)*5,1,1))*R$2</f>
        <v>0</v>
      </c>
      <c r="DB236" s="5">
        <f ca="1">SUM(OFFSET(Demand!$H$43,ROW(F233)-1,(COLUMN(F233)-1)*5,1,1))*S$2</f>
        <v>0</v>
      </c>
      <c r="DC236" s="5">
        <f ca="1">SUM(OFFSET(Demand!$H$43,ROW(G233)-1,(COLUMN(G233)-1)*5,1,1))*T$2</f>
        <v>0</v>
      </c>
      <c r="DD236" s="5">
        <f ca="1">SUM(OFFSET(Demand!$H$43,ROW(H233)-1,(COLUMN(H233)-1)*5,1,1))*U$2</f>
        <v>0</v>
      </c>
      <c r="DE236" s="5">
        <f ca="1">SUM(OFFSET(Demand!$H$43,ROW(I233)-1,(COLUMN(I233)-1)*5,1,1))*V$2</f>
        <v>0</v>
      </c>
      <c r="DF236" s="5">
        <f ca="1">SUM(OFFSET(Demand!$H$43,ROW(J233)-1,(COLUMN(J233)-1)*5,1,1))*W$2</f>
        <v>0</v>
      </c>
      <c r="DG236" s="5">
        <f t="shared" ca="1" si="52"/>
        <v>0</v>
      </c>
    </row>
    <row r="237" spans="1:111" x14ac:dyDescent="0.2">
      <c r="A237" s="5">
        <f t="shared" ca="1" si="46"/>
        <v>2</v>
      </c>
      <c r="B237" s="5">
        <f ca="1">COUNTBLANK(OFFSET(Demand!$I246,0,(COLUMN(A234)-1)*5,1,1))</f>
        <v>1</v>
      </c>
      <c r="C237" s="5">
        <f ca="1">COUNTBLANK(OFFSET(Demand!$I246,0,(COLUMN(B234)-1)*5,1,1))</f>
        <v>1</v>
      </c>
      <c r="D237" s="5">
        <f ca="1">COUNTBLANK(OFFSET(Demand!$I246,0,(COLUMN(C234)-1)*5,1,1))</f>
        <v>1</v>
      </c>
      <c r="E237" s="5">
        <f ca="1">COUNTBLANK(OFFSET(Demand!$I246,0,(COLUMN(D234)-1)*5,1,1))</f>
        <v>1</v>
      </c>
      <c r="F237" s="5">
        <f ca="1">COUNTBLANK(OFFSET(Demand!$I246,0,(COLUMN(E234)-1)*5,1,1))</f>
        <v>1</v>
      </c>
      <c r="G237" s="5">
        <f ca="1">COUNTBLANK(OFFSET(Demand!$I246,0,(COLUMN(F234)-1)*5,1,1))</f>
        <v>1</v>
      </c>
      <c r="H237" s="5">
        <f ca="1">COUNTBLANK(OFFSET(Demand!$I246,0,(COLUMN(G234)-1)*5,1,1))</f>
        <v>1</v>
      </c>
      <c r="I237" s="5">
        <f ca="1">COUNTBLANK(OFFSET(Demand!$I246,0,(COLUMN(H234)-1)*5,1,1))</f>
        <v>1</v>
      </c>
      <c r="J237" s="5">
        <f ca="1">COUNTBLANK(OFFSET(Demand!$I246,0,(COLUMN(I234)-1)*5,1,1))</f>
        <v>1</v>
      </c>
      <c r="K237" s="5">
        <f ca="1">COUNTBLANK(OFFSET(Demand!$I246,0,(COLUMN(J234)-1)*5,1,1))</f>
        <v>1</v>
      </c>
      <c r="N237" s="5">
        <f ca="1">SUM(OFFSET(Demand!$E246,0,(COLUMN(A234)-1)*5,1,3))*N$2</f>
        <v>0</v>
      </c>
      <c r="O237" s="5">
        <f ca="1">SUM(OFFSET(Demand!$E246,0,(COLUMN(B234)-1)*5,1,3))*O$2</f>
        <v>0</v>
      </c>
      <c r="P237" s="5">
        <f ca="1">SUM(OFFSET(Demand!$E246,0,(COLUMN(C234)-1)*5,1,3))*P$2</f>
        <v>0</v>
      </c>
      <c r="Q237" s="5">
        <f ca="1">SUM(OFFSET(Demand!$E246,0,(COLUMN(D234)-1)*5,1,3))*Q$2</f>
        <v>0</v>
      </c>
      <c r="R237" s="5">
        <f ca="1">SUM(OFFSET(Demand!$E246,0,(COLUMN(E234)-1)*5,1,3))*R$2</f>
        <v>0</v>
      </c>
      <c r="S237" s="5">
        <f ca="1">SUM(OFFSET(Demand!$E246,0,(COLUMN(F234)-1)*5,1,3))*S$2</f>
        <v>0</v>
      </c>
      <c r="T237" s="5">
        <f ca="1">SUM(OFFSET(Demand!$E246,0,(COLUMN(G234)-1)*5,1,3))*T$2</f>
        <v>0</v>
      </c>
      <c r="U237" s="5">
        <f ca="1">SUM(OFFSET(Demand!$E246,0,(COLUMN(H234)-1)*5,1,3))*U$2</f>
        <v>0</v>
      </c>
      <c r="V237" s="5">
        <f ca="1">SUM(OFFSET(Demand!$E246,0,(COLUMN(I234)-1)*5,1,3))*V$2</f>
        <v>0</v>
      </c>
      <c r="W237" s="5">
        <f ca="1">SUM(OFFSET(Demand!$E246,0,(COLUMN(J234)-1)*5,1,3))*W$2</f>
        <v>0</v>
      </c>
      <c r="X237" s="5">
        <f t="shared" ca="1" si="47"/>
        <v>0</v>
      </c>
      <c r="Y237">
        <f t="shared" ca="1" si="48"/>
        <v>0</v>
      </c>
      <c r="Z237" s="5">
        <f ca="1">SUM(OFFSET(Demand!$H246,0,(COLUMN(A234)-1)*5,1,1))*N$2</f>
        <v>0</v>
      </c>
      <c r="AA237" s="5">
        <f ca="1">SUM(OFFSET(Demand!$H246,0,(COLUMN(B234)-1)*5,1,1))*O$2</f>
        <v>0</v>
      </c>
      <c r="AB237" s="5">
        <f ca="1">SUM(OFFSET(Demand!$H246,0,(COLUMN(C234)-1)*5,1,1))*P$2</f>
        <v>0</v>
      </c>
      <c r="AC237" s="5">
        <f ca="1">SUM(OFFSET(Demand!$H246,0,(COLUMN(D234)-1)*5,1,1))*Q$2</f>
        <v>0</v>
      </c>
      <c r="AD237" s="5">
        <f ca="1">SUM(OFFSET(Demand!$H246,0,(COLUMN(E234)-1)*5,1,1))*R$2</f>
        <v>0</v>
      </c>
      <c r="AE237" s="5">
        <f ca="1">SUM(OFFSET(Demand!$H246,0,(COLUMN(F234)-1)*5,1,1))*S$2</f>
        <v>0</v>
      </c>
      <c r="AF237" s="5">
        <f ca="1">SUM(OFFSET(Demand!$H246,0,(COLUMN(G234)-1)*5,1,1))*T$2</f>
        <v>0</v>
      </c>
      <c r="AG237" s="5">
        <f ca="1">SUM(OFFSET(Demand!$H246,0,(COLUMN(H234)-1)*5,1,1))*U$2</f>
        <v>0</v>
      </c>
      <c r="AH237" s="5">
        <f ca="1">SUM(OFFSET(Demand!$H246,0,(COLUMN(I234)-1)*5,1,1))*V$2</f>
        <v>0</v>
      </c>
      <c r="AI237" s="5">
        <f ca="1">SUM(OFFSET(Demand!$H246,0,(COLUMN(J234)-1)*5,1,1))*W$2</f>
        <v>0</v>
      </c>
      <c r="AJ237" s="5">
        <f t="shared" ca="1" si="49"/>
        <v>0</v>
      </c>
      <c r="AL237" s="5">
        <f t="shared" ca="1" si="50"/>
        <v>0</v>
      </c>
      <c r="AM237" s="5">
        <f t="shared" ca="1" si="51"/>
        <v>0</v>
      </c>
      <c r="AN237" s="5" t="str">
        <f>IF(Demand!BE246="Yes","Yes","")</f>
        <v/>
      </c>
      <c r="AP237" s="37" t="str">
        <f ca="1">Demand!B246</f>
        <v xml:space="preserve"> </v>
      </c>
      <c r="AQ237" t="str">
        <f ca="1">IF(TEXT(Demand!D246,"MMM")&lt;&gt;TEXT(Demand!D245,"MMM"),TEXT(Demand!D246,"MMM"),"")</f>
        <v/>
      </c>
      <c r="AT237" s="5">
        <f t="shared" ca="1" si="53"/>
        <v>0</v>
      </c>
      <c r="BQ237">
        <f ca="1">IF($AN237="",OFFSET(Demand!$A$13,ROW(A234)-1,4+((QUOTIENT(COLUMN(BQ$2)-69,3))*5)+MOD(COLUMN(BQ$2),3),1,1),"")</f>
        <v>0</v>
      </c>
      <c r="BR237">
        <f ca="1">IF($AN237="",OFFSET(Demand!$A$13,ROW(B234)-1,4+((QUOTIENT(COLUMN(BR$2)-69,3))*5)+MOD(COLUMN(BR$2),3),1,1),"")</f>
        <v>0</v>
      </c>
      <c r="BS237">
        <f ca="1">IF($AN237="",OFFSET(Demand!$A$13,ROW(C234)-1,4+((QUOTIENT(COLUMN(BS$2)-69,3))*5)+MOD(COLUMN(BS$2),3),1,1),"")</f>
        <v>0</v>
      </c>
      <c r="BT237">
        <f ca="1">IF($AN237="",OFFSET(Demand!$A$13,ROW(D234)-1,4+((QUOTIENT(COLUMN(BT$2)-69,3))*5)+MOD(COLUMN(BT$2),3),1,1),"")</f>
        <v>0</v>
      </c>
      <c r="BU237">
        <f ca="1">IF($AN237="",OFFSET(Demand!$A$13,ROW(E234)-1,4+((QUOTIENT(COLUMN(BU$2)-69,3))*5)+MOD(COLUMN(BU$2),3),1,1),"")</f>
        <v>0</v>
      </c>
      <c r="BV237">
        <f ca="1">IF($AN237="",OFFSET(Demand!$A$13,ROW(F234)-1,4+((QUOTIENT(COLUMN(BV$2)-69,3))*5)+MOD(COLUMN(BV$2),3),1,1),"")</f>
        <v>0</v>
      </c>
      <c r="BW237">
        <f ca="1">IF($AN237="",OFFSET(Demand!$A$13,ROW(G234)-1,4+((QUOTIENT(COLUMN(BW$2)-69,3))*5)+MOD(COLUMN(BW$2),3),1,1),"")</f>
        <v>0</v>
      </c>
      <c r="BX237">
        <f ca="1">IF($AN237="",OFFSET(Demand!$A$13,ROW(H234)-1,4+((QUOTIENT(COLUMN(BX$2)-69,3))*5)+MOD(COLUMN(BX$2),3),1,1),"")</f>
        <v>0</v>
      </c>
      <c r="BY237">
        <f ca="1">IF($AN237="",OFFSET(Demand!$A$13,ROW(I234)-1,4+((QUOTIENT(COLUMN(BY$2)-69,3))*5)+MOD(COLUMN(BY$2),3),1,1),"")</f>
        <v>0</v>
      </c>
      <c r="BZ237">
        <f ca="1">IF($AN237="",OFFSET(Demand!$A$13,ROW(J234)-1,4+((QUOTIENT(COLUMN(BZ$2)-69,3))*5)+MOD(COLUMN(BZ$2),3),1,1),"")</f>
        <v>0</v>
      </c>
      <c r="CA237">
        <f ca="1">IF($AN237="",OFFSET(Demand!$A$13,ROW(K234)-1,4+((QUOTIENT(COLUMN(CA$2)-69,3))*5)+MOD(COLUMN(CA$2),3),1,1),"")</f>
        <v>0</v>
      </c>
      <c r="CB237">
        <f ca="1">IF($AN237="",OFFSET(Demand!$A$13,ROW(L234)-1,4+((QUOTIENT(COLUMN(CB$2)-69,3))*5)+MOD(COLUMN(CB$2),3),1,1),"")</f>
        <v>0</v>
      </c>
      <c r="CC237">
        <f ca="1">IF($AN237="",OFFSET(Demand!$A$13,ROW(M234)-1,4+((QUOTIENT(COLUMN(CC$2)-69,3))*5)+MOD(COLUMN(CC$2),3),1,1),"")</f>
        <v>0</v>
      </c>
      <c r="CD237">
        <f ca="1">IF($AN237="",OFFSET(Demand!$A$13,ROW(N234)-1,4+((QUOTIENT(COLUMN(CD$2)-69,3))*5)+MOD(COLUMN(CD$2),3),1,1),"")</f>
        <v>0</v>
      </c>
      <c r="CE237">
        <f ca="1">IF($AN237="",OFFSET(Demand!$A$13,ROW(O234)-1,4+((QUOTIENT(COLUMN(CE$2)-69,3))*5)+MOD(COLUMN(CE$2),3),1,1),"")</f>
        <v>0</v>
      </c>
      <c r="CF237">
        <f ca="1">IF($AN237="",OFFSET(Demand!$A$13,ROW(P234)-1,4+((QUOTIENT(COLUMN(CF$2)-69,3))*5)+MOD(COLUMN(CF$2),3),1,1),"")</f>
        <v>0</v>
      </c>
      <c r="CG237">
        <f ca="1">IF($AN237="",OFFSET(Demand!$A$13,ROW(Q234)-1,4+((QUOTIENT(COLUMN(CG$2)-69,3))*5)+MOD(COLUMN(CG$2),3),1,1),"")</f>
        <v>0</v>
      </c>
      <c r="CH237">
        <f ca="1">IF($AN237="",OFFSET(Demand!$A$13,ROW(R234)-1,4+((QUOTIENT(COLUMN(CH$2)-69,3))*5)+MOD(COLUMN(CH$2),3),1,1),"")</f>
        <v>0</v>
      </c>
      <c r="CI237">
        <f ca="1">IF($AN237="",OFFSET(Demand!$A$13,ROW(S234)-1,4+((QUOTIENT(COLUMN(CI$2)-69,3))*5)+MOD(COLUMN(CI$2),3),1,1),"")</f>
        <v>0</v>
      </c>
      <c r="CJ237">
        <f ca="1">IF($AN237="",OFFSET(Demand!$A$13,ROW(T234)-1,4+((QUOTIENT(COLUMN(CJ$2)-69,3))*5)+MOD(COLUMN(CJ$2),3),1,1),"")</f>
        <v>0</v>
      </c>
      <c r="CK237">
        <f ca="1">IF($AN237="",OFFSET(Demand!$A$13,ROW(U234)-1,4+((QUOTIENT(COLUMN(CK$2)-69,3))*5)+MOD(COLUMN(CK$2),3),1,1),"")</f>
        <v>0</v>
      </c>
      <c r="CL237">
        <f ca="1">IF($AN237="",OFFSET(Demand!$A$13,ROW(V234)-1,4+((QUOTIENT(COLUMN(CL$2)-69,3))*5)+MOD(COLUMN(CL$2),3),1,1),"")</f>
        <v>0</v>
      </c>
      <c r="CM237">
        <f ca="1">IF($AN237="",OFFSET(Demand!$A$13,ROW(W234)-1,4+((QUOTIENT(COLUMN(CM$2)-69,3))*5)+MOD(COLUMN(CM$2),3),1,1),"")</f>
        <v>0</v>
      </c>
      <c r="CN237">
        <f ca="1">IF($AN237="",OFFSET(Demand!$A$13,ROW(X234)-1,4+((QUOTIENT(COLUMN(CN$2)-69,3))*5)+MOD(COLUMN(CN$2),3),1,1),"")</f>
        <v>0</v>
      </c>
      <c r="CO237">
        <f ca="1">IF($AN237="",OFFSET(Demand!$A$13,ROW(Y234)-1,4+((QUOTIENT(COLUMN(CO$2)-69,3))*5)+MOD(COLUMN(CO$2),3),1,1),"")</f>
        <v>0</v>
      </c>
      <c r="CP237">
        <f ca="1">IF($AN237="",OFFSET(Demand!$A$13,ROW(Z234)-1,4+((QUOTIENT(COLUMN(CP$2)-69,3))*5)+MOD(COLUMN(CP$2),3),1,1),"")</f>
        <v>0</v>
      </c>
      <c r="CQ237">
        <f ca="1">IF($AN237="",OFFSET(Demand!$A$13,ROW(AA234)-1,4+((QUOTIENT(COLUMN(CQ$2)-69,3))*5)+MOD(COLUMN(CQ$2),3),1,1),"")</f>
        <v>0</v>
      </c>
      <c r="CR237">
        <f ca="1">IF($AN237="",OFFSET(Demand!$A$13,ROW(AB234)-1,4+((QUOTIENT(COLUMN(CR$2)-69,3))*5)+MOD(COLUMN(CR$2),3),1,1),"")</f>
        <v>0</v>
      </c>
      <c r="CS237">
        <f ca="1">IF($AN237="",OFFSET(Demand!$A$13,ROW(AC234)-1,4+((QUOTIENT(COLUMN(CS$2)-69,3))*5)+MOD(COLUMN(CS$2),3),1,1),"")</f>
        <v>0</v>
      </c>
      <c r="CT237">
        <f ca="1">IF($AN237="",OFFSET(Demand!$A$13,ROW(AD234)-1,4+((QUOTIENT(COLUMN(CT$2)-69,3))*5)+MOD(COLUMN(CT$2),3),1,1),"")</f>
        <v>0</v>
      </c>
      <c r="CW237" s="5">
        <f ca="1">SUM(OFFSET(Demand!$H$43,ROW(A234)-1,(COLUMN(A234)-1)*5,1,1))*N$2</f>
        <v>0</v>
      </c>
      <c r="CX237" s="5">
        <f ca="1">SUM(OFFSET(Demand!$H$43,ROW(B234)-1,(COLUMN(B234)-1)*5,1,1))*O$2</f>
        <v>0</v>
      </c>
      <c r="CY237" s="5">
        <f ca="1">SUM(OFFSET(Demand!$H$43,ROW(C234)-1,(COLUMN(C234)-1)*5,1,1))*P$2</f>
        <v>0</v>
      </c>
      <c r="CZ237" s="5">
        <f ca="1">SUM(OFFSET(Demand!$H$43,ROW(D234)-1,(COLUMN(D234)-1)*5,1,1))*Q$2</f>
        <v>0</v>
      </c>
      <c r="DA237" s="5">
        <f ca="1">SUM(OFFSET(Demand!$H$43,ROW(E234)-1,(COLUMN(E234)-1)*5,1,1))*R$2</f>
        <v>0</v>
      </c>
      <c r="DB237" s="5">
        <f ca="1">SUM(OFFSET(Demand!$H$43,ROW(F234)-1,(COLUMN(F234)-1)*5,1,1))*S$2</f>
        <v>0</v>
      </c>
      <c r="DC237" s="5">
        <f ca="1">SUM(OFFSET(Demand!$H$43,ROW(G234)-1,(COLUMN(G234)-1)*5,1,1))*T$2</f>
        <v>0</v>
      </c>
      <c r="DD237" s="5">
        <f ca="1">SUM(OFFSET(Demand!$H$43,ROW(H234)-1,(COLUMN(H234)-1)*5,1,1))*U$2</f>
        <v>0</v>
      </c>
      <c r="DE237" s="5">
        <f ca="1">SUM(OFFSET(Demand!$H$43,ROW(I234)-1,(COLUMN(I234)-1)*5,1,1))*V$2</f>
        <v>0</v>
      </c>
      <c r="DF237" s="5">
        <f ca="1">SUM(OFFSET(Demand!$H$43,ROW(J234)-1,(COLUMN(J234)-1)*5,1,1))*W$2</f>
        <v>0</v>
      </c>
      <c r="DG237" s="5">
        <f t="shared" ca="1" si="52"/>
        <v>0</v>
      </c>
    </row>
    <row r="238" spans="1:111" x14ac:dyDescent="0.2">
      <c r="A238" s="5">
        <f t="shared" ca="1" si="46"/>
        <v>2</v>
      </c>
      <c r="B238" s="5">
        <f ca="1">COUNTBLANK(OFFSET(Demand!$I247,0,(COLUMN(A235)-1)*5,1,1))</f>
        <v>1</v>
      </c>
      <c r="C238" s="5">
        <f ca="1">COUNTBLANK(OFFSET(Demand!$I247,0,(COLUMN(B235)-1)*5,1,1))</f>
        <v>1</v>
      </c>
      <c r="D238" s="5">
        <f ca="1">COUNTBLANK(OFFSET(Demand!$I247,0,(COLUMN(C235)-1)*5,1,1))</f>
        <v>1</v>
      </c>
      <c r="E238" s="5">
        <f ca="1">COUNTBLANK(OFFSET(Demand!$I247,0,(COLUMN(D235)-1)*5,1,1))</f>
        <v>1</v>
      </c>
      <c r="F238" s="5">
        <f ca="1">COUNTBLANK(OFFSET(Demand!$I247,0,(COLUMN(E235)-1)*5,1,1))</f>
        <v>1</v>
      </c>
      <c r="G238" s="5">
        <f ca="1">COUNTBLANK(OFFSET(Demand!$I247,0,(COLUMN(F235)-1)*5,1,1))</f>
        <v>1</v>
      </c>
      <c r="H238" s="5">
        <f ca="1">COUNTBLANK(OFFSET(Demand!$I247,0,(COLUMN(G235)-1)*5,1,1))</f>
        <v>1</v>
      </c>
      <c r="I238" s="5">
        <f ca="1">COUNTBLANK(OFFSET(Demand!$I247,0,(COLUMN(H235)-1)*5,1,1))</f>
        <v>1</v>
      </c>
      <c r="J238" s="5">
        <f ca="1">COUNTBLANK(OFFSET(Demand!$I247,0,(COLUMN(I235)-1)*5,1,1))</f>
        <v>1</v>
      </c>
      <c r="K238" s="5">
        <f ca="1">COUNTBLANK(OFFSET(Demand!$I247,0,(COLUMN(J235)-1)*5,1,1))</f>
        <v>1</v>
      </c>
      <c r="N238" s="5">
        <f ca="1">SUM(OFFSET(Demand!$E247,0,(COLUMN(A235)-1)*5,1,3))*N$2</f>
        <v>0</v>
      </c>
      <c r="O238" s="5">
        <f ca="1">SUM(OFFSET(Demand!$E247,0,(COLUMN(B235)-1)*5,1,3))*O$2</f>
        <v>0</v>
      </c>
      <c r="P238" s="5">
        <f ca="1">SUM(OFFSET(Demand!$E247,0,(COLUMN(C235)-1)*5,1,3))*P$2</f>
        <v>0</v>
      </c>
      <c r="Q238" s="5">
        <f ca="1">SUM(OFFSET(Demand!$E247,0,(COLUMN(D235)-1)*5,1,3))*Q$2</f>
        <v>0</v>
      </c>
      <c r="R238" s="5">
        <f ca="1">SUM(OFFSET(Demand!$E247,0,(COLUMN(E235)-1)*5,1,3))*R$2</f>
        <v>0</v>
      </c>
      <c r="S238" s="5">
        <f ca="1">SUM(OFFSET(Demand!$E247,0,(COLUMN(F235)-1)*5,1,3))*S$2</f>
        <v>0</v>
      </c>
      <c r="T238" s="5">
        <f ca="1">SUM(OFFSET(Demand!$E247,0,(COLUMN(G235)-1)*5,1,3))*T$2</f>
        <v>0</v>
      </c>
      <c r="U238" s="5">
        <f ca="1">SUM(OFFSET(Demand!$E247,0,(COLUMN(H235)-1)*5,1,3))*U$2</f>
        <v>0</v>
      </c>
      <c r="V238" s="5">
        <f ca="1">SUM(OFFSET(Demand!$E247,0,(COLUMN(I235)-1)*5,1,3))*V$2</f>
        <v>0</v>
      </c>
      <c r="W238" s="5">
        <f ca="1">SUM(OFFSET(Demand!$E247,0,(COLUMN(J235)-1)*5,1,3))*W$2</f>
        <v>0</v>
      </c>
      <c r="X238" s="5">
        <f t="shared" ca="1" si="47"/>
        <v>0</v>
      </c>
      <c r="Y238">
        <f t="shared" ca="1" si="48"/>
        <v>0</v>
      </c>
      <c r="Z238" s="5">
        <f ca="1">SUM(OFFSET(Demand!$H247,0,(COLUMN(A235)-1)*5,1,1))*N$2</f>
        <v>0</v>
      </c>
      <c r="AA238" s="5">
        <f ca="1">SUM(OFFSET(Demand!$H247,0,(COLUMN(B235)-1)*5,1,1))*O$2</f>
        <v>0</v>
      </c>
      <c r="AB238" s="5">
        <f ca="1">SUM(OFFSET(Demand!$H247,0,(COLUMN(C235)-1)*5,1,1))*P$2</f>
        <v>0</v>
      </c>
      <c r="AC238" s="5">
        <f ca="1">SUM(OFFSET(Demand!$H247,0,(COLUMN(D235)-1)*5,1,1))*Q$2</f>
        <v>0</v>
      </c>
      <c r="AD238" s="5">
        <f ca="1">SUM(OFFSET(Demand!$H247,0,(COLUMN(E235)-1)*5,1,1))*R$2</f>
        <v>0</v>
      </c>
      <c r="AE238" s="5">
        <f ca="1">SUM(OFFSET(Demand!$H247,0,(COLUMN(F235)-1)*5,1,1))*S$2</f>
        <v>0</v>
      </c>
      <c r="AF238" s="5">
        <f ca="1">SUM(OFFSET(Demand!$H247,0,(COLUMN(G235)-1)*5,1,1))*T$2</f>
        <v>0</v>
      </c>
      <c r="AG238" s="5">
        <f ca="1">SUM(OFFSET(Demand!$H247,0,(COLUMN(H235)-1)*5,1,1))*U$2</f>
        <v>0</v>
      </c>
      <c r="AH238" s="5">
        <f ca="1">SUM(OFFSET(Demand!$H247,0,(COLUMN(I235)-1)*5,1,1))*V$2</f>
        <v>0</v>
      </c>
      <c r="AI238" s="5">
        <f ca="1">SUM(OFFSET(Demand!$H247,0,(COLUMN(J235)-1)*5,1,1))*W$2</f>
        <v>0</v>
      </c>
      <c r="AJ238" s="5">
        <f t="shared" ca="1" si="49"/>
        <v>0</v>
      </c>
      <c r="AL238" s="5">
        <f t="shared" ca="1" si="50"/>
        <v>0</v>
      </c>
      <c r="AM238" s="5">
        <f t="shared" ca="1" si="51"/>
        <v>0</v>
      </c>
      <c r="AN238" s="5" t="str">
        <f>IF(Demand!BE247="Yes","Yes","")</f>
        <v/>
      </c>
      <c r="AP238" s="37" t="str">
        <f ca="1">Demand!B247</f>
        <v xml:space="preserve"> </v>
      </c>
      <c r="AQ238" t="str">
        <f ca="1">IF(TEXT(Demand!D247,"MMM")&lt;&gt;TEXT(Demand!D246,"MMM"),TEXT(Demand!D247,"MMM"),"")</f>
        <v/>
      </c>
      <c r="AT238" s="5">
        <f t="shared" ca="1" si="53"/>
        <v>0</v>
      </c>
      <c r="BQ238">
        <f ca="1">IF($AN238="",OFFSET(Demand!$A$13,ROW(A235)-1,4+((QUOTIENT(COLUMN(BQ$2)-69,3))*5)+MOD(COLUMN(BQ$2),3),1,1),"")</f>
        <v>0</v>
      </c>
      <c r="BR238">
        <f ca="1">IF($AN238="",OFFSET(Demand!$A$13,ROW(B235)-1,4+((QUOTIENT(COLUMN(BR$2)-69,3))*5)+MOD(COLUMN(BR$2),3),1,1),"")</f>
        <v>0</v>
      </c>
      <c r="BS238">
        <f ca="1">IF($AN238="",OFFSET(Demand!$A$13,ROW(C235)-1,4+((QUOTIENT(COLUMN(BS$2)-69,3))*5)+MOD(COLUMN(BS$2),3),1,1),"")</f>
        <v>0</v>
      </c>
      <c r="BT238">
        <f ca="1">IF($AN238="",OFFSET(Demand!$A$13,ROW(D235)-1,4+((QUOTIENT(COLUMN(BT$2)-69,3))*5)+MOD(COLUMN(BT$2),3),1,1),"")</f>
        <v>0</v>
      </c>
      <c r="BU238">
        <f ca="1">IF($AN238="",OFFSET(Demand!$A$13,ROW(E235)-1,4+((QUOTIENT(COLUMN(BU$2)-69,3))*5)+MOD(COLUMN(BU$2),3),1,1),"")</f>
        <v>0</v>
      </c>
      <c r="BV238">
        <f ca="1">IF($AN238="",OFFSET(Demand!$A$13,ROW(F235)-1,4+((QUOTIENT(COLUMN(BV$2)-69,3))*5)+MOD(COLUMN(BV$2),3),1,1),"")</f>
        <v>0</v>
      </c>
      <c r="BW238">
        <f ca="1">IF($AN238="",OFFSET(Demand!$A$13,ROW(G235)-1,4+((QUOTIENT(COLUMN(BW$2)-69,3))*5)+MOD(COLUMN(BW$2),3),1,1),"")</f>
        <v>0</v>
      </c>
      <c r="BX238">
        <f ca="1">IF($AN238="",OFFSET(Demand!$A$13,ROW(H235)-1,4+((QUOTIENT(COLUMN(BX$2)-69,3))*5)+MOD(COLUMN(BX$2),3),1,1),"")</f>
        <v>0</v>
      </c>
      <c r="BY238">
        <f ca="1">IF($AN238="",OFFSET(Demand!$A$13,ROW(I235)-1,4+((QUOTIENT(COLUMN(BY$2)-69,3))*5)+MOD(COLUMN(BY$2),3),1,1),"")</f>
        <v>0</v>
      </c>
      <c r="BZ238">
        <f ca="1">IF($AN238="",OFFSET(Demand!$A$13,ROW(J235)-1,4+((QUOTIENT(COLUMN(BZ$2)-69,3))*5)+MOD(COLUMN(BZ$2),3),1,1),"")</f>
        <v>0</v>
      </c>
      <c r="CA238">
        <f ca="1">IF($AN238="",OFFSET(Demand!$A$13,ROW(K235)-1,4+((QUOTIENT(COLUMN(CA$2)-69,3))*5)+MOD(COLUMN(CA$2),3),1,1),"")</f>
        <v>0</v>
      </c>
      <c r="CB238">
        <f ca="1">IF($AN238="",OFFSET(Demand!$A$13,ROW(L235)-1,4+((QUOTIENT(COLUMN(CB$2)-69,3))*5)+MOD(COLUMN(CB$2),3),1,1),"")</f>
        <v>0</v>
      </c>
      <c r="CC238">
        <f ca="1">IF($AN238="",OFFSET(Demand!$A$13,ROW(M235)-1,4+((QUOTIENT(COLUMN(CC$2)-69,3))*5)+MOD(COLUMN(CC$2),3),1,1),"")</f>
        <v>0</v>
      </c>
      <c r="CD238">
        <f ca="1">IF($AN238="",OFFSET(Demand!$A$13,ROW(N235)-1,4+((QUOTIENT(COLUMN(CD$2)-69,3))*5)+MOD(COLUMN(CD$2),3),1,1),"")</f>
        <v>0</v>
      </c>
      <c r="CE238">
        <f ca="1">IF($AN238="",OFFSET(Demand!$A$13,ROW(O235)-1,4+((QUOTIENT(COLUMN(CE$2)-69,3))*5)+MOD(COLUMN(CE$2),3),1,1),"")</f>
        <v>0</v>
      </c>
      <c r="CF238">
        <f ca="1">IF($AN238="",OFFSET(Demand!$A$13,ROW(P235)-1,4+((QUOTIENT(COLUMN(CF$2)-69,3))*5)+MOD(COLUMN(CF$2),3),1,1),"")</f>
        <v>0</v>
      </c>
      <c r="CG238">
        <f ca="1">IF($AN238="",OFFSET(Demand!$A$13,ROW(Q235)-1,4+((QUOTIENT(COLUMN(CG$2)-69,3))*5)+MOD(COLUMN(CG$2),3),1,1),"")</f>
        <v>0</v>
      </c>
      <c r="CH238">
        <f ca="1">IF($AN238="",OFFSET(Demand!$A$13,ROW(R235)-1,4+((QUOTIENT(COLUMN(CH$2)-69,3))*5)+MOD(COLUMN(CH$2),3),1,1),"")</f>
        <v>0</v>
      </c>
      <c r="CI238">
        <f ca="1">IF($AN238="",OFFSET(Demand!$A$13,ROW(S235)-1,4+((QUOTIENT(COLUMN(CI$2)-69,3))*5)+MOD(COLUMN(CI$2),3),1,1),"")</f>
        <v>0</v>
      </c>
      <c r="CJ238">
        <f ca="1">IF($AN238="",OFFSET(Demand!$A$13,ROW(T235)-1,4+((QUOTIENT(COLUMN(CJ$2)-69,3))*5)+MOD(COLUMN(CJ$2),3),1,1),"")</f>
        <v>0</v>
      </c>
      <c r="CK238">
        <f ca="1">IF($AN238="",OFFSET(Demand!$A$13,ROW(U235)-1,4+((QUOTIENT(COLUMN(CK$2)-69,3))*5)+MOD(COLUMN(CK$2),3),1,1),"")</f>
        <v>0</v>
      </c>
      <c r="CL238">
        <f ca="1">IF($AN238="",OFFSET(Demand!$A$13,ROW(V235)-1,4+((QUOTIENT(COLUMN(CL$2)-69,3))*5)+MOD(COLUMN(CL$2),3),1,1),"")</f>
        <v>0</v>
      </c>
      <c r="CM238">
        <f ca="1">IF($AN238="",OFFSET(Demand!$A$13,ROW(W235)-1,4+((QUOTIENT(COLUMN(CM$2)-69,3))*5)+MOD(COLUMN(CM$2),3),1,1),"")</f>
        <v>0</v>
      </c>
      <c r="CN238">
        <f ca="1">IF($AN238="",OFFSET(Demand!$A$13,ROW(X235)-1,4+((QUOTIENT(COLUMN(CN$2)-69,3))*5)+MOD(COLUMN(CN$2),3),1,1),"")</f>
        <v>0</v>
      </c>
      <c r="CO238">
        <f ca="1">IF($AN238="",OFFSET(Demand!$A$13,ROW(Y235)-1,4+((QUOTIENT(COLUMN(CO$2)-69,3))*5)+MOD(COLUMN(CO$2),3),1,1),"")</f>
        <v>0</v>
      </c>
      <c r="CP238">
        <f ca="1">IF($AN238="",OFFSET(Demand!$A$13,ROW(Z235)-1,4+((QUOTIENT(COLUMN(CP$2)-69,3))*5)+MOD(COLUMN(CP$2),3),1,1),"")</f>
        <v>0</v>
      </c>
      <c r="CQ238">
        <f ca="1">IF($AN238="",OFFSET(Demand!$A$13,ROW(AA235)-1,4+((QUOTIENT(COLUMN(CQ$2)-69,3))*5)+MOD(COLUMN(CQ$2),3),1,1),"")</f>
        <v>0</v>
      </c>
      <c r="CR238">
        <f ca="1">IF($AN238="",OFFSET(Demand!$A$13,ROW(AB235)-1,4+((QUOTIENT(COLUMN(CR$2)-69,3))*5)+MOD(COLUMN(CR$2),3),1,1),"")</f>
        <v>0</v>
      </c>
      <c r="CS238">
        <f ca="1">IF($AN238="",OFFSET(Demand!$A$13,ROW(AC235)-1,4+((QUOTIENT(COLUMN(CS$2)-69,3))*5)+MOD(COLUMN(CS$2),3),1,1),"")</f>
        <v>0</v>
      </c>
      <c r="CT238">
        <f ca="1">IF($AN238="",OFFSET(Demand!$A$13,ROW(AD235)-1,4+((QUOTIENT(COLUMN(CT$2)-69,3))*5)+MOD(COLUMN(CT$2),3),1,1),"")</f>
        <v>0</v>
      </c>
      <c r="CW238" s="5">
        <f ca="1">SUM(OFFSET(Demand!$H$43,ROW(A235)-1,(COLUMN(A235)-1)*5,1,1))*N$2</f>
        <v>0</v>
      </c>
      <c r="CX238" s="5">
        <f ca="1">SUM(OFFSET(Demand!$H$43,ROW(B235)-1,(COLUMN(B235)-1)*5,1,1))*O$2</f>
        <v>0</v>
      </c>
      <c r="CY238" s="5">
        <f ca="1">SUM(OFFSET(Demand!$H$43,ROW(C235)-1,(COLUMN(C235)-1)*5,1,1))*P$2</f>
        <v>0</v>
      </c>
      <c r="CZ238" s="5">
        <f ca="1">SUM(OFFSET(Demand!$H$43,ROW(D235)-1,(COLUMN(D235)-1)*5,1,1))*Q$2</f>
        <v>0</v>
      </c>
      <c r="DA238" s="5">
        <f ca="1">SUM(OFFSET(Demand!$H$43,ROW(E235)-1,(COLUMN(E235)-1)*5,1,1))*R$2</f>
        <v>0</v>
      </c>
      <c r="DB238" s="5">
        <f ca="1">SUM(OFFSET(Demand!$H$43,ROW(F235)-1,(COLUMN(F235)-1)*5,1,1))*S$2</f>
        <v>0</v>
      </c>
      <c r="DC238" s="5">
        <f ca="1">SUM(OFFSET(Demand!$H$43,ROW(G235)-1,(COLUMN(G235)-1)*5,1,1))*T$2</f>
        <v>0</v>
      </c>
      <c r="DD238" s="5">
        <f ca="1">SUM(OFFSET(Demand!$H$43,ROW(H235)-1,(COLUMN(H235)-1)*5,1,1))*U$2</f>
        <v>0</v>
      </c>
      <c r="DE238" s="5">
        <f ca="1">SUM(OFFSET(Demand!$H$43,ROW(I235)-1,(COLUMN(I235)-1)*5,1,1))*V$2</f>
        <v>0</v>
      </c>
      <c r="DF238" s="5">
        <f ca="1">SUM(OFFSET(Demand!$H$43,ROW(J235)-1,(COLUMN(J235)-1)*5,1,1))*W$2</f>
        <v>0</v>
      </c>
      <c r="DG238" s="5">
        <f t="shared" ca="1" si="52"/>
        <v>0</v>
      </c>
    </row>
    <row r="239" spans="1:111" x14ac:dyDescent="0.2">
      <c r="A239" s="5">
        <f t="shared" ca="1" si="46"/>
        <v>2</v>
      </c>
      <c r="B239" s="5">
        <f ca="1">COUNTBLANK(OFFSET(Demand!$I248,0,(COLUMN(A236)-1)*5,1,1))</f>
        <v>1</v>
      </c>
      <c r="C239" s="5">
        <f ca="1">COUNTBLANK(OFFSET(Demand!$I248,0,(COLUMN(B236)-1)*5,1,1))</f>
        <v>1</v>
      </c>
      <c r="D239" s="5">
        <f ca="1">COUNTBLANK(OFFSET(Demand!$I248,0,(COLUMN(C236)-1)*5,1,1))</f>
        <v>1</v>
      </c>
      <c r="E239" s="5">
        <f ca="1">COUNTBLANK(OFFSET(Demand!$I248,0,(COLUMN(D236)-1)*5,1,1))</f>
        <v>1</v>
      </c>
      <c r="F239" s="5">
        <f ca="1">COUNTBLANK(OFFSET(Demand!$I248,0,(COLUMN(E236)-1)*5,1,1))</f>
        <v>1</v>
      </c>
      <c r="G239" s="5">
        <f ca="1">COUNTBLANK(OFFSET(Demand!$I248,0,(COLUMN(F236)-1)*5,1,1))</f>
        <v>1</v>
      </c>
      <c r="H239" s="5">
        <f ca="1">COUNTBLANK(OFFSET(Demand!$I248,0,(COLUMN(G236)-1)*5,1,1))</f>
        <v>1</v>
      </c>
      <c r="I239" s="5">
        <f ca="1">COUNTBLANK(OFFSET(Demand!$I248,0,(COLUMN(H236)-1)*5,1,1))</f>
        <v>1</v>
      </c>
      <c r="J239" s="5">
        <f ca="1">COUNTBLANK(OFFSET(Demand!$I248,0,(COLUMN(I236)-1)*5,1,1))</f>
        <v>1</v>
      </c>
      <c r="K239" s="5">
        <f ca="1">COUNTBLANK(OFFSET(Demand!$I248,0,(COLUMN(J236)-1)*5,1,1))</f>
        <v>1</v>
      </c>
      <c r="N239" s="5">
        <f ca="1">SUM(OFFSET(Demand!$E248,0,(COLUMN(A236)-1)*5,1,3))*N$2</f>
        <v>0</v>
      </c>
      <c r="O239" s="5">
        <f ca="1">SUM(OFFSET(Demand!$E248,0,(COLUMN(B236)-1)*5,1,3))*O$2</f>
        <v>0</v>
      </c>
      <c r="P239" s="5">
        <f ca="1">SUM(OFFSET(Demand!$E248,0,(COLUMN(C236)-1)*5,1,3))*P$2</f>
        <v>0</v>
      </c>
      <c r="Q239" s="5">
        <f ca="1">SUM(OFFSET(Demand!$E248,0,(COLUMN(D236)-1)*5,1,3))*Q$2</f>
        <v>0</v>
      </c>
      <c r="R239" s="5">
        <f ca="1">SUM(OFFSET(Demand!$E248,0,(COLUMN(E236)-1)*5,1,3))*R$2</f>
        <v>0</v>
      </c>
      <c r="S239" s="5">
        <f ca="1">SUM(OFFSET(Demand!$E248,0,(COLUMN(F236)-1)*5,1,3))*S$2</f>
        <v>0</v>
      </c>
      <c r="T239" s="5">
        <f ca="1">SUM(OFFSET(Demand!$E248,0,(COLUMN(G236)-1)*5,1,3))*T$2</f>
        <v>0</v>
      </c>
      <c r="U239" s="5">
        <f ca="1">SUM(OFFSET(Demand!$E248,0,(COLUMN(H236)-1)*5,1,3))*U$2</f>
        <v>0</v>
      </c>
      <c r="V239" s="5">
        <f ca="1">SUM(OFFSET(Demand!$E248,0,(COLUMN(I236)-1)*5,1,3))*V$2</f>
        <v>0</v>
      </c>
      <c r="W239" s="5">
        <f ca="1">SUM(OFFSET(Demand!$E248,0,(COLUMN(J236)-1)*5,1,3))*W$2</f>
        <v>0</v>
      </c>
      <c r="X239" s="5">
        <f t="shared" ca="1" si="47"/>
        <v>0</v>
      </c>
      <c r="Y239">
        <f t="shared" ca="1" si="48"/>
        <v>0</v>
      </c>
      <c r="Z239" s="5">
        <f ca="1">SUM(OFFSET(Demand!$H248,0,(COLUMN(A236)-1)*5,1,1))*N$2</f>
        <v>0</v>
      </c>
      <c r="AA239" s="5">
        <f ca="1">SUM(OFFSET(Demand!$H248,0,(COLUMN(B236)-1)*5,1,1))*O$2</f>
        <v>0</v>
      </c>
      <c r="AB239" s="5">
        <f ca="1">SUM(OFFSET(Demand!$H248,0,(COLUMN(C236)-1)*5,1,1))*P$2</f>
        <v>0</v>
      </c>
      <c r="AC239" s="5">
        <f ca="1">SUM(OFFSET(Demand!$H248,0,(COLUMN(D236)-1)*5,1,1))*Q$2</f>
        <v>0</v>
      </c>
      <c r="AD239" s="5">
        <f ca="1">SUM(OFFSET(Demand!$H248,0,(COLUMN(E236)-1)*5,1,1))*R$2</f>
        <v>0</v>
      </c>
      <c r="AE239" s="5">
        <f ca="1">SUM(OFFSET(Demand!$H248,0,(COLUMN(F236)-1)*5,1,1))*S$2</f>
        <v>0</v>
      </c>
      <c r="AF239" s="5">
        <f ca="1">SUM(OFFSET(Demand!$H248,0,(COLUMN(G236)-1)*5,1,1))*T$2</f>
        <v>0</v>
      </c>
      <c r="AG239" s="5">
        <f ca="1">SUM(OFFSET(Demand!$H248,0,(COLUMN(H236)-1)*5,1,1))*U$2</f>
        <v>0</v>
      </c>
      <c r="AH239" s="5">
        <f ca="1">SUM(OFFSET(Demand!$H248,0,(COLUMN(I236)-1)*5,1,1))*V$2</f>
        <v>0</v>
      </c>
      <c r="AI239" s="5">
        <f ca="1">SUM(OFFSET(Demand!$H248,0,(COLUMN(J236)-1)*5,1,1))*W$2</f>
        <v>0</v>
      </c>
      <c r="AJ239" s="5">
        <f t="shared" ca="1" si="49"/>
        <v>0</v>
      </c>
      <c r="AL239" s="5">
        <f t="shared" ca="1" si="50"/>
        <v>0</v>
      </c>
      <c r="AM239" s="5">
        <f t="shared" ca="1" si="51"/>
        <v>0</v>
      </c>
      <c r="AN239" s="5" t="str">
        <f>IF(Demand!BE248="Yes","Yes","")</f>
        <v/>
      </c>
      <c r="AP239" s="37" t="str">
        <f ca="1">Demand!B248</f>
        <v xml:space="preserve"> </v>
      </c>
      <c r="AQ239" t="str">
        <f ca="1">IF(TEXT(Demand!D248,"MMM")&lt;&gt;TEXT(Demand!D247,"MMM"),TEXT(Demand!D248,"MMM"),"")</f>
        <v/>
      </c>
      <c r="AT239" s="5">
        <f t="shared" ca="1" si="53"/>
        <v>0</v>
      </c>
      <c r="BQ239">
        <f ca="1">IF($AN239="",OFFSET(Demand!$A$13,ROW(A236)-1,4+((QUOTIENT(COLUMN(BQ$2)-69,3))*5)+MOD(COLUMN(BQ$2),3),1,1),"")</f>
        <v>0</v>
      </c>
      <c r="BR239">
        <f ca="1">IF($AN239="",OFFSET(Demand!$A$13,ROW(B236)-1,4+((QUOTIENT(COLUMN(BR$2)-69,3))*5)+MOD(COLUMN(BR$2),3),1,1),"")</f>
        <v>0</v>
      </c>
      <c r="BS239">
        <f ca="1">IF($AN239="",OFFSET(Demand!$A$13,ROW(C236)-1,4+((QUOTIENT(COLUMN(BS$2)-69,3))*5)+MOD(COLUMN(BS$2),3),1,1),"")</f>
        <v>0</v>
      </c>
      <c r="BT239">
        <f ca="1">IF($AN239="",OFFSET(Demand!$A$13,ROW(D236)-1,4+((QUOTIENT(COLUMN(BT$2)-69,3))*5)+MOD(COLUMN(BT$2),3),1,1),"")</f>
        <v>0</v>
      </c>
      <c r="BU239">
        <f ca="1">IF($AN239="",OFFSET(Demand!$A$13,ROW(E236)-1,4+((QUOTIENT(COLUMN(BU$2)-69,3))*5)+MOD(COLUMN(BU$2),3),1,1),"")</f>
        <v>0</v>
      </c>
      <c r="BV239">
        <f ca="1">IF($AN239="",OFFSET(Demand!$A$13,ROW(F236)-1,4+((QUOTIENT(COLUMN(BV$2)-69,3))*5)+MOD(COLUMN(BV$2),3),1,1),"")</f>
        <v>0</v>
      </c>
      <c r="BW239">
        <f ca="1">IF($AN239="",OFFSET(Demand!$A$13,ROW(G236)-1,4+((QUOTIENT(COLUMN(BW$2)-69,3))*5)+MOD(COLUMN(BW$2),3),1,1),"")</f>
        <v>0</v>
      </c>
      <c r="BX239">
        <f ca="1">IF($AN239="",OFFSET(Demand!$A$13,ROW(H236)-1,4+((QUOTIENT(COLUMN(BX$2)-69,3))*5)+MOD(COLUMN(BX$2),3),1,1),"")</f>
        <v>0</v>
      </c>
      <c r="BY239">
        <f ca="1">IF($AN239="",OFFSET(Demand!$A$13,ROW(I236)-1,4+((QUOTIENT(COLUMN(BY$2)-69,3))*5)+MOD(COLUMN(BY$2),3),1,1),"")</f>
        <v>0</v>
      </c>
      <c r="BZ239">
        <f ca="1">IF($AN239="",OFFSET(Demand!$A$13,ROW(J236)-1,4+((QUOTIENT(COLUMN(BZ$2)-69,3))*5)+MOD(COLUMN(BZ$2),3),1,1),"")</f>
        <v>0</v>
      </c>
      <c r="CA239">
        <f ca="1">IF($AN239="",OFFSET(Demand!$A$13,ROW(K236)-1,4+((QUOTIENT(COLUMN(CA$2)-69,3))*5)+MOD(COLUMN(CA$2),3),1,1),"")</f>
        <v>0</v>
      </c>
      <c r="CB239">
        <f ca="1">IF($AN239="",OFFSET(Demand!$A$13,ROW(L236)-1,4+((QUOTIENT(COLUMN(CB$2)-69,3))*5)+MOD(COLUMN(CB$2),3),1,1),"")</f>
        <v>0</v>
      </c>
      <c r="CC239">
        <f ca="1">IF($AN239="",OFFSET(Demand!$A$13,ROW(M236)-1,4+((QUOTIENT(COLUMN(CC$2)-69,3))*5)+MOD(COLUMN(CC$2),3),1,1),"")</f>
        <v>0</v>
      </c>
      <c r="CD239">
        <f ca="1">IF($AN239="",OFFSET(Demand!$A$13,ROW(N236)-1,4+((QUOTIENT(COLUMN(CD$2)-69,3))*5)+MOD(COLUMN(CD$2),3),1,1),"")</f>
        <v>0</v>
      </c>
      <c r="CE239">
        <f ca="1">IF($AN239="",OFFSET(Demand!$A$13,ROW(O236)-1,4+((QUOTIENT(COLUMN(CE$2)-69,3))*5)+MOD(COLUMN(CE$2),3),1,1),"")</f>
        <v>0</v>
      </c>
      <c r="CF239">
        <f ca="1">IF($AN239="",OFFSET(Demand!$A$13,ROW(P236)-1,4+((QUOTIENT(COLUMN(CF$2)-69,3))*5)+MOD(COLUMN(CF$2),3),1,1),"")</f>
        <v>0</v>
      </c>
      <c r="CG239">
        <f ca="1">IF($AN239="",OFFSET(Demand!$A$13,ROW(Q236)-1,4+((QUOTIENT(COLUMN(CG$2)-69,3))*5)+MOD(COLUMN(CG$2),3),1,1),"")</f>
        <v>0</v>
      </c>
      <c r="CH239">
        <f ca="1">IF($AN239="",OFFSET(Demand!$A$13,ROW(R236)-1,4+((QUOTIENT(COLUMN(CH$2)-69,3))*5)+MOD(COLUMN(CH$2),3),1,1),"")</f>
        <v>0</v>
      </c>
      <c r="CI239">
        <f ca="1">IF($AN239="",OFFSET(Demand!$A$13,ROW(S236)-1,4+((QUOTIENT(COLUMN(CI$2)-69,3))*5)+MOD(COLUMN(CI$2),3),1,1),"")</f>
        <v>0</v>
      </c>
      <c r="CJ239">
        <f ca="1">IF($AN239="",OFFSET(Demand!$A$13,ROW(T236)-1,4+((QUOTIENT(COLUMN(CJ$2)-69,3))*5)+MOD(COLUMN(CJ$2),3),1,1),"")</f>
        <v>0</v>
      </c>
      <c r="CK239">
        <f ca="1">IF($AN239="",OFFSET(Demand!$A$13,ROW(U236)-1,4+((QUOTIENT(COLUMN(CK$2)-69,3))*5)+MOD(COLUMN(CK$2),3),1,1),"")</f>
        <v>0</v>
      </c>
      <c r="CL239">
        <f ca="1">IF($AN239="",OFFSET(Demand!$A$13,ROW(V236)-1,4+((QUOTIENT(COLUMN(CL$2)-69,3))*5)+MOD(COLUMN(CL$2),3),1,1),"")</f>
        <v>0</v>
      </c>
      <c r="CM239">
        <f ca="1">IF($AN239="",OFFSET(Demand!$A$13,ROW(W236)-1,4+((QUOTIENT(COLUMN(CM$2)-69,3))*5)+MOD(COLUMN(CM$2),3),1,1),"")</f>
        <v>0</v>
      </c>
      <c r="CN239">
        <f ca="1">IF($AN239="",OFFSET(Demand!$A$13,ROW(X236)-1,4+((QUOTIENT(COLUMN(CN$2)-69,3))*5)+MOD(COLUMN(CN$2),3),1,1),"")</f>
        <v>0</v>
      </c>
      <c r="CO239">
        <f ca="1">IF($AN239="",OFFSET(Demand!$A$13,ROW(Y236)-1,4+((QUOTIENT(COLUMN(CO$2)-69,3))*5)+MOD(COLUMN(CO$2),3),1,1),"")</f>
        <v>0</v>
      </c>
      <c r="CP239">
        <f ca="1">IF($AN239="",OFFSET(Demand!$A$13,ROW(Z236)-1,4+((QUOTIENT(COLUMN(CP$2)-69,3))*5)+MOD(COLUMN(CP$2),3),1,1),"")</f>
        <v>0</v>
      </c>
      <c r="CQ239">
        <f ca="1">IF($AN239="",OFFSET(Demand!$A$13,ROW(AA236)-1,4+((QUOTIENT(COLUMN(CQ$2)-69,3))*5)+MOD(COLUMN(CQ$2),3),1,1),"")</f>
        <v>0</v>
      </c>
      <c r="CR239">
        <f ca="1">IF($AN239="",OFFSET(Demand!$A$13,ROW(AB236)-1,4+((QUOTIENT(COLUMN(CR$2)-69,3))*5)+MOD(COLUMN(CR$2),3),1,1),"")</f>
        <v>0</v>
      </c>
      <c r="CS239">
        <f ca="1">IF($AN239="",OFFSET(Demand!$A$13,ROW(AC236)-1,4+((QUOTIENT(COLUMN(CS$2)-69,3))*5)+MOD(COLUMN(CS$2),3),1,1),"")</f>
        <v>0</v>
      </c>
      <c r="CT239">
        <f ca="1">IF($AN239="",OFFSET(Demand!$A$13,ROW(AD236)-1,4+((QUOTIENT(COLUMN(CT$2)-69,3))*5)+MOD(COLUMN(CT$2),3),1,1),"")</f>
        <v>0</v>
      </c>
      <c r="CW239" s="5">
        <f ca="1">SUM(OFFSET(Demand!$H$43,ROW(A236)-1,(COLUMN(A236)-1)*5,1,1))*N$2</f>
        <v>0</v>
      </c>
      <c r="CX239" s="5">
        <f ca="1">SUM(OFFSET(Demand!$H$43,ROW(B236)-1,(COLUMN(B236)-1)*5,1,1))*O$2</f>
        <v>0</v>
      </c>
      <c r="CY239" s="5">
        <f ca="1">SUM(OFFSET(Demand!$H$43,ROW(C236)-1,(COLUMN(C236)-1)*5,1,1))*P$2</f>
        <v>0</v>
      </c>
      <c r="CZ239" s="5">
        <f ca="1">SUM(OFFSET(Demand!$H$43,ROW(D236)-1,(COLUMN(D236)-1)*5,1,1))*Q$2</f>
        <v>0</v>
      </c>
      <c r="DA239" s="5">
        <f ca="1">SUM(OFFSET(Demand!$H$43,ROW(E236)-1,(COLUMN(E236)-1)*5,1,1))*R$2</f>
        <v>0</v>
      </c>
      <c r="DB239" s="5">
        <f ca="1">SUM(OFFSET(Demand!$H$43,ROW(F236)-1,(COLUMN(F236)-1)*5,1,1))*S$2</f>
        <v>0</v>
      </c>
      <c r="DC239" s="5">
        <f ca="1">SUM(OFFSET(Demand!$H$43,ROW(G236)-1,(COLUMN(G236)-1)*5,1,1))*T$2</f>
        <v>0</v>
      </c>
      <c r="DD239" s="5">
        <f ca="1">SUM(OFFSET(Demand!$H$43,ROW(H236)-1,(COLUMN(H236)-1)*5,1,1))*U$2</f>
        <v>0</v>
      </c>
      <c r="DE239" s="5">
        <f ca="1">SUM(OFFSET(Demand!$H$43,ROW(I236)-1,(COLUMN(I236)-1)*5,1,1))*V$2</f>
        <v>0</v>
      </c>
      <c r="DF239" s="5">
        <f ca="1">SUM(OFFSET(Demand!$H$43,ROW(J236)-1,(COLUMN(J236)-1)*5,1,1))*W$2</f>
        <v>0</v>
      </c>
      <c r="DG239" s="5">
        <f t="shared" ca="1" si="52"/>
        <v>0</v>
      </c>
    </row>
    <row r="240" spans="1:111" x14ac:dyDescent="0.2">
      <c r="A240" s="5">
        <f t="shared" ca="1" si="46"/>
        <v>2</v>
      </c>
      <c r="B240" s="5">
        <f ca="1">COUNTBLANK(OFFSET(Demand!$I249,0,(COLUMN(A237)-1)*5,1,1))</f>
        <v>1</v>
      </c>
      <c r="C240" s="5">
        <f ca="1">COUNTBLANK(OFFSET(Demand!$I249,0,(COLUMN(B237)-1)*5,1,1))</f>
        <v>1</v>
      </c>
      <c r="D240" s="5">
        <f ca="1">COUNTBLANK(OFFSET(Demand!$I249,0,(COLUMN(C237)-1)*5,1,1))</f>
        <v>1</v>
      </c>
      <c r="E240" s="5">
        <f ca="1">COUNTBLANK(OFFSET(Demand!$I249,0,(COLUMN(D237)-1)*5,1,1))</f>
        <v>1</v>
      </c>
      <c r="F240" s="5">
        <f ca="1">COUNTBLANK(OFFSET(Demand!$I249,0,(COLUMN(E237)-1)*5,1,1))</f>
        <v>1</v>
      </c>
      <c r="G240" s="5">
        <f ca="1">COUNTBLANK(OFFSET(Demand!$I249,0,(COLUMN(F237)-1)*5,1,1))</f>
        <v>1</v>
      </c>
      <c r="H240" s="5">
        <f ca="1">COUNTBLANK(OFFSET(Demand!$I249,0,(COLUMN(G237)-1)*5,1,1))</f>
        <v>1</v>
      </c>
      <c r="I240" s="5">
        <f ca="1">COUNTBLANK(OFFSET(Demand!$I249,0,(COLUMN(H237)-1)*5,1,1))</f>
        <v>1</v>
      </c>
      <c r="J240" s="5">
        <f ca="1">COUNTBLANK(OFFSET(Demand!$I249,0,(COLUMN(I237)-1)*5,1,1))</f>
        <v>1</v>
      </c>
      <c r="K240" s="5">
        <f ca="1">COUNTBLANK(OFFSET(Demand!$I249,0,(COLUMN(J237)-1)*5,1,1))</f>
        <v>1</v>
      </c>
      <c r="N240" s="5">
        <f ca="1">SUM(OFFSET(Demand!$E249,0,(COLUMN(A237)-1)*5,1,3))*N$2</f>
        <v>0</v>
      </c>
      <c r="O240" s="5">
        <f ca="1">SUM(OFFSET(Demand!$E249,0,(COLUMN(B237)-1)*5,1,3))*O$2</f>
        <v>0</v>
      </c>
      <c r="P240" s="5">
        <f ca="1">SUM(OFFSET(Demand!$E249,0,(COLUMN(C237)-1)*5,1,3))*P$2</f>
        <v>0</v>
      </c>
      <c r="Q240" s="5">
        <f ca="1">SUM(OFFSET(Demand!$E249,0,(COLUMN(D237)-1)*5,1,3))*Q$2</f>
        <v>0</v>
      </c>
      <c r="R240" s="5">
        <f ca="1">SUM(OFFSET(Demand!$E249,0,(COLUMN(E237)-1)*5,1,3))*R$2</f>
        <v>0</v>
      </c>
      <c r="S240" s="5">
        <f ca="1">SUM(OFFSET(Demand!$E249,0,(COLUMN(F237)-1)*5,1,3))*S$2</f>
        <v>0</v>
      </c>
      <c r="T240" s="5">
        <f ca="1">SUM(OFFSET(Demand!$E249,0,(COLUMN(G237)-1)*5,1,3))*T$2</f>
        <v>0</v>
      </c>
      <c r="U240" s="5">
        <f ca="1">SUM(OFFSET(Demand!$E249,0,(COLUMN(H237)-1)*5,1,3))*U$2</f>
        <v>0</v>
      </c>
      <c r="V240" s="5">
        <f ca="1">SUM(OFFSET(Demand!$E249,0,(COLUMN(I237)-1)*5,1,3))*V$2</f>
        <v>0</v>
      </c>
      <c r="W240" s="5">
        <f ca="1">SUM(OFFSET(Demand!$E249,0,(COLUMN(J237)-1)*5,1,3))*W$2</f>
        <v>0</v>
      </c>
      <c r="X240" s="5">
        <f t="shared" ca="1" si="47"/>
        <v>0</v>
      </c>
      <c r="Y240">
        <f t="shared" ca="1" si="48"/>
        <v>0</v>
      </c>
      <c r="Z240" s="5">
        <f ca="1">SUM(OFFSET(Demand!$H249,0,(COLUMN(A237)-1)*5,1,1))*N$2</f>
        <v>0</v>
      </c>
      <c r="AA240" s="5">
        <f ca="1">SUM(OFFSET(Demand!$H249,0,(COLUMN(B237)-1)*5,1,1))*O$2</f>
        <v>0</v>
      </c>
      <c r="AB240" s="5">
        <f ca="1">SUM(OFFSET(Demand!$H249,0,(COLUMN(C237)-1)*5,1,1))*P$2</f>
        <v>0</v>
      </c>
      <c r="AC240" s="5">
        <f ca="1">SUM(OFFSET(Demand!$H249,0,(COLUMN(D237)-1)*5,1,1))*Q$2</f>
        <v>0</v>
      </c>
      <c r="AD240" s="5">
        <f ca="1">SUM(OFFSET(Demand!$H249,0,(COLUMN(E237)-1)*5,1,1))*R$2</f>
        <v>0</v>
      </c>
      <c r="AE240" s="5">
        <f ca="1">SUM(OFFSET(Demand!$H249,0,(COLUMN(F237)-1)*5,1,1))*S$2</f>
        <v>0</v>
      </c>
      <c r="AF240" s="5">
        <f ca="1">SUM(OFFSET(Demand!$H249,0,(COLUMN(G237)-1)*5,1,1))*T$2</f>
        <v>0</v>
      </c>
      <c r="AG240" s="5">
        <f ca="1">SUM(OFFSET(Demand!$H249,0,(COLUMN(H237)-1)*5,1,1))*U$2</f>
        <v>0</v>
      </c>
      <c r="AH240" s="5">
        <f ca="1">SUM(OFFSET(Demand!$H249,0,(COLUMN(I237)-1)*5,1,1))*V$2</f>
        <v>0</v>
      </c>
      <c r="AI240" s="5">
        <f ca="1">SUM(OFFSET(Demand!$H249,0,(COLUMN(J237)-1)*5,1,1))*W$2</f>
        <v>0</v>
      </c>
      <c r="AJ240" s="5">
        <f t="shared" ca="1" si="49"/>
        <v>0</v>
      </c>
      <c r="AL240" s="5">
        <f t="shared" ca="1" si="50"/>
        <v>0</v>
      </c>
      <c r="AM240" s="5">
        <f t="shared" ca="1" si="51"/>
        <v>0</v>
      </c>
      <c r="AN240" s="5" t="str">
        <f>IF(Demand!BE249="Yes","Yes","")</f>
        <v/>
      </c>
      <c r="AP240" s="37" t="str">
        <f ca="1">Demand!B249</f>
        <v xml:space="preserve"> </v>
      </c>
      <c r="AQ240" t="str">
        <f ca="1">IF(TEXT(Demand!D249,"MMM")&lt;&gt;TEXT(Demand!D248,"MMM"),TEXT(Demand!D249,"MMM"),"")</f>
        <v/>
      </c>
      <c r="AT240" s="5">
        <f t="shared" ca="1" si="53"/>
        <v>0</v>
      </c>
      <c r="BQ240">
        <f ca="1">IF($AN240="",OFFSET(Demand!$A$13,ROW(A237)-1,4+((QUOTIENT(COLUMN(BQ$2)-69,3))*5)+MOD(COLUMN(BQ$2),3),1,1),"")</f>
        <v>0</v>
      </c>
      <c r="BR240">
        <f ca="1">IF($AN240="",OFFSET(Demand!$A$13,ROW(B237)-1,4+((QUOTIENT(COLUMN(BR$2)-69,3))*5)+MOD(COLUMN(BR$2),3),1,1),"")</f>
        <v>0</v>
      </c>
      <c r="BS240">
        <f ca="1">IF($AN240="",OFFSET(Demand!$A$13,ROW(C237)-1,4+((QUOTIENT(COLUMN(BS$2)-69,3))*5)+MOD(COLUMN(BS$2),3),1,1),"")</f>
        <v>0</v>
      </c>
      <c r="BT240">
        <f ca="1">IF($AN240="",OFFSET(Demand!$A$13,ROW(D237)-1,4+((QUOTIENT(COLUMN(BT$2)-69,3))*5)+MOD(COLUMN(BT$2),3),1,1),"")</f>
        <v>0</v>
      </c>
      <c r="BU240">
        <f ca="1">IF($AN240="",OFFSET(Demand!$A$13,ROW(E237)-1,4+((QUOTIENT(COLUMN(BU$2)-69,3))*5)+MOD(COLUMN(BU$2),3),1,1),"")</f>
        <v>0</v>
      </c>
      <c r="BV240">
        <f ca="1">IF($AN240="",OFFSET(Demand!$A$13,ROW(F237)-1,4+((QUOTIENT(COLUMN(BV$2)-69,3))*5)+MOD(COLUMN(BV$2),3),1,1),"")</f>
        <v>0</v>
      </c>
      <c r="BW240">
        <f ca="1">IF($AN240="",OFFSET(Demand!$A$13,ROW(G237)-1,4+((QUOTIENT(COLUMN(BW$2)-69,3))*5)+MOD(COLUMN(BW$2),3),1,1),"")</f>
        <v>0</v>
      </c>
      <c r="BX240">
        <f ca="1">IF($AN240="",OFFSET(Demand!$A$13,ROW(H237)-1,4+((QUOTIENT(COLUMN(BX$2)-69,3))*5)+MOD(COLUMN(BX$2),3),1,1),"")</f>
        <v>0</v>
      </c>
      <c r="BY240">
        <f ca="1">IF($AN240="",OFFSET(Demand!$A$13,ROW(I237)-1,4+((QUOTIENT(COLUMN(BY$2)-69,3))*5)+MOD(COLUMN(BY$2),3),1,1),"")</f>
        <v>0</v>
      </c>
      <c r="BZ240">
        <f ca="1">IF($AN240="",OFFSET(Demand!$A$13,ROW(J237)-1,4+((QUOTIENT(COLUMN(BZ$2)-69,3))*5)+MOD(COLUMN(BZ$2),3),1,1),"")</f>
        <v>0</v>
      </c>
      <c r="CA240">
        <f ca="1">IF($AN240="",OFFSET(Demand!$A$13,ROW(K237)-1,4+((QUOTIENT(COLUMN(CA$2)-69,3))*5)+MOD(COLUMN(CA$2),3),1,1),"")</f>
        <v>0</v>
      </c>
      <c r="CB240">
        <f ca="1">IF($AN240="",OFFSET(Demand!$A$13,ROW(L237)-1,4+((QUOTIENT(COLUMN(CB$2)-69,3))*5)+MOD(COLUMN(CB$2),3),1,1),"")</f>
        <v>0</v>
      </c>
      <c r="CC240">
        <f ca="1">IF($AN240="",OFFSET(Demand!$A$13,ROW(M237)-1,4+((QUOTIENT(COLUMN(CC$2)-69,3))*5)+MOD(COLUMN(CC$2),3),1,1),"")</f>
        <v>0</v>
      </c>
      <c r="CD240">
        <f ca="1">IF($AN240="",OFFSET(Demand!$A$13,ROW(N237)-1,4+((QUOTIENT(COLUMN(CD$2)-69,3))*5)+MOD(COLUMN(CD$2),3),1,1),"")</f>
        <v>0</v>
      </c>
      <c r="CE240">
        <f ca="1">IF($AN240="",OFFSET(Demand!$A$13,ROW(O237)-1,4+((QUOTIENT(COLUMN(CE$2)-69,3))*5)+MOD(COLUMN(CE$2),3),1,1),"")</f>
        <v>0</v>
      </c>
      <c r="CF240">
        <f ca="1">IF($AN240="",OFFSET(Demand!$A$13,ROW(P237)-1,4+((QUOTIENT(COLUMN(CF$2)-69,3))*5)+MOD(COLUMN(CF$2),3),1,1),"")</f>
        <v>0</v>
      </c>
      <c r="CG240">
        <f ca="1">IF($AN240="",OFFSET(Demand!$A$13,ROW(Q237)-1,4+((QUOTIENT(COLUMN(CG$2)-69,3))*5)+MOD(COLUMN(CG$2),3),1,1),"")</f>
        <v>0</v>
      </c>
      <c r="CH240">
        <f ca="1">IF($AN240="",OFFSET(Demand!$A$13,ROW(R237)-1,4+((QUOTIENT(COLUMN(CH$2)-69,3))*5)+MOD(COLUMN(CH$2),3),1,1),"")</f>
        <v>0</v>
      </c>
      <c r="CI240">
        <f ca="1">IF($AN240="",OFFSET(Demand!$A$13,ROW(S237)-1,4+((QUOTIENT(COLUMN(CI$2)-69,3))*5)+MOD(COLUMN(CI$2),3),1,1),"")</f>
        <v>0</v>
      </c>
      <c r="CJ240">
        <f ca="1">IF($AN240="",OFFSET(Demand!$A$13,ROW(T237)-1,4+((QUOTIENT(COLUMN(CJ$2)-69,3))*5)+MOD(COLUMN(CJ$2),3),1,1),"")</f>
        <v>0</v>
      </c>
      <c r="CK240">
        <f ca="1">IF($AN240="",OFFSET(Demand!$A$13,ROW(U237)-1,4+((QUOTIENT(COLUMN(CK$2)-69,3))*5)+MOD(COLUMN(CK$2),3),1,1),"")</f>
        <v>0</v>
      </c>
      <c r="CL240">
        <f ca="1">IF($AN240="",OFFSET(Demand!$A$13,ROW(V237)-1,4+((QUOTIENT(COLUMN(CL$2)-69,3))*5)+MOD(COLUMN(CL$2),3),1,1),"")</f>
        <v>0</v>
      </c>
      <c r="CM240">
        <f ca="1">IF($AN240="",OFFSET(Demand!$A$13,ROW(W237)-1,4+((QUOTIENT(COLUMN(CM$2)-69,3))*5)+MOD(COLUMN(CM$2),3),1,1),"")</f>
        <v>0</v>
      </c>
      <c r="CN240">
        <f ca="1">IF($AN240="",OFFSET(Demand!$A$13,ROW(X237)-1,4+((QUOTIENT(COLUMN(CN$2)-69,3))*5)+MOD(COLUMN(CN$2),3),1,1),"")</f>
        <v>0</v>
      </c>
      <c r="CO240">
        <f ca="1">IF($AN240="",OFFSET(Demand!$A$13,ROW(Y237)-1,4+((QUOTIENT(COLUMN(CO$2)-69,3))*5)+MOD(COLUMN(CO$2),3),1,1),"")</f>
        <v>0</v>
      </c>
      <c r="CP240">
        <f ca="1">IF($AN240="",OFFSET(Demand!$A$13,ROW(Z237)-1,4+((QUOTIENT(COLUMN(CP$2)-69,3))*5)+MOD(COLUMN(CP$2),3),1,1),"")</f>
        <v>0</v>
      </c>
      <c r="CQ240">
        <f ca="1">IF($AN240="",OFFSET(Demand!$A$13,ROW(AA237)-1,4+((QUOTIENT(COLUMN(CQ$2)-69,3))*5)+MOD(COLUMN(CQ$2),3),1,1),"")</f>
        <v>0</v>
      </c>
      <c r="CR240">
        <f ca="1">IF($AN240="",OFFSET(Demand!$A$13,ROW(AB237)-1,4+((QUOTIENT(COLUMN(CR$2)-69,3))*5)+MOD(COLUMN(CR$2),3),1,1),"")</f>
        <v>0</v>
      </c>
      <c r="CS240">
        <f ca="1">IF($AN240="",OFFSET(Demand!$A$13,ROW(AC237)-1,4+((QUOTIENT(COLUMN(CS$2)-69,3))*5)+MOD(COLUMN(CS$2),3),1,1),"")</f>
        <v>0</v>
      </c>
      <c r="CT240">
        <f ca="1">IF($AN240="",OFFSET(Demand!$A$13,ROW(AD237)-1,4+((QUOTIENT(COLUMN(CT$2)-69,3))*5)+MOD(COLUMN(CT$2),3),1,1),"")</f>
        <v>0</v>
      </c>
      <c r="CW240" s="5">
        <f ca="1">SUM(OFFSET(Demand!$H$43,ROW(A237)-1,(COLUMN(A237)-1)*5,1,1))*N$2</f>
        <v>0</v>
      </c>
      <c r="CX240" s="5">
        <f ca="1">SUM(OFFSET(Demand!$H$43,ROW(B237)-1,(COLUMN(B237)-1)*5,1,1))*O$2</f>
        <v>0</v>
      </c>
      <c r="CY240" s="5">
        <f ca="1">SUM(OFFSET(Demand!$H$43,ROW(C237)-1,(COLUMN(C237)-1)*5,1,1))*P$2</f>
        <v>0</v>
      </c>
      <c r="CZ240" s="5">
        <f ca="1">SUM(OFFSET(Demand!$H$43,ROW(D237)-1,(COLUMN(D237)-1)*5,1,1))*Q$2</f>
        <v>0</v>
      </c>
      <c r="DA240" s="5">
        <f ca="1">SUM(OFFSET(Demand!$H$43,ROW(E237)-1,(COLUMN(E237)-1)*5,1,1))*R$2</f>
        <v>0</v>
      </c>
      <c r="DB240" s="5">
        <f ca="1">SUM(OFFSET(Demand!$H$43,ROW(F237)-1,(COLUMN(F237)-1)*5,1,1))*S$2</f>
        <v>0</v>
      </c>
      <c r="DC240" s="5">
        <f ca="1">SUM(OFFSET(Demand!$H$43,ROW(G237)-1,(COLUMN(G237)-1)*5,1,1))*T$2</f>
        <v>0</v>
      </c>
      <c r="DD240" s="5">
        <f ca="1">SUM(OFFSET(Demand!$H$43,ROW(H237)-1,(COLUMN(H237)-1)*5,1,1))*U$2</f>
        <v>0</v>
      </c>
      <c r="DE240" s="5">
        <f ca="1">SUM(OFFSET(Demand!$H$43,ROW(I237)-1,(COLUMN(I237)-1)*5,1,1))*V$2</f>
        <v>0</v>
      </c>
      <c r="DF240" s="5">
        <f ca="1">SUM(OFFSET(Demand!$H$43,ROW(J237)-1,(COLUMN(J237)-1)*5,1,1))*W$2</f>
        <v>0</v>
      </c>
      <c r="DG240" s="5">
        <f t="shared" ca="1" si="52"/>
        <v>0</v>
      </c>
    </row>
    <row r="241" spans="1:111" x14ac:dyDescent="0.2">
      <c r="A241" s="5">
        <f t="shared" ca="1" si="46"/>
        <v>2</v>
      </c>
      <c r="B241" s="5">
        <f ca="1">COUNTBLANK(OFFSET(Demand!$I250,0,(COLUMN(A238)-1)*5,1,1))</f>
        <v>1</v>
      </c>
      <c r="C241" s="5">
        <f ca="1">COUNTBLANK(OFFSET(Demand!$I250,0,(COLUMN(B238)-1)*5,1,1))</f>
        <v>1</v>
      </c>
      <c r="D241" s="5">
        <f ca="1">COUNTBLANK(OFFSET(Demand!$I250,0,(COLUMN(C238)-1)*5,1,1))</f>
        <v>1</v>
      </c>
      <c r="E241" s="5">
        <f ca="1">COUNTBLANK(OFFSET(Demand!$I250,0,(COLUMN(D238)-1)*5,1,1))</f>
        <v>1</v>
      </c>
      <c r="F241" s="5">
        <f ca="1">COUNTBLANK(OFFSET(Demand!$I250,0,(COLUMN(E238)-1)*5,1,1))</f>
        <v>1</v>
      </c>
      <c r="G241" s="5">
        <f ca="1">COUNTBLANK(OFFSET(Demand!$I250,0,(COLUMN(F238)-1)*5,1,1))</f>
        <v>1</v>
      </c>
      <c r="H241" s="5">
        <f ca="1">COUNTBLANK(OFFSET(Demand!$I250,0,(COLUMN(G238)-1)*5,1,1))</f>
        <v>1</v>
      </c>
      <c r="I241" s="5">
        <f ca="1">COUNTBLANK(OFFSET(Demand!$I250,0,(COLUMN(H238)-1)*5,1,1))</f>
        <v>1</v>
      </c>
      <c r="J241" s="5">
        <f ca="1">COUNTBLANK(OFFSET(Demand!$I250,0,(COLUMN(I238)-1)*5,1,1))</f>
        <v>1</v>
      </c>
      <c r="K241" s="5">
        <f ca="1">COUNTBLANK(OFFSET(Demand!$I250,0,(COLUMN(J238)-1)*5,1,1))</f>
        <v>1</v>
      </c>
      <c r="N241" s="5">
        <f ca="1">SUM(OFFSET(Demand!$E250,0,(COLUMN(A238)-1)*5,1,3))*N$2</f>
        <v>0</v>
      </c>
      <c r="O241" s="5">
        <f ca="1">SUM(OFFSET(Demand!$E250,0,(COLUMN(B238)-1)*5,1,3))*O$2</f>
        <v>0</v>
      </c>
      <c r="P241" s="5">
        <f ca="1">SUM(OFFSET(Demand!$E250,0,(COLUMN(C238)-1)*5,1,3))*P$2</f>
        <v>0</v>
      </c>
      <c r="Q241" s="5">
        <f ca="1">SUM(OFFSET(Demand!$E250,0,(COLUMN(D238)-1)*5,1,3))*Q$2</f>
        <v>0</v>
      </c>
      <c r="R241" s="5">
        <f ca="1">SUM(OFFSET(Demand!$E250,0,(COLUMN(E238)-1)*5,1,3))*R$2</f>
        <v>0</v>
      </c>
      <c r="S241" s="5">
        <f ca="1">SUM(OFFSET(Demand!$E250,0,(COLUMN(F238)-1)*5,1,3))*S$2</f>
        <v>0</v>
      </c>
      <c r="T241" s="5">
        <f ca="1">SUM(OFFSET(Demand!$E250,0,(COLUMN(G238)-1)*5,1,3))*T$2</f>
        <v>0</v>
      </c>
      <c r="U241" s="5">
        <f ca="1">SUM(OFFSET(Demand!$E250,0,(COLUMN(H238)-1)*5,1,3))*U$2</f>
        <v>0</v>
      </c>
      <c r="V241" s="5">
        <f ca="1">SUM(OFFSET(Demand!$E250,0,(COLUMN(I238)-1)*5,1,3))*V$2</f>
        <v>0</v>
      </c>
      <c r="W241" s="5">
        <f ca="1">SUM(OFFSET(Demand!$E250,0,(COLUMN(J238)-1)*5,1,3))*W$2</f>
        <v>0</v>
      </c>
      <c r="X241" s="5">
        <f t="shared" ca="1" si="47"/>
        <v>0</v>
      </c>
      <c r="Y241">
        <f t="shared" ca="1" si="48"/>
        <v>0</v>
      </c>
      <c r="Z241" s="5">
        <f ca="1">SUM(OFFSET(Demand!$H250,0,(COLUMN(A238)-1)*5,1,1))*N$2</f>
        <v>0</v>
      </c>
      <c r="AA241" s="5">
        <f ca="1">SUM(OFFSET(Demand!$H250,0,(COLUMN(B238)-1)*5,1,1))*O$2</f>
        <v>0</v>
      </c>
      <c r="AB241" s="5">
        <f ca="1">SUM(OFFSET(Demand!$H250,0,(COLUMN(C238)-1)*5,1,1))*P$2</f>
        <v>0</v>
      </c>
      <c r="AC241" s="5">
        <f ca="1">SUM(OFFSET(Demand!$H250,0,(COLUMN(D238)-1)*5,1,1))*Q$2</f>
        <v>0</v>
      </c>
      <c r="AD241" s="5">
        <f ca="1">SUM(OFFSET(Demand!$H250,0,(COLUMN(E238)-1)*5,1,1))*R$2</f>
        <v>0</v>
      </c>
      <c r="AE241" s="5">
        <f ca="1">SUM(OFFSET(Demand!$H250,0,(COLUMN(F238)-1)*5,1,1))*S$2</f>
        <v>0</v>
      </c>
      <c r="AF241" s="5">
        <f ca="1">SUM(OFFSET(Demand!$H250,0,(COLUMN(G238)-1)*5,1,1))*T$2</f>
        <v>0</v>
      </c>
      <c r="AG241" s="5">
        <f ca="1">SUM(OFFSET(Demand!$H250,0,(COLUMN(H238)-1)*5,1,1))*U$2</f>
        <v>0</v>
      </c>
      <c r="AH241" s="5">
        <f ca="1">SUM(OFFSET(Demand!$H250,0,(COLUMN(I238)-1)*5,1,1))*V$2</f>
        <v>0</v>
      </c>
      <c r="AI241" s="5">
        <f ca="1">SUM(OFFSET(Demand!$H250,0,(COLUMN(J238)-1)*5,1,1))*W$2</f>
        <v>0</v>
      </c>
      <c r="AJ241" s="5">
        <f t="shared" ca="1" si="49"/>
        <v>0</v>
      </c>
      <c r="AL241" s="5">
        <f t="shared" ca="1" si="50"/>
        <v>0</v>
      </c>
      <c r="AM241" s="5">
        <f t="shared" ca="1" si="51"/>
        <v>0</v>
      </c>
      <c r="AN241" s="5" t="str">
        <f>IF(Demand!BE250="Yes","Yes","")</f>
        <v/>
      </c>
      <c r="AP241" s="37" t="str">
        <f ca="1">Demand!B250</f>
        <v xml:space="preserve"> </v>
      </c>
      <c r="AQ241" t="str">
        <f ca="1">IF(TEXT(Demand!D250,"MMM")&lt;&gt;TEXT(Demand!D249,"MMM"),TEXT(Demand!D250,"MMM"),"")</f>
        <v/>
      </c>
      <c r="AT241" s="5">
        <f t="shared" ca="1" si="53"/>
        <v>0</v>
      </c>
      <c r="BQ241">
        <f ca="1">IF($AN241="",OFFSET(Demand!$A$13,ROW(A238)-1,4+((QUOTIENT(COLUMN(BQ$2)-69,3))*5)+MOD(COLUMN(BQ$2),3),1,1),"")</f>
        <v>0</v>
      </c>
      <c r="BR241">
        <f ca="1">IF($AN241="",OFFSET(Demand!$A$13,ROW(B238)-1,4+((QUOTIENT(COLUMN(BR$2)-69,3))*5)+MOD(COLUMN(BR$2),3),1,1),"")</f>
        <v>0</v>
      </c>
      <c r="BS241">
        <f ca="1">IF($AN241="",OFFSET(Demand!$A$13,ROW(C238)-1,4+((QUOTIENT(COLUMN(BS$2)-69,3))*5)+MOD(COLUMN(BS$2),3),1,1),"")</f>
        <v>0</v>
      </c>
      <c r="BT241">
        <f ca="1">IF($AN241="",OFFSET(Demand!$A$13,ROW(D238)-1,4+((QUOTIENT(COLUMN(BT$2)-69,3))*5)+MOD(COLUMN(BT$2),3),1,1),"")</f>
        <v>0</v>
      </c>
      <c r="BU241">
        <f ca="1">IF($AN241="",OFFSET(Demand!$A$13,ROW(E238)-1,4+((QUOTIENT(COLUMN(BU$2)-69,3))*5)+MOD(COLUMN(BU$2),3),1,1),"")</f>
        <v>0</v>
      </c>
      <c r="BV241">
        <f ca="1">IF($AN241="",OFFSET(Demand!$A$13,ROW(F238)-1,4+((QUOTIENT(COLUMN(BV$2)-69,3))*5)+MOD(COLUMN(BV$2),3),1,1),"")</f>
        <v>0</v>
      </c>
      <c r="BW241">
        <f ca="1">IF($AN241="",OFFSET(Demand!$A$13,ROW(G238)-1,4+((QUOTIENT(COLUMN(BW$2)-69,3))*5)+MOD(COLUMN(BW$2),3),1,1),"")</f>
        <v>0</v>
      </c>
      <c r="BX241">
        <f ca="1">IF($AN241="",OFFSET(Demand!$A$13,ROW(H238)-1,4+((QUOTIENT(COLUMN(BX$2)-69,3))*5)+MOD(COLUMN(BX$2),3),1,1),"")</f>
        <v>0</v>
      </c>
      <c r="BY241">
        <f ca="1">IF($AN241="",OFFSET(Demand!$A$13,ROW(I238)-1,4+((QUOTIENT(COLUMN(BY$2)-69,3))*5)+MOD(COLUMN(BY$2),3),1,1),"")</f>
        <v>0</v>
      </c>
      <c r="BZ241">
        <f ca="1">IF($AN241="",OFFSET(Demand!$A$13,ROW(J238)-1,4+((QUOTIENT(COLUMN(BZ$2)-69,3))*5)+MOD(COLUMN(BZ$2),3),1,1),"")</f>
        <v>0</v>
      </c>
      <c r="CA241">
        <f ca="1">IF($AN241="",OFFSET(Demand!$A$13,ROW(K238)-1,4+((QUOTIENT(COLUMN(CA$2)-69,3))*5)+MOD(COLUMN(CA$2),3),1,1),"")</f>
        <v>0</v>
      </c>
      <c r="CB241">
        <f ca="1">IF($AN241="",OFFSET(Demand!$A$13,ROW(L238)-1,4+((QUOTIENT(COLUMN(CB$2)-69,3))*5)+MOD(COLUMN(CB$2),3),1,1),"")</f>
        <v>0</v>
      </c>
      <c r="CC241">
        <f ca="1">IF($AN241="",OFFSET(Demand!$A$13,ROW(M238)-1,4+((QUOTIENT(COLUMN(CC$2)-69,3))*5)+MOD(COLUMN(CC$2),3),1,1),"")</f>
        <v>0</v>
      </c>
      <c r="CD241">
        <f ca="1">IF($AN241="",OFFSET(Demand!$A$13,ROW(N238)-1,4+((QUOTIENT(COLUMN(CD$2)-69,3))*5)+MOD(COLUMN(CD$2),3),1,1),"")</f>
        <v>0</v>
      </c>
      <c r="CE241">
        <f ca="1">IF($AN241="",OFFSET(Demand!$A$13,ROW(O238)-1,4+((QUOTIENT(COLUMN(CE$2)-69,3))*5)+MOD(COLUMN(CE$2),3),1,1),"")</f>
        <v>0</v>
      </c>
      <c r="CF241">
        <f ca="1">IF($AN241="",OFFSET(Demand!$A$13,ROW(P238)-1,4+((QUOTIENT(COLUMN(CF$2)-69,3))*5)+MOD(COLUMN(CF$2),3),1,1),"")</f>
        <v>0</v>
      </c>
      <c r="CG241">
        <f ca="1">IF($AN241="",OFFSET(Demand!$A$13,ROW(Q238)-1,4+((QUOTIENT(COLUMN(CG$2)-69,3))*5)+MOD(COLUMN(CG$2),3),1,1),"")</f>
        <v>0</v>
      </c>
      <c r="CH241">
        <f ca="1">IF($AN241="",OFFSET(Demand!$A$13,ROW(R238)-1,4+((QUOTIENT(COLUMN(CH$2)-69,3))*5)+MOD(COLUMN(CH$2),3),1,1),"")</f>
        <v>0</v>
      </c>
      <c r="CI241">
        <f ca="1">IF($AN241="",OFFSET(Demand!$A$13,ROW(S238)-1,4+((QUOTIENT(COLUMN(CI$2)-69,3))*5)+MOD(COLUMN(CI$2),3),1,1),"")</f>
        <v>0</v>
      </c>
      <c r="CJ241">
        <f ca="1">IF($AN241="",OFFSET(Demand!$A$13,ROW(T238)-1,4+((QUOTIENT(COLUMN(CJ$2)-69,3))*5)+MOD(COLUMN(CJ$2),3),1,1),"")</f>
        <v>0</v>
      </c>
      <c r="CK241">
        <f ca="1">IF($AN241="",OFFSET(Demand!$A$13,ROW(U238)-1,4+((QUOTIENT(COLUMN(CK$2)-69,3))*5)+MOD(COLUMN(CK$2),3),1,1),"")</f>
        <v>0</v>
      </c>
      <c r="CL241">
        <f ca="1">IF($AN241="",OFFSET(Demand!$A$13,ROW(V238)-1,4+((QUOTIENT(COLUMN(CL$2)-69,3))*5)+MOD(COLUMN(CL$2),3),1,1),"")</f>
        <v>0</v>
      </c>
      <c r="CM241">
        <f ca="1">IF($AN241="",OFFSET(Demand!$A$13,ROW(W238)-1,4+((QUOTIENT(COLUMN(CM$2)-69,3))*5)+MOD(COLUMN(CM$2),3),1,1),"")</f>
        <v>0</v>
      </c>
      <c r="CN241">
        <f ca="1">IF($AN241="",OFFSET(Demand!$A$13,ROW(X238)-1,4+((QUOTIENT(COLUMN(CN$2)-69,3))*5)+MOD(COLUMN(CN$2),3),1,1),"")</f>
        <v>0</v>
      </c>
      <c r="CO241">
        <f ca="1">IF($AN241="",OFFSET(Demand!$A$13,ROW(Y238)-1,4+((QUOTIENT(COLUMN(CO$2)-69,3))*5)+MOD(COLUMN(CO$2),3),1,1),"")</f>
        <v>0</v>
      </c>
      <c r="CP241">
        <f ca="1">IF($AN241="",OFFSET(Demand!$A$13,ROW(Z238)-1,4+((QUOTIENT(COLUMN(CP$2)-69,3))*5)+MOD(COLUMN(CP$2),3),1,1),"")</f>
        <v>0</v>
      </c>
      <c r="CQ241">
        <f ca="1">IF($AN241="",OFFSET(Demand!$A$13,ROW(AA238)-1,4+((QUOTIENT(COLUMN(CQ$2)-69,3))*5)+MOD(COLUMN(CQ$2),3),1,1),"")</f>
        <v>0</v>
      </c>
      <c r="CR241">
        <f ca="1">IF($AN241="",OFFSET(Demand!$A$13,ROW(AB238)-1,4+((QUOTIENT(COLUMN(CR$2)-69,3))*5)+MOD(COLUMN(CR$2),3),1,1),"")</f>
        <v>0</v>
      </c>
      <c r="CS241">
        <f ca="1">IF($AN241="",OFFSET(Demand!$A$13,ROW(AC238)-1,4+((QUOTIENT(COLUMN(CS$2)-69,3))*5)+MOD(COLUMN(CS$2),3),1,1),"")</f>
        <v>0</v>
      </c>
      <c r="CT241">
        <f ca="1">IF($AN241="",OFFSET(Demand!$A$13,ROW(AD238)-1,4+((QUOTIENT(COLUMN(CT$2)-69,3))*5)+MOD(COLUMN(CT$2),3),1,1),"")</f>
        <v>0</v>
      </c>
      <c r="CW241" s="5">
        <f ca="1">SUM(OFFSET(Demand!$H$43,ROW(A238)-1,(COLUMN(A238)-1)*5,1,1))*N$2</f>
        <v>0</v>
      </c>
      <c r="CX241" s="5">
        <f ca="1">SUM(OFFSET(Demand!$H$43,ROW(B238)-1,(COLUMN(B238)-1)*5,1,1))*O$2</f>
        <v>0</v>
      </c>
      <c r="CY241" s="5">
        <f ca="1">SUM(OFFSET(Demand!$H$43,ROW(C238)-1,(COLUMN(C238)-1)*5,1,1))*P$2</f>
        <v>0</v>
      </c>
      <c r="CZ241" s="5">
        <f ca="1">SUM(OFFSET(Demand!$H$43,ROW(D238)-1,(COLUMN(D238)-1)*5,1,1))*Q$2</f>
        <v>0</v>
      </c>
      <c r="DA241" s="5">
        <f ca="1">SUM(OFFSET(Demand!$H$43,ROW(E238)-1,(COLUMN(E238)-1)*5,1,1))*R$2</f>
        <v>0</v>
      </c>
      <c r="DB241" s="5">
        <f ca="1">SUM(OFFSET(Demand!$H$43,ROW(F238)-1,(COLUMN(F238)-1)*5,1,1))*S$2</f>
        <v>0</v>
      </c>
      <c r="DC241" s="5">
        <f ca="1">SUM(OFFSET(Demand!$H$43,ROW(G238)-1,(COLUMN(G238)-1)*5,1,1))*T$2</f>
        <v>0</v>
      </c>
      <c r="DD241" s="5">
        <f ca="1">SUM(OFFSET(Demand!$H$43,ROW(H238)-1,(COLUMN(H238)-1)*5,1,1))*U$2</f>
        <v>0</v>
      </c>
      <c r="DE241" s="5">
        <f ca="1">SUM(OFFSET(Demand!$H$43,ROW(I238)-1,(COLUMN(I238)-1)*5,1,1))*V$2</f>
        <v>0</v>
      </c>
      <c r="DF241" s="5">
        <f ca="1">SUM(OFFSET(Demand!$H$43,ROW(J238)-1,(COLUMN(J238)-1)*5,1,1))*W$2</f>
        <v>0</v>
      </c>
      <c r="DG241" s="5">
        <f t="shared" ca="1" si="52"/>
        <v>0</v>
      </c>
    </row>
    <row r="242" spans="1:111" x14ac:dyDescent="0.2">
      <c r="A242" s="5">
        <f t="shared" ca="1" si="46"/>
        <v>2</v>
      </c>
      <c r="B242" s="5">
        <f ca="1">COUNTBLANK(OFFSET(Demand!$I251,0,(COLUMN(A239)-1)*5,1,1))</f>
        <v>1</v>
      </c>
      <c r="C242" s="5">
        <f ca="1">COUNTBLANK(OFFSET(Demand!$I251,0,(COLUMN(B239)-1)*5,1,1))</f>
        <v>1</v>
      </c>
      <c r="D242" s="5">
        <f ca="1">COUNTBLANK(OFFSET(Demand!$I251,0,(COLUMN(C239)-1)*5,1,1))</f>
        <v>1</v>
      </c>
      <c r="E242" s="5">
        <f ca="1">COUNTBLANK(OFFSET(Demand!$I251,0,(COLUMN(D239)-1)*5,1,1))</f>
        <v>1</v>
      </c>
      <c r="F242" s="5">
        <f ca="1">COUNTBLANK(OFFSET(Demand!$I251,0,(COLUMN(E239)-1)*5,1,1))</f>
        <v>1</v>
      </c>
      <c r="G242" s="5">
        <f ca="1">COUNTBLANK(OFFSET(Demand!$I251,0,(COLUMN(F239)-1)*5,1,1))</f>
        <v>1</v>
      </c>
      <c r="H242" s="5">
        <f ca="1">COUNTBLANK(OFFSET(Demand!$I251,0,(COLUMN(G239)-1)*5,1,1))</f>
        <v>1</v>
      </c>
      <c r="I242" s="5">
        <f ca="1">COUNTBLANK(OFFSET(Demand!$I251,0,(COLUMN(H239)-1)*5,1,1))</f>
        <v>1</v>
      </c>
      <c r="J242" s="5">
        <f ca="1">COUNTBLANK(OFFSET(Demand!$I251,0,(COLUMN(I239)-1)*5,1,1))</f>
        <v>1</v>
      </c>
      <c r="K242" s="5">
        <f ca="1">COUNTBLANK(OFFSET(Demand!$I251,0,(COLUMN(J239)-1)*5,1,1))</f>
        <v>1</v>
      </c>
      <c r="N242" s="5">
        <f ca="1">SUM(OFFSET(Demand!$E251,0,(COLUMN(A239)-1)*5,1,3))*N$2</f>
        <v>0</v>
      </c>
      <c r="O242" s="5">
        <f ca="1">SUM(OFFSET(Demand!$E251,0,(COLUMN(B239)-1)*5,1,3))*O$2</f>
        <v>0</v>
      </c>
      <c r="P242" s="5">
        <f ca="1">SUM(OFFSET(Demand!$E251,0,(COLUMN(C239)-1)*5,1,3))*P$2</f>
        <v>0</v>
      </c>
      <c r="Q242" s="5">
        <f ca="1">SUM(OFFSET(Demand!$E251,0,(COLUMN(D239)-1)*5,1,3))*Q$2</f>
        <v>0</v>
      </c>
      <c r="R242" s="5">
        <f ca="1">SUM(OFFSET(Demand!$E251,0,(COLUMN(E239)-1)*5,1,3))*R$2</f>
        <v>0</v>
      </c>
      <c r="S242" s="5">
        <f ca="1">SUM(OFFSET(Demand!$E251,0,(COLUMN(F239)-1)*5,1,3))*S$2</f>
        <v>0</v>
      </c>
      <c r="T242" s="5">
        <f ca="1">SUM(OFFSET(Demand!$E251,0,(COLUMN(G239)-1)*5,1,3))*T$2</f>
        <v>0</v>
      </c>
      <c r="U242" s="5">
        <f ca="1">SUM(OFFSET(Demand!$E251,0,(COLUMN(H239)-1)*5,1,3))*U$2</f>
        <v>0</v>
      </c>
      <c r="V242" s="5">
        <f ca="1">SUM(OFFSET(Demand!$E251,0,(COLUMN(I239)-1)*5,1,3))*V$2</f>
        <v>0</v>
      </c>
      <c r="W242" s="5">
        <f ca="1">SUM(OFFSET(Demand!$E251,0,(COLUMN(J239)-1)*5,1,3))*W$2</f>
        <v>0</v>
      </c>
      <c r="X242" s="5">
        <f t="shared" ca="1" si="47"/>
        <v>0</v>
      </c>
      <c r="Y242">
        <f t="shared" ca="1" si="48"/>
        <v>0</v>
      </c>
      <c r="Z242" s="5">
        <f ca="1">SUM(OFFSET(Demand!$H251,0,(COLUMN(A239)-1)*5,1,1))*N$2</f>
        <v>0</v>
      </c>
      <c r="AA242" s="5">
        <f ca="1">SUM(OFFSET(Demand!$H251,0,(COLUMN(B239)-1)*5,1,1))*O$2</f>
        <v>0</v>
      </c>
      <c r="AB242" s="5">
        <f ca="1">SUM(OFFSET(Demand!$H251,0,(COLUMN(C239)-1)*5,1,1))*P$2</f>
        <v>0</v>
      </c>
      <c r="AC242" s="5">
        <f ca="1">SUM(OFFSET(Demand!$H251,0,(COLUMN(D239)-1)*5,1,1))*Q$2</f>
        <v>0</v>
      </c>
      <c r="AD242" s="5">
        <f ca="1">SUM(OFFSET(Demand!$H251,0,(COLUMN(E239)-1)*5,1,1))*R$2</f>
        <v>0</v>
      </c>
      <c r="AE242" s="5">
        <f ca="1">SUM(OFFSET(Demand!$H251,0,(COLUMN(F239)-1)*5,1,1))*S$2</f>
        <v>0</v>
      </c>
      <c r="AF242" s="5">
        <f ca="1">SUM(OFFSET(Demand!$H251,0,(COLUMN(G239)-1)*5,1,1))*T$2</f>
        <v>0</v>
      </c>
      <c r="AG242" s="5">
        <f ca="1">SUM(OFFSET(Demand!$H251,0,(COLUMN(H239)-1)*5,1,1))*U$2</f>
        <v>0</v>
      </c>
      <c r="AH242" s="5">
        <f ca="1">SUM(OFFSET(Demand!$H251,0,(COLUMN(I239)-1)*5,1,1))*V$2</f>
        <v>0</v>
      </c>
      <c r="AI242" s="5">
        <f ca="1">SUM(OFFSET(Demand!$H251,0,(COLUMN(J239)-1)*5,1,1))*W$2</f>
        <v>0</v>
      </c>
      <c r="AJ242" s="5">
        <f t="shared" ca="1" si="49"/>
        <v>0</v>
      </c>
      <c r="AL242" s="5">
        <f t="shared" ca="1" si="50"/>
        <v>0</v>
      </c>
      <c r="AM242" s="5">
        <f t="shared" ca="1" si="51"/>
        <v>0</v>
      </c>
      <c r="AN242" s="5" t="str">
        <f>IF(Demand!BE251="Yes","Yes","")</f>
        <v/>
      </c>
      <c r="AP242" s="37" t="str">
        <f ca="1">Demand!B251</f>
        <v xml:space="preserve"> </v>
      </c>
      <c r="AQ242" t="str">
        <f ca="1">IF(TEXT(Demand!D251,"MMM")&lt;&gt;TEXT(Demand!D250,"MMM"),TEXT(Demand!D251,"MMM"),"")</f>
        <v/>
      </c>
      <c r="AT242" s="5">
        <f t="shared" ca="1" si="53"/>
        <v>0</v>
      </c>
      <c r="BQ242">
        <f ca="1">IF($AN242="",OFFSET(Demand!$A$13,ROW(A239)-1,4+((QUOTIENT(COLUMN(BQ$2)-69,3))*5)+MOD(COLUMN(BQ$2),3),1,1),"")</f>
        <v>0</v>
      </c>
      <c r="BR242">
        <f ca="1">IF($AN242="",OFFSET(Demand!$A$13,ROW(B239)-1,4+((QUOTIENT(COLUMN(BR$2)-69,3))*5)+MOD(COLUMN(BR$2),3),1,1),"")</f>
        <v>0</v>
      </c>
      <c r="BS242">
        <f ca="1">IF($AN242="",OFFSET(Demand!$A$13,ROW(C239)-1,4+((QUOTIENT(COLUMN(BS$2)-69,3))*5)+MOD(COLUMN(BS$2),3),1,1),"")</f>
        <v>0</v>
      </c>
      <c r="BT242">
        <f ca="1">IF($AN242="",OFFSET(Demand!$A$13,ROW(D239)-1,4+((QUOTIENT(COLUMN(BT$2)-69,3))*5)+MOD(COLUMN(BT$2),3),1,1),"")</f>
        <v>0</v>
      </c>
      <c r="BU242">
        <f ca="1">IF($AN242="",OFFSET(Demand!$A$13,ROW(E239)-1,4+((QUOTIENT(COLUMN(BU$2)-69,3))*5)+MOD(COLUMN(BU$2),3),1,1),"")</f>
        <v>0</v>
      </c>
      <c r="BV242">
        <f ca="1">IF($AN242="",OFFSET(Demand!$A$13,ROW(F239)-1,4+((QUOTIENT(COLUMN(BV$2)-69,3))*5)+MOD(COLUMN(BV$2),3),1,1),"")</f>
        <v>0</v>
      </c>
      <c r="BW242">
        <f ca="1">IF($AN242="",OFFSET(Demand!$A$13,ROW(G239)-1,4+((QUOTIENT(COLUMN(BW$2)-69,3))*5)+MOD(COLUMN(BW$2),3),1,1),"")</f>
        <v>0</v>
      </c>
      <c r="BX242">
        <f ca="1">IF($AN242="",OFFSET(Demand!$A$13,ROW(H239)-1,4+((QUOTIENT(COLUMN(BX$2)-69,3))*5)+MOD(COLUMN(BX$2),3),1,1),"")</f>
        <v>0</v>
      </c>
      <c r="BY242">
        <f ca="1">IF($AN242="",OFFSET(Demand!$A$13,ROW(I239)-1,4+((QUOTIENT(COLUMN(BY$2)-69,3))*5)+MOD(COLUMN(BY$2),3),1,1),"")</f>
        <v>0</v>
      </c>
      <c r="BZ242">
        <f ca="1">IF($AN242="",OFFSET(Demand!$A$13,ROW(J239)-1,4+((QUOTIENT(COLUMN(BZ$2)-69,3))*5)+MOD(COLUMN(BZ$2),3),1,1),"")</f>
        <v>0</v>
      </c>
      <c r="CA242">
        <f ca="1">IF($AN242="",OFFSET(Demand!$A$13,ROW(K239)-1,4+((QUOTIENT(COLUMN(CA$2)-69,3))*5)+MOD(COLUMN(CA$2),3),1,1),"")</f>
        <v>0</v>
      </c>
      <c r="CB242">
        <f ca="1">IF($AN242="",OFFSET(Demand!$A$13,ROW(L239)-1,4+((QUOTIENT(COLUMN(CB$2)-69,3))*5)+MOD(COLUMN(CB$2),3),1,1),"")</f>
        <v>0</v>
      </c>
      <c r="CC242">
        <f ca="1">IF($AN242="",OFFSET(Demand!$A$13,ROW(M239)-1,4+((QUOTIENT(COLUMN(CC$2)-69,3))*5)+MOD(COLUMN(CC$2),3),1,1),"")</f>
        <v>0</v>
      </c>
      <c r="CD242">
        <f ca="1">IF($AN242="",OFFSET(Demand!$A$13,ROW(N239)-1,4+((QUOTIENT(COLUMN(CD$2)-69,3))*5)+MOD(COLUMN(CD$2),3),1,1),"")</f>
        <v>0</v>
      </c>
      <c r="CE242">
        <f ca="1">IF($AN242="",OFFSET(Demand!$A$13,ROW(O239)-1,4+((QUOTIENT(COLUMN(CE$2)-69,3))*5)+MOD(COLUMN(CE$2),3),1,1),"")</f>
        <v>0</v>
      </c>
      <c r="CF242">
        <f ca="1">IF($AN242="",OFFSET(Demand!$A$13,ROW(P239)-1,4+((QUOTIENT(COLUMN(CF$2)-69,3))*5)+MOD(COLUMN(CF$2),3),1,1),"")</f>
        <v>0</v>
      </c>
      <c r="CG242">
        <f ca="1">IF($AN242="",OFFSET(Demand!$A$13,ROW(Q239)-1,4+((QUOTIENT(COLUMN(CG$2)-69,3))*5)+MOD(COLUMN(CG$2),3),1,1),"")</f>
        <v>0</v>
      </c>
      <c r="CH242">
        <f ca="1">IF($AN242="",OFFSET(Demand!$A$13,ROW(R239)-1,4+((QUOTIENT(COLUMN(CH$2)-69,3))*5)+MOD(COLUMN(CH$2),3),1,1),"")</f>
        <v>0</v>
      </c>
      <c r="CI242">
        <f ca="1">IF($AN242="",OFFSET(Demand!$A$13,ROW(S239)-1,4+((QUOTIENT(COLUMN(CI$2)-69,3))*5)+MOD(COLUMN(CI$2),3),1,1),"")</f>
        <v>0</v>
      </c>
      <c r="CJ242">
        <f ca="1">IF($AN242="",OFFSET(Demand!$A$13,ROW(T239)-1,4+((QUOTIENT(COLUMN(CJ$2)-69,3))*5)+MOD(COLUMN(CJ$2),3),1,1),"")</f>
        <v>0</v>
      </c>
      <c r="CK242">
        <f ca="1">IF($AN242="",OFFSET(Demand!$A$13,ROW(U239)-1,4+((QUOTIENT(COLUMN(CK$2)-69,3))*5)+MOD(COLUMN(CK$2),3),1,1),"")</f>
        <v>0</v>
      </c>
      <c r="CL242">
        <f ca="1">IF($AN242="",OFFSET(Demand!$A$13,ROW(V239)-1,4+((QUOTIENT(COLUMN(CL$2)-69,3))*5)+MOD(COLUMN(CL$2),3),1,1),"")</f>
        <v>0</v>
      </c>
      <c r="CM242">
        <f ca="1">IF($AN242="",OFFSET(Demand!$A$13,ROW(W239)-1,4+((QUOTIENT(COLUMN(CM$2)-69,3))*5)+MOD(COLUMN(CM$2),3),1,1),"")</f>
        <v>0</v>
      </c>
      <c r="CN242">
        <f ca="1">IF($AN242="",OFFSET(Demand!$A$13,ROW(X239)-1,4+((QUOTIENT(COLUMN(CN$2)-69,3))*5)+MOD(COLUMN(CN$2),3),1,1),"")</f>
        <v>0</v>
      </c>
      <c r="CO242">
        <f ca="1">IF($AN242="",OFFSET(Demand!$A$13,ROW(Y239)-1,4+((QUOTIENT(COLUMN(CO$2)-69,3))*5)+MOD(COLUMN(CO$2),3),1,1),"")</f>
        <v>0</v>
      </c>
      <c r="CP242">
        <f ca="1">IF($AN242="",OFFSET(Demand!$A$13,ROW(Z239)-1,4+((QUOTIENT(COLUMN(CP$2)-69,3))*5)+MOD(COLUMN(CP$2),3),1,1),"")</f>
        <v>0</v>
      </c>
      <c r="CQ242">
        <f ca="1">IF($AN242="",OFFSET(Demand!$A$13,ROW(AA239)-1,4+((QUOTIENT(COLUMN(CQ$2)-69,3))*5)+MOD(COLUMN(CQ$2),3),1,1),"")</f>
        <v>0</v>
      </c>
      <c r="CR242">
        <f ca="1">IF($AN242="",OFFSET(Demand!$A$13,ROW(AB239)-1,4+((QUOTIENT(COLUMN(CR$2)-69,3))*5)+MOD(COLUMN(CR$2),3),1,1),"")</f>
        <v>0</v>
      </c>
      <c r="CS242">
        <f ca="1">IF($AN242="",OFFSET(Demand!$A$13,ROW(AC239)-1,4+((QUOTIENT(COLUMN(CS$2)-69,3))*5)+MOD(COLUMN(CS$2),3),1,1),"")</f>
        <v>0</v>
      </c>
      <c r="CT242">
        <f ca="1">IF($AN242="",OFFSET(Demand!$A$13,ROW(AD239)-1,4+((QUOTIENT(COLUMN(CT$2)-69,3))*5)+MOD(COLUMN(CT$2),3),1,1),"")</f>
        <v>0</v>
      </c>
      <c r="CW242" s="5">
        <f ca="1">SUM(OFFSET(Demand!$H$43,ROW(A239)-1,(COLUMN(A239)-1)*5,1,1))*N$2</f>
        <v>0</v>
      </c>
      <c r="CX242" s="5">
        <f ca="1">SUM(OFFSET(Demand!$H$43,ROW(B239)-1,(COLUMN(B239)-1)*5,1,1))*O$2</f>
        <v>0</v>
      </c>
      <c r="CY242" s="5">
        <f ca="1">SUM(OFFSET(Demand!$H$43,ROW(C239)-1,(COLUMN(C239)-1)*5,1,1))*P$2</f>
        <v>0</v>
      </c>
      <c r="CZ242" s="5">
        <f ca="1">SUM(OFFSET(Demand!$H$43,ROW(D239)-1,(COLUMN(D239)-1)*5,1,1))*Q$2</f>
        <v>0</v>
      </c>
      <c r="DA242" s="5">
        <f ca="1">SUM(OFFSET(Demand!$H$43,ROW(E239)-1,(COLUMN(E239)-1)*5,1,1))*R$2</f>
        <v>0</v>
      </c>
      <c r="DB242" s="5">
        <f ca="1">SUM(OFFSET(Demand!$H$43,ROW(F239)-1,(COLUMN(F239)-1)*5,1,1))*S$2</f>
        <v>0</v>
      </c>
      <c r="DC242" s="5">
        <f ca="1">SUM(OFFSET(Demand!$H$43,ROW(G239)-1,(COLUMN(G239)-1)*5,1,1))*T$2</f>
        <v>0</v>
      </c>
      <c r="DD242" s="5">
        <f ca="1">SUM(OFFSET(Demand!$H$43,ROW(H239)-1,(COLUMN(H239)-1)*5,1,1))*U$2</f>
        <v>0</v>
      </c>
      <c r="DE242" s="5">
        <f ca="1">SUM(OFFSET(Demand!$H$43,ROW(I239)-1,(COLUMN(I239)-1)*5,1,1))*V$2</f>
        <v>0</v>
      </c>
      <c r="DF242" s="5">
        <f ca="1">SUM(OFFSET(Demand!$H$43,ROW(J239)-1,(COLUMN(J239)-1)*5,1,1))*W$2</f>
        <v>0</v>
      </c>
      <c r="DG242" s="5">
        <f t="shared" ca="1" si="52"/>
        <v>0</v>
      </c>
    </row>
    <row r="243" spans="1:111" x14ac:dyDescent="0.2">
      <c r="A243" s="5">
        <f t="shared" ca="1" si="46"/>
        <v>2</v>
      </c>
      <c r="B243" s="5">
        <f ca="1">COUNTBLANK(OFFSET(Demand!$I252,0,(COLUMN(A240)-1)*5,1,1))</f>
        <v>1</v>
      </c>
      <c r="C243" s="5">
        <f ca="1">COUNTBLANK(OFFSET(Demand!$I252,0,(COLUMN(B240)-1)*5,1,1))</f>
        <v>1</v>
      </c>
      <c r="D243" s="5">
        <f ca="1">COUNTBLANK(OFFSET(Demand!$I252,0,(COLUMN(C240)-1)*5,1,1))</f>
        <v>1</v>
      </c>
      <c r="E243" s="5">
        <f ca="1">COUNTBLANK(OFFSET(Demand!$I252,0,(COLUMN(D240)-1)*5,1,1))</f>
        <v>1</v>
      </c>
      <c r="F243" s="5">
        <f ca="1">COUNTBLANK(OFFSET(Demand!$I252,0,(COLUMN(E240)-1)*5,1,1))</f>
        <v>1</v>
      </c>
      <c r="G243" s="5">
        <f ca="1">COUNTBLANK(OFFSET(Demand!$I252,0,(COLUMN(F240)-1)*5,1,1))</f>
        <v>1</v>
      </c>
      <c r="H243" s="5">
        <f ca="1">COUNTBLANK(OFFSET(Demand!$I252,0,(COLUMN(G240)-1)*5,1,1))</f>
        <v>1</v>
      </c>
      <c r="I243" s="5">
        <f ca="1">COUNTBLANK(OFFSET(Demand!$I252,0,(COLUMN(H240)-1)*5,1,1))</f>
        <v>1</v>
      </c>
      <c r="J243" s="5">
        <f ca="1">COUNTBLANK(OFFSET(Demand!$I252,0,(COLUMN(I240)-1)*5,1,1))</f>
        <v>1</v>
      </c>
      <c r="K243" s="5">
        <f ca="1">COUNTBLANK(OFFSET(Demand!$I252,0,(COLUMN(J240)-1)*5,1,1))</f>
        <v>1</v>
      </c>
      <c r="N243" s="5">
        <f ca="1">SUM(OFFSET(Demand!$E252,0,(COLUMN(A240)-1)*5,1,3))*N$2</f>
        <v>0</v>
      </c>
      <c r="O243" s="5">
        <f ca="1">SUM(OFFSET(Demand!$E252,0,(COLUMN(B240)-1)*5,1,3))*O$2</f>
        <v>0</v>
      </c>
      <c r="P243" s="5">
        <f ca="1">SUM(OFFSET(Demand!$E252,0,(COLUMN(C240)-1)*5,1,3))*P$2</f>
        <v>0</v>
      </c>
      <c r="Q243" s="5">
        <f ca="1">SUM(OFFSET(Demand!$E252,0,(COLUMN(D240)-1)*5,1,3))*Q$2</f>
        <v>0</v>
      </c>
      <c r="R243" s="5">
        <f ca="1">SUM(OFFSET(Demand!$E252,0,(COLUMN(E240)-1)*5,1,3))*R$2</f>
        <v>0</v>
      </c>
      <c r="S243" s="5">
        <f ca="1">SUM(OFFSET(Demand!$E252,0,(COLUMN(F240)-1)*5,1,3))*S$2</f>
        <v>0</v>
      </c>
      <c r="T243" s="5">
        <f ca="1">SUM(OFFSET(Demand!$E252,0,(COLUMN(G240)-1)*5,1,3))*T$2</f>
        <v>0</v>
      </c>
      <c r="U243" s="5">
        <f ca="1">SUM(OFFSET(Demand!$E252,0,(COLUMN(H240)-1)*5,1,3))*U$2</f>
        <v>0</v>
      </c>
      <c r="V243" s="5">
        <f ca="1">SUM(OFFSET(Demand!$E252,0,(COLUMN(I240)-1)*5,1,3))*V$2</f>
        <v>0</v>
      </c>
      <c r="W243" s="5">
        <f ca="1">SUM(OFFSET(Demand!$E252,0,(COLUMN(J240)-1)*5,1,3))*W$2</f>
        <v>0</v>
      </c>
      <c r="X243" s="5">
        <f t="shared" ca="1" si="47"/>
        <v>0</v>
      </c>
      <c r="Y243">
        <f t="shared" ca="1" si="48"/>
        <v>0</v>
      </c>
      <c r="Z243" s="5">
        <f ca="1">SUM(OFFSET(Demand!$H252,0,(COLUMN(A240)-1)*5,1,1))*N$2</f>
        <v>0</v>
      </c>
      <c r="AA243" s="5">
        <f ca="1">SUM(OFFSET(Demand!$H252,0,(COLUMN(B240)-1)*5,1,1))*O$2</f>
        <v>0</v>
      </c>
      <c r="AB243" s="5">
        <f ca="1">SUM(OFFSET(Demand!$H252,0,(COLUMN(C240)-1)*5,1,1))*P$2</f>
        <v>0</v>
      </c>
      <c r="AC243" s="5">
        <f ca="1">SUM(OFFSET(Demand!$H252,0,(COLUMN(D240)-1)*5,1,1))*Q$2</f>
        <v>0</v>
      </c>
      <c r="AD243" s="5">
        <f ca="1">SUM(OFFSET(Demand!$H252,0,(COLUMN(E240)-1)*5,1,1))*R$2</f>
        <v>0</v>
      </c>
      <c r="AE243" s="5">
        <f ca="1">SUM(OFFSET(Demand!$H252,0,(COLUMN(F240)-1)*5,1,1))*S$2</f>
        <v>0</v>
      </c>
      <c r="AF243" s="5">
        <f ca="1">SUM(OFFSET(Demand!$H252,0,(COLUMN(G240)-1)*5,1,1))*T$2</f>
        <v>0</v>
      </c>
      <c r="AG243" s="5">
        <f ca="1">SUM(OFFSET(Demand!$H252,0,(COLUMN(H240)-1)*5,1,1))*U$2</f>
        <v>0</v>
      </c>
      <c r="AH243" s="5">
        <f ca="1">SUM(OFFSET(Demand!$H252,0,(COLUMN(I240)-1)*5,1,1))*V$2</f>
        <v>0</v>
      </c>
      <c r="AI243" s="5">
        <f ca="1">SUM(OFFSET(Demand!$H252,0,(COLUMN(J240)-1)*5,1,1))*W$2</f>
        <v>0</v>
      </c>
      <c r="AJ243" s="5">
        <f t="shared" ca="1" si="49"/>
        <v>0</v>
      </c>
      <c r="AL243" s="5">
        <f t="shared" ca="1" si="50"/>
        <v>0</v>
      </c>
      <c r="AM243" s="5">
        <f t="shared" ca="1" si="51"/>
        <v>0</v>
      </c>
      <c r="AN243" s="5" t="str">
        <f>IF(Demand!BE252="Yes","Yes","")</f>
        <v/>
      </c>
      <c r="AP243" s="37" t="str">
        <f ca="1">Demand!B252</f>
        <v xml:space="preserve"> </v>
      </c>
      <c r="AQ243" t="str">
        <f ca="1">IF(TEXT(Demand!D252,"MMM")&lt;&gt;TEXT(Demand!D251,"MMM"),TEXT(Demand!D252,"MMM"),"")</f>
        <v/>
      </c>
      <c r="AT243" s="5">
        <f t="shared" ca="1" si="53"/>
        <v>0</v>
      </c>
      <c r="BQ243">
        <f ca="1">IF($AN243="",OFFSET(Demand!$A$13,ROW(A240)-1,4+((QUOTIENT(COLUMN(BQ$2)-69,3))*5)+MOD(COLUMN(BQ$2),3),1,1),"")</f>
        <v>0</v>
      </c>
      <c r="BR243">
        <f ca="1">IF($AN243="",OFFSET(Demand!$A$13,ROW(B240)-1,4+((QUOTIENT(COLUMN(BR$2)-69,3))*5)+MOD(COLUMN(BR$2),3),1,1),"")</f>
        <v>0</v>
      </c>
      <c r="BS243">
        <f ca="1">IF($AN243="",OFFSET(Demand!$A$13,ROW(C240)-1,4+((QUOTIENT(COLUMN(BS$2)-69,3))*5)+MOD(COLUMN(BS$2),3),1,1),"")</f>
        <v>0</v>
      </c>
      <c r="BT243">
        <f ca="1">IF($AN243="",OFFSET(Demand!$A$13,ROW(D240)-1,4+((QUOTIENT(COLUMN(BT$2)-69,3))*5)+MOD(COLUMN(BT$2),3),1,1),"")</f>
        <v>0</v>
      </c>
      <c r="BU243">
        <f ca="1">IF($AN243="",OFFSET(Demand!$A$13,ROW(E240)-1,4+((QUOTIENT(COLUMN(BU$2)-69,3))*5)+MOD(COLUMN(BU$2),3),1,1),"")</f>
        <v>0</v>
      </c>
      <c r="BV243">
        <f ca="1">IF($AN243="",OFFSET(Demand!$A$13,ROW(F240)-1,4+((QUOTIENT(COLUMN(BV$2)-69,3))*5)+MOD(COLUMN(BV$2),3),1,1),"")</f>
        <v>0</v>
      </c>
      <c r="BW243">
        <f ca="1">IF($AN243="",OFFSET(Demand!$A$13,ROW(G240)-1,4+((QUOTIENT(COLUMN(BW$2)-69,3))*5)+MOD(COLUMN(BW$2),3),1,1),"")</f>
        <v>0</v>
      </c>
      <c r="BX243">
        <f ca="1">IF($AN243="",OFFSET(Demand!$A$13,ROW(H240)-1,4+((QUOTIENT(COLUMN(BX$2)-69,3))*5)+MOD(COLUMN(BX$2),3),1,1),"")</f>
        <v>0</v>
      </c>
      <c r="BY243">
        <f ca="1">IF($AN243="",OFFSET(Demand!$A$13,ROW(I240)-1,4+((QUOTIENT(COLUMN(BY$2)-69,3))*5)+MOD(COLUMN(BY$2),3),1,1),"")</f>
        <v>0</v>
      </c>
      <c r="BZ243">
        <f ca="1">IF($AN243="",OFFSET(Demand!$A$13,ROW(J240)-1,4+((QUOTIENT(COLUMN(BZ$2)-69,3))*5)+MOD(COLUMN(BZ$2),3),1,1),"")</f>
        <v>0</v>
      </c>
      <c r="CA243">
        <f ca="1">IF($AN243="",OFFSET(Demand!$A$13,ROW(K240)-1,4+((QUOTIENT(COLUMN(CA$2)-69,3))*5)+MOD(COLUMN(CA$2),3),1,1),"")</f>
        <v>0</v>
      </c>
      <c r="CB243">
        <f ca="1">IF($AN243="",OFFSET(Demand!$A$13,ROW(L240)-1,4+((QUOTIENT(COLUMN(CB$2)-69,3))*5)+MOD(COLUMN(CB$2),3),1,1),"")</f>
        <v>0</v>
      </c>
      <c r="CC243">
        <f ca="1">IF($AN243="",OFFSET(Demand!$A$13,ROW(M240)-1,4+((QUOTIENT(COLUMN(CC$2)-69,3))*5)+MOD(COLUMN(CC$2),3),1,1),"")</f>
        <v>0</v>
      </c>
      <c r="CD243">
        <f ca="1">IF($AN243="",OFFSET(Demand!$A$13,ROW(N240)-1,4+((QUOTIENT(COLUMN(CD$2)-69,3))*5)+MOD(COLUMN(CD$2),3),1,1),"")</f>
        <v>0</v>
      </c>
      <c r="CE243">
        <f ca="1">IF($AN243="",OFFSET(Demand!$A$13,ROW(O240)-1,4+((QUOTIENT(COLUMN(CE$2)-69,3))*5)+MOD(COLUMN(CE$2),3),1,1),"")</f>
        <v>0</v>
      </c>
      <c r="CF243">
        <f ca="1">IF($AN243="",OFFSET(Demand!$A$13,ROW(P240)-1,4+((QUOTIENT(COLUMN(CF$2)-69,3))*5)+MOD(COLUMN(CF$2),3),1,1),"")</f>
        <v>0</v>
      </c>
      <c r="CG243">
        <f ca="1">IF($AN243="",OFFSET(Demand!$A$13,ROW(Q240)-1,4+((QUOTIENT(COLUMN(CG$2)-69,3))*5)+MOD(COLUMN(CG$2),3),1,1),"")</f>
        <v>0</v>
      </c>
      <c r="CH243">
        <f ca="1">IF($AN243="",OFFSET(Demand!$A$13,ROW(R240)-1,4+((QUOTIENT(COLUMN(CH$2)-69,3))*5)+MOD(COLUMN(CH$2),3),1,1),"")</f>
        <v>0</v>
      </c>
      <c r="CI243">
        <f ca="1">IF($AN243="",OFFSET(Demand!$A$13,ROW(S240)-1,4+((QUOTIENT(COLUMN(CI$2)-69,3))*5)+MOD(COLUMN(CI$2),3),1,1),"")</f>
        <v>0</v>
      </c>
      <c r="CJ243">
        <f ca="1">IF($AN243="",OFFSET(Demand!$A$13,ROW(T240)-1,4+((QUOTIENT(COLUMN(CJ$2)-69,3))*5)+MOD(COLUMN(CJ$2),3),1,1),"")</f>
        <v>0</v>
      </c>
      <c r="CK243">
        <f ca="1">IF($AN243="",OFFSET(Demand!$A$13,ROW(U240)-1,4+((QUOTIENT(COLUMN(CK$2)-69,3))*5)+MOD(COLUMN(CK$2),3),1,1),"")</f>
        <v>0</v>
      </c>
      <c r="CL243">
        <f ca="1">IF($AN243="",OFFSET(Demand!$A$13,ROW(V240)-1,4+((QUOTIENT(COLUMN(CL$2)-69,3))*5)+MOD(COLUMN(CL$2),3),1,1),"")</f>
        <v>0</v>
      </c>
      <c r="CM243">
        <f ca="1">IF($AN243="",OFFSET(Demand!$A$13,ROW(W240)-1,4+((QUOTIENT(COLUMN(CM$2)-69,3))*5)+MOD(COLUMN(CM$2),3),1,1),"")</f>
        <v>0</v>
      </c>
      <c r="CN243">
        <f ca="1">IF($AN243="",OFFSET(Demand!$A$13,ROW(X240)-1,4+((QUOTIENT(COLUMN(CN$2)-69,3))*5)+MOD(COLUMN(CN$2),3),1,1),"")</f>
        <v>0</v>
      </c>
      <c r="CO243">
        <f ca="1">IF($AN243="",OFFSET(Demand!$A$13,ROW(Y240)-1,4+((QUOTIENT(COLUMN(CO$2)-69,3))*5)+MOD(COLUMN(CO$2),3),1,1),"")</f>
        <v>0</v>
      </c>
      <c r="CP243">
        <f ca="1">IF($AN243="",OFFSET(Demand!$A$13,ROW(Z240)-1,4+((QUOTIENT(COLUMN(CP$2)-69,3))*5)+MOD(COLUMN(CP$2),3),1,1),"")</f>
        <v>0</v>
      </c>
      <c r="CQ243">
        <f ca="1">IF($AN243="",OFFSET(Demand!$A$13,ROW(AA240)-1,4+((QUOTIENT(COLUMN(CQ$2)-69,3))*5)+MOD(COLUMN(CQ$2),3),1,1),"")</f>
        <v>0</v>
      </c>
      <c r="CR243">
        <f ca="1">IF($AN243="",OFFSET(Demand!$A$13,ROW(AB240)-1,4+((QUOTIENT(COLUMN(CR$2)-69,3))*5)+MOD(COLUMN(CR$2),3),1,1),"")</f>
        <v>0</v>
      </c>
      <c r="CS243">
        <f ca="1">IF($AN243="",OFFSET(Demand!$A$13,ROW(AC240)-1,4+((QUOTIENT(COLUMN(CS$2)-69,3))*5)+MOD(COLUMN(CS$2),3),1,1),"")</f>
        <v>0</v>
      </c>
      <c r="CT243">
        <f ca="1">IF($AN243="",OFFSET(Demand!$A$13,ROW(AD240)-1,4+((QUOTIENT(COLUMN(CT$2)-69,3))*5)+MOD(COLUMN(CT$2),3),1,1),"")</f>
        <v>0</v>
      </c>
      <c r="CW243" s="5">
        <f ca="1">SUM(OFFSET(Demand!$H$43,ROW(A240)-1,(COLUMN(A240)-1)*5,1,1))*N$2</f>
        <v>0</v>
      </c>
      <c r="CX243" s="5">
        <f ca="1">SUM(OFFSET(Demand!$H$43,ROW(B240)-1,(COLUMN(B240)-1)*5,1,1))*O$2</f>
        <v>0</v>
      </c>
      <c r="CY243" s="5">
        <f ca="1">SUM(OFFSET(Demand!$H$43,ROW(C240)-1,(COLUMN(C240)-1)*5,1,1))*P$2</f>
        <v>0</v>
      </c>
      <c r="CZ243" s="5">
        <f ca="1">SUM(OFFSET(Demand!$H$43,ROW(D240)-1,(COLUMN(D240)-1)*5,1,1))*Q$2</f>
        <v>0</v>
      </c>
      <c r="DA243" s="5">
        <f ca="1">SUM(OFFSET(Demand!$H$43,ROW(E240)-1,(COLUMN(E240)-1)*5,1,1))*R$2</f>
        <v>0</v>
      </c>
      <c r="DB243" s="5">
        <f ca="1">SUM(OFFSET(Demand!$H$43,ROW(F240)-1,(COLUMN(F240)-1)*5,1,1))*S$2</f>
        <v>0</v>
      </c>
      <c r="DC243" s="5">
        <f ca="1">SUM(OFFSET(Demand!$H$43,ROW(G240)-1,(COLUMN(G240)-1)*5,1,1))*T$2</f>
        <v>0</v>
      </c>
      <c r="DD243" s="5">
        <f ca="1">SUM(OFFSET(Demand!$H$43,ROW(H240)-1,(COLUMN(H240)-1)*5,1,1))*U$2</f>
        <v>0</v>
      </c>
      <c r="DE243" s="5">
        <f ca="1">SUM(OFFSET(Demand!$H$43,ROW(I240)-1,(COLUMN(I240)-1)*5,1,1))*V$2</f>
        <v>0</v>
      </c>
      <c r="DF243" s="5">
        <f ca="1">SUM(OFFSET(Demand!$H$43,ROW(J240)-1,(COLUMN(J240)-1)*5,1,1))*W$2</f>
        <v>0</v>
      </c>
      <c r="DG243" s="5">
        <f t="shared" ca="1" si="52"/>
        <v>0</v>
      </c>
    </row>
    <row r="244" spans="1:111" x14ac:dyDescent="0.2">
      <c r="A244" s="5">
        <f t="shared" ca="1" si="46"/>
        <v>2</v>
      </c>
      <c r="B244" s="5">
        <f ca="1">COUNTBLANK(OFFSET(Demand!$I253,0,(COLUMN(A241)-1)*5,1,1))</f>
        <v>1</v>
      </c>
      <c r="C244" s="5">
        <f ca="1">COUNTBLANK(OFFSET(Demand!$I253,0,(COLUMN(B241)-1)*5,1,1))</f>
        <v>1</v>
      </c>
      <c r="D244" s="5">
        <f ca="1">COUNTBLANK(OFFSET(Demand!$I253,0,(COLUMN(C241)-1)*5,1,1))</f>
        <v>1</v>
      </c>
      <c r="E244" s="5">
        <f ca="1">COUNTBLANK(OFFSET(Demand!$I253,0,(COLUMN(D241)-1)*5,1,1))</f>
        <v>1</v>
      </c>
      <c r="F244" s="5">
        <f ca="1">COUNTBLANK(OFFSET(Demand!$I253,0,(COLUMN(E241)-1)*5,1,1))</f>
        <v>1</v>
      </c>
      <c r="G244" s="5">
        <f ca="1">COUNTBLANK(OFFSET(Demand!$I253,0,(COLUMN(F241)-1)*5,1,1))</f>
        <v>1</v>
      </c>
      <c r="H244" s="5">
        <f ca="1">COUNTBLANK(OFFSET(Demand!$I253,0,(COLUMN(G241)-1)*5,1,1))</f>
        <v>1</v>
      </c>
      <c r="I244" s="5">
        <f ca="1">COUNTBLANK(OFFSET(Demand!$I253,0,(COLUMN(H241)-1)*5,1,1))</f>
        <v>1</v>
      </c>
      <c r="J244" s="5">
        <f ca="1">COUNTBLANK(OFFSET(Demand!$I253,0,(COLUMN(I241)-1)*5,1,1))</f>
        <v>1</v>
      </c>
      <c r="K244" s="5">
        <f ca="1">COUNTBLANK(OFFSET(Demand!$I253,0,(COLUMN(J241)-1)*5,1,1))</f>
        <v>1</v>
      </c>
      <c r="N244" s="5">
        <f ca="1">SUM(OFFSET(Demand!$E253,0,(COLUMN(A241)-1)*5,1,3))*N$2</f>
        <v>0</v>
      </c>
      <c r="O244" s="5">
        <f ca="1">SUM(OFFSET(Demand!$E253,0,(COLUMN(B241)-1)*5,1,3))*O$2</f>
        <v>0</v>
      </c>
      <c r="P244" s="5">
        <f ca="1">SUM(OFFSET(Demand!$E253,0,(COLUMN(C241)-1)*5,1,3))*P$2</f>
        <v>0</v>
      </c>
      <c r="Q244" s="5">
        <f ca="1">SUM(OFFSET(Demand!$E253,0,(COLUMN(D241)-1)*5,1,3))*Q$2</f>
        <v>0</v>
      </c>
      <c r="R244" s="5">
        <f ca="1">SUM(OFFSET(Demand!$E253,0,(COLUMN(E241)-1)*5,1,3))*R$2</f>
        <v>0</v>
      </c>
      <c r="S244" s="5">
        <f ca="1">SUM(OFFSET(Demand!$E253,0,(COLUMN(F241)-1)*5,1,3))*S$2</f>
        <v>0</v>
      </c>
      <c r="T244" s="5">
        <f ca="1">SUM(OFFSET(Demand!$E253,0,(COLUMN(G241)-1)*5,1,3))*T$2</f>
        <v>0</v>
      </c>
      <c r="U244" s="5">
        <f ca="1">SUM(OFFSET(Demand!$E253,0,(COLUMN(H241)-1)*5,1,3))*U$2</f>
        <v>0</v>
      </c>
      <c r="V244" s="5">
        <f ca="1">SUM(OFFSET(Demand!$E253,0,(COLUMN(I241)-1)*5,1,3))*V$2</f>
        <v>0</v>
      </c>
      <c r="W244" s="5">
        <f ca="1">SUM(OFFSET(Demand!$E253,0,(COLUMN(J241)-1)*5,1,3))*W$2</f>
        <v>0</v>
      </c>
      <c r="X244" s="5">
        <f t="shared" ca="1" si="47"/>
        <v>0</v>
      </c>
      <c r="Y244">
        <f t="shared" ca="1" si="48"/>
        <v>0</v>
      </c>
      <c r="Z244" s="5">
        <f ca="1">SUM(OFFSET(Demand!$H253,0,(COLUMN(A241)-1)*5,1,1))*N$2</f>
        <v>0</v>
      </c>
      <c r="AA244" s="5">
        <f ca="1">SUM(OFFSET(Demand!$H253,0,(COLUMN(B241)-1)*5,1,1))*O$2</f>
        <v>0</v>
      </c>
      <c r="AB244" s="5">
        <f ca="1">SUM(OFFSET(Demand!$H253,0,(COLUMN(C241)-1)*5,1,1))*P$2</f>
        <v>0</v>
      </c>
      <c r="AC244" s="5">
        <f ca="1">SUM(OFFSET(Demand!$H253,0,(COLUMN(D241)-1)*5,1,1))*Q$2</f>
        <v>0</v>
      </c>
      <c r="AD244" s="5">
        <f ca="1">SUM(OFFSET(Demand!$H253,0,(COLUMN(E241)-1)*5,1,1))*R$2</f>
        <v>0</v>
      </c>
      <c r="AE244" s="5">
        <f ca="1">SUM(OFFSET(Demand!$H253,0,(COLUMN(F241)-1)*5,1,1))*S$2</f>
        <v>0</v>
      </c>
      <c r="AF244" s="5">
        <f ca="1">SUM(OFFSET(Demand!$H253,0,(COLUMN(G241)-1)*5,1,1))*T$2</f>
        <v>0</v>
      </c>
      <c r="AG244" s="5">
        <f ca="1">SUM(OFFSET(Demand!$H253,0,(COLUMN(H241)-1)*5,1,1))*U$2</f>
        <v>0</v>
      </c>
      <c r="AH244" s="5">
        <f ca="1">SUM(OFFSET(Demand!$H253,0,(COLUMN(I241)-1)*5,1,1))*V$2</f>
        <v>0</v>
      </c>
      <c r="AI244" s="5">
        <f ca="1">SUM(OFFSET(Demand!$H253,0,(COLUMN(J241)-1)*5,1,1))*W$2</f>
        <v>0</v>
      </c>
      <c r="AJ244" s="5">
        <f t="shared" ca="1" si="49"/>
        <v>0</v>
      </c>
      <c r="AL244" s="5">
        <f t="shared" ca="1" si="50"/>
        <v>0</v>
      </c>
      <c r="AM244" s="5">
        <f t="shared" ca="1" si="51"/>
        <v>0</v>
      </c>
      <c r="AN244" s="5" t="str">
        <f>IF(Demand!BE253="Yes","Yes","")</f>
        <v/>
      </c>
      <c r="AP244" s="37" t="str">
        <f ca="1">Demand!B253</f>
        <v xml:space="preserve"> </v>
      </c>
      <c r="AQ244" t="str">
        <f ca="1">IF(TEXT(Demand!D253,"MMM")&lt;&gt;TEXT(Demand!D252,"MMM"),TEXT(Demand!D253,"MMM"),"")</f>
        <v/>
      </c>
      <c r="AT244" s="5">
        <f t="shared" ca="1" si="53"/>
        <v>0</v>
      </c>
      <c r="BQ244">
        <f ca="1">IF($AN244="",OFFSET(Demand!$A$13,ROW(A241)-1,4+((QUOTIENT(COLUMN(BQ$2)-69,3))*5)+MOD(COLUMN(BQ$2),3),1,1),"")</f>
        <v>0</v>
      </c>
      <c r="BR244">
        <f ca="1">IF($AN244="",OFFSET(Demand!$A$13,ROW(B241)-1,4+((QUOTIENT(COLUMN(BR$2)-69,3))*5)+MOD(COLUMN(BR$2),3),1,1),"")</f>
        <v>0</v>
      </c>
      <c r="BS244">
        <f ca="1">IF($AN244="",OFFSET(Demand!$A$13,ROW(C241)-1,4+((QUOTIENT(COLUMN(BS$2)-69,3))*5)+MOD(COLUMN(BS$2),3),1,1),"")</f>
        <v>0</v>
      </c>
      <c r="BT244">
        <f ca="1">IF($AN244="",OFFSET(Demand!$A$13,ROW(D241)-1,4+((QUOTIENT(COLUMN(BT$2)-69,3))*5)+MOD(COLUMN(BT$2),3),1,1),"")</f>
        <v>0</v>
      </c>
      <c r="BU244">
        <f ca="1">IF($AN244="",OFFSET(Demand!$A$13,ROW(E241)-1,4+((QUOTIENT(COLUMN(BU$2)-69,3))*5)+MOD(COLUMN(BU$2),3),1,1),"")</f>
        <v>0</v>
      </c>
      <c r="BV244">
        <f ca="1">IF($AN244="",OFFSET(Demand!$A$13,ROW(F241)-1,4+((QUOTIENT(COLUMN(BV$2)-69,3))*5)+MOD(COLUMN(BV$2),3),1,1),"")</f>
        <v>0</v>
      </c>
      <c r="BW244">
        <f ca="1">IF($AN244="",OFFSET(Demand!$A$13,ROW(G241)-1,4+((QUOTIENT(COLUMN(BW$2)-69,3))*5)+MOD(COLUMN(BW$2),3),1,1),"")</f>
        <v>0</v>
      </c>
      <c r="BX244">
        <f ca="1">IF($AN244="",OFFSET(Demand!$A$13,ROW(H241)-1,4+((QUOTIENT(COLUMN(BX$2)-69,3))*5)+MOD(COLUMN(BX$2),3),1,1),"")</f>
        <v>0</v>
      </c>
      <c r="BY244">
        <f ca="1">IF($AN244="",OFFSET(Demand!$A$13,ROW(I241)-1,4+((QUOTIENT(COLUMN(BY$2)-69,3))*5)+MOD(COLUMN(BY$2),3),1,1),"")</f>
        <v>0</v>
      </c>
      <c r="BZ244">
        <f ca="1">IF($AN244="",OFFSET(Demand!$A$13,ROW(J241)-1,4+((QUOTIENT(COLUMN(BZ$2)-69,3))*5)+MOD(COLUMN(BZ$2),3),1,1),"")</f>
        <v>0</v>
      </c>
      <c r="CA244">
        <f ca="1">IF($AN244="",OFFSET(Demand!$A$13,ROW(K241)-1,4+((QUOTIENT(COLUMN(CA$2)-69,3))*5)+MOD(COLUMN(CA$2),3),1,1),"")</f>
        <v>0</v>
      </c>
      <c r="CB244">
        <f ca="1">IF($AN244="",OFFSET(Demand!$A$13,ROW(L241)-1,4+((QUOTIENT(COLUMN(CB$2)-69,3))*5)+MOD(COLUMN(CB$2),3),1,1),"")</f>
        <v>0</v>
      </c>
      <c r="CC244">
        <f ca="1">IF($AN244="",OFFSET(Demand!$A$13,ROW(M241)-1,4+((QUOTIENT(COLUMN(CC$2)-69,3))*5)+MOD(COLUMN(CC$2),3),1,1),"")</f>
        <v>0</v>
      </c>
      <c r="CD244">
        <f ca="1">IF($AN244="",OFFSET(Demand!$A$13,ROW(N241)-1,4+((QUOTIENT(COLUMN(CD$2)-69,3))*5)+MOD(COLUMN(CD$2),3),1,1),"")</f>
        <v>0</v>
      </c>
      <c r="CE244">
        <f ca="1">IF($AN244="",OFFSET(Demand!$A$13,ROW(O241)-1,4+((QUOTIENT(COLUMN(CE$2)-69,3))*5)+MOD(COLUMN(CE$2),3),1,1),"")</f>
        <v>0</v>
      </c>
      <c r="CF244">
        <f ca="1">IF($AN244="",OFFSET(Demand!$A$13,ROW(P241)-1,4+((QUOTIENT(COLUMN(CF$2)-69,3))*5)+MOD(COLUMN(CF$2),3),1,1),"")</f>
        <v>0</v>
      </c>
      <c r="CG244">
        <f ca="1">IF($AN244="",OFFSET(Demand!$A$13,ROW(Q241)-1,4+((QUOTIENT(COLUMN(CG$2)-69,3))*5)+MOD(COLUMN(CG$2),3),1,1),"")</f>
        <v>0</v>
      </c>
      <c r="CH244">
        <f ca="1">IF($AN244="",OFFSET(Demand!$A$13,ROW(R241)-1,4+((QUOTIENT(COLUMN(CH$2)-69,3))*5)+MOD(COLUMN(CH$2),3),1,1),"")</f>
        <v>0</v>
      </c>
      <c r="CI244">
        <f ca="1">IF($AN244="",OFFSET(Demand!$A$13,ROW(S241)-1,4+((QUOTIENT(COLUMN(CI$2)-69,3))*5)+MOD(COLUMN(CI$2),3),1,1),"")</f>
        <v>0</v>
      </c>
      <c r="CJ244">
        <f ca="1">IF($AN244="",OFFSET(Demand!$A$13,ROW(T241)-1,4+((QUOTIENT(COLUMN(CJ$2)-69,3))*5)+MOD(COLUMN(CJ$2),3),1,1),"")</f>
        <v>0</v>
      </c>
      <c r="CK244">
        <f ca="1">IF($AN244="",OFFSET(Demand!$A$13,ROW(U241)-1,4+((QUOTIENT(COLUMN(CK$2)-69,3))*5)+MOD(COLUMN(CK$2),3),1,1),"")</f>
        <v>0</v>
      </c>
      <c r="CL244">
        <f ca="1">IF($AN244="",OFFSET(Demand!$A$13,ROW(V241)-1,4+((QUOTIENT(COLUMN(CL$2)-69,3))*5)+MOD(COLUMN(CL$2),3),1,1),"")</f>
        <v>0</v>
      </c>
      <c r="CM244">
        <f ca="1">IF($AN244="",OFFSET(Demand!$A$13,ROW(W241)-1,4+((QUOTIENT(COLUMN(CM$2)-69,3))*5)+MOD(COLUMN(CM$2),3),1,1),"")</f>
        <v>0</v>
      </c>
      <c r="CN244">
        <f ca="1">IF($AN244="",OFFSET(Demand!$A$13,ROW(X241)-1,4+((QUOTIENT(COLUMN(CN$2)-69,3))*5)+MOD(COLUMN(CN$2),3),1,1),"")</f>
        <v>0</v>
      </c>
      <c r="CO244">
        <f ca="1">IF($AN244="",OFFSET(Demand!$A$13,ROW(Y241)-1,4+((QUOTIENT(COLUMN(CO$2)-69,3))*5)+MOD(COLUMN(CO$2),3),1,1),"")</f>
        <v>0</v>
      </c>
      <c r="CP244">
        <f ca="1">IF($AN244="",OFFSET(Demand!$A$13,ROW(Z241)-1,4+((QUOTIENT(COLUMN(CP$2)-69,3))*5)+MOD(COLUMN(CP$2),3),1,1),"")</f>
        <v>0</v>
      </c>
      <c r="CQ244">
        <f ca="1">IF($AN244="",OFFSET(Demand!$A$13,ROW(AA241)-1,4+((QUOTIENT(COLUMN(CQ$2)-69,3))*5)+MOD(COLUMN(CQ$2),3),1,1),"")</f>
        <v>0</v>
      </c>
      <c r="CR244">
        <f ca="1">IF($AN244="",OFFSET(Demand!$A$13,ROW(AB241)-1,4+((QUOTIENT(COLUMN(CR$2)-69,3))*5)+MOD(COLUMN(CR$2),3),1,1),"")</f>
        <v>0</v>
      </c>
      <c r="CS244">
        <f ca="1">IF($AN244="",OFFSET(Demand!$A$13,ROW(AC241)-1,4+((QUOTIENT(COLUMN(CS$2)-69,3))*5)+MOD(COLUMN(CS$2),3),1,1),"")</f>
        <v>0</v>
      </c>
      <c r="CT244">
        <f ca="1">IF($AN244="",OFFSET(Demand!$A$13,ROW(AD241)-1,4+((QUOTIENT(COLUMN(CT$2)-69,3))*5)+MOD(COLUMN(CT$2),3),1,1),"")</f>
        <v>0</v>
      </c>
      <c r="CW244" s="5">
        <f ca="1">SUM(OFFSET(Demand!$H$43,ROW(A241)-1,(COLUMN(A241)-1)*5,1,1))*N$2</f>
        <v>0</v>
      </c>
      <c r="CX244" s="5">
        <f ca="1">SUM(OFFSET(Demand!$H$43,ROW(B241)-1,(COLUMN(B241)-1)*5,1,1))*O$2</f>
        <v>0</v>
      </c>
      <c r="CY244" s="5">
        <f ca="1">SUM(OFFSET(Demand!$H$43,ROW(C241)-1,(COLUMN(C241)-1)*5,1,1))*P$2</f>
        <v>0</v>
      </c>
      <c r="CZ244" s="5">
        <f ca="1">SUM(OFFSET(Demand!$H$43,ROW(D241)-1,(COLUMN(D241)-1)*5,1,1))*Q$2</f>
        <v>0</v>
      </c>
      <c r="DA244" s="5">
        <f ca="1">SUM(OFFSET(Demand!$H$43,ROW(E241)-1,(COLUMN(E241)-1)*5,1,1))*R$2</f>
        <v>0</v>
      </c>
      <c r="DB244" s="5">
        <f ca="1">SUM(OFFSET(Demand!$H$43,ROW(F241)-1,(COLUMN(F241)-1)*5,1,1))*S$2</f>
        <v>0</v>
      </c>
      <c r="DC244" s="5">
        <f ca="1">SUM(OFFSET(Demand!$H$43,ROW(G241)-1,(COLUMN(G241)-1)*5,1,1))*T$2</f>
        <v>0</v>
      </c>
      <c r="DD244" s="5">
        <f ca="1">SUM(OFFSET(Demand!$H$43,ROW(H241)-1,(COLUMN(H241)-1)*5,1,1))*U$2</f>
        <v>0</v>
      </c>
      <c r="DE244" s="5">
        <f ca="1">SUM(OFFSET(Demand!$H$43,ROW(I241)-1,(COLUMN(I241)-1)*5,1,1))*V$2</f>
        <v>0</v>
      </c>
      <c r="DF244" s="5">
        <f ca="1">SUM(OFFSET(Demand!$H$43,ROW(J241)-1,(COLUMN(J241)-1)*5,1,1))*W$2</f>
        <v>0</v>
      </c>
      <c r="DG244" s="5">
        <f t="shared" ca="1" si="52"/>
        <v>0</v>
      </c>
    </row>
    <row r="245" spans="1:111" x14ac:dyDescent="0.2">
      <c r="A245" s="5">
        <f t="shared" ca="1" si="46"/>
        <v>2</v>
      </c>
      <c r="B245" s="5">
        <f ca="1">COUNTBLANK(OFFSET(Demand!$I254,0,(COLUMN(A242)-1)*5,1,1))</f>
        <v>1</v>
      </c>
      <c r="C245" s="5">
        <f ca="1">COUNTBLANK(OFFSET(Demand!$I254,0,(COLUMN(B242)-1)*5,1,1))</f>
        <v>1</v>
      </c>
      <c r="D245" s="5">
        <f ca="1">COUNTBLANK(OFFSET(Demand!$I254,0,(COLUMN(C242)-1)*5,1,1))</f>
        <v>1</v>
      </c>
      <c r="E245" s="5">
        <f ca="1">COUNTBLANK(OFFSET(Demand!$I254,0,(COLUMN(D242)-1)*5,1,1))</f>
        <v>1</v>
      </c>
      <c r="F245" s="5">
        <f ca="1">COUNTBLANK(OFFSET(Demand!$I254,0,(COLUMN(E242)-1)*5,1,1))</f>
        <v>1</v>
      </c>
      <c r="G245" s="5">
        <f ca="1">COUNTBLANK(OFFSET(Demand!$I254,0,(COLUMN(F242)-1)*5,1,1))</f>
        <v>1</v>
      </c>
      <c r="H245" s="5">
        <f ca="1">COUNTBLANK(OFFSET(Demand!$I254,0,(COLUMN(G242)-1)*5,1,1))</f>
        <v>1</v>
      </c>
      <c r="I245" s="5">
        <f ca="1">COUNTBLANK(OFFSET(Demand!$I254,0,(COLUMN(H242)-1)*5,1,1))</f>
        <v>1</v>
      </c>
      <c r="J245" s="5">
        <f ca="1">COUNTBLANK(OFFSET(Demand!$I254,0,(COLUMN(I242)-1)*5,1,1))</f>
        <v>1</v>
      </c>
      <c r="K245" s="5">
        <f ca="1">COUNTBLANK(OFFSET(Demand!$I254,0,(COLUMN(J242)-1)*5,1,1))</f>
        <v>1</v>
      </c>
      <c r="N245" s="5">
        <f ca="1">SUM(OFFSET(Demand!$E254,0,(COLUMN(A242)-1)*5,1,3))*N$2</f>
        <v>0</v>
      </c>
      <c r="O245" s="5">
        <f ca="1">SUM(OFFSET(Demand!$E254,0,(COLUMN(B242)-1)*5,1,3))*O$2</f>
        <v>0</v>
      </c>
      <c r="P245" s="5">
        <f ca="1">SUM(OFFSET(Demand!$E254,0,(COLUMN(C242)-1)*5,1,3))*P$2</f>
        <v>0</v>
      </c>
      <c r="Q245" s="5">
        <f ca="1">SUM(OFFSET(Demand!$E254,0,(COLUMN(D242)-1)*5,1,3))*Q$2</f>
        <v>0</v>
      </c>
      <c r="R245" s="5">
        <f ca="1">SUM(OFFSET(Demand!$E254,0,(COLUMN(E242)-1)*5,1,3))*R$2</f>
        <v>0</v>
      </c>
      <c r="S245" s="5">
        <f ca="1">SUM(OFFSET(Demand!$E254,0,(COLUMN(F242)-1)*5,1,3))*S$2</f>
        <v>0</v>
      </c>
      <c r="T245" s="5">
        <f ca="1">SUM(OFFSET(Demand!$E254,0,(COLUMN(G242)-1)*5,1,3))*T$2</f>
        <v>0</v>
      </c>
      <c r="U245" s="5">
        <f ca="1">SUM(OFFSET(Demand!$E254,0,(COLUMN(H242)-1)*5,1,3))*U$2</f>
        <v>0</v>
      </c>
      <c r="V245" s="5">
        <f ca="1">SUM(OFFSET(Demand!$E254,0,(COLUMN(I242)-1)*5,1,3))*V$2</f>
        <v>0</v>
      </c>
      <c r="W245" s="5">
        <f ca="1">SUM(OFFSET(Demand!$E254,0,(COLUMN(J242)-1)*5,1,3))*W$2</f>
        <v>0</v>
      </c>
      <c r="X245" s="5">
        <f t="shared" ca="1" si="47"/>
        <v>0</v>
      </c>
      <c r="Y245">
        <f t="shared" ca="1" si="48"/>
        <v>0</v>
      </c>
      <c r="Z245" s="5">
        <f ca="1">SUM(OFFSET(Demand!$H254,0,(COLUMN(A242)-1)*5,1,1))*N$2</f>
        <v>0</v>
      </c>
      <c r="AA245" s="5">
        <f ca="1">SUM(OFFSET(Demand!$H254,0,(COLUMN(B242)-1)*5,1,1))*O$2</f>
        <v>0</v>
      </c>
      <c r="AB245" s="5">
        <f ca="1">SUM(OFFSET(Demand!$H254,0,(COLUMN(C242)-1)*5,1,1))*P$2</f>
        <v>0</v>
      </c>
      <c r="AC245" s="5">
        <f ca="1">SUM(OFFSET(Demand!$H254,0,(COLUMN(D242)-1)*5,1,1))*Q$2</f>
        <v>0</v>
      </c>
      <c r="AD245" s="5">
        <f ca="1">SUM(OFFSET(Demand!$H254,0,(COLUMN(E242)-1)*5,1,1))*R$2</f>
        <v>0</v>
      </c>
      <c r="AE245" s="5">
        <f ca="1">SUM(OFFSET(Demand!$H254,0,(COLUMN(F242)-1)*5,1,1))*S$2</f>
        <v>0</v>
      </c>
      <c r="AF245" s="5">
        <f ca="1">SUM(OFFSET(Demand!$H254,0,(COLUMN(G242)-1)*5,1,1))*T$2</f>
        <v>0</v>
      </c>
      <c r="AG245" s="5">
        <f ca="1">SUM(OFFSET(Demand!$H254,0,(COLUMN(H242)-1)*5,1,1))*U$2</f>
        <v>0</v>
      </c>
      <c r="AH245" s="5">
        <f ca="1">SUM(OFFSET(Demand!$H254,0,(COLUMN(I242)-1)*5,1,1))*V$2</f>
        <v>0</v>
      </c>
      <c r="AI245" s="5">
        <f ca="1">SUM(OFFSET(Demand!$H254,0,(COLUMN(J242)-1)*5,1,1))*W$2</f>
        <v>0</v>
      </c>
      <c r="AJ245" s="5">
        <f t="shared" ca="1" si="49"/>
        <v>0</v>
      </c>
      <c r="AL245" s="5">
        <f t="shared" ca="1" si="50"/>
        <v>0</v>
      </c>
      <c r="AM245" s="5">
        <f t="shared" ca="1" si="51"/>
        <v>0</v>
      </c>
      <c r="AN245" s="5" t="str">
        <f>IF(Demand!BE254="Yes","Yes","")</f>
        <v/>
      </c>
      <c r="AP245" s="37" t="str">
        <f ca="1">Demand!B254</f>
        <v xml:space="preserve"> </v>
      </c>
      <c r="AQ245" t="str">
        <f ca="1">IF(TEXT(Demand!D254,"MMM")&lt;&gt;TEXT(Demand!D253,"MMM"),TEXT(Demand!D254,"MMM"),"")</f>
        <v/>
      </c>
      <c r="AT245" s="5">
        <f t="shared" ca="1" si="53"/>
        <v>0</v>
      </c>
      <c r="BQ245">
        <f ca="1">IF($AN245="",OFFSET(Demand!$A$13,ROW(A242)-1,4+((QUOTIENT(COLUMN(BQ$2)-69,3))*5)+MOD(COLUMN(BQ$2),3),1,1),"")</f>
        <v>0</v>
      </c>
      <c r="BR245">
        <f ca="1">IF($AN245="",OFFSET(Demand!$A$13,ROW(B242)-1,4+((QUOTIENT(COLUMN(BR$2)-69,3))*5)+MOD(COLUMN(BR$2),3),1,1),"")</f>
        <v>0</v>
      </c>
      <c r="BS245">
        <f ca="1">IF($AN245="",OFFSET(Demand!$A$13,ROW(C242)-1,4+((QUOTIENT(COLUMN(BS$2)-69,3))*5)+MOD(COLUMN(BS$2),3),1,1),"")</f>
        <v>0</v>
      </c>
      <c r="BT245">
        <f ca="1">IF($AN245="",OFFSET(Demand!$A$13,ROW(D242)-1,4+((QUOTIENT(COLUMN(BT$2)-69,3))*5)+MOD(COLUMN(BT$2),3),1,1),"")</f>
        <v>0</v>
      </c>
      <c r="BU245">
        <f ca="1">IF($AN245="",OFFSET(Demand!$A$13,ROW(E242)-1,4+((QUOTIENT(COLUMN(BU$2)-69,3))*5)+MOD(COLUMN(BU$2),3),1,1),"")</f>
        <v>0</v>
      </c>
      <c r="BV245">
        <f ca="1">IF($AN245="",OFFSET(Demand!$A$13,ROW(F242)-1,4+((QUOTIENT(COLUMN(BV$2)-69,3))*5)+MOD(COLUMN(BV$2),3),1,1),"")</f>
        <v>0</v>
      </c>
      <c r="BW245">
        <f ca="1">IF($AN245="",OFFSET(Demand!$A$13,ROW(G242)-1,4+((QUOTIENT(COLUMN(BW$2)-69,3))*5)+MOD(COLUMN(BW$2),3),1,1),"")</f>
        <v>0</v>
      </c>
      <c r="BX245">
        <f ca="1">IF($AN245="",OFFSET(Demand!$A$13,ROW(H242)-1,4+((QUOTIENT(COLUMN(BX$2)-69,3))*5)+MOD(COLUMN(BX$2),3),1,1),"")</f>
        <v>0</v>
      </c>
      <c r="BY245">
        <f ca="1">IF($AN245="",OFFSET(Demand!$A$13,ROW(I242)-1,4+((QUOTIENT(COLUMN(BY$2)-69,3))*5)+MOD(COLUMN(BY$2),3),1,1),"")</f>
        <v>0</v>
      </c>
      <c r="BZ245">
        <f ca="1">IF($AN245="",OFFSET(Demand!$A$13,ROW(J242)-1,4+((QUOTIENT(COLUMN(BZ$2)-69,3))*5)+MOD(COLUMN(BZ$2),3),1,1),"")</f>
        <v>0</v>
      </c>
      <c r="CA245">
        <f ca="1">IF($AN245="",OFFSET(Demand!$A$13,ROW(K242)-1,4+((QUOTIENT(COLUMN(CA$2)-69,3))*5)+MOD(COLUMN(CA$2),3),1,1),"")</f>
        <v>0</v>
      </c>
      <c r="CB245">
        <f ca="1">IF($AN245="",OFFSET(Demand!$A$13,ROW(L242)-1,4+((QUOTIENT(COLUMN(CB$2)-69,3))*5)+MOD(COLUMN(CB$2),3),1,1),"")</f>
        <v>0</v>
      </c>
      <c r="CC245">
        <f ca="1">IF($AN245="",OFFSET(Demand!$A$13,ROW(M242)-1,4+((QUOTIENT(COLUMN(CC$2)-69,3))*5)+MOD(COLUMN(CC$2),3),1,1),"")</f>
        <v>0</v>
      </c>
      <c r="CD245">
        <f ca="1">IF($AN245="",OFFSET(Demand!$A$13,ROW(N242)-1,4+((QUOTIENT(COLUMN(CD$2)-69,3))*5)+MOD(COLUMN(CD$2),3),1,1),"")</f>
        <v>0</v>
      </c>
      <c r="CE245">
        <f ca="1">IF($AN245="",OFFSET(Demand!$A$13,ROW(O242)-1,4+((QUOTIENT(COLUMN(CE$2)-69,3))*5)+MOD(COLUMN(CE$2),3),1,1),"")</f>
        <v>0</v>
      </c>
      <c r="CF245">
        <f ca="1">IF($AN245="",OFFSET(Demand!$A$13,ROW(P242)-1,4+((QUOTIENT(COLUMN(CF$2)-69,3))*5)+MOD(COLUMN(CF$2),3),1,1),"")</f>
        <v>0</v>
      </c>
      <c r="CG245">
        <f ca="1">IF($AN245="",OFFSET(Demand!$A$13,ROW(Q242)-1,4+((QUOTIENT(COLUMN(CG$2)-69,3))*5)+MOD(COLUMN(CG$2),3),1,1),"")</f>
        <v>0</v>
      </c>
      <c r="CH245">
        <f ca="1">IF($AN245="",OFFSET(Demand!$A$13,ROW(R242)-1,4+((QUOTIENT(COLUMN(CH$2)-69,3))*5)+MOD(COLUMN(CH$2),3),1,1),"")</f>
        <v>0</v>
      </c>
      <c r="CI245">
        <f ca="1">IF($AN245="",OFFSET(Demand!$A$13,ROW(S242)-1,4+((QUOTIENT(COLUMN(CI$2)-69,3))*5)+MOD(COLUMN(CI$2),3),1,1),"")</f>
        <v>0</v>
      </c>
      <c r="CJ245">
        <f ca="1">IF($AN245="",OFFSET(Demand!$A$13,ROW(T242)-1,4+((QUOTIENT(COLUMN(CJ$2)-69,3))*5)+MOD(COLUMN(CJ$2),3),1,1),"")</f>
        <v>0</v>
      </c>
      <c r="CK245">
        <f ca="1">IF($AN245="",OFFSET(Demand!$A$13,ROW(U242)-1,4+((QUOTIENT(COLUMN(CK$2)-69,3))*5)+MOD(COLUMN(CK$2),3),1,1),"")</f>
        <v>0</v>
      </c>
      <c r="CL245">
        <f ca="1">IF($AN245="",OFFSET(Demand!$A$13,ROW(V242)-1,4+((QUOTIENT(COLUMN(CL$2)-69,3))*5)+MOD(COLUMN(CL$2),3),1,1),"")</f>
        <v>0</v>
      </c>
      <c r="CM245">
        <f ca="1">IF($AN245="",OFFSET(Demand!$A$13,ROW(W242)-1,4+((QUOTIENT(COLUMN(CM$2)-69,3))*5)+MOD(COLUMN(CM$2),3),1,1),"")</f>
        <v>0</v>
      </c>
      <c r="CN245">
        <f ca="1">IF($AN245="",OFFSET(Demand!$A$13,ROW(X242)-1,4+((QUOTIENT(COLUMN(CN$2)-69,3))*5)+MOD(COLUMN(CN$2),3),1,1),"")</f>
        <v>0</v>
      </c>
      <c r="CO245">
        <f ca="1">IF($AN245="",OFFSET(Demand!$A$13,ROW(Y242)-1,4+((QUOTIENT(COLUMN(CO$2)-69,3))*5)+MOD(COLUMN(CO$2),3),1,1),"")</f>
        <v>0</v>
      </c>
      <c r="CP245">
        <f ca="1">IF($AN245="",OFFSET(Demand!$A$13,ROW(Z242)-1,4+((QUOTIENT(COLUMN(CP$2)-69,3))*5)+MOD(COLUMN(CP$2),3),1,1),"")</f>
        <v>0</v>
      </c>
      <c r="CQ245">
        <f ca="1">IF($AN245="",OFFSET(Demand!$A$13,ROW(AA242)-1,4+((QUOTIENT(COLUMN(CQ$2)-69,3))*5)+MOD(COLUMN(CQ$2),3),1,1),"")</f>
        <v>0</v>
      </c>
      <c r="CR245">
        <f ca="1">IF($AN245="",OFFSET(Demand!$A$13,ROW(AB242)-1,4+((QUOTIENT(COLUMN(CR$2)-69,3))*5)+MOD(COLUMN(CR$2),3),1,1),"")</f>
        <v>0</v>
      </c>
      <c r="CS245">
        <f ca="1">IF($AN245="",OFFSET(Demand!$A$13,ROW(AC242)-1,4+((QUOTIENT(COLUMN(CS$2)-69,3))*5)+MOD(COLUMN(CS$2),3),1,1),"")</f>
        <v>0</v>
      </c>
      <c r="CT245">
        <f ca="1">IF($AN245="",OFFSET(Demand!$A$13,ROW(AD242)-1,4+((QUOTIENT(COLUMN(CT$2)-69,3))*5)+MOD(COLUMN(CT$2),3),1,1),"")</f>
        <v>0</v>
      </c>
      <c r="CW245" s="5">
        <f ca="1">SUM(OFFSET(Demand!$H$43,ROW(A242)-1,(COLUMN(A242)-1)*5,1,1))*N$2</f>
        <v>0</v>
      </c>
      <c r="CX245" s="5">
        <f ca="1">SUM(OFFSET(Demand!$H$43,ROW(B242)-1,(COLUMN(B242)-1)*5,1,1))*O$2</f>
        <v>0</v>
      </c>
      <c r="CY245" s="5">
        <f ca="1">SUM(OFFSET(Demand!$H$43,ROW(C242)-1,(COLUMN(C242)-1)*5,1,1))*P$2</f>
        <v>0</v>
      </c>
      <c r="CZ245" s="5">
        <f ca="1">SUM(OFFSET(Demand!$H$43,ROW(D242)-1,(COLUMN(D242)-1)*5,1,1))*Q$2</f>
        <v>0</v>
      </c>
      <c r="DA245" s="5">
        <f ca="1">SUM(OFFSET(Demand!$H$43,ROW(E242)-1,(COLUMN(E242)-1)*5,1,1))*R$2</f>
        <v>0</v>
      </c>
      <c r="DB245" s="5">
        <f ca="1">SUM(OFFSET(Demand!$H$43,ROW(F242)-1,(COLUMN(F242)-1)*5,1,1))*S$2</f>
        <v>0</v>
      </c>
      <c r="DC245" s="5">
        <f ca="1">SUM(OFFSET(Demand!$H$43,ROW(G242)-1,(COLUMN(G242)-1)*5,1,1))*T$2</f>
        <v>0</v>
      </c>
      <c r="DD245" s="5">
        <f ca="1">SUM(OFFSET(Demand!$H$43,ROW(H242)-1,(COLUMN(H242)-1)*5,1,1))*U$2</f>
        <v>0</v>
      </c>
      <c r="DE245" s="5">
        <f ca="1">SUM(OFFSET(Demand!$H$43,ROW(I242)-1,(COLUMN(I242)-1)*5,1,1))*V$2</f>
        <v>0</v>
      </c>
      <c r="DF245" s="5">
        <f ca="1">SUM(OFFSET(Demand!$H$43,ROW(J242)-1,(COLUMN(J242)-1)*5,1,1))*W$2</f>
        <v>0</v>
      </c>
      <c r="DG245" s="5">
        <f t="shared" ca="1" si="52"/>
        <v>0</v>
      </c>
    </row>
    <row r="246" spans="1:111" x14ac:dyDescent="0.2">
      <c r="A246" s="5">
        <f t="shared" ca="1" si="46"/>
        <v>2</v>
      </c>
      <c r="B246" s="5">
        <f ca="1">COUNTBLANK(OFFSET(Demand!$I255,0,(COLUMN(A243)-1)*5,1,1))</f>
        <v>1</v>
      </c>
      <c r="C246" s="5">
        <f ca="1">COUNTBLANK(OFFSET(Demand!$I255,0,(COLUMN(B243)-1)*5,1,1))</f>
        <v>1</v>
      </c>
      <c r="D246" s="5">
        <f ca="1">COUNTBLANK(OFFSET(Demand!$I255,0,(COLUMN(C243)-1)*5,1,1))</f>
        <v>1</v>
      </c>
      <c r="E246" s="5">
        <f ca="1">COUNTBLANK(OFFSET(Demand!$I255,0,(COLUMN(D243)-1)*5,1,1))</f>
        <v>1</v>
      </c>
      <c r="F246" s="5">
        <f ca="1">COUNTBLANK(OFFSET(Demand!$I255,0,(COLUMN(E243)-1)*5,1,1))</f>
        <v>1</v>
      </c>
      <c r="G246" s="5">
        <f ca="1">COUNTBLANK(OFFSET(Demand!$I255,0,(COLUMN(F243)-1)*5,1,1))</f>
        <v>1</v>
      </c>
      <c r="H246" s="5">
        <f ca="1">COUNTBLANK(OFFSET(Demand!$I255,0,(COLUMN(G243)-1)*5,1,1))</f>
        <v>1</v>
      </c>
      <c r="I246" s="5">
        <f ca="1">COUNTBLANK(OFFSET(Demand!$I255,0,(COLUMN(H243)-1)*5,1,1))</f>
        <v>1</v>
      </c>
      <c r="J246" s="5">
        <f ca="1">COUNTBLANK(OFFSET(Demand!$I255,0,(COLUMN(I243)-1)*5,1,1))</f>
        <v>1</v>
      </c>
      <c r="K246" s="5">
        <f ca="1">COUNTBLANK(OFFSET(Demand!$I255,0,(COLUMN(J243)-1)*5,1,1))</f>
        <v>1</v>
      </c>
      <c r="N246" s="5">
        <f ca="1">SUM(OFFSET(Demand!$E255,0,(COLUMN(A243)-1)*5,1,3))*N$2</f>
        <v>0</v>
      </c>
      <c r="O246" s="5">
        <f ca="1">SUM(OFFSET(Demand!$E255,0,(COLUMN(B243)-1)*5,1,3))*O$2</f>
        <v>0</v>
      </c>
      <c r="P246" s="5">
        <f ca="1">SUM(OFFSET(Demand!$E255,0,(COLUMN(C243)-1)*5,1,3))*P$2</f>
        <v>0</v>
      </c>
      <c r="Q246" s="5">
        <f ca="1">SUM(OFFSET(Demand!$E255,0,(COLUMN(D243)-1)*5,1,3))*Q$2</f>
        <v>0</v>
      </c>
      <c r="R246" s="5">
        <f ca="1">SUM(OFFSET(Demand!$E255,0,(COLUMN(E243)-1)*5,1,3))*R$2</f>
        <v>0</v>
      </c>
      <c r="S246" s="5">
        <f ca="1">SUM(OFFSET(Demand!$E255,0,(COLUMN(F243)-1)*5,1,3))*S$2</f>
        <v>0</v>
      </c>
      <c r="T246" s="5">
        <f ca="1">SUM(OFFSET(Demand!$E255,0,(COLUMN(G243)-1)*5,1,3))*T$2</f>
        <v>0</v>
      </c>
      <c r="U246" s="5">
        <f ca="1">SUM(OFFSET(Demand!$E255,0,(COLUMN(H243)-1)*5,1,3))*U$2</f>
        <v>0</v>
      </c>
      <c r="V246" s="5">
        <f ca="1">SUM(OFFSET(Demand!$E255,0,(COLUMN(I243)-1)*5,1,3))*V$2</f>
        <v>0</v>
      </c>
      <c r="W246" s="5">
        <f ca="1">SUM(OFFSET(Demand!$E255,0,(COLUMN(J243)-1)*5,1,3))*W$2</f>
        <v>0</v>
      </c>
      <c r="X246" s="5">
        <f t="shared" ca="1" si="47"/>
        <v>0</v>
      </c>
      <c r="Y246">
        <f t="shared" ca="1" si="48"/>
        <v>0</v>
      </c>
      <c r="Z246" s="5">
        <f ca="1">SUM(OFFSET(Demand!$H255,0,(COLUMN(A243)-1)*5,1,1))*N$2</f>
        <v>0</v>
      </c>
      <c r="AA246" s="5">
        <f ca="1">SUM(OFFSET(Demand!$H255,0,(COLUMN(B243)-1)*5,1,1))*O$2</f>
        <v>0</v>
      </c>
      <c r="AB246" s="5">
        <f ca="1">SUM(OFFSET(Demand!$H255,0,(COLUMN(C243)-1)*5,1,1))*P$2</f>
        <v>0</v>
      </c>
      <c r="AC246" s="5">
        <f ca="1">SUM(OFFSET(Demand!$H255,0,(COLUMN(D243)-1)*5,1,1))*Q$2</f>
        <v>0</v>
      </c>
      <c r="AD246" s="5">
        <f ca="1">SUM(OFFSET(Demand!$H255,0,(COLUMN(E243)-1)*5,1,1))*R$2</f>
        <v>0</v>
      </c>
      <c r="AE246" s="5">
        <f ca="1">SUM(OFFSET(Demand!$H255,0,(COLUMN(F243)-1)*5,1,1))*S$2</f>
        <v>0</v>
      </c>
      <c r="AF246" s="5">
        <f ca="1">SUM(OFFSET(Demand!$H255,0,(COLUMN(G243)-1)*5,1,1))*T$2</f>
        <v>0</v>
      </c>
      <c r="AG246" s="5">
        <f ca="1">SUM(OFFSET(Demand!$H255,0,(COLUMN(H243)-1)*5,1,1))*U$2</f>
        <v>0</v>
      </c>
      <c r="AH246" s="5">
        <f ca="1">SUM(OFFSET(Demand!$H255,0,(COLUMN(I243)-1)*5,1,1))*V$2</f>
        <v>0</v>
      </c>
      <c r="AI246" s="5">
        <f ca="1">SUM(OFFSET(Demand!$H255,0,(COLUMN(J243)-1)*5,1,1))*W$2</f>
        <v>0</v>
      </c>
      <c r="AJ246" s="5">
        <f t="shared" ca="1" si="49"/>
        <v>0</v>
      </c>
      <c r="AL246" s="5">
        <f t="shared" ca="1" si="50"/>
        <v>0</v>
      </c>
      <c r="AM246" s="5">
        <f t="shared" ca="1" si="51"/>
        <v>0</v>
      </c>
      <c r="AN246" s="5" t="str">
        <f>IF(Demand!BE255="Yes","Yes","")</f>
        <v/>
      </c>
      <c r="AP246" s="37" t="str">
        <f ca="1">Demand!B255</f>
        <v xml:space="preserve"> </v>
      </c>
      <c r="AQ246" t="str">
        <f ca="1">IF(TEXT(Demand!D255,"MMM")&lt;&gt;TEXT(Demand!D254,"MMM"),TEXT(Demand!D255,"MMM"),"")</f>
        <v/>
      </c>
      <c r="AT246" s="5">
        <f t="shared" ca="1" si="53"/>
        <v>0</v>
      </c>
      <c r="BQ246">
        <f ca="1">IF($AN246="",OFFSET(Demand!$A$13,ROW(A243)-1,4+((QUOTIENT(COLUMN(BQ$2)-69,3))*5)+MOD(COLUMN(BQ$2),3),1,1),"")</f>
        <v>0</v>
      </c>
      <c r="BR246">
        <f ca="1">IF($AN246="",OFFSET(Demand!$A$13,ROW(B243)-1,4+((QUOTIENT(COLUMN(BR$2)-69,3))*5)+MOD(COLUMN(BR$2),3),1,1),"")</f>
        <v>0</v>
      </c>
      <c r="BS246">
        <f ca="1">IF($AN246="",OFFSET(Demand!$A$13,ROW(C243)-1,4+((QUOTIENT(COLUMN(BS$2)-69,3))*5)+MOD(COLUMN(BS$2),3),1,1),"")</f>
        <v>0</v>
      </c>
      <c r="BT246">
        <f ca="1">IF($AN246="",OFFSET(Demand!$A$13,ROW(D243)-1,4+((QUOTIENT(COLUMN(BT$2)-69,3))*5)+MOD(COLUMN(BT$2),3),1,1),"")</f>
        <v>0</v>
      </c>
      <c r="BU246">
        <f ca="1">IF($AN246="",OFFSET(Demand!$A$13,ROW(E243)-1,4+((QUOTIENT(COLUMN(BU$2)-69,3))*5)+MOD(COLUMN(BU$2),3),1,1),"")</f>
        <v>0</v>
      </c>
      <c r="BV246">
        <f ca="1">IF($AN246="",OFFSET(Demand!$A$13,ROW(F243)-1,4+((QUOTIENT(COLUMN(BV$2)-69,3))*5)+MOD(COLUMN(BV$2),3),1,1),"")</f>
        <v>0</v>
      </c>
      <c r="BW246">
        <f ca="1">IF($AN246="",OFFSET(Demand!$A$13,ROW(G243)-1,4+((QUOTIENT(COLUMN(BW$2)-69,3))*5)+MOD(COLUMN(BW$2),3),1,1),"")</f>
        <v>0</v>
      </c>
      <c r="BX246">
        <f ca="1">IF($AN246="",OFFSET(Demand!$A$13,ROW(H243)-1,4+((QUOTIENT(COLUMN(BX$2)-69,3))*5)+MOD(COLUMN(BX$2),3),1,1),"")</f>
        <v>0</v>
      </c>
      <c r="BY246">
        <f ca="1">IF($AN246="",OFFSET(Demand!$A$13,ROW(I243)-1,4+((QUOTIENT(COLUMN(BY$2)-69,3))*5)+MOD(COLUMN(BY$2),3),1,1),"")</f>
        <v>0</v>
      </c>
      <c r="BZ246">
        <f ca="1">IF($AN246="",OFFSET(Demand!$A$13,ROW(J243)-1,4+((QUOTIENT(COLUMN(BZ$2)-69,3))*5)+MOD(COLUMN(BZ$2),3),1,1),"")</f>
        <v>0</v>
      </c>
      <c r="CA246">
        <f ca="1">IF($AN246="",OFFSET(Demand!$A$13,ROW(K243)-1,4+((QUOTIENT(COLUMN(CA$2)-69,3))*5)+MOD(COLUMN(CA$2),3),1,1),"")</f>
        <v>0</v>
      </c>
      <c r="CB246">
        <f ca="1">IF($AN246="",OFFSET(Demand!$A$13,ROW(L243)-1,4+((QUOTIENT(COLUMN(CB$2)-69,3))*5)+MOD(COLUMN(CB$2),3),1,1),"")</f>
        <v>0</v>
      </c>
      <c r="CC246">
        <f ca="1">IF($AN246="",OFFSET(Demand!$A$13,ROW(M243)-1,4+((QUOTIENT(COLUMN(CC$2)-69,3))*5)+MOD(COLUMN(CC$2),3),1,1),"")</f>
        <v>0</v>
      </c>
      <c r="CD246">
        <f ca="1">IF($AN246="",OFFSET(Demand!$A$13,ROW(N243)-1,4+((QUOTIENT(COLUMN(CD$2)-69,3))*5)+MOD(COLUMN(CD$2),3),1,1),"")</f>
        <v>0</v>
      </c>
      <c r="CE246">
        <f ca="1">IF($AN246="",OFFSET(Demand!$A$13,ROW(O243)-1,4+((QUOTIENT(COLUMN(CE$2)-69,3))*5)+MOD(COLUMN(CE$2),3),1,1),"")</f>
        <v>0</v>
      </c>
      <c r="CF246">
        <f ca="1">IF($AN246="",OFFSET(Demand!$A$13,ROW(P243)-1,4+((QUOTIENT(COLUMN(CF$2)-69,3))*5)+MOD(COLUMN(CF$2),3),1,1),"")</f>
        <v>0</v>
      </c>
      <c r="CG246">
        <f ca="1">IF($AN246="",OFFSET(Demand!$A$13,ROW(Q243)-1,4+((QUOTIENT(COLUMN(CG$2)-69,3))*5)+MOD(COLUMN(CG$2),3),1,1),"")</f>
        <v>0</v>
      </c>
      <c r="CH246">
        <f ca="1">IF($AN246="",OFFSET(Demand!$A$13,ROW(R243)-1,4+((QUOTIENT(COLUMN(CH$2)-69,3))*5)+MOD(COLUMN(CH$2),3),1,1),"")</f>
        <v>0</v>
      </c>
      <c r="CI246">
        <f ca="1">IF($AN246="",OFFSET(Demand!$A$13,ROW(S243)-1,4+((QUOTIENT(COLUMN(CI$2)-69,3))*5)+MOD(COLUMN(CI$2),3),1,1),"")</f>
        <v>0</v>
      </c>
      <c r="CJ246">
        <f ca="1">IF($AN246="",OFFSET(Demand!$A$13,ROW(T243)-1,4+((QUOTIENT(COLUMN(CJ$2)-69,3))*5)+MOD(COLUMN(CJ$2),3),1,1),"")</f>
        <v>0</v>
      </c>
      <c r="CK246">
        <f ca="1">IF($AN246="",OFFSET(Demand!$A$13,ROW(U243)-1,4+((QUOTIENT(COLUMN(CK$2)-69,3))*5)+MOD(COLUMN(CK$2),3),1,1),"")</f>
        <v>0</v>
      </c>
      <c r="CL246">
        <f ca="1">IF($AN246="",OFFSET(Demand!$A$13,ROW(V243)-1,4+((QUOTIENT(COLUMN(CL$2)-69,3))*5)+MOD(COLUMN(CL$2),3),1,1),"")</f>
        <v>0</v>
      </c>
      <c r="CM246">
        <f ca="1">IF($AN246="",OFFSET(Demand!$A$13,ROW(W243)-1,4+((QUOTIENT(COLUMN(CM$2)-69,3))*5)+MOD(COLUMN(CM$2),3),1,1),"")</f>
        <v>0</v>
      </c>
      <c r="CN246">
        <f ca="1">IF($AN246="",OFFSET(Demand!$A$13,ROW(X243)-1,4+((QUOTIENT(COLUMN(CN$2)-69,3))*5)+MOD(COLUMN(CN$2),3),1,1),"")</f>
        <v>0</v>
      </c>
      <c r="CO246">
        <f ca="1">IF($AN246="",OFFSET(Demand!$A$13,ROW(Y243)-1,4+((QUOTIENT(COLUMN(CO$2)-69,3))*5)+MOD(COLUMN(CO$2),3),1,1),"")</f>
        <v>0</v>
      </c>
      <c r="CP246">
        <f ca="1">IF($AN246="",OFFSET(Demand!$A$13,ROW(Z243)-1,4+((QUOTIENT(COLUMN(CP$2)-69,3))*5)+MOD(COLUMN(CP$2),3),1,1),"")</f>
        <v>0</v>
      </c>
      <c r="CQ246">
        <f ca="1">IF($AN246="",OFFSET(Demand!$A$13,ROW(AA243)-1,4+((QUOTIENT(COLUMN(CQ$2)-69,3))*5)+MOD(COLUMN(CQ$2),3),1,1),"")</f>
        <v>0</v>
      </c>
      <c r="CR246">
        <f ca="1">IF($AN246="",OFFSET(Demand!$A$13,ROW(AB243)-1,4+((QUOTIENT(COLUMN(CR$2)-69,3))*5)+MOD(COLUMN(CR$2),3),1,1),"")</f>
        <v>0</v>
      </c>
      <c r="CS246">
        <f ca="1">IF($AN246="",OFFSET(Demand!$A$13,ROW(AC243)-1,4+((QUOTIENT(COLUMN(CS$2)-69,3))*5)+MOD(COLUMN(CS$2),3),1,1),"")</f>
        <v>0</v>
      </c>
      <c r="CT246">
        <f ca="1">IF($AN246="",OFFSET(Demand!$A$13,ROW(AD243)-1,4+((QUOTIENT(COLUMN(CT$2)-69,3))*5)+MOD(COLUMN(CT$2),3),1,1),"")</f>
        <v>0</v>
      </c>
      <c r="CW246" s="5">
        <f ca="1">SUM(OFFSET(Demand!$H$43,ROW(A243)-1,(COLUMN(A243)-1)*5,1,1))*N$2</f>
        <v>0</v>
      </c>
      <c r="CX246" s="5">
        <f ca="1">SUM(OFFSET(Demand!$H$43,ROW(B243)-1,(COLUMN(B243)-1)*5,1,1))*O$2</f>
        <v>0</v>
      </c>
      <c r="CY246" s="5">
        <f ca="1">SUM(OFFSET(Demand!$H$43,ROW(C243)-1,(COLUMN(C243)-1)*5,1,1))*P$2</f>
        <v>0</v>
      </c>
      <c r="CZ246" s="5">
        <f ca="1">SUM(OFFSET(Demand!$H$43,ROW(D243)-1,(COLUMN(D243)-1)*5,1,1))*Q$2</f>
        <v>0</v>
      </c>
      <c r="DA246" s="5">
        <f ca="1">SUM(OFFSET(Demand!$H$43,ROW(E243)-1,(COLUMN(E243)-1)*5,1,1))*R$2</f>
        <v>0</v>
      </c>
      <c r="DB246" s="5">
        <f ca="1">SUM(OFFSET(Demand!$H$43,ROW(F243)-1,(COLUMN(F243)-1)*5,1,1))*S$2</f>
        <v>0</v>
      </c>
      <c r="DC246" s="5">
        <f ca="1">SUM(OFFSET(Demand!$H$43,ROW(G243)-1,(COLUMN(G243)-1)*5,1,1))*T$2</f>
        <v>0</v>
      </c>
      <c r="DD246" s="5">
        <f ca="1">SUM(OFFSET(Demand!$H$43,ROW(H243)-1,(COLUMN(H243)-1)*5,1,1))*U$2</f>
        <v>0</v>
      </c>
      <c r="DE246" s="5">
        <f ca="1">SUM(OFFSET(Demand!$H$43,ROW(I243)-1,(COLUMN(I243)-1)*5,1,1))*V$2</f>
        <v>0</v>
      </c>
      <c r="DF246" s="5">
        <f ca="1">SUM(OFFSET(Demand!$H$43,ROW(J243)-1,(COLUMN(J243)-1)*5,1,1))*W$2</f>
        <v>0</v>
      </c>
      <c r="DG246" s="5">
        <f t="shared" ca="1" si="52"/>
        <v>0</v>
      </c>
    </row>
    <row r="247" spans="1:111" x14ac:dyDescent="0.2">
      <c r="A247" s="5">
        <f t="shared" ca="1" si="46"/>
        <v>2</v>
      </c>
      <c r="B247" s="5">
        <f ca="1">COUNTBLANK(OFFSET(Demand!$I256,0,(COLUMN(A244)-1)*5,1,1))</f>
        <v>1</v>
      </c>
      <c r="C247" s="5">
        <f ca="1">COUNTBLANK(OFFSET(Demand!$I256,0,(COLUMN(B244)-1)*5,1,1))</f>
        <v>1</v>
      </c>
      <c r="D247" s="5">
        <f ca="1">COUNTBLANK(OFFSET(Demand!$I256,0,(COLUMN(C244)-1)*5,1,1))</f>
        <v>1</v>
      </c>
      <c r="E247" s="5">
        <f ca="1">COUNTBLANK(OFFSET(Demand!$I256,0,(COLUMN(D244)-1)*5,1,1))</f>
        <v>1</v>
      </c>
      <c r="F247" s="5">
        <f ca="1">COUNTBLANK(OFFSET(Demand!$I256,0,(COLUMN(E244)-1)*5,1,1))</f>
        <v>1</v>
      </c>
      <c r="G247" s="5">
        <f ca="1">COUNTBLANK(OFFSET(Demand!$I256,0,(COLUMN(F244)-1)*5,1,1))</f>
        <v>1</v>
      </c>
      <c r="H247" s="5">
        <f ca="1">COUNTBLANK(OFFSET(Demand!$I256,0,(COLUMN(G244)-1)*5,1,1))</f>
        <v>1</v>
      </c>
      <c r="I247" s="5">
        <f ca="1">COUNTBLANK(OFFSET(Demand!$I256,0,(COLUMN(H244)-1)*5,1,1))</f>
        <v>1</v>
      </c>
      <c r="J247" s="5">
        <f ca="1">COUNTBLANK(OFFSET(Demand!$I256,0,(COLUMN(I244)-1)*5,1,1))</f>
        <v>1</v>
      </c>
      <c r="K247" s="5">
        <f ca="1">COUNTBLANK(OFFSET(Demand!$I256,0,(COLUMN(J244)-1)*5,1,1))</f>
        <v>1</v>
      </c>
      <c r="N247" s="5">
        <f ca="1">SUM(OFFSET(Demand!$E256,0,(COLUMN(A244)-1)*5,1,3))*N$2</f>
        <v>0</v>
      </c>
      <c r="O247" s="5">
        <f ca="1">SUM(OFFSET(Demand!$E256,0,(COLUMN(B244)-1)*5,1,3))*O$2</f>
        <v>0</v>
      </c>
      <c r="P247" s="5">
        <f ca="1">SUM(OFFSET(Demand!$E256,0,(COLUMN(C244)-1)*5,1,3))*P$2</f>
        <v>0</v>
      </c>
      <c r="Q247" s="5">
        <f ca="1">SUM(OFFSET(Demand!$E256,0,(COLUMN(D244)-1)*5,1,3))*Q$2</f>
        <v>0</v>
      </c>
      <c r="R247" s="5">
        <f ca="1">SUM(OFFSET(Demand!$E256,0,(COLUMN(E244)-1)*5,1,3))*R$2</f>
        <v>0</v>
      </c>
      <c r="S247" s="5">
        <f ca="1">SUM(OFFSET(Demand!$E256,0,(COLUMN(F244)-1)*5,1,3))*S$2</f>
        <v>0</v>
      </c>
      <c r="T247" s="5">
        <f ca="1">SUM(OFFSET(Demand!$E256,0,(COLUMN(G244)-1)*5,1,3))*T$2</f>
        <v>0</v>
      </c>
      <c r="U247" s="5">
        <f ca="1">SUM(OFFSET(Demand!$E256,0,(COLUMN(H244)-1)*5,1,3))*U$2</f>
        <v>0</v>
      </c>
      <c r="V247" s="5">
        <f ca="1">SUM(OFFSET(Demand!$E256,0,(COLUMN(I244)-1)*5,1,3))*V$2</f>
        <v>0</v>
      </c>
      <c r="W247" s="5">
        <f ca="1">SUM(OFFSET(Demand!$E256,0,(COLUMN(J244)-1)*5,1,3))*W$2</f>
        <v>0</v>
      </c>
      <c r="X247" s="5">
        <f t="shared" ca="1" si="47"/>
        <v>0</v>
      </c>
      <c r="Y247">
        <f t="shared" ca="1" si="48"/>
        <v>0</v>
      </c>
      <c r="Z247" s="5">
        <f ca="1">SUM(OFFSET(Demand!$H256,0,(COLUMN(A244)-1)*5,1,1))*N$2</f>
        <v>0</v>
      </c>
      <c r="AA247" s="5">
        <f ca="1">SUM(OFFSET(Demand!$H256,0,(COLUMN(B244)-1)*5,1,1))*O$2</f>
        <v>0</v>
      </c>
      <c r="AB247" s="5">
        <f ca="1">SUM(OFFSET(Demand!$H256,0,(COLUMN(C244)-1)*5,1,1))*P$2</f>
        <v>0</v>
      </c>
      <c r="AC247" s="5">
        <f ca="1">SUM(OFFSET(Demand!$H256,0,(COLUMN(D244)-1)*5,1,1))*Q$2</f>
        <v>0</v>
      </c>
      <c r="AD247" s="5">
        <f ca="1">SUM(OFFSET(Demand!$H256,0,(COLUMN(E244)-1)*5,1,1))*R$2</f>
        <v>0</v>
      </c>
      <c r="AE247" s="5">
        <f ca="1">SUM(OFFSET(Demand!$H256,0,(COLUMN(F244)-1)*5,1,1))*S$2</f>
        <v>0</v>
      </c>
      <c r="AF247" s="5">
        <f ca="1">SUM(OFFSET(Demand!$H256,0,(COLUMN(G244)-1)*5,1,1))*T$2</f>
        <v>0</v>
      </c>
      <c r="AG247" s="5">
        <f ca="1">SUM(OFFSET(Demand!$H256,0,(COLUMN(H244)-1)*5,1,1))*U$2</f>
        <v>0</v>
      </c>
      <c r="AH247" s="5">
        <f ca="1">SUM(OFFSET(Demand!$H256,0,(COLUMN(I244)-1)*5,1,1))*V$2</f>
        <v>0</v>
      </c>
      <c r="AI247" s="5">
        <f ca="1">SUM(OFFSET(Demand!$H256,0,(COLUMN(J244)-1)*5,1,1))*W$2</f>
        <v>0</v>
      </c>
      <c r="AJ247" s="5">
        <f t="shared" ca="1" si="49"/>
        <v>0</v>
      </c>
      <c r="AL247" s="5">
        <f t="shared" ca="1" si="50"/>
        <v>0</v>
      </c>
      <c r="AM247" s="5">
        <f t="shared" ca="1" si="51"/>
        <v>0</v>
      </c>
      <c r="AN247" s="5" t="str">
        <f>IF(Demand!BE256="Yes","Yes","")</f>
        <v/>
      </c>
      <c r="AP247" s="37" t="str">
        <f ca="1">Demand!B256</f>
        <v xml:space="preserve"> </v>
      </c>
      <c r="AQ247" t="str">
        <f ca="1">IF(TEXT(Demand!D256,"MMM")&lt;&gt;TEXT(Demand!D255,"MMM"),TEXT(Demand!D256,"MMM"),"")</f>
        <v/>
      </c>
      <c r="AT247" s="5">
        <f t="shared" ca="1" si="53"/>
        <v>0</v>
      </c>
      <c r="BQ247">
        <f ca="1">IF($AN247="",OFFSET(Demand!$A$13,ROW(A244)-1,4+((QUOTIENT(COLUMN(BQ$2)-69,3))*5)+MOD(COLUMN(BQ$2),3),1,1),"")</f>
        <v>0</v>
      </c>
      <c r="BR247">
        <f ca="1">IF($AN247="",OFFSET(Demand!$A$13,ROW(B244)-1,4+((QUOTIENT(COLUMN(BR$2)-69,3))*5)+MOD(COLUMN(BR$2),3),1,1),"")</f>
        <v>0</v>
      </c>
      <c r="BS247">
        <f ca="1">IF($AN247="",OFFSET(Demand!$A$13,ROW(C244)-1,4+((QUOTIENT(COLUMN(BS$2)-69,3))*5)+MOD(COLUMN(BS$2),3),1,1),"")</f>
        <v>0</v>
      </c>
      <c r="BT247">
        <f ca="1">IF($AN247="",OFFSET(Demand!$A$13,ROW(D244)-1,4+((QUOTIENT(COLUMN(BT$2)-69,3))*5)+MOD(COLUMN(BT$2),3),1,1),"")</f>
        <v>0</v>
      </c>
      <c r="BU247">
        <f ca="1">IF($AN247="",OFFSET(Demand!$A$13,ROW(E244)-1,4+((QUOTIENT(COLUMN(BU$2)-69,3))*5)+MOD(COLUMN(BU$2),3),1,1),"")</f>
        <v>0</v>
      </c>
      <c r="BV247">
        <f ca="1">IF($AN247="",OFFSET(Demand!$A$13,ROW(F244)-1,4+((QUOTIENT(COLUMN(BV$2)-69,3))*5)+MOD(COLUMN(BV$2),3),1,1),"")</f>
        <v>0</v>
      </c>
      <c r="BW247">
        <f ca="1">IF($AN247="",OFFSET(Demand!$A$13,ROW(G244)-1,4+((QUOTIENT(COLUMN(BW$2)-69,3))*5)+MOD(COLUMN(BW$2),3),1,1),"")</f>
        <v>0</v>
      </c>
      <c r="BX247">
        <f ca="1">IF($AN247="",OFFSET(Demand!$A$13,ROW(H244)-1,4+((QUOTIENT(COLUMN(BX$2)-69,3))*5)+MOD(COLUMN(BX$2),3),1,1),"")</f>
        <v>0</v>
      </c>
      <c r="BY247">
        <f ca="1">IF($AN247="",OFFSET(Demand!$A$13,ROW(I244)-1,4+((QUOTIENT(COLUMN(BY$2)-69,3))*5)+MOD(COLUMN(BY$2),3),1,1),"")</f>
        <v>0</v>
      </c>
      <c r="BZ247">
        <f ca="1">IF($AN247="",OFFSET(Demand!$A$13,ROW(J244)-1,4+((QUOTIENT(COLUMN(BZ$2)-69,3))*5)+MOD(COLUMN(BZ$2),3),1,1),"")</f>
        <v>0</v>
      </c>
      <c r="CA247">
        <f ca="1">IF($AN247="",OFFSET(Demand!$A$13,ROW(K244)-1,4+((QUOTIENT(COLUMN(CA$2)-69,3))*5)+MOD(COLUMN(CA$2),3),1,1),"")</f>
        <v>0</v>
      </c>
      <c r="CB247">
        <f ca="1">IF($AN247="",OFFSET(Demand!$A$13,ROW(L244)-1,4+((QUOTIENT(COLUMN(CB$2)-69,3))*5)+MOD(COLUMN(CB$2),3),1,1),"")</f>
        <v>0</v>
      </c>
      <c r="CC247">
        <f ca="1">IF($AN247="",OFFSET(Demand!$A$13,ROW(M244)-1,4+((QUOTIENT(COLUMN(CC$2)-69,3))*5)+MOD(COLUMN(CC$2),3),1,1),"")</f>
        <v>0</v>
      </c>
      <c r="CD247">
        <f ca="1">IF($AN247="",OFFSET(Demand!$A$13,ROW(N244)-1,4+((QUOTIENT(COLUMN(CD$2)-69,3))*5)+MOD(COLUMN(CD$2),3),1,1),"")</f>
        <v>0</v>
      </c>
      <c r="CE247">
        <f ca="1">IF($AN247="",OFFSET(Demand!$A$13,ROW(O244)-1,4+((QUOTIENT(COLUMN(CE$2)-69,3))*5)+MOD(COLUMN(CE$2),3),1,1),"")</f>
        <v>0</v>
      </c>
      <c r="CF247">
        <f ca="1">IF($AN247="",OFFSET(Demand!$A$13,ROW(P244)-1,4+((QUOTIENT(COLUMN(CF$2)-69,3))*5)+MOD(COLUMN(CF$2),3),1,1),"")</f>
        <v>0</v>
      </c>
      <c r="CG247">
        <f ca="1">IF($AN247="",OFFSET(Demand!$A$13,ROW(Q244)-1,4+((QUOTIENT(COLUMN(CG$2)-69,3))*5)+MOD(COLUMN(CG$2),3),1,1),"")</f>
        <v>0</v>
      </c>
      <c r="CH247">
        <f ca="1">IF($AN247="",OFFSET(Demand!$A$13,ROW(R244)-1,4+((QUOTIENT(COLUMN(CH$2)-69,3))*5)+MOD(COLUMN(CH$2),3),1,1),"")</f>
        <v>0</v>
      </c>
      <c r="CI247">
        <f ca="1">IF($AN247="",OFFSET(Demand!$A$13,ROW(S244)-1,4+((QUOTIENT(COLUMN(CI$2)-69,3))*5)+MOD(COLUMN(CI$2),3),1,1),"")</f>
        <v>0</v>
      </c>
      <c r="CJ247">
        <f ca="1">IF($AN247="",OFFSET(Demand!$A$13,ROW(T244)-1,4+((QUOTIENT(COLUMN(CJ$2)-69,3))*5)+MOD(COLUMN(CJ$2),3),1,1),"")</f>
        <v>0</v>
      </c>
      <c r="CK247">
        <f ca="1">IF($AN247="",OFFSET(Demand!$A$13,ROW(U244)-1,4+((QUOTIENT(COLUMN(CK$2)-69,3))*5)+MOD(COLUMN(CK$2),3),1,1),"")</f>
        <v>0</v>
      </c>
      <c r="CL247">
        <f ca="1">IF($AN247="",OFFSET(Demand!$A$13,ROW(V244)-1,4+((QUOTIENT(COLUMN(CL$2)-69,3))*5)+MOD(COLUMN(CL$2),3),1,1),"")</f>
        <v>0</v>
      </c>
      <c r="CM247">
        <f ca="1">IF($AN247="",OFFSET(Demand!$A$13,ROW(W244)-1,4+((QUOTIENT(COLUMN(CM$2)-69,3))*5)+MOD(COLUMN(CM$2),3),1,1),"")</f>
        <v>0</v>
      </c>
      <c r="CN247">
        <f ca="1">IF($AN247="",OFFSET(Demand!$A$13,ROW(X244)-1,4+((QUOTIENT(COLUMN(CN$2)-69,3))*5)+MOD(COLUMN(CN$2),3),1,1),"")</f>
        <v>0</v>
      </c>
      <c r="CO247">
        <f ca="1">IF($AN247="",OFFSET(Demand!$A$13,ROW(Y244)-1,4+((QUOTIENT(COLUMN(CO$2)-69,3))*5)+MOD(COLUMN(CO$2),3),1,1),"")</f>
        <v>0</v>
      </c>
      <c r="CP247">
        <f ca="1">IF($AN247="",OFFSET(Demand!$A$13,ROW(Z244)-1,4+((QUOTIENT(COLUMN(CP$2)-69,3))*5)+MOD(COLUMN(CP$2),3),1,1),"")</f>
        <v>0</v>
      </c>
      <c r="CQ247">
        <f ca="1">IF($AN247="",OFFSET(Demand!$A$13,ROW(AA244)-1,4+((QUOTIENT(COLUMN(CQ$2)-69,3))*5)+MOD(COLUMN(CQ$2),3),1,1),"")</f>
        <v>0</v>
      </c>
      <c r="CR247">
        <f ca="1">IF($AN247="",OFFSET(Demand!$A$13,ROW(AB244)-1,4+((QUOTIENT(COLUMN(CR$2)-69,3))*5)+MOD(COLUMN(CR$2),3),1,1),"")</f>
        <v>0</v>
      </c>
      <c r="CS247">
        <f ca="1">IF($AN247="",OFFSET(Demand!$A$13,ROW(AC244)-1,4+((QUOTIENT(COLUMN(CS$2)-69,3))*5)+MOD(COLUMN(CS$2),3),1,1),"")</f>
        <v>0</v>
      </c>
      <c r="CT247">
        <f ca="1">IF($AN247="",OFFSET(Demand!$A$13,ROW(AD244)-1,4+((QUOTIENT(COLUMN(CT$2)-69,3))*5)+MOD(COLUMN(CT$2),3),1,1),"")</f>
        <v>0</v>
      </c>
      <c r="CW247" s="5">
        <f ca="1">SUM(OFFSET(Demand!$H$43,ROW(A244)-1,(COLUMN(A244)-1)*5,1,1))*N$2</f>
        <v>0</v>
      </c>
      <c r="CX247" s="5">
        <f ca="1">SUM(OFFSET(Demand!$H$43,ROW(B244)-1,(COLUMN(B244)-1)*5,1,1))*O$2</f>
        <v>0</v>
      </c>
      <c r="CY247" s="5">
        <f ca="1">SUM(OFFSET(Demand!$H$43,ROW(C244)-1,(COLUMN(C244)-1)*5,1,1))*P$2</f>
        <v>0</v>
      </c>
      <c r="CZ247" s="5">
        <f ca="1">SUM(OFFSET(Demand!$H$43,ROW(D244)-1,(COLUMN(D244)-1)*5,1,1))*Q$2</f>
        <v>0</v>
      </c>
      <c r="DA247" s="5">
        <f ca="1">SUM(OFFSET(Demand!$H$43,ROW(E244)-1,(COLUMN(E244)-1)*5,1,1))*R$2</f>
        <v>0</v>
      </c>
      <c r="DB247" s="5">
        <f ca="1">SUM(OFFSET(Demand!$H$43,ROW(F244)-1,(COLUMN(F244)-1)*5,1,1))*S$2</f>
        <v>0</v>
      </c>
      <c r="DC247" s="5">
        <f ca="1">SUM(OFFSET(Demand!$H$43,ROW(G244)-1,(COLUMN(G244)-1)*5,1,1))*T$2</f>
        <v>0</v>
      </c>
      <c r="DD247" s="5">
        <f ca="1">SUM(OFFSET(Demand!$H$43,ROW(H244)-1,(COLUMN(H244)-1)*5,1,1))*U$2</f>
        <v>0</v>
      </c>
      <c r="DE247" s="5">
        <f ca="1">SUM(OFFSET(Demand!$H$43,ROW(I244)-1,(COLUMN(I244)-1)*5,1,1))*V$2</f>
        <v>0</v>
      </c>
      <c r="DF247" s="5">
        <f ca="1">SUM(OFFSET(Demand!$H$43,ROW(J244)-1,(COLUMN(J244)-1)*5,1,1))*W$2</f>
        <v>0</v>
      </c>
      <c r="DG247" s="5">
        <f t="shared" ca="1" si="52"/>
        <v>0</v>
      </c>
    </row>
    <row r="248" spans="1:111" x14ac:dyDescent="0.2">
      <c r="A248" s="5">
        <f t="shared" ref="A248:A252" ca="1" si="54">SUM(OFFSET(B248,0,0,1,Num_Modalities))</f>
        <v>2</v>
      </c>
      <c r="B248" s="5">
        <f ca="1">COUNTBLANK(OFFSET(Demand!$I257,0,(COLUMN(A245)-1)*5,1,1))</f>
        <v>1</v>
      </c>
      <c r="C248" s="5">
        <f ca="1">COUNTBLANK(OFFSET(Demand!$I257,0,(COLUMN(B245)-1)*5,1,1))</f>
        <v>1</v>
      </c>
      <c r="D248" s="5">
        <f ca="1">COUNTBLANK(OFFSET(Demand!$I257,0,(COLUMN(C245)-1)*5,1,1))</f>
        <v>1</v>
      </c>
      <c r="E248" s="5">
        <f ca="1">COUNTBLANK(OFFSET(Demand!$I257,0,(COLUMN(D245)-1)*5,1,1))</f>
        <v>1</v>
      </c>
      <c r="F248" s="5">
        <f ca="1">COUNTBLANK(OFFSET(Demand!$I257,0,(COLUMN(E245)-1)*5,1,1))</f>
        <v>1</v>
      </c>
      <c r="G248" s="5">
        <f ca="1">COUNTBLANK(OFFSET(Demand!$I257,0,(COLUMN(F245)-1)*5,1,1))</f>
        <v>1</v>
      </c>
      <c r="H248" s="5">
        <f ca="1">COUNTBLANK(OFFSET(Demand!$I257,0,(COLUMN(G245)-1)*5,1,1))</f>
        <v>1</v>
      </c>
      <c r="I248" s="5">
        <f ca="1">COUNTBLANK(OFFSET(Demand!$I257,0,(COLUMN(H245)-1)*5,1,1))</f>
        <v>1</v>
      </c>
      <c r="J248" s="5">
        <f ca="1">COUNTBLANK(OFFSET(Demand!$I257,0,(COLUMN(I245)-1)*5,1,1))</f>
        <v>1</v>
      </c>
      <c r="K248" s="5">
        <f ca="1">COUNTBLANK(OFFSET(Demand!$I257,0,(COLUMN(J245)-1)*5,1,1))</f>
        <v>1</v>
      </c>
      <c r="N248" s="5">
        <f ca="1">SUM(OFFSET(Demand!$E257,0,(COLUMN(A245)-1)*5,1,3))*N$2</f>
        <v>0</v>
      </c>
      <c r="O248" s="5">
        <f ca="1">SUM(OFFSET(Demand!$E257,0,(COLUMN(B245)-1)*5,1,3))*O$2</f>
        <v>0</v>
      </c>
      <c r="P248" s="5">
        <f ca="1">SUM(OFFSET(Demand!$E257,0,(COLUMN(C245)-1)*5,1,3))*P$2</f>
        <v>0</v>
      </c>
      <c r="Q248" s="5">
        <f ca="1">SUM(OFFSET(Demand!$E257,0,(COLUMN(D245)-1)*5,1,3))*Q$2</f>
        <v>0</v>
      </c>
      <c r="R248" s="5">
        <f ca="1">SUM(OFFSET(Demand!$E257,0,(COLUMN(E245)-1)*5,1,3))*R$2</f>
        <v>0</v>
      </c>
      <c r="S248" s="5">
        <f ca="1">SUM(OFFSET(Demand!$E257,0,(COLUMN(F245)-1)*5,1,3))*S$2</f>
        <v>0</v>
      </c>
      <c r="T248" s="5">
        <f ca="1">SUM(OFFSET(Demand!$E257,0,(COLUMN(G245)-1)*5,1,3))*T$2</f>
        <v>0</v>
      </c>
      <c r="U248" s="5">
        <f ca="1">SUM(OFFSET(Demand!$E257,0,(COLUMN(H245)-1)*5,1,3))*U$2</f>
        <v>0</v>
      </c>
      <c r="V248" s="5">
        <f ca="1">SUM(OFFSET(Demand!$E257,0,(COLUMN(I245)-1)*5,1,3))*V$2</f>
        <v>0</v>
      </c>
      <c r="W248" s="5">
        <f ca="1">SUM(OFFSET(Demand!$E257,0,(COLUMN(J245)-1)*5,1,3))*W$2</f>
        <v>0</v>
      </c>
      <c r="X248" s="5">
        <f t="shared" ca="1" si="47"/>
        <v>0</v>
      </c>
      <c r="Y248">
        <f t="shared" ca="1" si="48"/>
        <v>0</v>
      </c>
      <c r="Z248" s="5">
        <f ca="1">SUM(OFFSET(Demand!$H257,0,(COLUMN(A245)-1)*5,1,1))*N$2</f>
        <v>0</v>
      </c>
      <c r="AA248" s="5">
        <f ca="1">SUM(OFFSET(Demand!$H257,0,(COLUMN(B245)-1)*5,1,1))*O$2</f>
        <v>0</v>
      </c>
      <c r="AB248" s="5">
        <f ca="1">SUM(OFFSET(Demand!$H257,0,(COLUMN(C245)-1)*5,1,1))*P$2</f>
        <v>0</v>
      </c>
      <c r="AC248" s="5">
        <f ca="1">SUM(OFFSET(Demand!$H257,0,(COLUMN(D245)-1)*5,1,1))*Q$2</f>
        <v>0</v>
      </c>
      <c r="AD248" s="5">
        <f ca="1">SUM(OFFSET(Demand!$H257,0,(COLUMN(E245)-1)*5,1,1))*R$2</f>
        <v>0</v>
      </c>
      <c r="AE248" s="5">
        <f ca="1">SUM(OFFSET(Demand!$H257,0,(COLUMN(F245)-1)*5,1,1))*S$2</f>
        <v>0</v>
      </c>
      <c r="AF248" s="5">
        <f ca="1">SUM(OFFSET(Demand!$H257,0,(COLUMN(G245)-1)*5,1,1))*T$2</f>
        <v>0</v>
      </c>
      <c r="AG248" s="5">
        <f ca="1">SUM(OFFSET(Demand!$H257,0,(COLUMN(H245)-1)*5,1,1))*U$2</f>
        <v>0</v>
      </c>
      <c r="AH248" s="5">
        <f ca="1">SUM(OFFSET(Demand!$H257,0,(COLUMN(I245)-1)*5,1,1))*V$2</f>
        <v>0</v>
      </c>
      <c r="AI248" s="5">
        <f ca="1">SUM(OFFSET(Demand!$H257,0,(COLUMN(J245)-1)*5,1,1))*W$2</f>
        <v>0</v>
      </c>
      <c r="AJ248" s="5">
        <f t="shared" ca="1" si="49"/>
        <v>0</v>
      </c>
      <c r="AL248" s="5">
        <f t="shared" ca="1" si="50"/>
        <v>0</v>
      </c>
      <c r="AM248" s="5">
        <f t="shared" ca="1" si="51"/>
        <v>0</v>
      </c>
      <c r="AN248" s="5" t="str">
        <f>IF(Demand!BE257="Yes","Yes","")</f>
        <v/>
      </c>
      <c r="AP248" s="37" t="str">
        <f ca="1">Demand!B257</f>
        <v xml:space="preserve"> </v>
      </c>
      <c r="AQ248" t="str">
        <f ca="1">IF(TEXT(Demand!D257,"MMM")&lt;&gt;TEXT(Demand!D256,"MMM"),TEXT(Demand!D257,"MMM"),"")</f>
        <v/>
      </c>
      <c r="AT248" s="5">
        <f t="shared" ca="1" si="53"/>
        <v>0</v>
      </c>
      <c r="BQ248">
        <f ca="1">IF($AN248="",OFFSET(Demand!$A$13,ROW(A245)-1,4+((QUOTIENT(COLUMN(BQ$2)-69,3))*5)+MOD(COLUMN(BQ$2),3),1,1),"")</f>
        <v>0</v>
      </c>
      <c r="BR248">
        <f ca="1">IF($AN248="",OFFSET(Demand!$A$13,ROW(B245)-1,4+((QUOTIENT(COLUMN(BR$2)-69,3))*5)+MOD(COLUMN(BR$2),3),1,1),"")</f>
        <v>0</v>
      </c>
      <c r="BS248">
        <f ca="1">IF($AN248="",OFFSET(Demand!$A$13,ROW(C245)-1,4+((QUOTIENT(COLUMN(BS$2)-69,3))*5)+MOD(COLUMN(BS$2),3),1,1),"")</f>
        <v>0</v>
      </c>
      <c r="BT248">
        <f ca="1">IF($AN248="",OFFSET(Demand!$A$13,ROW(D245)-1,4+((QUOTIENT(COLUMN(BT$2)-69,3))*5)+MOD(COLUMN(BT$2),3),1,1),"")</f>
        <v>0</v>
      </c>
      <c r="BU248">
        <f ca="1">IF($AN248="",OFFSET(Demand!$A$13,ROW(E245)-1,4+((QUOTIENT(COLUMN(BU$2)-69,3))*5)+MOD(COLUMN(BU$2),3),1,1),"")</f>
        <v>0</v>
      </c>
      <c r="BV248">
        <f ca="1">IF($AN248="",OFFSET(Demand!$A$13,ROW(F245)-1,4+((QUOTIENT(COLUMN(BV$2)-69,3))*5)+MOD(COLUMN(BV$2),3),1,1),"")</f>
        <v>0</v>
      </c>
      <c r="BW248">
        <f ca="1">IF($AN248="",OFFSET(Demand!$A$13,ROW(G245)-1,4+((QUOTIENT(COLUMN(BW$2)-69,3))*5)+MOD(COLUMN(BW$2),3),1,1),"")</f>
        <v>0</v>
      </c>
      <c r="BX248">
        <f ca="1">IF($AN248="",OFFSET(Demand!$A$13,ROW(H245)-1,4+((QUOTIENT(COLUMN(BX$2)-69,3))*5)+MOD(COLUMN(BX$2),3),1,1),"")</f>
        <v>0</v>
      </c>
      <c r="BY248">
        <f ca="1">IF($AN248="",OFFSET(Demand!$A$13,ROW(I245)-1,4+((QUOTIENT(COLUMN(BY$2)-69,3))*5)+MOD(COLUMN(BY$2),3),1,1),"")</f>
        <v>0</v>
      </c>
      <c r="BZ248">
        <f ca="1">IF($AN248="",OFFSET(Demand!$A$13,ROW(J245)-1,4+((QUOTIENT(COLUMN(BZ$2)-69,3))*5)+MOD(COLUMN(BZ$2),3),1,1),"")</f>
        <v>0</v>
      </c>
      <c r="CA248">
        <f ca="1">IF($AN248="",OFFSET(Demand!$A$13,ROW(K245)-1,4+((QUOTIENT(COLUMN(CA$2)-69,3))*5)+MOD(COLUMN(CA$2),3),1,1),"")</f>
        <v>0</v>
      </c>
      <c r="CB248">
        <f ca="1">IF($AN248="",OFFSET(Demand!$A$13,ROW(L245)-1,4+((QUOTIENT(COLUMN(CB$2)-69,3))*5)+MOD(COLUMN(CB$2),3),1,1),"")</f>
        <v>0</v>
      </c>
      <c r="CC248">
        <f ca="1">IF($AN248="",OFFSET(Demand!$A$13,ROW(M245)-1,4+((QUOTIENT(COLUMN(CC$2)-69,3))*5)+MOD(COLUMN(CC$2),3),1,1),"")</f>
        <v>0</v>
      </c>
      <c r="CD248">
        <f ca="1">IF($AN248="",OFFSET(Demand!$A$13,ROW(N245)-1,4+((QUOTIENT(COLUMN(CD$2)-69,3))*5)+MOD(COLUMN(CD$2),3),1,1),"")</f>
        <v>0</v>
      </c>
      <c r="CE248">
        <f ca="1">IF($AN248="",OFFSET(Demand!$A$13,ROW(O245)-1,4+((QUOTIENT(COLUMN(CE$2)-69,3))*5)+MOD(COLUMN(CE$2),3),1,1),"")</f>
        <v>0</v>
      </c>
      <c r="CF248">
        <f ca="1">IF($AN248="",OFFSET(Demand!$A$13,ROW(P245)-1,4+((QUOTIENT(COLUMN(CF$2)-69,3))*5)+MOD(COLUMN(CF$2),3),1,1),"")</f>
        <v>0</v>
      </c>
      <c r="CG248">
        <f ca="1">IF($AN248="",OFFSET(Demand!$A$13,ROW(Q245)-1,4+((QUOTIENT(COLUMN(CG$2)-69,3))*5)+MOD(COLUMN(CG$2),3),1,1),"")</f>
        <v>0</v>
      </c>
      <c r="CH248">
        <f ca="1">IF($AN248="",OFFSET(Demand!$A$13,ROW(R245)-1,4+((QUOTIENT(COLUMN(CH$2)-69,3))*5)+MOD(COLUMN(CH$2),3),1,1),"")</f>
        <v>0</v>
      </c>
      <c r="CI248">
        <f ca="1">IF($AN248="",OFFSET(Demand!$A$13,ROW(S245)-1,4+((QUOTIENT(COLUMN(CI$2)-69,3))*5)+MOD(COLUMN(CI$2),3),1,1),"")</f>
        <v>0</v>
      </c>
      <c r="CJ248">
        <f ca="1">IF($AN248="",OFFSET(Demand!$A$13,ROW(T245)-1,4+((QUOTIENT(COLUMN(CJ$2)-69,3))*5)+MOD(COLUMN(CJ$2),3),1,1),"")</f>
        <v>0</v>
      </c>
      <c r="CK248">
        <f ca="1">IF($AN248="",OFFSET(Demand!$A$13,ROW(U245)-1,4+((QUOTIENT(COLUMN(CK$2)-69,3))*5)+MOD(COLUMN(CK$2),3),1,1),"")</f>
        <v>0</v>
      </c>
      <c r="CL248">
        <f ca="1">IF($AN248="",OFFSET(Demand!$A$13,ROW(V245)-1,4+((QUOTIENT(COLUMN(CL$2)-69,3))*5)+MOD(COLUMN(CL$2),3),1,1),"")</f>
        <v>0</v>
      </c>
      <c r="CM248">
        <f ca="1">IF($AN248="",OFFSET(Demand!$A$13,ROW(W245)-1,4+((QUOTIENT(COLUMN(CM$2)-69,3))*5)+MOD(COLUMN(CM$2),3),1,1),"")</f>
        <v>0</v>
      </c>
      <c r="CN248">
        <f ca="1">IF($AN248="",OFFSET(Demand!$A$13,ROW(X245)-1,4+((QUOTIENT(COLUMN(CN$2)-69,3))*5)+MOD(COLUMN(CN$2),3),1,1),"")</f>
        <v>0</v>
      </c>
      <c r="CO248">
        <f ca="1">IF($AN248="",OFFSET(Demand!$A$13,ROW(Y245)-1,4+((QUOTIENT(COLUMN(CO$2)-69,3))*5)+MOD(COLUMN(CO$2),3),1,1),"")</f>
        <v>0</v>
      </c>
      <c r="CP248">
        <f ca="1">IF($AN248="",OFFSET(Demand!$A$13,ROW(Z245)-1,4+((QUOTIENT(COLUMN(CP$2)-69,3))*5)+MOD(COLUMN(CP$2),3),1,1),"")</f>
        <v>0</v>
      </c>
      <c r="CQ248">
        <f ca="1">IF($AN248="",OFFSET(Demand!$A$13,ROW(AA245)-1,4+((QUOTIENT(COLUMN(CQ$2)-69,3))*5)+MOD(COLUMN(CQ$2),3),1,1),"")</f>
        <v>0</v>
      </c>
      <c r="CR248">
        <f ca="1">IF($AN248="",OFFSET(Demand!$A$13,ROW(AB245)-1,4+((QUOTIENT(COLUMN(CR$2)-69,3))*5)+MOD(COLUMN(CR$2),3),1,1),"")</f>
        <v>0</v>
      </c>
      <c r="CS248">
        <f ca="1">IF($AN248="",OFFSET(Demand!$A$13,ROW(AC245)-1,4+((QUOTIENT(COLUMN(CS$2)-69,3))*5)+MOD(COLUMN(CS$2),3),1,1),"")</f>
        <v>0</v>
      </c>
      <c r="CT248">
        <f ca="1">IF($AN248="",OFFSET(Demand!$A$13,ROW(AD245)-1,4+((QUOTIENT(COLUMN(CT$2)-69,3))*5)+MOD(COLUMN(CT$2),3),1,1),"")</f>
        <v>0</v>
      </c>
      <c r="CW248" s="5">
        <f ca="1">SUM(OFFSET(Demand!$H$43,ROW(A245)-1,(COLUMN(A245)-1)*5,1,1))*N$2</f>
        <v>0</v>
      </c>
      <c r="CX248" s="5">
        <f ca="1">SUM(OFFSET(Demand!$H$43,ROW(B245)-1,(COLUMN(B245)-1)*5,1,1))*O$2</f>
        <v>0</v>
      </c>
      <c r="CY248" s="5">
        <f ca="1">SUM(OFFSET(Demand!$H$43,ROW(C245)-1,(COLUMN(C245)-1)*5,1,1))*P$2</f>
        <v>0</v>
      </c>
      <c r="CZ248" s="5">
        <f ca="1">SUM(OFFSET(Demand!$H$43,ROW(D245)-1,(COLUMN(D245)-1)*5,1,1))*Q$2</f>
        <v>0</v>
      </c>
      <c r="DA248" s="5">
        <f ca="1">SUM(OFFSET(Demand!$H$43,ROW(E245)-1,(COLUMN(E245)-1)*5,1,1))*R$2</f>
        <v>0</v>
      </c>
      <c r="DB248" s="5">
        <f ca="1">SUM(OFFSET(Demand!$H$43,ROW(F245)-1,(COLUMN(F245)-1)*5,1,1))*S$2</f>
        <v>0</v>
      </c>
      <c r="DC248" s="5">
        <f ca="1">SUM(OFFSET(Demand!$H$43,ROW(G245)-1,(COLUMN(G245)-1)*5,1,1))*T$2</f>
        <v>0</v>
      </c>
      <c r="DD248" s="5">
        <f ca="1">SUM(OFFSET(Demand!$H$43,ROW(H245)-1,(COLUMN(H245)-1)*5,1,1))*U$2</f>
        <v>0</v>
      </c>
      <c r="DE248" s="5">
        <f ca="1">SUM(OFFSET(Demand!$H$43,ROW(I245)-1,(COLUMN(I245)-1)*5,1,1))*V$2</f>
        <v>0</v>
      </c>
      <c r="DF248" s="5">
        <f ca="1">SUM(OFFSET(Demand!$H$43,ROW(J245)-1,(COLUMN(J245)-1)*5,1,1))*W$2</f>
        <v>0</v>
      </c>
      <c r="DG248" s="5">
        <f t="shared" ca="1" si="52"/>
        <v>0</v>
      </c>
    </row>
    <row r="249" spans="1:111" x14ac:dyDescent="0.2">
      <c r="A249" s="5">
        <f t="shared" ca="1" si="54"/>
        <v>2</v>
      </c>
      <c r="B249" s="5">
        <f ca="1">COUNTBLANK(OFFSET(Demand!$I258,0,(COLUMN(A246)-1)*5,1,1))</f>
        <v>1</v>
      </c>
      <c r="C249" s="5">
        <f ca="1">COUNTBLANK(OFFSET(Demand!$I258,0,(COLUMN(B246)-1)*5,1,1))</f>
        <v>1</v>
      </c>
      <c r="D249" s="5">
        <f ca="1">COUNTBLANK(OFFSET(Demand!$I258,0,(COLUMN(C246)-1)*5,1,1))</f>
        <v>1</v>
      </c>
      <c r="E249" s="5">
        <f ca="1">COUNTBLANK(OFFSET(Demand!$I258,0,(COLUMN(D246)-1)*5,1,1))</f>
        <v>1</v>
      </c>
      <c r="F249" s="5">
        <f ca="1">COUNTBLANK(OFFSET(Demand!$I258,0,(COLUMN(E246)-1)*5,1,1))</f>
        <v>1</v>
      </c>
      <c r="G249" s="5">
        <f ca="1">COUNTBLANK(OFFSET(Demand!$I258,0,(COLUMN(F246)-1)*5,1,1))</f>
        <v>1</v>
      </c>
      <c r="H249" s="5">
        <f ca="1">COUNTBLANK(OFFSET(Demand!$I258,0,(COLUMN(G246)-1)*5,1,1))</f>
        <v>1</v>
      </c>
      <c r="I249" s="5">
        <f ca="1">COUNTBLANK(OFFSET(Demand!$I258,0,(COLUMN(H246)-1)*5,1,1))</f>
        <v>1</v>
      </c>
      <c r="J249" s="5">
        <f ca="1">COUNTBLANK(OFFSET(Demand!$I258,0,(COLUMN(I246)-1)*5,1,1))</f>
        <v>1</v>
      </c>
      <c r="K249" s="5">
        <f ca="1">COUNTBLANK(OFFSET(Demand!$I258,0,(COLUMN(J246)-1)*5,1,1))</f>
        <v>1</v>
      </c>
      <c r="N249" s="5">
        <f ca="1">SUM(OFFSET(Demand!$E258,0,(COLUMN(A246)-1)*5,1,3))*N$2</f>
        <v>0</v>
      </c>
      <c r="O249" s="5">
        <f ca="1">SUM(OFFSET(Demand!$E258,0,(COLUMN(B246)-1)*5,1,3))*O$2</f>
        <v>0</v>
      </c>
      <c r="P249" s="5">
        <f ca="1">SUM(OFFSET(Demand!$E258,0,(COLUMN(C246)-1)*5,1,3))*P$2</f>
        <v>0</v>
      </c>
      <c r="Q249" s="5">
        <f ca="1">SUM(OFFSET(Demand!$E258,0,(COLUMN(D246)-1)*5,1,3))*Q$2</f>
        <v>0</v>
      </c>
      <c r="R249" s="5">
        <f ca="1">SUM(OFFSET(Demand!$E258,0,(COLUMN(E246)-1)*5,1,3))*R$2</f>
        <v>0</v>
      </c>
      <c r="S249" s="5">
        <f ca="1">SUM(OFFSET(Demand!$E258,0,(COLUMN(F246)-1)*5,1,3))*S$2</f>
        <v>0</v>
      </c>
      <c r="T249" s="5">
        <f ca="1">SUM(OFFSET(Demand!$E258,0,(COLUMN(G246)-1)*5,1,3))*T$2</f>
        <v>0</v>
      </c>
      <c r="U249" s="5">
        <f ca="1">SUM(OFFSET(Demand!$E258,0,(COLUMN(H246)-1)*5,1,3))*U$2</f>
        <v>0</v>
      </c>
      <c r="V249" s="5">
        <f ca="1">SUM(OFFSET(Demand!$E258,0,(COLUMN(I246)-1)*5,1,3))*V$2</f>
        <v>0</v>
      </c>
      <c r="W249" s="5">
        <f ca="1">SUM(OFFSET(Demand!$E258,0,(COLUMN(J246)-1)*5,1,3))*W$2</f>
        <v>0</v>
      </c>
      <c r="X249" s="5">
        <f t="shared" ca="1" si="47"/>
        <v>0</v>
      </c>
      <c r="Y249">
        <f t="shared" ca="1" si="48"/>
        <v>0</v>
      </c>
      <c r="Z249" s="5">
        <f ca="1">SUM(OFFSET(Demand!$H258,0,(COLUMN(A246)-1)*5,1,1))*N$2</f>
        <v>0</v>
      </c>
      <c r="AA249" s="5">
        <f ca="1">SUM(OFFSET(Demand!$H258,0,(COLUMN(B246)-1)*5,1,1))*O$2</f>
        <v>0</v>
      </c>
      <c r="AB249" s="5">
        <f ca="1">SUM(OFFSET(Demand!$H258,0,(COLUMN(C246)-1)*5,1,1))*P$2</f>
        <v>0</v>
      </c>
      <c r="AC249" s="5">
        <f ca="1">SUM(OFFSET(Demand!$H258,0,(COLUMN(D246)-1)*5,1,1))*Q$2</f>
        <v>0</v>
      </c>
      <c r="AD249" s="5">
        <f ca="1">SUM(OFFSET(Demand!$H258,0,(COLUMN(E246)-1)*5,1,1))*R$2</f>
        <v>0</v>
      </c>
      <c r="AE249" s="5">
        <f ca="1">SUM(OFFSET(Demand!$H258,0,(COLUMN(F246)-1)*5,1,1))*S$2</f>
        <v>0</v>
      </c>
      <c r="AF249" s="5">
        <f ca="1">SUM(OFFSET(Demand!$H258,0,(COLUMN(G246)-1)*5,1,1))*T$2</f>
        <v>0</v>
      </c>
      <c r="AG249" s="5">
        <f ca="1">SUM(OFFSET(Demand!$H258,0,(COLUMN(H246)-1)*5,1,1))*U$2</f>
        <v>0</v>
      </c>
      <c r="AH249" s="5">
        <f ca="1">SUM(OFFSET(Demand!$H258,0,(COLUMN(I246)-1)*5,1,1))*V$2</f>
        <v>0</v>
      </c>
      <c r="AI249" s="5">
        <f ca="1">SUM(OFFSET(Demand!$H258,0,(COLUMN(J246)-1)*5,1,1))*W$2</f>
        <v>0</v>
      </c>
      <c r="AJ249" s="5">
        <f t="shared" ca="1" si="49"/>
        <v>0</v>
      </c>
      <c r="AL249" s="5">
        <f t="shared" ca="1" si="50"/>
        <v>0</v>
      </c>
      <c r="AM249" s="5">
        <f t="shared" ca="1" si="51"/>
        <v>0</v>
      </c>
      <c r="AN249" s="5" t="str">
        <f>IF(Demand!BE258="Yes","Yes","")</f>
        <v/>
      </c>
      <c r="AP249" s="37" t="str">
        <f ca="1">Demand!B258</f>
        <v xml:space="preserve"> </v>
      </c>
      <c r="AQ249" t="str">
        <f ca="1">IF(TEXT(Demand!D258,"MMM")&lt;&gt;TEXT(Demand!D257,"MMM"),TEXT(Demand!D258,"MMM"),"")</f>
        <v/>
      </c>
      <c r="AT249" s="5">
        <f t="shared" ca="1" si="53"/>
        <v>0</v>
      </c>
      <c r="BQ249">
        <f ca="1">IF($AN249="",OFFSET(Demand!$A$13,ROW(A246)-1,4+((QUOTIENT(COLUMN(BQ$2)-69,3))*5)+MOD(COLUMN(BQ$2),3),1,1),"")</f>
        <v>0</v>
      </c>
      <c r="BR249">
        <f ca="1">IF($AN249="",OFFSET(Demand!$A$13,ROW(B246)-1,4+((QUOTIENT(COLUMN(BR$2)-69,3))*5)+MOD(COLUMN(BR$2),3),1,1),"")</f>
        <v>0</v>
      </c>
      <c r="BS249">
        <f ca="1">IF($AN249="",OFFSET(Demand!$A$13,ROW(C246)-1,4+((QUOTIENT(COLUMN(BS$2)-69,3))*5)+MOD(COLUMN(BS$2),3),1,1),"")</f>
        <v>0</v>
      </c>
      <c r="BT249">
        <f ca="1">IF($AN249="",OFFSET(Demand!$A$13,ROW(D246)-1,4+((QUOTIENT(COLUMN(BT$2)-69,3))*5)+MOD(COLUMN(BT$2),3),1,1),"")</f>
        <v>0</v>
      </c>
      <c r="BU249">
        <f ca="1">IF($AN249="",OFFSET(Demand!$A$13,ROW(E246)-1,4+((QUOTIENT(COLUMN(BU$2)-69,3))*5)+MOD(COLUMN(BU$2),3),1,1),"")</f>
        <v>0</v>
      </c>
      <c r="BV249">
        <f ca="1">IF($AN249="",OFFSET(Demand!$A$13,ROW(F246)-1,4+((QUOTIENT(COLUMN(BV$2)-69,3))*5)+MOD(COLUMN(BV$2),3),1,1),"")</f>
        <v>0</v>
      </c>
      <c r="BW249">
        <f ca="1">IF($AN249="",OFFSET(Demand!$A$13,ROW(G246)-1,4+((QUOTIENT(COLUMN(BW$2)-69,3))*5)+MOD(COLUMN(BW$2),3),1,1),"")</f>
        <v>0</v>
      </c>
      <c r="BX249">
        <f ca="1">IF($AN249="",OFFSET(Demand!$A$13,ROW(H246)-1,4+((QUOTIENT(COLUMN(BX$2)-69,3))*5)+MOD(COLUMN(BX$2),3),1,1),"")</f>
        <v>0</v>
      </c>
      <c r="BY249">
        <f ca="1">IF($AN249="",OFFSET(Demand!$A$13,ROW(I246)-1,4+((QUOTIENT(COLUMN(BY$2)-69,3))*5)+MOD(COLUMN(BY$2),3),1,1),"")</f>
        <v>0</v>
      </c>
      <c r="BZ249">
        <f ca="1">IF($AN249="",OFFSET(Demand!$A$13,ROW(J246)-1,4+((QUOTIENT(COLUMN(BZ$2)-69,3))*5)+MOD(COLUMN(BZ$2),3),1,1),"")</f>
        <v>0</v>
      </c>
      <c r="CA249">
        <f ca="1">IF($AN249="",OFFSET(Demand!$A$13,ROW(K246)-1,4+((QUOTIENT(COLUMN(CA$2)-69,3))*5)+MOD(COLUMN(CA$2),3),1,1),"")</f>
        <v>0</v>
      </c>
      <c r="CB249">
        <f ca="1">IF($AN249="",OFFSET(Demand!$A$13,ROW(L246)-1,4+((QUOTIENT(COLUMN(CB$2)-69,3))*5)+MOD(COLUMN(CB$2),3),1,1),"")</f>
        <v>0</v>
      </c>
      <c r="CC249">
        <f ca="1">IF($AN249="",OFFSET(Demand!$A$13,ROW(M246)-1,4+((QUOTIENT(COLUMN(CC$2)-69,3))*5)+MOD(COLUMN(CC$2),3),1,1),"")</f>
        <v>0</v>
      </c>
      <c r="CD249">
        <f ca="1">IF($AN249="",OFFSET(Demand!$A$13,ROW(N246)-1,4+((QUOTIENT(COLUMN(CD$2)-69,3))*5)+MOD(COLUMN(CD$2),3),1,1),"")</f>
        <v>0</v>
      </c>
      <c r="CE249">
        <f ca="1">IF($AN249="",OFFSET(Demand!$A$13,ROW(O246)-1,4+((QUOTIENT(COLUMN(CE$2)-69,3))*5)+MOD(COLUMN(CE$2),3),1,1),"")</f>
        <v>0</v>
      </c>
      <c r="CF249">
        <f ca="1">IF($AN249="",OFFSET(Demand!$A$13,ROW(P246)-1,4+((QUOTIENT(COLUMN(CF$2)-69,3))*5)+MOD(COLUMN(CF$2),3),1,1),"")</f>
        <v>0</v>
      </c>
      <c r="CG249">
        <f ca="1">IF($AN249="",OFFSET(Demand!$A$13,ROW(Q246)-1,4+((QUOTIENT(COLUMN(CG$2)-69,3))*5)+MOD(COLUMN(CG$2),3),1,1),"")</f>
        <v>0</v>
      </c>
      <c r="CH249">
        <f ca="1">IF($AN249="",OFFSET(Demand!$A$13,ROW(R246)-1,4+((QUOTIENT(COLUMN(CH$2)-69,3))*5)+MOD(COLUMN(CH$2),3),1,1),"")</f>
        <v>0</v>
      </c>
      <c r="CI249">
        <f ca="1">IF($AN249="",OFFSET(Demand!$A$13,ROW(S246)-1,4+((QUOTIENT(COLUMN(CI$2)-69,3))*5)+MOD(COLUMN(CI$2),3),1,1),"")</f>
        <v>0</v>
      </c>
      <c r="CJ249">
        <f ca="1">IF($AN249="",OFFSET(Demand!$A$13,ROW(T246)-1,4+((QUOTIENT(COLUMN(CJ$2)-69,3))*5)+MOD(COLUMN(CJ$2),3),1,1),"")</f>
        <v>0</v>
      </c>
      <c r="CK249">
        <f ca="1">IF($AN249="",OFFSET(Demand!$A$13,ROW(U246)-1,4+((QUOTIENT(COLUMN(CK$2)-69,3))*5)+MOD(COLUMN(CK$2),3),1,1),"")</f>
        <v>0</v>
      </c>
      <c r="CL249">
        <f ca="1">IF($AN249="",OFFSET(Demand!$A$13,ROW(V246)-1,4+((QUOTIENT(COLUMN(CL$2)-69,3))*5)+MOD(COLUMN(CL$2),3),1,1),"")</f>
        <v>0</v>
      </c>
      <c r="CM249">
        <f ca="1">IF($AN249="",OFFSET(Demand!$A$13,ROW(W246)-1,4+((QUOTIENT(COLUMN(CM$2)-69,3))*5)+MOD(COLUMN(CM$2),3),1,1),"")</f>
        <v>0</v>
      </c>
      <c r="CN249">
        <f ca="1">IF($AN249="",OFFSET(Demand!$A$13,ROW(X246)-1,4+((QUOTIENT(COLUMN(CN$2)-69,3))*5)+MOD(COLUMN(CN$2),3),1,1),"")</f>
        <v>0</v>
      </c>
      <c r="CO249">
        <f ca="1">IF($AN249="",OFFSET(Demand!$A$13,ROW(Y246)-1,4+((QUOTIENT(COLUMN(CO$2)-69,3))*5)+MOD(COLUMN(CO$2),3),1,1),"")</f>
        <v>0</v>
      </c>
      <c r="CP249">
        <f ca="1">IF($AN249="",OFFSET(Demand!$A$13,ROW(Z246)-1,4+((QUOTIENT(COLUMN(CP$2)-69,3))*5)+MOD(COLUMN(CP$2),3),1,1),"")</f>
        <v>0</v>
      </c>
      <c r="CQ249">
        <f ca="1">IF($AN249="",OFFSET(Demand!$A$13,ROW(AA246)-1,4+((QUOTIENT(COLUMN(CQ$2)-69,3))*5)+MOD(COLUMN(CQ$2),3),1,1),"")</f>
        <v>0</v>
      </c>
      <c r="CR249">
        <f ca="1">IF($AN249="",OFFSET(Demand!$A$13,ROW(AB246)-1,4+((QUOTIENT(COLUMN(CR$2)-69,3))*5)+MOD(COLUMN(CR$2),3),1,1),"")</f>
        <v>0</v>
      </c>
      <c r="CS249">
        <f ca="1">IF($AN249="",OFFSET(Demand!$A$13,ROW(AC246)-1,4+((QUOTIENT(COLUMN(CS$2)-69,3))*5)+MOD(COLUMN(CS$2),3),1,1),"")</f>
        <v>0</v>
      </c>
      <c r="CT249">
        <f ca="1">IF($AN249="",OFFSET(Demand!$A$13,ROW(AD246)-1,4+((QUOTIENT(COLUMN(CT$2)-69,3))*5)+MOD(COLUMN(CT$2),3),1,1),"")</f>
        <v>0</v>
      </c>
      <c r="CW249" s="5">
        <f ca="1">SUM(OFFSET(Demand!$H$43,ROW(A246)-1,(COLUMN(A246)-1)*5,1,1))*N$2</f>
        <v>0</v>
      </c>
      <c r="CX249" s="5">
        <f ca="1">SUM(OFFSET(Demand!$H$43,ROW(B246)-1,(COLUMN(B246)-1)*5,1,1))*O$2</f>
        <v>0</v>
      </c>
      <c r="CY249" s="5">
        <f ca="1">SUM(OFFSET(Demand!$H$43,ROW(C246)-1,(COLUMN(C246)-1)*5,1,1))*P$2</f>
        <v>0</v>
      </c>
      <c r="CZ249" s="5">
        <f ca="1">SUM(OFFSET(Demand!$H$43,ROW(D246)-1,(COLUMN(D246)-1)*5,1,1))*Q$2</f>
        <v>0</v>
      </c>
      <c r="DA249" s="5">
        <f ca="1">SUM(OFFSET(Demand!$H$43,ROW(E246)-1,(COLUMN(E246)-1)*5,1,1))*R$2</f>
        <v>0</v>
      </c>
      <c r="DB249" s="5">
        <f ca="1">SUM(OFFSET(Demand!$H$43,ROW(F246)-1,(COLUMN(F246)-1)*5,1,1))*S$2</f>
        <v>0</v>
      </c>
      <c r="DC249" s="5">
        <f ca="1">SUM(OFFSET(Demand!$H$43,ROW(G246)-1,(COLUMN(G246)-1)*5,1,1))*T$2</f>
        <v>0</v>
      </c>
      <c r="DD249" s="5">
        <f ca="1">SUM(OFFSET(Demand!$H$43,ROW(H246)-1,(COLUMN(H246)-1)*5,1,1))*U$2</f>
        <v>0</v>
      </c>
      <c r="DE249" s="5">
        <f ca="1">SUM(OFFSET(Demand!$H$43,ROW(I246)-1,(COLUMN(I246)-1)*5,1,1))*V$2</f>
        <v>0</v>
      </c>
      <c r="DF249" s="5">
        <f ca="1">SUM(OFFSET(Demand!$H$43,ROW(J246)-1,(COLUMN(J246)-1)*5,1,1))*W$2</f>
        <v>0</v>
      </c>
      <c r="DG249" s="5">
        <f t="shared" ca="1" si="52"/>
        <v>0</v>
      </c>
    </row>
    <row r="250" spans="1:111" x14ac:dyDescent="0.2">
      <c r="A250" s="5">
        <f t="shared" ca="1" si="54"/>
        <v>2</v>
      </c>
      <c r="B250" s="5">
        <f ca="1">COUNTBLANK(OFFSET(Demand!$I259,0,(COLUMN(A247)-1)*5,1,1))</f>
        <v>1</v>
      </c>
      <c r="C250" s="5">
        <f ca="1">COUNTBLANK(OFFSET(Demand!$I259,0,(COLUMN(B247)-1)*5,1,1))</f>
        <v>1</v>
      </c>
      <c r="D250" s="5">
        <f ca="1">COUNTBLANK(OFFSET(Demand!$I259,0,(COLUMN(C247)-1)*5,1,1))</f>
        <v>1</v>
      </c>
      <c r="E250" s="5">
        <f ca="1">COUNTBLANK(OFFSET(Demand!$I259,0,(COLUMN(D247)-1)*5,1,1))</f>
        <v>1</v>
      </c>
      <c r="F250" s="5">
        <f ca="1">COUNTBLANK(OFFSET(Demand!$I259,0,(COLUMN(E247)-1)*5,1,1))</f>
        <v>1</v>
      </c>
      <c r="G250" s="5">
        <f ca="1">COUNTBLANK(OFFSET(Demand!$I259,0,(COLUMN(F247)-1)*5,1,1))</f>
        <v>1</v>
      </c>
      <c r="H250" s="5">
        <f ca="1">COUNTBLANK(OFFSET(Demand!$I259,0,(COLUMN(G247)-1)*5,1,1))</f>
        <v>1</v>
      </c>
      <c r="I250" s="5">
        <f ca="1">COUNTBLANK(OFFSET(Demand!$I259,0,(COLUMN(H247)-1)*5,1,1))</f>
        <v>1</v>
      </c>
      <c r="J250" s="5">
        <f ca="1">COUNTBLANK(OFFSET(Demand!$I259,0,(COLUMN(I247)-1)*5,1,1))</f>
        <v>1</v>
      </c>
      <c r="K250" s="5">
        <f ca="1">COUNTBLANK(OFFSET(Demand!$I259,0,(COLUMN(J247)-1)*5,1,1))</f>
        <v>1</v>
      </c>
      <c r="N250" s="5">
        <f ca="1">SUM(OFFSET(Demand!$E259,0,(COLUMN(A247)-1)*5,1,3))*N$2</f>
        <v>0</v>
      </c>
      <c r="O250" s="5">
        <f ca="1">SUM(OFFSET(Demand!$E259,0,(COLUMN(B247)-1)*5,1,3))*O$2</f>
        <v>0</v>
      </c>
      <c r="P250" s="5">
        <f ca="1">SUM(OFFSET(Demand!$E259,0,(COLUMN(C247)-1)*5,1,3))*P$2</f>
        <v>0</v>
      </c>
      <c r="Q250" s="5">
        <f ca="1">SUM(OFFSET(Demand!$E259,0,(COLUMN(D247)-1)*5,1,3))*Q$2</f>
        <v>0</v>
      </c>
      <c r="R250" s="5">
        <f ca="1">SUM(OFFSET(Demand!$E259,0,(COLUMN(E247)-1)*5,1,3))*R$2</f>
        <v>0</v>
      </c>
      <c r="S250" s="5">
        <f ca="1">SUM(OFFSET(Demand!$E259,0,(COLUMN(F247)-1)*5,1,3))*S$2</f>
        <v>0</v>
      </c>
      <c r="T250" s="5">
        <f ca="1">SUM(OFFSET(Demand!$E259,0,(COLUMN(G247)-1)*5,1,3))*T$2</f>
        <v>0</v>
      </c>
      <c r="U250" s="5">
        <f ca="1">SUM(OFFSET(Demand!$E259,0,(COLUMN(H247)-1)*5,1,3))*U$2</f>
        <v>0</v>
      </c>
      <c r="V250" s="5">
        <f ca="1">SUM(OFFSET(Demand!$E259,0,(COLUMN(I247)-1)*5,1,3))*V$2</f>
        <v>0</v>
      </c>
      <c r="W250" s="5">
        <f ca="1">SUM(OFFSET(Demand!$E259,0,(COLUMN(J247)-1)*5,1,3))*W$2</f>
        <v>0</v>
      </c>
      <c r="X250" s="5">
        <f t="shared" ca="1" si="47"/>
        <v>0</v>
      </c>
      <c r="Y250">
        <f t="shared" ca="1" si="48"/>
        <v>0</v>
      </c>
      <c r="Z250" s="5">
        <f ca="1">SUM(OFFSET(Demand!$H259,0,(COLUMN(A247)-1)*5,1,1))*N$2</f>
        <v>0</v>
      </c>
      <c r="AA250" s="5">
        <f ca="1">SUM(OFFSET(Demand!$H259,0,(COLUMN(B247)-1)*5,1,1))*O$2</f>
        <v>0</v>
      </c>
      <c r="AB250" s="5">
        <f ca="1">SUM(OFFSET(Demand!$H259,0,(COLUMN(C247)-1)*5,1,1))*P$2</f>
        <v>0</v>
      </c>
      <c r="AC250" s="5">
        <f ca="1">SUM(OFFSET(Demand!$H259,0,(COLUMN(D247)-1)*5,1,1))*Q$2</f>
        <v>0</v>
      </c>
      <c r="AD250" s="5">
        <f ca="1">SUM(OFFSET(Demand!$H259,0,(COLUMN(E247)-1)*5,1,1))*R$2</f>
        <v>0</v>
      </c>
      <c r="AE250" s="5">
        <f ca="1">SUM(OFFSET(Demand!$H259,0,(COLUMN(F247)-1)*5,1,1))*S$2</f>
        <v>0</v>
      </c>
      <c r="AF250" s="5">
        <f ca="1">SUM(OFFSET(Demand!$H259,0,(COLUMN(G247)-1)*5,1,1))*T$2</f>
        <v>0</v>
      </c>
      <c r="AG250" s="5">
        <f ca="1">SUM(OFFSET(Demand!$H259,0,(COLUMN(H247)-1)*5,1,1))*U$2</f>
        <v>0</v>
      </c>
      <c r="AH250" s="5">
        <f ca="1">SUM(OFFSET(Demand!$H259,0,(COLUMN(I247)-1)*5,1,1))*V$2</f>
        <v>0</v>
      </c>
      <c r="AI250" s="5">
        <f ca="1">SUM(OFFSET(Demand!$H259,0,(COLUMN(J247)-1)*5,1,1))*W$2</f>
        <v>0</v>
      </c>
      <c r="AJ250" s="5">
        <f t="shared" ca="1" si="49"/>
        <v>0</v>
      </c>
      <c r="AL250" s="5">
        <f t="shared" ca="1" si="50"/>
        <v>0</v>
      </c>
      <c r="AM250" s="5">
        <f t="shared" ca="1" si="51"/>
        <v>0</v>
      </c>
      <c r="AN250" s="5" t="str">
        <f>IF(Demand!BE259="Yes","Yes","")</f>
        <v/>
      </c>
      <c r="AP250" s="37" t="str">
        <f ca="1">Demand!B259</f>
        <v xml:space="preserve"> </v>
      </c>
      <c r="AQ250" t="str">
        <f ca="1">IF(TEXT(Demand!D259,"MMM")&lt;&gt;TEXT(Demand!D258,"MMM"),TEXT(Demand!D259,"MMM"),"")</f>
        <v/>
      </c>
      <c r="AT250" s="5">
        <f t="shared" ca="1" si="53"/>
        <v>0</v>
      </c>
      <c r="BQ250">
        <f ca="1">IF($AN250="",OFFSET(Demand!$A$13,ROW(A247)-1,4+((QUOTIENT(COLUMN(BQ$2)-69,3))*5)+MOD(COLUMN(BQ$2),3),1,1),"")</f>
        <v>0</v>
      </c>
      <c r="BR250">
        <f ca="1">IF($AN250="",OFFSET(Demand!$A$13,ROW(B247)-1,4+((QUOTIENT(COLUMN(BR$2)-69,3))*5)+MOD(COLUMN(BR$2),3),1,1),"")</f>
        <v>0</v>
      </c>
      <c r="BS250">
        <f ca="1">IF($AN250="",OFFSET(Demand!$A$13,ROW(C247)-1,4+((QUOTIENT(COLUMN(BS$2)-69,3))*5)+MOD(COLUMN(BS$2),3),1,1),"")</f>
        <v>0</v>
      </c>
      <c r="BT250">
        <f ca="1">IF($AN250="",OFFSET(Demand!$A$13,ROW(D247)-1,4+((QUOTIENT(COLUMN(BT$2)-69,3))*5)+MOD(COLUMN(BT$2),3),1,1),"")</f>
        <v>0</v>
      </c>
      <c r="BU250">
        <f ca="1">IF($AN250="",OFFSET(Demand!$A$13,ROW(E247)-1,4+((QUOTIENT(COLUMN(BU$2)-69,3))*5)+MOD(COLUMN(BU$2),3),1,1),"")</f>
        <v>0</v>
      </c>
      <c r="BV250">
        <f ca="1">IF($AN250="",OFFSET(Demand!$A$13,ROW(F247)-1,4+((QUOTIENT(COLUMN(BV$2)-69,3))*5)+MOD(COLUMN(BV$2),3),1,1),"")</f>
        <v>0</v>
      </c>
      <c r="BW250">
        <f ca="1">IF($AN250="",OFFSET(Demand!$A$13,ROW(G247)-1,4+((QUOTIENT(COLUMN(BW$2)-69,3))*5)+MOD(COLUMN(BW$2),3),1,1),"")</f>
        <v>0</v>
      </c>
      <c r="BX250">
        <f ca="1">IF($AN250="",OFFSET(Demand!$A$13,ROW(H247)-1,4+((QUOTIENT(COLUMN(BX$2)-69,3))*5)+MOD(COLUMN(BX$2),3),1,1),"")</f>
        <v>0</v>
      </c>
      <c r="BY250">
        <f ca="1">IF($AN250="",OFFSET(Demand!$A$13,ROW(I247)-1,4+((QUOTIENT(COLUMN(BY$2)-69,3))*5)+MOD(COLUMN(BY$2),3),1,1),"")</f>
        <v>0</v>
      </c>
      <c r="BZ250">
        <f ca="1">IF($AN250="",OFFSET(Demand!$A$13,ROW(J247)-1,4+((QUOTIENT(COLUMN(BZ$2)-69,3))*5)+MOD(COLUMN(BZ$2),3),1,1),"")</f>
        <v>0</v>
      </c>
      <c r="CA250">
        <f ca="1">IF($AN250="",OFFSET(Demand!$A$13,ROW(K247)-1,4+((QUOTIENT(COLUMN(CA$2)-69,3))*5)+MOD(COLUMN(CA$2),3),1,1),"")</f>
        <v>0</v>
      </c>
      <c r="CB250">
        <f ca="1">IF($AN250="",OFFSET(Demand!$A$13,ROW(L247)-1,4+((QUOTIENT(COLUMN(CB$2)-69,3))*5)+MOD(COLUMN(CB$2),3),1,1),"")</f>
        <v>0</v>
      </c>
      <c r="CC250">
        <f ca="1">IF($AN250="",OFFSET(Demand!$A$13,ROW(M247)-1,4+((QUOTIENT(COLUMN(CC$2)-69,3))*5)+MOD(COLUMN(CC$2),3),1,1),"")</f>
        <v>0</v>
      </c>
      <c r="CD250">
        <f ca="1">IF($AN250="",OFFSET(Demand!$A$13,ROW(N247)-1,4+((QUOTIENT(COLUMN(CD$2)-69,3))*5)+MOD(COLUMN(CD$2),3),1,1),"")</f>
        <v>0</v>
      </c>
      <c r="CE250">
        <f ca="1">IF($AN250="",OFFSET(Demand!$A$13,ROW(O247)-1,4+((QUOTIENT(COLUMN(CE$2)-69,3))*5)+MOD(COLUMN(CE$2),3),1,1),"")</f>
        <v>0</v>
      </c>
      <c r="CF250">
        <f ca="1">IF($AN250="",OFFSET(Demand!$A$13,ROW(P247)-1,4+((QUOTIENT(COLUMN(CF$2)-69,3))*5)+MOD(COLUMN(CF$2),3),1,1),"")</f>
        <v>0</v>
      </c>
      <c r="CG250">
        <f ca="1">IF($AN250="",OFFSET(Demand!$A$13,ROW(Q247)-1,4+((QUOTIENT(COLUMN(CG$2)-69,3))*5)+MOD(COLUMN(CG$2),3),1,1),"")</f>
        <v>0</v>
      </c>
      <c r="CH250">
        <f ca="1">IF($AN250="",OFFSET(Demand!$A$13,ROW(R247)-1,4+((QUOTIENT(COLUMN(CH$2)-69,3))*5)+MOD(COLUMN(CH$2),3),1,1),"")</f>
        <v>0</v>
      </c>
      <c r="CI250">
        <f ca="1">IF($AN250="",OFFSET(Demand!$A$13,ROW(S247)-1,4+((QUOTIENT(COLUMN(CI$2)-69,3))*5)+MOD(COLUMN(CI$2),3),1,1),"")</f>
        <v>0</v>
      </c>
      <c r="CJ250">
        <f ca="1">IF($AN250="",OFFSET(Demand!$A$13,ROW(T247)-1,4+((QUOTIENT(COLUMN(CJ$2)-69,3))*5)+MOD(COLUMN(CJ$2),3),1,1),"")</f>
        <v>0</v>
      </c>
      <c r="CK250">
        <f ca="1">IF($AN250="",OFFSET(Demand!$A$13,ROW(U247)-1,4+((QUOTIENT(COLUMN(CK$2)-69,3))*5)+MOD(COLUMN(CK$2),3),1,1),"")</f>
        <v>0</v>
      </c>
      <c r="CL250">
        <f ca="1">IF($AN250="",OFFSET(Demand!$A$13,ROW(V247)-1,4+((QUOTIENT(COLUMN(CL$2)-69,3))*5)+MOD(COLUMN(CL$2),3),1,1),"")</f>
        <v>0</v>
      </c>
      <c r="CM250">
        <f ca="1">IF($AN250="",OFFSET(Demand!$A$13,ROW(W247)-1,4+((QUOTIENT(COLUMN(CM$2)-69,3))*5)+MOD(COLUMN(CM$2),3),1,1),"")</f>
        <v>0</v>
      </c>
      <c r="CN250">
        <f ca="1">IF($AN250="",OFFSET(Demand!$A$13,ROW(X247)-1,4+((QUOTIENT(COLUMN(CN$2)-69,3))*5)+MOD(COLUMN(CN$2),3),1,1),"")</f>
        <v>0</v>
      </c>
      <c r="CO250">
        <f ca="1">IF($AN250="",OFFSET(Demand!$A$13,ROW(Y247)-1,4+((QUOTIENT(COLUMN(CO$2)-69,3))*5)+MOD(COLUMN(CO$2),3),1,1),"")</f>
        <v>0</v>
      </c>
      <c r="CP250">
        <f ca="1">IF($AN250="",OFFSET(Demand!$A$13,ROW(Z247)-1,4+((QUOTIENT(COLUMN(CP$2)-69,3))*5)+MOD(COLUMN(CP$2),3),1,1),"")</f>
        <v>0</v>
      </c>
      <c r="CQ250">
        <f ca="1">IF($AN250="",OFFSET(Demand!$A$13,ROW(AA247)-1,4+((QUOTIENT(COLUMN(CQ$2)-69,3))*5)+MOD(COLUMN(CQ$2),3),1,1),"")</f>
        <v>0</v>
      </c>
      <c r="CR250">
        <f ca="1">IF($AN250="",OFFSET(Demand!$A$13,ROW(AB247)-1,4+((QUOTIENT(COLUMN(CR$2)-69,3))*5)+MOD(COLUMN(CR$2),3),1,1),"")</f>
        <v>0</v>
      </c>
      <c r="CS250">
        <f ca="1">IF($AN250="",OFFSET(Demand!$A$13,ROW(AC247)-1,4+((QUOTIENT(COLUMN(CS$2)-69,3))*5)+MOD(COLUMN(CS$2),3),1,1),"")</f>
        <v>0</v>
      </c>
      <c r="CT250">
        <f ca="1">IF($AN250="",OFFSET(Demand!$A$13,ROW(AD247)-1,4+((QUOTIENT(COLUMN(CT$2)-69,3))*5)+MOD(COLUMN(CT$2),3),1,1),"")</f>
        <v>0</v>
      </c>
      <c r="CW250" s="5">
        <f ca="1">SUM(OFFSET(Demand!$H$43,ROW(A247)-1,(COLUMN(A247)-1)*5,1,1))*N$2</f>
        <v>0</v>
      </c>
      <c r="CX250" s="5">
        <f ca="1">SUM(OFFSET(Demand!$H$43,ROW(B247)-1,(COLUMN(B247)-1)*5,1,1))*O$2</f>
        <v>0</v>
      </c>
      <c r="CY250" s="5">
        <f ca="1">SUM(OFFSET(Demand!$H$43,ROW(C247)-1,(COLUMN(C247)-1)*5,1,1))*P$2</f>
        <v>0</v>
      </c>
      <c r="CZ250" s="5">
        <f ca="1">SUM(OFFSET(Demand!$H$43,ROW(D247)-1,(COLUMN(D247)-1)*5,1,1))*Q$2</f>
        <v>0</v>
      </c>
      <c r="DA250" s="5">
        <f ca="1">SUM(OFFSET(Demand!$H$43,ROW(E247)-1,(COLUMN(E247)-1)*5,1,1))*R$2</f>
        <v>0</v>
      </c>
      <c r="DB250" s="5">
        <f ca="1">SUM(OFFSET(Demand!$H$43,ROW(F247)-1,(COLUMN(F247)-1)*5,1,1))*S$2</f>
        <v>0</v>
      </c>
      <c r="DC250" s="5">
        <f ca="1">SUM(OFFSET(Demand!$H$43,ROW(G247)-1,(COLUMN(G247)-1)*5,1,1))*T$2</f>
        <v>0</v>
      </c>
      <c r="DD250" s="5">
        <f ca="1">SUM(OFFSET(Demand!$H$43,ROW(H247)-1,(COLUMN(H247)-1)*5,1,1))*U$2</f>
        <v>0</v>
      </c>
      <c r="DE250" s="5">
        <f ca="1">SUM(OFFSET(Demand!$H$43,ROW(I247)-1,(COLUMN(I247)-1)*5,1,1))*V$2</f>
        <v>0</v>
      </c>
      <c r="DF250" s="5">
        <f ca="1">SUM(OFFSET(Demand!$H$43,ROW(J247)-1,(COLUMN(J247)-1)*5,1,1))*W$2</f>
        <v>0</v>
      </c>
      <c r="DG250" s="5">
        <f t="shared" ca="1" si="52"/>
        <v>0</v>
      </c>
    </row>
    <row r="251" spans="1:111" x14ac:dyDescent="0.2">
      <c r="A251" s="5">
        <f t="shared" ca="1" si="54"/>
        <v>2</v>
      </c>
      <c r="B251" s="5">
        <f ca="1">COUNTBLANK(OFFSET(Demand!$I260,0,(COLUMN(A248)-1)*5,1,1))</f>
        <v>1</v>
      </c>
      <c r="C251" s="5">
        <f ca="1">COUNTBLANK(OFFSET(Demand!$I260,0,(COLUMN(B248)-1)*5,1,1))</f>
        <v>1</v>
      </c>
      <c r="D251" s="5">
        <f ca="1">COUNTBLANK(OFFSET(Demand!$I260,0,(COLUMN(C248)-1)*5,1,1))</f>
        <v>1</v>
      </c>
      <c r="E251" s="5">
        <f ca="1">COUNTBLANK(OFFSET(Demand!$I260,0,(COLUMN(D248)-1)*5,1,1))</f>
        <v>1</v>
      </c>
      <c r="F251" s="5">
        <f ca="1">COUNTBLANK(OFFSET(Demand!$I260,0,(COLUMN(E248)-1)*5,1,1))</f>
        <v>1</v>
      </c>
      <c r="G251" s="5">
        <f ca="1">COUNTBLANK(OFFSET(Demand!$I260,0,(COLUMN(F248)-1)*5,1,1))</f>
        <v>1</v>
      </c>
      <c r="H251" s="5">
        <f ca="1">COUNTBLANK(OFFSET(Demand!$I260,0,(COLUMN(G248)-1)*5,1,1))</f>
        <v>1</v>
      </c>
      <c r="I251" s="5">
        <f ca="1">COUNTBLANK(OFFSET(Demand!$I260,0,(COLUMN(H248)-1)*5,1,1))</f>
        <v>1</v>
      </c>
      <c r="J251" s="5">
        <f ca="1">COUNTBLANK(OFFSET(Demand!$I260,0,(COLUMN(I248)-1)*5,1,1))</f>
        <v>1</v>
      </c>
      <c r="K251" s="5">
        <f ca="1">COUNTBLANK(OFFSET(Demand!$I260,0,(COLUMN(J248)-1)*5,1,1))</f>
        <v>1</v>
      </c>
      <c r="N251" s="5">
        <f ca="1">SUM(OFFSET(Demand!$E260,0,(COLUMN(A248)-1)*5,1,3))*N$2</f>
        <v>0</v>
      </c>
      <c r="O251" s="5">
        <f ca="1">SUM(OFFSET(Demand!$E260,0,(COLUMN(B248)-1)*5,1,3))*O$2</f>
        <v>0</v>
      </c>
      <c r="P251" s="5">
        <f ca="1">SUM(OFFSET(Demand!$E260,0,(COLUMN(C248)-1)*5,1,3))*P$2</f>
        <v>0</v>
      </c>
      <c r="Q251" s="5">
        <f ca="1">SUM(OFFSET(Demand!$E260,0,(COLUMN(D248)-1)*5,1,3))*Q$2</f>
        <v>0</v>
      </c>
      <c r="R251" s="5">
        <f ca="1">SUM(OFFSET(Demand!$E260,0,(COLUMN(E248)-1)*5,1,3))*R$2</f>
        <v>0</v>
      </c>
      <c r="S251" s="5">
        <f ca="1">SUM(OFFSET(Demand!$E260,0,(COLUMN(F248)-1)*5,1,3))*S$2</f>
        <v>0</v>
      </c>
      <c r="T251" s="5">
        <f ca="1">SUM(OFFSET(Demand!$E260,0,(COLUMN(G248)-1)*5,1,3))*T$2</f>
        <v>0</v>
      </c>
      <c r="U251" s="5">
        <f ca="1">SUM(OFFSET(Demand!$E260,0,(COLUMN(H248)-1)*5,1,3))*U$2</f>
        <v>0</v>
      </c>
      <c r="V251" s="5">
        <f ca="1">SUM(OFFSET(Demand!$E260,0,(COLUMN(I248)-1)*5,1,3))*V$2</f>
        <v>0</v>
      </c>
      <c r="W251" s="5">
        <f ca="1">SUM(OFFSET(Demand!$E260,0,(COLUMN(J248)-1)*5,1,3))*W$2</f>
        <v>0</v>
      </c>
      <c r="X251" s="5">
        <f t="shared" ca="1" si="47"/>
        <v>0</v>
      </c>
      <c r="Y251">
        <f t="shared" ca="1" si="48"/>
        <v>0</v>
      </c>
      <c r="Z251" s="5">
        <f ca="1">SUM(OFFSET(Demand!$H260,0,(COLUMN(A248)-1)*5,1,1))*N$2</f>
        <v>0</v>
      </c>
      <c r="AA251" s="5">
        <f ca="1">SUM(OFFSET(Demand!$H260,0,(COLUMN(B248)-1)*5,1,1))*O$2</f>
        <v>0</v>
      </c>
      <c r="AB251" s="5">
        <f ca="1">SUM(OFFSET(Demand!$H260,0,(COLUMN(C248)-1)*5,1,1))*P$2</f>
        <v>0</v>
      </c>
      <c r="AC251" s="5">
        <f ca="1">SUM(OFFSET(Demand!$H260,0,(COLUMN(D248)-1)*5,1,1))*Q$2</f>
        <v>0</v>
      </c>
      <c r="AD251" s="5">
        <f ca="1">SUM(OFFSET(Demand!$H260,0,(COLUMN(E248)-1)*5,1,1))*R$2</f>
        <v>0</v>
      </c>
      <c r="AE251" s="5">
        <f ca="1">SUM(OFFSET(Demand!$H260,0,(COLUMN(F248)-1)*5,1,1))*S$2</f>
        <v>0</v>
      </c>
      <c r="AF251" s="5">
        <f ca="1">SUM(OFFSET(Demand!$H260,0,(COLUMN(G248)-1)*5,1,1))*T$2</f>
        <v>0</v>
      </c>
      <c r="AG251" s="5">
        <f ca="1">SUM(OFFSET(Demand!$H260,0,(COLUMN(H248)-1)*5,1,1))*U$2</f>
        <v>0</v>
      </c>
      <c r="AH251" s="5">
        <f ca="1">SUM(OFFSET(Demand!$H260,0,(COLUMN(I248)-1)*5,1,1))*V$2</f>
        <v>0</v>
      </c>
      <c r="AI251" s="5">
        <f ca="1">SUM(OFFSET(Demand!$H260,0,(COLUMN(J248)-1)*5,1,1))*W$2</f>
        <v>0</v>
      </c>
      <c r="AJ251" s="5">
        <f t="shared" ca="1" si="49"/>
        <v>0</v>
      </c>
      <c r="AL251" s="5">
        <f t="shared" ca="1" si="50"/>
        <v>0</v>
      </c>
      <c r="AM251" s="5">
        <f t="shared" ca="1" si="51"/>
        <v>0</v>
      </c>
      <c r="AN251" s="5" t="str">
        <f>IF(Demand!BE260="Yes","Yes","")</f>
        <v/>
      </c>
      <c r="AP251" s="37" t="str">
        <f ca="1">Demand!B260</f>
        <v xml:space="preserve"> </v>
      </c>
      <c r="AQ251" t="str">
        <f ca="1">IF(TEXT(Demand!D260,"MMM")&lt;&gt;TEXT(Demand!D259,"MMM"),TEXT(Demand!D260,"MMM"),"")</f>
        <v/>
      </c>
      <c r="AT251" s="5">
        <f t="shared" ca="1" si="53"/>
        <v>0</v>
      </c>
      <c r="BQ251">
        <f ca="1">IF($AN251="",OFFSET(Demand!$A$13,ROW(A248)-1,4+((QUOTIENT(COLUMN(BQ$2)-69,3))*5)+MOD(COLUMN(BQ$2),3),1,1),"")</f>
        <v>0</v>
      </c>
      <c r="BR251">
        <f ca="1">IF($AN251="",OFFSET(Demand!$A$13,ROW(B248)-1,4+((QUOTIENT(COLUMN(BR$2)-69,3))*5)+MOD(COLUMN(BR$2),3),1,1),"")</f>
        <v>0</v>
      </c>
      <c r="BS251">
        <f ca="1">IF($AN251="",OFFSET(Demand!$A$13,ROW(C248)-1,4+((QUOTIENT(COLUMN(BS$2)-69,3))*5)+MOD(COLUMN(BS$2),3),1,1),"")</f>
        <v>0</v>
      </c>
      <c r="BT251">
        <f ca="1">IF($AN251="",OFFSET(Demand!$A$13,ROW(D248)-1,4+((QUOTIENT(COLUMN(BT$2)-69,3))*5)+MOD(COLUMN(BT$2),3),1,1),"")</f>
        <v>0</v>
      </c>
      <c r="BU251">
        <f ca="1">IF($AN251="",OFFSET(Demand!$A$13,ROW(E248)-1,4+((QUOTIENT(COLUMN(BU$2)-69,3))*5)+MOD(COLUMN(BU$2),3),1,1),"")</f>
        <v>0</v>
      </c>
      <c r="BV251">
        <f ca="1">IF($AN251="",OFFSET(Demand!$A$13,ROW(F248)-1,4+((QUOTIENT(COLUMN(BV$2)-69,3))*5)+MOD(COLUMN(BV$2),3),1,1),"")</f>
        <v>0</v>
      </c>
      <c r="BW251">
        <f ca="1">IF($AN251="",OFFSET(Demand!$A$13,ROW(G248)-1,4+((QUOTIENT(COLUMN(BW$2)-69,3))*5)+MOD(COLUMN(BW$2),3),1,1),"")</f>
        <v>0</v>
      </c>
      <c r="BX251">
        <f ca="1">IF($AN251="",OFFSET(Demand!$A$13,ROW(H248)-1,4+((QUOTIENT(COLUMN(BX$2)-69,3))*5)+MOD(COLUMN(BX$2),3),1,1),"")</f>
        <v>0</v>
      </c>
      <c r="BY251">
        <f ca="1">IF($AN251="",OFFSET(Demand!$A$13,ROW(I248)-1,4+((QUOTIENT(COLUMN(BY$2)-69,3))*5)+MOD(COLUMN(BY$2),3),1,1),"")</f>
        <v>0</v>
      </c>
      <c r="BZ251">
        <f ca="1">IF($AN251="",OFFSET(Demand!$A$13,ROW(J248)-1,4+((QUOTIENT(COLUMN(BZ$2)-69,3))*5)+MOD(COLUMN(BZ$2),3),1,1),"")</f>
        <v>0</v>
      </c>
      <c r="CA251">
        <f ca="1">IF($AN251="",OFFSET(Demand!$A$13,ROW(K248)-1,4+((QUOTIENT(COLUMN(CA$2)-69,3))*5)+MOD(COLUMN(CA$2),3),1,1),"")</f>
        <v>0</v>
      </c>
      <c r="CB251">
        <f ca="1">IF($AN251="",OFFSET(Demand!$A$13,ROW(L248)-1,4+((QUOTIENT(COLUMN(CB$2)-69,3))*5)+MOD(COLUMN(CB$2),3),1,1),"")</f>
        <v>0</v>
      </c>
      <c r="CC251">
        <f ca="1">IF($AN251="",OFFSET(Demand!$A$13,ROW(M248)-1,4+((QUOTIENT(COLUMN(CC$2)-69,3))*5)+MOD(COLUMN(CC$2),3),1,1),"")</f>
        <v>0</v>
      </c>
      <c r="CD251">
        <f ca="1">IF($AN251="",OFFSET(Demand!$A$13,ROW(N248)-1,4+((QUOTIENT(COLUMN(CD$2)-69,3))*5)+MOD(COLUMN(CD$2),3),1,1),"")</f>
        <v>0</v>
      </c>
      <c r="CE251">
        <f ca="1">IF($AN251="",OFFSET(Demand!$A$13,ROW(O248)-1,4+((QUOTIENT(COLUMN(CE$2)-69,3))*5)+MOD(COLUMN(CE$2),3),1,1),"")</f>
        <v>0</v>
      </c>
      <c r="CF251">
        <f ca="1">IF($AN251="",OFFSET(Demand!$A$13,ROW(P248)-1,4+((QUOTIENT(COLUMN(CF$2)-69,3))*5)+MOD(COLUMN(CF$2),3),1,1),"")</f>
        <v>0</v>
      </c>
      <c r="CG251">
        <f ca="1">IF($AN251="",OFFSET(Demand!$A$13,ROW(Q248)-1,4+((QUOTIENT(COLUMN(CG$2)-69,3))*5)+MOD(COLUMN(CG$2),3),1,1),"")</f>
        <v>0</v>
      </c>
      <c r="CH251">
        <f ca="1">IF($AN251="",OFFSET(Demand!$A$13,ROW(R248)-1,4+((QUOTIENT(COLUMN(CH$2)-69,3))*5)+MOD(COLUMN(CH$2),3),1,1),"")</f>
        <v>0</v>
      </c>
      <c r="CI251">
        <f ca="1">IF($AN251="",OFFSET(Demand!$A$13,ROW(S248)-1,4+((QUOTIENT(COLUMN(CI$2)-69,3))*5)+MOD(COLUMN(CI$2),3),1,1),"")</f>
        <v>0</v>
      </c>
      <c r="CJ251">
        <f ca="1">IF($AN251="",OFFSET(Demand!$A$13,ROW(T248)-1,4+((QUOTIENT(COLUMN(CJ$2)-69,3))*5)+MOD(COLUMN(CJ$2),3),1,1),"")</f>
        <v>0</v>
      </c>
      <c r="CK251">
        <f ca="1">IF($AN251="",OFFSET(Demand!$A$13,ROW(U248)-1,4+((QUOTIENT(COLUMN(CK$2)-69,3))*5)+MOD(COLUMN(CK$2),3),1,1),"")</f>
        <v>0</v>
      </c>
      <c r="CL251">
        <f ca="1">IF($AN251="",OFFSET(Demand!$A$13,ROW(V248)-1,4+((QUOTIENT(COLUMN(CL$2)-69,3))*5)+MOD(COLUMN(CL$2),3),1,1),"")</f>
        <v>0</v>
      </c>
      <c r="CM251">
        <f ca="1">IF($AN251="",OFFSET(Demand!$A$13,ROW(W248)-1,4+((QUOTIENT(COLUMN(CM$2)-69,3))*5)+MOD(COLUMN(CM$2),3),1,1),"")</f>
        <v>0</v>
      </c>
      <c r="CN251">
        <f ca="1">IF($AN251="",OFFSET(Demand!$A$13,ROW(X248)-1,4+((QUOTIENT(COLUMN(CN$2)-69,3))*5)+MOD(COLUMN(CN$2),3),1,1),"")</f>
        <v>0</v>
      </c>
      <c r="CO251">
        <f ca="1">IF($AN251="",OFFSET(Demand!$A$13,ROW(Y248)-1,4+((QUOTIENT(COLUMN(CO$2)-69,3))*5)+MOD(COLUMN(CO$2),3),1,1),"")</f>
        <v>0</v>
      </c>
      <c r="CP251">
        <f ca="1">IF($AN251="",OFFSET(Demand!$A$13,ROW(Z248)-1,4+((QUOTIENT(COLUMN(CP$2)-69,3))*5)+MOD(COLUMN(CP$2),3),1,1),"")</f>
        <v>0</v>
      </c>
      <c r="CQ251">
        <f ca="1">IF($AN251="",OFFSET(Demand!$A$13,ROW(AA248)-1,4+((QUOTIENT(COLUMN(CQ$2)-69,3))*5)+MOD(COLUMN(CQ$2),3),1,1),"")</f>
        <v>0</v>
      </c>
      <c r="CR251">
        <f ca="1">IF($AN251="",OFFSET(Demand!$A$13,ROW(AB248)-1,4+((QUOTIENT(COLUMN(CR$2)-69,3))*5)+MOD(COLUMN(CR$2),3),1,1),"")</f>
        <v>0</v>
      </c>
      <c r="CS251">
        <f ca="1">IF($AN251="",OFFSET(Demand!$A$13,ROW(AC248)-1,4+((QUOTIENT(COLUMN(CS$2)-69,3))*5)+MOD(COLUMN(CS$2),3),1,1),"")</f>
        <v>0</v>
      </c>
      <c r="CT251">
        <f ca="1">IF($AN251="",OFFSET(Demand!$A$13,ROW(AD248)-1,4+((QUOTIENT(COLUMN(CT$2)-69,3))*5)+MOD(COLUMN(CT$2),3),1,1),"")</f>
        <v>0</v>
      </c>
      <c r="CW251" s="5">
        <f ca="1">SUM(OFFSET(Demand!$H$43,ROW(A248)-1,(COLUMN(A248)-1)*5,1,1))*N$2</f>
        <v>0</v>
      </c>
      <c r="CX251" s="5">
        <f ca="1">SUM(OFFSET(Demand!$H$43,ROW(B248)-1,(COLUMN(B248)-1)*5,1,1))*O$2</f>
        <v>0</v>
      </c>
      <c r="CY251" s="5">
        <f ca="1">SUM(OFFSET(Demand!$H$43,ROW(C248)-1,(COLUMN(C248)-1)*5,1,1))*P$2</f>
        <v>0</v>
      </c>
      <c r="CZ251" s="5">
        <f ca="1">SUM(OFFSET(Demand!$H$43,ROW(D248)-1,(COLUMN(D248)-1)*5,1,1))*Q$2</f>
        <v>0</v>
      </c>
      <c r="DA251" s="5">
        <f ca="1">SUM(OFFSET(Demand!$H$43,ROW(E248)-1,(COLUMN(E248)-1)*5,1,1))*R$2</f>
        <v>0</v>
      </c>
      <c r="DB251" s="5">
        <f ca="1">SUM(OFFSET(Demand!$H$43,ROW(F248)-1,(COLUMN(F248)-1)*5,1,1))*S$2</f>
        <v>0</v>
      </c>
      <c r="DC251" s="5">
        <f ca="1">SUM(OFFSET(Demand!$H$43,ROW(G248)-1,(COLUMN(G248)-1)*5,1,1))*T$2</f>
        <v>0</v>
      </c>
      <c r="DD251" s="5">
        <f ca="1">SUM(OFFSET(Demand!$H$43,ROW(H248)-1,(COLUMN(H248)-1)*5,1,1))*U$2</f>
        <v>0</v>
      </c>
      <c r="DE251" s="5">
        <f ca="1">SUM(OFFSET(Demand!$H$43,ROW(I248)-1,(COLUMN(I248)-1)*5,1,1))*V$2</f>
        <v>0</v>
      </c>
      <c r="DF251" s="5">
        <f ca="1">SUM(OFFSET(Demand!$H$43,ROW(J248)-1,(COLUMN(J248)-1)*5,1,1))*W$2</f>
        <v>0</v>
      </c>
      <c r="DG251" s="5">
        <f t="shared" ca="1" si="52"/>
        <v>0</v>
      </c>
    </row>
    <row r="252" spans="1:111" x14ac:dyDescent="0.2">
      <c r="A252" s="5">
        <f t="shared" ca="1" si="54"/>
        <v>2</v>
      </c>
      <c r="B252" s="5">
        <f ca="1">COUNTBLANK(OFFSET(Demand!$I261,0,(COLUMN(A249)-1)*5,1,1))</f>
        <v>1</v>
      </c>
      <c r="C252" s="5">
        <f ca="1">COUNTBLANK(OFFSET(Demand!$I261,0,(COLUMN(B249)-1)*5,1,1))</f>
        <v>1</v>
      </c>
      <c r="D252" s="5">
        <f ca="1">COUNTBLANK(OFFSET(Demand!$I261,0,(COLUMN(C249)-1)*5,1,1))</f>
        <v>1</v>
      </c>
      <c r="E252" s="5">
        <f ca="1">COUNTBLANK(OFFSET(Demand!$I261,0,(COLUMN(D249)-1)*5,1,1))</f>
        <v>1</v>
      </c>
      <c r="F252" s="5">
        <f ca="1">COUNTBLANK(OFFSET(Demand!$I261,0,(COLUMN(E249)-1)*5,1,1))</f>
        <v>1</v>
      </c>
      <c r="G252" s="5">
        <f ca="1">COUNTBLANK(OFFSET(Demand!$I261,0,(COLUMN(F249)-1)*5,1,1))</f>
        <v>1</v>
      </c>
      <c r="H252" s="5">
        <f ca="1">COUNTBLANK(OFFSET(Demand!$I261,0,(COLUMN(G249)-1)*5,1,1))</f>
        <v>1</v>
      </c>
      <c r="I252" s="5">
        <f ca="1">COUNTBLANK(OFFSET(Demand!$I261,0,(COLUMN(H249)-1)*5,1,1))</f>
        <v>1</v>
      </c>
      <c r="J252" s="5">
        <f ca="1">COUNTBLANK(OFFSET(Demand!$I261,0,(COLUMN(I249)-1)*5,1,1))</f>
        <v>1</v>
      </c>
      <c r="K252" s="5">
        <f ca="1">COUNTBLANK(OFFSET(Demand!$I261,0,(COLUMN(J249)-1)*5,1,1))</f>
        <v>1</v>
      </c>
      <c r="N252" s="5">
        <f ca="1">SUM(OFFSET(Demand!$E261,0,(COLUMN(A249)-1)*5,1,3))*N$2</f>
        <v>0</v>
      </c>
      <c r="O252" s="5">
        <f ca="1">SUM(OFFSET(Demand!$E261,0,(COLUMN(B249)-1)*5,1,3))*O$2</f>
        <v>0</v>
      </c>
      <c r="P252" s="5">
        <f ca="1">SUM(OFFSET(Demand!$E261,0,(COLUMN(C249)-1)*5,1,3))*P$2</f>
        <v>0</v>
      </c>
      <c r="Q252" s="5">
        <f ca="1">SUM(OFFSET(Demand!$E261,0,(COLUMN(D249)-1)*5,1,3))*Q$2</f>
        <v>0</v>
      </c>
      <c r="R252" s="5">
        <f ca="1">SUM(OFFSET(Demand!$E261,0,(COLUMN(E249)-1)*5,1,3))*R$2</f>
        <v>0</v>
      </c>
      <c r="S252" s="5">
        <f ca="1">SUM(OFFSET(Demand!$E261,0,(COLUMN(F249)-1)*5,1,3))*S$2</f>
        <v>0</v>
      </c>
      <c r="T252" s="5">
        <f ca="1">SUM(OFFSET(Demand!$E261,0,(COLUMN(G249)-1)*5,1,3))*T$2</f>
        <v>0</v>
      </c>
      <c r="U252" s="5">
        <f ca="1">SUM(OFFSET(Demand!$E261,0,(COLUMN(H249)-1)*5,1,3))*U$2</f>
        <v>0</v>
      </c>
      <c r="V252" s="5">
        <f ca="1">SUM(OFFSET(Demand!$E261,0,(COLUMN(I249)-1)*5,1,3))*V$2</f>
        <v>0</v>
      </c>
      <c r="W252" s="5">
        <f ca="1">SUM(OFFSET(Demand!$E261,0,(COLUMN(J249)-1)*5,1,3))*W$2</f>
        <v>0</v>
      </c>
      <c r="X252" s="5">
        <f t="shared" ca="1" si="47"/>
        <v>0</v>
      </c>
      <c r="Y252">
        <f t="shared" ca="1" si="48"/>
        <v>0</v>
      </c>
      <c r="Z252" s="5">
        <f ca="1">SUM(OFFSET(Demand!$H261,0,(COLUMN(A249)-1)*5,1,1))*N$2</f>
        <v>0</v>
      </c>
      <c r="AA252" s="5">
        <f ca="1">SUM(OFFSET(Demand!$H261,0,(COLUMN(B249)-1)*5,1,1))*O$2</f>
        <v>0</v>
      </c>
      <c r="AB252" s="5">
        <f ca="1">SUM(OFFSET(Demand!$H261,0,(COLUMN(C249)-1)*5,1,1))*P$2</f>
        <v>0</v>
      </c>
      <c r="AC252" s="5">
        <f ca="1">SUM(OFFSET(Demand!$H261,0,(COLUMN(D249)-1)*5,1,1))*Q$2</f>
        <v>0</v>
      </c>
      <c r="AD252" s="5">
        <f ca="1">SUM(OFFSET(Demand!$H261,0,(COLUMN(E249)-1)*5,1,1))*R$2</f>
        <v>0</v>
      </c>
      <c r="AE252" s="5">
        <f ca="1">SUM(OFFSET(Demand!$H261,0,(COLUMN(F249)-1)*5,1,1))*S$2</f>
        <v>0</v>
      </c>
      <c r="AF252" s="5">
        <f ca="1">SUM(OFFSET(Demand!$H261,0,(COLUMN(G249)-1)*5,1,1))*T$2</f>
        <v>0</v>
      </c>
      <c r="AG252" s="5">
        <f ca="1">SUM(OFFSET(Demand!$H261,0,(COLUMN(H249)-1)*5,1,1))*U$2</f>
        <v>0</v>
      </c>
      <c r="AH252" s="5">
        <f ca="1">SUM(OFFSET(Demand!$H261,0,(COLUMN(I249)-1)*5,1,1))*V$2</f>
        <v>0</v>
      </c>
      <c r="AI252" s="5">
        <f ca="1">SUM(OFFSET(Demand!$H261,0,(COLUMN(J249)-1)*5,1,1))*W$2</f>
        <v>0</v>
      </c>
      <c r="AJ252" s="5">
        <f t="shared" ca="1" si="49"/>
        <v>0</v>
      </c>
      <c r="AL252" s="5">
        <f t="shared" ca="1" si="50"/>
        <v>0</v>
      </c>
      <c r="AM252" s="5">
        <f t="shared" ca="1" si="51"/>
        <v>0</v>
      </c>
      <c r="AN252" s="5" t="str">
        <f>IF(Demand!BE261="Yes","Yes","")</f>
        <v/>
      </c>
      <c r="AP252" s="37" t="str">
        <f ca="1">Demand!B261</f>
        <v xml:space="preserve"> </v>
      </c>
      <c r="AQ252" t="str">
        <f ca="1">IF(TEXT(Demand!D261,"MMM")&lt;&gt;TEXT(Demand!D260,"MMM"),TEXT(Demand!D261,"MMM"),"")</f>
        <v/>
      </c>
      <c r="AT252" s="5">
        <f t="shared" ca="1" si="53"/>
        <v>0</v>
      </c>
      <c r="BQ252">
        <f ca="1">IF($AN252="",OFFSET(Demand!$A$13,ROW(A249)-1,4+((QUOTIENT(COLUMN(BQ$2)-69,3))*5)+MOD(COLUMN(BQ$2),3),1,1),"")</f>
        <v>0</v>
      </c>
      <c r="BR252">
        <f ca="1">IF($AN252="",OFFSET(Demand!$A$13,ROW(B249)-1,4+((QUOTIENT(COLUMN(BR$2)-69,3))*5)+MOD(COLUMN(BR$2),3),1,1),"")</f>
        <v>0</v>
      </c>
      <c r="BS252">
        <f ca="1">IF($AN252="",OFFSET(Demand!$A$13,ROW(C249)-1,4+((QUOTIENT(COLUMN(BS$2)-69,3))*5)+MOD(COLUMN(BS$2),3),1,1),"")</f>
        <v>0</v>
      </c>
      <c r="BT252">
        <f ca="1">IF($AN252="",OFFSET(Demand!$A$13,ROW(D249)-1,4+((QUOTIENT(COLUMN(BT$2)-69,3))*5)+MOD(COLUMN(BT$2),3),1,1),"")</f>
        <v>0</v>
      </c>
      <c r="BU252">
        <f ca="1">IF($AN252="",OFFSET(Demand!$A$13,ROW(E249)-1,4+((QUOTIENT(COLUMN(BU$2)-69,3))*5)+MOD(COLUMN(BU$2),3),1,1),"")</f>
        <v>0</v>
      </c>
      <c r="BV252">
        <f ca="1">IF($AN252="",OFFSET(Demand!$A$13,ROW(F249)-1,4+((QUOTIENT(COLUMN(BV$2)-69,3))*5)+MOD(COLUMN(BV$2),3),1,1),"")</f>
        <v>0</v>
      </c>
      <c r="BW252">
        <f ca="1">IF($AN252="",OFFSET(Demand!$A$13,ROW(G249)-1,4+((QUOTIENT(COLUMN(BW$2)-69,3))*5)+MOD(COLUMN(BW$2),3),1,1),"")</f>
        <v>0</v>
      </c>
      <c r="BX252">
        <f ca="1">IF($AN252="",OFFSET(Demand!$A$13,ROW(H249)-1,4+((QUOTIENT(COLUMN(BX$2)-69,3))*5)+MOD(COLUMN(BX$2),3),1,1),"")</f>
        <v>0</v>
      </c>
      <c r="BY252">
        <f ca="1">IF($AN252="",OFFSET(Demand!$A$13,ROW(I249)-1,4+((QUOTIENT(COLUMN(BY$2)-69,3))*5)+MOD(COLUMN(BY$2),3),1,1),"")</f>
        <v>0</v>
      </c>
      <c r="BZ252">
        <f ca="1">IF($AN252="",OFFSET(Demand!$A$13,ROW(J249)-1,4+((QUOTIENT(COLUMN(BZ$2)-69,3))*5)+MOD(COLUMN(BZ$2),3),1,1),"")</f>
        <v>0</v>
      </c>
      <c r="CA252">
        <f ca="1">IF($AN252="",OFFSET(Demand!$A$13,ROW(K249)-1,4+((QUOTIENT(COLUMN(CA$2)-69,3))*5)+MOD(COLUMN(CA$2),3),1,1),"")</f>
        <v>0</v>
      </c>
      <c r="CB252">
        <f ca="1">IF($AN252="",OFFSET(Demand!$A$13,ROW(L249)-1,4+((QUOTIENT(COLUMN(CB$2)-69,3))*5)+MOD(COLUMN(CB$2),3),1,1),"")</f>
        <v>0</v>
      </c>
      <c r="CC252">
        <f ca="1">IF($AN252="",OFFSET(Demand!$A$13,ROW(M249)-1,4+((QUOTIENT(COLUMN(CC$2)-69,3))*5)+MOD(COLUMN(CC$2),3),1,1),"")</f>
        <v>0</v>
      </c>
      <c r="CD252">
        <f ca="1">IF($AN252="",OFFSET(Demand!$A$13,ROW(N249)-1,4+((QUOTIENT(COLUMN(CD$2)-69,3))*5)+MOD(COLUMN(CD$2),3),1,1),"")</f>
        <v>0</v>
      </c>
      <c r="CE252">
        <f ca="1">IF($AN252="",OFFSET(Demand!$A$13,ROW(O249)-1,4+((QUOTIENT(COLUMN(CE$2)-69,3))*5)+MOD(COLUMN(CE$2),3),1,1),"")</f>
        <v>0</v>
      </c>
      <c r="CF252">
        <f ca="1">IF($AN252="",OFFSET(Demand!$A$13,ROW(P249)-1,4+((QUOTIENT(COLUMN(CF$2)-69,3))*5)+MOD(COLUMN(CF$2),3),1,1),"")</f>
        <v>0</v>
      </c>
      <c r="CG252">
        <f ca="1">IF($AN252="",OFFSET(Demand!$A$13,ROW(Q249)-1,4+((QUOTIENT(COLUMN(CG$2)-69,3))*5)+MOD(COLUMN(CG$2),3),1,1),"")</f>
        <v>0</v>
      </c>
      <c r="CH252">
        <f ca="1">IF($AN252="",OFFSET(Demand!$A$13,ROW(R249)-1,4+((QUOTIENT(COLUMN(CH$2)-69,3))*5)+MOD(COLUMN(CH$2),3),1,1),"")</f>
        <v>0</v>
      </c>
      <c r="CI252">
        <f ca="1">IF($AN252="",OFFSET(Demand!$A$13,ROW(S249)-1,4+((QUOTIENT(COLUMN(CI$2)-69,3))*5)+MOD(COLUMN(CI$2),3),1,1),"")</f>
        <v>0</v>
      </c>
      <c r="CJ252">
        <f ca="1">IF($AN252="",OFFSET(Demand!$A$13,ROW(T249)-1,4+((QUOTIENT(COLUMN(CJ$2)-69,3))*5)+MOD(COLUMN(CJ$2),3),1,1),"")</f>
        <v>0</v>
      </c>
      <c r="CK252">
        <f ca="1">IF($AN252="",OFFSET(Demand!$A$13,ROW(U249)-1,4+((QUOTIENT(COLUMN(CK$2)-69,3))*5)+MOD(COLUMN(CK$2),3),1,1),"")</f>
        <v>0</v>
      </c>
      <c r="CL252">
        <f ca="1">IF($AN252="",OFFSET(Demand!$A$13,ROW(V249)-1,4+((QUOTIENT(COLUMN(CL$2)-69,3))*5)+MOD(COLUMN(CL$2),3),1,1),"")</f>
        <v>0</v>
      </c>
      <c r="CM252">
        <f ca="1">IF($AN252="",OFFSET(Demand!$A$13,ROW(W249)-1,4+((QUOTIENT(COLUMN(CM$2)-69,3))*5)+MOD(COLUMN(CM$2),3),1,1),"")</f>
        <v>0</v>
      </c>
      <c r="CN252">
        <f ca="1">IF($AN252="",OFFSET(Demand!$A$13,ROW(X249)-1,4+((QUOTIENT(COLUMN(CN$2)-69,3))*5)+MOD(COLUMN(CN$2),3),1,1),"")</f>
        <v>0</v>
      </c>
      <c r="CO252">
        <f ca="1">IF($AN252="",OFFSET(Demand!$A$13,ROW(Y249)-1,4+((QUOTIENT(COLUMN(CO$2)-69,3))*5)+MOD(COLUMN(CO$2),3),1,1),"")</f>
        <v>0</v>
      </c>
      <c r="CP252">
        <f ca="1">IF($AN252="",OFFSET(Demand!$A$13,ROW(Z249)-1,4+((QUOTIENT(COLUMN(CP$2)-69,3))*5)+MOD(COLUMN(CP$2),3),1,1),"")</f>
        <v>0</v>
      </c>
      <c r="CQ252">
        <f ca="1">IF($AN252="",OFFSET(Demand!$A$13,ROW(AA249)-1,4+((QUOTIENT(COLUMN(CQ$2)-69,3))*5)+MOD(COLUMN(CQ$2),3),1,1),"")</f>
        <v>0</v>
      </c>
      <c r="CR252">
        <f ca="1">IF($AN252="",OFFSET(Demand!$A$13,ROW(AB249)-1,4+((QUOTIENT(COLUMN(CR$2)-69,3))*5)+MOD(COLUMN(CR$2),3),1,1),"")</f>
        <v>0</v>
      </c>
      <c r="CS252">
        <f ca="1">IF($AN252="",OFFSET(Demand!$A$13,ROW(AC249)-1,4+((QUOTIENT(COLUMN(CS$2)-69,3))*5)+MOD(COLUMN(CS$2),3),1,1),"")</f>
        <v>0</v>
      </c>
      <c r="CT252">
        <f ca="1">IF($AN252="",OFFSET(Demand!$A$13,ROW(AD249)-1,4+((QUOTIENT(COLUMN(CT$2)-69,3))*5)+MOD(COLUMN(CT$2),3),1,1),"")</f>
        <v>0</v>
      </c>
      <c r="CW252" s="5">
        <f ca="1">SUM(OFFSET(Demand!$H$43,ROW(A249)-1,(COLUMN(A249)-1)*5,1,1))*N$2</f>
        <v>0</v>
      </c>
      <c r="CX252" s="5">
        <f ca="1">SUM(OFFSET(Demand!$H$43,ROW(B249)-1,(COLUMN(B249)-1)*5,1,1))*O$2</f>
        <v>0</v>
      </c>
      <c r="CY252" s="5">
        <f ca="1">SUM(OFFSET(Demand!$H$43,ROW(C249)-1,(COLUMN(C249)-1)*5,1,1))*P$2</f>
        <v>0</v>
      </c>
      <c r="CZ252" s="5">
        <f ca="1">SUM(OFFSET(Demand!$H$43,ROW(D249)-1,(COLUMN(D249)-1)*5,1,1))*Q$2</f>
        <v>0</v>
      </c>
      <c r="DA252" s="5">
        <f ca="1">SUM(OFFSET(Demand!$H$43,ROW(E249)-1,(COLUMN(E249)-1)*5,1,1))*R$2</f>
        <v>0</v>
      </c>
      <c r="DB252" s="5">
        <f ca="1">SUM(OFFSET(Demand!$H$43,ROW(F249)-1,(COLUMN(F249)-1)*5,1,1))*S$2</f>
        <v>0</v>
      </c>
      <c r="DC252" s="5">
        <f ca="1">SUM(OFFSET(Demand!$H$43,ROW(G249)-1,(COLUMN(G249)-1)*5,1,1))*T$2</f>
        <v>0</v>
      </c>
      <c r="DD252" s="5">
        <f ca="1">SUM(OFFSET(Demand!$H$43,ROW(H249)-1,(COLUMN(H249)-1)*5,1,1))*U$2</f>
        <v>0</v>
      </c>
      <c r="DE252" s="5">
        <f ca="1">SUM(OFFSET(Demand!$H$43,ROW(I249)-1,(COLUMN(I249)-1)*5,1,1))*V$2</f>
        <v>0</v>
      </c>
      <c r="DF252" s="5">
        <f ca="1">SUM(OFFSET(Demand!$H$43,ROW(J249)-1,(COLUMN(J249)-1)*5,1,1))*W$2</f>
        <v>0</v>
      </c>
      <c r="DG252" s="5">
        <f t="shared" ca="1" si="52"/>
        <v>0</v>
      </c>
    </row>
    <row r="253" spans="1:111" x14ac:dyDescent="0.2">
      <c r="A253" s="5">
        <f t="shared" ref="A253:A263" ca="1" si="55">SUM(OFFSET(B253,0,0,1,Num_Modalities))</f>
        <v>2</v>
      </c>
      <c r="B253" s="5">
        <f ca="1">COUNTBLANK(OFFSET(Demand!$I262,0,(COLUMN(A250)-1)*5,1,1))</f>
        <v>1</v>
      </c>
      <c r="C253" s="5">
        <f ca="1">COUNTBLANK(OFFSET(Demand!$I262,0,(COLUMN(B250)-1)*5,1,1))</f>
        <v>1</v>
      </c>
      <c r="D253" s="5">
        <f ca="1">COUNTBLANK(OFFSET(Demand!$I262,0,(COLUMN(C250)-1)*5,1,1))</f>
        <v>1</v>
      </c>
      <c r="E253" s="5">
        <f ca="1">COUNTBLANK(OFFSET(Demand!$I262,0,(COLUMN(D250)-1)*5,1,1))</f>
        <v>1</v>
      </c>
      <c r="F253" s="5">
        <f ca="1">COUNTBLANK(OFFSET(Demand!$I262,0,(COLUMN(E250)-1)*5,1,1))</f>
        <v>1</v>
      </c>
      <c r="G253" s="5">
        <f ca="1">COUNTBLANK(OFFSET(Demand!$I262,0,(COLUMN(F250)-1)*5,1,1))</f>
        <v>1</v>
      </c>
      <c r="H253" s="5">
        <f ca="1">COUNTBLANK(OFFSET(Demand!$I262,0,(COLUMN(G250)-1)*5,1,1))</f>
        <v>1</v>
      </c>
      <c r="I253" s="5">
        <f ca="1">COUNTBLANK(OFFSET(Demand!$I262,0,(COLUMN(H250)-1)*5,1,1))</f>
        <v>1</v>
      </c>
      <c r="J253" s="5">
        <f ca="1">COUNTBLANK(OFFSET(Demand!$I262,0,(COLUMN(I250)-1)*5,1,1))</f>
        <v>1</v>
      </c>
      <c r="K253" s="5">
        <f ca="1">COUNTBLANK(OFFSET(Demand!$I262,0,(COLUMN(J250)-1)*5,1,1))</f>
        <v>1</v>
      </c>
      <c r="N253" s="5">
        <f ca="1">SUM(OFFSET(Demand!$E262,0,(COLUMN(A250)-1)*5,1,3))*N$2</f>
        <v>0</v>
      </c>
      <c r="O253" s="5">
        <f ca="1">SUM(OFFSET(Demand!$E262,0,(COLUMN(B250)-1)*5,1,3))*O$2</f>
        <v>0</v>
      </c>
      <c r="P253" s="5">
        <f ca="1">SUM(OFFSET(Demand!$E262,0,(COLUMN(C250)-1)*5,1,3))*P$2</f>
        <v>0</v>
      </c>
      <c r="Q253" s="5">
        <f ca="1">SUM(OFFSET(Demand!$E262,0,(COLUMN(D250)-1)*5,1,3))*Q$2</f>
        <v>0</v>
      </c>
      <c r="R253" s="5">
        <f ca="1">SUM(OFFSET(Demand!$E262,0,(COLUMN(E250)-1)*5,1,3))*R$2</f>
        <v>0</v>
      </c>
      <c r="S253" s="5">
        <f ca="1">SUM(OFFSET(Demand!$E262,0,(COLUMN(F250)-1)*5,1,3))*S$2</f>
        <v>0</v>
      </c>
      <c r="T253" s="5">
        <f ca="1">SUM(OFFSET(Demand!$E262,0,(COLUMN(G250)-1)*5,1,3))*T$2</f>
        <v>0</v>
      </c>
      <c r="U253" s="5">
        <f ca="1">SUM(OFFSET(Demand!$E262,0,(COLUMN(H250)-1)*5,1,3))*U$2</f>
        <v>0</v>
      </c>
      <c r="V253" s="5">
        <f ca="1">SUM(OFFSET(Demand!$E262,0,(COLUMN(I250)-1)*5,1,3))*V$2</f>
        <v>0</v>
      </c>
      <c r="W253" s="5">
        <f ca="1">SUM(OFFSET(Demand!$E262,0,(COLUMN(J250)-1)*5,1,3))*W$2</f>
        <v>0</v>
      </c>
      <c r="X253" s="5">
        <f t="shared" ca="1" si="47"/>
        <v>0</v>
      </c>
      <c r="Y253">
        <f t="shared" ca="1" si="48"/>
        <v>0</v>
      </c>
      <c r="Z253" s="5">
        <f ca="1">SUM(OFFSET(Demand!$H262,0,(COLUMN(A250)-1)*5,1,1))*N$2</f>
        <v>0</v>
      </c>
      <c r="AA253" s="5">
        <f ca="1">SUM(OFFSET(Demand!$H262,0,(COLUMN(B250)-1)*5,1,1))*O$2</f>
        <v>0</v>
      </c>
      <c r="AB253" s="5">
        <f ca="1">SUM(OFFSET(Demand!$H262,0,(COLUMN(C250)-1)*5,1,1))*P$2</f>
        <v>0</v>
      </c>
      <c r="AC253" s="5">
        <f ca="1">SUM(OFFSET(Demand!$H262,0,(COLUMN(D250)-1)*5,1,1))*Q$2</f>
        <v>0</v>
      </c>
      <c r="AD253" s="5">
        <f ca="1">SUM(OFFSET(Demand!$H262,0,(COLUMN(E250)-1)*5,1,1))*R$2</f>
        <v>0</v>
      </c>
      <c r="AE253" s="5">
        <f ca="1">SUM(OFFSET(Demand!$H262,0,(COLUMN(F250)-1)*5,1,1))*S$2</f>
        <v>0</v>
      </c>
      <c r="AF253" s="5">
        <f ca="1">SUM(OFFSET(Demand!$H262,0,(COLUMN(G250)-1)*5,1,1))*T$2</f>
        <v>0</v>
      </c>
      <c r="AG253" s="5">
        <f ca="1">SUM(OFFSET(Demand!$H262,0,(COLUMN(H250)-1)*5,1,1))*U$2</f>
        <v>0</v>
      </c>
      <c r="AH253" s="5">
        <f ca="1">SUM(OFFSET(Demand!$H262,0,(COLUMN(I250)-1)*5,1,1))*V$2</f>
        <v>0</v>
      </c>
      <c r="AI253" s="5">
        <f ca="1">SUM(OFFSET(Demand!$H262,0,(COLUMN(J250)-1)*5,1,1))*W$2</f>
        <v>0</v>
      </c>
      <c r="AJ253" s="5">
        <f t="shared" ca="1" si="49"/>
        <v>0</v>
      </c>
      <c r="AL253" s="5">
        <f t="shared" ca="1" si="50"/>
        <v>0</v>
      </c>
      <c r="AM253" s="5">
        <f t="shared" ca="1" si="51"/>
        <v>0</v>
      </c>
      <c r="AN253" s="5" t="str">
        <f>IF(Demand!BE262="Yes","Yes","")</f>
        <v/>
      </c>
      <c r="AP253" s="37" t="str">
        <f ca="1">Demand!B262</f>
        <v xml:space="preserve"> </v>
      </c>
      <c r="AQ253" t="str">
        <f ca="1">IF(TEXT(Demand!D262,"MMM")&lt;&gt;TEXT(Demand!D261,"MMM"),TEXT(Demand!D262,"MMM"),"")</f>
        <v/>
      </c>
      <c r="AT253" s="5">
        <f t="shared" ca="1" si="53"/>
        <v>0</v>
      </c>
      <c r="BQ253">
        <f ca="1">IF($AN253="",OFFSET(Demand!$A$13,ROW(A250)-1,4+((QUOTIENT(COLUMN(BQ$2)-69,3))*5)+MOD(COLUMN(BQ$2),3),1,1),"")</f>
        <v>0</v>
      </c>
      <c r="BR253">
        <f ca="1">IF($AN253="",OFFSET(Demand!$A$13,ROW(B250)-1,4+((QUOTIENT(COLUMN(BR$2)-69,3))*5)+MOD(COLUMN(BR$2),3),1,1),"")</f>
        <v>0</v>
      </c>
      <c r="BS253">
        <f ca="1">IF($AN253="",OFFSET(Demand!$A$13,ROW(C250)-1,4+((QUOTIENT(COLUMN(BS$2)-69,3))*5)+MOD(COLUMN(BS$2),3),1,1),"")</f>
        <v>0</v>
      </c>
      <c r="BT253">
        <f ca="1">IF($AN253="",OFFSET(Demand!$A$13,ROW(D250)-1,4+((QUOTIENT(COLUMN(BT$2)-69,3))*5)+MOD(COLUMN(BT$2),3),1,1),"")</f>
        <v>0</v>
      </c>
      <c r="BU253">
        <f ca="1">IF($AN253="",OFFSET(Demand!$A$13,ROW(E250)-1,4+((QUOTIENT(COLUMN(BU$2)-69,3))*5)+MOD(COLUMN(BU$2),3),1,1),"")</f>
        <v>0</v>
      </c>
      <c r="BV253">
        <f ca="1">IF($AN253="",OFFSET(Demand!$A$13,ROW(F250)-1,4+((QUOTIENT(COLUMN(BV$2)-69,3))*5)+MOD(COLUMN(BV$2),3),1,1),"")</f>
        <v>0</v>
      </c>
      <c r="BW253">
        <f ca="1">IF($AN253="",OFFSET(Demand!$A$13,ROW(G250)-1,4+((QUOTIENT(COLUMN(BW$2)-69,3))*5)+MOD(COLUMN(BW$2),3),1,1),"")</f>
        <v>0</v>
      </c>
      <c r="BX253">
        <f ca="1">IF($AN253="",OFFSET(Demand!$A$13,ROW(H250)-1,4+((QUOTIENT(COLUMN(BX$2)-69,3))*5)+MOD(COLUMN(BX$2),3),1,1),"")</f>
        <v>0</v>
      </c>
      <c r="BY253">
        <f ca="1">IF($AN253="",OFFSET(Demand!$A$13,ROW(I250)-1,4+((QUOTIENT(COLUMN(BY$2)-69,3))*5)+MOD(COLUMN(BY$2),3),1,1),"")</f>
        <v>0</v>
      </c>
      <c r="BZ253">
        <f ca="1">IF($AN253="",OFFSET(Demand!$A$13,ROW(J250)-1,4+((QUOTIENT(COLUMN(BZ$2)-69,3))*5)+MOD(COLUMN(BZ$2),3),1,1),"")</f>
        <v>0</v>
      </c>
      <c r="CA253">
        <f ca="1">IF($AN253="",OFFSET(Demand!$A$13,ROW(K250)-1,4+((QUOTIENT(COLUMN(CA$2)-69,3))*5)+MOD(COLUMN(CA$2),3),1,1),"")</f>
        <v>0</v>
      </c>
      <c r="CB253">
        <f ca="1">IF($AN253="",OFFSET(Demand!$A$13,ROW(L250)-1,4+((QUOTIENT(COLUMN(CB$2)-69,3))*5)+MOD(COLUMN(CB$2),3),1,1),"")</f>
        <v>0</v>
      </c>
      <c r="CC253">
        <f ca="1">IF($AN253="",OFFSET(Demand!$A$13,ROW(M250)-1,4+((QUOTIENT(COLUMN(CC$2)-69,3))*5)+MOD(COLUMN(CC$2),3),1,1),"")</f>
        <v>0</v>
      </c>
      <c r="CD253">
        <f ca="1">IF($AN253="",OFFSET(Demand!$A$13,ROW(N250)-1,4+((QUOTIENT(COLUMN(CD$2)-69,3))*5)+MOD(COLUMN(CD$2),3),1,1),"")</f>
        <v>0</v>
      </c>
      <c r="CE253">
        <f ca="1">IF($AN253="",OFFSET(Demand!$A$13,ROW(O250)-1,4+((QUOTIENT(COLUMN(CE$2)-69,3))*5)+MOD(COLUMN(CE$2),3),1,1),"")</f>
        <v>0</v>
      </c>
      <c r="CF253">
        <f ca="1">IF($AN253="",OFFSET(Demand!$A$13,ROW(P250)-1,4+((QUOTIENT(COLUMN(CF$2)-69,3))*5)+MOD(COLUMN(CF$2),3),1,1),"")</f>
        <v>0</v>
      </c>
      <c r="CG253">
        <f ca="1">IF($AN253="",OFFSET(Demand!$A$13,ROW(Q250)-1,4+((QUOTIENT(COLUMN(CG$2)-69,3))*5)+MOD(COLUMN(CG$2),3),1,1),"")</f>
        <v>0</v>
      </c>
      <c r="CH253">
        <f ca="1">IF($AN253="",OFFSET(Demand!$A$13,ROW(R250)-1,4+((QUOTIENT(COLUMN(CH$2)-69,3))*5)+MOD(COLUMN(CH$2),3),1,1),"")</f>
        <v>0</v>
      </c>
      <c r="CI253">
        <f ca="1">IF($AN253="",OFFSET(Demand!$A$13,ROW(S250)-1,4+((QUOTIENT(COLUMN(CI$2)-69,3))*5)+MOD(COLUMN(CI$2),3),1,1),"")</f>
        <v>0</v>
      </c>
      <c r="CJ253">
        <f ca="1">IF($AN253="",OFFSET(Demand!$A$13,ROW(T250)-1,4+((QUOTIENT(COLUMN(CJ$2)-69,3))*5)+MOD(COLUMN(CJ$2),3),1,1),"")</f>
        <v>0</v>
      </c>
      <c r="CK253">
        <f ca="1">IF($AN253="",OFFSET(Demand!$A$13,ROW(U250)-1,4+((QUOTIENT(COLUMN(CK$2)-69,3))*5)+MOD(COLUMN(CK$2),3),1,1),"")</f>
        <v>0</v>
      </c>
      <c r="CL253">
        <f ca="1">IF($AN253="",OFFSET(Demand!$A$13,ROW(V250)-1,4+((QUOTIENT(COLUMN(CL$2)-69,3))*5)+MOD(COLUMN(CL$2),3),1,1),"")</f>
        <v>0</v>
      </c>
      <c r="CM253">
        <f ca="1">IF($AN253="",OFFSET(Demand!$A$13,ROW(W250)-1,4+((QUOTIENT(COLUMN(CM$2)-69,3))*5)+MOD(COLUMN(CM$2),3),1,1),"")</f>
        <v>0</v>
      </c>
      <c r="CN253">
        <f ca="1">IF($AN253="",OFFSET(Demand!$A$13,ROW(X250)-1,4+((QUOTIENT(COLUMN(CN$2)-69,3))*5)+MOD(COLUMN(CN$2),3),1,1),"")</f>
        <v>0</v>
      </c>
      <c r="CO253">
        <f ca="1">IF($AN253="",OFFSET(Demand!$A$13,ROW(Y250)-1,4+((QUOTIENT(COLUMN(CO$2)-69,3))*5)+MOD(COLUMN(CO$2),3),1,1),"")</f>
        <v>0</v>
      </c>
      <c r="CP253">
        <f ca="1">IF($AN253="",OFFSET(Demand!$A$13,ROW(Z250)-1,4+((QUOTIENT(COLUMN(CP$2)-69,3))*5)+MOD(COLUMN(CP$2),3),1,1),"")</f>
        <v>0</v>
      </c>
      <c r="CQ253">
        <f ca="1">IF($AN253="",OFFSET(Demand!$A$13,ROW(AA250)-1,4+((QUOTIENT(COLUMN(CQ$2)-69,3))*5)+MOD(COLUMN(CQ$2),3),1,1),"")</f>
        <v>0</v>
      </c>
      <c r="CR253">
        <f ca="1">IF($AN253="",OFFSET(Demand!$A$13,ROW(AB250)-1,4+((QUOTIENT(COLUMN(CR$2)-69,3))*5)+MOD(COLUMN(CR$2),3),1,1),"")</f>
        <v>0</v>
      </c>
      <c r="CS253">
        <f ca="1">IF($AN253="",OFFSET(Demand!$A$13,ROW(AC250)-1,4+((QUOTIENT(COLUMN(CS$2)-69,3))*5)+MOD(COLUMN(CS$2),3),1,1),"")</f>
        <v>0</v>
      </c>
      <c r="CT253">
        <f ca="1">IF($AN253="",OFFSET(Demand!$A$13,ROW(AD250)-1,4+((QUOTIENT(COLUMN(CT$2)-69,3))*5)+MOD(COLUMN(CT$2),3),1,1),"")</f>
        <v>0</v>
      </c>
      <c r="CW253" s="5">
        <f ca="1">SUM(OFFSET(Demand!$H$43,ROW(A250)-1,(COLUMN(A250)-1)*5,1,1))*N$2</f>
        <v>0</v>
      </c>
      <c r="CX253" s="5">
        <f ca="1">SUM(OFFSET(Demand!$H$43,ROW(B250)-1,(COLUMN(B250)-1)*5,1,1))*O$2</f>
        <v>0</v>
      </c>
      <c r="CY253" s="5">
        <f ca="1">SUM(OFFSET(Demand!$H$43,ROW(C250)-1,(COLUMN(C250)-1)*5,1,1))*P$2</f>
        <v>0</v>
      </c>
      <c r="CZ253" s="5">
        <f ca="1">SUM(OFFSET(Demand!$H$43,ROW(D250)-1,(COLUMN(D250)-1)*5,1,1))*Q$2</f>
        <v>0</v>
      </c>
      <c r="DA253" s="5">
        <f ca="1">SUM(OFFSET(Demand!$H$43,ROW(E250)-1,(COLUMN(E250)-1)*5,1,1))*R$2</f>
        <v>0</v>
      </c>
      <c r="DB253" s="5">
        <f ca="1">SUM(OFFSET(Demand!$H$43,ROW(F250)-1,(COLUMN(F250)-1)*5,1,1))*S$2</f>
        <v>0</v>
      </c>
      <c r="DC253" s="5">
        <f ca="1">SUM(OFFSET(Demand!$H$43,ROW(G250)-1,(COLUMN(G250)-1)*5,1,1))*T$2</f>
        <v>0</v>
      </c>
      <c r="DD253" s="5">
        <f ca="1">SUM(OFFSET(Demand!$H$43,ROW(H250)-1,(COLUMN(H250)-1)*5,1,1))*U$2</f>
        <v>0</v>
      </c>
      <c r="DE253" s="5">
        <f ca="1">SUM(OFFSET(Demand!$H$43,ROW(I250)-1,(COLUMN(I250)-1)*5,1,1))*V$2</f>
        <v>0</v>
      </c>
      <c r="DF253" s="5">
        <f ca="1">SUM(OFFSET(Demand!$H$43,ROW(J250)-1,(COLUMN(J250)-1)*5,1,1))*W$2</f>
        <v>0</v>
      </c>
      <c r="DG253" s="5">
        <f t="shared" ca="1" si="52"/>
        <v>0</v>
      </c>
    </row>
    <row r="254" spans="1:111" x14ac:dyDescent="0.2">
      <c r="A254" s="5">
        <f t="shared" ca="1" si="55"/>
        <v>2</v>
      </c>
      <c r="B254" s="5">
        <f ca="1">COUNTBLANK(OFFSET(Demand!$I263,0,(COLUMN(A251)-1)*5,1,1))</f>
        <v>1</v>
      </c>
      <c r="C254" s="5">
        <f ca="1">COUNTBLANK(OFFSET(Demand!$I263,0,(COLUMN(B251)-1)*5,1,1))</f>
        <v>1</v>
      </c>
      <c r="D254" s="5">
        <f ca="1">COUNTBLANK(OFFSET(Demand!$I263,0,(COLUMN(C251)-1)*5,1,1))</f>
        <v>1</v>
      </c>
      <c r="E254" s="5">
        <f ca="1">COUNTBLANK(OFFSET(Demand!$I263,0,(COLUMN(D251)-1)*5,1,1))</f>
        <v>1</v>
      </c>
      <c r="F254" s="5">
        <f ca="1">COUNTBLANK(OFFSET(Demand!$I263,0,(COLUMN(E251)-1)*5,1,1))</f>
        <v>1</v>
      </c>
      <c r="G254" s="5">
        <f ca="1">COUNTBLANK(OFFSET(Demand!$I263,0,(COLUMN(F251)-1)*5,1,1))</f>
        <v>1</v>
      </c>
      <c r="H254" s="5">
        <f ca="1">COUNTBLANK(OFFSET(Demand!$I263,0,(COLUMN(G251)-1)*5,1,1))</f>
        <v>1</v>
      </c>
      <c r="I254" s="5">
        <f ca="1">COUNTBLANK(OFFSET(Demand!$I263,0,(COLUMN(H251)-1)*5,1,1))</f>
        <v>1</v>
      </c>
      <c r="J254" s="5">
        <f ca="1">COUNTBLANK(OFFSET(Demand!$I263,0,(COLUMN(I251)-1)*5,1,1))</f>
        <v>1</v>
      </c>
      <c r="K254" s="5">
        <f ca="1">COUNTBLANK(OFFSET(Demand!$I263,0,(COLUMN(J251)-1)*5,1,1))</f>
        <v>1</v>
      </c>
      <c r="N254" s="5">
        <f ca="1">SUM(OFFSET(Demand!$E263,0,(COLUMN(A251)-1)*5,1,3))*N$2</f>
        <v>0</v>
      </c>
      <c r="O254" s="5">
        <f ca="1">SUM(OFFSET(Demand!$E263,0,(COLUMN(B251)-1)*5,1,3))*O$2</f>
        <v>0</v>
      </c>
      <c r="P254" s="5">
        <f ca="1">SUM(OFFSET(Demand!$E263,0,(COLUMN(C251)-1)*5,1,3))*P$2</f>
        <v>0</v>
      </c>
      <c r="Q254" s="5">
        <f ca="1">SUM(OFFSET(Demand!$E263,0,(COLUMN(D251)-1)*5,1,3))*Q$2</f>
        <v>0</v>
      </c>
      <c r="R254" s="5">
        <f ca="1">SUM(OFFSET(Demand!$E263,0,(COLUMN(E251)-1)*5,1,3))*R$2</f>
        <v>0</v>
      </c>
      <c r="S254" s="5">
        <f ca="1">SUM(OFFSET(Demand!$E263,0,(COLUMN(F251)-1)*5,1,3))*S$2</f>
        <v>0</v>
      </c>
      <c r="T254" s="5">
        <f ca="1">SUM(OFFSET(Demand!$E263,0,(COLUMN(G251)-1)*5,1,3))*T$2</f>
        <v>0</v>
      </c>
      <c r="U254" s="5">
        <f ca="1">SUM(OFFSET(Demand!$E263,0,(COLUMN(H251)-1)*5,1,3))*U$2</f>
        <v>0</v>
      </c>
      <c r="V254" s="5">
        <f ca="1">SUM(OFFSET(Demand!$E263,0,(COLUMN(I251)-1)*5,1,3))*V$2</f>
        <v>0</v>
      </c>
      <c r="W254" s="5">
        <f ca="1">SUM(OFFSET(Demand!$E263,0,(COLUMN(J251)-1)*5,1,3))*W$2</f>
        <v>0</v>
      </c>
      <c r="X254" s="5">
        <f t="shared" ca="1" si="47"/>
        <v>0</v>
      </c>
      <c r="Y254">
        <f t="shared" ca="1" si="48"/>
        <v>0</v>
      </c>
      <c r="Z254" s="5">
        <f ca="1">SUM(OFFSET(Demand!$H263,0,(COLUMN(A251)-1)*5,1,1))*N$2</f>
        <v>0</v>
      </c>
      <c r="AA254" s="5">
        <f ca="1">SUM(OFFSET(Demand!$H263,0,(COLUMN(B251)-1)*5,1,1))*O$2</f>
        <v>0</v>
      </c>
      <c r="AB254" s="5">
        <f ca="1">SUM(OFFSET(Demand!$H263,0,(COLUMN(C251)-1)*5,1,1))*P$2</f>
        <v>0</v>
      </c>
      <c r="AC254" s="5">
        <f ca="1">SUM(OFFSET(Demand!$H263,0,(COLUMN(D251)-1)*5,1,1))*Q$2</f>
        <v>0</v>
      </c>
      <c r="AD254" s="5">
        <f ca="1">SUM(OFFSET(Demand!$H263,0,(COLUMN(E251)-1)*5,1,1))*R$2</f>
        <v>0</v>
      </c>
      <c r="AE254" s="5">
        <f ca="1">SUM(OFFSET(Demand!$H263,0,(COLUMN(F251)-1)*5,1,1))*S$2</f>
        <v>0</v>
      </c>
      <c r="AF254" s="5">
        <f ca="1">SUM(OFFSET(Demand!$H263,0,(COLUMN(G251)-1)*5,1,1))*T$2</f>
        <v>0</v>
      </c>
      <c r="AG254" s="5">
        <f ca="1">SUM(OFFSET(Demand!$H263,0,(COLUMN(H251)-1)*5,1,1))*U$2</f>
        <v>0</v>
      </c>
      <c r="AH254" s="5">
        <f ca="1">SUM(OFFSET(Demand!$H263,0,(COLUMN(I251)-1)*5,1,1))*V$2</f>
        <v>0</v>
      </c>
      <c r="AI254" s="5">
        <f ca="1">SUM(OFFSET(Demand!$H263,0,(COLUMN(J251)-1)*5,1,1))*W$2</f>
        <v>0</v>
      </c>
      <c r="AJ254" s="5">
        <f t="shared" ca="1" si="49"/>
        <v>0</v>
      </c>
      <c r="AL254" s="5">
        <f t="shared" ca="1" si="50"/>
        <v>0</v>
      </c>
      <c r="AM254" s="5">
        <f t="shared" ca="1" si="51"/>
        <v>0</v>
      </c>
      <c r="AN254" s="5" t="str">
        <f>IF(Demand!BE263="Yes","Yes","")</f>
        <v/>
      </c>
      <c r="AP254" s="37" t="str">
        <f ca="1">Demand!B263</f>
        <v xml:space="preserve"> </v>
      </c>
      <c r="AQ254" t="str">
        <f ca="1">IF(TEXT(Demand!D263,"MMM")&lt;&gt;TEXT(Demand!D262,"MMM"),TEXT(Demand!D263,"MMM"),"")</f>
        <v/>
      </c>
      <c r="AT254" s="5">
        <f t="shared" ca="1" si="53"/>
        <v>0</v>
      </c>
      <c r="BQ254">
        <f ca="1">IF($AN254="",OFFSET(Demand!$A$13,ROW(A251)-1,4+((QUOTIENT(COLUMN(BQ$2)-69,3))*5)+MOD(COLUMN(BQ$2),3),1,1),"")</f>
        <v>0</v>
      </c>
      <c r="BR254">
        <f ca="1">IF($AN254="",OFFSET(Demand!$A$13,ROW(B251)-1,4+((QUOTIENT(COLUMN(BR$2)-69,3))*5)+MOD(COLUMN(BR$2),3),1,1),"")</f>
        <v>0</v>
      </c>
      <c r="BS254">
        <f ca="1">IF($AN254="",OFFSET(Demand!$A$13,ROW(C251)-1,4+((QUOTIENT(COLUMN(BS$2)-69,3))*5)+MOD(COLUMN(BS$2),3),1,1),"")</f>
        <v>0</v>
      </c>
      <c r="BT254">
        <f ca="1">IF($AN254="",OFFSET(Demand!$A$13,ROW(D251)-1,4+((QUOTIENT(COLUMN(BT$2)-69,3))*5)+MOD(COLUMN(BT$2),3),1,1),"")</f>
        <v>0</v>
      </c>
      <c r="BU254">
        <f ca="1">IF($AN254="",OFFSET(Demand!$A$13,ROW(E251)-1,4+((QUOTIENT(COLUMN(BU$2)-69,3))*5)+MOD(COLUMN(BU$2),3),1,1),"")</f>
        <v>0</v>
      </c>
      <c r="BV254">
        <f ca="1">IF($AN254="",OFFSET(Demand!$A$13,ROW(F251)-1,4+((QUOTIENT(COLUMN(BV$2)-69,3))*5)+MOD(COLUMN(BV$2),3),1,1),"")</f>
        <v>0</v>
      </c>
      <c r="BW254">
        <f ca="1">IF($AN254="",OFFSET(Demand!$A$13,ROW(G251)-1,4+((QUOTIENT(COLUMN(BW$2)-69,3))*5)+MOD(COLUMN(BW$2),3),1,1),"")</f>
        <v>0</v>
      </c>
      <c r="BX254">
        <f ca="1">IF($AN254="",OFFSET(Demand!$A$13,ROW(H251)-1,4+((QUOTIENT(COLUMN(BX$2)-69,3))*5)+MOD(COLUMN(BX$2),3),1,1),"")</f>
        <v>0</v>
      </c>
      <c r="BY254">
        <f ca="1">IF($AN254="",OFFSET(Demand!$A$13,ROW(I251)-1,4+((QUOTIENT(COLUMN(BY$2)-69,3))*5)+MOD(COLUMN(BY$2),3),1,1),"")</f>
        <v>0</v>
      </c>
      <c r="BZ254">
        <f ca="1">IF($AN254="",OFFSET(Demand!$A$13,ROW(J251)-1,4+((QUOTIENT(COLUMN(BZ$2)-69,3))*5)+MOD(COLUMN(BZ$2),3),1,1),"")</f>
        <v>0</v>
      </c>
      <c r="CA254">
        <f ca="1">IF($AN254="",OFFSET(Demand!$A$13,ROW(K251)-1,4+((QUOTIENT(COLUMN(CA$2)-69,3))*5)+MOD(COLUMN(CA$2),3),1,1),"")</f>
        <v>0</v>
      </c>
      <c r="CB254">
        <f ca="1">IF($AN254="",OFFSET(Demand!$A$13,ROW(L251)-1,4+((QUOTIENT(COLUMN(CB$2)-69,3))*5)+MOD(COLUMN(CB$2),3),1,1),"")</f>
        <v>0</v>
      </c>
      <c r="CC254">
        <f ca="1">IF($AN254="",OFFSET(Demand!$A$13,ROW(M251)-1,4+((QUOTIENT(COLUMN(CC$2)-69,3))*5)+MOD(COLUMN(CC$2),3),1,1),"")</f>
        <v>0</v>
      </c>
      <c r="CD254">
        <f ca="1">IF($AN254="",OFFSET(Demand!$A$13,ROW(N251)-1,4+((QUOTIENT(COLUMN(CD$2)-69,3))*5)+MOD(COLUMN(CD$2),3),1,1),"")</f>
        <v>0</v>
      </c>
      <c r="CE254">
        <f ca="1">IF($AN254="",OFFSET(Demand!$A$13,ROW(O251)-1,4+((QUOTIENT(COLUMN(CE$2)-69,3))*5)+MOD(COLUMN(CE$2),3),1,1),"")</f>
        <v>0</v>
      </c>
      <c r="CF254">
        <f ca="1">IF($AN254="",OFFSET(Demand!$A$13,ROW(P251)-1,4+((QUOTIENT(COLUMN(CF$2)-69,3))*5)+MOD(COLUMN(CF$2),3),1,1),"")</f>
        <v>0</v>
      </c>
      <c r="CG254">
        <f ca="1">IF($AN254="",OFFSET(Demand!$A$13,ROW(Q251)-1,4+((QUOTIENT(COLUMN(CG$2)-69,3))*5)+MOD(COLUMN(CG$2),3),1,1),"")</f>
        <v>0</v>
      </c>
      <c r="CH254">
        <f ca="1">IF($AN254="",OFFSET(Demand!$A$13,ROW(R251)-1,4+((QUOTIENT(COLUMN(CH$2)-69,3))*5)+MOD(COLUMN(CH$2),3),1,1),"")</f>
        <v>0</v>
      </c>
      <c r="CI254">
        <f ca="1">IF($AN254="",OFFSET(Demand!$A$13,ROW(S251)-1,4+((QUOTIENT(COLUMN(CI$2)-69,3))*5)+MOD(COLUMN(CI$2),3),1,1),"")</f>
        <v>0</v>
      </c>
      <c r="CJ254">
        <f ca="1">IF($AN254="",OFFSET(Demand!$A$13,ROW(T251)-1,4+((QUOTIENT(COLUMN(CJ$2)-69,3))*5)+MOD(COLUMN(CJ$2),3),1,1),"")</f>
        <v>0</v>
      </c>
      <c r="CK254">
        <f ca="1">IF($AN254="",OFFSET(Demand!$A$13,ROW(U251)-1,4+((QUOTIENT(COLUMN(CK$2)-69,3))*5)+MOD(COLUMN(CK$2),3),1,1),"")</f>
        <v>0</v>
      </c>
      <c r="CL254">
        <f ca="1">IF($AN254="",OFFSET(Demand!$A$13,ROW(V251)-1,4+((QUOTIENT(COLUMN(CL$2)-69,3))*5)+MOD(COLUMN(CL$2),3),1,1),"")</f>
        <v>0</v>
      </c>
      <c r="CM254">
        <f ca="1">IF($AN254="",OFFSET(Demand!$A$13,ROW(W251)-1,4+((QUOTIENT(COLUMN(CM$2)-69,3))*5)+MOD(COLUMN(CM$2),3),1,1),"")</f>
        <v>0</v>
      </c>
      <c r="CN254">
        <f ca="1">IF($AN254="",OFFSET(Demand!$A$13,ROW(X251)-1,4+((QUOTIENT(COLUMN(CN$2)-69,3))*5)+MOD(COLUMN(CN$2),3),1,1),"")</f>
        <v>0</v>
      </c>
      <c r="CO254">
        <f ca="1">IF($AN254="",OFFSET(Demand!$A$13,ROW(Y251)-1,4+((QUOTIENT(COLUMN(CO$2)-69,3))*5)+MOD(COLUMN(CO$2),3),1,1),"")</f>
        <v>0</v>
      </c>
      <c r="CP254">
        <f ca="1">IF($AN254="",OFFSET(Demand!$A$13,ROW(Z251)-1,4+((QUOTIENT(COLUMN(CP$2)-69,3))*5)+MOD(COLUMN(CP$2),3),1,1),"")</f>
        <v>0</v>
      </c>
      <c r="CQ254">
        <f ca="1">IF($AN254="",OFFSET(Demand!$A$13,ROW(AA251)-1,4+((QUOTIENT(COLUMN(CQ$2)-69,3))*5)+MOD(COLUMN(CQ$2),3),1,1),"")</f>
        <v>0</v>
      </c>
      <c r="CR254">
        <f ca="1">IF($AN254="",OFFSET(Demand!$A$13,ROW(AB251)-1,4+((QUOTIENT(COLUMN(CR$2)-69,3))*5)+MOD(COLUMN(CR$2),3),1,1),"")</f>
        <v>0</v>
      </c>
      <c r="CS254">
        <f ca="1">IF($AN254="",OFFSET(Demand!$A$13,ROW(AC251)-1,4+((QUOTIENT(COLUMN(CS$2)-69,3))*5)+MOD(COLUMN(CS$2),3),1,1),"")</f>
        <v>0</v>
      </c>
      <c r="CT254">
        <f ca="1">IF($AN254="",OFFSET(Demand!$A$13,ROW(AD251)-1,4+((QUOTIENT(COLUMN(CT$2)-69,3))*5)+MOD(COLUMN(CT$2),3),1,1),"")</f>
        <v>0</v>
      </c>
      <c r="CW254" s="5">
        <f ca="1">SUM(OFFSET(Demand!$H$43,ROW(A251)-1,(COLUMN(A251)-1)*5,1,1))*N$2</f>
        <v>0</v>
      </c>
      <c r="CX254" s="5">
        <f ca="1">SUM(OFFSET(Demand!$H$43,ROW(B251)-1,(COLUMN(B251)-1)*5,1,1))*O$2</f>
        <v>0</v>
      </c>
      <c r="CY254" s="5">
        <f ca="1">SUM(OFFSET(Demand!$H$43,ROW(C251)-1,(COLUMN(C251)-1)*5,1,1))*P$2</f>
        <v>0</v>
      </c>
      <c r="CZ254" s="5">
        <f ca="1">SUM(OFFSET(Demand!$H$43,ROW(D251)-1,(COLUMN(D251)-1)*5,1,1))*Q$2</f>
        <v>0</v>
      </c>
      <c r="DA254" s="5">
        <f ca="1">SUM(OFFSET(Demand!$H$43,ROW(E251)-1,(COLUMN(E251)-1)*5,1,1))*R$2</f>
        <v>0</v>
      </c>
      <c r="DB254" s="5">
        <f ca="1">SUM(OFFSET(Demand!$H$43,ROW(F251)-1,(COLUMN(F251)-1)*5,1,1))*S$2</f>
        <v>0</v>
      </c>
      <c r="DC254" s="5">
        <f ca="1">SUM(OFFSET(Demand!$H$43,ROW(G251)-1,(COLUMN(G251)-1)*5,1,1))*T$2</f>
        <v>0</v>
      </c>
      <c r="DD254" s="5">
        <f ca="1">SUM(OFFSET(Demand!$H$43,ROW(H251)-1,(COLUMN(H251)-1)*5,1,1))*U$2</f>
        <v>0</v>
      </c>
      <c r="DE254" s="5">
        <f ca="1">SUM(OFFSET(Demand!$H$43,ROW(I251)-1,(COLUMN(I251)-1)*5,1,1))*V$2</f>
        <v>0</v>
      </c>
      <c r="DF254" s="5">
        <f ca="1">SUM(OFFSET(Demand!$H$43,ROW(J251)-1,(COLUMN(J251)-1)*5,1,1))*W$2</f>
        <v>0</v>
      </c>
      <c r="DG254" s="5">
        <f t="shared" ca="1" si="52"/>
        <v>0</v>
      </c>
    </row>
    <row r="255" spans="1:111" x14ac:dyDescent="0.2">
      <c r="A255" s="5">
        <f t="shared" ca="1" si="55"/>
        <v>2</v>
      </c>
      <c r="B255" s="5">
        <f ca="1">COUNTBLANK(OFFSET(Demand!$I264,0,(COLUMN(A252)-1)*5,1,1))</f>
        <v>1</v>
      </c>
      <c r="C255" s="5">
        <f ca="1">COUNTBLANK(OFFSET(Demand!$I264,0,(COLUMN(B252)-1)*5,1,1))</f>
        <v>1</v>
      </c>
      <c r="D255" s="5">
        <f ca="1">COUNTBLANK(OFFSET(Demand!$I264,0,(COLUMN(C252)-1)*5,1,1))</f>
        <v>1</v>
      </c>
      <c r="E255" s="5">
        <f ca="1">COUNTBLANK(OFFSET(Demand!$I264,0,(COLUMN(D252)-1)*5,1,1))</f>
        <v>1</v>
      </c>
      <c r="F255" s="5">
        <f ca="1">COUNTBLANK(OFFSET(Demand!$I264,0,(COLUMN(E252)-1)*5,1,1))</f>
        <v>1</v>
      </c>
      <c r="G255" s="5">
        <f ca="1">COUNTBLANK(OFFSET(Demand!$I264,0,(COLUMN(F252)-1)*5,1,1))</f>
        <v>1</v>
      </c>
      <c r="H255" s="5">
        <f ca="1">COUNTBLANK(OFFSET(Demand!$I264,0,(COLUMN(G252)-1)*5,1,1))</f>
        <v>1</v>
      </c>
      <c r="I255" s="5">
        <f ca="1">COUNTBLANK(OFFSET(Demand!$I264,0,(COLUMN(H252)-1)*5,1,1))</f>
        <v>1</v>
      </c>
      <c r="J255" s="5">
        <f ca="1">COUNTBLANK(OFFSET(Demand!$I264,0,(COLUMN(I252)-1)*5,1,1))</f>
        <v>1</v>
      </c>
      <c r="K255" s="5">
        <f ca="1">COUNTBLANK(OFFSET(Demand!$I264,0,(COLUMN(J252)-1)*5,1,1))</f>
        <v>1</v>
      </c>
      <c r="N255" s="5">
        <f ca="1">SUM(OFFSET(Demand!$E264,0,(COLUMN(A252)-1)*5,1,3))*N$2</f>
        <v>0</v>
      </c>
      <c r="O255" s="5">
        <f ca="1">SUM(OFFSET(Demand!$E264,0,(COLUMN(B252)-1)*5,1,3))*O$2</f>
        <v>0</v>
      </c>
      <c r="P255" s="5">
        <f ca="1">SUM(OFFSET(Demand!$E264,0,(COLUMN(C252)-1)*5,1,3))*P$2</f>
        <v>0</v>
      </c>
      <c r="Q255" s="5">
        <f ca="1">SUM(OFFSET(Demand!$E264,0,(COLUMN(D252)-1)*5,1,3))*Q$2</f>
        <v>0</v>
      </c>
      <c r="R255" s="5">
        <f ca="1">SUM(OFFSET(Demand!$E264,0,(COLUMN(E252)-1)*5,1,3))*R$2</f>
        <v>0</v>
      </c>
      <c r="S255" s="5">
        <f ca="1">SUM(OFFSET(Demand!$E264,0,(COLUMN(F252)-1)*5,1,3))*S$2</f>
        <v>0</v>
      </c>
      <c r="T255" s="5">
        <f ca="1">SUM(OFFSET(Demand!$E264,0,(COLUMN(G252)-1)*5,1,3))*T$2</f>
        <v>0</v>
      </c>
      <c r="U255" s="5">
        <f ca="1">SUM(OFFSET(Demand!$E264,0,(COLUMN(H252)-1)*5,1,3))*U$2</f>
        <v>0</v>
      </c>
      <c r="V255" s="5">
        <f ca="1">SUM(OFFSET(Demand!$E264,0,(COLUMN(I252)-1)*5,1,3))*V$2</f>
        <v>0</v>
      </c>
      <c r="W255" s="5">
        <f ca="1">SUM(OFFSET(Demand!$E264,0,(COLUMN(J252)-1)*5,1,3))*W$2</f>
        <v>0</v>
      </c>
      <c r="X255" s="5">
        <f t="shared" ca="1" si="47"/>
        <v>0</v>
      </c>
      <c r="Y255">
        <f t="shared" ca="1" si="48"/>
        <v>0</v>
      </c>
      <c r="Z255" s="5">
        <f ca="1">SUM(OFFSET(Demand!$H264,0,(COLUMN(A252)-1)*5,1,1))*N$2</f>
        <v>0</v>
      </c>
      <c r="AA255" s="5">
        <f ca="1">SUM(OFFSET(Demand!$H264,0,(COLUMN(B252)-1)*5,1,1))*O$2</f>
        <v>0</v>
      </c>
      <c r="AB255" s="5">
        <f ca="1">SUM(OFFSET(Demand!$H264,0,(COLUMN(C252)-1)*5,1,1))*P$2</f>
        <v>0</v>
      </c>
      <c r="AC255" s="5">
        <f ca="1">SUM(OFFSET(Demand!$H264,0,(COLUMN(D252)-1)*5,1,1))*Q$2</f>
        <v>0</v>
      </c>
      <c r="AD255" s="5">
        <f ca="1">SUM(OFFSET(Demand!$H264,0,(COLUMN(E252)-1)*5,1,1))*R$2</f>
        <v>0</v>
      </c>
      <c r="AE255" s="5">
        <f ca="1">SUM(OFFSET(Demand!$H264,0,(COLUMN(F252)-1)*5,1,1))*S$2</f>
        <v>0</v>
      </c>
      <c r="AF255" s="5">
        <f ca="1">SUM(OFFSET(Demand!$H264,0,(COLUMN(G252)-1)*5,1,1))*T$2</f>
        <v>0</v>
      </c>
      <c r="AG255" s="5">
        <f ca="1">SUM(OFFSET(Demand!$H264,0,(COLUMN(H252)-1)*5,1,1))*U$2</f>
        <v>0</v>
      </c>
      <c r="AH255" s="5">
        <f ca="1">SUM(OFFSET(Demand!$H264,0,(COLUMN(I252)-1)*5,1,1))*V$2</f>
        <v>0</v>
      </c>
      <c r="AI255" s="5">
        <f ca="1">SUM(OFFSET(Demand!$H264,0,(COLUMN(J252)-1)*5,1,1))*W$2</f>
        <v>0</v>
      </c>
      <c r="AJ255" s="5">
        <f t="shared" ca="1" si="49"/>
        <v>0</v>
      </c>
      <c r="AL255" s="5">
        <f t="shared" ca="1" si="50"/>
        <v>0</v>
      </c>
      <c r="AM255" s="5">
        <f t="shared" ca="1" si="51"/>
        <v>0</v>
      </c>
      <c r="AN255" s="5" t="str">
        <f>IF(Demand!BE264="Yes","Yes","")</f>
        <v/>
      </c>
      <c r="AP255" s="37" t="str">
        <f ca="1">Demand!B264</f>
        <v xml:space="preserve"> </v>
      </c>
      <c r="AQ255" t="str">
        <f ca="1">IF(TEXT(Demand!D264,"MMM")&lt;&gt;TEXT(Demand!D263,"MMM"),TEXT(Demand!D264,"MMM"),"")</f>
        <v/>
      </c>
      <c r="AT255" s="5">
        <f t="shared" ca="1" si="53"/>
        <v>0</v>
      </c>
      <c r="BQ255">
        <f ca="1">IF($AN255="",OFFSET(Demand!$A$13,ROW(A252)-1,4+((QUOTIENT(COLUMN(BQ$2)-69,3))*5)+MOD(COLUMN(BQ$2),3),1,1),"")</f>
        <v>0</v>
      </c>
      <c r="BR255">
        <f ca="1">IF($AN255="",OFFSET(Demand!$A$13,ROW(B252)-1,4+((QUOTIENT(COLUMN(BR$2)-69,3))*5)+MOD(COLUMN(BR$2),3),1,1),"")</f>
        <v>0</v>
      </c>
      <c r="BS255">
        <f ca="1">IF($AN255="",OFFSET(Demand!$A$13,ROW(C252)-1,4+((QUOTIENT(COLUMN(BS$2)-69,3))*5)+MOD(COLUMN(BS$2),3),1,1),"")</f>
        <v>0</v>
      </c>
      <c r="BT255">
        <f ca="1">IF($AN255="",OFFSET(Demand!$A$13,ROW(D252)-1,4+((QUOTIENT(COLUMN(BT$2)-69,3))*5)+MOD(COLUMN(BT$2),3),1,1),"")</f>
        <v>0</v>
      </c>
      <c r="BU255">
        <f ca="1">IF($AN255="",OFFSET(Demand!$A$13,ROW(E252)-1,4+((QUOTIENT(COLUMN(BU$2)-69,3))*5)+MOD(COLUMN(BU$2),3),1,1),"")</f>
        <v>0</v>
      </c>
      <c r="BV255">
        <f ca="1">IF($AN255="",OFFSET(Demand!$A$13,ROW(F252)-1,4+((QUOTIENT(COLUMN(BV$2)-69,3))*5)+MOD(COLUMN(BV$2),3),1,1),"")</f>
        <v>0</v>
      </c>
      <c r="BW255">
        <f ca="1">IF($AN255="",OFFSET(Demand!$A$13,ROW(G252)-1,4+((QUOTIENT(COLUMN(BW$2)-69,3))*5)+MOD(COLUMN(BW$2),3),1,1),"")</f>
        <v>0</v>
      </c>
      <c r="BX255">
        <f ca="1">IF($AN255="",OFFSET(Demand!$A$13,ROW(H252)-1,4+((QUOTIENT(COLUMN(BX$2)-69,3))*5)+MOD(COLUMN(BX$2),3),1,1),"")</f>
        <v>0</v>
      </c>
      <c r="BY255">
        <f ca="1">IF($AN255="",OFFSET(Demand!$A$13,ROW(I252)-1,4+((QUOTIENT(COLUMN(BY$2)-69,3))*5)+MOD(COLUMN(BY$2),3),1,1),"")</f>
        <v>0</v>
      </c>
      <c r="BZ255">
        <f ca="1">IF($AN255="",OFFSET(Demand!$A$13,ROW(J252)-1,4+((QUOTIENT(COLUMN(BZ$2)-69,3))*5)+MOD(COLUMN(BZ$2),3),1,1),"")</f>
        <v>0</v>
      </c>
      <c r="CA255">
        <f ca="1">IF($AN255="",OFFSET(Demand!$A$13,ROW(K252)-1,4+((QUOTIENT(COLUMN(CA$2)-69,3))*5)+MOD(COLUMN(CA$2),3),1,1),"")</f>
        <v>0</v>
      </c>
      <c r="CB255">
        <f ca="1">IF($AN255="",OFFSET(Demand!$A$13,ROW(L252)-1,4+((QUOTIENT(COLUMN(CB$2)-69,3))*5)+MOD(COLUMN(CB$2),3),1,1),"")</f>
        <v>0</v>
      </c>
      <c r="CC255">
        <f ca="1">IF($AN255="",OFFSET(Demand!$A$13,ROW(M252)-1,4+((QUOTIENT(COLUMN(CC$2)-69,3))*5)+MOD(COLUMN(CC$2),3),1,1),"")</f>
        <v>0</v>
      </c>
      <c r="CD255">
        <f ca="1">IF($AN255="",OFFSET(Demand!$A$13,ROW(N252)-1,4+((QUOTIENT(COLUMN(CD$2)-69,3))*5)+MOD(COLUMN(CD$2),3),1,1),"")</f>
        <v>0</v>
      </c>
      <c r="CE255">
        <f ca="1">IF($AN255="",OFFSET(Demand!$A$13,ROW(O252)-1,4+((QUOTIENT(COLUMN(CE$2)-69,3))*5)+MOD(COLUMN(CE$2),3),1,1),"")</f>
        <v>0</v>
      </c>
      <c r="CF255">
        <f ca="1">IF($AN255="",OFFSET(Demand!$A$13,ROW(P252)-1,4+((QUOTIENT(COLUMN(CF$2)-69,3))*5)+MOD(COLUMN(CF$2),3),1,1),"")</f>
        <v>0</v>
      </c>
      <c r="CG255">
        <f ca="1">IF($AN255="",OFFSET(Demand!$A$13,ROW(Q252)-1,4+((QUOTIENT(COLUMN(CG$2)-69,3))*5)+MOD(COLUMN(CG$2),3),1,1),"")</f>
        <v>0</v>
      </c>
      <c r="CH255">
        <f ca="1">IF($AN255="",OFFSET(Demand!$A$13,ROW(R252)-1,4+((QUOTIENT(COLUMN(CH$2)-69,3))*5)+MOD(COLUMN(CH$2),3),1,1),"")</f>
        <v>0</v>
      </c>
      <c r="CI255">
        <f ca="1">IF($AN255="",OFFSET(Demand!$A$13,ROW(S252)-1,4+((QUOTIENT(COLUMN(CI$2)-69,3))*5)+MOD(COLUMN(CI$2),3),1,1),"")</f>
        <v>0</v>
      </c>
      <c r="CJ255">
        <f ca="1">IF($AN255="",OFFSET(Demand!$A$13,ROW(T252)-1,4+((QUOTIENT(COLUMN(CJ$2)-69,3))*5)+MOD(COLUMN(CJ$2),3),1,1),"")</f>
        <v>0</v>
      </c>
      <c r="CK255">
        <f ca="1">IF($AN255="",OFFSET(Demand!$A$13,ROW(U252)-1,4+((QUOTIENT(COLUMN(CK$2)-69,3))*5)+MOD(COLUMN(CK$2),3),1,1),"")</f>
        <v>0</v>
      </c>
      <c r="CL255">
        <f ca="1">IF($AN255="",OFFSET(Demand!$A$13,ROW(V252)-1,4+((QUOTIENT(COLUMN(CL$2)-69,3))*5)+MOD(COLUMN(CL$2),3),1,1),"")</f>
        <v>0</v>
      </c>
      <c r="CM255">
        <f ca="1">IF($AN255="",OFFSET(Demand!$A$13,ROW(W252)-1,4+((QUOTIENT(COLUMN(CM$2)-69,3))*5)+MOD(COLUMN(CM$2),3),1,1),"")</f>
        <v>0</v>
      </c>
      <c r="CN255">
        <f ca="1">IF($AN255="",OFFSET(Demand!$A$13,ROW(X252)-1,4+((QUOTIENT(COLUMN(CN$2)-69,3))*5)+MOD(COLUMN(CN$2),3),1,1),"")</f>
        <v>0</v>
      </c>
      <c r="CO255">
        <f ca="1">IF($AN255="",OFFSET(Demand!$A$13,ROW(Y252)-1,4+((QUOTIENT(COLUMN(CO$2)-69,3))*5)+MOD(COLUMN(CO$2),3),1,1),"")</f>
        <v>0</v>
      </c>
      <c r="CP255">
        <f ca="1">IF($AN255="",OFFSET(Demand!$A$13,ROW(Z252)-1,4+((QUOTIENT(COLUMN(CP$2)-69,3))*5)+MOD(COLUMN(CP$2),3),1,1),"")</f>
        <v>0</v>
      </c>
      <c r="CQ255">
        <f ca="1">IF($AN255="",OFFSET(Demand!$A$13,ROW(AA252)-1,4+((QUOTIENT(COLUMN(CQ$2)-69,3))*5)+MOD(COLUMN(CQ$2),3),1,1),"")</f>
        <v>0</v>
      </c>
      <c r="CR255">
        <f ca="1">IF($AN255="",OFFSET(Demand!$A$13,ROW(AB252)-1,4+((QUOTIENT(COLUMN(CR$2)-69,3))*5)+MOD(COLUMN(CR$2),3),1,1),"")</f>
        <v>0</v>
      </c>
      <c r="CS255">
        <f ca="1">IF($AN255="",OFFSET(Demand!$A$13,ROW(AC252)-1,4+((QUOTIENT(COLUMN(CS$2)-69,3))*5)+MOD(COLUMN(CS$2),3),1,1),"")</f>
        <v>0</v>
      </c>
      <c r="CT255">
        <f ca="1">IF($AN255="",OFFSET(Demand!$A$13,ROW(AD252)-1,4+((QUOTIENT(COLUMN(CT$2)-69,3))*5)+MOD(COLUMN(CT$2),3),1,1),"")</f>
        <v>0</v>
      </c>
      <c r="CW255" s="5">
        <f ca="1">SUM(OFFSET(Demand!$H$43,ROW(A252)-1,(COLUMN(A252)-1)*5,1,1))*N$2</f>
        <v>0</v>
      </c>
      <c r="CX255" s="5">
        <f ca="1">SUM(OFFSET(Demand!$H$43,ROW(B252)-1,(COLUMN(B252)-1)*5,1,1))*O$2</f>
        <v>0</v>
      </c>
      <c r="CY255" s="5">
        <f ca="1">SUM(OFFSET(Demand!$H$43,ROW(C252)-1,(COLUMN(C252)-1)*5,1,1))*P$2</f>
        <v>0</v>
      </c>
      <c r="CZ255" s="5">
        <f ca="1">SUM(OFFSET(Demand!$H$43,ROW(D252)-1,(COLUMN(D252)-1)*5,1,1))*Q$2</f>
        <v>0</v>
      </c>
      <c r="DA255" s="5">
        <f ca="1">SUM(OFFSET(Demand!$H$43,ROW(E252)-1,(COLUMN(E252)-1)*5,1,1))*R$2</f>
        <v>0</v>
      </c>
      <c r="DB255" s="5">
        <f ca="1">SUM(OFFSET(Demand!$H$43,ROW(F252)-1,(COLUMN(F252)-1)*5,1,1))*S$2</f>
        <v>0</v>
      </c>
      <c r="DC255" s="5">
        <f ca="1">SUM(OFFSET(Demand!$H$43,ROW(G252)-1,(COLUMN(G252)-1)*5,1,1))*T$2</f>
        <v>0</v>
      </c>
      <c r="DD255" s="5">
        <f ca="1">SUM(OFFSET(Demand!$H$43,ROW(H252)-1,(COLUMN(H252)-1)*5,1,1))*U$2</f>
        <v>0</v>
      </c>
      <c r="DE255" s="5">
        <f ca="1">SUM(OFFSET(Demand!$H$43,ROW(I252)-1,(COLUMN(I252)-1)*5,1,1))*V$2</f>
        <v>0</v>
      </c>
      <c r="DF255" s="5">
        <f ca="1">SUM(OFFSET(Demand!$H$43,ROW(J252)-1,(COLUMN(J252)-1)*5,1,1))*W$2</f>
        <v>0</v>
      </c>
      <c r="DG255" s="5">
        <f t="shared" ca="1" si="52"/>
        <v>0</v>
      </c>
    </row>
    <row r="256" spans="1:111" x14ac:dyDescent="0.2">
      <c r="A256" s="5">
        <f t="shared" ca="1" si="55"/>
        <v>2</v>
      </c>
      <c r="B256" s="5">
        <f ca="1">COUNTBLANK(OFFSET(Demand!$I265,0,(COLUMN(A253)-1)*5,1,1))</f>
        <v>1</v>
      </c>
      <c r="C256" s="5">
        <f ca="1">COUNTBLANK(OFFSET(Demand!$I265,0,(COLUMN(B253)-1)*5,1,1))</f>
        <v>1</v>
      </c>
      <c r="D256" s="5">
        <f ca="1">COUNTBLANK(OFFSET(Demand!$I265,0,(COLUMN(C253)-1)*5,1,1))</f>
        <v>1</v>
      </c>
      <c r="E256" s="5">
        <f ca="1">COUNTBLANK(OFFSET(Demand!$I265,0,(COLUMN(D253)-1)*5,1,1))</f>
        <v>1</v>
      </c>
      <c r="F256" s="5">
        <f ca="1">COUNTBLANK(OFFSET(Demand!$I265,0,(COLUMN(E253)-1)*5,1,1))</f>
        <v>1</v>
      </c>
      <c r="G256" s="5">
        <f ca="1">COUNTBLANK(OFFSET(Demand!$I265,0,(COLUMN(F253)-1)*5,1,1))</f>
        <v>1</v>
      </c>
      <c r="H256" s="5">
        <f ca="1">COUNTBLANK(OFFSET(Demand!$I265,0,(COLUMN(G253)-1)*5,1,1))</f>
        <v>1</v>
      </c>
      <c r="I256" s="5">
        <f ca="1">COUNTBLANK(OFFSET(Demand!$I265,0,(COLUMN(H253)-1)*5,1,1))</f>
        <v>1</v>
      </c>
      <c r="J256" s="5">
        <f ca="1">COUNTBLANK(OFFSET(Demand!$I265,0,(COLUMN(I253)-1)*5,1,1))</f>
        <v>1</v>
      </c>
      <c r="K256" s="5">
        <f ca="1">COUNTBLANK(OFFSET(Demand!$I265,0,(COLUMN(J253)-1)*5,1,1))</f>
        <v>1</v>
      </c>
      <c r="N256" s="5">
        <f ca="1">SUM(OFFSET(Demand!$E265,0,(COLUMN(A253)-1)*5,1,3))*N$2</f>
        <v>0</v>
      </c>
      <c r="O256" s="5">
        <f ca="1">SUM(OFFSET(Demand!$E265,0,(COLUMN(B253)-1)*5,1,3))*O$2</f>
        <v>0</v>
      </c>
      <c r="P256" s="5">
        <f ca="1">SUM(OFFSET(Demand!$E265,0,(COLUMN(C253)-1)*5,1,3))*P$2</f>
        <v>0</v>
      </c>
      <c r="Q256" s="5">
        <f ca="1">SUM(OFFSET(Demand!$E265,0,(COLUMN(D253)-1)*5,1,3))*Q$2</f>
        <v>0</v>
      </c>
      <c r="R256" s="5">
        <f ca="1">SUM(OFFSET(Demand!$E265,0,(COLUMN(E253)-1)*5,1,3))*R$2</f>
        <v>0</v>
      </c>
      <c r="S256" s="5">
        <f ca="1">SUM(OFFSET(Demand!$E265,0,(COLUMN(F253)-1)*5,1,3))*S$2</f>
        <v>0</v>
      </c>
      <c r="T256" s="5">
        <f ca="1">SUM(OFFSET(Demand!$E265,0,(COLUMN(G253)-1)*5,1,3))*T$2</f>
        <v>0</v>
      </c>
      <c r="U256" s="5">
        <f ca="1">SUM(OFFSET(Demand!$E265,0,(COLUMN(H253)-1)*5,1,3))*U$2</f>
        <v>0</v>
      </c>
      <c r="V256" s="5">
        <f ca="1">SUM(OFFSET(Demand!$E265,0,(COLUMN(I253)-1)*5,1,3))*V$2</f>
        <v>0</v>
      </c>
      <c r="W256" s="5">
        <f ca="1">SUM(OFFSET(Demand!$E265,0,(COLUMN(J253)-1)*5,1,3))*W$2</f>
        <v>0</v>
      </c>
      <c r="X256" s="5">
        <f t="shared" ca="1" si="47"/>
        <v>0</v>
      </c>
      <c r="Y256">
        <f t="shared" ca="1" si="48"/>
        <v>0</v>
      </c>
      <c r="Z256" s="5">
        <f ca="1">SUM(OFFSET(Demand!$H265,0,(COLUMN(A253)-1)*5,1,1))*N$2</f>
        <v>0</v>
      </c>
      <c r="AA256" s="5">
        <f ca="1">SUM(OFFSET(Demand!$H265,0,(COLUMN(B253)-1)*5,1,1))*O$2</f>
        <v>0</v>
      </c>
      <c r="AB256" s="5">
        <f ca="1">SUM(OFFSET(Demand!$H265,0,(COLUMN(C253)-1)*5,1,1))*P$2</f>
        <v>0</v>
      </c>
      <c r="AC256" s="5">
        <f ca="1">SUM(OFFSET(Demand!$H265,0,(COLUMN(D253)-1)*5,1,1))*Q$2</f>
        <v>0</v>
      </c>
      <c r="AD256" s="5">
        <f ca="1">SUM(OFFSET(Demand!$H265,0,(COLUMN(E253)-1)*5,1,1))*R$2</f>
        <v>0</v>
      </c>
      <c r="AE256" s="5">
        <f ca="1">SUM(OFFSET(Demand!$H265,0,(COLUMN(F253)-1)*5,1,1))*S$2</f>
        <v>0</v>
      </c>
      <c r="AF256" s="5">
        <f ca="1">SUM(OFFSET(Demand!$H265,0,(COLUMN(G253)-1)*5,1,1))*T$2</f>
        <v>0</v>
      </c>
      <c r="AG256" s="5">
        <f ca="1">SUM(OFFSET(Demand!$H265,0,(COLUMN(H253)-1)*5,1,1))*U$2</f>
        <v>0</v>
      </c>
      <c r="AH256" s="5">
        <f ca="1">SUM(OFFSET(Demand!$H265,0,(COLUMN(I253)-1)*5,1,1))*V$2</f>
        <v>0</v>
      </c>
      <c r="AI256" s="5">
        <f ca="1">SUM(OFFSET(Demand!$H265,0,(COLUMN(J253)-1)*5,1,1))*W$2</f>
        <v>0</v>
      </c>
      <c r="AJ256" s="5">
        <f t="shared" ca="1" si="49"/>
        <v>0</v>
      </c>
      <c r="AL256" s="5">
        <f t="shared" ca="1" si="50"/>
        <v>0</v>
      </c>
      <c r="AM256" s="5">
        <f t="shared" ca="1" si="51"/>
        <v>0</v>
      </c>
      <c r="AN256" s="5" t="str">
        <f>IF(Demand!BE265="Yes","Yes","")</f>
        <v/>
      </c>
      <c r="AP256" s="37" t="str">
        <f ca="1">Demand!B265</f>
        <v xml:space="preserve"> </v>
      </c>
      <c r="AQ256" t="str">
        <f ca="1">IF(TEXT(Demand!D265,"MMM")&lt;&gt;TEXT(Demand!D264,"MMM"),TEXT(Demand!D265,"MMM"),"")</f>
        <v/>
      </c>
      <c r="AT256" s="5">
        <f t="shared" ca="1" si="53"/>
        <v>0</v>
      </c>
      <c r="BQ256">
        <f ca="1">IF($AN256="",OFFSET(Demand!$A$13,ROW(A253)-1,4+((QUOTIENT(COLUMN(BQ$2)-69,3))*5)+MOD(COLUMN(BQ$2),3),1,1),"")</f>
        <v>0</v>
      </c>
      <c r="BR256">
        <f ca="1">IF($AN256="",OFFSET(Demand!$A$13,ROW(B253)-1,4+((QUOTIENT(COLUMN(BR$2)-69,3))*5)+MOD(COLUMN(BR$2),3),1,1),"")</f>
        <v>0</v>
      </c>
      <c r="BS256">
        <f ca="1">IF($AN256="",OFFSET(Demand!$A$13,ROW(C253)-1,4+((QUOTIENT(COLUMN(BS$2)-69,3))*5)+MOD(COLUMN(BS$2),3),1,1),"")</f>
        <v>0</v>
      </c>
      <c r="BT256">
        <f ca="1">IF($AN256="",OFFSET(Demand!$A$13,ROW(D253)-1,4+((QUOTIENT(COLUMN(BT$2)-69,3))*5)+MOD(COLUMN(BT$2),3),1,1),"")</f>
        <v>0</v>
      </c>
      <c r="BU256">
        <f ca="1">IF($AN256="",OFFSET(Demand!$A$13,ROW(E253)-1,4+((QUOTIENT(COLUMN(BU$2)-69,3))*5)+MOD(COLUMN(BU$2),3),1,1),"")</f>
        <v>0</v>
      </c>
      <c r="BV256">
        <f ca="1">IF($AN256="",OFFSET(Demand!$A$13,ROW(F253)-1,4+((QUOTIENT(COLUMN(BV$2)-69,3))*5)+MOD(COLUMN(BV$2),3),1,1),"")</f>
        <v>0</v>
      </c>
      <c r="BW256">
        <f ca="1">IF($AN256="",OFFSET(Demand!$A$13,ROW(G253)-1,4+((QUOTIENT(COLUMN(BW$2)-69,3))*5)+MOD(COLUMN(BW$2),3),1,1),"")</f>
        <v>0</v>
      </c>
      <c r="BX256">
        <f ca="1">IF($AN256="",OFFSET(Demand!$A$13,ROW(H253)-1,4+((QUOTIENT(COLUMN(BX$2)-69,3))*5)+MOD(COLUMN(BX$2),3),1,1),"")</f>
        <v>0</v>
      </c>
      <c r="BY256">
        <f ca="1">IF($AN256="",OFFSET(Demand!$A$13,ROW(I253)-1,4+((QUOTIENT(COLUMN(BY$2)-69,3))*5)+MOD(COLUMN(BY$2),3),1,1),"")</f>
        <v>0</v>
      </c>
      <c r="BZ256">
        <f ca="1">IF($AN256="",OFFSET(Demand!$A$13,ROW(J253)-1,4+((QUOTIENT(COLUMN(BZ$2)-69,3))*5)+MOD(COLUMN(BZ$2),3),1,1),"")</f>
        <v>0</v>
      </c>
      <c r="CA256">
        <f ca="1">IF($AN256="",OFFSET(Demand!$A$13,ROW(K253)-1,4+((QUOTIENT(COLUMN(CA$2)-69,3))*5)+MOD(COLUMN(CA$2),3),1,1),"")</f>
        <v>0</v>
      </c>
      <c r="CB256">
        <f ca="1">IF($AN256="",OFFSET(Demand!$A$13,ROW(L253)-1,4+((QUOTIENT(COLUMN(CB$2)-69,3))*5)+MOD(COLUMN(CB$2),3),1,1),"")</f>
        <v>0</v>
      </c>
      <c r="CC256">
        <f ca="1">IF($AN256="",OFFSET(Demand!$A$13,ROW(M253)-1,4+((QUOTIENT(COLUMN(CC$2)-69,3))*5)+MOD(COLUMN(CC$2),3),1,1),"")</f>
        <v>0</v>
      </c>
      <c r="CD256">
        <f ca="1">IF($AN256="",OFFSET(Demand!$A$13,ROW(N253)-1,4+((QUOTIENT(COLUMN(CD$2)-69,3))*5)+MOD(COLUMN(CD$2),3),1,1),"")</f>
        <v>0</v>
      </c>
      <c r="CE256">
        <f ca="1">IF($AN256="",OFFSET(Demand!$A$13,ROW(O253)-1,4+((QUOTIENT(COLUMN(CE$2)-69,3))*5)+MOD(COLUMN(CE$2),3),1,1),"")</f>
        <v>0</v>
      </c>
      <c r="CF256">
        <f ca="1">IF($AN256="",OFFSET(Demand!$A$13,ROW(P253)-1,4+((QUOTIENT(COLUMN(CF$2)-69,3))*5)+MOD(COLUMN(CF$2),3),1,1),"")</f>
        <v>0</v>
      </c>
      <c r="CG256">
        <f ca="1">IF($AN256="",OFFSET(Demand!$A$13,ROW(Q253)-1,4+((QUOTIENT(COLUMN(CG$2)-69,3))*5)+MOD(COLUMN(CG$2),3),1,1),"")</f>
        <v>0</v>
      </c>
      <c r="CH256">
        <f ca="1">IF($AN256="",OFFSET(Demand!$A$13,ROW(R253)-1,4+((QUOTIENT(COLUMN(CH$2)-69,3))*5)+MOD(COLUMN(CH$2),3),1,1),"")</f>
        <v>0</v>
      </c>
      <c r="CI256">
        <f ca="1">IF($AN256="",OFFSET(Demand!$A$13,ROW(S253)-1,4+((QUOTIENT(COLUMN(CI$2)-69,3))*5)+MOD(COLUMN(CI$2),3),1,1),"")</f>
        <v>0</v>
      </c>
      <c r="CJ256">
        <f ca="1">IF($AN256="",OFFSET(Demand!$A$13,ROW(T253)-1,4+((QUOTIENT(COLUMN(CJ$2)-69,3))*5)+MOD(COLUMN(CJ$2),3),1,1),"")</f>
        <v>0</v>
      </c>
      <c r="CK256">
        <f ca="1">IF($AN256="",OFFSET(Demand!$A$13,ROW(U253)-1,4+((QUOTIENT(COLUMN(CK$2)-69,3))*5)+MOD(COLUMN(CK$2),3),1,1),"")</f>
        <v>0</v>
      </c>
      <c r="CL256">
        <f ca="1">IF($AN256="",OFFSET(Demand!$A$13,ROW(V253)-1,4+((QUOTIENT(COLUMN(CL$2)-69,3))*5)+MOD(COLUMN(CL$2),3),1,1),"")</f>
        <v>0</v>
      </c>
      <c r="CM256">
        <f ca="1">IF($AN256="",OFFSET(Demand!$A$13,ROW(W253)-1,4+((QUOTIENT(COLUMN(CM$2)-69,3))*5)+MOD(COLUMN(CM$2),3),1,1),"")</f>
        <v>0</v>
      </c>
      <c r="CN256">
        <f ca="1">IF($AN256="",OFFSET(Demand!$A$13,ROW(X253)-1,4+((QUOTIENT(COLUMN(CN$2)-69,3))*5)+MOD(COLUMN(CN$2),3),1,1),"")</f>
        <v>0</v>
      </c>
      <c r="CO256">
        <f ca="1">IF($AN256="",OFFSET(Demand!$A$13,ROW(Y253)-1,4+((QUOTIENT(COLUMN(CO$2)-69,3))*5)+MOD(COLUMN(CO$2),3),1,1),"")</f>
        <v>0</v>
      </c>
      <c r="CP256">
        <f ca="1">IF($AN256="",OFFSET(Demand!$A$13,ROW(Z253)-1,4+((QUOTIENT(COLUMN(CP$2)-69,3))*5)+MOD(COLUMN(CP$2),3),1,1),"")</f>
        <v>0</v>
      </c>
      <c r="CQ256">
        <f ca="1">IF($AN256="",OFFSET(Demand!$A$13,ROW(AA253)-1,4+((QUOTIENT(COLUMN(CQ$2)-69,3))*5)+MOD(COLUMN(CQ$2),3),1,1),"")</f>
        <v>0</v>
      </c>
      <c r="CR256">
        <f ca="1">IF($AN256="",OFFSET(Demand!$A$13,ROW(AB253)-1,4+((QUOTIENT(COLUMN(CR$2)-69,3))*5)+MOD(COLUMN(CR$2),3),1,1),"")</f>
        <v>0</v>
      </c>
      <c r="CS256">
        <f ca="1">IF($AN256="",OFFSET(Demand!$A$13,ROW(AC253)-1,4+((QUOTIENT(COLUMN(CS$2)-69,3))*5)+MOD(COLUMN(CS$2),3),1,1),"")</f>
        <v>0</v>
      </c>
      <c r="CT256">
        <f ca="1">IF($AN256="",OFFSET(Demand!$A$13,ROW(AD253)-1,4+((QUOTIENT(COLUMN(CT$2)-69,3))*5)+MOD(COLUMN(CT$2),3),1,1),"")</f>
        <v>0</v>
      </c>
      <c r="CW256" s="5">
        <f ca="1">SUM(OFFSET(Demand!$H$43,ROW(A253)-1,(COLUMN(A253)-1)*5,1,1))*N$2</f>
        <v>0</v>
      </c>
      <c r="CX256" s="5">
        <f ca="1">SUM(OFFSET(Demand!$H$43,ROW(B253)-1,(COLUMN(B253)-1)*5,1,1))*O$2</f>
        <v>0</v>
      </c>
      <c r="CY256" s="5">
        <f ca="1">SUM(OFFSET(Demand!$H$43,ROW(C253)-1,(COLUMN(C253)-1)*5,1,1))*P$2</f>
        <v>0</v>
      </c>
      <c r="CZ256" s="5">
        <f ca="1">SUM(OFFSET(Demand!$H$43,ROW(D253)-1,(COLUMN(D253)-1)*5,1,1))*Q$2</f>
        <v>0</v>
      </c>
      <c r="DA256" s="5">
        <f ca="1">SUM(OFFSET(Demand!$H$43,ROW(E253)-1,(COLUMN(E253)-1)*5,1,1))*R$2</f>
        <v>0</v>
      </c>
      <c r="DB256" s="5">
        <f ca="1">SUM(OFFSET(Demand!$H$43,ROW(F253)-1,(COLUMN(F253)-1)*5,1,1))*S$2</f>
        <v>0</v>
      </c>
      <c r="DC256" s="5">
        <f ca="1">SUM(OFFSET(Demand!$H$43,ROW(G253)-1,(COLUMN(G253)-1)*5,1,1))*T$2</f>
        <v>0</v>
      </c>
      <c r="DD256" s="5">
        <f ca="1">SUM(OFFSET(Demand!$H$43,ROW(H253)-1,(COLUMN(H253)-1)*5,1,1))*U$2</f>
        <v>0</v>
      </c>
      <c r="DE256" s="5">
        <f ca="1">SUM(OFFSET(Demand!$H$43,ROW(I253)-1,(COLUMN(I253)-1)*5,1,1))*V$2</f>
        <v>0</v>
      </c>
      <c r="DF256" s="5">
        <f ca="1">SUM(OFFSET(Demand!$H$43,ROW(J253)-1,(COLUMN(J253)-1)*5,1,1))*W$2</f>
        <v>0</v>
      </c>
      <c r="DG256" s="5">
        <f t="shared" ca="1" si="52"/>
        <v>0</v>
      </c>
    </row>
    <row r="257" spans="1:111" x14ac:dyDescent="0.2">
      <c r="A257" s="5">
        <f t="shared" ca="1" si="55"/>
        <v>2</v>
      </c>
      <c r="B257" s="5">
        <f ca="1">COUNTBLANK(OFFSET(Demand!$I266,0,(COLUMN(A254)-1)*5,1,1))</f>
        <v>1</v>
      </c>
      <c r="C257" s="5">
        <f ca="1">COUNTBLANK(OFFSET(Demand!$I266,0,(COLUMN(B254)-1)*5,1,1))</f>
        <v>1</v>
      </c>
      <c r="D257" s="5">
        <f ca="1">COUNTBLANK(OFFSET(Demand!$I266,0,(COLUMN(C254)-1)*5,1,1))</f>
        <v>1</v>
      </c>
      <c r="E257" s="5">
        <f ca="1">COUNTBLANK(OFFSET(Demand!$I266,0,(COLUMN(D254)-1)*5,1,1))</f>
        <v>1</v>
      </c>
      <c r="F257" s="5">
        <f ca="1">COUNTBLANK(OFFSET(Demand!$I266,0,(COLUMN(E254)-1)*5,1,1))</f>
        <v>1</v>
      </c>
      <c r="G257" s="5">
        <f ca="1">COUNTBLANK(OFFSET(Demand!$I266,0,(COLUMN(F254)-1)*5,1,1))</f>
        <v>1</v>
      </c>
      <c r="H257" s="5">
        <f ca="1">COUNTBLANK(OFFSET(Demand!$I266,0,(COLUMN(G254)-1)*5,1,1))</f>
        <v>1</v>
      </c>
      <c r="I257" s="5">
        <f ca="1">COUNTBLANK(OFFSET(Demand!$I266,0,(COLUMN(H254)-1)*5,1,1))</f>
        <v>1</v>
      </c>
      <c r="J257" s="5">
        <f ca="1">COUNTBLANK(OFFSET(Demand!$I266,0,(COLUMN(I254)-1)*5,1,1))</f>
        <v>1</v>
      </c>
      <c r="K257" s="5">
        <f ca="1">COUNTBLANK(OFFSET(Demand!$I266,0,(COLUMN(J254)-1)*5,1,1))</f>
        <v>1</v>
      </c>
      <c r="N257" s="5">
        <f ca="1">SUM(OFFSET(Demand!$E266,0,(COLUMN(A254)-1)*5,1,3))*N$2</f>
        <v>0</v>
      </c>
      <c r="O257" s="5">
        <f ca="1">SUM(OFFSET(Demand!$E266,0,(COLUMN(B254)-1)*5,1,3))*O$2</f>
        <v>0</v>
      </c>
      <c r="P257" s="5">
        <f ca="1">SUM(OFFSET(Demand!$E266,0,(COLUMN(C254)-1)*5,1,3))*P$2</f>
        <v>0</v>
      </c>
      <c r="Q257" s="5">
        <f ca="1">SUM(OFFSET(Demand!$E266,0,(COLUMN(D254)-1)*5,1,3))*Q$2</f>
        <v>0</v>
      </c>
      <c r="R257" s="5">
        <f ca="1">SUM(OFFSET(Demand!$E266,0,(COLUMN(E254)-1)*5,1,3))*R$2</f>
        <v>0</v>
      </c>
      <c r="S257" s="5">
        <f ca="1">SUM(OFFSET(Demand!$E266,0,(COLUMN(F254)-1)*5,1,3))*S$2</f>
        <v>0</v>
      </c>
      <c r="T257" s="5">
        <f ca="1">SUM(OFFSET(Demand!$E266,0,(COLUMN(G254)-1)*5,1,3))*T$2</f>
        <v>0</v>
      </c>
      <c r="U257" s="5">
        <f ca="1">SUM(OFFSET(Demand!$E266,0,(COLUMN(H254)-1)*5,1,3))*U$2</f>
        <v>0</v>
      </c>
      <c r="V257" s="5">
        <f ca="1">SUM(OFFSET(Demand!$E266,0,(COLUMN(I254)-1)*5,1,3))*V$2</f>
        <v>0</v>
      </c>
      <c r="W257" s="5">
        <f ca="1">SUM(OFFSET(Demand!$E266,0,(COLUMN(J254)-1)*5,1,3))*W$2</f>
        <v>0</v>
      </c>
      <c r="X257" s="5">
        <f t="shared" ca="1" si="47"/>
        <v>0</v>
      </c>
      <c r="Y257">
        <f t="shared" ca="1" si="48"/>
        <v>0</v>
      </c>
      <c r="Z257" s="5">
        <f ca="1">SUM(OFFSET(Demand!$H266,0,(COLUMN(A254)-1)*5,1,1))*N$2</f>
        <v>0</v>
      </c>
      <c r="AA257" s="5">
        <f ca="1">SUM(OFFSET(Demand!$H266,0,(COLUMN(B254)-1)*5,1,1))*O$2</f>
        <v>0</v>
      </c>
      <c r="AB257" s="5">
        <f ca="1">SUM(OFFSET(Demand!$H266,0,(COLUMN(C254)-1)*5,1,1))*P$2</f>
        <v>0</v>
      </c>
      <c r="AC257" s="5">
        <f ca="1">SUM(OFFSET(Demand!$H266,0,(COLUMN(D254)-1)*5,1,1))*Q$2</f>
        <v>0</v>
      </c>
      <c r="AD257" s="5">
        <f ca="1">SUM(OFFSET(Demand!$H266,0,(COLUMN(E254)-1)*5,1,1))*R$2</f>
        <v>0</v>
      </c>
      <c r="AE257" s="5">
        <f ca="1">SUM(OFFSET(Demand!$H266,0,(COLUMN(F254)-1)*5,1,1))*S$2</f>
        <v>0</v>
      </c>
      <c r="AF257" s="5">
        <f ca="1">SUM(OFFSET(Demand!$H266,0,(COLUMN(G254)-1)*5,1,1))*T$2</f>
        <v>0</v>
      </c>
      <c r="AG257" s="5">
        <f ca="1">SUM(OFFSET(Demand!$H266,0,(COLUMN(H254)-1)*5,1,1))*U$2</f>
        <v>0</v>
      </c>
      <c r="AH257" s="5">
        <f ca="1">SUM(OFFSET(Demand!$H266,0,(COLUMN(I254)-1)*5,1,1))*V$2</f>
        <v>0</v>
      </c>
      <c r="AI257" s="5">
        <f ca="1">SUM(OFFSET(Demand!$H266,0,(COLUMN(J254)-1)*5,1,1))*W$2</f>
        <v>0</v>
      </c>
      <c r="AJ257" s="5">
        <f t="shared" ca="1" si="49"/>
        <v>0</v>
      </c>
      <c r="AL257" s="5">
        <f t="shared" ca="1" si="50"/>
        <v>0</v>
      </c>
      <c r="AM257" s="5">
        <f t="shared" ca="1" si="51"/>
        <v>0</v>
      </c>
      <c r="AN257" s="5" t="str">
        <f>IF(Demand!BE266="Yes","Yes","")</f>
        <v/>
      </c>
      <c r="AP257" s="37" t="str">
        <f ca="1">Demand!B266</f>
        <v xml:space="preserve"> </v>
      </c>
      <c r="AQ257" t="str">
        <f ca="1">IF(TEXT(Demand!D266,"MMM")&lt;&gt;TEXT(Demand!D265,"MMM"),TEXT(Demand!D266,"MMM"),"")</f>
        <v/>
      </c>
      <c r="AT257" s="5">
        <f t="shared" ca="1" si="53"/>
        <v>0</v>
      </c>
      <c r="BQ257">
        <f ca="1">IF($AN257="",OFFSET(Demand!$A$13,ROW(A254)-1,4+((QUOTIENT(COLUMN(BQ$2)-69,3))*5)+MOD(COLUMN(BQ$2),3),1,1),"")</f>
        <v>0</v>
      </c>
      <c r="BR257">
        <f ca="1">IF($AN257="",OFFSET(Demand!$A$13,ROW(B254)-1,4+((QUOTIENT(COLUMN(BR$2)-69,3))*5)+MOD(COLUMN(BR$2),3),1,1),"")</f>
        <v>0</v>
      </c>
      <c r="BS257">
        <f ca="1">IF($AN257="",OFFSET(Demand!$A$13,ROW(C254)-1,4+((QUOTIENT(COLUMN(BS$2)-69,3))*5)+MOD(COLUMN(BS$2),3),1,1),"")</f>
        <v>0</v>
      </c>
      <c r="BT257">
        <f ca="1">IF($AN257="",OFFSET(Demand!$A$13,ROW(D254)-1,4+((QUOTIENT(COLUMN(BT$2)-69,3))*5)+MOD(COLUMN(BT$2),3),1,1),"")</f>
        <v>0</v>
      </c>
      <c r="BU257">
        <f ca="1">IF($AN257="",OFFSET(Demand!$A$13,ROW(E254)-1,4+((QUOTIENT(COLUMN(BU$2)-69,3))*5)+MOD(COLUMN(BU$2),3),1,1),"")</f>
        <v>0</v>
      </c>
      <c r="BV257">
        <f ca="1">IF($AN257="",OFFSET(Demand!$A$13,ROW(F254)-1,4+((QUOTIENT(COLUMN(BV$2)-69,3))*5)+MOD(COLUMN(BV$2),3),1,1),"")</f>
        <v>0</v>
      </c>
      <c r="BW257">
        <f ca="1">IF($AN257="",OFFSET(Demand!$A$13,ROW(G254)-1,4+((QUOTIENT(COLUMN(BW$2)-69,3))*5)+MOD(COLUMN(BW$2),3),1,1),"")</f>
        <v>0</v>
      </c>
      <c r="BX257">
        <f ca="1">IF($AN257="",OFFSET(Demand!$A$13,ROW(H254)-1,4+((QUOTIENT(COLUMN(BX$2)-69,3))*5)+MOD(COLUMN(BX$2),3),1,1),"")</f>
        <v>0</v>
      </c>
      <c r="BY257">
        <f ca="1">IF($AN257="",OFFSET(Demand!$A$13,ROW(I254)-1,4+((QUOTIENT(COLUMN(BY$2)-69,3))*5)+MOD(COLUMN(BY$2),3),1,1),"")</f>
        <v>0</v>
      </c>
      <c r="BZ257">
        <f ca="1">IF($AN257="",OFFSET(Demand!$A$13,ROW(J254)-1,4+((QUOTIENT(COLUMN(BZ$2)-69,3))*5)+MOD(COLUMN(BZ$2),3),1,1),"")</f>
        <v>0</v>
      </c>
      <c r="CA257">
        <f ca="1">IF($AN257="",OFFSET(Demand!$A$13,ROW(K254)-1,4+((QUOTIENT(COLUMN(CA$2)-69,3))*5)+MOD(COLUMN(CA$2),3),1,1),"")</f>
        <v>0</v>
      </c>
      <c r="CB257">
        <f ca="1">IF($AN257="",OFFSET(Demand!$A$13,ROW(L254)-1,4+((QUOTIENT(COLUMN(CB$2)-69,3))*5)+MOD(COLUMN(CB$2),3),1,1),"")</f>
        <v>0</v>
      </c>
      <c r="CC257">
        <f ca="1">IF($AN257="",OFFSET(Demand!$A$13,ROW(M254)-1,4+((QUOTIENT(COLUMN(CC$2)-69,3))*5)+MOD(COLUMN(CC$2),3),1,1),"")</f>
        <v>0</v>
      </c>
      <c r="CD257">
        <f ca="1">IF($AN257="",OFFSET(Demand!$A$13,ROW(N254)-1,4+((QUOTIENT(COLUMN(CD$2)-69,3))*5)+MOD(COLUMN(CD$2),3),1,1),"")</f>
        <v>0</v>
      </c>
      <c r="CE257">
        <f ca="1">IF($AN257="",OFFSET(Demand!$A$13,ROW(O254)-1,4+((QUOTIENT(COLUMN(CE$2)-69,3))*5)+MOD(COLUMN(CE$2),3),1,1),"")</f>
        <v>0</v>
      </c>
      <c r="CF257">
        <f ca="1">IF($AN257="",OFFSET(Demand!$A$13,ROW(P254)-1,4+((QUOTIENT(COLUMN(CF$2)-69,3))*5)+MOD(COLUMN(CF$2),3),1,1),"")</f>
        <v>0</v>
      </c>
      <c r="CG257">
        <f ca="1">IF($AN257="",OFFSET(Demand!$A$13,ROW(Q254)-1,4+((QUOTIENT(COLUMN(CG$2)-69,3))*5)+MOD(COLUMN(CG$2),3),1,1),"")</f>
        <v>0</v>
      </c>
      <c r="CH257">
        <f ca="1">IF($AN257="",OFFSET(Demand!$A$13,ROW(R254)-1,4+((QUOTIENT(COLUMN(CH$2)-69,3))*5)+MOD(COLUMN(CH$2),3),1,1),"")</f>
        <v>0</v>
      </c>
      <c r="CI257">
        <f ca="1">IF($AN257="",OFFSET(Demand!$A$13,ROW(S254)-1,4+((QUOTIENT(COLUMN(CI$2)-69,3))*5)+MOD(COLUMN(CI$2),3),1,1),"")</f>
        <v>0</v>
      </c>
      <c r="CJ257">
        <f ca="1">IF($AN257="",OFFSET(Demand!$A$13,ROW(T254)-1,4+((QUOTIENT(COLUMN(CJ$2)-69,3))*5)+MOD(COLUMN(CJ$2),3),1,1),"")</f>
        <v>0</v>
      </c>
      <c r="CK257">
        <f ca="1">IF($AN257="",OFFSET(Demand!$A$13,ROW(U254)-1,4+((QUOTIENT(COLUMN(CK$2)-69,3))*5)+MOD(COLUMN(CK$2),3),1,1),"")</f>
        <v>0</v>
      </c>
      <c r="CL257">
        <f ca="1">IF($AN257="",OFFSET(Demand!$A$13,ROW(V254)-1,4+((QUOTIENT(COLUMN(CL$2)-69,3))*5)+MOD(COLUMN(CL$2),3),1,1),"")</f>
        <v>0</v>
      </c>
      <c r="CM257">
        <f ca="1">IF($AN257="",OFFSET(Demand!$A$13,ROW(W254)-1,4+((QUOTIENT(COLUMN(CM$2)-69,3))*5)+MOD(COLUMN(CM$2),3),1,1),"")</f>
        <v>0</v>
      </c>
      <c r="CN257">
        <f ca="1">IF($AN257="",OFFSET(Demand!$A$13,ROW(X254)-1,4+((QUOTIENT(COLUMN(CN$2)-69,3))*5)+MOD(COLUMN(CN$2),3),1,1),"")</f>
        <v>0</v>
      </c>
      <c r="CO257">
        <f ca="1">IF($AN257="",OFFSET(Demand!$A$13,ROW(Y254)-1,4+((QUOTIENT(COLUMN(CO$2)-69,3))*5)+MOD(COLUMN(CO$2),3),1,1),"")</f>
        <v>0</v>
      </c>
      <c r="CP257">
        <f ca="1">IF($AN257="",OFFSET(Demand!$A$13,ROW(Z254)-1,4+((QUOTIENT(COLUMN(CP$2)-69,3))*5)+MOD(COLUMN(CP$2),3),1,1),"")</f>
        <v>0</v>
      </c>
      <c r="CQ257">
        <f ca="1">IF($AN257="",OFFSET(Demand!$A$13,ROW(AA254)-1,4+((QUOTIENT(COLUMN(CQ$2)-69,3))*5)+MOD(COLUMN(CQ$2),3),1,1),"")</f>
        <v>0</v>
      </c>
      <c r="CR257">
        <f ca="1">IF($AN257="",OFFSET(Demand!$A$13,ROW(AB254)-1,4+((QUOTIENT(COLUMN(CR$2)-69,3))*5)+MOD(COLUMN(CR$2),3),1,1),"")</f>
        <v>0</v>
      </c>
      <c r="CS257">
        <f ca="1">IF($AN257="",OFFSET(Demand!$A$13,ROW(AC254)-1,4+((QUOTIENT(COLUMN(CS$2)-69,3))*5)+MOD(COLUMN(CS$2),3),1,1),"")</f>
        <v>0</v>
      </c>
      <c r="CT257">
        <f ca="1">IF($AN257="",OFFSET(Demand!$A$13,ROW(AD254)-1,4+((QUOTIENT(COLUMN(CT$2)-69,3))*5)+MOD(COLUMN(CT$2),3),1,1),"")</f>
        <v>0</v>
      </c>
      <c r="CW257" s="5">
        <f ca="1">SUM(OFFSET(Demand!$H$43,ROW(A254)-1,(COLUMN(A254)-1)*5,1,1))*N$2</f>
        <v>0</v>
      </c>
      <c r="CX257" s="5">
        <f ca="1">SUM(OFFSET(Demand!$H$43,ROW(B254)-1,(COLUMN(B254)-1)*5,1,1))*O$2</f>
        <v>0</v>
      </c>
      <c r="CY257" s="5">
        <f ca="1">SUM(OFFSET(Demand!$H$43,ROW(C254)-1,(COLUMN(C254)-1)*5,1,1))*P$2</f>
        <v>0</v>
      </c>
      <c r="CZ257" s="5">
        <f ca="1">SUM(OFFSET(Demand!$H$43,ROW(D254)-1,(COLUMN(D254)-1)*5,1,1))*Q$2</f>
        <v>0</v>
      </c>
      <c r="DA257" s="5">
        <f ca="1">SUM(OFFSET(Demand!$H$43,ROW(E254)-1,(COLUMN(E254)-1)*5,1,1))*R$2</f>
        <v>0</v>
      </c>
      <c r="DB257" s="5">
        <f ca="1">SUM(OFFSET(Demand!$H$43,ROW(F254)-1,(COLUMN(F254)-1)*5,1,1))*S$2</f>
        <v>0</v>
      </c>
      <c r="DC257" s="5">
        <f ca="1">SUM(OFFSET(Demand!$H$43,ROW(G254)-1,(COLUMN(G254)-1)*5,1,1))*T$2</f>
        <v>0</v>
      </c>
      <c r="DD257" s="5">
        <f ca="1">SUM(OFFSET(Demand!$H$43,ROW(H254)-1,(COLUMN(H254)-1)*5,1,1))*U$2</f>
        <v>0</v>
      </c>
      <c r="DE257" s="5">
        <f ca="1">SUM(OFFSET(Demand!$H$43,ROW(I254)-1,(COLUMN(I254)-1)*5,1,1))*V$2</f>
        <v>0</v>
      </c>
      <c r="DF257" s="5">
        <f ca="1">SUM(OFFSET(Demand!$H$43,ROW(J254)-1,(COLUMN(J254)-1)*5,1,1))*W$2</f>
        <v>0</v>
      </c>
      <c r="DG257" s="5">
        <f t="shared" ca="1" si="52"/>
        <v>0</v>
      </c>
    </row>
    <row r="258" spans="1:111" x14ac:dyDescent="0.2">
      <c r="A258" s="5">
        <f t="shared" ca="1" si="55"/>
        <v>2</v>
      </c>
      <c r="B258" s="5">
        <f ca="1">COUNTBLANK(OFFSET(Demand!$I267,0,(COLUMN(A255)-1)*5,1,1))</f>
        <v>1</v>
      </c>
      <c r="C258" s="5">
        <f ca="1">COUNTBLANK(OFFSET(Demand!$I267,0,(COLUMN(B255)-1)*5,1,1))</f>
        <v>1</v>
      </c>
      <c r="D258" s="5">
        <f ca="1">COUNTBLANK(OFFSET(Demand!$I267,0,(COLUMN(C255)-1)*5,1,1))</f>
        <v>1</v>
      </c>
      <c r="E258" s="5">
        <f ca="1">COUNTBLANK(OFFSET(Demand!$I267,0,(COLUMN(D255)-1)*5,1,1))</f>
        <v>1</v>
      </c>
      <c r="F258" s="5">
        <f ca="1">COUNTBLANK(OFFSET(Demand!$I267,0,(COLUMN(E255)-1)*5,1,1))</f>
        <v>1</v>
      </c>
      <c r="G258" s="5">
        <f ca="1">COUNTBLANK(OFFSET(Demand!$I267,0,(COLUMN(F255)-1)*5,1,1))</f>
        <v>1</v>
      </c>
      <c r="H258" s="5">
        <f ca="1">COUNTBLANK(OFFSET(Demand!$I267,0,(COLUMN(G255)-1)*5,1,1))</f>
        <v>1</v>
      </c>
      <c r="I258" s="5">
        <f ca="1">COUNTBLANK(OFFSET(Demand!$I267,0,(COLUMN(H255)-1)*5,1,1))</f>
        <v>1</v>
      </c>
      <c r="J258" s="5">
        <f ca="1">COUNTBLANK(OFFSET(Demand!$I267,0,(COLUMN(I255)-1)*5,1,1))</f>
        <v>1</v>
      </c>
      <c r="K258" s="5">
        <f ca="1">COUNTBLANK(OFFSET(Demand!$I267,0,(COLUMN(J255)-1)*5,1,1))</f>
        <v>1</v>
      </c>
      <c r="N258" s="5">
        <f ca="1">SUM(OFFSET(Demand!$E267,0,(COLUMN(A255)-1)*5,1,3))*N$2</f>
        <v>0</v>
      </c>
      <c r="O258" s="5">
        <f ca="1">SUM(OFFSET(Demand!$E267,0,(COLUMN(B255)-1)*5,1,3))*O$2</f>
        <v>0</v>
      </c>
      <c r="P258" s="5">
        <f ca="1">SUM(OFFSET(Demand!$E267,0,(COLUMN(C255)-1)*5,1,3))*P$2</f>
        <v>0</v>
      </c>
      <c r="Q258" s="5">
        <f ca="1">SUM(OFFSET(Demand!$E267,0,(COLUMN(D255)-1)*5,1,3))*Q$2</f>
        <v>0</v>
      </c>
      <c r="R258" s="5">
        <f ca="1">SUM(OFFSET(Demand!$E267,0,(COLUMN(E255)-1)*5,1,3))*R$2</f>
        <v>0</v>
      </c>
      <c r="S258" s="5">
        <f ca="1">SUM(OFFSET(Demand!$E267,0,(COLUMN(F255)-1)*5,1,3))*S$2</f>
        <v>0</v>
      </c>
      <c r="T258" s="5">
        <f ca="1">SUM(OFFSET(Demand!$E267,0,(COLUMN(G255)-1)*5,1,3))*T$2</f>
        <v>0</v>
      </c>
      <c r="U258" s="5">
        <f ca="1">SUM(OFFSET(Demand!$E267,0,(COLUMN(H255)-1)*5,1,3))*U$2</f>
        <v>0</v>
      </c>
      <c r="V258" s="5">
        <f ca="1">SUM(OFFSET(Demand!$E267,0,(COLUMN(I255)-1)*5,1,3))*V$2</f>
        <v>0</v>
      </c>
      <c r="W258" s="5">
        <f ca="1">SUM(OFFSET(Demand!$E267,0,(COLUMN(J255)-1)*5,1,3))*W$2</f>
        <v>0</v>
      </c>
      <c r="X258" s="5">
        <f t="shared" ca="1" si="47"/>
        <v>0</v>
      </c>
      <c r="Y258">
        <f t="shared" ca="1" si="48"/>
        <v>0</v>
      </c>
      <c r="Z258" s="5">
        <f ca="1">SUM(OFFSET(Demand!$H267,0,(COLUMN(A255)-1)*5,1,1))*N$2</f>
        <v>0</v>
      </c>
      <c r="AA258" s="5">
        <f ca="1">SUM(OFFSET(Demand!$H267,0,(COLUMN(B255)-1)*5,1,1))*O$2</f>
        <v>0</v>
      </c>
      <c r="AB258" s="5">
        <f ca="1">SUM(OFFSET(Demand!$H267,0,(COLUMN(C255)-1)*5,1,1))*P$2</f>
        <v>0</v>
      </c>
      <c r="AC258" s="5">
        <f ca="1">SUM(OFFSET(Demand!$H267,0,(COLUMN(D255)-1)*5,1,1))*Q$2</f>
        <v>0</v>
      </c>
      <c r="AD258" s="5">
        <f ca="1">SUM(OFFSET(Demand!$H267,0,(COLUMN(E255)-1)*5,1,1))*R$2</f>
        <v>0</v>
      </c>
      <c r="AE258" s="5">
        <f ca="1">SUM(OFFSET(Demand!$H267,0,(COLUMN(F255)-1)*5,1,1))*S$2</f>
        <v>0</v>
      </c>
      <c r="AF258" s="5">
        <f ca="1">SUM(OFFSET(Demand!$H267,0,(COLUMN(G255)-1)*5,1,1))*T$2</f>
        <v>0</v>
      </c>
      <c r="AG258" s="5">
        <f ca="1">SUM(OFFSET(Demand!$H267,0,(COLUMN(H255)-1)*5,1,1))*U$2</f>
        <v>0</v>
      </c>
      <c r="AH258" s="5">
        <f ca="1">SUM(OFFSET(Demand!$H267,0,(COLUMN(I255)-1)*5,1,1))*V$2</f>
        <v>0</v>
      </c>
      <c r="AI258" s="5">
        <f ca="1">SUM(OFFSET(Demand!$H267,0,(COLUMN(J255)-1)*5,1,1))*W$2</f>
        <v>0</v>
      </c>
      <c r="AJ258" s="5">
        <f t="shared" ca="1" si="49"/>
        <v>0</v>
      </c>
      <c r="AL258" s="5">
        <f t="shared" ca="1" si="50"/>
        <v>0</v>
      </c>
      <c r="AM258" s="5">
        <f t="shared" ca="1" si="51"/>
        <v>0</v>
      </c>
      <c r="AN258" s="5" t="str">
        <f>IF(Demand!BE267="Yes","Yes","")</f>
        <v/>
      </c>
      <c r="AP258" s="37" t="str">
        <f ca="1">Demand!B267</f>
        <v xml:space="preserve"> </v>
      </c>
      <c r="AQ258" t="str">
        <f ca="1">IF(TEXT(Demand!D267,"MMM")&lt;&gt;TEXT(Demand!D266,"MMM"),TEXT(Demand!D267,"MMM"),"")</f>
        <v/>
      </c>
      <c r="AT258" s="5">
        <f t="shared" ca="1" si="53"/>
        <v>0</v>
      </c>
      <c r="BQ258">
        <f ca="1">IF($AN258="",OFFSET(Demand!$A$13,ROW(A255)-1,4+((QUOTIENT(COLUMN(BQ$2)-69,3))*5)+MOD(COLUMN(BQ$2),3),1,1),"")</f>
        <v>0</v>
      </c>
      <c r="BR258">
        <f ca="1">IF($AN258="",OFFSET(Demand!$A$13,ROW(B255)-1,4+((QUOTIENT(COLUMN(BR$2)-69,3))*5)+MOD(COLUMN(BR$2),3),1,1),"")</f>
        <v>0</v>
      </c>
      <c r="BS258">
        <f ca="1">IF($AN258="",OFFSET(Demand!$A$13,ROW(C255)-1,4+((QUOTIENT(COLUMN(BS$2)-69,3))*5)+MOD(COLUMN(BS$2),3),1,1),"")</f>
        <v>0</v>
      </c>
      <c r="BT258">
        <f ca="1">IF($AN258="",OFFSET(Demand!$A$13,ROW(D255)-1,4+((QUOTIENT(COLUMN(BT$2)-69,3))*5)+MOD(COLUMN(BT$2),3),1,1),"")</f>
        <v>0</v>
      </c>
      <c r="BU258">
        <f ca="1">IF($AN258="",OFFSET(Demand!$A$13,ROW(E255)-1,4+((QUOTIENT(COLUMN(BU$2)-69,3))*5)+MOD(COLUMN(BU$2),3),1,1),"")</f>
        <v>0</v>
      </c>
      <c r="BV258">
        <f ca="1">IF($AN258="",OFFSET(Demand!$A$13,ROW(F255)-1,4+((QUOTIENT(COLUMN(BV$2)-69,3))*5)+MOD(COLUMN(BV$2),3),1,1),"")</f>
        <v>0</v>
      </c>
      <c r="BW258">
        <f ca="1">IF($AN258="",OFFSET(Demand!$A$13,ROW(G255)-1,4+((QUOTIENT(COLUMN(BW$2)-69,3))*5)+MOD(COLUMN(BW$2),3),1,1),"")</f>
        <v>0</v>
      </c>
      <c r="BX258">
        <f ca="1">IF($AN258="",OFFSET(Demand!$A$13,ROW(H255)-1,4+((QUOTIENT(COLUMN(BX$2)-69,3))*5)+MOD(COLUMN(BX$2),3),1,1),"")</f>
        <v>0</v>
      </c>
      <c r="BY258">
        <f ca="1">IF($AN258="",OFFSET(Demand!$A$13,ROW(I255)-1,4+((QUOTIENT(COLUMN(BY$2)-69,3))*5)+MOD(COLUMN(BY$2),3),1,1),"")</f>
        <v>0</v>
      </c>
      <c r="BZ258">
        <f ca="1">IF($AN258="",OFFSET(Demand!$A$13,ROW(J255)-1,4+((QUOTIENT(COLUMN(BZ$2)-69,3))*5)+MOD(COLUMN(BZ$2),3),1,1),"")</f>
        <v>0</v>
      </c>
      <c r="CA258">
        <f ca="1">IF($AN258="",OFFSET(Demand!$A$13,ROW(K255)-1,4+((QUOTIENT(COLUMN(CA$2)-69,3))*5)+MOD(COLUMN(CA$2),3),1,1),"")</f>
        <v>0</v>
      </c>
      <c r="CB258">
        <f ca="1">IF($AN258="",OFFSET(Demand!$A$13,ROW(L255)-1,4+((QUOTIENT(COLUMN(CB$2)-69,3))*5)+MOD(COLUMN(CB$2),3),1,1),"")</f>
        <v>0</v>
      </c>
      <c r="CC258">
        <f ca="1">IF($AN258="",OFFSET(Demand!$A$13,ROW(M255)-1,4+((QUOTIENT(COLUMN(CC$2)-69,3))*5)+MOD(COLUMN(CC$2),3),1,1),"")</f>
        <v>0</v>
      </c>
      <c r="CD258">
        <f ca="1">IF($AN258="",OFFSET(Demand!$A$13,ROW(N255)-1,4+((QUOTIENT(COLUMN(CD$2)-69,3))*5)+MOD(COLUMN(CD$2),3),1,1),"")</f>
        <v>0</v>
      </c>
      <c r="CE258">
        <f ca="1">IF($AN258="",OFFSET(Demand!$A$13,ROW(O255)-1,4+((QUOTIENT(COLUMN(CE$2)-69,3))*5)+MOD(COLUMN(CE$2),3),1,1),"")</f>
        <v>0</v>
      </c>
      <c r="CF258">
        <f ca="1">IF($AN258="",OFFSET(Demand!$A$13,ROW(P255)-1,4+((QUOTIENT(COLUMN(CF$2)-69,3))*5)+MOD(COLUMN(CF$2),3),1,1),"")</f>
        <v>0</v>
      </c>
      <c r="CG258">
        <f ca="1">IF($AN258="",OFFSET(Demand!$A$13,ROW(Q255)-1,4+((QUOTIENT(COLUMN(CG$2)-69,3))*5)+MOD(COLUMN(CG$2),3),1,1),"")</f>
        <v>0</v>
      </c>
      <c r="CH258">
        <f ca="1">IF($AN258="",OFFSET(Demand!$A$13,ROW(R255)-1,4+((QUOTIENT(COLUMN(CH$2)-69,3))*5)+MOD(COLUMN(CH$2),3),1,1),"")</f>
        <v>0</v>
      </c>
      <c r="CI258">
        <f ca="1">IF($AN258="",OFFSET(Demand!$A$13,ROW(S255)-1,4+((QUOTIENT(COLUMN(CI$2)-69,3))*5)+MOD(COLUMN(CI$2),3),1,1),"")</f>
        <v>0</v>
      </c>
      <c r="CJ258">
        <f ca="1">IF($AN258="",OFFSET(Demand!$A$13,ROW(T255)-1,4+((QUOTIENT(COLUMN(CJ$2)-69,3))*5)+MOD(COLUMN(CJ$2),3),1,1),"")</f>
        <v>0</v>
      </c>
      <c r="CK258">
        <f ca="1">IF($AN258="",OFFSET(Demand!$A$13,ROW(U255)-1,4+((QUOTIENT(COLUMN(CK$2)-69,3))*5)+MOD(COLUMN(CK$2),3),1,1),"")</f>
        <v>0</v>
      </c>
      <c r="CL258">
        <f ca="1">IF($AN258="",OFFSET(Demand!$A$13,ROW(V255)-1,4+((QUOTIENT(COLUMN(CL$2)-69,3))*5)+MOD(COLUMN(CL$2),3),1,1),"")</f>
        <v>0</v>
      </c>
      <c r="CM258">
        <f ca="1">IF($AN258="",OFFSET(Demand!$A$13,ROW(W255)-1,4+((QUOTIENT(COLUMN(CM$2)-69,3))*5)+MOD(COLUMN(CM$2),3),1,1),"")</f>
        <v>0</v>
      </c>
      <c r="CN258">
        <f ca="1">IF($AN258="",OFFSET(Demand!$A$13,ROW(X255)-1,4+((QUOTIENT(COLUMN(CN$2)-69,3))*5)+MOD(COLUMN(CN$2),3),1,1),"")</f>
        <v>0</v>
      </c>
      <c r="CO258">
        <f ca="1">IF($AN258="",OFFSET(Demand!$A$13,ROW(Y255)-1,4+((QUOTIENT(COLUMN(CO$2)-69,3))*5)+MOD(COLUMN(CO$2),3),1,1),"")</f>
        <v>0</v>
      </c>
      <c r="CP258">
        <f ca="1">IF($AN258="",OFFSET(Demand!$A$13,ROW(Z255)-1,4+((QUOTIENT(COLUMN(CP$2)-69,3))*5)+MOD(COLUMN(CP$2),3),1,1),"")</f>
        <v>0</v>
      </c>
      <c r="CQ258">
        <f ca="1">IF($AN258="",OFFSET(Demand!$A$13,ROW(AA255)-1,4+((QUOTIENT(COLUMN(CQ$2)-69,3))*5)+MOD(COLUMN(CQ$2),3),1,1),"")</f>
        <v>0</v>
      </c>
      <c r="CR258">
        <f ca="1">IF($AN258="",OFFSET(Demand!$A$13,ROW(AB255)-1,4+((QUOTIENT(COLUMN(CR$2)-69,3))*5)+MOD(COLUMN(CR$2),3),1,1),"")</f>
        <v>0</v>
      </c>
      <c r="CS258">
        <f ca="1">IF($AN258="",OFFSET(Demand!$A$13,ROW(AC255)-1,4+((QUOTIENT(COLUMN(CS$2)-69,3))*5)+MOD(COLUMN(CS$2),3),1,1),"")</f>
        <v>0</v>
      </c>
      <c r="CT258">
        <f ca="1">IF($AN258="",OFFSET(Demand!$A$13,ROW(AD255)-1,4+((QUOTIENT(COLUMN(CT$2)-69,3))*5)+MOD(COLUMN(CT$2),3),1,1),"")</f>
        <v>0</v>
      </c>
      <c r="CW258" s="5">
        <f ca="1">SUM(OFFSET(Demand!$H$43,ROW(A255)-1,(COLUMN(A255)-1)*5,1,1))*N$2</f>
        <v>0</v>
      </c>
      <c r="CX258" s="5">
        <f ca="1">SUM(OFFSET(Demand!$H$43,ROW(B255)-1,(COLUMN(B255)-1)*5,1,1))*O$2</f>
        <v>0</v>
      </c>
      <c r="CY258" s="5">
        <f ca="1">SUM(OFFSET(Demand!$H$43,ROW(C255)-1,(COLUMN(C255)-1)*5,1,1))*P$2</f>
        <v>0</v>
      </c>
      <c r="CZ258" s="5">
        <f ca="1">SUM(OFFSET(Demand!$H$43,ROW(D255)-1,(COLUMN(D255)-1)*5,1,1))*Q$2</f>
        <v>0</v>
      </c>
      <c r="DA258" s="5">
        <f ca="1">SUM(OFFSET(Demand!$H$43,ROW(E255)-1,(COLUMN(E255)-1)*5,1,1))*R$2</f>
        <v>0</v>
      </c>
      <c r="DB258" s="5">
        <f ca="1">SUM(OFFSET(Demand!$H$43,ROW(F255)-1,(COLUMN(F255)-1)*5,1,1))*S$2</f>
        <v>0</v>
      </c>
      <c r="DC258" s="5">
        <f ca="1">SUM(OFFSET(Demand!$H$43,ROW(G255)-1,(COLUMN(G255)-1)*5,1,1))*T$2</f>
        <v>0</v>
      </c>
      <c r="DD258" s="5">
        <f ca="1">SUM(OFFSET(Demand!$H$43,ROW(H255)-1,(COLUMN(H255)-1)*5,1,1))*U$2</f>
        <v>0</v>
      </c>
      <c r="DE258" s="5">
        <f ca="1">SUM(OFFSET(Demand!$H$43,ROW(I255)-1,(COLUMN(I255)-1)*5,1,1))*V$2</f>
        <v>0</v>
      </c>
      <c r="DF258" s="5">
        <f ca="1">SUM(OFFSET(Demand!$H$43,ROW(J255)-1,(COLUMN(J255)-1)*5,1,1))*W$2</f>
        <v>0</v>
      </c>
      <c r="DG258" s="5">
        <f t="shared" ca="1" si="52"/>
        <v>0</v>
      </c>
    </row>
    <row r="259" spans="1:111" x14ac:dyDescent="0.2">
      <c r="A259" s="5">
        <f t="shared" ca="1" si="55"/>
        <v>2</v>
      </c>
      <c r="B259" s="5">
        <f ca="1">COUNTBLANK(OFFSET(Demand!$I268,0,(COLUMN(A256)-1)*5,1,1))</f>
        <v>1</v>
      </c>
      <c r="C259" s="5">
        <f ca="1">COUNTBLANK(OFFSET(Demand!$I268,0,(COLUMN(B256)-1)*5,1,1))</f>
        <v>1</v>
      </c>
      <c r="D259" s="5">
        <f ca="1">COUNTBLANK(OFFSET(Demand!$I268,0,(COLUMN(C256)-1)*5,1,1))</f>
        <v>1</v>
      </c>
      <c r="E259" s="5">
        <f ca="1">COUNTBLANK(OFFSET(Demand!$I268,0,(COLUMN(D256)-1)*5,1,1))</f>
        <v>1</v>
      </c>
      <c r="F259" s="5">
        <f ca="1">COUNTBLANK(OFFSET(Demand!$I268,0,(COLUMN(E256)-1)*5,1,1))</f>
        <v>1</v>
      </c>
      <c r="G259" s="5">
        <f ca="1">COUNTBLANK(OFFSET(Demand!$I268,0,(COLUMN(F256)-1)*5,1,1))</f>
        <v>1</v>
      </c>
      <c r="H259" s="5">
        <f ca="1">COUNTBLANK(OFFSET(Demand!$I268,0,(COLUMN(G256)-1)*5,1,1))</f>
        <v>1</v>
      </c>
      <c r="I259" s="5">
        <f ca="1">COUNTBLANK(OFFSET(Demand!$I268,0,(COLUMN(H256)-1)*5,1,1))</f>
        <v>1</v>
      </c>
      <c r="J259" s="5">
        <f ca="1">COUNTBLANK(OFFSET(Demand!$I268,0,(COLUMN(I256)-1)*5,1,1))</f>
        <v>1</v>
      </c>
      <c r="K259" s="5">
        <f ca="1">COUNTBLANK(OFFSET(Demand!$I268,0,(COLUMN(J256)-1)*5,1,1))</f>
        <v>1</v>
      </c>
      <c r="N259" s="5">
        <f ca="1">SUM(OFFSET(Demand!$E268,0,(COLUMN(A256)-1)*5,1,3))*N$2</f>
        <v>0</v>
      </c>
      <c r="O259" s="5">
        <f ca="1">SUM(OFFSET(Demand!$E268,0,(COLUMN(B256)-1)*5,1,3))*O$2</f>
        <v>0</v>
      </c>
      <c r="P259" s="5">
        <f ca="1">SUM(OFFSET(Demand!$E268,0,(COLUMN(C256)-1)*5,1,3))*P$2</f>
        <v>0</v>
      </c>
      <c r="Q259" s="5">
        <f ca="1">SUM(OFFSET(Demand!$E268,0,(COLUMN(D256)-1)*5,1,3))*Q$2</f>
        <v>0</v>
      </c>
      <c r="R259" s="5">
        <f ca="1">SUM(OFFSET(Demand!$E268,0,(COLUMN(E256)-1)*5,1,3))*R$2</f>
        <v>0</v>
      </c>
      <c r="S259" s="5">
        <f ca="1">SUM(OFFSET(Demand!$E268,0,(COLUMN(F256)-1)*5,1,3))*S$2</f>
        <v>0</v>
      </c>
      <c r="T259" s="5">
        <f ca="1">SUM(OFFSET(Demand!$E268,0,(COLUMN(G256)-1)*5,1,3))*T$2</f>
        <v>0</v>
      </c>
      <c r="U259" s="5">
        <f ca="1">SUM(OFFSET(Demand!$E268,0,(COLUMN(H256)-1)*5,1,3))*U$2</f>
        <v>0</v>
      </c>
      <c r="V259" s="5">
        <f ca="1">SUM(OFFSET(Demand!$E268,0,(COLUMN(I256)-1)*5,1,3))*V$2</f>
        <v>0</v>
      </c>
      <c r="W259" s="5">
        <f ca="1">SUM(OFFSET(Demand!$E268,0,(COLUMN(J256)-1)*5,1,3))*W$2</f>
        <v>0</v>
      </c>
      <c r="X259" s="5">
        <f t="shared" ca="1" si="47"/>
        <v>0</v>
      </c>
      <c r="Y259">
        <f t="shared" ca="1" si="48"/>
        <v>0</v>
      </c>
      <c r="Z259" s="5">
        <f ca="1">SUM(OFFSET(Demand!$H268,0,(COLUMN(A256)-1)*5,1,1))*N$2</f>
        <v>0</v>
      </c>
      <c r="AA259" s="5">
        <f ca="1">SUM(OFFSET(Demand!$H268,0,(COLUMN(B256)-1)*5,1,1))*O$2</f>
        <v>0</v>
      </c>
      <c r="AB259" s="5">
        <f ca="1">SUM(OFFSET(Demand!$H268,0,(COLUMN(C256)-1)*5,1,1))*P$2</f>
        <v>0</v>
      </c>
      <c r="AC259" s="5">
        <f ca="1">SUM(OFFSET(Demand!$H268,0,(COLUMN(D256)-1)*5,1,1))*Q$2</f>
        <v>0</v>
      </c>
      <c r="AD259" s="5">
        <f ca="1">SUM(OFFSET(Demand!$H268,0,(COLUMN(E256)-1)*5,1,1))*R$2</f>
        <v>0</v>
      </c>
      <c r="AE259" s="5">
        <f ca="1">SUM(OFFSET(Demand!$H268,0,(COLUMN(F256)-1)*5,1,1))*S$2</f>
        <v>0</v>
      </c>
      <c r="AF259" s="5">
        <f ca="1">SUM(OFFSET(Demand!$H268,0,(COLUMN(G256)-1)*5,1,1))*T$2</f>
        <v>0</v>
      </c>
      <c r="AG259" s="5">
        <f ca="1">SUM(OFFSET(Demand!$H268,0,(COLUMN(H256)-1)*5,1,1))*U$2</f>
        <v>0</v>
      </c>
      <c r="AH259" s="5">
        <f ca="1">SUM(OFFSET(Demand!$H268,0,(COLUMN(I256)-1)*5,1,1))*V$2</f>
        <v>0</v>
      </c>
      <c r="AI259" s="5">
        <f ca="1">SUM(OFFSET(Demand!$H268,0,(COLUMN(J256)-1)*5,1,1))*W$2</f>
        <v>0</v>
      </c>
      <c r="AJ259" s="5">
        <f t="shared" ca="1" si="49"/>
        <v>0</v>
      </c>
      <c r="AL259" s="5">
        <f t="shared" ca="1" si="50"/>
        <v>0</v>
      </c>
      <c r="AM259" s="5">
        <f t="shared" ca="1" si="51"/>
        <v>0</v>
      </c>
      <c r="AN259" s="5" t="str">
        <f>IF(Demand!BE268="Yes","Yes","")</f>
        <v/>
      </c>
      <c r="AP259" s="37" t="str">
        <f ca="1">Demand!B268</f>
        <v xml:space="preserve"> </v>
      </c>
      <c r="AQ259" t="str">
        <f ca="1">IF(TEXT(Demand!D268,"MMM")&lt;&gt;TEXT(Demand!D267,"MMM"),TEXT(Demand!D268,"MMM"),"")</f>
        <v/>
      </c>
      <c r="AT259" s="5">
        <f t="shared" ca="1" si="53"/>
        <v>0</v>
      </c>
      <c r="BQ259">
        <f ca="1">IF($AN259="",OFFSET(Demand!$A$13,ROW(A256)-1,4+((QUOTIENT(COLUMN(BQ$2)-69,3))*5)+MOD(COLUMN(BQ$2),3),1,1),"")</f>
        <v>0</v>
      </c>
      <c r="BR259">
        <f ca="1">IF($AN259="",OFFSET(Demand!$A$13,ROW(B256)-1,4+((QUOTIENT(COLUMN(BR$2)-69,3))*5)+MOD(COLUMN(BR$2),3),1,1),"")</f>
        <v>0</v>
      </c>
      <c r="BS259">
        <f ca="1">IF($AN259="",OFFSET(Demand!$A$13,ROW(C256)-1,4+((QUOTIENT(COLUMN(BS$2)-69,3))*5)+MOD(COLUMN(BS$2),3),1,1),"")</f>
        <v>0</v>
      </c>
      <c r="BT259">
        <f ca="1">IF($AN259="",OFFSET(Demand!$A$13,ROW(D256)-1,4+((QUOTIENT(COLUMN(BT$2)-69,3))*5)+MOD(COLUMN(BT$2),3),1,1),"")</f>
        <v>0</v>
      </c>
      <c r="BU259">
        <f ca="1">IF($AN259="",OFFSET(Demand!$A$13,ROW(E256)-1,4+((QUOTIENT(COLUMN(BU$2)-69,3))*5)+MOD(COLUMN(BU$2),3),1,1),"")</f>
        <v>0</v>
      </c>
      <c r="BV259">
        <f ca="1">IF($AN259="",OFFSET(Demand!$A$13,ROW(F256)-1,4+((QUOTIENT(COLUMN(BV$2)-69,3))*5)+MOD(COLUMN(BV$2),3),1,1),"")</f>
        <v>0</v>
      </c>
      <c r="BW259">
        <f ca="1">IF($AN259="",OFFSET(Demand!$A$13,ROW(G256)-1,4+((QUOTIENT(COLUMN(BW$2)-69,3))*5)+MOD(COLUMN(BW$2),3),1,1),"")</f>
        <v>0</v>
      </c>
      <c r="BX259">
        <f ca="1">IF($AN259="",OFFSET(Demand!$A$13,ROW(H256)-1,4+((QUOTIENT(COLUMN(BX$2)-69,3))*5)+MOD(COLUMN(BX$2),3),1,1),"")</f>
        <v>0</v>
      </c>
      <c r="BY259">
        <f ca="1">IF($AN259="",OFFSET(Demand!$A$13,ROW(I256)-1,4+((QUOTIENT(COLUMN(BY$2)-69,3))*5)+MOD(COLUMN(BY$2),3),1,1),"")</f>
        <v>0</v>
      </c>
      <c r="BZ259">
        <f ca="1">IF($AN259="",OFFSET(Demand!$A$13,ROW(J256)-1,4+((QUOTIENT(COLUMN(BZ$2)-69,3))*5)+MOD(COLUMN(BZ$2),3),1,1),"")</f>
        <v>0</v>
      </c>
      <c r="CA259">
        <f ca="1">IF($AN259="",OFFSET(Demand!$A$13,ROW(K256)-1,4+((QUOTIENT(COLUMN(CA$2)-69,3))*5)+MOD(COLUMN(CA$2),3),1,1),"")</f>
        <v>0</v>
      </c>
      <c r="CB259">
        <f ca="1">IF($AN259="",OFFSET(Demand!$A$13,ROW(L256)-1,4+((QUOTIENT(COLUMN(CB$2)-69,3))*5)+MOD(COLUMN(CB$2),3),1,1),"")</f>
        <v>0</v>
      </c>
      <c r="CC259">
        <f ca="1">IF($AN259="",OFFSET(Demand!$A$13,ROW(M256)-1,4+((QUOTIENT(COLUMN(CC$2)-69,3))*5)+MOD(COLUMN(CC$2),3),1,1),"")</f>
        <v>0</v>
      </c>
      <c r="CD259">
        <f ca="1">IF($AN259="",OFFSET(Demand!$A$13,ROW(N256)-1,4+((QUOTIENT(COLUMN(CD$2)-69,3))*5)+MOD(COLUMN(CD$2),3),1,1),"")</f>
        <v>0</v>
      </c>
      <c r="CE259">
        <f ca="1">IF($AN259="",OFFSET(Demand!$A$13,ROW(O256)-1,4+((QUOTIENT(COLUMN(CE$2)-69,3))*5)+MOD(COLUMN(CE$2),3),1,1),"")</f>
        <v>0</v>
      </c>
      <c r="CF259">
        <f ca="1">IF($AN259="",OFFSET(Demand!$A$13,ROW(P256)-1,4+((QUOTIENT(COLUMN(CF$2)-69,3))*5)+MOD(COLUMN(CF$2),3),1,1),"")</f>
        <v>0</v>
      </c>
      <c r="CG259">
        <f ca="1">IF($AN259="",OFFSET(Demand!$A$13,ROW(Q256)-1,4+((QUOTIENT(COLUMN(CG$2)-69,3))*5)+MOD(COLUMN(CG$2),3),1,1),"")</f>
        <v>0</v>
      </c>
      <c r="CH259">
        <f ca="1">IF($AN259="",OFFSET(Demand!$A$13,ROW(R256)-1,4+((QUOTIENT(COLUMN(CH$2)-69,3))*5)+MOD(COLUMN(CH$2),3),1,1),"")</f>
        <v>0</v>
      </c>
      <c r="CI259">
        <f ca="1">IF($AN259="",OFFSET(Demand!$A$13,ROW(S256)-1,4+((QUOTIENT(COLUMN(CI$2)-69,3))*5)+MOD(COLUMN(CI$2),3),1,1),"")</f>
        <v>0</v>
      </c>
      <c r="CJ259">
        <f ca="1">IF($AN259="",OFFSET(Demand!$A$13,ROW(T256)-1,4+((QUOTIENT(COLUMN(CJ$2)-69,3))*5)+MOD(COLUMN(CJ$2),3),1,1),"")</f>
        <v>0</v>
      </c>
      <c r="CK259">
        <f ca="1">IF($AN259="",OFFSET(Demand!$A$13,ROW(U256)-1,4+((QUOTIENT(COLUMN(CK$2)-69,3))*5)+MOD(COLUMN(CK$2),3),1,1),"")</f>
        <v>0</v>
      </c>
      <c r="CL259">
        <f ca="1">IF($AN259="",OFFSET(Demand!$A$13,ROW(V256)-1,4+((QUOTIENT(COLUMN(CL$2)-69,3))*5)+MOD(COLUMN(CL$2),3),1,1),"")</f>
        <v>0</v>
      </c>
      <c r="CM259">
        <f ca="1">IF($AN259="",OFFSET(Demand!$A$13,ROW(W256)-1,4+((QUOTIENT(COLUMN(CM$2)-69,3))*5)+MOD(COLUMN(CM$2),3),1,1),"")</f>
        <v>0</v>
      </c>
      <c r="CN259">
        <f ca="1">IF($AN259="",OFFSET(Demand!$A$13,ROW(X256)-1,4+((QUOTIENT(COLUMN(CN$2)-69,3))*5)+MOD(COLUMN(CN$2),3),1,1),"")</f>
        <v>0</v>
      </c>
      <c r="CO259">
        <f ca="1">IF($AN259="",OFFSET(Demand!$A$13,ROW(Y256)-1,4+((QUOTIENT(COLUMN(CO$2)-69,3))*5)+MOD(COLUMN(CO$2),3),1,1),"")</f>
        <v>0</v>
      </c>
      <c r="CP259">
        <f ca="1">IF($AN259="",OFFSET(Demand!$A$13,ROW(Z256)-1,4+((QUOTIENT(COLUMN(CP$2)-69,3))*5)+MOD(COLUMN(CP$2),3),1,1),"")</f>
        <v>0</v>
      </c>
      <c r="CQ259">
        <f ca="1">IF($AN259="",OFFSET(Demand!$A$13,ROW(AA256)-1,4+((QUOTIENT(COLUMN(CQ$2)-69,3))*5)+MOD(COLUMN(CQ$2),3),1,1),"")</f>
        <v>0</v>
      </c>
      <c r="CR259">
        <f ca="1">IF($AN259="",OFFSET(Demand!$A$13,ROW(AB256)-1,4+((QUOTIENT(COLUMN(CR$2)-69,3))*5)+MOD(COLUMN(CR$2),3),1,1),"")</f>
        <v>0</v>
      </c>
      <c r="CS259">
        <f ca="1">IF($AN259="",OFFSET(Demand!$A$13,ROW(AC256)-1,4+((QUOTIENT(COLUMN(CS$2)-69,3))*5)+MOD(COLUMN(CS$2),3),1,1),"")</f>
        <v>0</v>
      </c>
      <c r="CT259">
        <f ca="1">IF($AN259="",OFFSET(Demand!$A$13,ROW(AD256)-1,4+((QUOTIENT(COLUMN(CT$2)-69,3))*5)+MOD(COLUMN(CT$2),3),1,1),"")</f>
        <v>0</v>
      </c>
      <c r="CW259" s="5">
        <f ca="1">SUM(OFFSET(Demand!$H$43,ROW(A256)-1,(COLUMN(A256)-1)*5,1,1))*N$2</f>
        <v>0</v>
      </c>
      <c r="CX259" s="5">
        <f ca="1">SUM(OFFSET(Demand!$H$43,ROW(B256)-1,(COLUMN(B256)-1)*5,1,1))*O$2</f>
        <v>0</v>
      </c>
      <c r="CY259" s="5">
        <f ca="1">SUM(OFFSET(Demand!$H$43,ROW(C256)-1,(COLUMN(C256)-1)*5,1,1))*P$2</f>
        <v>0</v>
      </c>
      <c r="CZ259" s="5">
        <f ca="1">SUM(OFFSET(Demand!$H$43,ROW(D256)-1,(COLUMN(D256)-1)*5,1,1))*Q$2</f>
        <v>0</v>
      </c>
      <c r="DA259" s="5">
        <f ca="1">SUM(OFFSET(Demand!$H$43,ROW(E256)-1,(COLUMN(E256)-1)*5,1,1))*R$2</f>
        <v>0</v>
      </c>
      <c r="DB259" s="5">
        <f ca="1">SUM(OFFSET(Demand!$H$43,ROW(F256)-1,(COLUMN(F256)-1)*5,1,1))*S$2</f>
        <v>0</v>
      </c>
      <c r="DC259" s="5">
        <f ca="1">SUM(OFFSET(Demand!$H$43,ROW(G256)-1,(COLUMN(G256)-1)*5,1,1))*T$2</f>
        <v>0</v>
      </c>
      <c r="DD259" s="5">
        <f ca="1">SUM(OFFSET(Demand!$H$43,ROW(H256)-1,(COLUMN(H256)-1)*5,1,1))*U$2</f>
        <v>0</v>
      </c>
      <c r="DE259" s="5">
        <f ca="1">SUM(OFFSET(Demand!$H$43,ROW(I256)-1,(COLUMN(I256)-1)*5,1,1))*V$2</f>
        <v>0</v>
      </c>
      <c r="DF259" s="5">
        <f ca="1">SUM(OFFSET(Demand!$H$43,ROW(J256)-1,(COLUMN(J256)-1)*5,1,1))*W$2</f>
        <v>0</v>
      </c>
      <c r="DG259" s="5">
        <f t="shared" ca="1" si="52"/>
        <v>0</v>
      </c>
    </row>
    <row r="260" spans="1:111" x14ac:dyDescent="0.2">
      <c r="A260" s="5">
        <f t="shared" ca="1" si="55"/>
        <v>2</v>
      </c>
      <c r="B260" s="5">
        <f ca="1">COUNTBLANK(OFFSET(Demand!$I269,0,(COLUMN(A257)-1)*5,1,1))</f>
        <v>1</v>
      </c>
      <c r="C260" s="5">
        <f ca="1">COUNTBLANK(OFFSET(Demand!$I269,0,(COLUMN(B257)-1)*5,1,1))</f>
        <v>1</v>
      </c>
      <c r="D260" s="5">
        <f ca="1">COUNTBLANK(OFFSET(Demand!$I269,0,(COLUMN(C257)-1)*5,1,1))</f>
        <v>1</v>
      </c>
      <c r="E260" s="5">
        <f ca="1">COUNTBLANK(OFFSET(Demand!$I269,0,(COLUMN(D257)-1)*5,1,1))</f>
        <v>1</v>
      </c>
      <c r="F260" s="5">
        <f ca="1">COUNTBLANK(OFFSET(Demand!$I269,0,(COLUMN(E257)-1)*5,1,1))</f>
        <v>1</v>
      </c>
      <c r="G260" s="5">
        <f ca="1">COUNTBLANK(OFFSET(Demand!$I269,0,(COLUMN(F257)-1)*5,1,1))</f>
        <v>1</v>
      </c>
      <c r="H260" s="5">
        <f ca="1">COUNTBLANK(OFFSET(Demand!$I269,0,(COLUMN(G257)-1)*5,1,1))</f>
        <v>1</v>
      </c>
      <c r="I260" s="5">
        <f ca="1">COUNTBLANK(OFFSET(Demand!$I269,0,(COLUMN(H257)-1)*5,1,1))</f>
        <v>1</v>
      </c>
      <c r="J260" s="5">
        <f ca="1">COUNTBLANK(OFFSET(Demand!$I269,0,(COLUMN(I257)-1)*5,1,1))</f>
        <v>1</v>
      </c>
      <c r="K260" s="5">
        <f ca="1">COUNTBLANK(OFFSET(Demand!$I269,0,(COLUMN(J257)-1)*5,1,1))</f>
        <v>1</v>
      </c>
      <c r="N260" s="5">
        <f ca="1">SUM(OFFSET(Demand!$E269,0,(COLUMN(A257)-1)*5,1,3))*N$2</f>
        <v>0</v>
      </c>
      <c r="O260" s="5">
        <f ca="1">SUM(OFFSET(Demand!$E269,0,(COLUMN(B257)-1)*5,1,3))*O$2</f>
        <v>0</v>
      </c>
      <c r="P260" s="5">
        <f ca="1">SUM(OFFSET(Demand!$E269,0,(COLUMN(C257)-1)*5,1,3))*P$2</f>
        <v>0</v>
      </c>
      <c r="Q260" s="5">
        <f ca="1">SUM(OFFSET(Demand!$E269,0,(COLUMN(D257)-1)*5,1,3))*Q$2</f>
        <v>0</v>
      </c>
      <c r="R260" s="5">
        <f ca="1">SUM(OFFSET(Demand!$E269,0,(COLUMN(E257)-1)*5,1,3))*R$2</f>
        <v>0</v>
      </c>
      <c r="S260" s="5">
        <f ca="1">SUM(OFFSET(Demand!$E269,0,(COLUMN(F257)-1)*5,1,3))*S$2</f>
        <v>0</v>
      </c>
      <c r="T260" s="5">
        <f ca="1">SUM(OFFSET(Demand!$E269,0,(COLUMN(G257)-1)*5,1,3))*T$2</f>
        <v>0</v>
      </c>
      <c r="U260" s="5">
        <f ca="1">SUM(OFFSET(Demand!$E269,0,(COLUMN(H257)-1)*5,1,3))*U$2</f>
        <v>0</v>
      </c>
      <c r="V260" s="5">
        <f ca="1">SUM(OFFSET(Demand!$E269,0,(COLUMN(I257)-1)*5,1,3))*V$2</f>
        <v>0</v>
      </c>
      <c r="W260" s="5">
        <f ca="1">SUM(OFFSET(Demand!$E269,0,(COLUMN(J257)-1)*5,1,3))*W$2</f>
        <v>0</v>
      </c>
      <c r="X260" s="5">
        <f t="shared" ca="1" si="47"/>
        <v>0</v>
      </c>
      <c r="Y260">
        <f t="shared" ca="1" si="48"/>
        <v>0</v>
      </c>
      <c r="Z260" s="5">
        <f ca="1">SUM(OFFSET(Demand!$H269,0,(COLUMN(A257)-1)*5,1,1))*N$2</f>
        <v>0</v>
      </c>
      <c r="AA260" s="5">
        <f ca="1">SUM(OFFSET(Demand!$H269,0,(COLUMN(B257)-1)*5,1,1))*O$2</f>
        <v>0</v>
      </c>
      <c r="AB260" s="5">
        <f ca="1">SUM(OFFSET(Demand!$H269,0,(COLUMN(C257)-1)*5,1,1))*P$2</f>
        <v>0</v>
      </c>
      <c r="AC260" s="5">
        <f ca="1">SUM(OFFSET(Demand!$H269,0,(COLUMN(D257)-1)*5,1,1))*Q$2</f>
        <v>0</v>
      </c>
      <c r="AD260" s="5">
        <f ca="1">SUM(OFFSET(Demand!$H269,0,(COLUMN(E257)-1)*5,1,1))*R$2</f>
        <v>0</v>
      </c>
      <c r="AE260" s="5">
        <f ca="1">SUM(OFFSET(Demand!$H269,0,(COLUMN(F257)-1)*5,1,1))*S$2</f>
        <v>0</v>
      </c>
      <c r="AF260" s="5">
        <f ca="1">SUM(OFFSET(Demand!$H269,0,(COLUMN(G257)-1)*5,1,1))*T$2</f>
        <v>0</v>
      </c>
      <c r="AG260" s="5">
        <f ca="1">SUM(OFFSET(Demand!$H269,0,(COLUMN(H257)-1)*5,1,1))*U$2</f>
        <v>0</v>
      </c>
      <c r="AH260" s="5">
        <f ca="1">SUM(OFFSET(Demand!$H269,0,(COLUMN(I257)-1)*5,1,1))*V$2</f>
        <v>0</v>
      </c>
      <c r="AI260" s="5">
        <f ca="1">SUM(OFFSET(Demand!$H269,0,(COLUMN(J257)-1)*5,1,1))*W$2</f>
        <v>0</v>
      </c>
      <c r="AJ260" s="5">
        <f t="shared" ca="1" si="49"/>
        <v>0</v>
      </c>
      <c r="AL260" s="5">
        <f t="shared" ca="1" si="50"/>
        <v>0</v>
      </c>
      <c r="AM260" s="5">
        <f t="shared" ca="1" si="51"/>
        <v>0</v>
      </c>
      <c r="AN260" s="5" t="str">
        <f>IF(Demand!BE269="Yes","Yes","")</f>
        <v/>
      </c>
      <c r="AP260" s="37" t="str">
        <f ca="1">Demand!B269</f>
        <v xml:space="preserve"> </v>
      </c>
      <c r="AQ260" t="str">
        <f ca="1">IF(TEXT(Demand!D269,"MMM")&lt;&gt;TEXT(Demand!D268,"MMM"),TEXT(Demand!D269,"MMM"),"")</f>
        <v/>
      </c>
      <c r="AT260" s="5">
        <f t="shared" ca="1" si="53"/>
        <v>0</v>
      </c>
      <c r="BQ260">
        <f ca="1">IF($AN260="",OFFSET(Demand!$A$13,ROW(A257)-1,4+((QUOTIENT(COLUMN(BQ$2)-69,3))*5)+MOD(COLUMN(BQ$2),3),1,1),"")</f>
        <v>0</v>
      </c>
      <c r="BR260">
        <f ca="1">IF($AN260="",OFFSET(Demand!$A$13,ROW(B257)-1,4+((QUOTIENT(COLUMN(BR$2)-69,3))*5)+MOD(COLUMN(BR$2),3),1,1),"")</f>
        <v>0</v>
      </c>
      <c r="BS260">
        <f ca="1">IF($AN260="",OFFSET(Demand!$A$13,ROW(C257)-1,4+((QUOTIENT(COLUMN(BS$2)-69,3))*5)+MOD(COLUMN(BS$2),3),1,1),"")</f>
        <v>0</v>
      </c>
      <c r="BT260">
        <f ca="1">IF($AN260="",OFFSET(Demand!$A$13,ROW(D257)-1,4+((QUOTIENT(COLUMN(BT$2)-69,3))*5)+MOD(COLUMN(BT$2),3),1,1),"")</f>
        <v>0</v>
      </c>
      <c r="BU260">
        <f ca="1">IF($AN260="",OFFSET(Demand!$A$13,ROW(E257)-1,4+((QUOTIENT(COLUMN(BU$2)-69,3))*5)+MOD(COLUMN(BU$2),3),1,1),"")</f>
        <v>0</v>
      </c>
      <c r="BV260">
        <f ca="1">IF($AN260="",OFFSET(Demand!$A$13,ROW(F257)-1,4+((QUOTIENT(COLUMN(BV$2)-69,3))*5)+MOD(COLUMN(BV$2),3),1,1),"")</f>
        <v>0</v>
      </c>
      <c r="BW260">
        <f ca="1">IF($AN260="",OFFSET(Demand!$A$13,ROW(G257)-1,4+((QUOTIENT(COLUMN(BW$2)-69,3))*5)+MOD(COLUMN(BW$2),3),1,1),"")</f>
        <v>0</v>
      </c>
      <c r="BX260">
        <f ca="1">IF($AN260="",OFFSET(Demand!$A$13,ROW(H257)-1,4+((QUOTIENT(COLUMN(BX$2)-69,3))*5)+MOD(COLUMN(BX$2),3),1,1),"")</f>
        <v>0</v>
      </c>
      <c r="BY260">
        <f ca="1">IF($AN260="",OFFSET(Demand!$A$13,ROW(I257)-1,4+((QUOTIENT(COLUMN(BY$2)-69,3))*5)+MOD(COLUMN(BY$2),3),1,1),"")</f>
        <v>0</v>
      </c>
      <c r="BZ260">
        <f ca="1">IF($AN260="",OFFSET(Demand!$A$13,ROW(J257)-1,4+((QUOTIENT(COLUMN(BZ$2)-69,3))*5)+MOD(COLUMN(BZ$2),3),1,1),"")</f>
        <v>0</v>
      </c>
      <c r="CA260">
        <f ca="1">IF($AN260="",OFFSET(Demand!$A$13,ROW(K257)-1,4+((QUOTIENT(COLUMN(CA$2)-69,3))*5)+MOD(COLUMN(CA$2),3),1,1),"")</f>
        <v>0</v>
      </c>
      <c r="CB260">
        <f ca="1">IF($AN260="",OFFSET(Demand!$A$13,ROW(L257)-1,4+((QUOTIENT(COLUMN(CB$2)-69,3))*5)+MOD(COLUMN(CB$2),3),1,1),"")</f>
        <v>0</v>
      </c>
      <c r="CC260">
        <f ca="1">IF($AN260="",OFFSET(Demand!$A$13,ROW(M257)-1,4+((QUOTIENT(COLUMN(CC$2)-69,3))*5)+MOD(COLUMN(CC$2),3),1,1),"")</f>
        <v>0</v>
      </c>
      <c r="CD260">
        <f ca="1">IF($AN260="",OFFSET(Demand!$A$13,ROW(N257)-1,4+((QUOTIENT(COLUMN(CD$2)-69,3))*5)+MOD(COLUMN(CD$2),3),1,1),"")</f>
        <v>0</v>
      </c>
      <c r="CE260">
        <f ca="1">IF($AN260="",OFFSET(Demand!$A$13,ROW(O257)-1,4+((QUOTIENT(COLUMN(CE$2)-69,3))*5)+MOD(COLUMN(CE$2),3),1,1),"")</f>
        <v>0</v>
      </c>
      <c r="CF260">
        <f ca="1">IF($AN260="",OFFSET(Demand!$A$13,ROW(P257)-1,4+((QUOTIENT(COLUMN(CF$2)-69,3))*5)+MOD(COLUMN(CF$2),3),1,1),"")</f>
        <v>0</v>
      </c>
      <c r="CG260">
        <f ca="1">IF($AN260="",OFFSET(Demand!$A$13,ROW(Q257)-1,4+((QUOTIENT(COLUMN(CG$2)-69,3))*5)+MOD(COLUMN(CG$2),3),1,1),"")</f>
        <v>0</v>
      </c>
      <c r="CH260">
        <f ca="1">IF($AN260="",OFFSET(Demand!$A$13,ROW(R257)-1,4+((QUOTIENT(COLUMN(CH$2)-69,3))*5)+MOD(COLUMN(CH$2),3),1,1),"")</f>
        <v>0</v>
      </c>
      <c r="CI260">
        <f ca="1">IF($AN260="",OFFSET(Demand!$A$13,ROW(S257)-1,4+((QUOTIENT(COLUMN(CI$2)-69,3))*5)+MOD(COLUMN(CI$2),3),1,1),"")</f>
        <v>0</v>
      </c>
      <c r="CJ260">
        <f ca="1">IF($AN260="",OFFSET(Demand!$A$13,ROW(T257)-1,4+((QUOTIENT(COLUMN(CJ$2)-69,3))*5)+MOD(COLUMN(CJ$2),3),1,1),"")</f>
        <v>0</v>
      </c>
      <c r="CK260">
        <f ca="1">IF($AN260="",OFFSET(Demand!$A$13,ROW(U257)-1,4+((QUOTIENT(COLUMN(CK$2)-69,3))*5)+MOD(COLUMN(CK$2),3),1,1),"")</f>
        <v>0</v>
      </c>
      <c r="CL260">
        <f ca="1">IF($AN260="",OFFSET(Demand!$A$13,ROW(V257)-1,4+((QUOTIENT(COLUMN(CL$2)-69,3))*5)+MOD(COLUMN(CL$2),3),1,1),"")</f>
        <v>0</v>
      </c>
      <c r="CM260">
        <f ca="1">IF($AN260="",OFFSET(Demand!$A$13,ROW(W257)-1,4+((QUOTIENT(COLUMN(CM$2)-69,3))*5)+MOD(COLUMN(CM$2),3),1,1),"")</f>
        <v>0</v>
      </c>
      <c r="CN260">
        <f ca="1">IF($AN260="",OFFSET(Demand!$A$13,ROW(X257)-1,4+((QUOTIENT(COLUMN(CN$2)-69,3))*5)+MOD(COLUMN(CN$2),3),1,1),"")</f>
        <v>0</v>
      </c>
      <c r="CO260">
        <f ca="1">IF($AN260="",OFFSET(Demand!$A$13,ROW(Y257)-1,4+((QUOTIENT(COLUMN(CO$2)-69,3))*5)+MOD(COLUMN(CO$2),3),1,1),"")</f>
        <v>0</v>
      </c>
      <c r="CP260">
        <f ca="1">IF($AN260="",OFFSET(Demand!$A$13,ROW(Z257)-1,4+((QUOTIENT(COLUMN(CP$2)-69,3))*5)+MOD(COLUMN(CP$2),3),1,1),"")</f>
        <v>0</v>
      </c>
      <c r="CQ260">
        <f ca="1">IF($AN260="",OFFSET(Demand!$A$13,ROW(AA257)-1,4+((QUOTIENT(COLUMN(CQ$2)-69,3))*5)+MOD(COLUMN(CQ$2),3),1,1),"")</f>
        <v>0</v>
      </c>
      <c r="CR260">
        <f ca="1">IF($AN260="",OFFSET(Demand!$A$13,ROW(AB257)-1,4+((QUOTIENT(COLUMN(CR$2)-69,3))*5)+MOD(COLUMN(CR$2),3),1,1),"")</f>
        <v>0</v>
      </c>
      <c r="CS260">
        <f ca="1">IF($AN260="",OFFSET(Demand!$A$13,ROW(AC257)-1,4+((QUOTIENT(COLUMN(CS$2)-69,3))*5)+MOD(COLUMN(CS$2),3),1,1),"")</f>
        <v>0</v>
      </c>
      <c r="CT260">
        <f ca="1">IF($AN260="",OFFSET(Demand!$A$13,ROW(AD257)-1,4+((QUOTIENT(COLUMN(CT$2)-69,3))*5)+MOD(COLUMN(CT$2),3),1,1),"")</f>
        <v>0</v>
      </c>
      <c r="CW260" s="5">
        <f ca="1">SUM(OFFSET(Demand!$H$43,ROW(A257)-1,(COLUMN(A257)-1)*5,1,1))*N$2</f>
        <v>0</v>
      </c>
      <c r="CX260" s="5">
        <f ca="1">SUM(OFFSET(Demand!$H$43,ROW(B257)-1,(COLUMN(B257)-1)*5,1,1))*O$2</f>
        <v>0</v>
      </c>
      <c r="CY260" s="5">
        <f ca="1">SUM(OFFSET(Demand!$H$43,ROW(C257)-1,(COLUMN(C257)-1)*5,1,1))*P$2</f>
        <v>0</v>
      </c>
      <c r="CZ260" s="5">
        <f ca="1">SUM(OFFSET(Demand!$H$43,ROW(D257)-1,(COLUMN(D257)-1)*5,1,1))*Q$2</f>
        <v>0</v>
      </c>
      <c r="DA260" s="5">
        <f ca="1">SUM(OFFSET(Demand!$H$43,ROW(E257)-1,(COLUMN(E257)-1)*5,1,1))*R$2</f>
        <v>0</v>
      </c>
      <c r="DB260" s="5">
        <f ca="1">SUM(OFFSET(Demand!$H$43,ROW(F257)-1,(COLUMN(F257)-1)*5,1,1))*S$2</f>
        <v>0</v>
      </c>
      <c r="DC260" s="5">
        <f ca="1">SUM(OFFSET(Demand!$H$43,ROW(G257)-1,(COLUMN(G257)-1)*5,1,1))*T$2</f>
        <v>0</v>
      </c>
      <c r="DD260" s="5">
        <f ca="1">SUM(OFFSET(Demand!$H$43,ROW(H257)-1,(COLUMN(H257)-1)*5,1,1))*U$2</f>
        <v>0</v>
      </c>
      <c r="DE260" s="5">
        <f ca="1">SUM(OFFSET(Demand!$H$43,ROW(I257)-1,(COLUMN(I257)-1)*5,1,1))*V$2</f>
        <v>0</v>
      </c>
      <c r="DF260" s="5">
        <f ca="1">SUM(OFFSET(Demand!$H$43,ROW(J257)-1,(COLUMN(J257)-1)*5,1,1))*W$2</f>
        <v>0</v>
      </c>
      <c r="DG260" s="5">
        <f t="shared" ca="1" si="52"/>
        <v>0</v>
      </c>
    </row>
    <row r="261" spans="1:111" x14ac:dyDescent="0.2">
      <c r="A261" s="5">
        <f t="shared" ca="1" si="55"/>
        <v>2</v>
      </c>
      <c r="B261" s="5">
        <f ca="1">COUNTBLANK(OFFSET(Demand!$I270,0,(COLUMN(A258)-1)*5,1,1))</f>
        <v>1</v>
      </c>
      <c r="C261" s="5">
        <f ca="1">COUNTBLANK(OFFSET(Demand!$I270,0,(COLUMN(B258)-1)*5,1,1))</f>
        <v>1</v>
      </c>
      <c r="D261" s="5">
        <f ca="1">COUNTBLANK(OFFSET(Demand!$I270,0,(COLUMN(C258)-1)*5,1,1))</f>
        <v>1</v>
      </c>
      <c r="E261" s="5">
        <f ca="1">COUNTBLANK(OFFSET(Demand!$I270,0,(COLUMN(D258)-1)*5,1,1))</f>
        <v>1</v>
      </c>
      <c r="F261" s="5">
        <f ca="1">COUNTBLANK(OFFSET(Demand!$I270,0,(COLUMN(E258)-1)*5,1,1))</f>
        <v>1</v>
      </c>
      <c r="G261" s="5">
        <f ca="1">COUNTBLANK(OFFSET(Demand!$I270,0,(COLUMN(F258)-1)*5,1,1))</f>
        <v>1</v>
      </c>
      <c r="H261" s="5">
        <f ca="1">COUNTBLANK(OFFSET(Demand!$I270,0,(COLUMN(G258)-1)*5,1,1))</f>
        <v>1</v>
      </c>
      <c r="I261" s="5">
        <f ca="1">COUNTBLANK(OFFSET(Demand!$I270,0,(COLUMN(H258)-1)*5,1,1))</f>
        <v>1</v>
      </c>
      <c r="J261" s="5">
        <f ca="1">COUNTBLANK(OFFSET(Demand!$I270,0,(COLUMN(I258)-1)*5,1,1))</f>
        <v>1</v>
      </c>
      <c r="K261" s="5">
        <f ca="1">COUNTBLANK(OFFSET(Demand!$I270,0,(COLUMN(J258)-1)*5,1,1))</f>
        <v>1</v>
      </c>
      <c r="N261" s="5">
        <f ca="1">SUM(OFFSET(Demand!$E270,0,(COLUMN(A258)-1)*5,1,3))*N$2</f>
        <v>0</v>
      </c>
      <c r="O261" s="5">
        <f ca="1">SUM(OFFSET(Demand!$E270,0,(COLUMN(B258)-1)*5,1,3))*O$2</f>
        <v>0</v>
      </c>
      <c r="P261" s="5">
        <f ca="1">SUM(OFFSET(Demand!$E270,0,(COLUMN(C258)-1)*5,1,3))*P$2</f>
        <v>0</v>
      </c>
      <c r="Q261" s="5">
        <f ca="1">SUM(OFFSET(Demand!$E270,0,(COLUMN(D258)-1)*5,1,3))*Q$2</f>
        <v>0</v>
      </c>
      <c r="R261" s="5">
        <f ca="1">SUM(OFFSET(Demand!$E270,0,(COLUMN(E258)-1)*5,1,3))*R$2</f>
        <v>0</v>
      </c>
      <c r="S261" s="5">
        <f ca="1">SUM(OFFSET(Demand!$E270,0,(COLUMN(F258)-1)*5,1,3))*S$2</f>
        <v>0</v>
      </c>
      <c r="T261" s="5">
        <f ca="1">SUM(OFFSET(Demand!$E270,0,(COLUMN(G258)-1)*5,1,3))*T$2</f>
        <v>0</v>
      </c>
      <c r="U261" s="5">
        <f ca="1">SUM(OFFSET(Demand!$E270,0,(COLUMN(H258)-1)*5,1,3))*U$2</f>
        <v>0</v>
      </c>
      <c r="V261" s="5">
        <f ca="1">SUM(OFFSET(Demand!$E270,0,(COLUMN(I258)-1)*5,1,3))*V$2</f>
        <v>0</v>
      </c>
      <c r="W261" s="5">
        <f ca="1">SUM(OFFSET(Demand!$E270,0,(COLUMN(J258)-1)*5,1,3))*W$2</f>
        <v>0</v>
      </c>
      <c r="X261" s="5">
        <f t="shared" ca="1" si="47"/>
        <v>0</v>
      </c>
      <c r="Y261">
        <f t="shared" ca="1" si="48"/>
        <v>0</v>
      </c>
      <c r="Z261" s="5">
        <f ca="1">SUM(OFFSET(Demand!$H270,0,(COLUMN(A258)-1)*5,1,1))*N$2</f>
        <v>0</v>
      </c>
      <c r="AA261" s="5">
        <f ca="1">SUM(OFFSET(Demand!$H270,0,(COLUMN(B258)-1)*5,1,1))*O$2</f>
        <v>0</v>
      </c>
      <c r="AB261" s="5">
        <f ca="1">SUM(OFFSET(Demand!$H270,0,(COLUMN(C258)-1)*5,1,1))*P$2</f>
        <v>0</v>
      </c>
      <c r="AC261" s="5">
        <f ca="1">SUM(OFFSET(Demand!$H270,0,(COLUMN(D258)-1)*5,1,1))*Q$2</f>
        <v>0</v>
      </c>
      <c r="AD261" s="5">
        <f ca="1">SUM(OFFSET(Demand!$H270,0,(COLUMN(E258)-1)*5,1,1))*R$2</f>
        <v>0</v>
      </c>
      <c r="AE261" s="5">
        <f ca="1">SUM(OFFSET(Demand!$H270,0,(COLUMN(F258)-1)*5,1,1))*S$2</f>
        <v>0</v>
      </c>
      <c r="AF261" s="5">
        <f ca="1">SUM(OFFSET(Demand!$H270,0,(COLUMN(G258)-1)*5,1,1))*T$2</f>
        <v>0</v>
      </c>
      <c r="AG261" s="5">
        <f ca="1">SUM(OFFSET(Demand!$H270,0,(COLUMN(H258)-1)*5,1,1))*U$2</f>
        <v>0</v>
      </c>
      <c r="AH261" s="5">
        <f ca="1">SUM(OFFSET(Demand!$H270,0,(COLUMN(I258)-1)*5,1,1))*V$2</f>
        <v>0</v>
      </c>
      <c r="AI261" s="5">
        <f ca="1">SUM(OFFSET(Demand!$H270,0,(COLUMN(J258)-1)*5,1,1))*W$2</f>
        <v>0</v>
      </c>
      <c r="AJ261" s="5">
        <f t="shared" ca="1" si="49"/>
        <v>0</v>
      </c>
      <c r="AL261" s="5">
        <f t="shared" ref="AL261:AL263" ca="1" si="56">X261</f>
        <v>0</v>
      </c>
      <c r="AM261" s="5">
        <f t="shared" ref="AM261:AM263" ca="1" si="57">IF(AN261&lt;&gt;"","",AJ261)</f>
        <v>0</v>
      </c>
      <c r="AN261" s="5" t="str">
        <f>IF(Demand!BE270="Yes","Yes","")</f>
        <v/>
      </c>
      <c r="AP261" s="37" t="str">
        <f ca="1">Demand!B270</f>
        <v xml:space="preserve"> </v>
      </c>
      <c r="AQ261" t="str">
        <f ca="1">IF(TEXT(Demand!D270,"MMM")&lt;&gt;TEXT(Demand!D269,"MMM"),TEXT(Demand!D270,"MMM"),"")</f>
        <v/>
      </c>
      <c r="AT261" s="5">
        <f t="shared" ca="1" si="53"/>
        <v>0</v>
      </c>
      <c r="BQ261">
        <f ca="1">IF($AN261="",OFFSET(Demand!$A$13,ROW(A258)-1,4+((QUOTIENT(COLUMN(BQ$2)-69,3))*5)+MOD(COLUMN(BQ$2),3),1,1),"")</f>
        <v>0</v>
      </c>
      <c r="BR261">
        <f ca="1">IF($AN261="",OFFSET(Demand!$A$13,ROW(B258)-1,4+((QUOTIENT(COLUMN(BR$2)-69,3))*5)+MOD(COLUMN(BR$2),3),1,1),"")</f>
        <v>0</v>
      </c>
      <c r="BS261">
        <f ca="1">IF($AN261="",OFFSET(Demand!$A$13,ROW(C258)-1,4+((QUOTIENT(COLUMN(BS$2)-69,3))*5)+MOD(COLUMN(BS$2),3),1,1),"")</f>
        <v>0</v>
      </c>
      <c r="BT261">
        <f ca="1">IF($AN261="",OFFSET(Demand!$A$13,ROW(D258)-1,4+((QUOTIENT(COLUMN(BT$2)-69,3))*5)+MOD(COLUMN(BT$2),3),1,1),"")</f>
        <v>0</v>
      </c>
      <c r="BU261">
        <f ca="1">IF($AN261="",OFFSET(Demand!$A$13,ROW(E258)-1,4+((QUOTIENT(COLUMN(BU$2)-69,3))*5)+MOD(COLUMN(BU$2),3),1,1),"")</f>
        <v>0</v>
      </c>
      <c r="BV261">
        <f ca="1">IF($AN261="",OFFSET(Demand!$A$13,ROW(F258)-1,4+((QUOTIENT(COLUMN(BV$2)-69,3))*5)+MOD(COLUMN(BV$2),3),1,1),"")</f>
        <v>0</v>
      </c>
      <c r="BW261">
        <f ca="1">IF($AN261="",OFFSET(Demand!$A$13,ROW(G258)-1,4+((QUOTIENT(COLUMN(BW$2)-69,3))*5)+MOD(COLUMN(BW$2),3),1,1),"")</f>
        <v>0</v>
      </c>
      <c r="BX261">
        <f ca="1">IF($AN261="",OFFSET(Demand!$A$13,ROW(H258)-1,4+((QUOTIENT(COLUMN(BX$2)-69,3))*5)+MOD(COLUMN(BX$2),3),1,1),"")</f>
        <v>0</v>
      </c>
      <c r="BY261">
        <f ca="1">IF($AN261="",OFFSET(Demand!$A$13,ROW(I258)-1,4+((QUOTIENT(COLUMN(BY$2)-69,3))*5)+MOD(COLUMN(BY$2),3),1,1),"")</f>
        <v>0</v>
      </c>
      <c r="BZ261">
        <f ca="1">IF($AN261="",OFFSET(Demand!$A$13,ROW(J258)-1,4+((QUOTIENT(COLUMN(BZ$2)-69,3))*5)+MOD(COLUMN(BZ$2),3),1,1),"")</f>
        <v>0</v>
      </c>
      <c r="CA261">
        <f ca="1">IF($AN261="",OFFSET(Demand!$A$13,ROW(K258)-1,4+((QUOTIENT(COLUMN(CA$2)-69,3))*5)+MOD(COLUMN(CA$2),3),1,1),"")</f>
        <v>0</v>
      </c>
      <c r="CB261">
        <f ca="1">IF($AN261="",OFFSET(Demand!$A$13,ROW(L258)-1,4+((QUOTIENT(COLUMN(CB$2)-69,3))*5)+MOD(COLUMN(CB$2),3),1,1),"")</f>
        <v>0</v>
      </c>
      <c r="CC261">
        <f ca="1">IF($AN261="",OFFSET(Demand!$A$13,ROW(M258)-1,4+((QUOTIENT(COLUMN(CC$2)-69,3))*5)+MOD(COLUMN(CC$2),3),1,1),"")</f>
        <v>0</v>
      </c>
      <c r="CD261">
        <f ca="1">IF($AN261="",OFFSET(Demand!$A$13,ROW(N258)-1,4+((QUOTIENT(COLUMN(CD$2)-69,3))*5)+MOD(COLUMN(CD$2),3),1,1),"")</f>
        <v>0</v>
      </c>
      <c r="CE261">
        <f ca="1">IF($AN261="",OFFSET(Demand!$A$13,ROW(O258)-1,4+((QUOTIENT(COLUMN(CE$2)-69,3))*5)+MOD(COLUMN(CE$2),3),1,1),"")</f>
        <v>0</v>
      </c>
      <c r="CF261">
        <f ca="1">IF($AN261="",OFFSET(Demand!$A$13,ROW(P258)-1,4+((QUOTIENT(COLUMN(CF$2)-69,3))*5)+MOD(COLUMN(CF$2),3),1,1),"")</f>
        <v>0</v>
      </c>
      <c r="CG261">
        <f ca="1">IF($AN261="",OFFSET(Demand!$A$13,ROW(Q258)-1,4+((QUOTIENT(COLUMN(CG$2)-69,3))*5)+MOD(COLUMN(CG$2),3),1,1),"")</f>
        <v>0</v>
      </c>
      <c r="CH261">
        <f ca="1">IF($AN261="",OFFSET(Demand!$A$13,ROW(R258)-1,4+((QUOTIENT(COLUMN(CH$2)-69,3))*5)+MOD(COLUMN(CH$2),3),1,1),"")</f>
        <v>0</v>
      </c>
      <c r="CI261">
        <f ca="1">IF($AN261="",OFFSET(Demand!$A$13,ROW(S258)-1,4+((QUOTIENT(COLUMN(CI$2)-69,3))*5)+MOD(COLUMN(CI$2),3),1,1),"")</f>
        <v>0</v>
      </c>
      <c r="CJ261">
        <f ca="1">IF($AN261="",OFFSET(Demand!$A$13,ROW(T258)-1,4+((QUOTIENT(COLUMN(CJ$2)-69,3))*5)+MOD(COLUMN(CJ$2),3),1,1),"")</f>
        <v>0</v>
      </c>
      <c r="CK261">
        <f ca="1">IF($AN261="",OFFSET(Demand!$A$13,ROW(U258)-1,4+((QUOTIENT(COLUMN(CK$2)-69,3))*5)+MOD(COLUMN(CK$2),3),1,1),"")</f>
        <v>0</v>
      </c>
      <c r="CL261">
        <f ca="1">IF($AN261="",OFFSET(Demand!$A$13,ROW(V258)-1,4+((QUOTIENT(COLUMN(CL$2)-69,3))*5)+MOD(COLUMN(CL$2),3),1,1),"")</f>
        <v>0</v>
      </c>
      <c r="CM261">
        <f ca="1">IF($AN261="",OFFSET(Demand!$A$13,ROW(W258)-1,4+((QUOTIENT(COLUMN(CM$2)-69,3))*5)+MOD(COLUMN(CM$2),3),1,1),"")</f>
        <v>0</v>
      </c>
      <c r="CN261">
        <f ca="1">IF($AN261="",OFFSET(Demand!$A$13,ROW(X258)-1,4+((QUOTIENT(COLUMN(CN$2)-69,3))*5)+MOD(COLUMN(CN$2),3),1,1),"")</f>
        <v>0</v>
      </c>
      <c r="CO261">
        <f ca="1">IF($AN261="",OFFSET(Demand!$A$13,ROW(Y258)-1,4+((QUOTIENT(COLUMN(CO$2)-69,3))*5)+MOD(COLUMN(CO$2),3),1,1),"")</f>
        <v>0</v>
      </c>
      <c r="CP261">
        <f ca="1">IF($AN261="",OFFSET(Demand!$A$13,ROW(Z258)-1,4+((QUOTIENT(COLUMN(CP$2)-69,3))*5)+MOD(COLUMN(CP$2),3),1,1),"")</f>
        <v>0</v>
      </c>
      <c r="CQ261">
        <f ca="1">IF($AN261="",OFFSET(Demand!$A$13,ROW(AA258)-1,4+((QUOTIENT(COLUMN(CQ$2)-69,3))*5)+MOD(COLUMN(CQ$2),3),1,1),"")</f>
        <v>0</v>
      </c>
      <c r="CR261">
        <f ca="1">IF($AN261="",OFFSET(Demand!$A$13,ROW(AB258)-1,4+((QUOTIENT(COLUMN(CR$2)-69,3))*5)+MOD(COLUMN(CR$2),3),1,1),"")</f>
        <v>0</v>
      </c>
      <c r="CS261">
        <f ca="1">IF($AN261="",OFFSET(Demand!$A$13,ROW(AC258)-1,4+((QUOTIENT(COLUMN(CS$2)-69,3))*5)+MOD(COLUMN(CS$2),3),1,1),"")</f>
        <v>0</v>
      </c>
      <c r="CT261">
        <f ca="1">IF($AN261="",OFFSET(Demand!$A$13,ROW(AD258)-1,4+((QUOTIENT(COLUMN(CT$2)-69,3))*5)+MOD(COLUMN(CT$2),3),1,1),"")</f>
        <v>0</v>
      </c>
      <c r="CW261" s="5">
        <f ca="1">SUM(OFFSET(Demand!$H$43,ROW(A258)-1,(COLUMN(A258)-1)*5,1,1))*N$2</f>
        <v>0</v>
      </c>
      <c r="CX261" s="5">
        <f ca="1">SUM(OFFSET(Demand!$H$43,ROW(B258)-1,(COLUMN(B258)-1)*5,1,1))*O$2</f>
        <v>0</v>
      </c>
      <c r="CY261" s="5">
        <f ca="1">SUM(OFFSET(Demand!$H$43,ROW(C258)-1,(COLUMN(C258)-1)*5,1,1))*P$2</f>
        <v>0</v>
      </c>
      <c r="CZ261" s="5">
        <f ca="1">SUM(OFFSET(Demand!$H$43,ROW(D258)-1,(COLUMN(D258)-1)*5,1,1))*Q$2</f>
        <v>0</v>
      </c>
      <c r="DA261" s="5">
        <f ca="1">SUM(OFFSET(Demand!$H$43,ROW(E258)-1,(COLUMN(E258)-1)*5,1,1))*R$2</f>
        <v>0</v>
      </c>
      <c r="DB261" s="5">
        <f ca="1">SUM(OFFSET(Demand!$H$43,ROW(F258)-1,(COLUMN(F258)-1)*5,1,1))*S$2</f>
        <v>0</v>
      </c>
      <c r="DC261" s="5">
        <f ca="1">SUM(OFFSET(Demand!$H$43,ROW(G258)-1,(COLUMN(G258)-1)*5,1,1))*T$2</f>
        <v>0</v>
      </c>
      <c r="DD261" s="5">
        <f ca="1">SUM(OFFSET(Demand!$H$43,ROW(H258)-1,(COLUMN(H258)-1)*5,1,1))*U$2</f>
        <v>0</v>
      </c>
      <c r="DE261" s="5">
        <f ca="1">SUM(OFFSET(Demand!$H$43,ROW(I258)-1,(COLUMN(I258)-1)*5,1,1))*V$2</f>
        <v>0</v>
      </c>
      <c r="DF261" s="5">
        <f ca="1">SUM(OFFSET(Demand!$H$43,ROW(J258)-1,(COLUMN(J258)-1)*5,1,1))*W$2</f>
        <v>0</v>
      </c>
      <c r="DG261" s="5">
        <f t="shared" ref="DG261:DG263" ca="1" si="58">IF(AN261="",SUM(CW261:DF261),"")</f>
        <v>0</v>
      </c>
    </row>
    <row r="262" spans="1:111" x14ac:dyDescent="0.2">
      <c r="A262" s="5">
        <f t="shared" ca="1" si="55"/>
        <v>2</v>
      </c>
      <c r="B262" s="5">
        <f ca="1">COUNTBLANK(OFFSET(Demand!$I271,0,(COLUMN(A259)-1)*5,1,1))</f>
        <v>1</v>
      </c>
      <c r="C262" s="5">
        <f ca="1">COUNTBLANK(OFFSET(Demand!$I271,0,(COLUMN(B259)-1)*5,1,1))</f>
        <v>1</v>
      </c>
      <c r="D262" s="5">
        <f ca="1">COUNTBLANK(OFFSET(Demand!$I271,0,(COLUMN(C259)-1)*5,1,1))</f>
        <v>1</v>
      </c>
      <c r="E262" s="5">
        <f ca="1">COUNTBLANK(OFFSET(Demand!$I271,0,(COLUMN(D259)-1)*5,1,1))</f>
        <v>1</v>
      </c>
      <c r="F262" s="5">
        <f ca="1">COUNTBLANK(OFFSET(Demand!$I271,0,(COLUMN(E259)-1)*5,1,1))</f>
        <v>1</v>
      </c>
      <c r="G262" s="5">
        <f ca="1">COUNTBLANK(OFFSET(Demand!$I271,0,(COLUMN(F259)-1)*5,1,1))</f>
        <v>1</v>
      </c>
      <c r="H262" s="5">
        <f ca="1">COUNTBLANK(OFFSET(Demand!$I271,0,(COLUMN(G259)-1)*5,1,1))</f>
        <v>1</v>
      </c>
      <c r="I262" s="5">
        <f ca="1">COUNTBLANK(OFFSET(Demand!$I271,0,(COLUMN(H259)-1)*5,1,1))</f>
        <v>1</v>
      </c>
      <c r="J262" s="5">
        <f ca="1">COUNTBLANK(OFFSET(Demand!$I271,0,(COLUMN(I259)-1)*5,1,1))</f>
        <v>1</v>
      </c>
      <c r="K262" s="5">
        <f ca="1">COUNTBLANK(OFFSET(Demand!$I271,0,(COLUMN(J259)-1)*5,1,1))</f>
        <v>1</v>
      </c>
      <c r="N262" s="5">
        <f ca="1">SUM(OFFSET(Demand!$E271,0,(COLUMN(A259)-1)*5,1,3))*N$2</f>
        <v>0</v>
      </c>
      <c r="O262" s="5">
        <f ca="1">SUM(OFFSET(Demand!$E271,0,(COLUMN(B259)-1)*5,1,3))*O$2</f>
        <v>0</v>
      </c>
      <c r="P262" s="5">
        <f ca="1">SUM(OFFSET(Demand!$E271,0,(COLUMN(C259)-1)*5,1,3))*P$2</f>
        <v>0</v>
      </c>
      <c r="Q262" s="5">
        <f ca="1">SUM(OFFSET(Demand!$E271,0,(COLUMN(D259)-1)*5,1,3))*Q$2</f>
        <v>0</v>
      </c>
      <c r="R262" s="5">
        <f ca="1">SUM(OFFSET(Demand!$E271,0,(COLUMN(E259)-1)*5,1,3))*R$2</f>
        <v>0</v>
      </c>
      <c r="S262" s="5">
        <f ca="1">SUM(OFFSET(Demand!$E271,0,(COLUMN(F259)-1)*5,1,3))*S$2</f>
        <v>0</v>
      </c>
      <c r="T262" s="5">
        <f ca="1">SUM(OFFSET(Demand!$E271,0,(COLUMN(G259)-1)*5,1,3))*T$2</f>
        <v>0</v>
      </c>
      <c r="U262" s="5">
        <f ca="1">SUM(OFFSET(Demand!$E271,0,(COLUMN(H259)-1)*5,1,3))*U$2</f>
        <v>0</v>
      </c>
      <c r="V262" s="5">
        <f ca="1">SUM(OFFSET(Demand!$E271,0,(COLUMN(I259)-1)*5,1,3))*V$2</f>
        <v>0</v>
      </c>
      <c r="W262" s="5">
        <f ca="1">SUM(OFFSET(Demand!$E271,0,(COLUMN(J259)-1)*5,1,3))*W$2</f>
        <v>0</v>
      </c>
      <c r="X262" s="5">
        <f t="shared" ca="1" si="47"/>
        <v>0</v>
      </c>
      <c r="Y262">
        <f t="shared" ca="1" si="48"/>
        <v>0</v>
      </c>
      <c r="Z262" s="5">
        <f ca="1">SUM(OFFSET(Demand!$H271,0,(COLUMN(A259)-1)*5,1,1))*N$2</f>
        <v>0</v>
      </c>
      <c r="AA262" s="5">
        <f ca="1">SUM(OFFSET(Demand!$H271,0,(COLUMN(B259)-1)*5,1,1))*O$2</f>
        <v>0</v>
      </c>
      <c r="AB262" s="5">
        <f ca="1">SUM(OFFSET(Demand!$H271,0,(COLUMN(C259)-1)*5,1,1))*P$2</f>
        <v>0</v>
      </c>
      <c r="AC262" s="5">
        <f ca="1">SUM(OFFSET(Demand!$H271,0,(COLUMN(D259)-1)*5,1,1))*Q$2</f>
        <v>0</v>
      </c>
      <c r="AD262" s="5">
        <f ca="1">SUM(OFFSET(Demand!$H271,0,(COLUMN(E259)-1)*5,1,1))*R$2</f>
        <v>0</v>
      </c>
      <c r="AE262" s="5">
        <f ca="1">SUM(OFFSET(Demand!$H271,0,(COLUMN(F259)-1)*5,1,1))*S$2</f>
        <v>0</v>
      </c>
      <c r="AF262" s="5">
        <f ca="1">SUM(OFFSET(Demand!$H271,0,(COLUMN(G259)-1)*5,1,1))*T$2</f>
        <v>0</v>
      </c>
      <c r="AG262" s="5">
        <f ca="1">SUM(OFFSET(Demand!$H271,0,(COLUMN(H259)-1)*5,1,1))*U$2</f>
        <v>0</v>
      </c>
      <c r="AH262" s="5">
        <f ca="1">SUM(OFFSET(Demand!$H271,0,(COLUMN(I259)-1)*5,1,1))*V$2</f>
        <v>0</v>
      </c>
      <c r="AI262" s="5">
        <f ca="1">SUM(OFFSET(Demand!$H271,0,(COLUMN(J259)-1)*5,1,1))*W$2</f>
        <v>0</v>
      </c>
      <c r="AJ262" s="5">
        <f t="shared" ca="1" si="49"/>
        <v>0</v>
      </c>
      <c r="AL262" s="5">
        <f t="shared" ca="1" si="56"/>
        <v>0</v>
      </c>
      <c r="AM262" s="5">
        <f t="shared" ca="1" si="57"/>
        <v>0</v>
      </c>
      <c r="AN262" s="5" t="str">
        <f>IF(Demand!BE271="Yes","Yes","")</f>
        <v/>
      </c>
      <c r="AP262" s="37" t="str">
        <f ca="1">Demand!B271</f>
        <v xml:space="preserve"> </v>
      </c>
      <c r="AQ262" t="str">
        <f ca="1">IF(TEXT(Demand!D271,"MMM")&lt;&gt;TEXT(Demand!D270,"MMM"),TEXT(Demand!D271,"MMM"),"")</f>
        <v/>
      </c>
      <c r="AT262" s="5">
        <f t="shared" ref="AT262:AT263" ca="1" si="59">IF(OR(AL262="",AL261=""),"",ABS(AL262-AL261))</f>
        <v>0</v>
      </c>
      <c r="BQ262">
        <f ca="1">IF($AN262="",OFFSET(Demand!$A$13,ROW(A259)-1,4+((QUOTIENT(COLUMN(BQ$2)-69,3))*5)+MOD(COLUMN(BQ$2),3),1,1),"")</f>
        <v>0</v>
      </c>
      <c r="BR262">
        <f ca="1">IF($AN262="",OFFSET(Demand!$A$13,ROW(B259)-1,4+((QUOTIENT(COLUMN(BR$2)-69,3))*5)+MOD(COLUMN(BR$2),3),1,1),"")</f>
        <v>0</v>
      </c>
      <c r="BS262">
        <f ca="1">IF($AN262="",OFFSET(Demand!$A$13,ROW(C259)-1,4+((QUOTIENT(COLUMN(BS$2)-69,3))*5)+MOD(COLUMN(BS$2),3),1,1),"")</f>
        <v>0</v>
      </c>
      <c r="BT262">
        <f ca="1">IF($AN262="",OFFSET(Demand!$A$13,ROW(D259)-1,4+((QUOTIENT(COLUMN(BT$2)-69,3))*5)+MOD(COLUMN(BT$2),3),1,1),"")</f>
        <v>0</v>
      </c>
      <c r="BU262">
        <f ca="1">IF($AN262="",OFFSET(Demand!$A$13,ROW(E259)-1,4+((QUOTIENT(COLUMN(BU$2)-69,3))*5)+MOD(COLUMN(BU$2),3),1,1),"")</f>
        <v>0</v>
      </c>
      <c r="BV262">
        <f ca="1">IF($AN262="",OFFSET(Demand!$A$13,ROW(F259)-1,4+((QUOTIENT(COLUMN(BV$2)-69,3))*5)+MOD(COLUMN(BV$2),3),1,1),"")</f>
        <v>0</v>
      </c>
      <c r="BW262">
        <f ca="1">IF($AN262="",OFFSET(Demand!$A$13,ROW(G259)-1,4+((QUOTIENT(COLUMN(BW$2)-69,3))*5)+MOD(COLUMN(BW$2),3),1,1),"")</f>
        <v>0</v>
      </c>
      <c r="BX262">
        <f ca="1">IF($AN262="",OFFSET(Demand!$A$13,ROW(H259)-1,4+((QUOTIENT(COLUMN(BX$2)-69,3))*5)+MOD(COLUMN(BX$2),3),1,1),"")</f>
        <v>0</v>
      </c>
      <c r="BY262">
        <f ca="1">IF($AN262="",OFFSET(Demand!$A$13,ROW(I259)-1,4+((QUOTIENT(COLUMN(BY$2)-69,3))*5)+MOD(COLUMN(BY$2),3),1,1),"")</f>
        <v>0</v>
      </c>
      <c r="BZ262">
        <f ca="1">IF($AN262="",OFFSET(Demand!$A$13,ROW(J259)-1,4+((QUOTIENT(COLUMN(BZ$2)-69,3))*5)+MOD(COLUMN(BZ$2),3),1,1),"")</f>
        <v>0</v>
      </c>
      <c r="CA262">
        <f ca="1">IF($AN262="",OFFSET(Demand!$A$13,ROW(K259)-1,4+((QUOTIENT(COLUMN(CA$2)-69,3))*5)+MOD(COLUMN(CA$2),3),1,1),"")</f>
        <v>0</v>
      </c>
      <c r="CB262">
        <f ca="1">IF($AN262="",OFFSET(Demand!$A$13,ROW(L259)-1,4+((QUOTIENT(COLUMN(CB$2)-69,3))*5)+MOD(COLUMN(CB$2),3),1,1),"")</f>
        <v>0</v>
      </c>
      <c r="CC262">
        <f ca="1">IF($AN262="",OFFSET(Demand!$A$13,ROW(M259)-1,4+((QUOTIENT(COLUMN(CC$2)-69,3))*5)+MOD(COLUMN(CC$2),3),1,1),"")</f>
        <v>0</v>
      </c>
      <c r="CD262">
        <f ca="1">IF($AN262="",OFFSET(Demand!$A$13,ROW(N259)-1,4+((QUOTIENT(COLUMN(CD$2)-69,3))*5)+MOD(COLUMN(CD$2),3),1,1),"")</f>
        <v>0</v>
      </c>
      <c r="CE262">
        <f ca="1">IF($AN262="",OFFSET(Demand!$A$13,ROW(O259)-1,4+((QUOTIENT(COLUMN(CE$2)-69,3))*5)+MOD(COLUMN(CE$2),3),1,1),"")</f>
        <v>0</v>
      </c>
      <c r="CF262">
        <f ca="1">IF($AN262="",OFFSET(Demand!$A$13,ROW(P259)-1,4+((QUOTIENT(COLUMN(CF$2)-69,3))*5)+MOD(COLUMN(CF$2),3),1,1),"")</f>
        <v>0</v>
      </c>
      <c r="CG262">
        <f ca="1">IF($AN262="",OFFSET(Demand!$A$13,ROW(Q259)-1,4+((QUOTIENT(COLUMN(CG$2)-69,3))*5)+MOD(COLUMN(CG$2),3),1,1),"")</f>
        <v>0</v>
      </c>
      <c r="CH262">
        <f ca="1">IF($AN262="",OFFSET(Demand!$A$13,ROW(R259)-1,4+((QUOTIENT(COLUMN(CH$2)-69,3))*5)+MOD(COLUMN(CH$2),3),1,1),"")</f>
        <v>0</v>
      </c>
      <c r="CI262">
        <f ca="1">IF($AN262="",OFFSET(Demand!$A$13,ROW(S259)-1,4+((QUOTIENT(COLUMN(CI$2)-69,3))*5)+MOD(COLUMN(CI$2),3),1,1),"")</f>
        <v>0</v>
      </c>
      <c r="CJ262">
        <f ca="1">IF($AN262="",OFFSET(Demand!$A$13,ROW(T259)-1,4+((QUOTIENT(COLUMN(CJ$2)-69,3))*5)+MOD(COLUMN(CJ$2),3),1,1),"")</f>
        <v>0</v>
      </c>
      <c r="CK262">
        <f ca="1">IF($AN262="",OFFSET(Demand!$A$13,ROW(U259)-1,4+((QUOTIENT(COLUMN(CK$2)-69,3))*5)+MOD(COLUMN(CK$2),3),1,1),"")</f>
        <v>0</v>
      </c>
      <c r="CL262">
        <f ca="1">IF($AN262="",OFFSET(Demand!$A$13,ROW(V259)-1,4+((QUOTIENT(COLUMN(CL$2)-69,3))*5)+MOD(COLUMN(CL$2),3),1,1),"")</f>
        <v>0</v>
      </c>
      <c r="CM262">
        <f ca="1">IF($AN262="",OFFSET(Demand!$A$13,ROW(W259)-1,4+((QUOTIENT(COLUMN(CM$2)-69,3))*5)+MOD(COLUMN(CM$2),3),1,1),"")</f>
        <v>0</v>
      </c>
      <c r="CN262">
        <f ca="1">IF($AN262="",OFFSET(Demand!$A$13,ROW(X259)-1,4+((QUOTIENT(COLUMN(CN$2)-69,3))*5)+MOD(COLUMN(CN$2),3),1,1),"")</f>
        <v>0</v>
      </c>
      <c r="CO262">
        <f ca="1">IF($AN262="",OFFSET(Demand!$A$13,ROW(Y259)-1,4+((QUOTIENT(COLUMN(CO$2)-69,3))*5)+MOD(COLUMN(CO$2),3),1,1),"")</f>
        <v>0</v>
      </c>
      <c r="CP262">
        <f ca="1">IF($AN262="",OFFSET(Demand!$A$13,ROW(Z259)-1,4+((QUOTIENT(COLUMN(CP$2)-69,3))*5)+MOD(COLUMN(CP$2),3),1,1),"")</f>
        <v>0</v>
      </c>
      <c r="CQ262">
        <f ca="1">IF($AN262="",OFFSET(Demand!$A$13,ROW(AA259)-1,4+((QUOTIENT(COLUMN(CQ$2)-69,3))*5)+MOD(COLUMN(CQ$2),3),1,1),"")</f>
        <v>0</v>
      </c>
      <c r="CR262">
        <f ca="1">IF($AN262="",OFFSET(Demand!$A$13,ROW(AB259)-1,4+((QUOTIENT(COLUMN(CR$2)-69,3))*5)+MOD(COLUMN(CR$2),3),1,1),"")</f>
        <v>0</v>
      </c>
      <c r="CS262">
        <f ca="1">IF($AN262="",OFFSET(Demand!$A$13,ROW(AC259)-1,4+((QUOTIENT(COLUMN(CS$2)-69,3))*5)+MOD(COLUMN(CS$2),3),1,1),"")</f>
        <v>0</v>
      </c>
      <c r="CT262">
        <f ca="1">IF($AN262="",OFFSET(Demand!$A$13,ROW(AD259)-1,4+((QUOTIENT(COLUMN(CT$2)-69,3))*5)+MOD(COLUMN(CT$2),3),1,1),"")</f>
        <v>0</v>
      </c>
      <c r="CW262" s="5">
        <f ca="1">SUM(OFFSET(Demand!$H$43,ROW(A259)-1,(COLUMN(A259)-1)*5,1,1))*N$2</f>
        <v>0</v>
      </c>
      <c r="CX262" s="5">
        <f ca="1">SUM(OFFSET(Demand!$H$43,ROW(B259)-1,(COLUMN(B259)-1)*5,1,1))*O$2</f>
        <v>0</v>
      </c>
      <c r="CY262" s="5">
        <f ca="1">SUM(OFFSET(Demand!$H$43,ROW(C259)-1,(COLUMN(C259)-1)*5,1,1))*P$2</f>
        <v>0</v>
      </c>
      <c r="CZ262" s="5">
        <f ca="1">SUM(OFFSET(Demand!$H$43,ROW(D259)-1,(COLUMN(D259)-1)*5,1,1))*Q$2</f>
        <v>0</v>
      </c>
      <c r="DA262" s="5">
        <f ca="1">SUM(OFFSET(Demand!$H$43,ROW(E259)-1,(COLUMN(E259)-1)*5,1,1))*R$2</f>
        <v>0</v>
      </c>
      <c r="DB262" s="5">
        <f ca="1">SUM(OFFSET(Demand!$H$43,ROW(F259)-1,(COLUMN(F259)-1)*5,1,1))*S$2</f>
        <v>0</v>
      </c>
      <c r="DC262" s="5">
        <f ca="1">SUM(OFFSET(Demand!$H$43,ROW(G259)-1,(COLUMN(G259)-1)*5,1,1))*T$2</f>
        <v>0</v>
      </c>
      <c r="DD262" s="5">
        <f ca="1">SUM(OFFSET(Demand!$H$43,ROW(H259)-1,(COLUMN(H259)-1)*5,1,1))*U$2</f>
        <v>0</v>
      </c>
      <c r="DE262" s="5">
        <f ca="1">SUM(OFFSET(Demand!$H$43,ROW(I259)-1,(COLUMN(I259)-1)*5,1,1))*V$2</f>
        <v>0</v>
      </c>
      <c r="DF262" s="5">
        <f ca="1">SUM(OFFSET(Demand!$H$43,ROW(J259)-1,(COLUMN(J259)-1)*5,1,1))*W$2</f>
        <v>0</v>
      </c>
      <c r="DG262" s="5">
        <f t="shared" ca="1" si="58"/>
        <v>0</v>
      </c>
    </row>
    <row r="263" spans="1:111" x14ac:dyDescent="0.2">
      <c r="A263" s="5">
        <f t="shared" ca="1" si="55"/>
        <v>2</v>
      </c>
      <c r="B263" s="5">
        <f ca="1">COUNTBLANK(OFFSET(Demand!$I272,0,(COLUMN(A260)-1)*5,1,1))</f>
        <v>1</v>
      </c>
      <c r="C263" s="5">
        <f ca="1">COUNTBLANK(OFFSET(Demand!$I272,0,(COLUMN(B260)-1)*5,1,1))</f>
        <v>1</v>
      </c>
      <c r="D263" s="5">
        <f ca="1">COUNTBLANK(OFFSET(Demand!$I272,0,(COLUMN(C260)-1)*5,1,1))</f>
        <v>1</v>
      </c>
      <c r="E263" s="5">
        <f ca="1">COUNTBLANK(OFFSET(Demand!$I272,0,(COLUMN(D260)-1)*5,1,1))</f>
        <v>1</v>
      </c>
      <c r="F263" s="5">
        <f ca="1">COUNTBLANK(OFFSET(Demand!$I272,0,(COLUMN(E260)-1)*5,1,1))</f>
        <v>1</v>
      </c>
      <c r="G263" s="5">
        <f ca="1">COUNTBLANK(OFFSET(Demand!$I272,0,(COLUMN(F260)-1)*5,1,1))</f>
        <v>1</v>
      </c>
      <c r="H263" s="5">
        <f ca="1">COUNTBLANK(OFFSET(Demand!$I272,0,(COLUMN(G260)-1)*5,1,1))</f>
        <v>1</v>
      </c>
      <c r="I263" s="5">
        <f ca="1">COUNTBLANK(OFFSET(Demand!$I272,0,(COLUMN(H260)-1)*5,1,1))</f>
        <v>1</v>
      </c>
      <c r="J263" s="5">
        <f ca="1">COUNTBLANK(OFFSET(Demand!$I272,0,(COLUMN(I260)-1)*5,1,1))</f>
        <v>1</v>
      </c>
      <c r="K263" s="5">
        <f ca="1">COUNTBLANK(OFFSET(Demand!$I272,0,(COLUMN(J260)-1)*5,1,1))</f>
        <v>1</v>
      </c>
      <c r="N263" s="5">
        <f ca="1">SUM(OFFSET(Demand!$E272,0,(COLUMN(A260)-1)*5,1,3))*N$2</f>
        <v>0</v>
      </c>
      <c r="O263" s="5">
        <f ca="1">SUM(OFFSET(Demand!$E272,0,(COLUMN(B260)-1)*5,1,3))*O$2</f>
        <v>0</v>
      </c>
      <c r="P263" s="5">
        <f ca="1">SUM(OFFSET(Demand!$E272,0,(COLUMN(C260)-1)*5,1,3))*P$2</f>
        <v>0</v>
      </c>
      <c r="Q263" s="5">
        <f ca="1">SUM(OFFSET(Demand!$E272,0,(COLUMN(D260)-1)*5,1,3))*Q$2</f>
        <v>0</v>
      </c>
      <c r="R263" s="5">
        <f ca="1">SUM(OFFSET(Demand!$E272,0,(COLUMN(E260)-1)*5,1,3))*R$2</f>
        <v>0</v>
      </c>
      <c r="S263" s="5">
        <f ca="1">SUM(OFFSET(Demand!$E272,0,(COLUMN(F260)-1)*5,1,3))*S$2</f>
        <v>0</v>
      </c>
      <c r="T263" s="5">
        <f ca="1">SUM(OFFSET(Demand!$E272,0,(COLUMN(G260)-1)*5,1,3))*T$2</f>
        <v>0</v>
      </c>
      <c r="U263" s="5">
        <f ca="1">SUM(OFFSET(Demand!$E272,0,(COLUMN(H260)-1)*5,1,3))*U$2</f>
        <v>0</v>
      </c>
      <c r="V263" s="5">
        <f ca="1">SUM(OFFSET(Demand!$E272,0,(COLUMN(I260)-1)*5,1,3))*V$2</f>
        <v>0</v>
      </c>
      <c r="W263" s="5">
        <f ca="1">SUM(OFFSET(Demand!$E272,0,(COLUMN(J260)-1)*5,1,3))*W$2</f>
        <v>0</v>
      </c>
      <c r="X263" s="5">
        <f t="shared" ca="1" si="47"/>
        <v>0</v>
      </c>
      <c r="Y263">
        <f t="shared" ca="1" si="48"/>
        <v>0</v>
      </c>
      <c r="Z263" s="5">
        <f ca="1">SUM(OFFSET(Demand!$H272,0,(COLUMN(A260)-1)*5,1,1))*N$2</f>
        <v>0</v>
      </c>
      <c r="AA263" s="5">
        <f ca="1">SUM(OFFSET(Demand!$H272,0,(COLUMN(B260)-1)*5,1,1))*O$2</f>
        <v>0</v>
      </c>
      <c r="AB263" s="5">
        <f ca="1">SUM(OFFSET(Demand!$H272,0,(COLUMN(C260)-1)*5,1,1))*P$2</f>
        <v>0</v>
      </c>
      <c r="AC263" s="5">
        <f ca="1">SUM(OFFSET(Demand!$H272,0,(COLUMN(D260)-1)*5,1,1))*Q$2</f>
        <v>0</v>
      </c>
      <c r="AD263" s="5">
        <f ca="1">SUM(OFFSET(Demand!$H272,0,(COLUMN(E260)-1)*5,1,1))*R$2</f>
        <v>0</v>
      </c>
      <c r="AE263" s="5">
        <f ca="1">SUM(OFFSET(Demand!$H272,0,(COLUMN(F260)-1)*5,1,1))*S$2</f>
        <v>0</v>
      </c>
      <c r="AF263" s="5">
        <f ca="1">SUM(OFFSET(Demand!$H272,0,(COLUMN(G260)-1)*5,1,1))*T$2</f>
        <v>0</v>
      </c>
      <c r="AG263" s="5">
        <f ca="1">SUM(OFFSET(Demand!$H272,0,(COLUMN(H260)-1)*5,1,1))*U$2</f>
        <v>0</v>
      </c>
      <c r="AH263" s="5">
        <f ca="1">SUM(OFFSET(Demand!$H272,0,(COLUMN(I260)-1)*5,1,1))*V$2</f>
        <v>0</v>
      </c>
      <c r="AI263" s="5">
        <f ca="1">SUM(OFFSET(Demand!$H272,0,(COLUMN(J260)-1)*5,1,1))*W$2</f>
        <v>0</v>
      </c>
      <c r="AJ263" s="5">
        <f t="shared" ca="1" si="49"/>
        <v>0</v>
      </c>
      <c r="AL263" s="5">
        <f t="shared" ca="1" si="56"/>
        <v>0</v>
      </c>
      <c r="AM263" s="5">
        <f t="shared" ca="1" si="57"/>
        <v>0</v>
      </c>
      <c r="AN263" s="5" t="str">
        <f>IF(Demand!BE272="Yes","Yes","")</f>
        <v/>
      </c>
      <c r="AP263" s="37" t="str">
        <f ca="1">Demand!B272</f>
        <v xml:space="preserve"> </v>
      </c>
      <c r="AQ263" t="str">
        <f ca="1">IF(TEXT(Demand!D272,"MMM")&lt;&gt;TEXT(Demand!D271,"MMM"),TEXT(Demand!D272,"MMM"),"")</f>
        <v/>
      </c>
      <c r="AT263" s="5">
        <f t="shared" ca="1" si="59"/>
        <v>0</v>
      </c>
      <c r="BQ263">
        <f ca="1">IF($AN263="",OFFSET(Demand!$A$13,ROW(A260)-1,4+((QUOTIENT(COLUMN(BQ$2)-69,3))*5)+MOD(COLUMN(BQ$2),3),1,1),"")</f>
        <v>0</v>
      </c>
      <c r="BR263">
        <f ca="1">IF($AN263="",OFFSET(Demand!$A$13,ROW(B260)-1,4+((QUOTIENT(COLUMN(BR$2)-69,3))*5)+MOD(COLUMN(BR$2),3),1,1),"")</f>
        <v>0</v>
      </c>
      <c r="BS263">
        <f ca="1">IF($AN263="",OFFSET(Demand!$A$13,ROW(C260)-1,4+((QUOTIENT(COLUMN(BS$2)-69,3))*5)+MOD(COLUMN(BS$2),3),1,1),"")</f>
        <v>0</v>
      </c>
      <c r="BT263">
        <f ca="1">IF($AN263="",OFFSET(Demand!$A$13,ROW(D260)-1,4+((QUOTIENT(COLUMN(BT$2)-69,3))*5)+MOD(COLUMN(BT$2),3),1,1),"")</f>
        <v>0</v>
      </c>
      <c r="BU263">
        <f ca="1">IF($AN263="",OFFSET(Demand!$A$13,ROW(E260)-1,4+((QUOTIENT(COLUMN(BU$2)-69,3))*5)+MOD(COLUMN(BU$2),3),1,1),"")</f>
        <v>0</v>
      </c>
      <c r="BV263">
        <f ca="1">IF($AN263="",OFFSET(Demand!$A$13,ROW(F260)-1,4+((QUOTIENT(COLUMN(BV$2)-69,3))*5)+MOD(COLUMN(BV$2),3),1,1),"")</f>
        <v>0</v>
      </c>
      <c r="BW263">
        <f ca="1">IF($AN263="",OFFSET(Demand!$A$13,ROW(G260)-1,4+((QUOTIENT(COLUMN(BW$2)-69,3))*5)+MOD(COLUMN(BW$2),3),1,1),"")</f>
        <v>0</v>
      </c>
      <c r="BX263">
        <f ca="1">IF($AN263="",OFFSET(Demand!$A$13,ROW(H260)-1,4+((QUOTIENT(COLUMN(BX$2)-69,3))*5)+MOD(COLUMN(BX$2),3),1,1),"")</f>
        <v>0</v>
      </c>
      <c r="BY263">
        <f ca="1">IF($AN263="",OFFSET(Demand!$A$13,ROW(I260)-1,4+((QUOTIENT(COLUMN(BY$2)-69,3))*5)+MOD(COLUMN(BY$2),3),1,1),"")</f>
        <v>0</v>
      </c>
      <c r="BZ263">
        <f ca="1">IF($AN263="",OFFSET(Demand!$A$13,ROW(J260)-1,4+((QUOTIENT(COLUMN(BZ$2)-69,3))*5)+MOD(COLUMN(BZ$2),3),1,1),"")</f>
        <v>0</v>
      </c>
      <c r="CA263">
        <f ca="1">IF($AN263="",OFFSET(Demand!$A$13,ROW(K260)-1,4+((QUOTIENT(COLUMN(CA$2)-69,3))*5)+MOD(COLUMN(CA$2),3),1,1),"")</f>
        <v>0</v>
      </c>
      <c r="CB263">
        <f ca="1">IF($AN263="",OFFSET(Demand!$A$13,ROW(L260)-1,4+((QUOTIENT(COLUMN(CB$2)-69,3))*5)+MOD(COLUMN(CB$2),3),1,1),"")</f>
        <v>0</v>
      </c>
      <c r="CC263">
        <f ca="1">IF($AN263="",OFFSET(Demand!$A$13,ROW(M260)-1,4+((QUOTIENT(COLUMN(CC$2)-69,3))*5)+MOD(COLUMN(CC$2),3),1,1),"")</f>
        <v>0</v>
      </c>
      <c r="CD263">
        <f ca="1">IF($AN263="",OFFSET(Demand!$A$13,ROW(N260)-1,4+((QUOTIENT(COLUMN(CD$2)-69,3))*5)+MOD(COLUMN(CD$2),3),1,1),"")</f>
        <v>0</v>
      </c>
      <c r="CE263">
        <f ca="1">IF($AN263="",OFFSET(Demand!$A$13,ROW(O260)-1,4+((QUOTIENT(COLUMN(CE$2)-69,3))*5)+MOD(COLUMN(CE$2),3),1,1),"")</f>
        <v>0</v>
      </c>
      <c r="CF263">
        <f ca="1">IF($AN263="",OFFSET(Demand!$A$13,ROW(P260)-1,4+((QUOTIENT(COLUMN(CF$2)-69,3))*5)+MOD(COLUMN(CF$2),3),1,1),"")</f>
        <v>0</v>
      </c>
      <c r="CG263">
        <f ca="1">IF($AN263="",OFFSET(Demand!$A$13,ROW(Q260)-1,4+((QUOTIENT(COLUMN(CG$2)-69,3))*5)+MOD(COLUMN(CG$2),3),1,1),"")</f>
        <v>0</v>
      </c>
      <c r="CH263">
        <f ca="1">IF($AN263="",OFFSET(Demand!$A$13,ROW(R260)-1,4+((QUOTIENT(COLUMN(CH$2)-69,3))*5)+MOD(COLUMN(CH$2),3),1,1),"")</f>
        <v>0</v>
      </c>
      <c r="CI263">
        <f ca="1">IF($AN263="",OFFSET(Demand!$A$13,ROW(S260)-1,4+((QUOTIENT(COLUMN(CI$2)-69,3))*5)+MOD(COLUMN(CI$2),3),1,1),"")</f>
        <v>0</v>
      </c>
      <c r="CJ263">
        <f ca="1">IF($AN263="",OFFSET(Demand!$A$13,ROW(T260)-1,4+((QUOTIENT(COLUMN(CJ$2)-69,3))*5)+MOD(COLUMN(CJ$2),3),1,1),"")</f>
        <v>0</v>
      </c>
      <c r="CK263">
        <f ca="1">IF($AN263="",OFFSET(Demand!$A$13,ROW(U260)-1,4+((QUOTIENT(COLUMN(CK$2)-69,3))*5)+MOD(COLUMN(CK$2),3),1,1),"")</f>
        <v>0</v>
      </c>
      <c r="CL263">
        <f ca="1">IF($AN263="",OFFSET(Demand!$A$13,ROW(V260)-1,4+((QUOTIENT(COLUMN(CL$2)-69,3))*5)+MOD(COLUMN(CL$2),3),1,1),"")</f>
        <v>0</v>
      </c>
      <c r="CM263">
        <f ca="1">IF($AN263="",OFFSET(Demand!$A$13,ROW(W260)-1,4+((QUOTIENT(COLUMN(CM$2)-69,3))*5)+MOD(COLUMN(CM$2),3),1,1),"")</f>
        <v>0</v>
      </c>
      <c r="CN263">
        <f ca="1">IF($AN263="",OFFSET(Demand!$A$13,ROW(X260)-1,4+((QUOTIENT(COLUMN(CN$2)-69,3))*5)+MOD(COLUMN(CN$2),3),1,1),"")</f>
        <v>0</v>
      </c>
      <c r="CO263">
        <f ca="1">IF($AN263="",OFFSET(Demand!$A$13,ROW(Y260)-1,4+((QUOTIENT(COLUMN(CO$2)-69,3))*5)+MOD(COLUMN(CO$2),3),1,1),"")</f>
        <v>0</v>
      </c>
      <c r="CP263">
        <f ca="1">IF($AN263="",OFFSET(Demand!$A$13,ROW(Z260)-1,4+((QUOTIENT(COLUMN(CP$2)-69,3))*5)+MOD(COLUMN(CP$2),3),1,1),"")</f>
        <v>0</v>
      </c>
      <c r="CQ263">
        <f ca="1">IF($AN263="",OFFSET(Demand!$A$13,ROW(AA260)-1,4+((QUOTIENT(COLUMN(CQ$2)-69,3))*5)+MOD(COLUMN(CQ$2),3),1,1),"")</f>
        <v>0</v>
      </c>
      <c r="CR263">
        <f ca="1">IF($AN263="",OFFSET(Demand!$A$13,ROW(AB260)-1,4+((QUOTIENT(COLUMN(CR$2)-69,3))*5)+MOD(COLUMN(CR$2),3),1,1),"")</f>
        <v>0</v>
      </c>
      <c r="CS263">
        <f ca="1">IF($AN263="",OFFSET(Demand!$A$13,ROW(AC260)-1,4+((QUOTIENT(COLUMN(CS$2)-69,3))*5)+MOD(COLUMN(CS$2),3),1,1),"")</f>
        <v>0</v>
      </c>
      <c r="CT263">
        <f ca="1">IF($AN263="",OFFSET(Demand!$A$13,ROW(AD260)-1,4+((QUOTIENT(COLUMN(CT$2)-69,3))*5)+MOD(COLUMN(CT$2),3),1,1),"")</f>
        <v>0</v>
      </c>
      <c r="CW263" s="5">
        <f ca="1">SUM(OFFSET(Demand!$H$43,ROW(A260)-1,(COLUMN(A260)-1)*5,1,1))*N$2</f>
        <v>0</v>
      </c>
      <c r="CX263" s="5">
        <f ca="1">SUM(OFFSET(Demand!$H$43,ROW(B260)-1,(COLUMN(B260)-1)*5,1,1))*O$2</f>
        <v>0</v>
      </c>
      <c r="CY263" s="5">
        <f ca="1">SUM(OFFSET(Demand!$H$43,ROW(C260)-1,(COLUMN(C260)-1)*5,1,1))*P$2</f>
        <v>0</v>
      </c>
      <c r="CZ263" s="5">
        <f ca="1">SUM(OFFSET(Demand!$H$43,ROW(D260)-1,(COLUMN(D260)-1)*5,1,1))*Q$2</f>
        <v>0</v>
      </c>
      <c r="DA263" s="5">
        <f ca="1">SUM(OFFSET(Demand!$H$43,ROW(E260)-1,(COLUMN(E260)-1)*5,1,1))*R$2</f>
        <v>0</v>
      </c>
      <c r="DB263" s="5">
        <f ca="1">SUM(OFFSET(Demand!$H$43,ROW(F260)-1,(COLUMN(F260)-1)*5,1,1))*S$2</f>
        <v>0</v>
      </c>
      <c r="DC263" s="5">
        <f ca="1">SUM(OFFSET(Demand!$H$43,ROW(G260)-1,(COLUMN(G260)-1)*5,1,1))*T$2</f>
        <v>0</v>
      </c>
      <c r="DD263" s="5">
        <f ca="1">SUM(OFFSET(Demand!$H$43,ROW(H260)-1,(COLUMN(H260)-1)*5,1,1))*U$2</f>
        <v>0</v>
      </c>
      <c r="DE263" s="5">
        <f ca="1">SUM(OFFSET(Demand!$H$43,ROW(I260)-1,(COLUMN(I260)-1)*5,1,1))*V$2</f>
        <v>0</v>
      </c>
      <c r="DF263" s="5">
        <f ca="1">SUM(OFFSET(Demand!$H$43,ROW(J260)-1,(COLUMN(J260)-1)*5,1,1))*W$2</f>
        <v>0</v>
      </c>
      <c r="DG263" s="5">
        <f t="shared" ca="1" si="58"/>
        <v>0</v>
      </c>
    </row>
    <row r="264" spans="1:111" x14ac:dyDescent="0.2">
      <c r="M264" t="s">
        <v>81</v>
      </c>
      <c r="N264" s="5">
        <f ca="1">SUM(OFFSET(N$4,'SPC background (hide)'!$C$4-1,0,SampleLength,1))</f>
        <v>6300</v>
      </c>
      <c r="O264" s="5">
        <f ca="1">SUM(OFFSET(O$4,'SPC background (hide)'!$C$4-1,0,SampleLength,1))</f>
        <v>19440</v>
      </c>
      <c r="P264" s="5">
        <f ca="1">SUM(OFFSET(P$4,'SPC background (hide)'!$C$4-1,0,SampleLength,1))</f>
        <v>0</v>
      </c>
      <c r="Q264" s="5">
        <f ca="1">SUM(OFFSET(Q$4,'SPC background (hide)'!$C$4-1,0,SampleLength,1))</f>
        <v>0</v>
      </c>
      <c r="R264" s="5">
        <f ca="1">SUM(OFFSET(R$4,'SPC background (hide)'!$C$4-1,0,SampleLength,1))</f>
        <v>0</v>
      </c>
      <c r="S264" s="5">
        <f ca="1">SUM(OFFSET(S$4,'SPC background (hide)'!$C$4-1,0,SampleLength,1))</f>
        <v>0</v>
      </c>
      <c r="T264" s="5">
        <f ca="1">SUM(OFFSET(T$4,'SPC background (hide)'!$C$4-1,0,SampleLength,1))</f>
        <v>0</v>
      </c>
      <c r="U264" s="5">
        <f ca="1">SUM(OFFSET(U$4,'SPC background (hide)'!$C$4-1,0,SampleLength,1))</f>
        <v>0</v>
      </c>
      <c r="V264" s="5">
        <f ca="1">SUM(OFFSET(V$4,'SPC background (hide)'!$C$4-1,0,SampleLength,1))</f>
        <v>0</v>
      </c>
      <c r="W264" s="5">
        <f ca="1">SUM(OFFSET(W$4,'SPC background (hide)'!$C$4-1,0,SampleLength,1))</f>
        <v>0</v>
      </c>
      <c r="X264" s="5">
        <f ca="1">SUM(OFFSET(X$4,'SPC background (hide)'!$C$4-1,0,SampleLength,1))</f>
        <v>25740</v>
      </c>
      <c r="Y264" s="5"/>
    </row>
  </sheetData>
  <pageMargins left="0.7" right="0.7" top="0.75" bottom="0.75" header="0.3" footer="0.3"/>
  <pageSetup paperSize="9" orientation="portrait" horizontalDpi="90" verticalDpi="9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C33"/>
  <sheetViews>
    <sheetView showGridLines="0" showRowColHeaders="0" tabSelected="1" zoomScaleNormal="100" workbookViewId="0">
      <selection activeCell="C23" sqref="C23"/>
    </sheetView>
  </sheetViews>
  <sheetFormatPr defaultRowHeight="14.25" x14ac:dyDescent="0.2"/>
  <cols>
    <col min="1" max="1" width="19.875" bestFit="1" customWidth="1"/>
    <col min="2" max="2" width="11.375" customWidth="1"/>
    <col min="4" max="4" width="3.375" customWidth="1"/>
  </cols>
  <sheetData>
    <row r="1" spans="1:3" x14ac:dyDescent="0.2">
      <c r="A1" t="s">
        <v>128</v>
      </c>
      <c r="B1" s="249" t="s">
        <v>194</v>
      </c>
    </row>
    <row r="3" spans="1:3" ht="15" x14ac:dyDescent="0.25">
      <c r="A3" s="2" t="s">
        <v>187</v>
      </c>
    </row>
    <row r="4" spans="1:3" ht="14.25" customHeight="1" x14ac:dyDescent="0.2">
      <c r="A4" s="39" t="str">
        <f>IF(SPC_Type="Simple","Sample period","Season 1")&amp;" begins:"</f>
        <v>Season 1 begins:</v>
      </c>
    </row>
    <row r="5" spans="1:3" ht="14.25" customHeight="1" x14ac:dyDescent="0.2">
      <c r="A5" s="39" t="str">
        <f>IF(SPC_Type="Simple","Sample period","Season 1")&amp;" ends:"</f>
        <v>Season 1 ends:</v>
      </c>
      <c r="C5" t="str">
        <f ca="1">'SPC background (hide)'!H5&amp;" weeks"</f>
        <v>52 weeks</v>
      </c>
    </row>
    <row r="6" spans="1:3" ht="14.25" customHeight="1" x14ac:dyDescent="0.2"/>
    <row r="7" spans="1:3" ht="14.25" customHeight="1" x14ac:dyDescent="0.2">
      <c r="A7" s="337" t="s">
        <v>188</v>
      </c>
      <c r="B7" s="343"/>
      <c r="C7" s="343"/>
    </row>
    <row r="8" spans="1:3" ht="14.25" customHeight="1" x14ac:dyDescent="0.2">
      <c r="A8" s="337" t="s">
        <v>189</v>
      </c>
      <c r="B8" s="343"/>
      <c r="C8" s="343" t="str">
        <f ca="1">IF('SPC background (hide)'!H7&lt;&gt;"",'SPC background (hide)'!H7&amp;" weeks","")</f>
        <v/>
      </c>
    </row>
    <row r="9" spans="1:3" ht="14.25" customHeight="1" x14ac:dyDescent="0.2">
      <c r="A9" s="337"/>
      <c r="B9" s="343"/>
      <c r="C9" s="343"/>
    </row>
    <row r="10" spans="1:3" ht="14.25" customHeight="1" x14ac:dyDescent="0.2">
      <c r="A10" s="337" t="s">
        <v>190</v>
      </c>
      <c r="B10" s="343"/>
      <c r="C10" s="343"/>
    </row>
    <row r="11" spans="1:3" ht="14.25" customHeight="1" x14ac:dyDescent="0.2">
      <c r="A11" s="337" t="s">
        <v>191</v>
      </c>
      <c r="B11" s="343"/>
      <c r="C11" s="343" t="str">
        <f ca="1">IF('SPC background (hide)'!H9&lt;&gt;"",'SPC background (hide)'!H9&amp;" weeks","")</f>
        <v/>
      </c>
    </row>
    <row r="12" spans="1:3" ht="14.25" customHeight="1" x14ac:dyDescent="0.2">
      <c r="A12" s="337"/>
      <c r="B12" s="343"/>
      <c r="C12" s="343"/>
    </row>
    <row r="13" spans="1:3" ht="14.25" customHeight="1" x14ac:dyDescent="0.2">
      <c r="A13" s="337" t="s">
        <v>192</v>
      </c>
      <c r="B13" s="343"/>
      <c r="C13" s="343"/>
    </row>
    <row r="14" spans="1:3" ht="14.25" customHeight="1" x14ac:dyDescent="0.2">
      <c r="A14" s="337" t="s">
        <v>193</v>
      </c>
      <c r="B14" s="343"/>
      <c r="C14" s="343" t="str">
        <f ca="1">IF('SPC background (hide)'!H11&lt;&gt;"",'SPC background (hide)'!H11&amp;" weeks","")</f>
        <v/>
      </c>
    </row>
    <row r="15" spans="1:3" ht="14.25" customHeight="1" x14ac:dyDescent="0.2"/>
    <row r="16" spans="1:3" x14ac:dyDescent="0.2">
      <c r="A16" s="38" t="s">
        <v>149</v>
      </c>
    </row>
    <row r="17" spans="1:3" ht="15" x14ac:dyDescent="0.25">
      <c r="A17" s="2" t="str">
        <f ca="1">'SPC background (hide)'!I11&amp;" weeks"</f>
        <v>52 weeks</v>
      </c>
    </row>
    <row r="19" spans="1:3" x14ac:dyDescent="0.2">
      <c r="A19" t="str">
        <f ca="1">IF(AND('SPC background (hide)'!I11&lt;52,SPC_Type="1+ Seasons"),"Remaining wks use season:","")</f>
        <v/>
      </c>
      <c r="C19" s="181">
        <v>1</v>
      </c>
    </row>
    <row r="20" spans="1:3" x14ac:dyDescent="0.2">
      <c r="C20" s="46"/>
    </row>
    <row r="21" spans="1:3" x14ac:dyDescent="0.2">
      <c r="A21" t="s">
        <v>197</v>
      </c>
      <c r="C21" s="181" t="s">
        <v>20</v>
      </c>
    </row>
    <row r="22" spans="1:3" x14ac:dyDescent="0.2">
      <c r="C22" s="46"/>
    </row>
    <row r="23" spans="1:3" x14ac:dyDescent="0.2">
      <c r="A23" t="s">
        <v>198</v>
      </c>
      <c r="C23" s="181" t="s">
        <v>20</v>
      </c>
    </row>
    <row r="25" spans="1:3" hidden="1" x14ac:dyDescent="0.2">
      <c r="A25" t="s">
        <v>286</v>
      </c>
      <c r="C25" s="181" t="s">
        <v>22</v>
      </c>
    </row>
    <row r="29" spans="1:3" ht="15" x14ac:dyDescent="0.25">
      <c r="A29" s="2" t="s">
        <v>180</v>
      </c>
    </row>
    <row r="30" spans="1:3" x14ac:dyDescent="0.2">
      <c r="A30" s="41"/>
      <c r="B30" t="s">
        <v>177</v>
      </c>
    </row>
    <row r="31" spans="1:3" x14ac:dyDescent="0.2">
      <c r="A31" s="42"/>
      <c r="B31" t="s">
        <v>178</v>
      </c>
    </row>
    <row r="32" spans="1:3" x14ac:dyDescent="0.2">
      <c r="A32" s="43"/>
      <c r="B32" t="s">
        <v>199</v>
      </c>
    </row>
    <row r="33" spans="1:2" x14ac:dyDescent="0.2">
      <c r="A33" s="44"/>
      <c r="B33" t="s">
        <v>179</v>
      </c>
    </row>
  </sheetData>
  <sheetProtection algorithmName="SHA-512" hashValue="JEmL4TpyHPlqUtLgVVzHdSXs4jB5AP1gReivK7wF4ijTPz93g44gxs9qjf/L/5U83c7DCHCATkU2Yxh8vgMl0g==" saltValue="GZkx16JRCe1+mRXeHEykvQ==" spinCount="100000" sheet="1" objects="1" scenarios="1"/>
  <conditionalFormatting sqref="C19">
    <cfRule type="expression" dxfId="29" priority="1">
      <formula>IF(SPC_Type = "1 season",TRUE,FALSE)</formula>
    </cfRule>
  </conditionalFormatting>
  <pageMargins left="0.7" right="0.7" top="0.75" bottom="0.75" header="0.3" footer="0.3"/>
  <pageSetup paperSize="9"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7652" r:id="rId4" name="Section1Start">
              <controlPr defaultSize="0" autoLine="0" autoPict="0">
                <anchor moveWithCells="1">
                  <from>
                    <xdr:col>1</xdr:col>
                    <xdr:colOff>0</xdr:colOff>
                    <xdr:row>3</xdr:row>
                    <xdr:rowOff>0</xdr:rowOff>
                  </from>
                  <to>
                    <xdr:col>2</xdr:col>
                    <xdr:colOff>0</xdr:colOff>
                    <xdr:row>4</xdr:row>
                    <xdr:rowOff>0</xdr:rowOff>
                  </to>
                </anchor>
              </controlPr>
            </control>
          </mc:Choice>
        </mc:AlternateContent>
        <mc:AlternateContent xmlns:mc="http://schemas.openxmlformats.org/markup-compatibility/2006">
          <mc:Choice Requires="x14">
            <control shapeId="27653" r:id="rId5" name="Section1End">
              <controlPr defaultSize="0" autoLine="0" autoPict="0">
                <anchor moveWithCells="1">
                  <from>
                    <xdr:col>1</xdr:col>
                    <xdr:colOff>0</xdr:colOff>
                    <xdr:row>3</xdr:row>
                    <xdr:rowOff>180975</xdr:rowOff>
                  </from>
                  <to>
                    <xdr:col>2</xdr:col>
                    <xdr:colOff>0</xdr:colOff>
                    <xdr:row>4</xdr:row>
                    <xdr:rowOff>180975</xdr:rowOff>
                  </to>
                </anchor>
              </controlPr>
            </control>
          </mc:Choice>
        </mc:AlternateContent>
        <mc:AlternateContent xmlns:mc="http://schemas.openxmlformats.org/markup-compatibility/2006">
          <mc:Choice Requires="x14">
            <control shapeId="27655" r:id="rId6" name="Section2Start">
              <controlPr defaultSize="0" autoLine="0" autoPict="0">
                <anchor moveWithCells="1">
                  <from>
                    <xdr:col>1</xdr:col>
                    <xdr:colOff>0</xdr:colOff>
                    <xdr:row>6</xdr:row>
                    <xdr:rowOff>0</xdr:rowOff>
                  </from>
                  <to>
                    <xdr:col>2</xdr:col>
                    <xdr:colOff>0</xdr:colOff>
                    <xdr:row>7</xdr:row>
                    <xdr:rowOff>0</xdr:rowOff>
                  </to>
                </anchor>
              </controlPr>
            </control>
          </mc:Choice>
        </mc:AlternateContent>
        <mc:AlternateContent xmlns:mc="http://schemas.openxmlformats.org/markup-compatibility/2006">
          <mc:Choice Requires="x14">
            <control shapeId="27658" r:id="rId7" name="Section2End">
              <controlPr defaultSize="0" autoLine="0" autoPict="0">
                <anchor moveWithCells="1">
                  <from>
                    <xdr:col>1</xdr:col>
                    <xdr:colOff>0</xdr:colOff>
                    <xdr:row>7</xdr:row>
                    <xdr:rowOff>0</xdr:rowOff>
                  </from>
                  <to>
                    <xdr:col>2</xdr:col>
                    <xdr:colOff>0</xdr:colOff>
                    <xdr:row>8</xdr:row>
                    <xdr:rowOff>0</xdr:rowOff>
                  </to>
                </anchor>
              </controlPr>
            </control>
          </mc:Choice>
        </mc:AlternateContent>
        <mc:AlternateContent xmlns:mc="http://schemas.openxmlformats.org/markup-compatibility/2006">
          <mc:Choice Requires="x14">
            <control shapeId="27659" r:id="rId8" name="Section3Start">
              <controlPr defaultSize="0" autoLine="0" autoPict="0">
                <anchor moveWithCells="1">
                  <from>
                    <xdr:col>1</xdr:col>
                    <xdr:colOff>0</xdr:colOff>
                    <xdr:row>9</xdr:row>
                    <xdr:rowOff>0</xdr:rowOff>
                  </from>
                  <to>
                    <xdr:col>2</xdr:col>
                    <xdr:colOff>0</xdr:colOff>
                    <xdr:row>10</xdr:row>
                    <xdr:rowOff>0</xdr:rowOff>
                  </to>
                </anchor>
              </controlPr>
            </control>
          </mc:Choice>
        </mc:AlternateContent>
        <mc:AlternateContent xmlns:mc="http://schemas.openxmlformats.org/markup-compatibility/2006">
          <mc:Choice Requires="x14">
            <control shapeId="27660" r:id="rId9" name="Section3End">
              <controlPr defaultSize="0" autoLine="0" autoPict="0">
                <anchor moveWithCells="1">
                  <from>
                    <xdr:col>1</xdr:col>
                    <xdr:colOff>0</xdr:colOff>
                    <xdr:row>10</xdr:row>
                    <xdr:rowOff>0</xdr:rowOff>
                  </from>
                  <to>
                    <xdr:col>2</xdr:col>
                    <xdr:colOff>0</xdr:colOff>
                    <xdr:row>11</xdr:row>
                    <xdr:rowOff>0</xdr:rowOff>
                  </to>
                </anchor>
              </controlPr>
            </control>
          </mc:Choice>
        </mc:AlternateContent>
        <mc:AlternateContent xmlns:mc="http://schemas.openxmlformats.org/markup-compatibility/2006">
          <mc:Choice Requires="x14">
            <control shapeId="27661" r:id="rId10" name="Section4Start">
              <controlPr defaultSize="0" autoLine="0" autoPict="0">
                <anchor moveWithCells="1">
                  <from>
                    <xdr:col>1</xdr:col>
                    <xdr:colOff>0</xdr:colOff>
                    <xdr:row>12</xdr:row>
                    <xdr:rowOff>0</xdr:rowOff>
                  </from>
                  <to>
                    <xdr:col>2</xdr:col>
                    <xdr:colOff>0</xdr:colOff>
                    <xdr:row>13</xdr:row>
                    <xdr:rowOff>0</xdr:rowOff>
                  </to>
                </anchor>
              </controlPr>
            </control>
          </mc:Choice>
        </mc:AlternateContent>
        <mc:AlternateContent xmlns:mc="http://schemas.openxmlformats.org/markup-compatibility/2006">
          <mc:Choice Requires="x14">
            <control shapeId="27662" r:id="rId11" name="Section4End">
              <controlPr defaultSize="0" autoLine="0" autoPict="0">
                <anchor moveWithCells="1">
                  <from>
                    <xdr:col>1</xdr:col>
                    <xdr:colOff>0</xdr:colOff>
                    <xdr:row>13</xdr:row>
                    <xdr:rowOff>0</xdr:rowOff>
                  </from>
                  <to>
                    <xdr:col>2</xdr:col>
                    <xdr:colOff>0</xdr:colOff>
                    <xdr:row>14</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EC8F4D87-9850-491A-BEA3-5BBC563FC309}">
            <xm:f>IF(OR(AND('SPC background (hide)'!$I$11=52,$C$19&lt;&gt;""),AND('SPC background (hide)'!$I$11&lt;52,'SPC background (hide)'!$M$10&lt;$C$19),AND('SPC background (hide)'!$I$11&lt;52,$C$19="",'SPC background (hide)'!$M$10&gt;1)),TRUE,FALSE)</xm:f>
            <x14:dxf>
              <fill>
                <patternFill>
                  <bgColor theme="5" tint="0.59996337778862885"/>
                </patternFill>
              </fill>
            </x14:dxf>
          </x14:cfRule>
          <xm:sqref>C19</xm:sqref>
        </x14:conditionalFormatting>
      </x14:conditionalFormattings>
    </ext>
    <ext xmlns:x14="http://schemas.microsoft.com/office/spreadsheetml/2009/9/main" uri="{CCE6A557-97BC-4b89-ADB6-D9C93CAAB3DF}">
      <x14:dataValidations xmlns:xm="http://schemas.microsoft.com/office/excel/2006/main" count="3">
        <x14:dataValidation type="list" showInputMessage="1" showErrorMessage="1" xr:uid="{00000000-0002-0000-0700-000000000000}">
          <x14:formula1>
            <xm:f>'Control sheet (hide)'!$C$30:$C$31</xm:f>
          </x14:formula1>
          <xm:sqref>B1</xm:sqref>
        </x14:dataValidation>
        <x14:dataValidation type="list" allowBlank="1" showInputMessage="1" showErrorMessage="1" xr:uid="{00000000-0002-0000-0700-000001000000}">
          <x14:formula1>
            <xm:f>'Control sheet (hide)'!$C$3:$C$4</xm:f>
          </x14:formula1>
          <xm:sqref>C21 C23 C25</xm:sqref>
        </x14:dataValidation>
        <x14:dataValidation type="list" allowBlank="1" showInputMessage="1" showErrorMessage="1" xr:uid="{00000000-0002-0000-0700-000002000000}">
          <x14:formula1>
            <xm:f>IF('SPC background (hide)'!$I$11=52,Range_Blank,OFFSET('Control sheet (hide)'!$A$3,0,0,'SPC background (hide)'!$M$10,1))</xm:f>
          </x14:formula1>
          <xm:sqref>C19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T275"/>
  <sheetViews>
    <sheetView workbookViewId="0">
      <selection activeCell="A18" sqref="A18"/>
    </sheetView>
  </sheetViews>
  <sheetFormatPr defaultColWidth="9" defaultRowHeight="14.25" x14ac:dyDescent="0.2"/>
  <cols>
    <col min="1" max="2" width="9" style="68"/>
    <col min="3" max="3" width="14.125" style="68" customWidth="1"/>
    <col min="4" max="5" width="9" style="68"/>
    <col min="6" max="6" width="13.625" style="68" customWidth="1"/>
    <col min="7" max="7" width="15.625" style="68" customWidth="1"/>
    <col min="8" max="9" width="9" style="68"/>
    <col min="10" max="26" width="9" style="68" customWidth="1"/>
    <col min="27" max="27" width="9" style="68" hidden="1" customWidth="1"/>
    <col min="28" max="30" width="9" style="68" customWidth="1"/>
    <col min="31" max="16384" width="9" style="68"/>
  </cols>
  <sheetData>
    <row r="1" spans="1:46" x14ac:dyDescent="0.2">
      <c r="B1" s="68" t="s">
        <v>116</v>
      </c>
      <c r="L1" s="68" t="s">
        <v>207</v>
      </c>
      <c r="AF1" s="68" t="s">
        <v>169</v>
      </c>
      <c r="AG1" s="68" t="s">
        <v>154</v>
      </c>
      <c r="AH1" s="68" t="s">
        <v>152</v>
      </c>
      <c r="AI1" s="68" t="s">
        <v>155</v>
      </c>
      <c r="AJ1" s="68" t="s">
        <v>161</v>
      </c>
      <c r="AK1" s="68" t="s">
        <v>142</v>
      </c>
      <c r="AL1" s="68" t="s">
        <v>156</v>
      </c>
      <c r="AM1" s="68" t="s">
        <v>157</v>
      </c>
      <c r="AN1" s="68" t="s">
        <v>158</v>
      </c>
      <c r="AO1" s="68" t="s">
        <v>159</v>
      </c>
      <c r="AP1" s="68" t="s">
        <v>160</v>
      </c>
      <c r="AQ1" s="68" t="s">
        <v>148</v>
      </c>
      <c r="AR1" s="68" t="s">
        <v>165</v>
      </c>
      <c r="AS1" s="68" t="s">
        <v>166</v>
      </c>
      <c r="AT1" s="68" t="s">
        <v>62</v>
      </c>
    </row>
    <row r="2" spans="1:46" x14ac:dyDescent="0.2">
      <c r="A2" s="68" t="s">
        <v>436</v>
      </c>
      <c r="B2" s="68" t="str">
        <f>"Demand - SPC Chart ("&amp;Setup!$I$17&amp;")"</f>
        <v>Demand - SPC Chart (Minutes)</v>
      </c>
      <c r="AG2" s="68">
        <f ca="1">OFFSET(Demand!$C$13,'SPC background (hide)'!$C$4-2+ROW(A1),0,1,1)</f>
        <v>7</v>
      </c>
      <c r="AH2" s="68">
        <v>1</v>
      </c>
      <c r="AI2" s="68">
        <f ca="1">IF(AH2&lt;=($M$4-$L$4+1),1,IF(AND($M$10&gt;=2,AH2&lt;=$M$5-$L$4+1),2,IF(AND($M$10&gt;=3,AH2&lt;=$M$6-$L$4+1),3,IF(AND($M$10=4,AH2&lt;=$M$7-$L$4+1),4,5))))</f>
        <v>1</v>
      </c>
      <c r="AJ2" s="40">
        <f ca="1">VLOOKUP(AI2,$K$4:$Q$9,4,0)</f>
        <v>141.67348608837972</v>
      </c>
      <c r="AK2" s="40">
        <f ca="1">IF($AN2-(3*$AJ2)&lt;=0,0,$AN2-(3*$AJ2))</f>
        <v>69.979541734860845</v>
      </c>
      <c r="AL2" s="40">
        <f ca="1">IF($AN2-(2*$AJ2)&lt;=0,0,$AN2-(2*$AJ2))</f>
        <v>211.65302782324056</v>
      </c>
      <c r="AM2" s="40">
        <f ca="1">IF($AN2-(1*$AJ2)&lt;=0,0,$AN2-(1*$AJ2))</f>
        <v>353.32651391162028</v>
      </c>
      <c r="AN2" s="40">
        <f ca="1">VLOOKUP(AI2,$K$4:$Q$9,5,0)</f>
        <v>495</v>
      </c>
      <c r="AO2" s="40">
        <f t="shared" ref="AO2:AO54" ca="1" si="0">$AN2+(1*$AJ2)</f>
        <v>636.67348608837972</v>
      </c>
      <c r="AP2" s="40">
        <f t="shared" ref="AP2:AP54" ca="1" si="1">$AN2+(2*$AJ2)</f>
        <v>778.34697217675944</v>
      </c>
      <c r="AQ2" s="40">
        <f t="shared" ref="AQ2:AQ54" ca="1" si="2">$AN2+(3*$AJ2)</f>
        <v>920.02045826513915</v>
      </c>
      <c r="AR2" s="5">
        <f ca="1">VLOOKUP($AI2,$K$4:$Q$8,6,0)</f>
        <v>551.5</v>
      </c>
      <c r="AS2" s="5">
        <f t="shared" ref="AS2:AS54" ca="1" si="3">VLOOKUP($AI2,$K$4:$Q$8,7,0)</f>
        <v>664</v>
      </c>
      <c r="AT2" s="5">
        <f ca="1">VLOOKUP(AI2,$K$4:$R$8,8,0)</f>
        <v>0</v>
      </c>
    </row>
    <row r="3" spans="1:46" x14ac:dyDescent="0.2">
      <c r="C3" s="68" t="s">
        <v>134</v>
      </c>
      <c r="D3" s="68" t="s">
        <v>136</v>
      </c>
      <c r="E3" s="68" t="s">
        <v>133</v>
      </c>
      <c r="F3" s="68" t="s">
        <v>137</v>
      </c>
      <c r="G3" s="68" t="s">
        <v>138</v>
      </c>
      <c r="H3" s="68" t="s">
        <v>135</v>
      </c>
      <c r="I3" s="68" t="s">
        <v>200</v>
      </c>
      <c r="K3" s="68" t="s">
        <v>155</v>
      </c>
      <c r="L3" s="68" t="s">
        <v>150</v>
      </c>
      <c r="M3" s="68" t="s">
        <v>151</v>
      </c>
      <c r="N3" s="68" t="s">
        <v>161</v>
      </c>
      <c r="O3" s="68" t="s">
        <v>158</v>
      </c>
      <c r="P3" s="68" t="s">
        <v>139</v>
      </c>
      <c r="Q3" s="68" t="s">
        <v>140</v>
      </c>
      <c r="R3" s="68" t="s">
        <v>62</v>
      </c>
      <c r="S3" s="68" t="s">
        <v>208</v>
      </c>
      <c r="AG3" s="68">
        <f ca="1">IF(MOD(AG2+1,53)=0,53,MOD(AG2+1,53))</f>
        <v>8</v>
      </c>
      <c r="AH3" s="68">
        <v>2</v>
      </c>
      <c r="AI3" s="68">
        <f t="shared" ref="AI3:AI54" ca="1" si="4">IF(AH3&lt;=($M$4-$L$4+1),1,IF(AND($M$10&gt;=2,AH3&lt;=$M$5-$L$4+1),2,IF(AND($M$10&gt;=3,AH3&lt;=$M$6-$L$4+1),3,IF(AND($M$10=4,AH3&lt;=$M$7-$L$4+1),4,5))))</f>
        <v>1</v>
      </c>
      <c r="AJ3" s="40">
        <f t="shared" ref="AJ3:AJ54" ca="1" si="5">VLOOKUP(AI3,$K$4:$Q$9,4,0)</f>
        <v>141.67348608837972</v>
      </c>
      <c r="AK3" s="40">
        <f t="shared" ref="AK3:AK54" ca="1" si="6">IF($AN3-(3*$AJ3)&lt;=0,0,$AN3-(3*$AJ3))</f>
        <v>69.979541734860845</v>
      </c>
      <c r="AL3" s="40">
        <f t="shared" ref="AL3:AL54" ca="1" si="7">IF($AN3-(2*$AJ3)&lt;=0,0,$AN3-(2*$AJ3))</f>
        <v>211.65302782324056</v>
      </c>
      <c r="AM3" s="40">
        <f t="shared" ref="AM3:AM54" ca="1" si="8">IF($AN3-(1*$AJ3)&lt;=0,0,$AN3-(1*$AJ3))</f>
        <v>353.32651391162028</v>
      </c>
      <c r="AN3" s="40">
        <f t="shared" ref="AN3:AN54" ca="1" si="9">VLOOKUP(AI3,$K$4:$Q$9,5,0)</f>
        <v>495</v>
      </c>
      <c r="AO3" s="40">
        <f t="shared" ca="1" si="0"/>
        <v>636.67348608837972</v>
      </c>
      <c r="AP3" s="40">
        <f t="shared" ca="1" si="1"/>
        <v>778.34697217675944</v>
      </c>
      <c r="AQ3" s="40">
        <f t="shared" ca="1" si="2"/>
        <v>920.02045826513915</v>
      </c>
      <c r="AR3" s="5">
        <f t="shared" ref="AR3:AR54" ca="1" si="10">VLOOKUP($AI3,$K$4:$Q$8,6,0)</f>
        <v>551.5</v>
      </c>
      <c r="AS3" s="5">
        <f t="shared" ca="1" si="3"/>
        <v>664</v>
      </c>
      <c r="AT3" s="5">
        <f t="shared" ref="AT3:AT54" ca="1" si="11">VLOOKUP(AI3,$K$4:$R$8,8,0)</f>
        <v>0</v>
      </c>
    </row>
    <row r="4" spans="1:46" x14ac:dyDescent="0.2">
      <c r="B4" s="68" t="s">
        <v>120</v>
      </c>
      <c r="C4" s="68">
        <v>99</v>
      </c>
      <c r="D4" s="68">
        <v>1</v>
      </c>
      <c r="E4" s="68">
        <f ca="1">MAX(0,MaxRows-9)</f>
        <v>142</v>
      </c>
      <c r="F4" s="68">
        <f ca="1">E4-D4+1</f>
        <v>142</v>
      </c>
      <c r="K4" s="68">
        <v>1</v>
      </c>
      <c r="L4" s="68">
        <f>C4</f>
        <v>99</v>
      </c>
      <c r="M4" s="68">
        <f ca="1">H5+L4-1</f>
        <v>150</v>
      </c>
      <c r="N4" s="5">
        <f ca="1">Sigma1</f>
        <v>141.67348608837972</v>
      </c>
      <c r="O4" s="5">
        <f ca="1">Mean1</f>
        <v>495</v>
      </c>
      <c r="P4" s="5">
        <f ca="1">PercLower1</f>
        <v>551.5</v>
      </c>
      <c r="Q4" s="5">
        <f ca="1">PercUpper1</f>
        <v>664</v>
      </c>
      <c r="R4" s="5">
        <f ca="1">Emergency1</f>
        <v>0</v>
      </c>
      <c r="S4" s="5">
        <f ca="1">O4*H5</f>
        <v>25740</v>
      </c>
      <c r="T4" s="5"/>
      <c r="AG4" s="68">
        <f t="shared" ref="AG4:AG54" ca="1" si="12">IF(MOD(AG3+1,53)=0,53,MOD(AG3+1,53))</f>
        <v>9</v>
      </c>
      <c r="AH4" s="68">
        <v>3</v>
      </c>
      <c r="AI4" s="68">
        <f t="shared" ca="1" si="4"/>
        <v>1</v>
      </c>
      <c r="AJ4" s="40">
        <f t="shared" ca="1" si="5"/>
        <v>141.67348608837972</v>
      </c>
      <c r="AK4" s="40">
        <f t="shared" ca="1" si="6"/>
        <v>69.979541734860845</v>
      </c>
      <c r="AL4" s="40">
        <f t="shared" ca="1" si="7"/>
        <v>211.65302782324056</v>
      </c>
      <c r="AM4" s="40">
        <f t="shared" ca="1" si="8"/>
        <v>353.32651391162028</v>
      </c>
      <c r="AN4" s="40">
        <f t="shared" ca="1" si="9"/>
        <v>495</v>
      </c>
      <c r="AO4" s="40">
        <f t="shared" ca="1" si="0"/>
        <v>636.67348608837972</v>
      </c>
      <c r="AP4" s="40">
        <f t="shared" ca="1" si="1"/>
        <v>778.34697217675944</v>
      </c>
      <c r="AQ4" s="40">
        <f t="shared" ca="1" si="2"/>
        <v>920.02045826513915</v>
      </c>
      <c r="AR4" s="5">
        <f t="shared" ca="1" si="10"/>
        <v>551.5</v>
      </c>
      <c r="AS4" s="5">
        <f t="shared" ca="1" si="3"/>
        <v>664</v>
      </c>
      <c r="AT4" s="5">
        <f t="shared" ca="1" si="11"/>
        <v>0</v>
      </c>
    </row>
    <row r="5" spans="1:46" x14ac:dyDescent="0.2">
      <c r="B5" s="68" t="s">
        <v>121</v>
      </c>
      <c r="C5" s="68">
        <v>44</v>
      </c>
      <c r="D5" s="68">
        <f>C4+9</f>
        <v>108</v>
      </c>
      <c r="E5" s="68">
        <f ca="1">MIN(C4+52,MaxRows+1)</f>
        <v>151</v>
      </c>
      <c r="F5" s="68">
        <f ca="1">E5-D5+1</f>
        <v>44</v>
      </c>
      <c r="G5" s="68">
        <f ca="1">H5</f>
        <v>52</v>
      </c>
      <c r="H5" s="68">
        <f ca="1">MIN(C5+D5-C4,E5-C4)</f>
        <v>52</v>
      </c>
      <c r="I5" s="68">
        <f ca="1">G5</f>
        <v>52</v>
      </c>
      <c r="K5" s="68">
        <v>2</v>
      </c>
      <c r="L5" s="68" t="str">
        <f ca="1">IFERROR(D6,"")</f>
        <v/>
      </c>
      <c r="M5" s="68">
        <f ca="1">IFERROR(H7+L5-1,0)</f>
        <v>0</v>
      </c>
      <c r="N5" s="5" t="str">
        <f ca="1">Sigma2</f>
        <v/>
      </c>
      <c r="O5" s="5" t="str">
        <f ca="1">Mean2</f>
        <v/>
      </c>
      <c r="P5" s="5" t="str">
        <f ca="1">PercLower2</f>
        <v/>
      </c>
      <c r="Q5" s="5" t="str">
        <f ca="1">PercUpper2</f>
        <v/>
      </c>
      <c r="R5" s="5" t="str">
        <f ca="1">Emergency2</f>
        <v/>
      </c>
      <c r="S5" s="5" t="str">
        <f ca="1">IF(M10&gt;=2,O5*H7,"")</f>
        <v/>
      </c>
      <c r="AG5" s="68">
        <f t="shared" ca="1" si="12"/>
        <v>10</v>
      </c>
      <c r="AH5" s="68">
        <v>4</v>
      </c>
      <c r="AI5" s="68">
        <f t="shared" ca="1" si="4"/>
        <v>1</v>
      </c>
      <c r="AJ5" s="40">
        <f t="shared" ca="1" si="5"/>
        <v>141.67348608837972</v>
      </c>
      <c r="AK5" s="40">
        <f t="shared" ca="1" si="6"/>
        <v>69.979541734860845</v>
      </c>
      <c r="AL5" s="40">
        <f t="shared" ca="1" si="7"/>
        <v>211.65302782324056</v>
      </c>
      <c r="AM5" s="40">
        <f t="shared" ca="1" si="8"/>
        <v>353.32651391162028</v>
      </c>
      <c r="AN5" s="40">
        <f t="shared" ca="1" si="9"/>
        <v>495</v>
      </c>
      <c r="AO5" s="40">
        <f t="shared" ca="1" si="0"/>
        <v>636.67348608837972</v>
      </c>
      <c r="AP5" s="40">
        <f t="shared" ca="1" si="1"/>
        <v>778.34697217675944</v>
      </c>
      <c r="AQ5" s="40">
        <f t="shared" ca="1" si="2"/>
        <v>920.02045826513915</v>
      </c>
      <c r="AR5" s="5">
        <f t="shared" ca="1" si="10"/>
        <v>551.5</v>
      </c>
      <c r="AS5" s="5">
        <f t="shared" ca="1" si="3"/>
        <v>664</v>
      </c>
      <c r="AT5" s="5">
        <f t="shared" ca="1" si="11"/>
        <v>0</v>
      </c>
    </row>
    <row r="6" spans="1:46" x14ac:dyDescent="0.2">
      <c r="B6" s="68" t="s">
        <v>122</v>
      </c>
      <c r="C6" s="36">
        <v>2</v>
      </c>
      <c r="D6" s="68" t="e">
        <f ca="1">IF(AND(G5&lt;=42,MaxRows-(G5+$C$4-1)&gt;10,SPC_Type="1+ Seasons"),C5+D5,NA())</f>
        <v>#N/A</v>
      </c>
      <c r="E6" s="68" t="e">
        <f ca="1">D6</f>
        <v>#N/A</v>
      </c>
      <c r="F6" s="68" t="e">
        <f ca="1">IF(ISNA(D6),NA(),1)</f>
        <v>#N/A</v>
      </c>
      <c r="K6" s="68">
        <v>3</v>
      </c>
      <c r="L6" s="68" t="str">
        <f ca="1">IFERROR(D8,"")</f>
        <v/>
      </c>
      <c r="M6" s="68">
        <f ca="1">IFERROR(H9+L6-1,0)</f>
        <v>0</v>
      </c>
      <c r="N6" s="68" t="str">
        <f ca="1">Sigma3</f>
        <v/>
      </c>
      <c r="O6" s="68" t="str">
        <f ca="1">Mean3</f>
        <v/>
      </c>
      <c r="P6" s="5" t="str">
        <f ca="1">PercLower3</f>
        <v/>
      </c>
      <c r="Q6" s="5" t="str">
        <f ca="1">PercUpper3</f>
        <v/>
      </c>
      <c r="R6" s="68" t="str">
        <f ca="1">Emergency3</f>
        <v/>
      </c>
      <c r="S6" s="5" t="str">
        <f ca="1">IF(M10&gt;=3,O6*H9,"")</f>
        <v/>
      </c>
      <c r="AG6" s="68">
        <f t="shared" ca="1" si="12"/>
        <v>11</v>
      </c>
      <c r="AH6" s="68">
        <v>5</v>
      </c>
      <c r="AI6" s="68">
        <f t="shared" ca="1" si="4"/>
        <v>1</v>
      </c>
      <c r="AJ6" s="40">
        <f t="shared" ca="1" si="5"/>
        <v>141.67348608837972</v>
      </c>
      <c r="AK6" s="40">
        <f t="shared" ca="1" si="6"/>
        <v>69.979541734860845</v>
      </c>
      <c r="AL6" s="40">
        <f t="shared" ca="1" si="7"/>
        <v>211.65302782324056</v>
      </c>
      <c r="AM6" s="40">
        <f t="shared" ca="1" si="8"/>
        <v>353.32651391162028</v>
      </c>
      <c r="AN6" s="40">
        <f t="shared" ca="1" si="9"/>
        <v>495</v>
      </c>
      <c r="AO6" s="40">
        <f t="shared" ca="1" si="0"/>
        <v>636.67348608837972</v>
      </c>
      <c r="AP6" s="40">
        <f t="shared" ca="1" si="1"/>
        <v>778.34697217675944</v>
      </c>
      <c r="AQ6" s="40">
        <f t="shared" ca="1" si="2"/>
        <v>920.02045826513915</v>
      </c>
      <c r="AR6" s="5">
        <f t="shared" ca="1" si="10"/>
        <v>551.5</v>
      </c>
      <c r="AS6" s="5">
        <f t="shared" ca="1" si="3"/>
        <v>664</v>
      </c>
      <c r="AT6" s="5">
        <f t="shared" ca="1" si="11"/>
        <v>0</v>
      </c>
    </row>
    <row r="7" spans="1:46" x14ac:dyDescent="0.2">
      <c r="B7" s="68" t="s">
        <v>123</v>
      </c>
      <c r="C7" s="68">
        <v>25</v>
      </c>
      <c r="D7" s="68" t="e">
        <f ca="1">IF(AND(C6=2,ISNA(D6)=FALSE),D6+9,NA())</f>
        <v>#N/A</v>
      </c>
      <c r="E7" s="68" t="e">
        <f ca="1">IF(ISNA(D7),NA(),MIN($C$4+52,MaxRows))</f>
        <v>#N/A</v>
      </c>
      <c r="F7" s="68" t="e">
        <f ca="1">IF(ISNA(D6),NA(),E7-D7+1)</f>
        <v>#N/A</v>
      </c>
      <c r="G7" s="68" t="e">
        <f ca="1">IFERROR(G5+H7,NA())</f>
        <v>#N/A</v>
      </c>
      <c r="H7" s="68" t="str">
        <f ca="1">IFERROR(MIN(MaxRows+1-G5-C4,D7+C7-D6,52-G5),"")</f>
        <v/>
      </c>
      <c r="I7" s="68">
        <f ca="1">IFERROR(G7,I5)</f>
        <v>52</v>
      </c>
      <c r="K7" s="68">
        <v>4</v>
      </c>
      <c r="L7" s="68" t="str">
        <f ca="1">IFERROR(D10,"")</f>
        <v/>
      </c>
      <c r="M7" s="68">
        <f ca="1">IFERROR(H11+L7-1,0)</f>
        <v>0</v>
      </c>
      <c r="N7" s="68" t="str">
        <f ca="1">Sigma4</f>
        <v/>
      </c>
      <c r="O7" s="68" t="str">
        <f ca="1">Mean4</f>
        <v/>
      </c>
      <c r="P7" s="5" t="str">
        <f ca="1">PercLower4</f>
        <v/>
      </c>
      <c r="Q7" s="5" t="str">
        <f ca="1">PercUpper4</f>
        <v/>
      </c>
      <c r="R7" s="68" t="str">
        <f ca="1">Emergency4</f>
        <v/>
      </c>
      <c r="S7" s="5" t="str">
        <f ca="1">IF(M10&gt;=4,O7*H11,"")</f>
        <v/>
      </c>
      <c r="AG7" s="68">
        <f t="shared" ca="1" si="12"/>
        <v>12</v>
      </c>
      <c r="AH7" s="68">
        <v>6</v>
      </c>
      <c r="AI7" s="68">
        <f t="shared" ca="1" si="4"/>
        <v>1</v>
      </c>
      <c r="AJ7" s="40">
        <f t="shared" ca="1" si="5"/>
        <v>141.67348608837972</v>
      </c>
      <c r="AK7" s="40">
        <f t="shared" ca="1" si="6"/>
        <v>69.979541734860845</v>
      </c>
      <c r="AL7" s="40">
        <f t="shared" ca="1" si="7"/>
        <v>211.65302782324056</v>
      </c>
      <c r="AM7" s="40">
        <f t="shared" ca="1" si="8"/>
        <v>353.32651391162028</v>
      </c>
      <c r="AN7" s="40">
        <f t="shared" ca="1" si="9"/>
        <v>495</v>
      </c>
      <c r="AO7" s="40">
        <f t="shared" ca="1" si="0"/>
        <v>636.67348608837972</v>
      </c>
      <c r="AP7" s="40">
        <f t="shared" ca="1" si="1"/>
        <v>778.34697217675944</v>
      </c>
      <c r="AQ7" s="40">
        <f t="shared" ca="1" si="2"/>
        <v>920.02045826513915</v>
      </c>
      <c r="AR7" s="5">
        <f t="shared" ca="1" si="10"/>
        <v>551.5</v>
      </c>
      <c r="AS7" s="5">
        <f t="shared" ca="1" si="3"/>
        <v>664</v>
      </c>
      <c r="AT7" s="5">
        <f t="shared" ca="1" si="11"/>
        <v>0</v>
      </c>
    </row>
    <row r="8" spans="1:46" x14ac:dyDescent="0.2">
      <c r="B8" s="68" t="s">
        <v>124</v>
      </c>
      <c r="C8" s="36">
        <v>2</v>
      </c>
      <c r="D8" s="68" t="e">
        <f ca="1">IF(AND(G7&lt;=42,MaxRows-(G7+$C$4-1)&gt;10),C7+D7,NA())</f>
        <v>#N/A</v>
      </c>
      <c r="E8" s="68" t="e">
        <f ca="1">D8</f>
        <v>#N/A</v>
      </c>
      <c r="F8" s="68" t="e">
        <f ca="1">IF(ISNA(D8),NA(),1)</f>
        <v>#N/A</v>
      </c>
      <c r="K8" s="68">
        <v>5</v>
      </c>
      <c r="L8" s="68">
        <f ca="1">MATCH(5,$AI$2:$AI$54,0)</f>
        <v>53</v>
      </c>
      <c r="M8" s="68">
        <f ca="1">IF(L8&gt;0,52,0)</f>
        <v>52</v>
      </c>
      <c r="N8" s="71">
        <f ca="1">IF(L8&gt;0,INDIRECT("Sigma"&amp;$M$11),"")</f>
        <v>141.67348608837972</v>
      </c>
      <c r="O8" s="71">
        <f ca="1">IF(M8&gt;0,INDIRECT("Mean"&amp;$M$11),"")</f>
        <v>495</v>
      </c>
      <c r="P8" s="68">
        <f ca="1">IF(N8&gt;0,INDIRECT("PercLower"&amp;$M$11),"")</f>
        <v>551.5</v>
      </c>
      <c r="Q8" s="68">
        <f ca="1">IF(O8&gt;0,INDIRECT("PercUpper"&amp;$M$11),"")</f>
        <v>664</v>
      </c>
      <c r="R8" s="68">
        <f ca="1">IF(O8&gt;0,INDIRECT("Emergency"&amp;$M$11),"")</f>
        <v>0</v>
      </c>
      <c r="S8" s="5"/>
      <c r="AG8" s="68">
        <f t="shared" ca="1" si="12"/>
        <v>13</v>
      </c>
      <c r="AH8" s="68">
        <v>7</v>
      </c>
      <c r="AI8" s="68">
        <f t="shared" ca="1" si="4"/>
        <v>1</v>
      </c>
      <c r="AJ8" s="40">
        <f t="shared" ca="1" si="5"/>
        <v>141.67348608837972</v>
      </c>
      <c r="AK8" s="40">
        <f t="shared" ca="1" si="6"/>
        <v>69.979541734860845</v>
      </c>
      <c r="AL8" s="40">
        <f t="shared" ca="1" si="7"/>
        <v>211.65302782324056</v>
      </c>
      <c r="AM8" s="40">
        <f t="shared" ca="1" si="8"/>
        <v>353.32651391162028</v>
      </c>
      <c r="AN8" s="40">
        <f t="shared" ca="1" si="9"/>
        <v>495</v>
      </c>
      <c r="AO8" s="40">
        <f t="shared" ca="1" si="0"/>
        <v>636.67348608837972</v>
      </c>
      <c r="AP8" s="40">
        <f t="shared" ca="1" si="1"/>
        <v>778.34697217675944</v>
      </c>
      <c r="AQ8" s="40">
        <f t="shared" ca="1" si="2"/>
        <v>920.02045826513915</v>
      </c>
      <c r="AR8" s="5">
        <f t="shared" ca="1" si="10"/>
        <v>551.5</v>
      </c>
      <c r="AS8" s="5">
        <f t="shared" ca="1" si="3"/>
        <v>664</v>
      </c>
      <c r="AT8" s="5">
        <f t="shared" ca="1" si="11"/>
        <v>0</v>
      </c>
    </row>
    <row r="9" spans="1:46" x14ac:dyDescent="0.2">
      <c r="B9" s="68" t="s">
        <v>125</v>
      </c>
      <c r="C9" s="68">
        <v>1</v>
      </c>
      <c r="D9" s="68" t="e">
        <f ca="1">IF(AND(C8=2,ISNA(D8)=FALSE),D8+9,NA())</f>
        <v>#N/A</v>
      </c>
      <c r="E9" s="68" t="e">
        <f ca="1">IF(ISNA(D9),NA(),MIN($C$4+52,MaxRows))</f>
        <v>#N/A</v>
      </c>
      <c r="F9" s="68" t="e">
        <f ca="1">IF(ISNA(D8),NA(),E9-D9+1)</f>
        <v>#N/A</v>
      </c>
      <c r="G9" s="68" t="e">
        <f ca="1">IFERROR(G7+H9,NA())</f>
        <v>#N/A</v>
      </c>
      <c r="H9" s="68" t="str">
        <f ca="1">IFERROR(MIN((MaxRows+1-G7-C4),(D9+C9-D8),52-G7),"")</f>
        <v/>
      </c>
      <c r="I9" s="68">
        <f ca="1">IFERROR(G9,I7)</f>
        <v>52</v>
      </c>
      <c r="S9" s="5"/>
      <c r="AG9" s="68">
        <f t="shared" ca="1" si="12"/>
        <v>14</v>
      </c>
      <c r="AH9" s="68">
        <v>8</v>
      </c>
      <c r="AI9" s="68">
        <f t="shared" ca="1" si="4"/>
        <v>1</v>
      </c>
      <c r="AJ9" s="40">
        <f t="shared" ca="1" si="5"/>
        <v>141.67348608837972</v>
      </c>
      <c r="AK9" s="40">
        <f t="shared" ca="1" si="6"/>
        <v>69.979541734860845</v>
      </c>
      <c r="AL9" s="40">
        <f t="shared" ca="1" si="7"/>
        <v>211.65302782324056</v>
      </c>
      <c r="AM9" s="40">
        <f t="shared" ca="1" si="8"/>
        <v>353.32651391162028</v>
      </c>
      <c r="AN9" s="40">
        <f t="shared" ca="1" si="9"/>
        <v>495</v>
      </c>
      <c r="AO9" s="40">
        <f t="shared" ca="1" si="0"/>
        <v>636.67348608837972</v>
      </c>
      <c r="AP9" s="40">
        <f t="shared" ca="1" si="1"/>
        <v>778.34697217675944</v>
      </c>
      <c r="AQ9" s="40">
        <f t="shared" ca="1" si="2"/>
        <v>920.02045826513915</v>
      </c>
      <c r="AR9" s="5">
        <f t="shared" ca="1" si="10"/>
        <v>551.5</v>
      </c>
      <c r="AS9" s="5">
        <f t="shared" ca="1" si="3"/>
        <v>664</v>
      </c>
      <c r="AT9" s="5">
        <f t="shared" ca="1" si="11"/>
        <v>0</v>
      </c>
    </row>
    <row r="10" spans="1:46" x14ac:dyDescent="0.2">
      <c r="B10" s="68" t="s">
        <v>126</v>
      </c>
      <c r="C10" s="36">
        <v>2</v>
      </c>
      <c r="D10" s="68" t="e">
        <f ca="1">IF(AND(G9&lt;=42,MaxRows-(G9+$C$4-1)&gt;10),C9+D9,NA())</f>
        <v>#N/A</v>
      </c>
      <c r="E10" s="68" t="e">
        <f ca="1">D10</f>
        <v>#N/A</v>
      </c>
      <c r="F10" s="68" t="e">
        <f ca="1">IF(ISNA(D10),NA(),1)</f>
        <v>#N/A</v>
      </c>
      <c r="L10" s="68" t="s">
        <v>162</v>
      </c>
      <c r="M10" s="68">
        <f ca="1">4-COUNTIF(M4:M7,0)</f>
        <v>1</v>
      </c>
      <c r="S10" s="5">
        <f ca="1">SUM(S4:S7)</f>
        <v>25740</v>
      </c>
      <c r="AG10" s="68">
        <f t="shared" ca="1" si="12"/>
        <v>15</v>
      </c>
      <c r="AH10" s="68">
        <v>9</v>
      </c>
      <c r="AI10" s="68">
        <f t="shared" ca="1" si="4"/>
        <v>1</v>
      </c>
      <c r="AJ10" s="40">
        <f t="shared" ca="1" si="5"/>
        <v>141.67348608837972</v>
      </c>
      <c r="AK10" s="40">
        <f t="shared" ca="1" si="6"/>
        <v>69.979541734860845</v>
      </c>
      <c r="AL10" s="40">
        <f t="shared" ca="1" si="7"/>
        <v>211.65302782324056</v>
      </c>
      <c r="AM10" s="40">
        <f t="shared" ca="1" si="8"/>
        <v>353.32651391162028</v>
      </c>
      <c r="AN10" s="40">
        <f t="shared" ca="1" si="9"/>
        <v>495</v>
      </c>
      <c r="AO10" s="40">
        <f t="shared" ca="1" si="0"/>
        <v>636.67348608837972</v>
      </c>
      <c r="AP10" s="40">
        <f t="shared" ca="1" si="1"/>
        <v>778.34697217675944</v>
      </c>
      <c r="AQ10" s="40">
        <f t="shared" ca="1" si="2"/>
        <v>920.02045826513915</v>
      </c>
      <c r="AR10" s="5">
        <f t="shared" ca="1" si="10"/>
        <v>551.5</v>
      </c>
      <c r="AS10" s="5">
        <f t="shared" ca="1" si="3"/>
        <v>664</v>
      </c>
      <c r="AT10" s="5">
        <f t="shared" ca="1" si="11"/>
        <v>0</v>
      </c>
    </row>
    <row r="11" spans="1:46" x14ac:dyDescent="0.2">
      <c r="B11" s="68" t="s">
        <v>127</v>
      </c>
      <c r="C11" s="68">
        <v>1</v>
      </c>
      <c r="D11" s="68" t="e">
        <f ca="1">IF(AND(C10=2,ISNA(D10)=FALSE),D10+9,NA())</f>
        <v>#N/A</v>
      </c>
      <c r="E11" s="68" t="e">
        <f ca="1">IF(ISNA(D11),NA(),MIN($C$4+52,MaxRows))</f>
        <v>#N/A</v>
      </c>
      <c r="F11" s="68" t="e">
        <f ca="1">IF(ISNA(D10),NA(),E11-D11+1)</f>
        <v>#N/A</v>
      </c>
      <c r="G11" s="68" t="e">
        <f ca="1">IFERROR(G9+H11,NA())</f>
        <v>#N/A</v>
      </c>
      <c r="H11" s="68" t="str">
        <f ca="1">IFERROR(MIN((MaxRows+1-G9-C4),(D11+C11-D10),52-G9),"")</f>
        <v/>
      </c>
      <c r="I11" s="68">
        <f ca="1">IFERROR(G11,I9)</f>
        <v>52</v>
      </c>
      <c r="M11" s="68">
        <f>IF(SPC_Type="1 Season",1,IF(AND(M10=1,I11&lt;52),1,IF('SPC Chart'!C19="",1,'SPC Chart'!C19)))</f>
        <v>1</v>
      </c>
      <c r="S11" s="5">
        <f ca="1">S10/I11</f>
        <v>495</v>
      </c>
      <c r="AG11" s="68">
        <f t="shared" ca="1" si="12"/>
        <v>16</v>
      </c>
      <c r="AH11" s="68">
        <v>10</v>
      </c>
      <c r="AI11" s="68">
        <f t="shared" ca="1" si="4"/>
        <v>1</v>
      </c>
      <c r="AJ11" s="40">
        <f t="shared" ca="1" si="5"/>
        <v>141.67348608837972</v>
      </c>
      <c r="AK11" s="40">
        <f t="shared" ca="1" si="6"/>
        <v>69.979541734860845</v>
      </c>
      <c r="AL11" s="40">
        <f t="shared" ca="1" si="7"/>
        <v>211.65302782324056</v>
      </c>
      <c r="AM11" s="40">
        <f t="shared" ca="1" si="8"/>
        <v>353.32651391162028</v>
      </c>
      <c r="AN11" s="40">
        <f t="shared" ca="1" si="9"/>
        <v>495</v>
      </c>
      <c r="AO11" s="40">
        <f t="shared" ca="1" si="0"/>
        <v>636.67348608837972</v>
      </c>
      <c r="AP11" s="40">
        <f t="shared" ca="1" si="1"/>
        <v>778.34697217675944</v>
      </c>
      <c r="AQ11" s="40">
        <f t="shared" ca="1" si="2"/>
        <v>920.02045826513915</v>
      </c>
      <c r="AR11" s="5">
        <f t="shared" ca="1" si="10"/>
        <v>551.5</v>
      </c>
      <c r="AS11" s="5">
        <f t="shared" ca="1" si="3"/>
        <v>664</v>
      </c>
      <c r="AT11" s="5">
        <f t="shared" ca="1" si="11"/>
        <v>0</v>
      </c>
    </row>
    <row r="12" spans="1:46" x14ac:dyDescent="0.2">
      <c r="S12" s="5"/>
      <c r="AG12" s="68">
        <f t="shared" ca="1" si="12"/>
        <v>17</v>
      </c>
      <c r="AH12" s="68">
        <v>11</v>
      </c>
      <c r="AI12" s="68">
        <f t="shared" ca="1" si="4"/>
        <v>1</v>
      </c>
      <c r="AJ12" s="40">
        <f t="shared" ca="1" si="5"/>
        <v>141.67348608837972</v>
      </c>
      <c r="AK12" s="40">
        <f t="shared" ca="1" si="6"/>
        <v>69.979541734860845</v>
      </c>
      <c r="AL12" s="40">
        <f t="shared" ca="1" si="7"/>
        <v>211.65302782324056</v>
      </c>
      <c r="AM12" s="40">
        <f t="shared" ca="1" si="8"/>
        <v>353.32651391162028</v>
      </c>
      <c r="AN12" s="40">
        <f t="shared" ca="1" si="9"/>
        <v>495</v>
      </c>
      <c r="AO12" s="40">
        <f t="shared" ca="1" si="0"/>
        <v>636.67348608837972</v>
      </c>
      <c r="AP12" s="40">
        <f t="shared" ca="1" si="1"/>
        <v>778.34697217675944</v>
      </c>
      <c r="AQ12" s="40">
        <f t="shared" ca="1" si="2"/>
        <v>920.02045826513915</v>
      </c>
      <c r="AR12" s="5">
        <f t="shared" ca="1" si="10"/>
        <v>551.5</v>
      </c>
      <c r="AS12" s="5">
        <f t="shared" ca="1" si="3"/>
        <v>664</v>
      </c>
      <c r="AT12" s="5">
        <f t="shared" ca="1" si="11"/>
        <v>0</v>
      </c>
    </row>
    <row r="13" spans="1:46" x14ac:dyDescent="0.2">
      <c r="Q13" s="68" t="s">
        <v>163</v>
      </c>
      <c r="AG13" s="68">
        <f t="shared" ca="1" si="12"/>
        <v>18</v>
      </c>
      <c r="AH13" s="68">
        <v>12</v>
      </c>
      <c r="AI13" s="68">
        <f t="shared" ca="1" si="4"/>
        <v>1</v>
      </c>
      <c r="AJ13" s="40">
        <f t="shared" ca="1" si="5"/>
        <v>141.67348608837972</v>
      </c>
      <c r="AK13" s="40">
        <f t="shared" ca="1" si="6"/>
        <v>69.979541734860845</v>
      </c>
      <c r="AL13" s="40">
        <f t="shared" ca="1" si="7"/>
        <v>211.65302782324056</v>
      </c>
      <c r="AM13" s="40">
        <f t="shared" ca="1" si="8"/>
        <v>353.32651391162028</v>
      </c>
      <c r="AN13" s="40">
        <f t="shared" ca="1" si="9"/>
        <v>495</v>
      </c>
      <c r="AO13" s="40">
        <f t="shared" ca="1" si="0"/>
        <v>636.67348608837972</v>
      </c>
      <c r="AP13" s="40">
        <f t="shared" ca="1" si="1"/>
        <v>778.34697217675944</v>
      </c>
      <c r="AQ13" s="40">
        <f t="shared" ca="1" si="2"/>
        <v>920.02045826513915</v>
      </c>
      <c r="AR13" s="5">
        <f t="shared" ca="1" si="10"/>
        <v>551.5</v>
      </c>
      <c r="AS13" s="5">
        <f t="shared" ca="1" si="3"/>
        <v>664</v>
      </c>
      <c r="AT13" s="5">
        <f t="shared" ca="1" si="11"/>
        <v>0</v>
      </c>
    </row>
    <row r="14" spans="1:46" x14ac:dyDescent="0.2">
      <c r="Q14" s="68" t="s">
        <v>173</v>
      </c>
      <c r="R14" s="68" t="s">
        <v>174</v>
      </c>
      <c r="T14" s="68" t="s">
        <v>175</v>
      </c>
      <c r="V14" s="68" t="s">
        <v>182</v>
      </c>
      <c r="X14" s="68" t="s">
        <v>181</v>
      </c>
      <c r="Z14" s="68" t="s">
        <v>176</v>
      </c>
      <c r="AC14" s="68" t="s">
        <v>164</v>
      </c>
      <c r="AG14" s="68">
        <f t="shared" ca="1" si="12"/>
        <v>19</v>
      </c>
      <c r="AH14" s="68">
        <v>13</v>
      </c>
      <c r="AI14" s="68">
        <f t="shared" ca="1" si="4"/>
        <v>1</v>
      </c>
      <c r="AJ14" s="40">
        <f t="shared" ca="1" si="5"/>
        <v>141.67348608837972</v>
      </c>
      <c r="AK14" s="40">
        <f t="shared" ca="1" si="6"/>
        <v>69.979541734860845</v>
      </c>
      <c r="AL14" s="40">
        <f t="shared" ca="1" si="7"/>
        <v>211.65302782324056</v>
      </c>
      <c r="AM14" s="40">
        <f t="shared" ca="1" si="8"/>
        <v>353.32651391162028</v>
      </c>
      <c r="AN14" s="40">
        <f t="shared" ca="1" si="9"/>
        <v>495</v>
      </c>
      <c r="AO14" s="40">
        <f t="shared" ca="1" si="0"/>
        <v>636.67348608837972</v>
      </c>
      <c r="AP14" s="40">
        <f t="shared" ca="1" si="1"/>
        <v>778.34697217675944</v>
      </c>
      <c r="AQ14" s="40">
        <f t="shared" ca="1" si="2"/>
        <v>920.02045826513915</v>
      </c>
      <c r="AR14" s="5">
        <f t="shared" ca="1" si="10"/>
        <v>551.5</v>
      </c>
      <c r="AS14" s="5">
        <f t="shared" ca="1" si="3"/>
        <v>664</v>
      </c>
      <c r="AT14" s="5">
        <f t="shared" ca="1" si="11"/>
        <v>0</v>
      </c>
    </row>
    <row r="15" spans="1:46" x14ac:dyDescent="0.2">
      <c r="A15" s="68" t="s">
        <v>57</v>
      </c>
      <c r="B15" s="68" t="s">
        <v>152</v>
      </c>
      <c r="C15" s="68" t="s">
        <v>115</v>
      </c>
      <c r="D15" s="68" t="s">
        <v>52</v>
      </c>
      <c r="E15" s="68" t="s">
        <v>117</v>
      </c>
      <c r="F15" s="68" t="s">
        <v>118</v>
      </c>
      <c r="G15" s="68" t="s">
        <v>119</v>
      </c>
      <c r="H15" s="68" t="s">
        <v>141</v>
      </c>
      <c r="I15" s="68" t="s">
        <v>153</v>
      </c>
      <c r="J15" s="68" t="s">
        <v>142</v>
      </c>
      <c r="K15" s="68" t="s">
        <v>143</v>
      </c>
      <c r="L15" s="68" t="s">
        <v>144</v>
      </c>
      <c r="M15" s="68" t="s">
        <v>145</v>
      </c>
      <c r="N15" s="68" t="s">
        <v>146</v>
      </c>
      <c r="O15" s="68" t="s">
        <v>147</v>
      </c>
      <c r="P15" s="68" t="s">
        <v>148</v>
      </c>
      <c r="Q15" s="68">
        <v>1</v>
      </c>
      <c r="R15" s="68" t="s">
        <v>170</v>
      </c>
      <c r="S15" s="68">
        <v>2</v>
      </c>
      <c r="T15" s="68" t="s">
        <v>185</v>
      </c>
      <c r="U15" s="68" t="s">
        <v>184</v>
      </c>
      <c r="V15" s="68" t="s">
        <v>171</v>
      </c>
      <c r="W15" s="68">
        <v>4</v>
      </c>
      <c r="X15" s="68" t="s">
        <v>172</v>
      </c>
      <c r="Y15" s="68">
        <v>3</v>
      </c>
      <c r="Z15" s="68" t="s">
        <v>184</v>
      </c>
      <c r="AA15" s="68" t="s">
        <v>289</v>
      </c>
      <c r="AC15" s="68" t="s">
        <v>167</v>
      </c>
      <c r="AD15" s="68" t="s">
        <v>168</v>
      </c>
      <c r="AG15" s="68">
        <f t="shared" ca="1" si="12"/>
        <v>20</v>
      </c>
      <c r="AH15" s="68">
        <v>14</v>
      </c>
      <c r="AI15" s="68">
        <f t="shared" ca="1" si="4"/>
        <v>1</v>
      </c>
      <c r="AJ15" s="40">
        <f t="shared" ca="1" si="5"/>
        <v>141.67348608837972</v>
      </c>
      <c r="AK15" s="40">
        <f t="shared" ca="1" si="6"/>
        <v>69.979541734860845</v>
      </c>
      <c r="AL15" s="40">
        <f t="shared" ca="1" si="7"/>
        <v>211.65302782324056</v>
      </c>
      <c r="AM15" s="40">
        <f t="shared" ca="1" si="8"/>
        <v>353.32651391162028</v>
      </c>
      <c r="AN15" s="40">
        <f t="shared" ca="1" si="9"/>
        <v>495</v>
      </c>
      <c r="AO15" s="40">
        <f t="shared" ca="1" si="0"/>
        <v>636.67348608837972</v>
      </c>
      <c r="AP15" s="40">
        <f t="shared" ca="1" si="1"/>
        <v>778.34697217675944</v>
      </c>
      <c r="AQ15" s="40">
        <f t="shared" ca="1" si="2"/>
        <v>920.02045826513915</v>
      </c>
      <c r="AR15" s="5">
        <f t="shared" ca="1" si="10"/>
        <v>551.5</v>
      </c>
      <c r="AS15" s="5">
        <f t="shared" ca="1" si="3"/>
        <v>664</v>
      </c>
      <c r="AT15" s="5">
        <f t="shared" ca="1" si="11"/>
        <v>0</v>
      </c>
    </row>
    <row r="16" spans="1:46" x14ac:dyDescent="0.2">
      <c r="A16" s="68">
        <f>Demand!C13</f>
        <v>13</v>
      </c>
      <c r="B16" s="68">
        <v>1</v>
      </c>
      <c r="C16" s="5">
        <f ca="1">'Demand background (hide)'!Y4</f>
        <v>390</v>
      </c>
      <c r="D16" s="68">
        <f>IF(AND($B16&gt;=$C$4,$B16&lt;=$D$5+$C$5-1),1,0)</f>
        <v>0</v>
      </c>
      <c r="E16" s="68" t="e">
        <f ca="1">IF(AND($B16&gt;=$D$6,$B16&lt;=$D$7+$C$7-1),1,0)</f>
        <v>#N/A</v>
      </c>
      <c r="F16" s="68" t="e">
        <f ca="1">IF(AND($B16&gt;=$D$8,$B16&lt;=$D$9+$C$9-1),1,0)</f>
        <v>#N/A</v>
      </c>
      <c r="G16" s="68" t="e">
        <f ca="1">IF(AND($B16&gt;=$D$10,$B16&lt;=$D$11+$C$11-1),1,0)</f>
        <v>#N/A</v>
      </c>
      <c r="H16" s="68" t="e">
        <f>IF('Demand background (hide)'!AN4&lt;&gt;"",'SPC background (hide)'!C16,NA())</f>
        <v>#N/A</v>
      </c>
      <c r="I16" s="68">
        <f ca="1">VLOOKUP(A16,$AG$2:$AI$54,3,0)</f>
        <v>1</v>
      </c>
      <c r="J16" s="5">
        <f t="shared" ref="J16:P16" ca="1" si="13">VLOOKUP($A16,$AG$2:$AQ$54,COLUMN(E$1),0)</f>
        <v>69.979541734860845</v>
      </c>
      <c r="K16" s="5">
        <f t="shared" ca="1" si="13"/>
        <v>211.65302782324056</v>
      </c>
      <c r="L16" s="5">
        <f t="shared" ca="1" si="13"/>
        <v>353.32651391162028</v>
      </c>
      <c r="M16" s="5">
        <f t="shared" ca="1" si="13"/>
        <v>495</v>
      </c>
      <c r="N16" s="5">
        <f t="shared" ca="1" si="13"/>
        <v>636.67348608837972</v>
      </c>
      <c r="O16" s="5">
        <f t="shared" ca="1" si="13"/>
        <v>778.34697217675944</v>
      </c>
      <c r="P16" s="5">
        <f t="shared" ca="1" si="13"/>
        <v>920.02045826513915</v>
      </c>
      <c r="Q16" s="5" t="e">
        <f ca="1">IF(ISNA(H16)=TRUE,IF(OR(C16&gt;P16,C16&lt;J16),C16,NA()),NA())</f>
        <v>#N/A</v>
      </c>
      <c r="V16" s="5">
        <f t="shared" ref="V16:V79" ca="1" si="14">IF(C16&lt;M16,-1,IF(C16&gt;M16,1,0))</f>
        <v>-1</v>
      </c>
      <c r="W16" s="5" t="e">
        <f ca="1">IF(ISNA(H16)=TRUE,IF(ABS(SUM(V16:V24))=9,C16,NA()),NA())</f>
        <v>#N/A</v>
      </c>
      <c r="AA16" s="5" t="str">
        <f>IF(Setup!$I$15="Yes",'Demand background (hide)'!AJ4+'SPC background (hide)'!C16,"")</f>
        <v/>
      </c>
      <c r="AC16" s="5">
        <f ca="1">VLOOKUP($A16,$AG$2:$AS$54,12,0)</f>
        <v>551.5</v>
      </c>
      <c r="AD16" s="5">
        <f ca="1">VLOOKUP($A16,$AG$2:$AS$54,13,0)</f>
        <v>664</v>
      </c>
      <c r="AG16" s="68">
        <f t="shared" ca="1" si="12"/>
        <v>21</v>
      </c>
      <c r="AH16" s="68">
        <v>15</v>
      </c>
      <c r="AI16" s="68">
        <f t="shared" ca="1" si="4"/>
        <v>1</v>
      </c>
      <c r="AJ16" s="40">
        <f t="shared" ca="1" si="5"/>
        <v>141.67348608837972</v>
      </c>
      <c r="AK16" s="40">
        <f t="shared" ca="1" si="6"/>
        <v>69.979541734860845</v>
      </c>
      <c r="AL16" s="40">
        <f t="shared" ca="1" si="7"/>
        <v>211.65302782324056</v>
      </c>
      <c r="AM16" s="40">
        <f t="shared" ca="1" si="8"/>
        <v>353.32651391162028</v>
      </c>
      <c r="AN16" s="40">
        <f t="shared" ca="1" si="9"/>
        <v>495</v>
      </c>
      <c r="AO16" s="40">
        <f t="shared" ca="1" si="0"/>
        <v>636.67348608837972</v>
      </c>
      <c r="AP16" s="40">
        <f t="shared" ca="1" si="1"/>
        <v>778.34697217675944</v>
      </c>
      <c r="AQ16" s="40">
        <f t="shared" ca="1" si="2"/>
        <v>920.02045826513915</v>
      </c>
      <c r="AR16" s="5">
        <f t="shared" ca="1" si="10"/>
        <v>551.5</v>
      </c>
      <c r="AS16" s="5">
        <f t="shared" ca="1" si="3"/>
        <v>664</v>
      </c>
      <c r="AT16" s="5">
        <f t="shared" ca="1" si="11"/>
        <v>0</v>
      </c>
    </row>
    <row r="17" spans="1:46" x14ac:dyDescent="0.2">
      <c r="A17" s="68">
        <f ca="1">Demand!C14</f>
        <v>14</v>
      </c>
      <c r="B17" s="68">
        <v>2</v>
      </c>
      <c r="C17" s="5">
        <f ca="1">'Demand background (hide)'!Y5</f>
        <v>610</v>
      </c>
      <c r="D17" s="68">
        <f t="shared" ref="D17:D80" si="15">IF(AND($B17&gt;=$C$4,$B17&lt;=$D$5+$C$5-1),1,0)</f>
        <v>0</v>
      </c>
      <c r="E17" s="68" t="e">
        <f t="shared" ref="E17:E80" ca="1" si="16">IF(AND($B17&gt;=$D$6,$B17&lt;=$D$7+$C$7-1),1,0)</f>
        <v>#N/A</v>
      </c>
      <c r="F17" s="68" t="e">
        <f t="shared" ref="F17:F80" ca="1" si="17">IF(AND($B17&gt;=$D$8,$B17&lt;=$D$9+$C$9-1),1,0)</f>
        <v>#N/A</v>
      </c>
      <c r="G17" s="68" t="e">
        <f t="shared" ref="G17:G80" ca="1" si="18">IF(AND($B17&gt;=$D$10,$B17&lt;=$D$11+$C$11-1),1,0)</f>
        <v>#N/A</v>
      </c>
      <c r="H17" s="68" t="e">
        <f>IF('Demand background (hide)'!AN5&lt;&gt;"",'SPC background (hide)'!C17,NA())</f>
        <v>#N/A</v>
      </c>
      <c r="I17" s="68">
        <f t="shared" ref="I17:I80" ca="1" si="19">VLOOKUP(A17,$AG$2:$AI$54,3,0)</f>
        <v>1</v>
      </c>
      <c r="J17" s="5">
        <f t="shared" ref="J17:J80" ca="1" si="20">VLOOKUP($A17,$AG$2:$AQ$54,COLUMN(E$1),0)</f>
        <v>69.979541734860845</v>
      </c>
      <c r="K17" s="5">
        <f t="shared" ref="K17:K80" ca="1" si="21">VLOOKUP($A17,$AG$2:$AQ$54,COLUMN(F$1),0)</f>
        <v>211.65302782324056</v>
      </c>
      <c r="L17" s="5">
        <f t="shared" ref="L17:L80" ca="1" si="22">VLOOKUP($A17,$AG$2:$AQ$54,COLUMN(G$1),0)</f>
        <v>353.32651391162028</v>
      </c>
      <c r="M17" s="5">
        <f t="shared" ref="M17:M80" ca="1" si="23">VLOOKUP($A17,$AG$2:$AQ$54,COLUMN(H$1),0)</f>
        <v>495</v>
      </c>
      <c r="N17" s="5">
        <f t="shared" ref="N17:N80" ca="1" si="24">VLOOKUP($A17,$AG$2:$AQ$54,COLUMN(I$1),0)</f>
        <v>636.67348608837972</v>
      </c>
      <c r="O17" s="5">
        <f t="shared" ref="O17:O80" ca="1" si="25">VLOOKUP($A17,$AG$2:$AQ$54,COLUMN(J$1),0)</f>
        <v>778.34697217675944</v>
      </c>
      <c r="P17" s="5">
        <f t="shared" ref="P17:P80" ca="1" si="26">VLOOKUP($A17,$AG$2:$AQ$54,COLUMN(K$1),0)</f>
        <v>920.02045826513915</v>
      </c>
      <c r="Q17" s="5" t="e">
        <f t="shared" ref="Q17:Q80" ca="1" si="27">IF(ISNA(H17)=TRUE,IF(OR(C17&gt;P17,C17&lt;J17),C17,NA()),NA())</f>
        <v>#N/A</v>
      </c>
      <c r="R17" s="5">
        <f ca="1">IF(C17&gt;O17,2,IF(C17&lt;K17,-2,IF(C17&gt;M17,1,IF(C17&lt;M17,-1,0))))</f>
        <v>1</v>
      </c>
      <c r="S17" s="68" t="e">
        <f ca="1">IF(ISNA(H17),IF(ABS(SUM(R17:R19))&gt;=5,C17,NA()),NA())</f>
        <v>#N/A</v>
      </c>
      <c r="T17" s="68">
        <f ca="1">IF(C17&gt;N17,2,IF(C17&lt;L17,-2,IF(C17&gt;M17,1,IF(C17&lt;M17,-1,0))))</f>
        <v>1</v>
      </c>
      <c r="U17" s="68" t="e">
        <f ca="1">IF(ISNA(H17)=TRUE,IF(ABS(SUM(T17:T21))&gt;=9,C17,NA()),NA())</f>
        <v>#N/A</v>
      </c>
      <c r="V17" s="5">
        <f t="shared" ca="1" si="14"/>
        <v>1</v>
      </c>
      <c r="W17" s="5" t="e">
        <f t="shared" ref="W17:W80" ca="1" si="28">IF(ISNA(H17)=TRUE,IF(ABS(SUM(V17:V25))=9,C17,NA()),NA())</f>
        <v>#N/A</v>
      </c>
      <c r="X17" s="68">
        <f t="shared" ref="X17:X80" ca="1" si="29">IF(C17&gt;C16,1,IF(C17&lt;C16,-1,0))</f>
        <v>1</v>
      </c>
      <c r="Y17" s="68" t="e">
        <f ca="1">IF(ISNA(H17)=TRUE,IF(ABS(SUM(X17:X22))=6,C17,NA()),NA())</f>
        <v>#N/A</v>
      </c>
      <c r="Z17" s="68" t="e">
        <f ca="1">IF(ISNA(H17)=TRUE,IF(AND(ABS(SUM(T17:T24))=8,SUM(T17:T24)&lt;ABS(SUM(T17:T24))),C17,NA()),NA())</f>
        <v>#N/A</v>
      </c>
      <c r="AA17" s="5" t="str">
        <f>IF(Setup!$I$15="Yes",'Demand background (hide)'!AJ5+'SPC background (hide)'!C17,"")</f>
        <v/>
      </c>
      <c r="AC17" s="5">
        <f t="shared" ref="AC17:AC80" ca="1" si="30">VLOOKUP($A17,$AG$2:$AS$54,12,0)</f>
        <v>551.5</v>
      </c>
      <c r="AD17" s="5">
        <f t="shared" ref="AD17:AD80" ca="1" si="31">VLOOKUP($A17,$AG$2:$AS$54,13,0)</f>
        <v>664</v>
      </c>
      <c r="AG17" s="68">
        <f t="shared" ca="1" si="12"/>
        <v>22</v>
      </c>
      <c r="AH17" s="68">
        <v>16</v>
      </c>
      <c r="AI17" s="68">
        <f t="shared" ca="1" si="4"/>
        <v>1</v>
      </c>
      <c r="AJ17" s="40">
        <f t="shared" ca="1" si="5"/>
        <v>141.67348608837972</v>
      </c>
      <c r="AK17" s="40">
        <f t="shared" ca="1" si="6"/>
        <v>69.979541734860845</v>
      </c>
      <c r="AL17" s="40">
        <f t="shared" ca="1" si="7"/>
        <v>211.65302782324056</v>
      </c>
      <c r="AM17" s="40">
        <f t="shared" ca="1" si="8"/>
        <v>353.32651391162028</v>
      </c>
      <c r="AN17" s="40">
        <f t="shared" ca="1" si="9"/>
        <v>495</v>
      </c>
      <c r="AO17" s="40">
        <f t="shared" ca="1" si="0"/>
        <v>636.67348608837972</v>
      </c>
      <c r="AP17" s="40">
        <f t="shared" ca="1" si="1"/>
        <v>778.34697217675944</v>
      </c>
      <c r="AQ17" s="40">
        <f t="shared" ca="1" si="2"/>
        <v>920.02045826513915</v>
      </c>
      <c r="AR17" s="5">
        <f t="shared" ca="1" si="10"/>
        <v>551.5</v>
      </c>
      <c r="AS17" s="5">
        <f t="shared" ca="1" si="3"/>
        <v>664</v>
      </c>
      <c r="AT17" s="5">
        <f t="shared" ca="1" si="11"/>
        <v>0</v>
      </c>
    </row>
    <row r="18" spans="1:46" x14ac:dyDescent="0.2">
      <c r="A18" s="68">
        <f ca="1">Demand!C15</f>
        <v>15</v>
      </c>
      <c r="B18" s="68">
        <v>3</v>
      </c>
      <c r="C18" s="5">
        <f ca="1">'Demand background (hide)'!Y6</f>
        <v>380</v>
      </c>
      <c r="D18" s="68">
        <f t="shared" si="15"/>
        <v>0</v>
      </c>
      <c r="E18" s="68" t="e">
        <f t="shared" ca="1" si="16"/>
        <v>#N/A</v>
      </c>
      <c r="F18" s="68" t="e">
        <f t="shared" ca="1" si="17"/>
        <v>#N/A</v>
      </c>
      <c r="G18" s="68" t="e">
        <f t="shared" ca="1" si="18"/>
        <v>#N/A</v>
      </c>
      <c r="H18" s="68" t="e">
        <f>IF('Demand background (hide)'!AN6&lt;&gt;"",'SPC background (hide)'!C18,NA())</f>
        <v>#N/A</v>
      </c>
      <c r="I18" s="68">
        <f t="shared" ca="1" si="19"/>
        <v>1</v>
      </c>
      <c r="J18" s="5">
        <f t="shared" ca="1" si="20"/>
        <v>69.979541734860845</v>
      </c>
      <c r="K18" s="5">
        <f t="shared" ca="1" si="21"/>
        <v>211.65302782324056</v>
      </c>
      <c r="L18" s="5">
        <f t="shared" ca="1" si="22"/>
        <v>353.32651391162028</v>
      </c>
      <c r="M18" s="5">
        <f t="shared" ca="1" si="23"/>
        <v>495</v>
      </c>
      <c r="N18" s="5">
        <f t="shared" ca="1" si="24"/>
        <v>636.67348608837972</v>
      </c>
      <c r="O18" s="5">
        <f t="shared" ca="1" si="25"/>
        <v>778.34697217675944</v>
      </c>
      <c r="P18" s="5">
        <f t="shared" ca="1" si="26"/>
        <v>920.02045826513915</v>
      </c>
      <c r="Q18" s="5" t="e">
        <f t="shared" ca="1" si="27"/>
        <v>#N/A</v>
      </c>
      <c r="R18" s="5">
        <f t="shared" ref="R18:R81" ca="1" si="32">IF(C18&gt;O18,2,IF(C18&lt;K18,-2,IF(C18&gt;M18,1,IF(C18&lt;M18,-1,0))))</f>
        <v>-1</v>
      </c>
      <c r="S18" s="68" t="e">
        <f t="shared" ref="S18:S81" ca="1" si="33">IF(ISNA(H18),IF(ABS(SUM(R18:R20))&gt;=5,C18,NA()),NA())</f>
        <v>#N/A</v>
      </c>
      <c r="T18" s="68">
        <f t="shared" ref="T18:T81" ca="1" si="34">IF(C18&gt;N18,2,IF(C18&lt;L18,-2,IF(C18&gt;M18,1,IF(C18&lt;M18,-1,0))))</f>
        <v>-1</v>
      </c>
      <c r="U18" s="68" t="e">
        <f t="shared" ref="U18:U81" ca="1" si="35">IF(ISNA(H18)=TRUE,IF(ABS(SUM(T18:T22))&gt;=9,C18,NA()),NA())</f>
        <v>#N/A</v>
      </c>
      <c r="V18" s="5">
        <f t="shared" ca="1" si="14"/>
        <v>-1</v>
      </c>
      <c r="W18" s="5" t="e">
        <f t="shared" ca="1" si="28"/>
        <v>#N/A</v>
      </c>
      <c r="X18" s="68">
        <f t="shared" ca="1" si="29"/>
        <v>-1</v>
      </c>
      <c r="Y18" s="68" t="e">
        <f t="shared" ref="Y18:Y81" ca="1" si="36">IF(ISNA(H18)=TRUE,IF(ABS(SUM(X18:X23))=6,C18,NA()),NA())</f>
        <v>#N/A</v>
      </c>
      <c r="Z18" s="68" t="e">
        <f t="shared" ref="Z18:Z81" ca="1" si="37">IF(ISNA(H18)=TRUE,IF(AND(ABS(SUM(T18:T25))=8,SUM(T18:T25)&lt;ABS(SUM(T18:T25))),C18,NA()),NA())</f>
        <v>#N/A</v>
      </c>
      <c r="AA18" s="5" t="str">
        <f>IF(Setup!$I$15="Yes",'Demand background (hide)'!AJ6+'SPC background (hide)'!C18,"")</f>
        <v/>
      </c>
      <c r="AC18" s="5">
        <f t="shared" ca="1" si="30"/>
        <v>551.5</v>
      </c>
      <c r="AD18" s="5">
        <f t="shared" ca="1" si="31"/>
        <v>664</v>
      </c>
      <c r="AG18" s="68">
        <f t="shared" ca="1" si="12"/>
        <v>23</v>
      </c>
      <c r="AH18" s="68">
        <v>17</v>
      </c>
      <c r="AI18" s="68">
        <f t="shared" ca="1" si="4"/>
        <v>1</v>
      </c>
      <c r="AJ18" s="40">
        <f t="shared" ca="1" si="5"/>
        <v>141.67348608837972</v>
      </c>
      <c r="AK18" s="40">
        <f t="shared" ca="1" si="6"/>
        <v>69.979541734860845</v>
      </c>
      <c r="AL18" s="40">
        <f t="shared" ca="1" si="7"/>
        <v>211.65302782324056</v>
      </c>
      <c r="AM18" s="40">
        <f t="shared" ca="1" si="8"/>
        <v>353.32651391162028</v>
      </c>
      <c r="AN18" s="40">
        <f t="shared" ca="1" si="9"/>
        <v>495</v>
      </c>
      <c r="AO18" s="40">
        <f t="shared" ca="1" si="0"/>
        <v>636.67348608837972</v>
      </c>
      <c r="AP18" s="40">
        <f t="shared" ca="1" si="1"/>
        <v>778.34697217675944</v>
      </c>
      <c r="AQ18" s="40">
        <f t="shared" ca="1" si="2"/>
        <v>920.02045826513915</v>
      </c>
      <c r="AR18" s="5">
        <f t="shared" ca="1" si="10"/>
        <v>551.5</v>
      </c>
      <c r="AS18" s="5">
        <f t="shared" ca="1" si="3"/>
        <v>664</v>
      </c>
      <c r="AT18" s="5">
        <f t="shared" ca="1" si="11"/>
        <v>0</v>
      </c>
    </row>
    <row r="19" spans="1:46" x14ac:dyDescent="0.2">
      <c r="A19" s="68">
        <f ca="1">Demand!C16</f>
        <v>16</v>
      </c>
      <c r="B19" s="68">
        <v>4</v>
      </c>
      <c r="C19" s="5">
        <f ca="1">'Demand background (hide)'!Y7</f>
        <v>750</v>
      </c>
      <c r="D19" s="68">
        <f t="shared" si="15"/>
        <v>0</v>
      </c>
      <c r="E19" s="68" t="e">
        <f t="shared" ca="1" si="16"/>
        <v>#N/A</v>
      </c>
      <c r="F19" s="68" t="e">
        <f t="shared" ca="1" si="17"/>
        <v>#N/A</v>
      </c>
      <c r="G19" s="68" t="e">
        <f t="shared" ca="1" si="18"/>
        <v>#N/A</v>
      </c>
      <c r="H19" s="68" t="e">
        <f>IF('Demand background (hide)'!AN7&lt;&gt;"",'SPC background (hide)'!C19,NA())</f>
        <v>#N/A</v>
      </c>
      <c r="I19" s="68">
        <f t="shared" ca="1" si="19"/>
        <v>1</v>
      </c>
      <c r="J19" s="5">
        <f t="shared" ca="1" si="20"/>
        <v>69.979541734860845</v>
      </c>
      <c r="K19" s="5">
        <f t="shared" ca="1" si="21"/>
        <v>211.65302782324056</v>
      </c>
      <c r="L19" s="5">
        <f t="shared" ca="1" si="22"/>
        <v>353.32651391162028</v>
      </c>
      <c r="M19" s="5">
        <f t="shared" ca="1" si="23"/>
        <v>495</v>
      </c>
      <c r="N19" s="5">
        <f t="shared" ca="1" si="24"/>
        <v>636.67348608837972</v>
      </c>
      <c r="O19" s="5">
        <f t="shared" ca="1" si="25"/>
        <v>778.34697217675944</v>
      </c>
      <c r="P19" s="5">
        <f t="shared" ca="1" si="26"/>
        <v>920.02045826513915</v>
      </c>
      <c r="Q19" s="5" t="e">
        <f t="shared" ca="1" si="27"/>
        <v>#N/A</v>
      </c>
      <c r="R19" s="5">
        <f t="shared" ca="1" si="32"/>
        <v>1</v>
      </c>
      <c r="S19" s="68" t="e">
        <f t="shared" ca="1" si="33"/>
        <v>#N/A</v>
      </c>
      <c r="T19" s="68">
        <f t="shared" ca="1" si="34"/>
        <v>2</v>
      </c>
      <c r="U19" s="68" t="e">
        <f t="shared" ca="1" si="35"/>
        <v>#N/A</v>
      </c>
      <c r="V19" s="5">
        <f t="shared" ca="1" si="14"/>
        <v>1</v>
      </c>
      <c r="W19" s="5" t="e">
        <f t="shared" ca="1" si="28"/>
        <v>#N/A</v>
      </c>
      <c r="X19" s="68">
        <f t="shared" ca="1" si="29"/>
        <v>1</v>
      </c>
      <c r="Y19" s="68" t="e">
        <f t="shared" ca="1" si="36"/>
        <v>#N/A</v>
      </c>
      <c r="Z19" s="68" t="e">
        <f t="shared" ca="1" si="37"/>
        <v>#N/A</v>
      </c>
      <c r="AA19" s="5" t="str">
        <f>IF(Setup!$I$15="Yes",'Demand background (hide)'!AJ7+'SPC background (hide)'!C19,"")</f>
        <v/>
      </c>
      <c r="AC19" s="5">
        <f t="shared" ca="1" si="30"/>
        <v>551.5</v>
      </c>
      <c r="AD19" s="5">
        <f t="shared" ca="1" si="31"/>
        <v>664</v>
      </c>
      <c r="AG19" s="68">
        <f t="shared" ca="1" si="12"/>
        <v>24</v>
      </c>
      <c r="AH19" s="68">
        <v>18</v>
      </c>
      <c r="AI19" s="68">
        <f t="shared" ca="1" si="4"/>
        <v>1</v>
      </c>
      <c r="AJ19" s="40">
        <f t="shared" ca="1" si="5"/>
        <v>141.67348608837972</v>
      </c>
      <c r="AK19" s="40">
        <f t="shared" ca="1" si="6"/>
        <v>69.979541734860845</v>
      </c>
      <c r="AL19" s="40">
        <f t="shared" ca="1" si="7"/>
        <v>211.65302782324056</v>
      </c>
      <c r="AM19" s="40">
        <f t="shared" ca="1" si="8"/>
        <v>353.32651391162028</v>
      </c>
      <c r="AN19" s="40">
        <f t="shared" ca="1" si="9"/>
        <v>495</v>
      </c>
      <c r="AO19" s="40">
        <f t="shared" ca="1" si="0"/>
        <v>636.67348608837972</v>
      </c>
      <c r="AP19" s="40">
        <f t="shared" ca="1" si="1"/>
        <v>778.34697217675944</v>
      </c>
      <c r="AQ19" s="40">
        <f t="shared" ca="1" si="2"/>
        <v>920.02045826513915</v>
      </c>
      <c r="AR19" s="5">
        <f t="shared" ca="1" si="10"/>
        <v>551.5</v>
      </c>
      <c r="AS19" s="5">
        <f t="shared" ca="1" si="3"/>
        <v>664</v>
      </c>
      <c r="AT19" s="5">
        <f t="shared" ca="1" si="11"/>
        <v>0</v>
      </c>
    </row>
    <row r="20" spans="1:46" x14ac:dyDescent="0.2">
      <c r="A20" s="68">
        <f ca="1">Demand!C17</f>
        <v>17</v>
      </c>
      <c r="B20" s="68">
        <v>5</v>
      </c>
      <c r="C20" s="5">
        <f ca="1">'Demand background (hide)'!Y8</f>
        <v>490</v>
      </c>
      <c r="D20" s="68">
        <f t="shared" si="15"/>
        <v>0</v>
      </c>
      <c r="E20" s="68" t="e">
        <f t="shared" ca="1" si="16"/>
        <v>#N/A</v>
      </c>
      <c r="F20" s="68" t="e">
        <f t="shared" ca="1" si="17"/>
        <v>#N/A</v>
      </c>
      <c r="G20" s="68" t="e">
        <f t="shared" ca="1" si="18"/>
        <v>#N/A</v>
      </c>
      <c r="H20" s="68" t="e">
        <f>IF('Demand background (hide)'!AN8&lt;&gt;"",'SPC background (hide)'!C20,NA())</f>
        <v>#N/A</v>
      </c>
      <c r="I20" s="68">
        <f t="shared" ca="1" si="19"/>
        <v>1</v>
      </c>
      <c r="J20" s="5">
        <f t="shared" ca="1" si="20"/>
        <v>69.979541734860845</v>
      </c>
      <c r="K20" s="5">
        <f t="shared" ca="1" si="21"/>
        <v>211.65302782324056</v>
      </c>
      <c r="L20" s="5">
        <f t="shared" ca="1" si="22"/>
        <v>353.32651391162028</v>
      </c>
      <c r="M20" s="5">
        <f t="shared" ca="1" si="23"/>
        <v>495</v>
      </c>
      <c r="N20" s="5">
        <f t="shared" ca="1" si="24"/>
        <v>636.67348608837972</v>
      </c>
      <c r="O20" s="5">
        <f t="shared" ca="1" si="25"/>
        <v>778.34697217675944</v>
      </c>
      <c r="P20" s="5">
        <f t="shared" ca="1" si="26"/>
        <v>920.02045826513915</v>
      </c>
      <c r="Q20" s="5" t="e">
        <f t="shared" ca="1" si="27"/>
        <v>#N/A</v>
      </c>
      <c r="R20" s="5">
        <f t="shared" ca="1" si="32"/>
        <v>-1</v>
      </c>
      <c r="S20" s="68" t="e">
        <f t="shared" ca="1" si="33"/>
        <v>#N/A</v>
      </c>
      <c r="T20" s="68">
        <f t="shared" ca="1" si="34"/>
        <v>-1</v>
      </c>
      <c r="U20" s="68" t="e">
        <f t="shared" ca="1" si="35"/>
        <v>#N/A</v>
      </c>
      <c r="V20" s="5">
        <f t="shared" ca="1" si="14"/>
        <v>-1</v>
      </c>
      <c r="W20" s="5" t="e">
        <f t="shared" ca="1" si="28"/>
        <v>#N/A</v>
      </c>
      <c r="X20" s="68">
        <f t="shared" ca="1" si="29"/>
        <v>-1</v>
      </c>
      <c r="Y20" s="68" t="e">
        <f t="shared" ca="1" si="36"/>
        <v>#N/A</v>
      </c>
      <c r="Z20" s="68" t="e">
        <f t="shared" ca="1" si="37"/>
        <v>#N/A</v>
      </c>
      <c r="AA20" s="5" t="str">
        <f>IF(Setup!$I$15="Yes",'Demand background (hide)'!AJ8+'SPC background (hide)'!C20,"")</f>
        <v/>
      </c>
      <c r="AC20" s="5">
        <f t="shared" ca="1" si="30"/>
        <v>551.5</v>
      </c>
      <c r="AD20" s="5">
        <f t="shared" ca="1" si="31"/>
        <v>664</v>
      </c>
      <c r="AG20" s="68">
        <f t="shared" ca="1" si="12"/>
        <v>25</v>
      </c>
      <c r="AH20" s="68">
        <v>19</v>
      </c>
      <c r="AI20" s="68">
        <f t="shared" ca="1" si="4"/>
        <v>1</v>
      </c>
      <c r="AJ20" s="40">
        <f t="shared" ca="1" si="5"/>
        <v>141.67348608837972</v>
      </c>
      <c r="AK20" s="40">
        <f t="shared" ca="1" si="6"/>
        <v>69.979541734860845</v>
      </c>
      <c r="AL20" s="40">
        <f t="shared" ca="1" si="7"/>
        <v>211.65302782324056</v>
      </c>
      <c r="AM20" s="40">
        <f t="shared" ca="1" si="8"/>
        <v>353.32651391162028</v>
      </c>
      <c r="AN20" s="40">
        <f t="shared" ca="1" si="9"/>
        <v>495</v>
      </c>
      <c r="AO20" s="40">
        <f t="shared" ca="1" si="0"/>
        <v>636.67348608837972</v>
      </c>
      <c r="AP20" s="40">
        <f t="shared" ca="1" si="1"/>
        <v>778.34697217675944</v>
      </c>
      <c r="AQ20" s="40">
        <f t="shared" ca="1" si="2"/>
        <v>920.02045826513915</v>
      </c>
      <c r="AR20" s="5">
        <f t="shared" ca="1" si="10"/>
        <v>551.5</v>
      </c>
      <c r="AS20" s="5">
        <f t="shared" ca="1" si="3"/>
        <v>664</v>
      </c>
      <c r="AT20" s="5">
        <f t="shared" ca="1" si="11"/>
        <v>0</v>
      </c>
    </row>
    <row r="21" spans="1:46" x14ac:dyDescent="0.2">
      <c r="A21" s="68">
        <f ca="1">Demand!C18</f>
        <v>18</v>
      </c>
      <c r="B21" s="68">
        <v>6</v>
      </c>
      <c r="C21" s="5">
        <f ca="1">'Demand background (hide)'!Y9</f>
        <v>400</v>
      </c>
      <c r="D21" s="68">
        <f t="shared" si="15"/>
        <v>0</v>
      </c>
      <c r="E21" s="68" t="e">
        <f t="shared" ca="1" si="16"/>
        <v>#N/A</v>
      </c>
      <c r="F21" s="68" t="e">
        <f t="shared" ca="1" si="17"/>
        <v>#N/A</v>
      </c>
      <c r="G21" s="68" t="e">
        <f t="shared" ca="1" si="18"/>
        <v>#N/A</v>
      </c>
      <c r="H21" s="68" t="e">
        <f>IF('Demand background (hide)'!AN9&lt;&gt;"",'SPC background (hide)'!C21,NA())</f>
        <v>#N/A</v>
      </c>
      <c r="I21" s="68">
        <f t="shared" ca="1" si="19"/>
        <v>1</v>
      </c>
      <c r="J21" s="5">
        <f t="shared" ca="1" si="20"/>
        <v>69.979541734860845</v>
      </c>
      <c r="K21" s="5">
        <f t="shared" ca="1" si="21"/>
        <v>211.65302782324056</v>
      </c>
      <c r="L21" s="5">
        <f t="shared" ca="1" si="22"/>
        <v>353.32651391162028</v>
      </c>
      <c r="M21" s="5">
        <f t="shared" ca="1" si="23"/>
        <v>495</v>
      </c>
      <c r="N21" s="5">
        <f t="shared" ca="1" si="24"/>
        <v>636.67348608837972</v>
      </c>
      <c r="O21" s="5">
        <f t="shared" ca="1" si="25"/>
        <v>778.34697217675944</v>
      </c>
      <c r="P21" s="5">
        <f t="shared" ca="1" si="26"/>
        <v>920.02045826513915</v>
      </c>
      <c r="Q21" s="5" t="e">
        <f t="shared" ca="1" si="27"/>
        <v>#N/A</v>
      </c>
      <c r="R21" s="5">
        <f t="shared" ca="1" si="32"/>
        <v>-1</v>
      </c>
      <c r="S21" s="68" t="e">
        <f t="shared" ca="1" si="33"/>
        <v>#N/A</v>
      </c>
      <c r="T21" s="68">
        <f t="shared" ca="1" si="34"/>
        <v>-1</v>
      </c>
      <c r="U21" s="68" t="e">
        <f t="shared" ca="1" si="35"/>
        <v>#N/A</v>
      </c>
      <c r="V21" s="5">
        <f t="shared" ca="1" si="14"/>
        <v>-1</v>
      </c>
      <c r="W21" s="5" t="e">
        <f t="shared" ca="1" si="28"/>
        <v>#N/A</v>
      </c>
      <c r="X21" s="68">
        <f t="shared" ca="1" si="29"/>
        <v>-1</v>
      </c>
      <c r="Y21" s="68" t="e">
        <f t="shared" ca="1" si="36"/>
        <v>#N/A</v>
      </c>
      <c r="Z21" s="68" t="e">
        <f t="shared" ca="1" si="37"/>
        <v>#N/A</v>
      </c>
      <c r="AA21" s="5" t="str">
        <f>IF(Setup!$I$15="Yes",'Demand background (hide)'!AJ9+'SPC background (hide)'!C21,"")</f>
        <v/>
      </c>
      <c r="AC21" s="5">
        <f t="shared" ca="1" si="30"/>
        <v>551.5</v>
      </c>
      <c r="AD21" s="5">
        <f t="shared" ca="1" si="31"/>
        <v>664</v>
      </c>
      <c r="AG21" s="68">
        <f t="shared" ca="1" si="12"/>
        <v>26</v>
      </c>
      <c r="AH21" s="68">
        <v>20</v>
      </c>
      <c r="AI21" s="68">
        <f t="shared" ca="1" si="4"/>
        <v>1</v>
      </c>
      <c r="AJ21" s="40">
        <f t="shared" ca="1" si="5"/>
        <v>141.67348608837972</v>
      </c>
      <c r="AK21" s="40">
        <f t="shared" ca="1" si="6"/>
        <v>69.979541734860845</v>
      </c>
      <c r="AL21" s="40">
        <f t="shared" ca="1" si="7"/>
        <v>211.65302782324056</v>
      </c>
      <c r="AM21" s="40">
        <f t="shared" ca="1" si="8"/>
        <v>353.32651391162028</v>
      </c>
      <c r="AN21" s="40">
        <f t="shared" ca="1" si="9"/>
        <v>495</v>
      </c>
      <c r="AO21" s="40">
        <f t="shared" ca="1" si="0"/>
        <v>636.67348608837972</v>
      </c>
      <c r="AP21" s="40">
        <f t="shared" ca="1" si="1"/>
        <v>778.34697217675944</v>
      </c>
      <c r="AQ21" s="40">
        <f t="shared" ca="1" si="2"/>
        <v>920.02045826513915</v>
      </c>
      <c r="AR21" s="5">
        <f t="shared" ca="1" si="10"/>
        <v>551.5</v>
      </c>
      <c r="AS21" s="5">
        <f t="shared" ca="1" si="3"/>
        <v>664</v>
      </c>
      <c r="AT21" s="5">
        <f t="shared" ca="1" si="11"/>
        <v>0</v>
      </c>
    </row>
    <row r="22" spans="1:46" x14ac:dyDescent="0.2">
      <c r="A22" s="68">
        <f ca="1">Demand!C19</f>
        <v>19</v>
      </c>
      <c r="B22" s="68">
        <v>7</v>
      </c>
      <c r="C22" s="5">
        <f ca="1">'Demand background (hide)'!Y10</f>
        <v>590</v>
      </c>
      <c r="D22" s="68">
        <f t="shared" si="15"/>
        <v>0</v>
      </c>
      <c r="E22" s="68" t="e">
        <f t="shared" ca="1" si="16"/>
        <v>#N/A</v>
      </c>
      <c r="F22" s="68" t="e">
        <f t="shared" ca="1" si="17"/>
        <v>#N/A</v>
      </c>
      <c r="G22" s="68" t="e">
        <f t="shared" ca="1" si="18"/>
        <v>#N/A</v>
      </c>
      <c r="H22" s="68" t="e">
        <f>IF('Demand background (hide)'!AN10&lt;&gt;"",'SPC background (hide)'!C22,NA())</f>
        <v>#N/A</v>
      </c>
      <c r="I22" s="68">
        <f t="shared" ca="1" si="19"/>
        <v>1</v>
      </c>
      <c r="J22" s="5">
        <f t="shared" ca="1" si="20"/>
        <v>69.979541734860845</v>
      </c>
      <c r="K22" s="5">
        <f t="shared" ca="1" si="21"/>
        <v>211.65302782324056</v>
      </c>
      <c r="L22" s="5">
        <f t="shared" ca="1" si="22"/>
        <v>353.32651391162028</v>
      </c>
      <c r="M22" s="5">
        <f t="shared" ca="1" si="23"/>
        <v>495</v>
      </c>
      <c r="N22" s="5">
        <f t="shared" ca="1" si="24"/>
        <v>636.67348608837972</v>
      </c>
      <c r="O22" s="5">
        <f t="shared" ca="1" si="25"/>
        <v>778.34697217675944</v>
      </c>
      <c r="P22" s="5">
        <f t="shared" ca="1" si="26"/>
        <v>920.02045826513915</v>
      </c>
      <c r="Q22" s="5" t="e">
        <f t="shared" ca="1" si="27"/>
        <v>#N/A</v>
      </c>
      <c r="R22" s="5">
        <f t="shared" ca="1" si="32"/>
        <v>1</v>
      </c>
      <c r="S22" s="68" t="e">
        <f t="shared" ca="1" si="33"/>
        <v>#N/A</v>
      </c>
      <c r="T22" s="68">
        <f t="shared" ca="1" si="34"/>
        <v>1</v>
      </c>
      <c r="U22" s="68" t="e">
        <f t="shared" ca="1" si="35"/>
        <v>#N/A</v>
      </c>
      <c r="V22" s="5">
        <f t="shared" ca="1" si="14"/>
        <v>1</v>
      </c>
      <c r="W22" s="5" t="e">
        <f t="shared" ca="1" si="28"/>
        <v>#N/A</v>
      </c>
      <c r="X22" s="68">
        <f t="shared" ca="1" si="29"/>
        <v>1</v>
      </c>
      <c r="Y22" s="68" t="e">
        <f t="shared" ca="1" si="36"/>
        <v>#N/A</v>
      </c>
      <c r="Z22" s="68" t="e">
        <f t="shared" ca="1" si="37"/>
        <v>#N/A</v>
      </c>
      <c r="AA22" s="5" t="str">
        <f>IF(Setup!$I$15="Yes",'Demand background (hide)'!AJ10+'SPC background (hide)'!C22,"")</f>
        <v/>
      </c>
      <c r="AC22" s="5">
        <f t="shared" ca="1" si="30"/>
        <v>551.5</v>
      </c>
      <c r="AD22" s="5">
        <f t="shared" ca="1" si="31"/>
        <v>664</v>
      </c>
      <c r="AG22" s="68">
        <f t="shared" ca="1" si="12"/>
        <v>27</v>
      </c>
      <c r="AH22" s="68">
        <v>21</v>
      </c>
      <c r="AI22" s="68">
        <f t="shared" ca="1" si="4"/>
        <v>1</v>
      </c>
      <c r="AJ22" s="40">
        <f t="shared" ca="1" si="5"/>
        <v>141.67348608837972</v>
      </c>
      <c r="AK22" s="40">
        <f t="shared" ca="1" si="6"/>
        <v>69.979541734860845</v>
      </c>
      <c r="AL22" s="40">
        <f t="shared" ca="1" si="7"/>
        <v>211.65302782324056</v>
      </c>
      <c r="AM22" s="40">
        <f t="shared" ca="1" si="8"/>
        <v>353.32651391162028</v>
      </c>
      <c r="AN22" s="40">
        <f t="shared" ca="1" si="9"/>
        <v>495</v>
      </c>
      <c r="AO22" s="40">
        <f t="shared" ca="1" si="0"/>
        <v>636.67348608837972</v>
      </c>
      <c r="AP22" s="40">
        <f t="shared" ca="1" si="1"/>
        <v>778.34697217675944</v>
      </c>
      <c r="AQ22" s="40">
        <f t="shared" ca="1" si="2"/>
        <v>920.02045826513915</v>
      </c>
      <c r="AR22" s="5">
        <f t="shared" ca="1" si="10"/>
        <v>551.5</v>
      </c>
      <c r="AS22" s="5">
        <f t="shared" ca="1" si="3"/>
        <v>664</v>
      </c>
      <c r="AT22" s="5">
        <f t="shared" ca="1" si="11"/>
        <v>0</v>
      </c>
    </row>
    <row r="23" spans="1:46" x14ac:dyDescent="0.2">
      <c r="A23" s="68">
        <f ca="1">Demand!C20</f>
        <v>20</v>
      </c>
      <c r="B23" s="68">
        <v>8</v>
      </c>
      <c r="C23" s="5">
        <f ca="1">'Demand background (hide)'!Y11</f>
        <v>450</v>
      </c>
      <c r="D23" s="68">
        <f t="shared" si="15"/>
        <v>0</v>
      </c>
      <c r="E23" s="68" t="e">
        <f t="shared" ca="1" si="16"/>
        <v>#N/A</v>
      </c>
      <c r="F23" s="68" t="e">
        <f t="shared" ca="1" si="17"/>
        <v>#N/A</v>
      </c>
      <c r="G23" s="68" t="e">
        <f t="shared" ca="1" si="18"/>
        <v>#N/A</v>
      </c>
      <c r="H23" s="68" t="e">
        <f>IF('Demand background (hide)'!AN11&lt;&gt;"",'SPC background (hide)'!C23,NA())</f>
        <v>#N/A</v>
      </c>
      <c r="I23" s="68">
        <f t="shared" ca="1" si="19"/>
        <v>1</v>
      </c>
      <c r="J23" s="5">
        <f t="shared" ca="1" si="20"/>
        <v>69.979541734860845</v>
      </c>
      <c r="K23" s="5">
        <f t="shared" ca="1" si="21"/>
        <v>211.65302782324056</v>
      </c>
      <c r="L23" s="5">
        <f t="shared" ca="1" si="22"/>
        <v>353.32651391162028</v>
      </c>
      <c r="M23" s="5">
        <f t="shared" ca="1" si="23"/>
        <v>495</v>
      </c>
      <c r="N23" s="5">
        <f t="shared" ca="1" si="24"/>
        <v>636.67348608837972</v>
      </c>
      <c r="O23" s="5">
        <f t="shared" ca="1" si="25"/>
        <v>778.34697217675944</v>
      </c>
      <c r="P23" s="5">
        <f t="shared" ca="1" si="26"/>
        <v>920.02045826513915</v>
      </c>
      <c r="Q23" s="5" t="e">
        <f t="shared" ca="1" si="27"/>
        <v>#N/A</v>
      </c>
      <c r="R23" s="5">
        <f t="shared" ca="1" si="32"/>
        <v>-1</v>
      </c>
      <c r="S23" s="68" t="e">
        <f t="shared" ca="1" si="33"/>
        <v>#N/A</v>
      </c>
      <c r="T23" s="68">
        <f t="shared" ca="1" si="34"/>
        <v>-1</v>
      </c>
      <c r="U23" s="68" t="e">
        <f t="shared" ca="1" si="35"/>
        <v>#N/A</v>
      </c>
      <c r="V23" s="5">
        <f t="shared" ca="1" si="14"/>
        <v>-1</v>
      </c>
      <c r="W23" s="5" t="e">
        <f t="shared" ca="1" si="28"/>
        <v>#N/A</v>
      </c>
      <c r="X23" s="68">
        <f t="shared" ca="1" si="29"/>
        <v>-1</v>
      </c>
      <c r="Y23" s="68" t="e">
        <f t="shared" ca="1" si="36"/>
        <v>#N/A</v>
      </c>
      <c r="Z23" s="68" t="e">
        <f t="shared" ca="1" si="37"/>
        <v>#N/A</v>
      </c>
      <c r="AA23" s="5" t="str">
        <f>IF(Setup!$I$15="Yes",'Demand background (hide)'!AJ11+'SPC background (hide)'!C23,"")</f>
        <v/>
      </c>
      <c r="AC23" s="5">
        <f t="shared" ca="1" si="30"/>
        <v>551.5</v>
      </c>
      <c r="AD23" s="5">
        <f t="shared" ca="1" si="31"/>
        <v>664</v>
      </c>
      <c r="AG23" s="68">
        <f t="shared" ca="1" si="12"/>
        <v>28</v>
      </c>
      <c r="AH23" s="68">
        <v>22</v>
      </c>
      <c r="AI23" s="68">
        <f t="shared" ca="1" si="4"/>
        <v>1</v>
      </c>
      <c r="AJ23" s="40">
        <f t="shared" ca="1" si="5"/>
        <v>141.67348608837972</v>
      </c>
      <c r="AK23" s="40">
        <f t="shared" ca="1" si="6"/>
        <v>69.979541734860845</v>
      </c>
      <c r="AL23" s="40">
        <f t="shared" ca="1" si="7"/>
        <v>211.65302782324056</v>
      </c>
      <c r="AM23" s="40">
        <f t="shared" ca="1" si="8"/>
        <v>353.32651391162028</v>
      </c>
      <c r="AN23" s="40">
        <f t="shared" ca="1" si="9"/>
        <v>495</v>
      </c>
      <c r="AO23" s="40">
        <f t="shared" ca="1" si="0"/>
        <v>636.67348608837972</v>
      </c>
      <c r="AP23" s="40">
        <f t="shared" ca="1" si="1"/>
        <v>778.34697217675944</v>
      </c>
      <c r="AQ23" s="40">
        <f t="shared" ca="1" si="2"/>
        <v>920.02045826513915</v>
      </c>
      <c r="AR23" s="5">
        <f t="shared" ca="1" si="10"/>
        <v>551.5</v>
      </c>
      <c r="AS23" s="5">
        <f t="shared" ca="1" si="3"/>
        <v>664</v>
      </c>
      <c r="AT23" s="5">
        <f t="shared" ca="1" si="11"/>
        <v>0</v>
      </c>
    </row>
    <row r="24" spans="1:46" x14ac:dyDescent="0.2">
      <c r="A24" s="68">
        <f ca="1">Demand!C21</f>
        <v>21</v>
      </c>
      <c r="B24" s="68">
        <v>9</v>
      </c>
      <c r="C24" s="5">
        <f ca="1">'Demand background (hide)'!Y12</f>
        <v>260</v>
      </c>
      <c r="D24" s="68">
        <f t="shared" si="15"/>
        <v>0</v>
      </c>
      <c r="E24" s="68" t="e">
        <f t="shared" ca="1" si="16"/>
        <v>#N/A</v>
      </c>
      <c r="F24" s="68" t="e">
        <f t="shared" ca="1" si="17"/>
        <v>#N/A</v>
      </c>
      <c r="G24" s="68" t="e">
        <f t="shared" ca="1" si="18"/>
        <v>#N/A</v>
      </c>
      <c r="H24" s="68" t="e">
        <f>IF('Demand background (hide)'!AN12&lt;&gt;"",'SPC background (hide)'!C24,NA())</f>
        <v>#N/A</v>
      </c>
      <c r="I24" s="68">
        <f t="shared" ca="1" si="19"/>
        <v>1</v>
      </c>
      <c r="J24" s="5">
        <f t="shared" ca="1" si="20"/>
        <v>69.979541734860845</v>
      </c>
      <c r="K24" s="5">
        <f t="shared" ca="1" si="21"/>
        <v>211.65302782324056</v>
      </c>
      <c r="L24" s="5">
        <f t="shared" ca="1" si="22"/>
        <v>353.32651391162028</v>
      </c>
      <c r="M24" s="5">
        <f t="shared" ca="1" si="23"/>
        <v>495</v>
      </c>
      <c r="N24" s="5">
        <f t="shared" ca="1" si="24"/>
        <v>636.67348608837972</v>
      </c>
      <c r="O24" s="5">
        <f t="shared" ca="1" si="25"/>
        <v>778.34697217675944</v>
      </c>
      <c r="P24" s="5">
        <f t="shared" ca="1" si="26"/>
        <v>920.02045826513915</v>
      </c>
      <c r="Q24" s="5" t="e">
        <f t="shared" ca="1" si="27"/>
        <v>#N/A</v>
      </c>
      <c r="R24" s="5">
        <f t="shared" ca="1" si="32"/>
        <v>-1</v>
      </c>
      <c r="S24" s="68" t="e">
        <f t="shared" ca="1" si="33"/>
        <v>#N/A</v>
      </c>
      <c r="T24" s="68">
        <f t="shared" ca="1" si="34"/>
        <v>-2</v>
      </c>
      <c r="U24" s="68" t="e">
        <f t="shared" ca="1" si="35"/>
        <v>#N/A</v>
      </c>
      <c r="V24" s="5">
        <f t="shared" ca="1" si="14"/>
        <v>-1</v>
      </c>
      <c r="W24" s="5" t="e">
        <f t="shared" ca="1" si="28"/>
        <v>#N/A</v>
      </c>
      <c r="X24" s="68">
        <f t="shared" ca="1" si="29"/>
        <v>-1</v>
      </c>
      <c r="Y24" s="68" t="e">
        <f t="shared" ca="1" si="36"/>
        <v>#N/A</v>
      </c>
      <c r="Z24" s="68" t="e">
        <f t="shared" ca="1" si="37"/>
        <v>#N/A</v>
      </c>
      <c r="AA24" s="5" t="str">
        <f>IF(Setup!$I$15="Yes",'Demand background (hide)'!AJ12+'SPC background (hide)'!C24,"")</f>
        <v/>
      </c>
      <c r="AC24" s="5">
        <f t="shared" ca="1" si="30"/>
        <v>551.5</v>
      </c>
      <c r="AD24" s="5">
        <f t="shared" ca="1" si="31"/>
        <v>664</v>
      </c>
      <c r="AG24" s="68">
        <f t="shared" ca="1" si="12"/>
        <v>29</v>
      </c>
      <c r="AH24" s="68">
        <v>23</v>
      </c>
      <c r="AI24" s="68">
        <f t="shared" ca="1" si="4"/>
        <v>1</v>
      </c>
      <c r="AJ24" s="40">
        <f t="shared" ca="1" si="5"/>
        <v>141.67348608837972</v>
      </c>
      <c r="AK24" s="40">
        <f t="shared" ca="1" si="6"/>
        <v>69.979541734860845</v>
      </c>
      <c r="AL24" s="40">
        <f t="shared" ca="1" si="7"/>
        <v>211.65302782324056</v>
      </c>
      <c r="AM24" s="40">
        <f t="shared" ca="1" si="8"/>
        <v>353.32651391162028</v>
      </c>
      <c r="AN24" s="40">
        <f t="shared" ca="1" si="9"/>
        <v>495</v>
      </c>
      <c r="AO24" s="40">
        <f t="shared" ca="1" si="0"/>
        <v>636.67348608837972</v>
      </c>
      <c r="AP24" s="40">
        <f t="shared" ca="1" si="1"/>
        <v>778.34697217675944</v>
      </c>
      <c r="AQ24" s="40">
        <f t="shared" ca="1" si="2"/>
        <v>920.02045826513915</v>
      </c>
      <c r="AR24" s="5">
        <f t="shared" ca="1" si="10"/>
        <v>551.5</v>
      </c>
      <c r="AS24" s="5">
        <f t="shared" ca="1" si="3"/>
        <v>664</v>
      </c>
      <c r="AT24" s="5">
        <f t="shared" ca="1" si="11"/>
        <v>0</v>
      </c>
    </row>
    <row r="25" spans="1:46" x14ac:dyDescent="0.2">
      <c r="A25" s="68">
        <f ca="1">Demand!C22</f>
        <v>22</v>
      </c>
      <c r="B25" s="68">
        <v>10</v>
      </c>
      <c r="C25" s="5">
        <f ca="1">'Demand background (hide)'!Y13</f>
        <v>600</v>
      </c>
      <c r="D25" s="68">
        <f t="shared" si="15"/>
        <v>0</v>
      </c>
      <c r="E25" s="68" t="e">
        <f t="shared" ca="1" si="16"/>
        <v>#N/A</v>
      </c>
      <c r="F25" s="68" t="e">
        <f t="shared" ca="1" si="17"/>
        <v>#N/A</v>
      </c>
      <c r="G25" s="68" t="e">
        <f t="shared" ca="1" si="18"/>
        <v>#N/A</v>
      </c>
      <c r="H25" s="68" t="e">
        <f>IF('Demand background (hide)'!AN13&lt;&gt;"",'SPC background (hide)'!C25,NA())</f>
        <v>#N/A</v>
      </c>
      <c r="I25" s="68">
        <f t="shared" ca="1" si="19"/>
        <v>1</v>
      </c>
      <c r="J25" s="5">
        <f t="shared" ca="1" si="20"/>
        <v>69.979541734860845</v>
      </c>
      <c r="K25" s="5">
        <f t="shared" ca="1" si="21"/>
        <v>211.65302782324056</v>
      </c>
      <c r="L25" s="5">
        <f t="shared" ca="1" si="22"/>
        <v>353.32651391162028</v>
      </c>
      <c r="M25" s="5">
        <f t="shared" ca="1" si="23"/>
        <v>495</v>
      </c>
      <c r="N25" s="5">
        <f t="shared" ca="1" si="24"/>
        <v>636.67348608837972</v>
      </c>
      <c r="O25" s="5">
        <f t="shared" ca="1" si="25"/>
        <v>778.34697217675944</v>
      </c>
      <c r="P25" s="5">
        <f t="shared" ca="1" si="26"/>
        <v>920.02045826513915</v>
      </c>
      <c r="Q25" s="5" t="e">
        <f t="shared" ca="1" si="27"/>
        <v>#N/A</v>
      </c>
      <c r="R25" s="5">
        <f t="shared" ca="1" si="32"/>
        <v>1</v>
      </c>
      <c r="S25" s="68" t="e">
        <f t="shared" ca="1" si="33"/>
        <v>#N/A</v>
      </c>
      <c r="T25" s="68">
        <f t="shared" ca="1" si="34"/>
        <v>1</v>
      </c>
      <c r="U25" s="68" t="e">
        <f t="shared" ca="1" si="35"/>
        <v>#N/A</v>
      </c>
      <c r="V25" s="5">
        <f t="shared" ca="1" si="14"/>
        <v>1</v>
      </c>
      <c r="W25" s="5" t="e">
        <f t="shared" ca="1" si="28"/>
        <v>#N/A</v>
      </c>
      <c r="X25" s="68">
        <f t="shared" ca="1" si="29"/>
        <v>1</v>
      </c>
      <c r="Y25" s="68" t="e">
        <f t="shared" ca="1" si="36"/>
        <v>#N/A</v>
      </c>
      <c r="Z25" s="68" t="e">
        <f t="shared" ca="1" si="37"/>
        <v>#N/A</v>
      </c>
      <c r="AA25" s="5" t="str">
        <f>IF(Setup!$I$15="Yes",'Demand background (hide)'!AJ13+'SPC background (hide)'!C25,"")</f>
        <v/>
      </c>
      <c r="AC25" s="5">
        <f t="shared" ca="1" si="30"/>
        <v>551.5</v>
      </c>
      <c r="AD25" s="5">
        <f t="shared" ca="1" si="31"/>
        <v>664</v>
      </c>
      <c r="AG25" s="68">
        <f t="shared" ca="1" si="12"/>
        <v>30</v>
      </c>
      <c r="AH25" s="68">
        <v>24</v>
      </c>
      <c r="AI25" s="68">
        <f t="shared" ca="1" si="4"/>
        <v>1</v>
      </c>
      <c r="AJ25" s="40">
        <f t="shared" ca="1" si="5"/>
        <v>141.67348608837972</v>
      </c>
      <c r="AK25" s="40">
        <f t="shared" ca="1" si="6"/>
        <v>69.979541734860845</v>
      </c>
      <c r="AL25" s="40">
        <f t="shared" ca="1" si="7"/>
        <v>211.65302782324056</v>
      </c>
      <c r="AM25" s="40">
        <f t="shared" ca="1" si="8"/>
        <v>353.32651391162028</v>
      </c>
      <c r="AN25" s="40">
        <f t="shared" ca="1" si="9"/>
        <v>495</v>
      </c>
      <c r="AO25" s="40">
        <f t="shared" ca="1" si="0"/>
        <v>636.67348608837972</v>
      </c>
      <c r="AP25" s="40">
        <f t="shared" ca="1" si="1"/>
        <v>778.34697217675944</v>
      </c>
      <c r="AQ25" s="40">
        <f t="shared" ca="1" si="2"/>
        <v>920.02045826513915</v>
      </c>
      <c r="AR25" s="5">
        <f t="shared" ca="1" si="10"/>
        <v>551.5</v>
      </c>
      <c r="AS25" s="5">
        <f t="shared" ca="1" si="3"/>
        <v>664</v>
      </c>
      <c r="AT25" s="5">
        <f t="shared" ca="1" si="11"/>
        <v>0</v>
      </c>
    </row>
    <row r="26" spans="1:46" x14ac:dyDescent="0.2">
      <c r="A26" s="68">
        <f ca="1">Demand!C23</f>
        <v>23</v>
      </c>
      <c r="B26" s="68">
        <v>11</v>
      </c>
      <c r="C26" s="5">
        <f ca="1">'Demand background (hide)'!Y14</f>
        <v>680</v>
      </c>
      <c r="D26" s="68">
        <f t="shared" si="15"/>
        <v>0</v>
      </c>
      <c r="E26" s="68" t="e">
        <f t="shared" ca="1" si="16"/>
        <v>#N/A</v>
      </c>
      <c r="F26" s="68" t="e">
        <f t="shared" ca="1" si="17"/>
        <v>#N/A</v>
      </c>
      <c r="G26" s="68" t="e">
        <f t="shared" ca="1" si="18"/>
        <v>#N/A</v>
      </c>
      <c r="H26" s="68" t="e">
        <f>IF('Demand background (hide)'!AN14&lt;&gt;"",'SPC background (hide)'!C26,NA())</f>
        <v>#N/A</v>
      </c>
      <c r="I26" s="68">
        <f t="shared" ca="1" si="19"/>
        <v>1</v>
      </c>
      <c r="J26" s="5">
        <f t="shared" ca="1" si="20"/>
        <v>69.979541734860845</v>
      </c>
      <c r="K26" s="5">
        <f t="shared" ca="1" si="21"/>
        <v>211.65302782324056</v>
      </c>
      <c r="L26" s="5">
        <f t="shared" ca="1" si="22"/>
        <v>353.32651391162028</v>
      </c>
      <c r="M26" s="5">
        <f t="shared" ca="1" si="23"/>
        <v>495</v>
      </c>
      <c r="N26" s="5">
        <f t="shared" ca="1" si="24"/>
        <v>636.67348608837972</v>
      </c>
      <c r="O26" s="5">
        <f t="shared" ca="1" si="25"/>
        <v>778.34697217675944</v>
      </c>
      <c r="P26" s="5">
        <f t="shared" ca="1" si="26"/>
        <v>920.02045826513915</v>
      </c>
      <c r="Q26" s="5" t="e">
        <f t="shared" ca="1" si="27"/>
        <v>#N/A</v>
      </c>
      <c r="R26" s="5">
        <f t="shared" ca="1" si="32"/>
        <v>1</v>
      </c>
      <c r="S26" s="68" t="e">
        <f t="shared" ca="1" si="33"/>
        <v>#N/A</v>
      </c>
      <c r="T26" s="68">
        <f t="shared" ca="1" si="34"/>
        <v>2</v>
      </c>
      <c r="U26" s="68" t="e">
        <f t="shared" ca="1" si="35"/>
        <v>#N/A</v>
      </c>
      <c r="V26" s="5">
        <f t="shared" ca="1" si="14"/>
        <v>1</v>
      </c>
      <c r="W26" s="5" t="e">
        <f t="shared" ca="1" si="28"/>
        <v>#N/A</v>
      </c>
      <c r="X26" s="68">
        <f t="shared" ca="1" si="29"/>
        <v>1</v>
      </c>
      <c r="Y26" s="68" t="e">
        <f t="shared" ca="1" si="36"/>
        <v>#N/A</v>
      </c>
      <c r="Z26" s="68" t="e">
        <f t="shared" ca="1" si="37"/>
        <v>#N/A</v>
      </c>
      <c r="AA26" s="5" t="str">
        <f>IF(Setup!$I$15="Yes",'Demand background (hide)'!AJ14+'SPC background (hide)'!C26,"")</f>
        <v/>
      </c>
      <c r="AC26" s="5">
        <f t="shared" ca="1" si="30"/>
        <v>551.5</v>
      </c>
      <c r="AD26" s="5">
        <f t="shared" ca="1" si="31"/>
        <v>664</v>
      </c>
      <c r="AG26" s="68">
        <f t="shared" ca="1" si="12"/>
        <v>31</v>
      </c>
      <c r="AH26" s="68">
        <v>25</v>
      </c>
      <c r="AI26" s="68">
        <f t="shared" ca="1" si="4"/>
        <v>1</v>
      </c>
      <c r="AJ26" s="40">
        <f t="shared" ca="1" si="5"/>
        <v>141.67348608837972</v>
      </c>
      <c r="AK26" s="40">
        <f t="shared" ca="1" si="6"/>
        <v>69.979541734860845</v>
      </c>
      <c r="AL26" s="40">
        <f t="shared" ca="1" si="7"/>
        <v>211.65302782324056</v>
      </c>
      <c r="AM26" s="40">
        <f t="shared" ca="1" si="8"/>
        <v>353.32651391162028</v>
      </c>
      <c r="AN26" s="40">
        <f t="shared" ca="1" si="9"/>
        <v>495</v>
      </c>
      <c r="AO26" s="40">
        <f t="shared" ca="1" si="0"/>
        <v>636.67348608837972</v>
      </c>
      <c r="AP26" s="40">
        <f t="shared" ca="1" si="1"/>
        <v>778.34697217675944</v>
      </c>
      <c r="AQ26" s="40">
        <f t="shared" ca="1" si="2"/>
        <v>920.02045826513915</v>
      </c>
      <c r="AR26" s="5">
        <f t="shared" ca="1" si="10"/>
        <v>551.5</v>
      </c>
      <c r="AS26" s="5">
        <f t="shared" ca="1" si="3"/>
        <v>664</v>
      </c>
      <c r="AT26" s="5">
        <f t="shared" ca="1" si="11"/>
        <v>0</v>
      </c>
    </row>
    <row r="27" spans="1:46" x14ac:dyDescent="0.2">
      <c r="A27" s="68">
        <f ca="1">Demand!C24</f>
        <v>24</v>
      </c>
      <c r="B27" s="68">
        <v>12</v>
      </c>
      <c r="C27" s="5">
        <f ca="1">'Demand background (hide)'!Y15</f>
        <v>350</v>
      </c>
      <c r="D27" s="68">
        <f t="shared" si="15"/>
        <v>0</v>
      </c>
      <c r="E27" s="68" t="e">
        <f t="shared" ca="1" si="16"/>
        <v>#N/A</v>
      </c>
      <c r="F27" s="68" t="e">
        <f t="shared" ca="1" si="17"/>
        <v>#N/A</v>
      </c>
      <c r="G27" s="68" t="e">
        <f t="shared" ca="1" si="18"/>
        <v>#N/A</v>
      </c>
      <c r="H27" s="68" t="e">
        <f>IF('Demand background (hide)'!AN15&lt;&gt;"",'SPC background (hide)'!C27,NA())</f>
        <v>#N/A</v>
      </c>
      <c r="I27" s="68">
        <f t="shared" ca="1" si="19"/>
        <v>1</v>
      </c>
      <c r="J27" s="5">
        <f t="shared" ca="1" si="20"/>
        <v>69.979541734860845</v>
      </c>
      <c r="K27" s="5">
        <f t="shared" ca="1" si="21"/>
        <v>211.65302782324056</v>
      </c>
      <c r="L27" s="5">
        <f t="shared" ca="1" si="22"/>
        <v>353.32651391162028</v>
      </c>
      <c r="M27" s="5">
        <f t="shared" ca="1" si="23"/>
        <v>495</v>
      </c>
      <c r="N27" s="5">
        <f t="shared" ca="1" si="24"/>
        <v>636.67348608837972</v>
      </c>
      <c r="O27" s="5">
        <f t="shared" ca="1" si="25"/>
        <v>778.34697217675944</v>
      </c>
      <c r="P27" s="5">
        <f t="shared" ca="1" si="26"/>
        <v>920.02045826513915</v>
      </c>
      <c r="Q27" s="5" t="e">
        <f t="shared" ca="1" si="27"/>
        <v>#N/A</v>
      </c>
      <c r="R27" s="5">
        <f t="shared" ca="1" si="32"/>
        <v>-1</v>
      </c>
      <c r="S27" s="68" t="e">
        <f t="shared" ca="1" si="33"/>
        <v>#N/A</v>
      </c>
      <c r="T27" s="68">
        <f t="shared" ca="1" si="34"/>
        <v>-2</v>
      </c>
      <c r="U27" s="68" t="e">
        <f t="shared" ca="1" si="35"/>
        <v>#N/A</v>
      </c>
      <c r="V27" s="5">
        <f t="shared" ca="1" si="14"/>
        <v>-1</v>
      </c>
      <c r="W27" s="5" t="e">
        <f t="shared" ca="1" si="28"/>
        <v>#N/A</v>
      </c>
      <c r="X27" s="68">
        <f t="shared" ca="1" si="29"/>
        <v>-1</v>
      </c>
      <c r="Y27" s="68" t="e">
        <f t="shared" ca="1" si="36"/>
        <v>#N/A</v>
      </c>
      <c r="Z27" s="68" t="e">
        <f t="shared" ca="1" si="37"/>
        <v>#N/A</v>
      </c>
      <c r="AA27" s="5" t="str">
        <f>IF(Setup!$I$15="Yes",'Demand background (hide)'!AJ15+'SPC background (hide)'!C27,"")</f>
        <v/>
      </c>
      <c r="AC27" s="5">
        <f t="shared" ca="1" si="30"/>
        <v>551.5</v>
      </c>
      <c r="AD27" s="5">
        <f t="shared" ca="1" si="31"/>
        <v>664</v>
      </c>
      <c r="AG27" s="68">
        <f t="shared" ca="1" si="12"/>
        <v>32</v>
      </c>
      <c r="AH27" s="68">
        <v>26</v>
      </c>
      <c r="AI27" s="68">
        <f t="shared" ca="1" si="4"/>
        <v>1</v>
      </c>
      <c r="AJ27" s="40">
        <f t="shared" ca="1" si="5"/>
        <v>141.67348608837972</v>
      </c>
      <c r="AK27" s="40">
        <f t="shared" ca="1" si="6"/>
        <v>69.979541734860845</v>
      </c>
      <c r="AL27" s="40">
        <f t="shared" ca="1" si="7"/>
        <v>211.65302782324056</v>
      </c>
      <c r="AM27" s="40">
        <f t="shared" ca="1" si="8"/>
        <v>353.32651391162028</v>
      </c>
      <c r="AN27" s="40">
        <f t="shared" ca="1" si="9"/>
        <v>495</v>
      </c>
      <c r="AO27" s="40">
        <f t="shared" ca="1" si="0"/>
        <v>636.67348608837972</v>
      </c>
      <c r="AP27" s="40">
        <f t="shared" ca="1" si="1"/>
        <v>778.34697217675944</v>
      </c>
      <c r="AQ27" s="40">
        <f t="shared" ca="1" si="2"/>
        <v>920.02045826513915</v>
      </c>
      <c r="AR27" s="5">
        <f t="shared" ca="1" si="10"/>
        <v>551.5</v>
      </c>
      <c r="AS27" s="5">
        <f t="shared" ca="1" si="3"/>
        <v>664</v>
      </c>
      <c r="AT27" s="5">
        <f t="shared" ca="1" si="11"/>
        <v>0</v>
      </c>
    </row>
    <row r="28" spans="1:46" x14ac:dyDescent="0.2">
      <c r="A28" s="68">
        <f ca="1">Demand!C25</f>
        <v>25</v>
      </c>
      <c r="B28" s="68">
        <v>13</v>
      </c>
      <c r="C28" s="5">
        <f ca="1">'Demand background (hide)'!Y16</f>
        <v>400</v>
      </c>
      <c r="D28" s="68">
        <f t="shared" si="15"/>
        <v>0</v>
      </c>
      <c r="E28" s="68" t="e">
        <f t="shared" ca="1" si="16"/>
        <v>#N/A</v>
      </c>
      <c r="F28" s="68" t="e">
        <f t="shared" ca="1" si="17"/>
        <v>#N/A</v>
      </c>
      <c r="G28" s="68" t="e">
        <f t="shared" ca="1" si="18"/>
        <v>#N/A</v>
      </c>
      <c r="H28" s="68" t="e">
        <f>IF('Demand background (hide)'!AN16&lt;&gt;"",'SPC background (hide)'!C28,NA())</f>
        <v>#N/A</v>
      </c>
      <c r="I28" s="68">
        <f t="shared" ca="1" si="19"/>
        <v>1</v>
      </c>
      <c r="J28" s="5">
        <f t="shared" ca="1" si="20"/>
        <v>69.979541734860845</v>
      </c>
      <c r="K28" s="5">
        <f t="shared" ca="1" si="21"/>
        <v>211.65302782324056</v>
      </c>
      <c r="L28" s="5">
        <f t="shared" ca="1" si="22"/>
        <v>353.32651391162028</v>
      </c>
      <c r="M28" s="5">
        <f t="shared" ca="1" si="23"/>
        <v>495</v>
      </c>
      <c r="N28" s="5">
        <f t="shared" ca="1" si="24"/>
        <v>636.67348608837972</v>
      </c>
      <c r="O28" s="5">
        <f t="shared" ca="1" si="25"/>
        <v>778.34697217675944</v>
      </c>
      <c r="P28" s="5">
        <f t="shared" ca="1" si="26"/>
        <v>920.02045826513915</v>
      </c>
      <c r="Q28" s="5" t="e">
        <f t="shared" ca="1" si="27"/>
        <v>#N/A</v>
      </c>
      <c r="R28" s="5">
        <f t="shared" ca="1" si="32"/>
        <v>-1</v>
      </c>
      <c r="S28" s="68" t="e">
        <f t="shared" ca="1" si="33"/>
        <v>#N/A</v>
      </c>
      <c r="T28" s="68">
        <f t="shared" ca="1" si="34"/>
        <v>-1</v>
      </c>
      <c r="U28" s="68" t="e">
        <f t="shared" ca="1" si="35"/>
        <v>#N/A</v>
      </c>
      <c r="V28" s="5">
        <f t="shared" ca="1" si="14"/>
        <v>-1</v>
      </c>
      <c r="W28" s="5" t="e">
        <f t="shared" ca="1" si="28"/>
        <v>#N/A</v>
      </c>
      <c r="X28" s="68">
        <f t="shared" ca="1" si="29"/>
        <v>1</v>
      </c>
      <c r="Y28" s="68" t="e">
        <f t="shared" ca="1" si="36"/>
        <v>#N/A</v>
      </c>
      <c r="Z28" s="68" t="e">
        <f t="shared" ca="1" si="37"/>
        <v>#N/A</v>
      </c>
      <c r="AA28" s="5" t="str">
        <f>IF(Setup!$I$15="Yes",'Demand background (hide)'!AJ16+'SPC background (hide)'!C28,"")</f>
        <v/>
      </c>
      <c r="AC28" s="5">
        <f t="shared" ca="1" si="30"/>
        <v>551.5</v>
      </c>
      <c r="AD28" s="5">
        <f t="shared" ca="1" si="31"/>
        <v>664</v>
      </c>
      <c r="AG28" s="68">
        <f t="shared" ca="1" si="12"/>
        <v>33</v>
      </c>
      <c r="AH28" s="68">
        <v>27</v>
      </c>
      <c r="AI28" s="68">
        <f t="shared" ca="1" si="4"/>
        <v>1</v>
      </c>
      <c r="AJ28" s="40">
        <f t="shared" ca="1" si="5"/>
        <v>141.67348608837972</v>
      </c>
      <c r="AK28" s="40">
        <f t="shared" ca="1" si="6"/>
        <v>69.979541734860845</v>
      </c>
      <c r="AL28" s="40">
        <f t="shared" ca="1" si="7"/>
        <v>211.65302782324056</v>
      </c>
      <c r="AM28" s="40">
        <f t="shared" ca="1" si="8"/>
        <v>353.32651391162028</v>
      </c>
      <c r="AN28" s="40">
        <f t="shared" ca="1" si="9"/>
        <v>495</v>
      </c>
      <c r="AO28" s="40">
        <f t="shared" ca="1" si="0"/>
        <v>636.67348608837972</v>
      </c>
      <c r="AP28" s="40">
        <f t="shared" ca="1" si="1"/>
        <v>778.34697217675944</v>
      </c>
      <c r="AQ28" s="40">
        <f t="shared" ca="1" si="2"/>
        <v>920.02045826513915</v>
      </c>
      <c r="AR28" s="5">
        <f t="shared" ca="1" si="10"/>
        <v>551.5</v>
      </c>
      <c r="AS28" s="5">
        <f t="shared" ca="1" si="3"/>
        <v>664</v>
      </c>
      <c r="AT28" s="5">
        <f t="shared" ca="1" si="11"/>
        <v>0</v>
      </c>
    </row>
    <row r="29" spans="1:46" x14ac:dyDescent="0.2">
      <c r="A29" s="68">
        <f ca="1">Demand!C26</f>
        <v>26</v>
      </c>
      <c r="B29" s="68">
        <v>14</v>
      </c>
      <c r="C29" s="5">
        <f ca="1">'Demand background (hide)'!Y17</f>
        <v>670</v>
      </c>
      <c r="D29" s="68">
        <f t="shared" si="15"/>
        <v>0</v>
      </c>
      <c r="E29" s="68" t="e">
        <f t="shared" ca="1" si="16"/>
        <v>#N/A</v>
      </c>
      <c r="F29" s="68" t="e">
        <f t="shared" ca="1" si="17"/>
        <v>#N/A</v>
      </c>
      <c r="G29" s="68" t="e">
        <f t="shared" ca="1" si="18"/>
        <v>#N/A</v>
      </c>
      <c r="H29" s="68" t="e">
        <f>IF('Demand background (hide)'!AN17&lt;&gt;"",'SPC background (hide)'!C29,NA())</f>
        <v>#N/A</v>
      </c>
      <c r="I29" s="68">
        <f t="shared" ca="1" si="19"/>
        <v>1</v>
      </c>
      <c r="J29" s="5">
        <f t="shared" ca="1" si="20"/>
        <v>69.979541734860845</v>
      </c>
      <c r="K29" s="5">
        <f t="shared" ca="1" si="21"/>
        <v>211.65302782324056</v>
      </c>
      <c r="L29" s="5">
        <f t="shared" ca="1" si="22"/>
        <v>353.32651391162028</v>
      </c>
      <c r="M29" s="5">
        <f t="shared" ca="1" si="23"/>
        <v>495</v>
      </c>
      <c r="N29" s="5">
        <f t="shared" ca="1" si="24"/>
        <v>636.67348608837972</v>
      </c>
      <c r="O29" s="5">
        <f t="shared" ca="1" si="25"/>
        <v>778.34697217675944</v>
      </c>
      <c r="P29" s="5">
        <f t="shared" ca="1" si="26"/>
        <v>920.02045826513915</v>
      </c>
      <c r="Q29" s="5" t="e">
        <f t="shared" ca="1" si="27"/>
        <v>#N/A</v>
      </c>
      <c r="R29" s="5">
        <f t="shared" ca="1" si="32"/>
        <v>1</v>
      </c>
      <c r="S29" s="68" t="e">
        <f t="shared" ca="1" si="33"/>
        <v>#N/A</v>
      </c>
      <c r="T29" s="68">
        <f t="shared" ca="1" si="34"/>
        <v>2</v>
      </c>
      <c r="U29" s="68" t="e">
        <f t="shared" ca="1" si="35"/>
        <v>#N/A</v>
      </c>
      <c r="V29" s="5">
        <f t="shared" ca="1" si="14"/>
        <v>1</v>
      </c>
      <c r="W29" s="5">
        <f t="shared" ca="1" si="28"/>
        <v>670</v>
      </c>
      <c r="X29" s="68">
        <f t="shared" ca="1" si="29"/>
        <v>1</v>
      </c>
      <c r="Y29" s="68" t="e">
        <f t="shared" ca="1" si="36"/>
        <v>#N/A</v>
      </c>
      <c r="Z29" s="68" t="e">
        <f t="shared" ca="1" si="37"/>
        <v>#N/A</v>
      </c>
      <c r="AA29" s="5" t="str">
        <f>IF(Setup!$I$15="Yes",'Demand background (hide)'!AJ17+'SPC background (hide)'!C29,"")</f>
        <v/>
      </c>
      <c r="AC29" s="5">
        <f t="shared" ca="1" si="30"/>
        <v>551.5</v>
      </c>
      <c r="AD29" s="5">
        <f t="shared" ca="1" si="31"/>
        <v>664</v>
      </c>
      <c r="AG29" s="68">
        <f t="shared" ca="1" si="12"/>
        <v>34</v>
      </c>
      <c r="AH29" s="68">
        <v>28</v>
      </c>
      <c r="AI29" s="68">
        <f t="shared" ca="1" si="4"/>
        <v>1</v>
      </c>
      <c r="AJ29" s="40">
        <f t="shared" ca="1" si="5"/>
        <v>141.67348608837972</v>
      </c>
      <c r="AK29" s="40">
        <f t="shared" ca="1" si="6"/>
        <v>69.979541734860845</v>
      </c>
      <c r="AL29" s="40">
        <f t="shared" ca="1" si="7"/>
        <v>211.65302782324056</v>
      </c>
      <c r="AM29" s="40">
        <f t="shared" ca="1" si="8"/>
        <v>353.32651391162028</v>
      </c>
      <c r="AN29" s="40">
        <f t="shared" ca="1" si="9"/>
        <v>495</v>
      </c>
      <c r="AO29" s="40">
        <f t="shared" ca="1" si="0"/>
        <v>636.67348608837972</v>
      </c>
      <c r="AP29" s="40">
        <f t="shared" ca="1" si="1"/>
        <v>778.34697217675944</v>
      </c>
      <c r="AQ29" s="40">
        <f t="shared" ca="1" si="2"/>
        <v>920.02045826513915</v>
      </c>
      <c r="AR29" s="5">
        <f t="shared" ca="1" si="10"/>
        <v>551.5</v>
      </c>
      <c r="AS29" s="5">
        <f t="shared" ca="1" si="3"/>
        <v>664</v>
      </c>
      <c r="AT29" s="5">
        <f t="shared" ca="1" si="11"/>
        <v>0</v>
      </c>
    </row>
    <row r="30" spans="1:46" x14ac:dyDescent="0.2">
      <c r="A30" s="68">
        <f ca="1">Demand!C27</f>
        <v>27</v>
      </c>
      <c r="B30" s="68">
        <v>15</v>
      </c>
      <c r="C30" s="5">
        <f ca="1">'Demand background (hide)'!Y18</f>
        <v>530</v>
      </c>
      <c r="D30" s="68">
        <f t="shared" si="15"/>
        <v>0</v>
      </c>
      <c r="E30" s="68" t="e">
        <f t="shared" ca="1" si="16"/>
        <v>#N/A</v>
      </c>
      <c r="F30" s="68" t="e">
        <f t="shared" ca="1" si="17"/>
        <v>#N/A</v>
      </c>
      <c r="G30" s="68" t="e">
        <f t="shared" ca="1" si="18"/>
        <v>#N/A</v>
      </c>
      <c r="H30" s="68" t="e">
        <f>IF('Demand background (hide)'!AN18&lt;&gt;"",'SPC background (hide)'!C30,NA())</f>
        <v>#N/A</v>
      </c>
      <c r="I30" s="68">
        <f t="shared" ca="1" si="19"/>
        <v>1</v>
      </c>
      <c r="J30" s="5">
        <f t="shared" ca="1" si="20"/>
        <v>69.979541734860845</v>
      </c>
      <c r="K30" s="5">
        <f t="shared" ca="1" si="21"/>
        <v>211.65302782324056</v>
      </c>
      <c r="L30" s="5">
        <f t="shared" ca="1" si="22"/>
        <v>353.32651391162028</v>
      </c>
      <c r="M30" s="5">
        <f t="shared" ca="1" si="23"/>
        <v>495</v>
      </c>
      <c r="N30" s="5">
        <f t="shared" ca="1" si="24"/>
        <v>636.67348608837972</v>
      </c>
      <c r="O30" s="5">
        <f t="shared" ca="1" si="25"/>
        <v>778.34697217675944</v>
      </c>
      <c r="P30" s="5">
        <f t="shared" ca="1" si="26"/>
        <v>920.02045826513915</v>
      </c>
      <c r="Q30" s="5" t="e">
        <f t="shared" ca="1" si="27"/>
        <v>#N/A</v>
      </c>
      <c r="R30" s="5">
        <f t="shared" ca="1" si="32"/>
        <v>1</v>
      </c>
      <c r="S30" s="68" t="e">
        <f t="shared" ca="1" si="33"/>
        <v>#N/A</v>
      </c>
      <c r="T30" s="68">
        <f t="shared" ca="1" si="34"/>
        <v>1</v>
      </c>
      <c r="U30" s="68" t="e">
        <f t="shared" ca="1" si="35"/>
        <v>#N/A</v>
      </c>
      <c r="V30" s="5">
        <f t="shared" ca="1" si="14"/>
        <v>1</v>
      </c>
      <c r="W30" s="5">
        <f t="shared" ca="1" si="28"/>
        <v>530</v>
      </c>
      <c r="X30" s="68">
        <f t="shared" ca="1" si="29"/>
        <v>-1</v>
      </c>
      <c r="Y30" s="68" t="e">
        <f t="shared" ca="1" si="36"/>
        <v>#N/A</v>
      </c>
      <c r="Z30" s="68" t="e">
        <f t="shared" ca="1" si="37"/>
        <v>#N/A</v>
      </c>
      <c r="AA30" s="5" t="str">
        <f>IF(Setup!$I$15="Yes",'Demand background (hide)'!AJ18+'SPC background (hide)'!C30,"")</f>
        <v/>
      </c>
      <c r="AC30" s="5">
        <f t="shared" ca="1" si="30"/>
        <v>551.5</v>
      </c>
      <c r="AD30" s="5">
        <f t="shared" ca="1" si="31"/>
        <v>664</v>
      </c>
      <c r="AG30" s="68">
        <f t="shared" ca="1" si="12"/>
        <v>35</v>
      </c>
      <c r="AH30" s="68">
        <v>29</v>
      </c>
      <c r="AI30" s="68">
        <f t="shared" ca="1" si="4"/>
        <v>1</v>
      </c>
      <c r="AJ30" s="40">
        <f t="shared" ca="1" si="5"/>
        <v>141.67348608837972</v>
      </c>
      <c r="AK30" s="40">
        <f t="shared" ca="1" si="6"/>
        <v>69.979541734860845</v>
      </c>
      <c r="AL30" s="40">
        <f t="shared" ca="1" si="7"/>
        <v>211.65302782324056</v>
      </c>
      <c r="AM30" s="40">
        <f t="shared" ca="1" si="8"/>
        <v>353.32651391162028</v>
      </c>
      <c r="AN30" s="40">
        <f t="shared" ca="1" si="9"/>
        <v>495</v>
      </c>
      <c r="AO30" s="40">
        <f t="shared" ca="1" si="0"/>
        <v>636.67348608837972</v>
      </c>
      <c r="AP30" s="40">
        <f t="shared" ca="1" si="1"/>
        <v>778.34697217675944</v>
      </c>
      <c r="AQ30" s="40">
        <f t="shared" ca="1" si="2"/>
        <v>920.02045826513915</v>
      </c>
      <c r="AR30" s="5">
        <f t="shared" ca="1" si="10"/>
        <v>551.5</v>
      </c>
      <c r="AS30" s="5">
        <f t="shared" ca="1" si="3"/>
        <v>664</v>
      </c>
      <c r="AT30" s="5">
        <f t="shared" ca="1" si="11"/>
        <v>0</v>
      </c>
    </row>
    <row r="31" spans="1:46" x14ac:dyDescent="0.2">
      <c r="A31" s="68">
        <f ca="1">Demand!C28</f>
        <v>28</v>
      </c>
      <c r="B31" s="68">
        <v>16</v>
      </c>
      <c r="C31" s="5">
        <f ca="1">'Demand background (hide)'!Y19</f>
        <v>510</v>
      </c>
      <c r="D31" s="68">
        <f t="shared" si="15"/>
        <v>0</v>
      </c>
      <c r="E31" s="68" t="e">
        <f t="shared" ca="1" si="16"/>
        <v>#N/A</v>
      </c>
      <c r="F31" s="68" t="e">
        <f t="shared" ca="1" si="17"/>
        <v>#N/A</v>
      </c>
      <c r="G31" s="68" t="e">
        <f t="shared" ca="1" si="18"/>
        <v>#N/A</v>
      </c>
      <c r="H31" s="68" t="e">
        <f>IF('Demand background (hide)'!AN19&lt;&gt;"",'SPC background (hide)'!C31,NA())</f>
        <v>#N/A</v>
      </c>
      <c r="I31" s="68">
        <f t="shared" ca="1" si="19"/>
        <v>1</v>
      </c>
      <c r="J31" s="5">
        <f t="shared" ca="1" si="20"/>
        <v>69.979541734860845</v>
      </c>
      <c r="K31" s="5">
        <f t="shared" ca="1" si="21"/>
        <v>211.65302782324056</v>
      </c>
      <c r="L31" s="5">
        <f t="shared" ca="1" si="22"/>
        <v>353.32651391162028</v>
      </c>
      <c r="M31" s="5">
        <f t="shared" ca="1" si="23"/>
        <v>495</v>
      </c>
      <c r="N31" s="5">
        <f t="shared" ca="1" si="24"/>
        <v>636.67348608837972</v>
      </c>
      <c r="O31" s="5">
        <f t="shared" ca="1" si="25"/>
        <v>778.34697217675944</v>
      </c>
      <c r="P31" s="5">
        <f t="shared" ca="1" si="26"/>
        <v>920.02045826513915</v>
      </c>
      <c r="Q31" s="5" t="e">
        <f t="shared" ca="1" si="27"/>
        <v>#N/A</v>
      </c>
      <c r="R31" s="5">
        <f t="shared" ca="1" si="32"/>
        <v>1</v>
      </c>
      <c r="S31" s="68" t="e">
        <f t="shared" ca="1" si="33"/>
        <v>#N/A</v>
      </c>
      <c r="T31" s="68">
        <f t="shared" ca="1" si="34"/>
        <v>1</v>
      </c>
      <c r="U31" s="68" t="e">
        <f t="shared" ca="1" si="35"/>
        <v>#N/A</v>
      </c>
      <c r="V31" s="5">
        <f t="shared" ca="1" si="14"/>
        <v>1</v>
      </c>
      <c r="W31" s="5" t="e">
        <f t="shared" ca="1" si="28"/>
        <v>#N/A</v>
      </c>
      <c r="X31" s="68">
        <f t="shared" ca="1" si="29"/>
        <v>-1</v>
      </c>
      <c r="Y31" s="68" t="e">
        <f t="shared" ca="1" si="36"/>
        <v>#N/A</v>
      </c>
      <c r="Z31" s="68" t="e">
        <f t="shared" ca="1" si="37"/>
        <v>#N/A</v>
      </c>
      <c r="AA31" s="5" t="str">
        <f>IF(Setup!$I$15="Yes",'Demand background (hide)'!AJ19+'SPC background (hide)'!C31,"")</f>
        <v/>
      </c>
      <c r="AC31" s="5">
        <f t="shared" ca="1" si="30"/>
        <v>551.5</v>
      </c>
      <c r="AD31" s="5">
        <f t="shared" ca="1" si="31"/>
        <v>664</v>
      </c>
      <c r="AG31" s="68">
        <f t="shared" ca="1" si="12"/>
        <v>36</v>
      </c>
      <c r="AH31" s="68">
        <v>30</v>
      </c>
      <c r="AI31" s="68">
        <f t="shared" ca="1" si="4"/>
        <v>1</v>
      </c>
      <c r="AJ31" s="40">
        <f t="shared" ca="1" si="5"/>
        <v>141.67348608837972</v>
      </c>
      <c r="AK31" s="40">
        <f t="shared" ca="1" si="6"/>
        <v>69.979541734860845</v>
      </c>
      <c r="AL31" s="40">
        <f t="shared" ca="1" si="7"/>
        <v>211.65302782324056</v>
      </c>
      <c r="AM31" s="40">
        <f t="shared" ca="1" si="8"/>
        <v>353.32651391162028</v>
      </c>
      <c r="AN31" s="40">
        <f t="shared" ca="1" si="9"/>
        <v>495</v>
      </c>
      <c r="AO31" s="40">
        <f t="shared" ca="1" si="0"/>
        <v>636.67348608837972</v>
      </c>
      <c r="AP31" s="40">
        <f t="shared" ca="1" si="1"/>
        <v>778.34697217675944</v>
      </c>
      <c r="AQ31" s="40">
        <f t="shared" ca="1" si="2"/>
        <v>920.02045826513915</v>
      </c>
      <c r="AR31" s="5">
        <f t="shared" ca="1" si="10"/>
        <v>551.5</v>
      </c>
      <c r="AS31" s="5">
        <f t="shared" ca="1" si="3"/>
        <v>664</v>
      </c>
      <c r="AT31" s="5">
        <f t="shared" ca="1" si="11"/>
        <v>0</v>
      </c>
    </row>
    <row r="32" spans="1:46" x14ac:dyDescent="0.2">
      <c r="A32" s="68">
        <f ca="1">Demand!C29</f>
        <v>29</v>
      </c>
      <c r="B32" s="68">
        <v>17</v>
      </c>
      <c r="C32" s="5">
        <f ca="1">'Demand background (hide)'!Y20</f>
        <v>600</v>
      </c>
      <c r="D32" s="68">
        <f t="shared" si="15"/>
        <v>0</v>
      </c>
      <c r="E32" s="68" t="e">
        <f t="shared" ca="1" si="16"/>
        <v>#N/A</v>
      </c>
      <c r="F32" s="68" t="e">
        <f t="shared" ca="1" si="17"/>
        <v>#N/A</v>
      </c>
      <c r="G32" s="68" t="e">
        <f t="shared" ca="1" si="18"/>
        <v>#N/A</v>
      </c>
      <c r="H32" s="68" t="e">
        <f>IF('Demand background (hide)'!AN20&lt;&gt;"",'SPC background (hide)'!C32,NA())</f>
        <v>#N/A</v>
      </c>
      <c r="I32" s="68">
        <f t="shared" ca="1" si="19"/>
        <v>1</v>
      </c>
      <c r="J32" s="5">
        <f t="shared" ca="1" si="20"/>
        <v>69.979541734860845</v>
      </c>
      <c r="K32" s="5">
        <f t="shared" ca="1" si="21"/>
        <v>211.65302782324056</v>
      </c>
      <c r="L32" s="5">
        <f t="shared" ca="1" si="22"/>
        <v>353.32651391162028</v>
      </c>
      <c r="M32" s="5">
        <f t="shared" ca="1" si="23"/>
        <v>495</v>
      </c>
      <c r="N32" s="5">
        <f t="shared" ca="1" si="24"/>
        <v>636.67348608837972</v>
      </c>
      <c r="O32" s="5">
        <f t="shared" ca="1" si="25"/>
        <v>778.34697217675944</v>
      </c>
      <c r="P32" s="5">
        <f t="shared" ca="1" si="26"/>
        <v>920.02045826513915</v>
      </c>
      <c r="Q32" s="5" t="e">
        <f t="shared" ca="1" si="27"/>
        <v>#N/A</v>
      </c>
      <c r="R32" s="5">
        <f t="shared" ca="1" si="32"/>
        <v>1</v>
      </c>
      <c r="S32" s="68" t="e">
        <f t="shared" ca="1" si="33"/>
        <v>#N/A</v>
      </c>
      <c r="T32" s="68">
        <f t="shared" ca="1" si="34"/>
        <v>1</v>
      </c>
      <c r="U32" s="68" t="e">
        <f t="shared" ca="1" si="35"/>
        <v>#N/A</v>
      </c>
      <c r="V32" s="5">
        <f t="shared" ca="1" si="14"/>
        <v>1</v>
      </c>
      <c r="W32" s="5" t="e">
        <f t="shared" ca="1" si="28"/>
        <v>#N/A</v>
      </c>
      <c r="X32" s="68">
        <f t="shared" ca="1" si="29"/>
        <v>1</v>
      </c>
      <c r="Y32" s="68" t="e">
        <f t="shared" ca="1" si="36"/>
        <v>#N/A</v>
      </c>
      <c r="Z32" s="68" t="e">
        <f t="shared" ca="1" si="37"/>
        <v>#N/A</v>
      </c>
      <c r="AA32" s="5" t="str">
        <f>IF(Setup!$I$15="Yes",'Demand background (hide)'!AJ20+'SPC background (hide)'!C32,"")</f>
        <v/>
      </c>
      <c r="AC32" s="5">
        <f t="shared" ca="1" si="30"/>
        <v>551.5</v>
      </c>
      <c r="AD32" s="5">
        <f t="shared" ca="1" si="31"/>
        <v>664</v>
      </c>
      <c r="AG32" s="68">
        <f t="shared" ca="1" si="12"/>
        <v>37</v>
      </c>
      <c r="AH32" s="68">
        <v>31</v>
      </c>
      <c r="AI32" s="68">
        <f t="shared" ca="1" si="4"/>
        <v>1</v>
      </c>
      <c r="AJ32" s="40">
        <f t="shared" ca="1" si="5"/>
        <v>141.67348608837972</v>
      </c>
      <c r="AK32" s="40">
        <f t="shared" ca="1" si="6"/>
        <v>69.979541734860845</v>
      </c>
      <c r="AL32" s="40">
        <f t="shared" ca="1" si="7"/>
        <v>211.65302782324056</v>
      </c>
      <c r="AM32" s="40">
        <f t="shared" ca="1" si="8"/>
        <v>353.32651391162028</v>
      </c>
      <c r="AN32" s="40">
        <f t="shared" ca="1" si="9"/>
        <v>495</v>
      </c>
      <c r="AO32" s="40">
        <f t="shared" ca="1" si="0"/>
        <v>636.67348608837972</v>
      </c>
      <c r="AP32" s="40">
        <f t="shared" ca="1" si="1"/>
        <v>778.34697217675944</v>
      </c>
      <c r="AQ32" s="40">
        <f t="shared" ca="1" si="2"/>
        <v>920.02045826513915</v>
      </c>
      <c r="AR32" s="5">
        <f t="shared" ca="1" si="10"/>
        <v>551.5</v>
      </c>
      <c r="AS32" s="5">
        <f t="shared" ca="1" si="3"/>
        <v>664</v>
      </c>
      <c r="AT32" s="5">
        <f t="shared" ca="1" si="11"/>
        <v>0</v>
      </c>
    </row>
    <row r="33" spans="1:46" x14ac:dyDescent="0.2">
      <c r="A33" s="68">
        <f ca="1">Demand!C30</f>
        <v>30</v>
      </c>
      <c r="B33" s="68">
        <v>18</v>
      </c>
      <c r="C33" s="5">
        <f ca="1">'Demand background (hide)'!Y21</f>
        <v>520</v>
      </c>
      <c r="D33" s="68">
        <f t="shared" si="15"/>
        <v>0</v>
      </c>
      <c r="E33" s="68" t="e">
        <f t="shared" ca="1" si="16"/>
        <v>#N/A</v>
      </c>
      <c r="F33" s="68" t="e">
        <f t="shared" ca="1" si="17"/>
        <v>#N/A</v>
      </c>
      <c r="G33" s="68" t="e">
        <f t="shared" ca="1" si="18"/>
        <v>#N/A</v>
      </c>
      <c r="H33" s="68" t="e">
        <f>IF('Demand background (hide)'!AN21&lt;&gt;"",'SPC background (hide)'!C33,NA())</f>
        <v>#N/A</v>
      </c>
      <c r="I33" s="68">
        <f t="shared" ca="1" si="19"/>
        <v>1</v>
      </c>
      <c r="J33" s="5">
        <f t="shared" ca="1" si="20"/>
        <v>69.979541734860845</v>
      </c>
      <c r="K33" s="5">
        <f t="shared" ca="1" si="21"/>
        <v>211.65302782324056</v>
      </c>
      <c r="L33" s="5">
        <f t="shared" ca="1" si="22"/>
        <v>353.32651391162028</v>
      </c>
      <c r="M33" s="5">
        <f t="shared" ca="1" si="23"/>
        <v>495</v>
      </c>
      <c r="N33" s="5">
        <f t="shared" ca="1" si="24"/>
        <v>636.67348608837972</v>
      </c>
      <c r="O33" s="5">
        <f t="shared" ca="1" si="25"/>
        <v>778.34697217675944</v>
      </c>
      <c r="P33" s="5">
        <f t="shared" ca="1" si="26"/>
        <v>920.02045826513915</v>
      </c>
      <c r="Q33" s="5" t="e">
        <f t="shared" ca="1" si="27"/>
        <v>#N/A</v>
      </c>
      <c r="R33" s="5">
        <f t="shared" ca="1" si="32"/>
        <v>1</v>
      </c>
      <c r="S33" s="68" t="e">
        <f t="shared" ca="1" si="33"/>
        <v>#N/A</v>
      </c>
      <c r="T33" s="68">
        <f t="shared" ca="1" si="34"/>
        <v>1</v>
      </c>
      <c r="U33" s="68" t="e">
        <f t="shared" ca="1" si="35"/>
        <v>#N/A</v>
      </c>
      <c r="V33" s="5">
        <f t="shared" ca="1" si="14"/>
        <v>1</v>
      </c>
      <c r="W33" s="5" t="e">
        <f t="shared" ca="1" si="28"/>
        <v>#N/A</v>
      </c>
      <c r="X33" s="68">
        <f t="shared" ca="1" si="29"/>
        <v>-1</v>
      </c>
      <c r="Y33" s="68" t="e">
        <f t="shared" ca="1" si="36"/>
        <v>#N/A</v>
      </c>
      <c r="Z33" s="68" t="e">
        <f t="shared" ca="1" si="37"/>
        <v>#N/A</v>
      </c>
      <c r="AA33" s="5" t="str">
        <f>IF(Setup!$I$15="Yes",'Demand background (hide)'!AJ21+'SPC background (hide)'!C33,"")</f>
        <v/>
      </c>
      <c r="AC33" s="5">
        <f t="shared" ca="1" si="30"/>
        <v>551.5</v>
      </c>
      <c r="AD33" s="5">
        <f t="shared" ca="1" si="31"/>
        <v>664</v>
      </c>
      <c r="AG33" s="68">
        <f t="shared" ca="1" si="12"/>
        <v>38</v>
      </c>
      <c r="AH33" s="68">
        <v>32</v>
      </c>
      <c r="AI33" s="68">
        <f t="shared" ca="1" si="4"/>
        <v>1</v>
      </c>
      <c r="AJ33" s="40">
        <f t="shared" ca="1" si="5"/>
        <v>141.67348608837972</v>
      </c>
      <c r="AK33" s="40">
        <f t="shared" ca="1" si="6"/>
        <v>69.979541734860845</v>
      </c>
      <c r="AL33" s="40">
        <f t="shared" ca="1" si="7"/>
        <v>211.65302782324056</v>
      </c>
      <c r="AM33" s="40">
        <f t="shared" ca="1" si="8"/>
        <v>353.32651391162028</v>
      </c>
      <c r="AN33" s="40">
        <f t="shared" ca="1" si="9"/>
        <v>495</v>
      </c>
      <c r="AO33" s="40">
        <f t="shared" ca="1" si="0"/>
        <v>636.67348608837972</v>
      </c>
      <c r="AP33" s="40">
        <f t="shared" ca="1" si="1"/>
        <v>778.34697217675944</v>
      </c>
      <c r="AQ33" s="40">
        <f t="shared" ca="1" si="2"/>
        <v>920.02045826513915</v>
      </c>
      <c r="AR33" s="5">
        <f t="shared" ca="1" si="10"/>
        <v>551.5</v>
      </c>
      <c r="AS33" s="5">
        <f t="shared" ca="1" si="3"/>
        <v>664</v>
      </c>
      <c r="AT33" s="5">
        <f t="shared" ca="1" si="11"/>
        <v>0</v>
      </c>
    </row>
    <row r="34" spans="1:46" x14ac:dyDescent="0.2">
      <c r="A34" s="68">
        <f ca="1">Demand!C31</f>
        <v>31</v>
      </c>
      <c r="B34" s="68">
        <v>19</v>
      </c>
      <c r="C34" s="5">
        <f ca="1">'Demand background (hide)'!Y22</f>
        <v>600</v>
      </c>
      <c r="D34" s="68">
        <f t="shared" si="15"/>
        <v>0</v>
      </c>
      <c r="E34" s="68" t="e">
        <f t="shared" ca="1" si="16"/>
        <v>#N/A</v>
      </c>
      <c r="F34" s="68" t="e">
        <f t="shared" ca="1" si="17"/>
        <v>#N/A</v>
      </c>
      <c r="G34" s="68" t="e">
        <f t="shared" ca="1" si="18"/>
        <v>#N/A</v>
      </c>
      <c r="H34" s="68" t="e">
        <f>IF('Demand background (hide)'!AN22&lt;&gt;"",'SPC background (hide)'!C34,NA())</f>
        <v>#N/A</v>
      </c>
      <c r="I34" s="68">
        <f t="shared" ca="1" si="19"/>
        <v>1</v>
      </c>
      <c r="J34" s="5">
        <f t="shared" ca="1" si="20"/>
        <v>69.979541734860845</v>
      </c>
      <c r="K34" s="5">
        <f t="shared" ca="1" si="21"/>
        <v>211.65302782324056</v>
      </c>
      <c r="L34" s="5">
        <f t="shared" ca="1" si="22"/>
        <v>353.32651391162028</v>
      </c>
      <c r="M34" s="5">
        <f t="shared" ca="1" si="23"/>
        <v>495</v>
      </c>
      <c r="N34" s="5">
        <f t="shared" ca="1" si="24"/>
        <v>636.67348608837972</v>
      </c>
      <c r="O34" s="5">
        <f t="shared" ca="1" si="25"/>
        <v>778.34697217675944</v>
      </c>
      <c r="P34" s="5">
        <f t="shared" ca="1" si="26"/>
        <v>920.02045826513915</v>
      </c>
      <c r="Q34" s="5" t="e">
        <f t="shared" ca="1" si="27"/>
        <v>#N/A</v>
      </c>
      <c r="R34" s="5">
        <f t="shared" ca="1" si="32"/>
        <v>1</v>
      </c>
      <c r="S34" s="68" t="e">
        <f t="shared" ca="1" si="33"/>
        <v>#N/A</v>
      </c>
      <c r="T34" s="68">
        <f t="shared" ca="1" si="34"/>
        <v>1</v>
      </c>
      <c r="U34" s="68" t="e">
        <f t="shared" ca="1" si="35"/>
        <v>#N/A</v>
      </c>
      <c r="V34" s="5">
        <f t="shared" ca="1" si="14"/>
        <v>1</v>
      </c>
      <c r="W34" s="5" t="e">
        <f t="shared" ca="1" si="28"/>
        <v>#N/A</v>
      </c>
      <c r="X34" s="68">
        <f t="shared" ca="1" si="29"/>
        <v>1</v>
      </c>
      <c r="Y34" s="68" t="e">
        <f t="shared" ca="1" si="36"/>
        <v>#N/A</v>
      </c>
      <c r="Z34" s="68" t="e">
        <f t="shared" ca="1" si="37"/>
        <v>#N/A</v>
      </c>
      <c r="AA34" s="5" t="str">
        <f>IF(Setup!$I$15="Yes",'Demand background (hide)'!AJ22+'SPC background (hide)'!C34,"")</f>
        <v/>
      </c>
      <c r="AC34" s="5">
        <f t="shared" ca="1" si="30"/>
        <v>551.5</v>
      </c>
      <c r="AD34" s="5">
        <f t="shared" ca="1" si="31"/>
        <v>664</v>
      </c>
      <c r="AG34" s="68">
        <f ca="1">IF(MOD(AG33+1,53)=0,53,MOD(AG33+1,53))</f>
        <v>39</v>
      </c>
      <c r="AH34" s="68">
        <v>33</v>
      </c>
      <c r="AI34" s="68">
        <f t="shared" ca="1" si="4"/>
        <v>1</v>
      </c>
      <c r="AJ34" s="40">
        <f t="shared" ca="1" si="5"/>
        <v>141.67348608837972</v>
      </c>
      <c r="AK34" s="40">
        <f t="shared" ca="1" si="6"/>
        <v>69.979541734860845</v>
      </c>
      <c r="AL34" s="40">
        <f t="shared" ca="1" si="7"/>
        <v>211.65302782324056</v>
      </c>
      <c r="AM34" s="40">
        <f t="shared" ca="1" si="8"/>
        <v>353.32651391162028</v>
      </c>
      <c r="AN34" s="40">
        <f t="shared" ca="1" si="9"/>
        <v>495</v>
      </c>
      <c r="AO34" s="40">
        <f t="shared" ca="1" si="0"/>
        <v>636.67348608837972</v>
      </c>
      <c r="AP34" s="40">
        <f t="shared" ca="1" si="1"/>
        <v>778.34697217675944</v>
      </c>
      <c r="AQ34" s="40">
        <f t="shared" ca="1" si="2"/>
        <v>920.02045826513915</v>
      </c>
      <c r="AR34" s="5">
        <f t="shared" ca="1" si="10"/>
        <v>551.5</v>
      </c>
      <c r="AS34" s="5">
        <f t="shared" ca="1" si="3"/>
        <v>664</v>
      </c>
      <c r="AT34" s="5">
        <f t="shared" ca="1" si="11"/>
        <v>0</v>
      </c>
    </row>
    <row r="35" spans="1:46" x14ac:dyDescent="0.2">
      <c r="A35" s="68">
        <f ca="1">Demand!C32</f>
        <v>32</v>
      </c>
      <c r="B35" s="68">
        <v>20</v>
      </c>
      <c r="C35" s="5">
        <f ca="1">'Demand background (hide)'!Y23</f>
        <v>710</v>
      </c>
      <c r="D35" s="68">
        <f t="shared" si="15"/>
        <v>0</v>
      </c>
      <c r="E35" s="68" t="e">
        <f t="shared" ca="1" si="16"/>
        <v>#N/A</v>
      </c>
      <c r="F35" s="68" t="e">
        <f t="shared" ca="1" si="17"/>
        <v>#N/A</v>
      </c>
      <c r="G35" s="68" t="e">
        <f t="shared" ca="1" si="18"/>
        <v>#N/A</v>
      </c>
      <c r="H35" s="68" t="e">
        <f>IF('Demand background (hide)'!AN23&lt;&gt;"",'SPC background (hide)'!C35,NA())</f>
        <v>#N/A</v>
      </c>
      <c r="I35" s="68">
        <f t="shared" ca="1" si="19"/>
        <v>1</v>
      </c>
      <c r="J35" s="5">
        <f t="shared" ca="1" si="20"/>
        <v>69.979541734860845</v>
      </c>
      <c r="K35" s="5">
        <f t="shared" ca="1" si="21"/>
        <v>211.65302782324056</v>
      </c>
      <c r="L35" s="5">
        <f t="shared" ca="1" si="22"/>
        <v>353.32651391162028</v>
      </c>
      <c r="M35" s="5">
        <f t="shared" ca="1" si="23"/>
        <v>495</v>
      </c>
      <c r="N35" s="5">
        <f t="shared" ca="1" si="24"/>
        <v>636.67348608837972</v>
      </c>
      <c r="O35" s="5">
        <f t="shared" ca="1" si="25"/>
        <v>778.34697217675944</v>
      </c>
      <c r="P35" s="5">
        <f t="shared" ca="1" si="26"/>
        <v>920.02045826513915</v>
      </c>
      <c r="Q35" s="5" t="e">
        <f t="shared" ca="1" si="27"/>
        <v>#N/A</v>
      </c>
      <c r="R35" s="5">
        <f t="shared" ca="1" si="32"/>
        <v>1</v>
      </c>
      <c r="S35" s="68" t="e">
        <f t="shared" ca="1" si="33"/>
        <v>#N/A</v>
      </c>
      <c r="T35" s="68">
        <f t="shared" ca="1" si="34"/>
        <v>2</v>
      </c>
      <c r="U35" s="68" t="e">
        <f t="shared" ca="1" si="35"/>
        <v>#N/A</v>
      </c>
      <c r="V35" s="5">
        <f t="shared" ca="1" si="14"/>
        <v>1</v>
      </c>
      <c r="W35" s="5" t="e">
        <f t="shared" ca="1" si="28"/>
        <v>#N/A</v>
      </c>
      <c r="X35" s="68">
        <f t="shared" ca="1" si="29"/>
        <v>1</v>
      </c>
      <c r="Y35" s="68" t="e">
        <f t="shared" ca="1" si="36"/>
        <v>#N/A</v>
      </c>
      <c r="Z35" s="68" t="e">
        <f t="shared" ca="1" si="37"/>
        <v>#N/A</v>
      </c>
      <c r="AA35" s="5" t="str">
        <f>IF(Setup!$I$15="Yes",'Demand background (hide)'!AJ23+'SPC background (hide)'!C35,"")</f>
        <v/>
      </c>
      <c r="AC35" s="5">
        <f t="shared" ca="1" si="30"/>
        <v>551.5</v>
      </c>
      <c r="AD35" s="5">
        <f t="shared" ca="1" si="31"/>
        <v>664</v>
      </c>
      <c r="AG35" s="68">
        <f t="shared" ca="1" si="12"/>
        <v>40</v>
      </c>
      <c r="AH35" s="68">
        <v>34</v>
      </c>
      <c r="AI35" s="68">
        <f t="shared" ca="1" si="4"/>
        <v>1</v>
      </c>
      <c r="AJ35" s="40">
        <f t="shared" ca="1" si="5"/>
        <v>141.67348608837972</v>
      </c>
      <c r="AK35" s="40">
        <f t="shared" ca="1" si="6"/>
        <v>69.979541734860845</v>
      </c>
      <c r="AL35" s="40">
        <f t="shared" ca="1" si="7"/>
        <v>211.65302782324056</v>
      </c>
      <c r="AM35" s="40">
        <f t="shared" ca="1" si="8"/>
        <v>353.32651391162028</v>
      </c>
      <c r="AN35" s="40">
        <f t="shared" ca="1" si="9"/>
        <v>495</v>
      </c>
      <c r="AO35" s="40">
        <f t="shared" ca="1" si="0"/>
        <v>636.67348608837972</v>
      </c>
      <c r="AP35" s="40">
        <f t="shared" ca="1" si="1"/>
        <v>778.34697217675944</v>
      </c>
      <c r="AQ35" s="40">
        <f t="shared" ca="1" si="2"/>
        <v>920.02045826513915</v>
      </c>
      <c r="AR35" s="5">
        <f t="shared" ca="1" si="10"/>
        <v>551.5</v>
      </c>
      <c r="AS35" s="5">
        <f t="shared" ca="1" si="3"/>
        <v>664</v>
      </c>
      <c r="AT35" s="5">
        <f t="shared" ca="1" si="11"/>
        <v>0</v>
      </c>
    </row>
    <row r="36" spans="1:46" x14ac:dyDescent="0.2">
      <c r="A36" s="68">
        <f ca="1">Demand!C33</f>
        <v>33</v>
      </c>
      <c r="B36" s="68">
        <v>21</v>
      </c>
      <c r="C36" s="5">
        <f ca="1">'Demand background (hide)'!Y24</f>
        <v>670</v>
      </c>
      <c r="D36" s="68">
        <f t="shared" si="15"/>
        <v>0</v>
      </c>
      <c r="E36" s="68" t="e">
        <f t="shared" ca="1" si="16"/>
        <v>#N/A</v>
      </c>
      <c r="F36" s="68" t="e">
        <f t="shared" ca="1" si="17"/>
        <v>#N/A</v>
      </c>
      <c r="G36" s="68" t="e">
        <f t="shared" ca="1" si="18"/>
        <v>#N/A</v>
      </c>
      <c r="H36" s="68" t="e">
        <f>IF('Demand background (hide)'!AN24&lt;&gt;"",'SPC background (hide)'!C36,NA())</f>
        <v>#N/A</v>
      </c>
      <c r="I36" s="68">
        <f t="shared" ca="1" si="19"/>
        <v>1</v>
      </c>
      <c r="J36" s="5">
        <f t="shared" ca="1" si="20"/>
        <v>69.979541734860845</v>
      </c>
      <c r="K36" s="5">
        <f t="shared" ca="1" si="21"/>
        <v>211.65302782324056</v>
      </c>
      <c r="L36" s="5">
        <f t="shared" ca="1" si="22"/>
        <v>353.32651391162028</v>
      </c>
      <c r="M36" s="5">
        <f t="shared" ca="1" si="23"/>
        <v>495</v>
      </c>
      <c r="N36" s="5">
        <f t="shared" ca="1" si="24"/>
        <v>636.67348608837972</v>
      </c>
      <c r="O36" s="5">
        <f t="shared" ca="1" si="25"/>
        <v>778.34697217675944</v>
      </c>
      <c r="P36" s="5">
        <f t="shared" ca="1" si="26"/>
        <v>920.02045826513915</v>
      </c>
      <c r="Q36" s="5" t="e">
        <f t="shared" ca="1" si="27"/>
        <v>#N/A</v>
      </c>
      <c r="R36" s="5">
        <f t="shared" ca="1" si="32"/>
        <v>1</v>
      </c>
      <c r="S36" s="68" t="e">
        <f t="shared" ca="1" si="33"/>
        <v>#N/A</v>
      </c>
      <c r="T36" s="68">
        <f t="shared" ca="1" si="34"/>
        <v>2</v>
      </c>
      <c r="U36" s="68" t="e">
        <f t="shared" ca="1" si="35"/>
        <v>#N/A</v>
      </c>
      <c r="V36" s="5">
        <f t="shared" ca="1" si="14"/>
        <v>1</v>
      </c>
      <c r="W36" s="5" t="e">
        <f t="shared" ca="1" si="28"/>
        <v>#N/A</v>
      </c>
      <c r="X36" s="68">
        <f t="shared" ca="1" si="29"/>
        <v>-1</v>
      </c>
      <c r="Y36" s="68" t="e">
        <f t="shared" ca="1" si="36"/>
        <v>#N/A</v>
      </c>
      <c r="Z36" s="68" t="e">
        <f t="shared" ca="1" si="37"/>
        <v>#N/A</v>
      </c>
      <c r="AA36" s="5" t="str">
        <f>IF(Setup!$I$15="Yes",'Demand background (hide)'!AJ24+'SPC background (hide)'!C36,"")</f>
        <v/>
      </c>
      <c r="AC36" s="5">
        <f t="shared" ca="1" si="30"/>
        <v>551.5</v>
      </c>
      <c r="AD36" s="5">
        <f t="shared" ca="1" si="31"/>
        <v>664</v>
      </c>
      <c r="AG36" s="68">
        <f t="shared" ca="1" si="12"/>
        <v>41</v>
      </c>
      <c r="AH36" s="68">
        <v>35</v>
      </c>
      <c r="AI36" s="68">
        <f t="shared" ca="1" si="4"/>
        <v>1</v>
      </c>
      <c r="AJ36" s="40">
        <f t="shared" ca="1" si="5"/>
        <v>141.67348608837972</v>
      </c>
      <c r="AK36" s="40">
        <f t="shared" ca="1" si="6"/>
        <v>69.979541734860845</v>
      </c>
      <c r="AL36" s="40">
        <f t="shared" ca="1" si="7"/>
        <v>211.65302782324056</v>
      </c>
      <c r="AM36" s="40">
        <f t="shared" ca="1" si="8"/>
        <v>353.32651391162028</v>
      </c>
      <c r="AN36" s="40">
        <f t="shared" ca="1" si="9"/>
        <v>495</v>
      </c>
      <c r="AO36" s="40">
        <f t="shared" ca="1" si="0"/>
        <v>636.67348608837972</v>
      </c>
      <c r="AP36" s="40">
        <f t="shared" ca="1" si="1"/>
        <v>778.34697217675944</v>
      </c>
      <c r="AQ36" s="40">
        <f t="shared" ca="1" si="2"/>
        <v>920.02045826513915</v>
      </c>
      <c r="AR36" s="5">
        <f t="shared" ca="1" si="10"/>
        <v>551.5</v>
      </c>
      <c r="AS36" s="5">
        <f t="shared" ca="1" si="3"/>
        <v>664</v>
      </c>
      <c r="AT36" s="5">
        <f t="shared" ca="1" si="11"/>
        <v>0</v>
      </c>
    </row>
    <row r="37" spans="1:46" x14ac:dyDescent="0.2">
      <c r="A37" s="68">
        <f ca="1">Demand!C34</f>
        <v>34</v>
      </c>
      <c r="B37" s="68">
        <v>22</v>
      </c>
      <c r="C37" s="5">
        <f ca="1">'Demand background (hide)'!Y25</f>
        <v>600</v>
      </c>
      <c r="D37" s="68">
        <f t="shared" si="15"/>
        <v>0</v>
      </c>
      <c r="E37" s="68" t="e">
        <f t="shared" ca="1" si="16"/>
        <v>#N/A</v>
      </c>
      <c r="F37" s="68" t="e">
        <f t="shared" ca="1" si="17"/>
        <v>#N/A</v>
      </c>
      <c r="G37" s="68" t="e">
        <f t="shared" ca="1" si="18"/>
        <v>#N/A</v>
      </c>
      <c r="H37" s="68" t="e">
        <f>IF('Demand background (hide)'!AN25&lt;&gt;"",'SPC background (hide)'!C37,NA())</f>
        <v>#N/A</v>
      </c>
      <c r="I37" s="68">
        <f t="shared" ca="1" si="19"/>
        <v>1</v>
      </c>
      <c r="J37" s="5">
        <f t="shared" ca="1" si="20"/>
        <v>69.979541734860845</v>
      </c>
      <c r="K37" s="5">
        <f t="shared" ca="1" si="21"/>
        <v>211.65302782324056</v>
      </c>
      <c r="L37" s="5">
        <f t="shared" ca="1" si="22"/>
        <v>353.32651391162028</v>
      </c>
      <c r="M37" s="5">
        <f t="shared" ca="1" si="23"/>
        <v>495</v>
      </c>
      <c r="N37" s="5">
        <f t="shared" ca="1" si="24"/>
        <v>636.67348608837972</v>
      </c>
      <c r="O37" s="5">
        <f t="shared" ca="1" si="25"/>
        <v>778.34697217675944</v>
      </c>
      <c r="P37" s="5">
        <f t="shared" ca="1" si="26"/>
        <v>920.02045826513915</v>
      </c>
      <c r="Q37" s="5" t="e">
        <f t="shared" ca="1" si="27"/>
        <v>#N/A</v>
      </c>
      <c r="R37" s="5">
        <f t="shared" ca="1" si="32"/>
        <v>1</v>
      </c>
      <c r="S37" s="68" t="e">
        <f t="shared" ca="1" si="33"/>
        <v>#N/A</v>
      </c>
      <c r="T37" s="68">
        <f t="shared" ca="1" si="34"/>
        <v>1</v>
      </c>
      <c r="U37" s="68" t="e">
        <f t="shared" ca="1" si="35"/>
        <v>#N/A</v>
      </c>
      <c r="V37" s="5">
        <f t="shared" ca="1" si="14"/>
        <v>1</v>
      </c>
      <c r="W37" s="5" t="e">
        <f t="shared" ca="1" si="28"/>
        <v>#N/A</v>
      </c>
      <c r="X37" s="68">
        <f t="shared" ca="1" si="29"/>
        <v>-1</v>
      </c>
      <c r="Y37" s="68" t="e">
        <f t="shared" ca="1" si="36"/>
        <v>#N/A</v>
      </c>
      <c r="Z37" s="68" t="e">
        <f t="shared" ca="1" si="37"/>
        <v>#N/A</v>
      </c>
      <c r="AA37" s="5" t="str">
        <f>IF(Setup!$I$15="Yes",'Demand background (hide)'!AJ25+'SPC background (hide)'!C37,"")</f>
        <v/>
      </c>
      <c r="AC37" s="5">
        <f t="shared" ca="1" si="30"/>
        <v>551.5</v>
      </c>
      <c r="AD37" s="5">
        <f t="shared" ca="1" si="31"/>
        <v>664</v>
      </c>
      <c r="AG37" s="68">
        <f t="shared" ca="1" si="12"/>
        <v>42</v>
      </c>
      <c r="AH37" s="68">
        <v>36</v>
      </c>
      <c r="AI37" s="68">
        <f t="shared" ca="1" si="4"/>
        <v>1</v>
      </c>
      <c r="AJ37" s="40">
        <f t="shared" ca="1" si="5"/>
        <v>141.67348608837972</v>
      </c>
      <c r="AK37" s="40">
        <f t="shared" ca="1" si="6"/>
        <v>69.979541734860845</v>
      </c>
      <c r="AL37" s="40">
        <f t="shared" ca="1" si="7"/>
        <v>211.65302782324056</v>
      </c>
      <c r="AM37" s="40">
        <f t="shared" ca="1" si="8"/>
        <v>353.32651391162028</v>
      </c>
      <c r="AN37" s="40">
        <f t="shared" ca="1" si="9"/>
        <v>495</v>
      </c>
      <c r="AO37" s="40">
        <f t="shared" ca="1" si="0"/>
        <v>636.67348608837972</v>
      </c>
      <c r="AP37" s="40">
        <f t="shared" ca="1" si="1"/>
        <v>778.34697217675944</v>
      </c>
      <c r="AQ37" s="40">
        <f t="shared" ca="1" si="2"/>
        <v>920.02045826513915</v>
      </c>
      <c r="AR37" s="5">
        <f t="shared" ca="1" si="10"/>
        <v>551.5</v>
      </c>
      <c r="AS37" s="5">
        <f t="shared" ca="1" si="3"/>
        <v>664</v>
      </c>
      <c r="AT37" s="5">
        <f t="shared" ca="1" si="11"/>
        <v>0</v>
      </c>
    </row>
    <row r="38" spans="1:46" x14ac:dyDescent="0.2">
      <c r="A38" s="68">
        <f ca="1">Demand!C35</f>
        <v>35</v>
      </c>
      <c r="B38" s="68">
        <v>23</v>
      </c>
      <c r="C38" s="5">
        <f ca="1">'Demand background (hide)'!Y26</f>
        <v>660</v>
      </c>
      <c r="D38" s="68">
        <f t="shared" si="15"/>
        <v>0</v>
      </c>
      <c r="E38" s="68" t="e">
        <f t="shared" ca="1" si="16"/>
        <v>#N/A</v>
      </c>
      <c r="F38" s="68" t="e">
        <f t="shared" ca="1" si="17"/>
        <v>#N/A</v>
      </c>
      <c r="G38" s="68" t="e">
        <f t="shared" ca="1" si="18"/>
        <v>#N/A</v>
      </c>
      <c r="H38" s="68" t="e">
        <f>IF('Demand background (hide)'!AN26&lt;&gt;"",'SPC background (hide)'!C38,NA())</f>
        <v>#N/A</v>
      </c>
      <c r="I38" s="68">
        <f t="shared" ca="1" si="19"/>
        <v>1</v>
      </c>
      <c r="J38" s="5">
        <f t="shared" ca="1" si="20"/>
        <v>69.979541734860845</v>
      </c>
      <c r="K38" s="5">
        <f t="shared" ca="1" si="21"/>
        <v>211.65302782324056</v>
      </c>
      <c r="L38" s="5">
        <f t="shared" ca="1" si="22"/>
        <v>353.32651391162028</v>
      </c>
      <c r="M38" s="5">
        <f t="shared" ca="1" si="23"/>
        <v>495</v>
      </c>
      <c r="N38" s="5">
        <f t="shared" ca="1" si="24"/>
        <v>636.67348608837972</v>
      </c>
      <c r="O38" s="5">
        <f t="shared" ca="1" si="25"/>
        <v>778.34697217675944</v>
      </c>
      <c r="P38" s="5">
        <f t="shared" ca="1" si="26"/>
        <v>920.02045826513915</v>
      </c>
      <c r="Q38" s="5" t="e">
        <f t="shared" ca="1" si="27"/>
        <v>#N/A</v>
      </c>
      <c r="R38" s="5">
        <f t="shared" ca="1" si="32"/>
        <v>1</v>
      </c>
      <c r="S38" s="68" t="e">
        <f t="shared" ca="1" si="33"/>
        <v>#N/A</v>
      </c>
      <c r="T38" s="68">
        <f t="shared" ca="1" si="34"/>
        <v>2</v>
      </c>
      <c r="U38" s="68" t="e">
        <f t="shared" ca="1" si="35"/>
        <v>#N/A</v>
      </c>
      <c r="V38" s="5">
        <f t="shared" ca="1" si="14"/>
        <v>1</v>
      </c>
      <c r="W38" s="5" t="e">
        <f t="shared" ca="1" si="28"/>
        <v>#N/A</v>
      </c>
      <c r="X38" s="68">
        <f t="shared" ca="1" si="29"/>
        <v>1</v>
      </c>
      <c r="Y38" s="68" t="e">
        <f t="shared" ca="1" si="36"/>
        <v>#N/A</v>
      </c>
      <c r="Z38" s="68" t="e">
        <f t="shared" ca="1" si="37"/>
        <v>#N/A</v>
      </c>
      <c r="AA38" s="5" t="str">
        <f>IF(Setup!$I$15="Yes",'Demand background (hide)'!AJ26+'SPC background (hide)'!C38,"")</f>
        <v/>
      </c>
      <c r="AC38" s="5">
        <f t="shared" ca="1" si="30"/>
        <v>551.5</v>
      </c>
      <c r="AD38" s="5">
        <f t="shared" ca="1" si="31"/>
        <v>664</v>
      </c>
      <c r="AG38" s="68">
        <f t="shared" ca="1" si="12"/>
        <v>43</v>
      </c>
      <c r="AH38" s="68">
        <v>37</v>
      </c>
      <c r="AI38" s="68">
        <f t="shared" ca="1" si="4"/>
        <v>1</v>
      </c>
      <c r="AJ38" s="40">
        <f t="shared" ca="1" si="5"/>
        <v>141.67348608837972</v>
      </c>
      <c r="AK38" s="40">
        <f t="shared" ca="1" si="6"/>
        <v>69.979541734860845</v>
      </c>
      <c r="AL38" s="40">
        <f t="shared" ca="1" si="7"/>
        <v>211.65302782324056</v>
      </c>
      <c r="AM38" s="40">
        <f t="shared" ca="1" si="8"/>
        <v>353.32651391162028</v>
      </c>
      <c r="AN38" s="40">
        <f t="shared" ca="1" si="9"/>
        <v>495</v>
      </c>
      <c r="AO38" s="40">
        <f t="shared" ca="1" si="0"/>
        <v>636.67348608837972</v>
      </c>
      <c r="AP38" s="40">
        <f t="shared" ca="1" si="1"/>
        <v>778.34697217675944</v>
      </c>
      <c r="AQ38" s="40">
        <f t="shared" ca="1" si="2"/>
        <v>920.02045826513915</v>
      </c>
      <c r="AR38" s="5">
        <f t="shared" ca="1" si="10"/>
        <v>551.5</v>
      </c>
      <c r="AS38" s="5">
        <f t="shared" ca="1" si="3"/>
        <v>664</v>
      </c>
      <c r="AT38" s="5">
        <f t="shared" ca="1" si="11"/>
        <v>0</v>
      </c>
    </row>
    <row r="39" spans="1:46" x14ac:dyDescent="0.2">
      <c r="A39" s="68">
        <f ca="1">Demand!C36</f>
        <v>36</v>
      </c>
      <c r="B39" s="68">
        <v>24</v>
      </c>
      <c r="C39" s="5">
        <f ca="1">'Demand background (hide)'!Y27</f>
        <v>420</v>
      </c>
      <c r="D39" s="68">
        <f t="shared" si="15"/>
        <v>0</v>
      </c>
      <c r="E39" s="68" t="e">
        <f t="shared" ca="1" si="16"/>
        <v>#N/A</v>
      </c>
      <c r="F39" s="68" t="e">
        <f t="shared" ca="1" si="17"/>
        <v>#N/A</v>
      </c>
      <c r="G39" s="68" t="e">
        <f t="shared" ca="1" si="18"/>
        <v>#N/A</v>
      </c>
      <c r="H39" s="68" t="e">
        <f>IF('Demand background (hide)'!AN27&lt;&gt;"",'SPC background (hide)'!C39,NA())</f>
        <v>#N/A</v>
      </c>
      <c r="I39" s="68">
        <f t="shared" ca="1" si="19"/>
        <v>1</v>
      </c>
      <c r="J39" s="5">
        <f t="shared" ca="1" si="20"/>
        <v>69.979541734860845</v>
      </c>
      <c r="K39" s="5">
        <f t="shared" ca="1" si="21"/>
        <v>211.65302782324056</v>
      </c>
      <c r="L39" s="5">
        <f t="shared" ca="1" si="22"/>
        <v>353.32651391162028</v>
      </c>
      <c r="M39" s="5">
        <f t="shared" ca="1" si="23"/>
        <v>495</v>
      </c>
      <c r="N39" s="5">
        <f t="shared" ca="1" si="24"/>
        <v>636.67348608837972</v>
      </c>
      <c r="O39" s="5">
        <f t="shared" ca="1" si="25"/>
        <v>778.34697217675944</v>
      </c>
      <c r="P39" s="5">
        <f t="shared" ca="1" si="26"/>
        <v>920.02045826513915</v>
      </c>
      <c r="Q39" s="5" t="e">
        <f t="shared" ca="1" si="27"/>
        <v>#N/A</v>
      </c>
      <c r="R39" s="5">
        <f t="shared" ca="1" si="32"/>
        <v>-1</v>
      </c>
      <c r="S39" s="68" t="e">
        <f t="shared" ca="1" si="33"/>
        <v>#N/A</v>
      </c>
      <c r="T39" s="68">
        <f t="shared" ca="1" si="34"/>
        <v>-1</v>
      </c>
      <c r="U39" s="68" t="e">
        <f t="shared" ca="1" si="35"/>
        <v>#N/A</v>
      </c>
      <c r="V39" s="5">
        <f t="shared" ca="1" si="14"/>
        <v>-1</v>
      </c>
      <c r="W39" s="5" t="e">
        <f t="shared" ca="1" si="28"/>
        <v>#N/A</v>
      </c>
      <c r="X39" s="68">
        <f t="shared" ca="1" si="29"/>
        <v>-1</v>
      </c>
      <c r="Y39" s="68" t="e">
        <f t="shared" ca="1" si="36"/>
        <v>#N/A</v>
      </c>
      <c r="Z39" s="68" t="e">
        <f t="shared" ca="1" si="37"/>
        <v>#N/A</v>
      </c>
      <c r="AA39" s="5" t="str">
        <f>IF(Setup!$I$15="Yes",'Demand background (hide)'!AJ27+'SPC background (hide)'!C39,"")</f>
        <v/>
      </c>
      <c r="AC39" s="5">
        <f t="shared" ca="1" si="30"/>
        <v>551.5</v>
      </c>
      <c r="AD39" s="5">
        <f t="shared" ca="1" si="31"/>
        <v>664</v>
      </c>
      <c r="AG39" s="68">
        <f t="shared" ca="1" si="12"/>
        <v>44</v>
      </c>
      <c r="AH39" s="68">
        <v>38</v>
      </c>
      <c r="AI39" s="68">
        <f t="shared" ca="1" si="4"/>
        <v>1</v>
      </c>
      <c r="AJ39" s="40">
        <f t="shared" ca="1" si="5"/>
        <v>141.67348608837972</v>
      </c>
      <c r="AK39" s="40">
        <f t="shared" ca="1" si="6"/>
        <v>69.979541734860845</v>
      </c>
      <c r="AL39" s="40">
        <f t="shared" ca="1" si="7"/>
        <v>211.65302782324056</v>
      </c>
      <c r="AM39" s="40">
        <f t="shared" ca="1" si="8"/>
        <v>353.32651391162028</v>
      </c>
      <c r="AN39" s="40">
        <f t="shared" ca="1" si="9"/>
        <v>495</v>
      </c>
      <c r="AO39" s="40">
        <f t="shared" ca="1" si="0"/>
        <v>636.67348608837972</v>
      </c>
      <c r="AP39" s="40">
        <f t="shared" ca="1" si="1"/>
        <v>778.34697217675944</v>
      </c>
      <c r="AQ39" s="40">
        <f t="shared" ca="1" si="2"/>
        <v>920.02045826513915</v>
      </c>
      <c r="AR39" s="5">
        <f t="shared" ca="1" si="10"/>
        <v>551.5</v>
      </c>
      <c r="AS39" s="5">
        <f t="shared" ca="1" si="3"/>
        <v>664</v>
      </c>
      <c r="AT39" s="5">
        <f t="shared" ca="1" si="11"/>
        <v>0</v>
      </c>
    </row>
    <row r="40" spans="1:46" x14ac:dyDescent="0.2">
      <c r="A40" s="68">
        <f ca="1">Demand!C37</f>
        <v>37</v>
      </c>
      <c r="B40" s="68">
        <v>25</v>
      </c>
      <c r="C40" s="5">
        <f ca="1">'Demand background (hide)'!Y28</f>
        <v>730</v>
      </c>
      <c r="D40" s="68">
        <f t="shared" si="15"/>
        <v>0</v>
      </c>
      <c r="E40" s="68" t="e">
        <f t="shared" ca="1" si="16"/>
        <v>#N/A</v>
      </c>
      <c r="F40" s="68" t="e">
        <f t="shared" ca="1" si="17"/>
        <v>#N/A</v>
      </c>
      <c r="G40" s="68" t="e">
        <f t="shared" ca="1" si="18"/>
        <v>#N/A</v>
      </c>
      <c r="H40" s="68" t="e">
        <f>IF('Demand background (hide)'!AN28&lt;&gt;"",'SPC background (hide)'!C40,NA())</f>
        <v>#N/A</v>
      </c>
      <c r="I40" s="68">
        <f t="shared" ca="1" si="19"/>
        <v>1</v>
      </c>
      <c r="J40" s="5">
        <f t="shared" ca="1" si="20"/>
        <v>69.979541734860845</v>
      </c>
      <c r="K40" s="5">
        <f t="shared" ca="1" si="21"/>
        <v>211.65302782324056</v>
      </c>
      <c r="L40" s="5">
        <f t="shared" ca="1" si="22"/>
        <v>353.32651391162028</v>
      </c>
      <c r="M40" s="5">
        <f t="shared" ca="1" si="23"/>
        <v>495</v>
      </c>
      <c r="N40" s="5">
        <f t="shared" ca="1" si="24"/>
        <v>636.67348608837972</v>
      </c>
      <c r="O40" s="5">
        <f t="shared" ca="1" si="25"/>
        <v>778.34697217675944</v>
      </c>
      <c r="P40" s="5">
        <f t="shared" ca="1" si="26"/>
        <v>920.02045826513915</v>
      </c>
      <c r="Q40" s="5" t="e">
        <f t="shared" ca="1" si="27"/>
        <v>#N/A</v>
      </c>
      <c r="R40" s="5">
        <f t="shared" ca="1" si="32"/>
        <v>1</v>
      </c>
      <c r="S40" s="68" t="e">
        <f t="shared" ca="1" si="33"/>
        <v>#N/A</v>
      </c>
      <c r="T40" s="68">
        <f t="shared" ca="1" si="34"/>
        <v>2</v>
      </c>
      <c r="U40" s="68" t="e">
        <f t="shared" ca="1" si="35"/>
        <v>#N/A</v>
      </c>
      <c r="V40" s="5">
        <f t="shared" ca="1" si="14"/>
        <v>1</v>
      </c>
      <c r="W40" s="5" t="e">
        <f t="shared" ca="1" si="28"/>
        <v>#N/A</v>
      </c>
      <c r="X40" s="68">
        <f t="shared" ca="1" si="29"/>
        <v>1</v>
      </c>
      <c r="Y40" s="68" t="e">
        <f t="shared" ca="1" si="36"/>
        <v>#N/A</v>
      </c>
      <c r="Z40" s="68" t="e">
        <f t="shared" ca="1" si="37"/>
        <v>#N/A</v>
      </c>
      <c r="AA40" s="5" t="str">
        <f>IF(Setup!$I$15="Yes",'Demand background (hide)'!AJ28+'SPC background (hide)'!C40,"")</f>
        <v/>
      </c>
      <c r="AC40" s="5">
        <f t="shared" ca="1" si="30"/>
        <v>551.5</v>
      </c>
      <c r="AD40" s="5">
        <f t="shared" ca="1" si="31"/>
        <v>664</v>
      </c>
      <c r="AG40" s="68">
        <f t="shared" ca="1" si="12"/>
        <v>45</v>
      </c>
      <c r="AH40" s="68">
        <v>39</v>
      </c>
      <c r="AI40" s="68">
        <f t="shared" ca="1" si="4"/>
        <v>1</v>
      </c>
      <c r="AJ40" s="40">
        <f t="shared" ca="1" si="5"/>
        <v>141.67348608837972</v>
      </c>
      <c r="AK40" s="40">
        <f t="shared" ca="1" si="6"/>
        <v>69.979541734860845</v>
      </c>
      <c r="AL40" s="40">
        <f t="shared" ca="1" si="7"/>
        <v>211.65302782324056</v>
      </c>
      <c r="AM40" s="40">
        <f t="shared" ca="1" si="8"/>
        <v>353.32651391162028</v>
      </c>
      <c r="AN40" s="40">
        <f t="shared" ca="1" si="9"/>
        <v>495</v>
      </c>
      <c r="AO40" s="40">
        <f t="shared" ca="1" si="0"/>
        <v>636.67348608837972</v>
      </c>
      <c r="AP40" s="40">
        <f t="shared" ca="1" si="1"/>
        <v>778.34697217675944</v>
      </c>
      <c r="AQ40" s="40">
        <f t="shared" ca="1" si="2"/>
        <v>920.02045826513915</v>
      </c>
      <c r="AR40" s="5">
        <f t="shared" ca="1" si="10"/>
        <v>551.5</v>
      </c>
      <c r="AS40" s="5">
        <f t="shared" ca="1" si="3"/>
        <v>664</v>
      </c>
      <c r="AT40" s="5">
        <f t="shared" ca="1" si="11"/>
        <v>0</v>
      </c>
    </row>
    <row r="41" spans="1:46" x14ac:dyDescent="0.2">
      <c r="A41" s="68">
        <f ca="1">Demand!C38</f>
        <v>38</v>
      </c>
      <c r="B41" s="68">
        <v>26</v>
      </c>
      <c r="C41" s="5">
        <f ca="1">'Demand background (hide)'!Y29</f>
        <v>670</v>
      </c>
      <c r="D41" s="68">
        <f t="shared" si="15"/>
        <v>0</v>
      </c>
      <c r="E41" s="68" t="e">
        <f t="shared" ca="1" si="16"/>
        <v>#N/A</v>
      </c>
      <c r="F41" s="68" t="e">
        <f t="shared" ca="1" si="17"/>
        <v>#N/A</v>
      </c>
      <c r="G41" s="68" t="e">
        <f t="shared" ca="1" si="18"/>
        <v>#N/A</v>
      </c>
      <c r="H41" s="68" t="e">
        <f>IF('Demand background (hide)'!AN29&lt;&gt;"",'SPC background (hide)'!C41,NA())</f>
        <v>#N/A</v>
      </c>
      <c r="I41" s="68">
        <f t="shared" ca="1" si="19"/>
        <v>1</v>
      </c>
      <c r="J41" s="5">
        <f t="shared" ca="1" si="20"/>
        <v>69.979541734860845</v>
      </c>
      <c r="K41" s="5">
        <f t="shared" ca="1" si="21"/>
        <v>211.65302782324056</v>
      </c>
      <c r="L41" s="5">
        <f t="shared" ca="1" si="22"/>
        <v>353.32651391162028</v>
      </c>
      <c r="M41" s="5">
        <f t="shared" ca="1" si="23"/>
        <v>495</v>
      </c>
      <c r="N41" s="5">
        <f t="shared" ca="1" si="24"/>
        <v>636.67348608837972</v>
      </c>
      <c r="O41" s="5">
        <f t="shared" ca="1" si="25"/>
        <v>778.34697217675944</v>
      </c>
      <c r="P41" s="5">
        <f t="shared" ca="1" si="26"/>
        <v>920.02045826513915</v>
      </c>
      <c r="Q41" s="5" t="e">
        <f t="shared" ca="1" si="27"/>
        <v>#N/A</v>
      </c>
      <c r="R41" s="5">
        <f t="shared" ca="1" si="32"/>
        <v>1</v>
      </c>
      <c r="S41" s="68" t="e">
        <f t="shared" ca="1" si="33"/>
        <v>#N/A</v>
      </c>
      <c r="T41" s="68">
        <f t="shared" ca="1" si="34"/>
        <v>2</v>
      </c>
      <c r="U41" s="68" t="e">
        <f t="shared" ca="1" si="35"/>
        <v>#N/A</v>
      </c>
      <c r="V41" s="5">
        <f t="shared" ca="1" si="14"/>
        <v>1</v>
      </c>
      <c r="W41" s="5" t="e">
        <f t="shared" ca="1" si="28"/>
        <v>#N/A</v>
      </c>
      <c r="X41" s="68">
        <f t="shared" ca="1" si="29"/>
        <v>-1</v>
      </c>
      <c r="Y41" s="68" t="e">
        <f t="shared" ca="1" si="36"/>
        <v>#N/A</v>
      </c>
      <c r="Z41" s="68" t="e">
        <f t="shared" ca="1" si="37"/>
        <v>#N/A</v>
      </c>
      <c r="AA41" s="5" t="str">
        <f>IF(Setup!$I$15="Yes",'Demand background (hide)'!AJ29+'SPC background (hide)'!C41,"")</f>
        <v/>
      </c>
      <c r="AC41" s="5">
        <f t="shared" ca="1" si="30"/>
        <v>551.5</v>
      </c>
      <c r="AD41" s="5">
        <f t="shared" ca="1" si="31"/>
        <v>664</v>
      </c>
      <c r="AG41" s="68">
        <f t="shared" ca="1" si="12"/>
        <v>46</v>
      </c>
      <c r="AH41" s="68">
        <v>40</v>
      </c>
      <c r="AI41" s="68">
        <f t="shared" ca="1" si="4"/>
        <v>1</v>
      </c>
      <c r="AJ41" s="40">
        <f t="shared" ca="1" si="5"/>
        <v>141.67348608837972</v>
      </c>
      <c r="AK41" s="40">
        <f t="shared" ca="1" si="6"/>
        <v>69.979541734860845</v>
      </c>
      <c r="AL41" s="40">
        <f t="shared" ca="1" si="7"/>
        <v>211.65302782324056</v>
      </c>
      <c r="AM41" s="40">
        <f t="shared" ca="1" si="8"/>
        <v>353.32651391162028</v>
      </c>
      <c r="AN41" s="40">
        <f t="shared" ca="1" si="9"/>
        <v>495</v>
      </c>
      <c r="AO41" s="40">
        <f t="shared" ca="1" si="0"/>
        <v>636.67348608837972</v>
      </c>
      <c r="AP41" s="40">
        <f t="shared" ca="1" si="1"/>
        <v>778.34697217675944</v>
      </c>
      <c r="AQ41" s="40">
        <f t="shared" ca="1" si="2"/>
        <v>920.02045826513915</v>
      </c>
      <c r="AR41" s="5">
        <f t="shared" ca="1" si="10"/>
        <v>551.5</v>
      </c>
      <c r="AS41" s="5">
        <f t="shared" ca="1" si="3"/>
        <v>664</v>
      </c>
      <c r="AT41" s="5">
        <f t="shared" ca="1" si="11"/>
        <v>0</v>
      </c>
    </row>
    <row r="42" spans="1:46" x14ac:dyDescent="0.2">
      <c r="A42" s="68">
        <f ca="1">Demand!C39</f>
        <v>39</v>
      </c>
      <c r="B42" s="68">
        <v>27</v>
      </c>
      <c r="C42" s="5">
        <f ca="1">'Demand background (hide)'!Y30</f>
        <v>580</v>
      </c>
      <c r="D42" s="68">
        <f t="shared" si="15"/>
        <v>0</v>
      </c>
      <c r="E42" s="68" t="e">
        <f t="shared" ca="1" si="16"/>
        <v>#N/A</v>
      </c>
      <c r="F42" s="68" t="e">
        <f t="shared" ca="1" si="17"/>
        <v>#N/A</v>
      </c>
      <c r="G42" s="68" t="e">
        <f t="shared" ca="1" si="18"/>
        <v>#N/A</v>
      </c>
      <c r="H42" s="68" t="e">
        <f>IF('Demand background (hide)'!AN30&lt;&gt;"",'SPC background (hide)'!C42,NA())</f>
        <v>#N/A</v>
      </c>
      <c r="I42" s="68">
        <f t="shared" ca="1" si="19"/>
        <v>1</v>
      </c>
      <c r="J42" s="5">
        <f t="shared" ca="1" si="20"/>
        <v>69.979541734860845</v>
      </c>
      <c r="K42" s="5">
        <f t="shared" ca="1" si="21"/>
        <v>211.65302782324056</v>
      </c>
      <c r="L42" s="5">
        <f t="shared" ca="1" si="22"/>
        <v>353.32651391162028</v>
      </c>
      <c r="M42" s="5">
        <f t="shared" ca="1" si="23"/>
        <v>495</v>
      </c>
      <c r="N42" s="5">
        <f t="shared" ca="1" si="24"/>
        <v>636.67348608837972</v>
      </c>
      <c r="O42" s="5">
        <f t="shared" ca="1" si="25"/>
        <v>778.34697217675944</v>
      </c>
      <c r="P42" s="5">
        <f t="shared" ca="1" si="26"/>
        <v>920.02045826513915</v>
      </c>
      <c r="Q42" s="5" t="e">
        <f t="shared" ca="1" si="27"/>
        <v>#N/A</v>
      </c>
      <c r="R42" s="5">
        <f t="shared" ca="1" si="32"/>
        <v>1</v>
      </c>
      <c r="S42" s="68" t="e">
        <f t="shared" ca="1" si="33"/>
        <v>#N/A</v>
      </c>
      <c r="T42" s="68">
        <f t="shared" ca="1" si="34"/>
        <v>1</v>
      </c>
      <c r="U42" s="68" t="e">
        <f t="shared" ca="1" si="35"/>
        <v>#N/A</v>
      </c>
      <c r="V42" s="5">
        <f t="shared" ca="1" si="14"/>
        <v>1</v>
      </c>
      <c r="W42" s="5" t="e">
        <f t="shared" ca="1" si="28"/>
        <v>#N/A</v>
      </c>
      <c r="X42" s="68">
        <f t="shared" ca="1" si="29"/>
        <v>-1</v>
      </c>
      <c r="Y42" s="68" t="e">
        <f t="shared" ca="1" si="36"/>
        <v>#N/A</v>
      </c>
      <c r="Z42" s="68" t="e">
        <f t="shared" ca="1" si="37"/>
        <v>#N/A</v>
      </c>
      <c r="AA42" s="5" t="str">
        <f>IF(Setup!$I$15="Yes",'Demand background (hide)'!AJ30+'SPC background (hide)'!C42,"")</f>
        <v/>
      </c>
      <c r="AC42" s="5">
        <f t="shared" ca="1" si="30"/>
        <v>551.5</v>
      </c>
      <c r="AD42" s="5">
        <f t="shared" ca="1" si="31"/>
        <v>664</v>
      </c>
      <c r="AG42" s="68">
        <f t="shared" ca="1" si="12"/>
        <v>47</v>
      </c>
      <c r="AH42" s="68">
        <v>41</v>
      </c>
      <c r="AI42" s="68">
        <f t="shared" ca="1" si="4"/>
        <v>1</v>
      </c>
      <c r="AJ42" s="40">
        <f t="shared" ca="1" si="5"/>
        <v>141.67348608837972</v>
      </c>
      <c r="AK42" s="40">
        <f t="shared" ca="1" si="6"/>
        <v>69.979541734860845</v>
      </c>
      <c r="AL42" s="40">
        <f t="shared" ca="1" si="7"/>
        <v>211.65302782324056</v>
      </c>
      <c r="AM42" s="40">
        <f t="shared" ca="1" si="8"/>
        <v>353.32651391162028</v>
      </c>
      <c r="AN42" s="40">
        <f t="shared" ca="1" si="9"/>
        <v>495</v>
      </c>
      <c r="AO42" s="40">
        <f t="shared" ca="1" si="0"/>
        <v>636.67348608837972</v>
      </c>
      <c r="AP42" s="40">
        <f t="shared" ca="1" si="1"/>
        <v>778.34697217675944</v>
      </c>
      <c r="AQ42" s="40">
        <f t="shared" ca="1" si="2"/>
        <v>920.02045826513915</v>
      </c>
      <c r="AR42" s="5">
        <f t="shared" ca="1" si="10"/>
        <v>551.5</v>
      </c>
      <c r="AS42" s="5">
        <f t="shared" ca="1" si="3"/>
        <v>664</v>
      </c>
      <c r="AT42" s="5">
        <f t="shared" ca="1" si="11"/>
        <v>0</v>
      </c>
    </row>
    <row r="43" spans="1:46" x14ac:dyDescent="0.2">
      <c r="A43" s="68">
        <f ca="1">Demand!C40</f>
        <v>40</v>
      </c>
      <c r="B43" s="68">
        <v>28</v>
      </c>
      <c r="C43" s="5">
        <f ca="1">'Demand background (hide)'!Y31</f>
        <v>290</v>
      </c>
      <c r="D43" s="68">
        <f t="shared" si="15"/>
        <v>0</v>
      </c>
      <c r="E43" s="68" t="e">
        <f t="shared" ca="1" si="16"/>
        <v>#N/A</v>
      </c>
      <c r="F43" s="68" t="e">
        <f t="shared" ca="1" si="17"/>
        <v>#N/A</v>
      </c>
      <c r="G43" s="68" t="e">
        <f t="shared" ca="1" si="18"/>
        <v>#N/A</v>
      </c>
      <c r="H43" s="68" t="e">
        <f>IF('Demand background (hide)'!AN31&lt;&gt;"",'SPC background (hide)'!C43,NA())</f>
        <v>#N/A</v>
      </c>
      <c r="I43" s="68">
        <f t="shared" ca="1" si="19"/>
        <v>1</v>
      </c>
      <c r="J43" s="5">
        <f t="shared" ca="1" si="20"/>
        <v>69.979541734860845</v>
      </c>
      <c r="K43" s="5">
        <f t="shared" ca="1" si="21"/>
        <v>211.65302782324056</v>
      </c>
      <c r="L43" s="5">
        <f t="shared" ca="1" si="22"/>
        <v>353.32651391162028</v>
      </c>
      <c r="M43" s="5">
        <f t="shared" ca="1" si="23"/>
        <v>495</v>
      </c>
      <c r="N43" s="5">
        <f t="shared" ca="1" si="24"/>
        <v>636.67348608837972</v>
      </c>
      <c r="O43" s="5">
        <f t="shared" ca="1" si="25"/>
        <v>778.34697217675944</v>
      </c>
      <c r="P43" s="5">
        <f t="shared" ca="1" si="26"/>
        <v>920.02045826513915</v>
      </c>
      <c r="Q43" s="5" t="e">
        <f t="shared" ca="1" si="27"/>
        <v>#N/A</v>
      </c>
      <c r="R43" s="5">
        <f t="shared" ca="1" si="32"/>
        <v>-1</v>
      </c>
      <c r="S43" s="68" t="e">
        <f t="shared" ca="1" si="33"/>
        <v>#N/A</v>
      </c>
      <c r="T43" s="68">
        <f t="shared" ca="1" si="34"/>
        <v>-2</v>
      </c>
      <c r="U43" s="68" t="e">
        <f t="shared" ca="1" si="35"/>
        <v>#N/A</v>
      </c>
      <c r="V43" s="5">
        <f t="shared" ca="1" si="14"/>
        <v>-1</v>
      </c>
      <c r="W43" s="5" t="e">
        <f t="shared" ca="1" si="28"/>
        <v>#N/A</v>
      </c>
      <c r="X43" s="68">
        <f t="shared" ca="1" si="29"/>
        <v>-1</v>
      </c>
      <c r="Y43" s="68" t="e">
        <f t="shared" ca="1" si="36"/>
        <v>#N/A</v>
      </c>
      <c r="Z43" s="68" t="e">
        <f t="shared" ca="1" si="37"/>
        <v>#N/A</v>
      </c>
      <c r="AA43" s="5" t="str">
        <f>IF(Setup!$I$15="Yes",'Demand background (hide)'!AJ31+'SPC background (hide)'!C43,"")</f>
        <v/>
      </c>
      <c r="AC43" s="5">
        <f t="shared" ca="1" si="30"/>
        <v>551.5</v>
      </c>
      <c r="AD43" s="5">
        <f t="shared" ca="1" si="31"/>
        <v>664</v>
      </c>
      <c r="AG43" s="68">
        <f t="shared" ca="1" si="12"/>
        <v>48</v>
      </c>
      <c r="AH43" s="68">
        <v>42</v>
      </c>
      <c r="AI43" s="68">
        <f t="shared" ca="1" si="4"/>
        <v>1</v>
      </c>
      <c r="AJ43" s="40">
        <f t="shared" ca="1" si="5"/>
        <v>141.67348608837972</v>
      </c>
      <c r="AK43" s="40">
        <f t="shared" ca="1" si="6"/>
        <v>69.979541734860845</v>
      </c>
      <c r="AL43" s="40">
        <f t="shared" ca="1" si="7"/>
        <v>211.65302782324056</v>
      </c>
      <c r="AM43" s="40">
        <f t="shared" ca="1" si="8"/>
        <v>353.32651391162028</v>
      </c>
      <c r="AN43" s="40">
        <f t="shared" ca="1" si="9"/>
        <v>495</v>
      </c>
      <c r="AO43" s="40">
        <f t="shared" ca="1" si="0"/>
        <v>636.67348608837972</v>
      </c>
      <c r="AP43" s="40">
        <f t="shared" ca="1" si="1"/>
        <v>778.34697217675944</v>
      </c>
      <c r="AQ43" s="40">
        <f t="shared" ca="1" si="2"/>
        <v>920.02045826513915</v>
      </c>
      <c r="AR43" s="5">
        <f t="shared" ca="1" si="10"/>
        <v>551.5</v>
      </c>
      <c r="AS43" s="5">
        <f t="shared" ca="1" si="3"/>
        <v>664</v>
      </c>
      <c r="AT43" s="5">
        <f t="shared" ca="1" si="11"/>
        <v>0</v>
      </c>
    </row>
    <row r="44" spans="1:46" x14ac:dyDescent="0.2">
      <c r="A44" s="68">
        <f ca="1">Demand!C41</f>
        <v>41</v>
      </c>
      <c r="B44" s="68">
        <v>29</v>
      </c>
      <c r="C44" s="5">
        <f ca="1">'Demand background (hide)'!Y32</f>
        <v>530</v>
      </c>
      <c r="D44" s="68">
        <f t="shared" si="15"/>
        <v>0</v>
      </c>
      <c r="E44" s="68" t="e">
        <f t="shared" ca="1" si="16"/>
        <v>#N/A</v>
      </c>
      <c r="F44" s="68" t="e">
        <f t="shared" ca="1" si="17"/>
        <v>#N/A</v>
      </c>
      <c r="G44" s="68" t="e">
        <f t="shared" ca="1" si="18"/>
        <v>#N/A</v>
      </c>
      <c r="H44" s="68" t="e">
        <f>IF('Demand background (hide)'!AN32&lt;&gt;"",'SPC background (hide)'!C44,NA())</f>
        <v>#N/A</v>
      </c>
      <c r="I44" s="68">
        <f t="shared" ca="1" si="19"/>
        <v>1</v>
      </c>
      <c r="J44" s="5">
        <f t="shared" ca="1" si="20"/>
        <v>69.979541734860845</v>
      </c>
      <c r="K44" s="5">
        <f t="shared" ca="1" si="21"/>
        <v>211.65302782324056</v>
      </c>
      <c r="L44" s="5">
        <f t="shared" ca="1" si="22"/>
        <v>353.32651391162028</v>
      </c>
      <c r="M44" s="5">
        <f t="shared" ca="1" si="23"/>
        <v>495</v>
      </c>
      <c r="N44" s="5">
        <f t="shared" ca="1" si="24"/>
        <v>636.67348608837972</v>
      </c>
      <c r="O44" s="5">
        <f t="shared" ca="1" si="25"/>
        <v>778.34697217675944</v>
      </c>
      <c r="P44" s="5">
        <f t="shared" ca="1" si="26"/>
        <v>920.02045826513915</v>
      </c>
      <c r="Q44" s="5" t="e">
        <f t="shared" ca="1" si="27"/>
        <v>#N/A</v>
      </c>
      <c r="R44" s="5">
        <f t="shared" ca="1" si="32"/>
        <v>1</v>
      </c>
      <c r="S44" s="68" t="e">
        <f t="shared" ca="1" si="33"/>
        <v>#N/A</v>
      </c>
      <c r="T44" s="68">
        <f t="shared" ca="1" si="34"/>
        <v>1</v>
      </c>
      <c r="U44" s="68" t="e">
        <f t="shared" ca="1" si="35"/>
        <v>#N/A</v>
      </c>
      <c r="V44" s="5">
        <f t="shared" ca="1" si="14"/>
        <v>1</v>
      </c>
      <c r="W44" s="5" t="e">
        <f t="shared" ca="1" si="28"/>
        <v>#N/A</v>
      </c>
      <c r="X44" s="68">
        <f t="shared" ca="1" si="29"/>
        <v>1</v>
      </c>
      <c r="Y44" s="68" t="e">
        <f t="shared" ca="1" si="36"/>
        <v>#N/A</v>
      </c>
      <c r="Z44" s="68" t="e">
        <f t="shared" ca="1" si="37"/>
        <v>#N/A</v>
      </c>
      <c r="AA44" s="5" t="str">
        <f>IF(Setup!$I$15="Yes",'Demand background (hide)'!AJ32+'SPC background (hide)'!C44,"")</f>
        <v/>
      </c>
      <c r="AC44" s="5">
        <f t="shared" ca="1" si="30"/>
        <v>551.5</v>
      </c>
      <c r="AD44" s="5">
        <f t="shared" ca="1" si="31"/>
        <v>664</v>
      </c>
      <c r="AG44" s="68">
        <f t="shared" ca="1" si="12"/>
        <v>49</v>
      </c>
      <c r="AH44" s="68">
        <v>43</v>
      </c>
      <c r="AI44" s="68">
        <f t="shared" ca="1" si="4"/>
        <v>1</v>
      </c>
      <c r="AJ44" s="40">
        <f t="shared" ca="1" si="5"/>
        <v>141.67348608837972</v>
      </c>
      <c r="AK44" s="40">
        <f t="shared" ca="1" si="6"/>
        <v>69.979541734860845</v>
      </c>
      <c r="AL44" s="40">
        <f t="shared" ca="1" si="7"/>
        <v>211.65302782324056</v>
      </c>
      <c r="AM44" s="40">
        <f t="shared" ca="1" si="8"/>
        <v>353.32651391162028</v>
      </c>
      <c r="AN44" s="40">
        <f t="shared" ca="1" si="9"/>
        <v>495</v>
      </c>
      <c r="AO44" s="40">
        <f t="shared" ca="1" si="0"/>
        <v>636.67348608837972</v>
      </c>
      <c r="AP44" s="40">
        <f t="shared" ca="1" si="1"/>
        <v>778.34697217675944</v>
      </c>
      <c r="AQ44" s="40">
        <f t="shared" ca="1" si="2"/>
        <v>920.02045826513915</v>
      </c>
      <c r="AR44" s="5">
        <f t="shared" ca="1" si="10"/>
        <v>551.5</v>
      </c>
      <c r="AS44" s="5">
        <f t="shared" ca="1" si="3"/>
        <v>664</v>
      </c>
      <c r="AT44" s="5">
        <f t="shared" ca="1" si="11"/>
        <v>0</v>
      </c>
    </row>
    <row r="45" spans="1:46" x14ac:dyDescent="0.2">
      <c r="A45" s="68">
        <f ca="1">Demand!C42</f>
        <v>42</v>
      </c>
      <c r="B45" s="68">
        <v>30</v>
      </c>
      <c r="C45" s="5">
        <f ca="1">'Demand background (hide)'!Y33</f>
        <v>320</v>
      </c>
      <c r="D45" s="68">
        <f t="shared" si="15"/>
        <v>0</v>
      </c>
      <c r="E45" s="68" t="e">
        <f t="shared" ca="1" si="16"/>
        <v>#N/A</v>
      </c>
      <c r="F45" s="68" t="e">
        <f t="shared" ca="1" si="17"/>
        <v>#N/A</v>
      </c>
      <c r="G45" s="68" t="e">
        <f t="shared" ca="1" si="18"/>
        <v>#N/A</v>
      </c>
      <c r="H45" s="68" t="e">
        <f>IF('Demand background (hide)'!AN33&lt;&gt;"",'SPC background (hide)'!C45,NA())</f>
        <v>#N/A</v>
      </c>
      <c r="I45" s="68">
        <f t="shared" ca="1" si="19"/>
        <v>1</v>
      </c>
      <c r="J45" s="5">
        <f t="shared" ca="1" si="20"/>
        <v>69.979541734860845</v>
      </c>
      <c r="K45" s="5">
        <f t="shared" ca="1" si="21"/>
        <v>211.65302782324056</v>
      </c>
      <c r="L45" s="5">
        <f t="shared" ca="1" si="22"/>
        <v>353.32651391162028</v>
      </c>
      <c r="M45" s="5">
        <f t="shared" ca="1" si="23"/>
        <v>495</v>
      </c>
      <c r="N45" s="5">
        <f t="shared" ca="1" si="24"/>
        <v>636.67348608837972</v>
      </c>
      <c r="O45" s="5">
        <f t="shared" ca="1" si="25"/>
        <v>778.34697217675944</v>
      </c>
      <c r="P45" s="5">
        <f t="shared" ca="1" si="26"/>
        <v>920.02045826513915</v>
      </c>
      <c r="Q45" s="5" t="e">
        <f t="shared" ca="1" si="27"/>
        <v>#N/A</v>
      </c>
      <c r="R45" s="5">
        <f t="shared" ca="1" si="32"/>
        <v>-1</v>
      </c>
      <c r="S45" s="68" t="e">
        <f t="shared" ca="1" si="33"/>
        <v>#N/A</v>
      </c>
      <c r="T45" s="68">
        <f t="shared" ca="1" si="34"/>
        <v>-2</v>
      </c>
      <c r="U45" s="68" t="e">
        <f t="shared" ca="1" si="35"/>
        <v>#N/A</v>
      </c>
      <c r="V45" s="5">
        <f t="shared" ca="1" si="14"/>
        <v>-1</v>
      </c>
      <c r="W45" s="5" t="e">
        <f t="shared" ca="1" si="28"/>
        <v>#N/A</v>
      </c>
      <c r="X45" s="68">
        <f t="shared" ca="1" si="29"/>
        <v>-1</v>
      </c>
      <c r="Y45" s="68" t="e">
        <f t="shared" ca="1" si="36"/>
        <v>#N/A</v>
      </c>
      <c r="Z45" s="68" t="e">
        <f t="shared" ca="1" si="37"/>
        <v>#N/A</v>
      </c>
      <c r="AA45" s="5" t="str">
        <f>IF(Setup!$I$15="Yes",'Demand background (hide)'!AJ33+'SPC background (hide)'!C45,"")</f>
        <v/>
      </c>
      <c r="AC45" s="5">
        <f t="shared" ca="1" si="30"/>
        <v>551.5</v>
      </c>
      <c r="AD45" s="5">
        <f t="shared" ca="1" si="31"/>
        <v>664</v>
      </c>
      <c r="AG45" s="68">
        <f t="shared" ca="1" si="12"/>
        <v>50</v>
      </c>
      <c r="AH45" s="68">
        <v>44</v>
      </c>
      <c r="AI45" s="68">
        <f t="shared" ca="1" si="4"/>
        <v>1</v>
      </c>
      <c r="AJ45" s="40">
        <f t="shared" ca="1" si="5"/>
        <v>141.67348608837972</v>
      </c>
      <c r="AK45" s="40">
        <f t="shared" ca="1" si="6"/>
        <v>69.979541734860845</v>
      </c>
      <c r="AL45" s="40">
        <f t="shared" ca="1" si="7"/>
        <v>211.65302782324056</v>
      </c>
      <c r="AM45" s="40">
        <f t="shared" ca="1" si="8"/>
        <v>353.32651391162028</v>
      </c>
      <c r="AN45" s="40">
        <f t="shared" ca="1" si="9"/>
        <v>495</v>
      </c>
      <c r="AO45" s="40">
        <f t="shared" ca="1" si="0"/>
        <v>636.67348608837972</v>
      </c>
      <c r="AP45" s="40">
        <f t="shared" ca="1" si="1"/>
        <v>778.34697217675944</v>
      </c>
      <c r="AQ45" s="40">
        <f t="shared" ca="1" si="2"/>
        <v>920.02045826513915</v>
      </c>
      <c r="AR45" s="5">
        <f t="shared" ca="1" si="10"/>
        <v>551.5</v>
      </c>
      <c r="AS45" s="5">
        <f t="shared" ca="1" si="3"/>
        <v>664</v>
      </c>
      <c r="AT45" s="5">
        <f t="shared" ca="1" si="11"/>
        <v>0</v>
      </c>
    </row>
    <row r="46" spans="1:46" x14ac:dyDescent="0.2">
      <c r="A46" s="68">
        <f ca="1">Demand!C43</f>
        <v>43</v>
      </c>
      <c r="B46" s="68">
        <v>31</v>
      </c>
      <c r="C46" s="5">
        <f ca="1">'Demand background (hide)'!Y34</f>
        <v>730</v>
      </c>
      <c r="D46" s="68">
        <f t="shared" si="15"/>
        <v>0</v>
      </c>
      <c r="E46" s="68" t="e">
        <f t="shared" ca="1" si="16"/>
        <v>#N/A</v>
      </c>
      <c r="F46" s="68" t="e">
        <f t="shared" ca="1" si="17"/>
        <v>#N/A</v>
      </c>
      <c r="G46" s="68" t="e">
        <f t="shared" ca="1" si="18"/>
        <v>#N/A</v>
      </c>
      <c r="H46" s="68" t="e">
        <f>IF('Demand background (hide)'!AN34&lt;&gt;"",'SPC background (hide)'!C46,NA())</f>
        <v>#N/A</v>
      </c>
      <c r="I46" s="68">
        <f t="shared" ca="1" si="19"/>
        <v>1</v>
      </c>
      <c r="J46" s="5">
        <f t="shared" ca="1" si="20"/>
        <v>69.979541734860845</v>
      </c>
      <c r="K46" s="5">
        <f t="shared" ca="1" si="21"/>
        <v>211.65302782324056</v>
      </c>
      <c r="L46" s="5">
        <f t="shared" ca="1" si="22"/>
        <v>353.32651391162028</v>
      </c>
      <c r="M46" s="5">
        <f t="shared" ca="1" si="23"/>
        <v>495</v>
      </c>
      <c r="N46" s="5">
        <f t="shared" ca="1" si="24"/>
        <v>636.67348608837972</v>
      </c>
      <c r="O46" s="5">
        <f t="shared" ca="1" si="25"/>
        <v>778.34697217675944</v>
      </c>
      <c r="P46" s="5">
        <f t="shared" ca="1" si="26"/>
        <v>920.02045826513915</v>
      </c>
      <c r="Q46" s="5" t="e">
        <f t="shared" ca="1" si="27"/>
        <v>#N/A</v>
      </c>
      <c r="R46" s="5">
        <f t="shared" ca="1" si="32"/>
        <v>1</v>
      </c>
      <c r="S46" s="68" t="e">
        <f t="shared" ca="1" si="33"/>
        <v>#N/A</v>
      </c>
      <c r="T46" s="68">
        <f t="shared" ca="1" si="34"/>
        <v>2</v>
      </c>
      <c r="U46" s="68" t="e">
        <f t="shared" ca="1" si="35"/>
        <v>#N/A</v>
      </c>
      <c r="V46" s="5">
        <f t="shared" ca="1" si="14"/>
        <v>1</v>
      </c>
      <c r="W46" s="5" t="e">
        <f t="shared" ca="1" si="28"/>
        <v>#N/A</v>
      </c>
      <c r="X46" s="68">
        <f t="shared" ca="1" si="29"/>
        <v>1</v>
      </c>
      <c r="Y46" s="68" t="e">
        <f t="shared" ca="1" si="36"/>
        <v>#N/A</v>
      </c>
      <c r="Z46" s="68" t="e">
        <f t="shared" ca="1" si="37"/>
        <v>#N/A</v>
      </c>
      <c r="AA46" s="5" t="str">
        <f>IF(Setup!$I$15="Yes",'Demand background (hide)'!AJ34+'SPC background (hide)'!C46,"")</f>
        <v/>
      </c>
      <c r="AC46" s="5">
        <f t="shared" ca="1" si="30"/>
        <v>551.5</v>
      </c>
      <c r="AD46" s="5">
        <f t="shared" ca="1" si="31"/>
        <v>664</v>
      </c>
      <c r="AG46" s="68">
        <f t="shared" ca="1" si="12"/>
        <v>51</v>
      </c>
      <c r="AH46" s="68">
        <v>45</v>
      </c>
      <c r="AI46" s="68">
        <f t="shared" ca="1" si="4"/>
        <v>1</v>
      </c>
      <c r="AJ46" s="40">
        <f t="shared" ca="1" si="5"/>
        <v>141.67348608837972</v>
      </c>
      <c r="AK46" s="40">
        <f t="shared" ca="1" si="6"/>
        <v>69.979541734860845</v>
      </c>
      <c r="AL46" s="40">
        <f t="shared" ca="1" si="7"/>
        <v>211.65302782324056</v>
      </c>
      <c r="AM46" s="40">
        <f t="shared" ca="1" si="8"/>
        <v>353.32651391162028</v>
      </c>
      <c r="AN46" s="40">
        <f t="shared" ca="1" si="9"/>
        <v>495</v>
      </c>
      <c r="AO46" s="40">
        <f t="shared" ca="1" si="0"/>
        <v>636.67348608837972</v>
      </c>
      <c r="AP46" s="40">
        <f t="shared" ca="1" si="1"/>
        <v>778.34697217675944</v>
      </c>
      <c r="AQ46" s="40">
        <f t="shared" ca="1" si="2"/>
        <v>920.02045826513915</v>
      </c>
      <c r="AR46" s="5">
        <f t="shared" ca="1" si="10"/>
        <v>551.5</v>
      </c>
      <c r="AS46" s="5">
        <f t="shared" ca="1" si="3"/>
        <v>664</v>
      </c>
      <c r="AT46" s="5">
        <f t="shared" ca="1" si="11"/>
        <v>0</v>
      </c>
    </row>
    <row r="47" spans="1:46" x14ac:dyDescent="0.2">
      <c r="A47" s="68">
        <f ca="1">Demand!C44</f>
        <v>44</v>
      </c>
      <c r="B47" s="68">
        <v>32</v>
      </c>
      <c r="C47" s="5">
        <f ca="1">'Demand background (hide)'!Y35</f>
        <v>580</v>
      </c>
      <c r="D47" s="68">
        <f t="shared" si="15"/>
        <v>0</v>
      </c>
      <c r="E47" s="68" t="e">
        <f t="shared" ca="1" si="16"/>
        <v>#N/A</v>
      </c>
      <c r="F47" s="68" t="e">
        <f t="shared" ca="1" si="17"/>
        <v>#N/A</v>
      </c>
      <c r="G47" s="68" t="e">
        <f t="shared" ca="1" si="18"/>
        <v>#N/A</v>
      </c>
      <c r="H47" s="68" t="e">
        <f>IF('Demand background (hide)'!AN35&lt;&gt;"",'SPC background (hide)'!C47,NA())</f>
        <v>#N/A</v>
      </c>
      <c r="I47" s="68">
        <f t="shared" ca="1" si="19"/>
        <v>1</v>
      </c>
      <c r="J47" s="5">
        <f t="shared" ca="1" si="20"/>
        <v>69.979541734860845</v>
      </c>
      <c r="K47" s="5">
        <f t="shared" ca="1" si="21"/>
        <v>211.65302782324056</v>
      </c>
      <c r="L47" s="5">
        <f t="shared" ca="1" si="22"/>
        <v>353.32651391162028</v>
      </c>
      <c r="M47" s="5">
        <f t="shared" ca="1" si="23"/>
        <v>495</v>
      </c>
      <c r="N47" s="5">
        <f t="shared" ca="1" si="24"/>
        <v>636.67348608837972</v>
      </c>
      <c r="O47" s="5">
        <f t="shared" ca="1" si="25"/>
        <v>778.34697217675944</v>
      </c>
      <c r="P47" s="5">
        <f t="shared" ca="1" si="26"/>
        <v>920.02045826513915</v>
      </c>
      <c r="Q47" s="5" t="e">
        <f t="shared" ca="1" si="27"/>
        <v>#N/A</v>
      </c>
      <c r="R47" s="5">
        <f t="shared" ca="1" si="32"/>
        <v>1</v>
      </c>
      <c r="S47" s="68" t="e">
        <f t="shared" ca="1" si="33"/>
        <v>#N/A</v>
      </c>
      <c r="T47" s="68">
        <f t="shared" ca="1" si="34"/>
        <v>1</v>
      </c>
      <c r="U47" s="68" t="e">
        <f t="shared" ca="1" si="35"/>
        <v>#N/A</v>
      </c>
      <c r="V47" s="5">
        <f t="shared" ca="1" si="14"/>
        <v>1</v>
      </c>
      <c r="W47" s="5" t="e">
        <f t="shared" ca="1" si="28"/>
        <v>#N/A</v>
      </c>
      <c r="X47" s="68">
        <f t="shared" ca="1" si="29"/>
        <v>-1</v>
      </c>
      <c r="Y47" s="68" t="e">
        <f t="shared" ca="1" si="36"/>
        <v>#N/A</v>
      </c>
      <c r="Z47" s="68" t="e">
        <f t="shared" ca="1" si="37"/>
        <v>#N/A</v>
      </c>
      <c r="AA47" s="5" t="str">
        <f>IF(Setup!$I$15="Yes",'Demand background (hide)'!AJ35+'SPC background (hide)'!C47,"")</f>
        <v/>
      </c>
      <c r="AC47" s="5">
        <f t="shared" ca="1" si="30"/>
        <v>551.5</v>
      </c>
      <c r="AD47" s="5">
        <f t="shared" ca="1" si="31"/>
        <v>664</v>
      </c>
      <c r="AG47" s="68">
        <f t="shared" ca="1" si="12"/>
        <v>52</v>
      </c>
      <c r="AH47" s="68">
        <v>46</v>
      </c>
      <c r="AI47" s="68">
        <f t="shared" ca="1" si="4"/>
        <v>1</v>
      </c>
      <c r="AJ47" s="40">
        <f t="shared" ca="1" si="5"/>
        <v>141.67348608837972</v>
      </c>
      <c r="AK47" s="40">
        <f t="shared" ca="1" si="6"/>
        <v>69.979541734860845</v>
      </c>
      <c r="AL47" s="40">
        <f t="shared" ca="1" si="7"/>
        <v>211.65302782324056</v>
      </c>
      <c r="AM47" s="40">
        <f t="shared" ca="1" si="8"/>
        <v>353.32651391162028</v>
      </c>
      <c r="AN47" s="40">
        <f t="shared" ca="1" si="9"/>
        <v>495</v>
      </c>
      <c r="AO47" s="40">
        <f t="shared" ca="1" si="0"/>
        <v>636.67348608837972</v>
      </c>
      <c r="AP47" s="40">
        <f t="shared" ca="1" si="1"/>
        <v>778.34697217675944</v>
      </c>
      <c r="AQ47" s="40">
        <f t="shared" ca="1" si="2"/>
        <v>920.02045826513915</v>
      </c>
      <c r="AR47" s="5">
        <f t="shared" ca="1" si="10"/>
        <v>551.5</v>
      </c>
      <c r="AS47" s="5">
        <f t="shared" ca="1" si="3"/>
        <v>664</v>
      </c>
      <c r="AT47" s="5">
        <f t="shared" ca="1" si="11"/>
        <v>0</v>
      </c>
    </row>
    <row r="48" spans="1:46" x14ac:dyDescent="0.2">
      <c r="A48" s="68">
        <f ca="1">Demand!C45</f>
        <v>45</v>
      </c>
      <c r="B48" s="68">
        <v>33</v>
      </c>
      <c r="C48" s="5">
        <f ca="1">'Demand background (hide)'!Y36</f>
        <v>450</v>
      </c>
      <c r="D48" s="68">
        <f t="shared" si="15"/>
        <v>0</v>
      </c>
      <c r="E48" s="68" t="e">
        <f t="shared" ca="1" si="16"/>
        <v>#N/A</v>
      </c>
      <c r="F48" s="68" t="e">
        <f t="shared" ca="1" si="17"/>
        <v>#N/A</v>
      </c>
      <c r="G48" s="68" t="e">
        <f t="shared" ca="1" si="18"/>
        <v>#N/A</v>
      </c>
      <c r="H48" s="68" t="e">
        <f>IF('Demand background (hide)'!AN36&lt;&gt;"",'SPC background (hide)'!C48,NA())</f>
        <v>#N/A</v>
      </c>
      <c r="I48" s="68">
        <f t="shared" ca="1" si="19"/>
        <v>1</v>
      </c>
      <c r="J48" s="5">
        <f t="shared" ca="1" si="20"/>
        <v>69.979541734860845</v>
      </c>
      <c r="K48" s="5">
        <f t="shared" ca="1" si="21"/>
        <v>211.65302782324056</v>
      </c>
      <c r="L48" s="5">
        <f t="shared" ca="1" si="22"/>
        <v>353.32651391162028</v>
      </c>
      <c r="M48" s="5">
        <f t="shared" ca="1" si="23"/>
        <v>495</v>
      </c>
      <c r="N48" s="5">
        <f t="shared" ca="1" si="24"/>
        <v>636.67348608837972</v>
      </c>
      <c r="O48" s="5">
        <f t="shared" ca="1" si="25"/>
        <v>778.34697217675944</v>
      </c>
      <c r="P48" s="5">
        <f t="shared" ca="1" si="26"/>
        <v>920.02045826513915</v>
      </c>
      <c r="Q48" s="5" t="e">
        <f t="shared" ca="1" si="27"/>
        <v>#N/A</v>
      </c>
      <c r="R48" s="5">
        <f t="shared" ca="1" si="32"/>
        <v>-1</v>
      </c>
      <c r="S48" s="68" t="e">
        <f t="shared" ca="1" si="33"/>
        <v>#N/A</v>
      </c>
      <c r="T48" s="68">
        <f t="shared" ca="1" si="34"/>
        <v>-1</v>
      </c>
      <c r="U48" s="68" t="e">
        <f t="shared" ca="1" si="35"/>
        <v>#N/A</v>
      </c>
      <c r="V48" s="5">
        <f t="shared" ca="1" si="14"/>
        <v>-1</v>
      </c>
      <c r="W48" s="5" t="e">
        <f t="shared" ca="1" si="28"/>
        <v>#N/A</v>
      </c>
      <c r="X48" s="68">
        <f t="shared" ca="1" si="29"/>
        <v>-1</v>
      </c>
      <c r="Y48" s="68" t="e">
        <f t="shared" ca="1" si="36"/>
        <v>#N/A</v>
      </c>
      <c r="Z48" s="68" t="e">
        <f t="shared" ca="1" si="37"/>
        <v>#N/A</v>
      </c>
      <c r="AA48" s="5" t="str">
        <f>IF(Setup!$I$15="Yes",'Demand background (hide)'!AJ36+'SPC background (hide)'!C48,"")</f>
        <v/>
      </c>
      <c r="AC48" s="5">
        <f t="shared" ca="1" si="30"/>
        <v>551.5</v>
      </c>
      <c r="AD48" s="5">
        <f t="shared" ca="1" si="31"/>
        <v>664</v>
      </c>
      <c r="AG48" s="68">
        <f t="shared" ca="1" si="12"/>
        <v>53</v>
      </c>
      <c r="AH48" s="68">
        <v>47</v>
      </c>
      <c r="AI48" s="68">
        <f t="shared" ca="1" si="4"/>
        <v>1</v>
      </c>
      <c r="AJ48" s="40">
        <f t="shared" ca="1" si="5"/>
        <v>141.67348608837972</v>
      </c>
      <c r="AK48" s="40">
        <f t="shared" ca="1" si="6"/>
        <v>69.979541734860845</v>
      </c>
      <c r="AL48" s="40">
        <f t="shared" ca="1" si="7"/>
        <v>211.65302782324056</v>
      </c>
      <c r="AM48" s="40">
        <f t="shared" ca="1" si="8"/>
        <v>353.32651391162028</v>
      </c>
      <c r="AN48" s="40">
        <f t="shared" ca="1" si="9"/>
        <v>495</v>
      </c>
      <c r="AO48" s="40">
        <f t="shared" ca="1" si="0"/>
        <v>636.67348608837972</v>
      </c>
      <c r="AP48" s="40">
        <f t="shared" ca="1" si="1"/>
        <v>778.34697217675944</v>
      </c>
      <c r="AQ48" s="40">
        <f t="shared" ca="1" si="2"/>
        <v>920.02045826513915</v>
      </c>
      <c r="AR48" s="5">
        <f t="shared" ca="1" si="10"/>
        <v>551.5</v>
      </c>
      <c r="AS48" s="5">
        <f t="shared" ca="1" si="3"/>
        <v>664</v>
      </c>
      <c r="AT48" s="5">
        <f t="shared" ca="1" si="11"/>
        <v>0</v>
      </c>
    </row>
    <row r="49" spans="1:46" x14ac:dyDescent="0.2">
      <c r="A49" s="68">
        <f ca="1">Demand!C46</f>
        <v>46</v>
      </c>
      <c r="B49" s="68">
        <v>34</v>
      </c>
      <c r="C49" s="5">
        <f ca="1">'Demand background (hide)'!Y37</f>
        <v>460</v>
      </c>
      <c r="D49" s="68">
        <f t="shared" si="15"/>
        <v>0</v>
      </c>
      <c r="E49" s="68" t="e">
        <f t="shared" ca="1" si="16"/>
        <v>#N/A</v>
      </c>
      <c r="F49" s="68" t="e">
        <f t="shared" ca="1" si="17"/>
        <v>#N/A</v>
      </c>
      <c r="G49" s="68" t="e">
        <f t="shared" ca="1" si="18"/>
        <v>#N/A</v>
      </c>
      <c r="H49" s="68" t="e">
        <f>IF('Demand background (hide)'!AN37&lt;&gt;"",'SPC background (hide)'!C49,NA())</f>
        <v>#N/A</v>
      </c>
      <c r="I49" s="68">
        <f t="shared" ca="1" si="19"/>
        <v>1</v>
      </c>
      <c r="J49" s="5">
        <f t="shared" ca="1" si="20"/>
        <v>69.979541734860845</v>
      </c>
      <c r="K49" s="5">
        <f t="shared" ca="1" si="21"/>
        <v>211.65302782324056</v>
      </c>
      <c r="L49" s="5">
        <f t="shared" ca="1" si="22"/>
        <v>353.32651391162028</v>
      </c>
      <c r="M49" s="5">
        <f t="shared" ca="1" si="23"/>
        <v>495</v>
      </c>
      <c r="N49" s="5">
        <f t="shared" ca="1" si="24"/>
        <v>636.67348608837972</v>
      </c>
      <c r="O49" s="5">
        <f t="shared" ca="1" si="25"/>
        <v>778.34697217675944</v>
      </c>
      <c r="P49" s="5">
        <f t="shared" ca="1" si="26"/>
        <v>920.02045826513915</v>
      </c>
      <c r="Q49" s="5" t="e">
        <f t="shared" ca="1" si="27"/>
        <v>#N/A</v>
      </c>
      <c r="R49" s="5">
        <f t="shared" ca="1" si="32"/>
        <v>-1</v>
      </c>
      <c r="S49" s="68" t="e">
        <f t="shared" ca="1" si="33"/>
        <v>#N/A</v>
      </c>
      <c r="T49" s="68">
        <f t="shared" ca="1" si="34"/>
        <v>-1</v>
      </c>
      <c r="U49" s="68" t="e">
        <f t="shared" ca="1" si="35"/>
        <v>#N/A</v>
      </c>
      <c r="V49" s="5">
        <f t="shared" ca="1" si="14"/>
        <v>-1</v>
      </c>
      <c r="W49" s="5" t="e">
        <f t="shared" ca="1" si="28"/>
        <v>#N/A</v>
      </c>
      <c r="X49" s="68">
        <f t="shared" ca="1" si="29"/>
        <v>1</v>
      </c>
      <c r="Y49" s="68" t="e">
        <f t="shared" ca="1" si="36"/>
        <v>#N/A</v>
      </c>
      <c r="Z49" s="68" t="e">
        <f t="shared" ca="1" si="37"/>
        <v>#N/A</v>
      </c>
      <c r="AA49" s="5" t="str">
        <f>IF(Setup!$I$15="Yes",'Demand background (hide)'!AJ37+'SPC background (hide)'!C49,"")</f>
        <v/>
      </c>
      <c r="AC49" s="5">
        <f t="shared" ca="1" si="30"/>
        <v>551.5</v>
      </c>
      <c r="AD49" s="5">
        <f t="shared" ca="1" si="31"/>
        <v>664</v>
      </c>
      <c r="AG49" s="68">
        <f t="shared" ca="1" si="12"/>
        <v>1</v>
      </c>
      <c r="AH49" s="68">
        <v>48</v>
      </c>
      <c r="AI49" s="68">
        <f t="shared" ca="1" si="4"/>
        <v>1</v>
      </c>
      <c r="AJ49" s="40">
        <f t="shared" ca="1" si="5"/>
        <v>141.67348608837972</v>
      </c>
      <c r="AK49" s="40">
        <f t="shared" ca="1" si="6"/>
        <v>69.979541734860845</v>
      </c>
      <c r="AL49" s="40">
        <f t="shared" ca="1" si="7"/>
        <v>211.65302782324056</v>
      </c>
      <c r="AM49" s="40">
        <f t="shared" ca="1" si="8"/>
        <v>353.32651391162028</v>
      </c>
      <c r="AN49" s="40">
        <f t="shared" ca="1" si="9"/>
        <v>495</v>
      </c>
      <c r="AO49" s="40">
        <f t="shared" ca="1" si="0"/>
        <v>636.67348608837972</v>
      </c>
      <c r="AP49" s="40">
        <f t="shared" ca="1" si="1"/>
        <v>778.34697217675944</v>
      </c>
      <c r="AQ49" s="40">
        <f t="shared" ca="1" si="2"/>
        <v>920.02045826513915</v>
      </c>
      <c r="AR49" s="5">
        <f t="shared" ca="1" si="10"/>
        <v>551.5</v>
      </c>
      <c r="AS49" s="5">
        <f t="shared" ca="1" si="3"/>
        <v>664</v>
      </c>
      <c r="AT49" s="5">
        <f t="shared" ca="1" si="11"/>
        <v>0</v>
      </c>
    </row>
    <row r="50" spans="1:46" x14ac:dyDescent="0.2">
      <c r="A50" s="68">
        <f ca="1">Demand!C47</f>
        <v>47</v>
      </c>
      <c r="B50" s="68">
        <v>35</v>
      </c>
      <c r="C50" s="5">
        <f ca="1">'Demand background (hide)'!Y38</f>
        <v>700</v>
      </c>
      <c r="D50" s="68">
        <f t="shared" si="15"/>
        <v>0</v>
      </c>
      <c r="E50" s="68" t="e">
        <f t="shared" ca="1" si="16"/>
        <v>#N/A</v>
      </c>
      <c r="F50" s="68" t="e">
        <f t="shared" ca="1" si="17"/>
        <v>#N/A</v>
      </c>
      <c r="G50" s="68" t="e">
        <f t="shared" ca="1" si="18"/>
        <v>#N/A</v>
      </c>
      <c r="H50" s="68" t="e">
        <f>IF('Demand background (hide)'!AN38&lt;&gt;"",'SPC background (hide)'!C50,NA())</f>
        <v>#N/A</v>
      </c>
      <c r="I50" s="68">
        <f t="shared" ca="1" si="19"/>
        <v>1</v>
      </c>
      <c r="J50" s="5">
        <f t="shared" ca="1" si="20"/>
        <v>69.979541734860845</v>
      </c>
      <c r="K50" s="5">
        <f t="shared" ca="1" si="21"/>
        <v>211.65302782324056</v>
      </c>
      <c r="L50" s="5">
        <f t="shared" ca="1" si="22"/>
        <v>353.32651391162028</v>
      </c>
      <c r="M50" s="5">
        <f t="shared" ca="1" si="23"/>
        <v>495</v>
      </c>
      <c r="N50" s="5">
        <f t="shared" ca="1" si="24"/>
        <v>636.67348608837972</v>
      </c>
      <c r="O50" s="5">
        <f t="shared" ca="1" si="25"/>
        <v>778.34697217675944</v>
      </c>
      <c r="P50" s="5">
        <f t="shared" ca="1" si="26"/>
        <v>920.02045826513915</v>
      </c>
      <c r="Q50" s="5" t="e">
        <f t="shared" ca="1" si="27"/>
        <v>#N/A</v>
      </c>
      <c r="R50" s="5">
        <f t="shared" ca="1" si="32"/>
        <v>1</v>
      </c>
      <c r="S50" s="68" t="e">
        <f t="shared" ca="1" si="33"/>
        <v>#N/A</v>
      </c>
      <c r="T50" s="68">
        <f t="shared" ca="1" si="34"/>
        <v>2</v>
      </c>
      <c r="U50" s="68" t="e">
        <f t="shared" ca="1" si="35"/>
        <v>#N/A</v>
      </c>
      <c r="V50" s="5">
        <f t="shared" ca="1" si="14"/>
        <v>1</v>
      </c>
      <c r="W50" s="5" t="e">
        <f t="shared" ca="1" si="28"/>
        <v>#N/A</v>
      </c>
      <c r="X50" s="68">
        <f t="shared" ca="1" si="29"/>
        <v>1</v>
      </c>
      <c r="Y50" s="68" t="e">
        <f t="shared" ca="1" si="36"/>
        <v>#N/A</v>
      </c>
      <c r="Z50" s="68" t="e">
        <f t="shared" ca="1" si="37"/>
        <v>#N/A</v>
      </c>
      <c r="AA50" s="5" t="str">
        <f>IF(Setup!$I$15="Yes",'Demand background (hide)'!AJ38+'SPC background (hide)'!C50,"")</f>
        <v/>
      </c>
      <c r="AC50" s="5">
        <f t="shared" ca="1" si="30"/>
        <v>551.5</v>
      </c>
      <c r="AD50" s="5">
        <f t="shared" ca="1" si="31"/>
        <v>664</v>
      </c>
      <c r="AG50" s="68">
        <f t="shared" ca="1" si="12"/>
        <v>2</v>
      </c>
      <c r="AH50" s="68">
        <v>49</v>
      </c>
      <c r="AI50" s="68">
        <f t="shared" ca="1" si="4"/>
        <v>1</v>
      </c>
      <c r="AJ50" s="40">
        <f t="shared" ca="1" si="5"/>
        <v>141.67348608837972</v>
      </c>
      <c r="AK50" s="40">
        <f t="shared" ca="1" si="6"/>
        <v>69.979541734860845</v>
      </c>
      <c r="AL50" s="40">
        <f t="shared" ca="1" si="7"/>
        <v>211.65302782324056</v>
      </c>
      <c r="AM50" s="40">
        <f t="shared" ca="1" si="8"/>
        <v>353.32651391162028</v>
      </c>
      <c r="AN50" s="40">
        <f t="shared" ca="1" si="9"/>
        <v>495</v>
      </c>
      <c r="AO50" s="40">
        <f t="shared" ca="1" si="0"/>
        <v>636.67348608837972</v>
      </c>
      <c r="AP50" s="40">
        <f t="shared" ca="1" si="1"/>
        <v>778.34697217675944</v>
      </c>
      <c r="AQ50" s="40">
        <f t="shared" ca="1" si="2"/>
        <v>920.02045826513915</v>
      </c>
      <c r="AR50" s="5">
        <f t="shared" ca="1" si="10"/>
        <v>551.5</v>
      </c>
      <c r="AS50" s="5">
        <f t="shared" ca="1" si="3"/>
        <v>664</v>
      </c>
      <c r="AT50" s="5">
        <f t="shared" ca="1" si="11"/>
        <v>0</v>
      </c>
    </row>
    <row r="51" spans="1:46" x14ac:dyDescent="0.2">
      <c r="A51" s="68">
        <f ca="1">Demand!C48</f>
        <v>48</v>
      </c>
      <c r="B51" s="68">
        <v>36</v>
      </c>
      <c r="C51" s="5">
        <f ca="1">'Demand background (hide)'!Y39</f>
        <v>570</v>
      </c>
      <c r="D51" s="68">
        <f t="shared" si="15"/>
        <v>0</v>
      </c>
      <c r="E51" s="68" t="e">
        <f t="shared" ca="1" si="16"/>
        <v>#N/A</v>
      </c>
      <c r="F51" s="68" t="e">
        <f t="shared" ca="1" si="17"/>
        <v>#N/A</v>
      </c>
      <c r="G51" s="68" t="e">
        <f t="shared" ca="1" si="18"/>
        <v>#N/A</v>
      </c>
      <c r="H51" s="68" t="e">
        <f>IF('Demand background (hide)'!AN39&lt;&gt;"",'SPC background (hide)'!C51,NA())</f>
        <v>#N/A</v>
      </c>
      <c r="I51" s="68">
        <f t="shared" ca="1" si="19"/>
        <v>1</v>
      </c>
      <c r="J51" s="5">
        <f t="shared" ca="1" si="20"/>
        <v>69.979541734860845</v>
      </c>
      <c r="K51" s="5">
        <f t="shared" ca="1" si="21"/>
        <v>211.65302782324056</v>
      </c>
      <c r="L51" s="5">
        <f t="shared" ca="1" si="22"/>
        <v>353.32651391162028</v>
      </c>
      <c r="M51" s="5">
        <f t="shared" ca="1" si="23"/>
        <v>495</v>
      </c>
      <c r="N51" s="5">
        <f t="shared" ca="1" si="24"/>
        <v>636.67348608837972</v>
      </c>
      <c r="O51" s="5">
        <f t="shared" ca="1" si="25"/>
        <v>778.34697217675944</v>
      </c>
      <c r="P51" s="5">
        <f t="shared" ca="1" si="26"/>
        <v>920.02045826513915</v>
      </c>
      <c r="Q51" s="5" t="e">
        <f t="shared" ca="1" si="27"/>
        <v>#N/A</v>
      </c>
      <c r="R51" s="5">
        <f t="shared" ca="1" si="32"/>
        <v>1</v>
      </c>
      <c r="S51" s="68" t="e">
        <f t="shared" ca="1" si="33"/>
        <v>#N/A</v>
      </c>
      <c r="T51" s="68">
        <f t="shared" ca="1" si="34"/>
        <v>1</v>
      </c>
      <c r="U51" s="68" t="e">
        <f t="shared" ca="1" si="35"/>
        <v>#N/A</v>
      </c>
      <c r="V51" s="5">
        <f t="shared" ca="1" si="14"/>
        <v>1</v>
      </c>
      <c r="W51" s="5" t="e">
        <f t="shared" ca="1" si="28"/>
        <v>#N/A</v>
      </c>
      <c r="X51" s="68">
        <f t="shared" ca="1" si="29"/>
        <v>-1</v>
      </c>
      <c r="Y51" s="68" t="e">
        <f t="shared" ca="1" si="36"/>
        <v>#N/A</v>
      </c>
      <c r="Z51" s="68" t="e">
        <f t="shared" ca="1" si="37"/>
        <v>#N/A</v>
      </c>
      <c r="AA51" s="5" t="str">
        <f>IF(Setup!$I$15="Yes",'Demand background (hide)'!AJ39+'SPC background (hide)'!C51,"")</f>
        <v/>
      </c>
      <c r="AC51" s="5">
        <f t="shared" ca="1" si="30"/>
        <v>551.5</v>
      </c>
      <c r="AD51" s="5">
        <f t="shared" ca="1" si="31"/>
        <v>664</v>
      </c>
      <c r="AG51" s="68">
        <f t="shared" ca="1" si="12"/>
        <v>3</v>
      </c>
      <c r="AH51" s="68">
        <v>50</v>
      </c>
      <c r="AI51" s="68">
        <f t="shared" ca="1" si="4"/>
        <v>1</v>
      </c>
      <c r="AJ51" s="40">
        <f t="shared" ca="1" si="5"/>
        <v>141.67348608837972</v>
      </c>
      <c r="AK51" s="40">
        <f t="shared" ca="1" si="6"/>
        <v>69.979541734860845</v>
      </c>
      <c r="AL51" s="40">
        <f t="shared" ca="1" si="7"/>
        <v>211.65302782324056</v>
      </c>
      <c r="AM51" s="40">
        <f t="shared" ca="1" si="8"/>
        <v>353.32651391162028</v>
      </c>
      <c r="AN51" s="40">
        <f t="shared" ca="1" si="9"/>
        <v>495</v>
      </c>
      <c r="AO51" s="40">
        <f t="shared" ca="1" si="0"/>
        <v>636.67348608837972</v>
      </c>
      <c r="AP51" s="40">
        <f t="shared" ca="1" si="1"/>
        <v>778.34697217675944</v>
      </c>
      <c r="AQ51" s="40">
        <f t="shared" ca="1" si="2"/>
        <v>920.02045826513915</v>
      </c>
      <c r="AR51" s="5">
        <f t="shared" ca="1" si="10"/>
        <v>551.5</v>
      </c>
      <c r="AS51" s="5">
        <f t="shared" ca="1" si="3"/>
        <v>664</v>
      </c>
      <c r="AT51" s="5">
        <f t="shared" ca="1" si="11"/>
        <v>0</v>
      </c>
    </row>
    <row r="52" spans="1:46" x14ac:dyDescent="0.2">
      <c r="A52" s="68">
        <f ca="1">Demand!C49</f>
        <v>49</v>
      </c>
      <c r="B52" s="68">
        <v>37</v>
      </c>
      <c r="C52" s="5">
        <f ca="1">'Demand background (hide)'!Y40</f>
        <v>600</v>
      </c>
      <c r="D52" s="68">
        <f t="shared" si="15"/>
        <v>0</v>
      </c>
      <c r="E52" s="68" t="e">
        <f t="shared" ca="1" si="16"/>
        <v>#N/A</v>
      </c>
      <c r="F52" s="68" t="e">
        <f t="shared" ca="1" si="17"/>
        <v>#N/A</v>
      </c>
      <c r="G52" s="68" t="e">
        <f t="shared" ca="1" si="18"/>
        <v>#N/A</v>
      </c>
      <c r="H52" s="68" t="e">
        <f>IF('Demand background (hide)'!AN40&lt;&gt;"",'SPC background (hide)'!C52,NA())</f>
        <v>#N/A</v>
      </c>
      <c r="I52" s="68">
        <f t="shared" ca="1" si="19"/>
        <v>1</v>
      </c>
      <c r="J52" s="5">
        <f t="shared" ca="1" si="20"/>
        <v>69.979541734860845</v>
      </c>
      <c r="K52" s="5">
        <f t="shared" ca="1" si="21"/>
        <v>211.65302782324056</v>
      </c>
      <c r="L52" s="5">
        <f t="shared" ca="1" si="22"/>
        <v>353.32651391162028</v>
      </c>
      <c r="M52" s="5">
        <f t="shared" ca="1" si="23"/>
        <v>495</v>
      </c>
      <c r="N52" s="5">
        <f t="shared" ca="1" si="24"/>
        <v>636.67348608837972</v>
      </c>
      <c r="O52" s="5">
        <f t="shared" ca="1" si="25"/>
        <v>778.34697217675944</v>
      </c>
      <c r="P52" s="5">
        <f t="shared" ca="1" si="26"/>
        <v>920.02045826513915</v>
      </c>
      <c r="Q52" s="5" t="e">
        <f t="shared" ca="1" si="27"/>
        <v>#N/A</v>
      </c>
      <c r="R52" s="5">
        <f t="shared" ca="1" si="32"/>
        <v>1</v>
      </c>
      <c r="S52" s="68" t="e">
        <f t="shared" ca="1" si="33"/>
        <v>#N/A</v>
      </c>
      <c r="T52" s="68">
        <f t="shared" ca="1" si="34"/>
        <v>1</v>
      </c>
      <c r="U52" s="68" t="e">
        <f t="shared" ca="1" si="35"/>
        <v>#N/A</v>
      </c>
      <c r="V52" s="5">
        <f t="shared" ca="1" si="14"/>
        <v>1</v>
      </c>
      <c r="W52" s="5" t="e">
        <f t="shared" ca="1" si="28"/>
        <v>#N/A</v>
      </c>
      <c r="X52" s="68">
        <f t="shared" ca="1" si="29"/>
        <v>1</v>
      </c>
      <c r="Y52" s="68" t="e">
        <f t="shared" ca="1" si="36"/>
        <v>#N/A</v>
      </c>
      <c r="Z52" s="68" t="e">
        <f t="shared" ca="1" si="37"/>
        <v>#N/A</v>
      </c>
      <c r="AA52" s="5" t="str">
        <f>IF(Setup!$I$15="Yes",'Demand background (hide)'!AJ40+'SPC background (hide)'!C52,"")</f>
        <v/>
      </c>
      <c r="AC52" s="5">
        <f t="shared" ca="1" si="30"/>
        <v>551.5</v>
      </c>
      <c r="AD52" s="5">
        <f t="shared" ca="1" si="31"/>
        <v>664</v>
      </c>
      <c r="AG52" s="68">
        <f t="shared" ca="1" si="12"/>
        <v>4</v>
      </c>
      <c r="AH52" s="68">
        <v>51</v>
      </c>
      <c r="AI52" s="68">
        <f t="shared" ca="1" si="4"/>
        <v>1</v>
      </c>
      <c r="AJ52" s="40">
        <f t="shared" ca="1" si="5"/>
        <v>141.67348608837972</v>
      </c>
      <c r="AK52" s="40">
        <f t="shared" ca="1" si="6"/>
        <v>69.979541734860845</v>
      </c>
      <c r="AL52" s="40">
        <f t="shared" ca="1" si="7"/>
        <v>211.65302782324056</v>
      </c>
      <c r="AM52" s="40">
        <f t="shared" ca="1" si="8"/>
        <v>353.32651391162028</v>
      </c>
      <c r="AN52" s="40">
        <f t="shared" ca="1" si="9"/>
        <v>495</v>
      </c>
      <c r="AO52" s="40">
        <f t="shared" ca="1" si="0"/>
        <v>636.67348608837972</v>
      </c>
      <c r="AP52" s="40">
        <f t="shared" ca="1" si="1"/>
        <v>778.34697217675944</v>
      </c>
      <c r="AQ52" s="40">
        <f t="shared" ca="1" si="2"/>
        <v>920.02045826513915</v>
      </c>
      <c r="AR52" s="5">
        <f t="shared" ca="1" si="10"/>
        <v>551.5</v>
      </c>
      <c r="AS52" s="5">
        <f t="shared" ca="1" si="3"/>
        <v>664</v>
      </c>
      <c r="AT52" s="5">
        <f t="shared" ca="1" si="11"/>
        <v>0</v>
      </c>
    </row>
    <row r="53" spans="1:46" x14ac:dyDescent="0.2">
      <c r="A53" s="68">
        <f ca="1">Demand!C50</f>
        <v>50</v>
      </c>
      <c r="B53" s="68">
        <v>38</v>
      </c>
      <c r="C53" s="5">
        <f ca="1">'Demand background (hide)'!Y41</f>
        <v>510</v>
      </c>
      <c r="D53" s="68">
        <f t="shared" si="15"/>
        <v>0</v>
      </c>
      <c r="E53" s="68" t="e">
        <f t="shared" ca="1" si="16"/>
        <v>#N/A</v>
      </c>
      <c r="F53" s="68" t="e">
        <f t="shared" ca="1" si="17"/>
        <v>#N/A</v>
      </c>
      <c r="G53" s="68" t="e">
        <f t="shared" ca="1" si="18"/>
        <v>#N/A</v>
      </c>
      <c r="H53" s="68" t="e">
        <f>IF('Demand background (hide)'!AN41&lt;&gt;"",'SPC background (hide)'!C53,NA())</f>
        <v>#N/A</v>
      </c>
      <c r="I53" s="68">
        <f t="shared" ca="1" si="19"/>
        <v>1</v>
      </c>
      <c r="J53" s="5">
        <f t="shared" ca="1" si="20"/>
        <v>69.979541734860845</v>
      </c>
      <c r="K53" s="5">
        <f t="shared" ca="1" si="21"/>
        <v>211.65302782324056</v>
      </c>
      <c r="L53" s="5">
        <f t="shared" ca="1" si="22"/>
        <v>353.32651391162028</v>
      </c>
      <c r="M53" s="5">
        <f t="shared" ca="1" si="23"/>
        <v>495</v>
      </c>
      <c r="N53" s="5">
        <f t="shared" ca="1" si="24"/>
        <v>636.67348608837972</v>
      </c>
      <c r="O53" s="5">
        <f t="shared" ca="1" si="25"/>
        <v>778.34697217675944</v>
      </c>
      <c r="P53" s="5">
        <f t="shared" ca="1" si="26"/>
        <v>920.02045826513915</v>
      </c>
      <c r="Q53" s="5" t="e">
        <f t="shared" ca="1" si="27"/>
        <v>#N/A</v>
      </c>
      <c r="R53" s="5">
        <f t="shared" ca="1" si="32"/>
        <v>1</v>
      </c>
      <c r="S53" s="68" t="e">
        <f t="shared" ca="1" si="33"/>
        <v>#N/A</v>
      </c>
      <c r="T53" s="68">
        <f t="shared" ca="1" si="34"/>
        <v>1</v>
      </c>
      <c r="U53" s="68" t="e">
        <f t="shared" ca="1" si="35"/>
        <v>#N/A</v>
      </c>
      <c r="V53" s="5">
        <f t="shared" ca="1" si="14"/>
        <v>1</v>
      </c>
      <c r="W53" s="5" t="e">
        <f t="shared" ca="1" si="28"/>
        <v>#N/A</v>
      </c>
      <c r="X53" s="68">
        <f t="shared" ca="1" si="29"/>
        <v>-1</v>
      </c>
      <c r="Y53" s="68" t="e">
        <f t="shared" ca="1" si="36"/>
        <v>#N/A</v>
      </c>
      <c r="Z53" s="68" t="e">
        <f t="shared" ca="1" si="37"/>
        <v>#N/A</v>
      </c>
      <c r="AA53" s="5" t="str">
        <f>IF(Setup!$I$15="Yes",'Demand background (hide)'!AJ41+'SPC background (hide)'!C53,"")</f>
        <v/>
      </c>
      <c r="AC53" s="5">
        <f t="shared" ca="1" si="30"/>
        <v>551.5</v>
      </c>
      <c r="AD53" s="5">
        <f t="shared" ca="1" si="31"/>
        <v>664</v>
      </c>
      <c r="AG53" s="68">
        <f t="shared" ca="1" si="12"/>
        <v>5</v>
      </c>
      <c r="AH53" s="68">
        <v>52</v>
      </c>
      <c r="AI53" s="68">
        <f t="shared" ca="1" si="4"/>
        <v>1</v>
      </c>
      <c r="AJ53" s="40">
        <f t="shared" ca="1" si="5"/>
        <v>141.67348608837972</v>
      </c>
      <c r="AK53" s="40">
        <f t="shared" ca="1" si="6"/>
        <v>69.979541734860845</v>
      </c>
      <c r="AL53" s="40">
        <f t="shared" ca="1" si="7"/>
        <v>211.65302782324056</v>
      </c>
      <c r="AM53" s="40">
        <f t="shared" ca="1" si="8"/>
        <v>353.32651391162028</v>
      </c>
      <c r="AN53" s="40">
        <f t="shared" ca="1" si="9"/>
        <v>495</v>
      </c>
      <c r="AO53" s="40">
        <f t="shared" ca="1" si="0"/>
        <v>636.67348608837972</v>
      </c>
      <c r="AP53" s="40">
        <f t="shared" ca="1" si="1"/>
        <v>778.34697217675944</v>
      </c>
      <c r="AQ53" s="40">
        <f t="shared" ca="1" si="2"/>
        <v>920.02045826513915</v>
      </c>
      <c r="AR53" s="5">
        <f t="shared" ca="1" si="10"/>
        <v>551.5</v>
      </c>
      <c r="AS53" s="5">
        <f t="shared" ca="1" si="3"/>
        <v>664</v>
      </c>
      <c r="AT53" s="5">
        <f t="shared" ca="1" si="11"/>
        <v>0</v>
      </c>
    </row>
    <row r="54" spans="1:46" x14ac:dyDescent="0.2">
      <c r="A54" s="68">
        <f ca="1">Demand!C51</f>
        <v>51</v>
      </c>
      <c r="B54" s="68">
        <v>39</v>
      </c>
      <c r="C54" s="5">
        <f ca="1">'Demand background (hide)'!Y42</f>
        <v>300</v>
      </c>
      <c r="D54" s="68">
        <f t="shared" si="15"/>
        <v>0</v>
      </c>
      <c r="E54" s="68" t="e">
        <f t="shared" ca="1" si="16"/>
        <v>#N/A</v>
      </c>
      <c r="F54" s="68" t="e">
        <f t="shared" ca="1" si="17"/>
        <v>#N/A</v>
      </c>
      <c r="G54" s="68" t="e">
        <f t="shared" ca="1" si="18"/>
        <v>#N/A</v>
      </c>
      <c r="H54" s="68" t="e">
        <f>IF('Demand background (hide)'!AN42&lt;&gt;"",'SPC background (hide)'!C54,NA())</f>
        <v>#N/A</v>
      </c>
      <c r="I54" s="68">
        <f t="shared" ca="1" si="19"/>
        <v>1</v>
      </c>
      <c r="J54" s="5">
        <f t="shared" ca="1" si="20"/>
        <v>69.979541734860845</v>
      </c>
      <c r="K54" s="5">
        <f t="shared" ca="1" si="21"/>
        <v>211.65302782324056</v>
      </c>
      <c r="L54" s="5">
        <f t="shared" ca="1" si="22"/>
        <v>353.32651391162028</v>
      </c>
      <c r="M54" s="5">
        <f t="shared" ca="1" si="23"/>
        <v>495</v>
      </c>
      <c r="N54" s="5">
        <f t="shared" ca="1" si="24"/>
        <v>636.67348608837972</v>
      </c>
      <c r="O54" s="5">
        <f t="shared" ca="1" si="25"/>
        <v>778.34697217675944</v>
      </c>
      <c r="P54" s="5">
        <f t="shared" ca="1" si="26"/>
        <v>920.02045826513915</v>
      </c>
      <c r="Q54" s="5" t="e">
        <f t="shared" ca="1" si="27"/>
        <v>#N/A</v>
      </c>
      <c r="R54" s="5">
        <f t="shared" ca="1" si="32"/>
        <v>-1</v>
      </c>
      <c r="S54" s="68" t="e">
        <f t="shared" ca="1" si="33"/>
        <v>#N/A</v>
      </c>
      <c r="T54" s="68">
        <f t="shared" ca="1" si="34"/>
        <v>-2</v>
      </c>
      <c r="U54" s="68" t="e">
        <f t="shared" ca="1" si="35"/>
        <v>#N/A</v>
      </c>
      <c r="V54" s="5">
        <f t="shared" ca="1" si="14"/>
        <v>-1</v>
      </c>
      <c r="W54" s="5" t="e">
        <f t="shared" ca="1" si="28"/>
        <v>#N/A</v>
      </c>
      <c r="X54" s="68">
        <f t="shared" ca="1" si="29"/>
        <v>-1</v>
      </c>
      <c r="Y54" s="68" t="e">
        <f t="shared" ca="1" si="36"/>
        <v>#N/A</v>
      </c>
      <c r="Z54" s="68" t="e">
        <f t="shared" ca="1" si="37"/>
        <v>#N/A</v>
      </c>
      <c r="AA54" s="5" t="str">
        <f>IF(Setup!$I$15="Yes",'Demand background (hide)'!AJ42+'SPC background (hide)'!C54,"")</f>
        <v/>
      </c>
      <c r="AC54" s="5">
        <f t="shared" ca="1" si="30"/>
        <v>551.5</v>
      </c>
      <c r="AD54" s="5">
        <f t="shared" ca="1" si="31"/>
        <v>664</v>
      </c>
      <c r="AG54" s="68">
        <f t="shared" ca="1" si="12"/>
        <v>6</v>
      </c>
      <c r="AH54" s="68">
        <v>53</v>
      </c>
      <c r="AI54" s="68">
        <f t="shared" ca="1" si="4"/>
        <v>5</v>
      </c>
      <c r="AJ54" s="40">
        <f t="shared" ca="1" si="5"/>
        <v>141.67348608837972</v>
      </c>
      <c r="AK54" s="40">
        <f t="shared" ca="1" si="6"/>
        <v>69.979541734860845</v>
      </c>
      <c r="AL54" s="40">
        <f t="shared" ca="1" si="7"/>
        <v>211.65302782324056</v>
      </c>
      <c r="AM54" s="40">
        <f t="shared" ca="1" si="8"/>
        <v>353.32651391162028</v>
      </c>
      <c r="AN54" s="40">
        <f t="shared" ca="1" si="9"/>
        <v>495</v>
      </c>
      <c r="AO54" s="40">
        <f t="shared" ca="1" si="0"/>
        <v>636.67348608837972</v>
      </c>
      <c r="AP54" s="40">
        <f t="shared" ca="1" si="1"/>
        <v>778.34697217675944</v>
      </c>
      <c r="AQ54" s="40">
        <f t="shared" ca="1" si="2"/>
        <v>920.02045826513915</v>
      </c>
      <c r="AR54" s="5">
        <f t="shared" ca="1" si="10"/>
        <v>551.5</v>
      </c>
      <c r="AS54" s="5">
        <f t="shared" ca="1" si="3"/>
        <v>664</v>
      </c>
      <c r="AT54" s="5">
        <f t="shared" ca="1" si="11"/>
        <v>0</v>
      </c>
    </row>
    <row r="55" spans="1:46" x14ac:dyDescent="0.2">
      <c r="A55" s="68">
        <f ca="1">Demand!C52</f>
        <v>52</v>
      </c>
      <c r="B55" s="68">
        <v>40</v>
      </c>
      <c r="C55" s="5">
        <f ca="1">'Demand background (hide)'!Y43</f>
        <v>770</v>
      </c>
      <c r="D55" s="68">
        <f t="shared" si="15"/>
        <v>0</v>
      </c>
      <c r="E55" s="68" t="e">
        <f t="shared" ca="1" si="16"/>
        <v>#N/A</v>
      </c>
      <c r="F55" s="68" t="e">
        <f t="shared" ca="1" si="17"/>
        <v>#N/A</v>
      </c>
      <c r="G55" s="68" t="e">
        <f t="shared" ca="1" si="18"/>
        <v>#N/A</v>
      </c>
      <c r="H55" s="68" t="e">
        <f>IF('Demand background (hide)'!AN43&lt;&gt;"",'SPC background (hide)'!C55,NA())</f>
        <v>#N/A</v>
      </c>
      <c r="I55" s="68">
        <f t="shared" ca="1" si="19"/>
        <v>1</v>
      </c>
      <c r="J55" s="5">
        <f t="shared" ca="1" si="20"/>
        <v>69.979541734860845</v>
      </c>
      <c r="K55" s="5">
        <f t="shared" ca="1" si="21"/>
        <v>211.65302782324056</v>
      </c>
      <c r="L55" s="5">
        <f t="shared" ca="1" si="22"/>
        <v>353.32651391162028</v>
      </c>
      <c r="M55" s="5">
        <f t="shared" ca="1" si="23"/>
        <v>495</v>
      </c>
      <c r="N55" s="5">
        <f t="shared" ca="1" si="24"/>
        <v>636.67348608837972</v>
      </c>
      <c r="O55" s="5">
        <f t="shared" ca="1" si="25"/>
        <v>778.34697217675944</v>
      </c>
      <c r="P55" s="5">
        <f t="shared" ca="1" si="26"/>
        <v>920.02045826513915</v>
      </c>
      <c r="Q55" s="5" t="e">
        <f t="shared" ca="1" si="27"/>
        <v>#N/A</v>
      </c>
      <c r="R55" s="5">
        <f t="shared" ca="1" si="32"/>
        <v>1</v>
      </c>
      <c r="S55" s="68" t="e">
        <f t="shared" ca="1" si="33"/>
        <v>#N/A</v>
      </c>
      <c r="T55" s="68">
        <f t="shared" ca="1" si="34"/>
        <v>2</v>
      </c>
      <c r="U55" s="68" t="e">
        <f t="shared" ca="1" si="35"/>
        <v>#N/A</v>
      </c>
      <c r="V55" s="5">
        <f t="shared" ca="1" si="14"/>
        <v>1</v>
      </c>
      <c r="W55" s="5" t="e">
        <f t="shared" ca="1" si="28"/>
        <v>#N/A</v>
      </c>
      <c r="X55" s="68">
        <f t="shared" ca="1" si="29"/>
        <v>1</v>
      </c>
      <c r="Y55" s="68" t="e">
        <f t="shared" ca="1" si="36"/>
        <v>#N/A</v>
      </c>
      <c r="Z55" s="68" t="e">
        <f t="shared" ca="1" si="37"/>
        <v>#N/A</v>
      </c>
      <c r="AA55" s="5" t="str">
        <f>IF(Setup!$I$15="Yes",'Demand background (hide)'!AJ43+'SPC background (hide)'!C55,"")</f>
        <v/>
      </c>
      <c r="AC55" s="5">
        <f t="shared" ca="1" si="30"/>
        <v>551.5</v>
      </c>
      <c r="AD55" s="5">
        <f t="shared" ca="1" si="31"/>
        <v>664</v>
      </c>
    </row>
    <row r="56" spans="1:46" x14ac:dyDescent="0.2">
      <c r="A56" s="68">
        <f ca="1">Demand!C53</f>
        <v>1</v>
      </c>
      <c r="B56" s="68">
        <v>41</v>
      </c>
      <c r="C56" s="5">
        <f ca="1">'Demand background (hide)'!Y44</f>
        <v>510</v>
      </c>
      <c r="D56" s="68">
        <f t="shared" si="15"/>
        <v>0</v>
      </c>
      <c r="E56" s="68" t="e">
        <f t="shared" ca="1" si="16"/>
        <v>#N/A</v>
      </c>
      <c r="F56" s="68" t="e">
        <f t="shared" ca="1" si="17"/>
        <v>#N/A</v>
      </c>
      <c r="G56" s="68" t="e">
        <f t="shared" ca="1" si="18"/>
        <v>#N/A</v>
      </c>
      <c r="H56" s="68" t="e">
        <f>IF('Demand background (hide)'!AN44&lt;&gt;"",'SPC background (hide)'!C56,NA())</f>
        <v>#N/A</v>
      </c>
      <c r="I56" s="68">
        <f t="shared" ca="1" si="19"/>
        <v>1</v>
      </c>
      <c r="J56" s="5">
        <f t="shared" ca="1" si="20"/>
        <v>69.979541734860845</v>
      </c>
      <c r="K56" s="5">
        <f t="shared" ca="1" si="21"/>
        <v>211.65302782324056</v>
      </c>
      <c r="L56" s="5">
        <f t="shared" ca="1" si="22"/>
        <v>353.32651391162028</v>
      </c>
      <c r="M56" s="5">
        <f t="shared" ca="1" si="23"/>
        <v>495</v>
      </c>
      <c r="N56" s="5">
        <f t="shared" ca="1" si="24"/>
        <v>636.67348608837972</v>
      </c>
      <c r="O56" s="5">
        <f t="shared" ca="1" si="25"/>
        <v>778.34697217675944</v>
      </c>
      <c r="P56" s="5">
        <f t="shared" ca="1" si="26"/>
        <v>920.02045826513915</v>
      </c>
      <c r="Q56" s="5" t="e">
        <f t="shared" ca="1" si="27"/>
        <v>#N/A</v>
      </c>
      <c r="R56" s="5">
        <f t="shared" ca="1" si="32"/>
        <v>1</v>
      </c>
      <c r="S56" s="68" t="e">
        <f t="shared" ca="1" si="33"/>
        <v>#N/A</v>
      </c>
      <c r="T56" s="68">
        <f t="shared" ca="1" si="34"/>
        <v>1</v>
      </c>
      <c r="U56" s="68" t="e">
        <f t="shared" ca="1" si="35"/>
        <v>#N/A</v>
      </c>
      <c r="V56" s="5">
        <f t="shared" ca="1" si="14"/>
        <v>1</v>
      </c>
      <c r="W56" s="5" t="e">
        <f t="shared" ca="1" si="28"/>
        <v>#N/A</v>
      </c>
      <c r="X56" s="68">
        <f t="shared" ca="1" si="29"/>
        <v>-1</v>
      </c>
      <c r="Y56" s="68" t="e">
        <f t="shared" ca="1" si="36"/>
        <v>#N/A</v>
      </c>
      <c r="Z56" s="68" t="e">
        <f t="shared" ca="1" si="37"/>
        <v>#N/A</v>
      </c>
      <c r="AA56" s="5" t="str">
        <f>IF(Setup!$I$15="Yes",'Demand background (hide)'!AJ44+'SPC background (hide)'!C56,"")</f>
        <v/>
      </c>
      <c r="AC56" s="5">
        <f t="shared" ca="1" si="30"/>
        <v>551.5</v>
      </c>
      <c r="AD56" s="5">
        <f t="shared" ca="1" si="31"/>
        <v>664</v>
      </c>
    </row>
    <row r="57" spans="1:46" x14ac:dyDescent="0.2">
      <c r="A57" s="68">
        <f ca="1">Demand!C54</f>
        <v>2</v>
      </c>
      <c r="B57" s="68">
        <v>42</v>
      </c>
      <c r="C57" s="5">
        <f ca="1">'Demand background (hide)'!Y45</f>
        <v>440</v>
      </c>
      <c r="D57" s="68">
        <f t="shared" si="15"/>
        <v>0</v>
      </c>
      <c r="E57" s="68" t="e">
        <f t="shared" ca="1" si="16"/>
        <v>#N/A</v>
      </c>
      <c r="F57" s="68" t="e">
        <f t="shared" ca="1" si="17"/>
        <v>#N/A</v>
      </c>
      <c r="G57" s="68" t="e">
        <f t="shared" ca="1" si="18"/>
        <v>#N/A</v>
      </c>
      <c r="H57" s="68" t="e">
        <f>IF('Demand background (hide)'!AN45&lt;&gt;"",'SPC background (hide)'!C57,NA())</f>
        <v>#N/A</v>
      </c>
      <c r="I57" s="68">
        <f t="shared" ca="1" si="19"/>
        <v>1</v>
      </c>
      <c r="J57" s="5">
        <f t="shared" ca="1" si="20"/>
        <v>69.979541734860845</v>
      </c>
      <c r="K57" s="5">
        <f t="shared" ca="1" si="21"/>
        <v>211.65302782324056</v>
      </c>
      <c r="L57" s="5">
        <f t="shared" ca="1" si="22"/>
        <v>353.32651391162028</v>
      </c>
      <c r="M57" s="5">
        <f t="shared" ca="1" si="23"/>
        <v>495</v>
      </c>
      <c r="N57" s="5">
        <f t="shared" ca="1" si="24"/>
        <v>636.67348608837972</v>
      </c>
      <c r="O57" s="5">
        <f t="shared" ca="1" si="25"/>
        <v>778.34697217675944</v>
      </c>
      <c r="P57" s="5">
        <f t="shared" ca="1" si="26"/>
        <v>920.02045826513915</v>
      </c>
      <c r="Q57" s="5" t="e">
        <f t="shared" ca="1" si="27"/>
        <v>#N/A</v>
      </c>
      <c r="R57" s="5">
        <f t="shared" ca="1" si="32"/>
        <v>-1</v>
      </c>
      <c r="S57" s="68" t="e">
        <f t="shared" ca="1" si="33"/>
        <v>#N/A</v>
      </c>
      <c r="T57" s="68">
        <f t="shared" ca="1" si="34"/>
        <v>-1</v>
      </c>
      <c r="U57" s="68" t="e">
        <f t="shared" ca="1" si="35"/>
        <v>#N/A</v>
      </c>
      <c r="V57" s="5">
        <f t="shared" ca="1" si="14"/>
        <v>-1</v>
      </c>
      <c r="W57" s="5" t="e">
        <f t="shared" ca="1" si="28"/>
        <v>#N/A</v>
      </c>
      <c r="X57" s="68">
        <f t="shared" ca="1" si="29"/>
        <v>-1</v>
      </c>
      <c r="Y57" s="68" t="e">
        <f t="shared" ca="1" si="36"/>
        <v>#N/A</v>
      </c>
      <c r="Z57" s="68" t="e">
        <f t="shared" ca="1" si="37"/>
        <v>#N/A</v>
      </c>
      <c r="AA57" s="5" t="str">
        <f>IF(Setup!$I$15="Yes",'Demand background (hide)'!AJ45+'SPC background (hide)'!C57,"")</f>
        <v/>
      </c>
      <c r="AC57" s="5">
        <f t="shared" ca="1" si="30"/>
        <v>551.5</v>
      </c>
      <c r="AD57" s="5">
        <f t="shared" ca="1" si="31"/>
        <v>664</v>
      </c>
    </row>
    <row r="58" spans="1:46" x14ac:dyDescent="0.2">
      <c r="A58" s="68">
        <f ca="1">Demand!C55</f>
        <v>3</v>
      </c>
      <c r="B58" s="68">
        <v>43</v>
      </c>
      <c r="C58" s="5">
        <f ca="1">'Demand background (hide)'!Y46</f>
        <v>650</v>
      </c>
      <c r="D58" s="68">
        <f t="shared" si="15"/>
        <v>0</v>
      </c>
      <c r="E58" s="68" t="e">
        <f t="shared" ca="1" si="16"/>
        <v>#N/A</v>
      </c>
      <c r="F58" s="68" t="e">
        <f t="shared" ca="1" si="17"/>
        <v>#N/A</v>
      </c>
      <c r="G58" s="68" t="e">
        <f t="shared" ca="1" si="18"/>
        <v>#N/A</v>
      </c>
      <c r="H58" s="68" t="e">
        <f>IF('Demand background (hide)'!AN46&lt;&gt;"",'SPC background (hide)'!C58,NA())</f>
        <v>#N/A</v>
      </c>
      <c r="I58" s="68">
        <f t="shared" ca="1" si="19"/>
        <v>1</v>
      </c>
      <c r="J58" s="5">
        <f t="shared" ca="1" si="20"/>
        <v>69.979541734860845</v>
      </c>
      <c r="K58" s="5">
        <f t="shared" ca="1" si="21"/>
        <v>211.65302782324056</v>
      </c>
      <c r="L58" s="5">
        <f t="shared" ca="1" si="22"/>
        <v>353.32651391162028</v>
      </c>
      <c r="M58" s="5">
        <f t="shared" ca="1" si="23"/>
        <v>495</v>
      </c>
      <c r="N58" s="5">
        <f t="shared" ca="1" si="24"/>
        <v>636.67348608837972</v>
      </c>
      <c r="O58" s="5">
        <f t="shared" ca="1" si="25"/>
        <v>778.34697217675944</v>
      </c>
      <c r="P58" s="5">
        <f t="shared" ca="1" si="26"/>
        <v>920.02045826513915</v>
      </c>
      <c r="Q58" s="5" t="e">
        <f t="shared" ca="1" si="27"/>
        <v>#N/A</v>
      </c>
      <c r="R58" s="5">
        <f t="shared" ca="1" si="32"/>
        <v>1</v>
      </c>
      <c r="S58" s="68" t="e">
        <f t="shared" ca="1" si="33"/>
        <v>#N/A</v>
      </c>
      <c r="T58" s="68">
        <f t="shared" ca="1" si="34"/>
        <v>2</v>
      </c>
      <c r="U58" s="68" t="e">
        <f t="shared" ca="1" si="35"/>
        <v>#N/A</v>
      </c>
      <c r="V58" s="5">
        <f t="shared" ca="1" si="14"/>
        <v>1</v>
      </c>
      <c r="W58" s="5" t="e">
        <f t="shared" ca="1" si="28"/>
        <v>#N/A</v>
      </c>
      <c r="X58" s="68">
        <f t="shared" ca="1" si="29"/>
        <v>1</v>
      </c>
      <c r="Y58" s="68" t="e">
        <f t="shared" ca="1" si="36"/>
        <v>#N/A</v>
      </c>
      <c r="Z58" s="68" t="e">
        <f t="shared" ca="1" si="37"/>
        <v>#N/A</v>
      </c>
      <c r="AA58" s="5" t="str">
        <f>IF(Setup!$I$15="Yes",'Demand background (hide)'!AJ46+'SPC background (hide)'!C58,"")</f>
        <v/>
      </c>
      <c r="AC58" s="5">
        <f t="shared" ca="1" si="30"/>
        <v>551.5</v>
      </c>
      <c r="AD58" s="5">
        <f t="shared" ca="1" si="31"/>
        <v>664</v>
      </c>
    </row>
    <row r="59" spans="1:46" x14ac:dyDescent="0.2">
      <c r="A59" s="68">
        <f ca="1">Demand!C56</f>
        <v>4</v>
      </c>
      <c r="B59" s="68">
        <v>44</v>
      </c>
      <c r="C59" s="5">
        <f ca="1">'Demand background (hide)'!Y47</f>
        <v>620</v>
      </c>
      <c r="D59" s="68">
        <f t="shared" si="15"/>
        <v>0</v>
      </c>
      <c r="E59" s="68" t="e">
        <f t="shared" ca="1" si="16"/>
        <v>#N/A</v>
      </c>
      <c r="F59" s="68" t="e">
        <f t="shared" ca="1" si="17"/>
        <v>#N/A</v>
      </c>
      <c r="G59" s="68" t="e">
        <f t="shared" ca="1" si="18"/>
        <v>#N/A</v>
      </c>
      <c r="H59" s="68" t="e">
        <f>IF('Demand background (hide)'!AN47&lt;&gt;"",'SPC background (hide)'!C59,NA())</f>
        <v>#N/A</v>
      </c>
      <c r="I59" s="68">
        <f t="shared" ca="1" si="19"/>
        <v>1</v>
      </c>
      <c r="J59" s="5">
        <f t="shared" ca="1" si="20"/>
        <v>69.979541734860845</v>
      </c>
      <c r="K59" s="5">
        <f t="shared" ca="1" si="21"/>
        <v>211.65302782324056</v>
      </c>
      <c r="L59" s="5">
        <f t="shared" ca="1" si="22"/>
        <v>353.32651391162028</v>
      </c>
      <c r="M59" s="5">
        <f t="shared" ca="1" si="23"/>
        <v>495</v>
      </c>
      <c r="N59" s="5">
        <f t="shared" ca="1" si="24"/>
        <v>636.67348608837972</v>
      </c>
      <c r="O59" s="5">
        <f t="shared" ca="1" si="25"/>
        <v>778.34697217675944</v>
      </c>
      <c r="P59" s="5">
        <f t="shared" ca="1" si="26"/>
        <v>920.02045826513915</v>
      </c>
      <c r="Q59" s="5" t="e">
        <f t="shared" ca="1" si="27"/>
        <v>#N/A</v>
      </c>
      <c r="R59" s="5">
        <f t="shared" ca="1" si="32"/>
        <v>1</v>
      </c>
      <c r="S59" s="68" t="e">
        <f t="shared" ca="1" si="33"/>
        <v>#N/A</v>
      </c>
      <c r="T59" s="68">
        <f t="shared" ca="1" si="34"/>
        <v>1</v>
      </c>
      <c r="U59" s="68" t="e">
        <f t="shared" ca="1" si="35"/>
        <v>#N/A</v>
      </c>
      <c r="V59" s="5">
        <f t="shared" ca="1" si="14"/>
        <v>1</v>
      </c>
      <c r="W59" s="5" t="e">
        <f t="shared" ca="1" si="28"/>
        <v>#N/A</v>
      </c>
      <c r="X59" s="68">
        <f t="shared" ca="1" si="29"/>
        <v>-1</v>
      </c>
      <c r="Y59" s="68" t="e">
        <f t="shared" ca="1" si="36"/>
        <v>#N/A</v>
      </c>
      <c r="Z59" s="68" t="e">
        <f t="shared" ca="1" si="37"/>
        <v>#N/A</v>
      </c>
      <c r="AA59" s="5" t="str">
        <f>IF(Setup!$I$15="Yes",'Demand background (hide)'!AJ47+'SPC background (hide)'!C59,"")</f>
        <v/>
      </c>
      <c r="AC59" s="5">
        <f t="shared" ca="1" si="30"/>
        <v>551.5</v>
      </c>
      <c r="AD59" s="5">
        <f t="shared" ca="1" si="31"/>
        <v>664</v>
      </c>
    </row>
    <row r="60" spans="1:46" x14ac:dyDescent="0.2">
      <c r="A60" s="68">
        <f ca="1">Demand!C57</f>
        <v>5</v>
      </c>
      <c r="B60" s="68">
        <v>45</v>
      </c>
      <c r="C60" s="5">
        <f ca="1">'Demand background (hide)'!Y48</f>
        <v>320</v>
      </c>
      <c r="D60" s="68">
        <f t="shared" si="15"/>
        <v>0</v>
      </c>
      <c r="E60" s="68" t="e">
        <f t="shared" ca="1" si="16"/>
        <v>#N/A</v>
      </c>
      <c r="F60" s="68" t="e">
        <f t="shared" ca="1" si="17"/>
        <v>#N/A</v>
      </c>
      <c r="G60" s="68" t="e">
        <f t="shared" ca="1" si="18"/>
        <v>#N/A</v>
      </c>
      <c r="H60" s="68" t="e">
        <f>IF('Demand background (hide)'!AN48&lt;&gt;"",'SPC background (hide)'!C60,NA())</f>
        <v>#N/A</v>
      </c>
      <c r="I60" s="68">
        <f t="shared" ca="1" si="19"/>
        <v>1</v>
      </c>
      <c r="J60" s="5">
        <f t="shared" ca="1" si="20"/>
        <v>69.979541734860845</v>
      </c>
      <c r="K60" s="5">
        <f t="shared" ca="1" si="21"/>
        <v>211.65302782324056</v>
      </c>
      <c r="L60" s="5">
        <f t="shared" ca="1" si="22"/>
        <v>353.32651391162028</v>
      </c>
      <c r="M60" s="5">
        <f t="shared" ca="1" si="23"/>
        <v>495</v>
      </c>
      <c r="N60" s="5">
        <f t="shared" ca="1" si="24"/>
        <v>636.67348608837972</v>
      </c>
      <c r="O60" s="5">
        <f t="shared" ca="1" si="25"/>
        <v>778.34697217675944</v>
      </c>
      <c r="P60" s="5">
        <f t="shared" ca="1" si="26"/>
        <v>920.02045826513915</v>
      </c>
      <c r="Q60" s="5" t="e">
        <f t="shared" ca="1" si="27"/>
        <v>#N/A</v>
      </c>
      <c r="R60" s="5">
        <f t="shared" ca="1" si="32"/>
        <v>-1</v>
      </c>
      <c r="S60" s="68" t="e">
        <f t="shared" ca="1" si="33"/>
        <v>#N/A</v>
      </c>
      <c r="T60" s="68">
        <f t="shared" ca="1" si="34"/>
        <v>-2</v>
      </c>
      <c r="U60" s="68" t="e">
        <f t="shared" ca="1" si="35"/>
        <v>#N/A</v>
      </c>
      <c r="V60" s="5">
        <f t="shared" ca="1" si="14"/>
        <v>-1</v>
      </c>
      <c r="W60" s="5" t="e">
        <f t="shared" ca="1" si="28"/>
        <v>#N/A</v>
      </c>
      <c r="X60" s="68">
        <f t="shared" ca="1" si="29"/>
        <v>-1</v>
      </c>
      <c r="Y60" s="68" t="e">
        <f t="shared" ca="1" si="36"/>
        <v>#N/A</v>
      </c>
      <c r="Z60" s="68" t="e">
        <f t="shared" ca="1" si="37"/>
        <v>#N/A</v>
      </c>
      <c r="AA60" s="5" t="str">
        <f>IF(Setup!$I$15="Yes",'Demand background (hide)'!AJ48+'SPC background (hide)'!C60,"")</f>
        <v/>
      </c>
      <c r="AC60" s="5">
        <f t="shared" ca="1" si="30"/>
        <v>551.5</v>
      </c>
      <c r="AD60" s="5">
        <f t="shared" ca="1" si="31"/>
        <v>664</v>
      </c>
    </row>
    <row r="61" spans="1:46" x14ac:dyDescent="0.2">
      <c r="A61" s="68">
        <f ca="1">Demand!C58</f>
        <v>6</v>
      </c>
      <c r="B61" s="68">
        <v>46</v>
      </c>
      <c r="C61" s="5">
        <f ca="1">'Demand background (hide)'!Y49</f>
        <v>450</v>
      </c>
      <c r="D61" s="68">
        <f t="shared" si="15"/>
        <v>0</v>
      </c>
      <c r="E61" s="68" t="e">
        <f t="shared" ca="1" si="16"/>
        <v>#N/A</v>
      </c>
      <c r="F61" s="68" t="e">
        <f t="shared" ca="1" si="17"/>
        <v>#N/A</v>
      </c>
      <c r="G61" s="68" t="e">
        <f t="shared" ca="1" si="18"/>
        <v>#N/A</v>
      </c>
      <c r="H61" s="68" t="e">
        <f>IF('Demand background (hide)'!AN49&lt;&gt;"",'SPC background (hide)'!C61,NA())</f>
        <v>#N/A</v>
      </c>
      <c r="I61" s="68">
        <f t="shared" ca="1" si="19"/>
        <v>5</v>
      </c>
      <c r="J61" s="5">
        <f t="shared" ca="1" si="20"/>
        <v>69.979541734860845</v>
      </c>
      <c r="K61" s="5">
        <f t="shared" ca="1" si="21"/>
        <v>211.65302782324056</v>
      </c>
      <c r="L61" s="5">
        <f t="shared" ca="1" si="22"/>
        <v>353.32651391162028</v>
      </c>
      <c r="M61" s="5">
        <f t="shared" ca="1" si="23"/>
        <v>495</v>
      </c>
      <c r="N61" s="5">
        <f t="shared" ca="1" si="24"/>
        <v>636.67348608837972</v>
      </c>
      <c r="O61" s="5">
        <f t="shared" ca="1" si="25"/>
        <v>778.34697217675944</v>
      </c>
      <c r="P61" s="5">
        <f t="shared" ca="1" si="26"/>
        <v>920.02045826513915</v>
      </c>
      <c r="Q61" s="5" t="e">
        <f t="shared" ca="1" si="27"/>
        <v>#N/A</v>
      </c>
      <c r="R61" s="5">
        <f t="shared" ca="1" si="32"/>
        <v>-1</v>
      </c>
      <c r="S61" s="68" t="e">
        <f t="shared" ca="1" si="33"/>
        <v>#N/A</v>
      </c>
      <c r="T61" s="68">
        <f t="shared" ca="1" si="34"/>
        <v>-1</v>
      </c>
      <c r="U61" s="68" t="e">
        <f t="shared" ca="1" si="35"/>
        <v>#N/A</v>
      </c>
      <c r="V61" s="5">
        <f t="shared" ca="1" si="14"/>
        <v>-1</v>
      </c>
      <c r="W61" s="5" t="e">
        <f t="shared" ca="1" si="28"/>
        <v>#N/A</v>
      </c>
      <c r="X61" s="68">
        <f t="shared" ca="1" si="29"/>
        <v>1</v>
      </c>
      <c r="Y61" s="68" t="e">
        <f t="shared" ca="1" si="36"/>
        <v>#N/A</v>
      </c>
      <c r="Z61" s="68" t="e">
        <f t="shared" ca="1" si="37"/>
        <v>#N/A</v>
      </c>
      <c r="AA61" s="5" t="str">
        <f>IF(Setup!$I$15="Yes",'Demand background (hide)'!AJ49+'SPC background (hide)'!C61,"")</f>
        <v/>
      </c>
      <c r="AC61" s="5">
        <f t="shared" ca="1" si="30"/>
        <v>551.5</v>
      </c>
      <c r="AD61" s="5">
        <f t="shared" ca="1" si="31"/>
        <v>664</v>
      </c>
    </row>
    <row r="62" spans="1:46" x14ac:dyDescent="0.2">
      <c r="A62" s="68">
        <f ca="1">Demand!C59</f>
        <v>7</v>
      </c>
      <c r="B62" s="68">
        <v>47</v>
      </c>
      <c r="C62" s="5">
        <f ca="1">'Demand background (hide)'!Y50</f>
        <v>480</v>
      </c>
      <c r="D62" s="68">
        <f t="shared" si="15"/>
        <v>0</v>
      </c>
      <c r="E62" s="68" t="e">
        <f t="shared" ca="1" si="16"/>
        <v>#N/A</v>
      </c>
      <c r="F62" s="68" t="e">
        <f t="shared" ca="1" si="17"/>
        <v>#N/A</v>
      </c>
      <c r="G62" s="68" t="e">
        <f t="shared" ca="1" si="18"/>
        <v>#N/A</v>
      </c>
      <c r="H62" s="68" t="e">
        <f>IF('Demand background (hide)'!AN50&lt;&gt;"",'SPC background (hide)'!C62,NA())</f>
        <v>#N/A</v>
      </c>
      <c r="I62" s="68">
        <f t="shared" ca="1" si="19"/>
        <v>1</v>
      </c>
      <c r="J62" s="5">
        <f t="shared" ca="1" si="20"/>
        <v>69.979541734860845</v>
      </c>
      <c r="K62" s="5">
        <f t="shared" ca="1" si="21"/>
        <v>211.65302782324056</v>
      </c>
      <c r="L62" s="5">
        <f t="shared" ca="1" si="22"/>
        <v>353.32651391162028</v>
      </c>
      <c r="M62" s="5">
        <f t="shared" ca="1" si="23"/>
        <v>495</v>
      </c>
      <c r="N62" s="5">
        <f t="shared" ca="1" si="24"/>
        <v>636.67348608837972</v>
      </c>
      <c r="O62" s="5">
        <f t="shared" ca="1" si="25"/>
        <v>778.34697217675944</v>
      </c>
      <c r="P62" s="5">
        <f t="shared" ca="1" si="26"/>
        <v>920.02045826513915</v>
      </c>
      <c r="Q62" s="5" t="e">
        <f t="shared" ca="1" si="27"/>
        <v>#N/A</v>
      </c>
      <c r="R62" s="5">
        <f t="shared" ca="1" si="32"/>
        <v>-1</v>
      </c>
      <c r="S62" s="68" t="e">
        <f t="shared" ca="1" si="33"/>
        <v>#N/A</v>
      </c>
      <c r="T62" s="68">
        <f t="shared" ca="1" si="34"/>
        <v>-1</v>
      </c>
      <c r="U62" s="68" t="e">
        <f t="shared" ca="1" si="35"/>
        <v>#N/A</v>
      </c>
      <c r="V62" s="5">
        <f t="shared" ca="1" si="14"/>
        <v>-1</v>
      </c>
      <c r="W62" s="5" t="e">
        <f t="shared" ca="1" si="28"/>
        <v>#N/A</v>
      </c>
      <c r="X62" s="68">
        <f t="shared" ca="1" si="29"/>
        <v>1</v>
      </c>
      <c r="Y62" s="68" t="e">
        <f t="shared" ca="1" si="36"/>
        <v>#N/A</v>
      </c>
      <c r="Z62" s="68" t="e">
        <f t="shared" ca="1" si="37"/>
        <v>#N/A</v>
      </c>
      <c r="AA62" s="5" t="str">
        <f>IF(Setup!$I$15="Yes",'Demand background (hide)'!AJ50+'SPC background (hide)'!C62,"")</f>
        <v/>
      </c>
      <c r="AC62" s="5">
        <f t="shared" ca="1" si="30"/>
        <v>551.5</v>
      </c>
      <c r="AD62" s="5">
        <f t="shared" ca="1" si="31"/>
        <v>664</v>
      </c>
    </row>
    <row r="63" spans="1:46" x14ac:dyDescent="0.2">
      <c r="A63" s="68">
        <f ca="1">Demand!C60</f>
        <v>8</v>
      </c>
      <c r="B63" s="68">
        <v>48</v>
      </c>
      <c r="C63" s="5">
        <f ca="1">'Demand background (hide)'!Y51</f>
        <v>790</v>
      </c>
      <c r="D63" s="68">
        <f t="shared" si="15"/>
        <v>0</v>
      </c>
      <c r="E63" s="68" t="e">
        <f t="shared" ca="1" si="16"/>
        <v>#N/A</v>
      </c>
      <c r="F63" s="68" t="e">
        <f t="shared" ca="1" si="17"/>
        <v>#N/A</v>
      </c>
      <c r="G63" s="68" t="e">
        <f t="shared" ca="1" si="18"/>
        <v>#N/A</v>
      </c>
      <c r="H63" s="68" t="e">
        <f>IF('Demand background (hide)'!AN51&lt;&gt;"",'SPC background (hide)'!C63,NA())</f>
        <v>#N/A</v>
      </c>
      <c r="I63" s="68">
        <f t="shared" ca="1" si="19"/>
        <v>1</v>
      </c>
      <c r="J63" s="5">
        <f t="shared" ca="1" si="20"/>
        <v>69.979541734860845</v>
      </c>
      <c r="K63" s="5">
        <f t="shared" ca="1" si="21"/>
        <v>211.65302782324056</v>
      </c>
      <c r="L63" s="5">
        <f t="shared" ca="1" si="22"/>
        <v>353.32651391162028</v>
      </c>
      <c r="M63" s="5">
        <f t="shared" ca="1" si="23"/>
        <v>495</v>
      </c>
      <c r="N63" s="5">
        <f t="shared" ca="1" si="24"/>
        <v>636.67348608837972</v>
      </c>
      <c r="O63" s="5">
        <f t="shared" ca="1" si="25"/>
        <v>778.34697217675944</v>
      </c>
      <c r="P63" s="5">
        <f t="shared" ca="1" si="26"/>
        <v>920.02045826513915</v>
      </c>
      <c r="Q63" s="5" t="e">
        <f t="shared" ca="1" si="27"/>
        <v>#N/A</v>
      </c>
      <c r="R63" s="5">
        <f t="shared" ca="1" si="32"/>
        <v>2</v>
      </c>
      <c r="S63" s="68" t="e">
        <f t="shared" ca="1" si="33"/>
        <v>#N/A</v>
      </c>
      <c r="T63" s="68">
        <f t="shared" ca="1" si="34"/>
        <v>2</v>
      </c>
      <c r="U63" s="68" t="e">
        <f t="shared" ca="1" si="35"/>
        <v>#N/A</v>
      </c>
      <c r="V63" s="5">
        <f t="shared" ca="1" si="14"/>
        <v>1</v>
      </c>
      <c r="W63" s="5" t="e">
        <f t="shared" ca="1" si="28"/>
        <v>#N/A</v>
      </c>
      <c r="X63" s="68">
        <f t="shared" ca="1" si="29"/>
        <v>1</v>
      </c>
      <c r="Y63" s="68" t="e">
        <f t="shared" ca="1" si="36"/>
        <v>#N/A</v>
      </c>
      <c r="Z63" s="68" t="e">
        <f t="shared" ca="1" si="37"/>
        <v>#N/A</v>
      </c>
      <c r="AA63" s="5" t="str">
        <f>IF(Setup!$I$15="Yes",'Demand background (hide)'!AJ51+'SPC background (hide)'!C63,"")</f>
        <v/>
      </c>
      <c r="AC63" s="5">
        <f t="shared" ca="1" si="30"/>
        <v>551.5</v>
      </c>
      <c r="AD63" s="5">
        <f t="shared" ca="1" si="31"/>
        <v>664</v>
      </c>
    </row>
    <row r="64" spans="1:46" x14ac:dyDescent="0.2">
      <c r="A64" s="68">
        <f ca="1">Demand!C61</f>
        <v>9</v>
      </c>
      <c r="B64" s="68">
        <v>49</v>
      </c>
      <c r="C64" s="5">
        <f ca="1">'Demand background (hide)'!Y52</f>
        <v>330</v>
      </c>
      <c r="D64" s="68">
        <f t="shared" si="15"/>
        <v>0</v>
      </c>
      <c r="E64" s="68" t="e">
        <f t="shared" ca="1" si="16"/>
        <v>#N/A</v>
      </c>
      <c r="F64" s="68" t="e">
        <f t="shared" ca="1" si="17"/>
        <v>#N/A</v>
      </c>
      <c r="G64" s="68" t="e">
        <f t="shared" ca="1" si="18"/>
        <v>#N/A</v>
      </c>
      <c r="H64" s="68" t="e">
        <f>IF('Demand background (hide)'!AN52&lt;&gt;"",'SPC background (hide)'!C64,NA())</f>
        <v>#N/A</v>
      </c>
      <c r="I64" s="68">
        <f t="shared" ca="1" si="19"/>
        <v>1</v>
      </c>
      <c r="J64" s="5">
        <f t="shared" ca="1" si="20"/>
        <v>69.979541734860845</v>
      </c>
      <c r="K64" s="5">
        <f t="shared" ca="1" si="21"/>
        <v>211.65302782324056</v>
      </c>
      <c r="L64" s="5">
        <f t="shared" ca="1" si="22"/>
        <v>353.32651391162028</v>
      </c>
      <c r="M64" s="5">
        <f t="shared" ca="1" si="23"/>
        <v>495</v>
      </c>
      <c r="N64" s="5">
        <f t="shared" ca="1" si="24"/>
        <v>636.67348608837972</v>
      </c>
      <c r="O64" s="5">
        <f t="shared" ca="1" si="25"/>
        <v>778.34697217675944</v>
      </c>
      <c r="P64" s="5">
        <f t="shared" ca="1" si="26"/>
        <v>920.02045826513915</v>
      </c>
      <c r="Q64" s="5" t="e">
        <f t="shared" ca="1" si="27"/>
        <v>#N/A</v>
      </c>
      <c r="R64" s="5">
        <f t="shared" ca="1" si="32"/>
        <v>-1</v>
      </c>
      <c r="S64" s="68" t="e">
        <f t="shared" ca="1" si="33"/>
        <v>#N/A</v>
      </c>
      <c r="T64" s="68">
        <f t="shared" ca="1" si="34"/>
        <v>-2</v>
      </c>
      <c r="U64" s="68" t="e">
        <f t="shared" ca="1" si="35"/>
        <v>#N/A</v>
      </c>
      <c r="V64" s="5">
        <f t="shared" ca="1" si="14"/>
        <v>-1</v>
      </c>
      <c r="W64" s="5" t="e">
        <f t="shared" ca="1" si="28"/>
        <v>#N/A</v>
      </c>
      <c r="X64" s="68">
        <f t="shared" ca="1" si="29"/>
        <v>-1</v>
      </c>
      <c r="Y64" s="68" t="e">
        <f t="shared" ca="1" si="36"/>
        <v>#N/A</v>
      </c>
      <c r="Z64" s="68" t="e">
        <f t="shared" ca="1" si="37"/>
        <v>#N/A</v>
      </c>
      <c r="AA64" s="5" t="str">
        <f>IF(Setup!$I$15="Yes",'Demand background (hide)'!AJ52+'SPC background (hide)'!C64,"")</f>
        <v/>
      </c>
      <c r="AC64" s="5">
        <f t="shared" ca="1" si="30"/>
        <v>551.5</v>
      </c>
      <c r="AD64" s="5">
        <f t="shared" ca="1" si="31"/>
        <v>664</v>
      </c>
    </row>
    <row r="65" spans="1:30" x14ac:dyDescent="0.2">
      <c r="A65" s="68">
        <f ca="1">Demand!C62</f>
        <v>10</v>
      </c>
      <c r="B65" s="68">
        <v>50</v>
      </c>
      <c r="C65" s="5">
        <f ca="1">'Demand background (hide)'!Y53</f>
        <v>590</v>
      </c>
      <c r="D65" s="68">
        <f t="shared" si="15"/>
        <v>0</v>
      </c>
      <c r="E65" s="68" t="e">
        <f t="shared" ca="1" si="16"/>
        <v>#N/A</v>
      </c>
      <c r="F65" s="68" t="e">
        <f t="shared" ca="1" si="17"/>
        <v>#N/A</v>
      </c>
      <c r="G65" s="68" t="e">
        <f t="shared" ca="1" si="18"/>
        <v>#N/A</v>
      </c>
      <c r="H65" s="68" t="e">
        <f>IF('Demand background (hide)'!AN53&lt;&gt;"",'SPC background (hide)'!C65,NA())</f>
        <v>#N/A</v>
      </c>
      <c r="I65" s="68">
        <f t="shared" ca="1" si="19"/>
        <v>1</v>
      </c>
      <c r="J65" s="5">
        <f t="shared" ca="1" si="20"/>
        <v>69.979541734860845</v>
      </c>
      <c r="K65" s="5">
        <f t="shared" ca="1" si="21"/>
        <v>211.65302782324056</v>
      </c>
      <c r="L65" s="5">
        <f t="shared" ca="1" si="22"/>
        <v>353.32651391162028</v>
      </c>
      <c r="M65" s="5">
        <f t="shared" ca="1" si="23"/>
        <v>495</v>
      </c>
      <c r="N65" s="5">
        <f t="shared" ca="1" si="24"/>
        <v>636.67348608837972</v>
      </c>
      <c r="O65" s="5">
        <f t="shared" ca="1" si="25"/>
        <v>778.34697217675944</v>
      </c>
      <c r="P65" s="5">
        <f t="shared" ca="1" si="26"/>
        <v>920.02045826513915</v>
      </c>
      <c r="Q65" s="5" t="e">
        <f t="shared" ca="1" si="27"/>
        <v>#N/A</v>
      </c>
      <c r="R65" s="5">
        <f t="shared" ca="1" si="32"/>
        <v>1</v>
      </c>
      <c r="S65" s="68" t="e">
        <f t="shared" ca="1" si="33"/>
        <v>#N/A</v>
      </c>
      <c r="T65" s="68">
        <f t="shared" ca="1" si="34"/>
        <v>1</v>
      </c>
      <c r="U65" s="68" t="e">
        <f t="shared" ca="1" si="35"/>
        <v>#N/A</v>
      </c>
      <c r="V65" s="5">
        <f t="shared" ca="1" si="14"/>
        <v>1</v>
      </c>
      <c r="W65" s="5" t="e">
        <f t="shared" ca="1" si="28"/>
        <v>#N/A</v>
      </c>
      <c r="X65" s="68">
        <f t="shared" ca="1" si="29"/>
        <v>1</v>
      </c>
      <c r="Y65" s="68" t="e">
        <f t="shared" ca="1" si="36"/>
        <v>#N/A</v>
      </c>
      <c r="Z65" s="68" t="e">
        <f t="shared" ca="1" si="37"/>
        <v>#N/A</v>
      </c>
      <c r="AA65" s="5" t="str">
        <f>IF(Setup!$I$15="Yes",'Demand background (hide)'!AJ53+'SPC background (hide)'!C65,"")</f>
        <v/>
      </c>
      <c r="AC65" s="5">
        <f t="shared" ca="1" si="30"/>
        <v>551.5</v>
      </c>
      <c r="AD65" s="5">
        <f t="shared" ca="1" si="31"/>
        <v>664</v>
      </c>
    </row>
    <row r="66" spans="1:30" x14ac:dyDescent="0.2">
      <c r="A66" s="68">
        <f ca="1">Demand!C63</f>
        <v>11</v>
      </c>
      <c r="B66" s="68">
        <v>51</v>
      </c>
      <c r="C66" s="5">
        <f ca="1">'Demand background (hide)'!Y54</f>
        <v>420</v>
      </c>
      <c r="D66" s="68">
        <f t="shared" si="15"/>
        <v>0</v>
      </c>
      <c r="E66" s="68" t="e">
        <f t="shared" ca="1" si="16"/>
        <v>#N/A</v>
      </c>
      <c r="F66" s="68" t="e">
        <f t="shared" ca="1" si="17"/>
        <v>#N/A</v>
      </c>
      <c r="G66" s="68" t="e">
        <f t="shared" ca="1" si="18"/>
        <v>#N/A</v>
      </c>
      <c r="H66" s="68" t="e">
        <f>IF('Demand background (hide)'!AN54&lt;&gt;"",'SPC background (hide)'!C66,NA())</f>
        <v>#N/A</v>
      </c>
      <c r="I66" s="68">
        <f t="shared" ca="1" si="19"/>
        <v>1</v>
      </c>
      <c r="J66" s="5">
        <f t="shared" ca="1" si="20"/>
        <v>69.979541734860845</v>
      </c>
      <c r="K66" s="5">
        <f t="shared" ca="1" si="21"/>
        <v>211.65302782324056</v>
      </c>
      <c r="L66" s="5">
        <f t="shared" ca="1" si="22"/>
        <v>353.32651391162028</v>
      </c>
      <c r="M66" s="5">
        <f t="shared" ca="1" si="23"/>
        <v>495</v>
      </c>
      <c r="N66" s="5">
        <f t="shared" ca="1" si="24"/>
        <v>636.67348608837972</v>
      </c>
      <c r="O66" s="5">
        <f t="shared" ca="1" si="25"/>
        <v>778.34697217675944</v>
      </c>
      <c r="P66" s="5">
        <f t="shared" ca="1" si="26"/>
        <v>920.02045826513915</v>
      </c>
      <c r="Q66" s="5" t="e">
        <f t="shared" ca="1" si="27"/>
        <v>#N/A</v>
      </c>
      <c r="R66" s="5">
        <f t="shared" ca="1" si="32"/>
        <v>-1</v>
      </c>
      <c r="S66" s="68" t="e">
        <f t="shared" ca="1" si="33"/>
        <v>#N/A</v>
      </c>
      <c r="T66" s="68">
        <f t="shared" ca="1" si="34"/>
        <v>-1</v>
      </c>
      <c r="U66" s="68" t="e">
        <f t="shared" ca="1" si="35"/>
        <v>#N/A</v>
      </c>
      <c r="V66" s="5">
        <f t="shared" ca="1" si="14"/>
        <v>-1</v>
      </c>
      <c r="W66" s="5" t="e">
        <f t="shared" ca="1" si="28"/>
        <v>#N/A</v>
      </c>
      <c r="X66" s="68">
        <f t="shared" ca="1" si="29"/>
        <v>-1</v>
      </c>
      <c r="Y66" s="68" t="e">
        <f t="shared" ca="1" si="36"/>
        <v>#N/A</v>
      </c>
      <c r="Z66" s="68" t="e">
        <f t="shared" ca="1" si="37"/>
        <v>#N/A</v>
      </c>
      <c r="AA66" s="5" t="str">
        <f>IF(Setup!$I$15="Yes",'Demand background (hide)'!AJ54+'SPC background (hide)'!C66,"")</f>
        <v/>
      </c>
      <c r="AC66" s="5">
        <f t="shared" ca="1" si="30"/>
        <v>551.5</v>
      </c>
      <c r="AD66" s="5">
        <f t="shared" ca="1" si="31"/>
        <v>664</v>
      </c>
    </row>
    <row r="67" spans="1:30" x14ac:dyDescent="0.2">
      <c r="A67" s="68">
        <f ca="1">Demand!C64</f>
        <v>12</v>
      </c>
      <c r="B67" s="68">
        <v>52</v>
      </c>
      <c r="C67" s="5">
        <f ca="1">'Demand background (hide)'!Y55</f>
        <v>780</v>
      </c>
      <c r="D67" s="68">
        <f t="shared" si="15"/>
        <v>0</v>
      </c>
      <c r="E67" s="68" t="e">
        <f t="shared" ca="1" si="16"/>
        <v>#N/A</v>
      </c>
      <c r="F67" s="68" t="e">
        <f t="shared" ca="1" si="17"/>
        <v>#N/A</v>
      </c>
      <c r="G67" s="68" t="e">
        <f t="shared" ca="1" si="18"/>
        <v>#N/A</v>
      </c>
      <c r="H67" s="68" t="e">
        <f>IF('Demand background (hide)'!AN55&lt;&gt;"",'SPC background (hide)'!C67,NA())</f>
        <v>#N/A</v>
      </c>
      <c r="I67" s="68">
        <f t="shared" ca="1" si="19"/>
        <v>1</v>
      </c>
      <c r="J67" s="5">
        <f t="shared" ca="1" si="20"/>
        <v>69.979541734860845</v>
      </c>
      <c r="K67" s="5">
        <f t="shared" ca="1" si="21"/>
        <v>211.65302782324056</v>
      </c>
      <c r="L67" s="5">
        <f t="shared" ca="1" si="22"/>
        <v>353.32651391162028</v>
      </c>
      <c r="M67" s="5">
        <f t="shared" ca="1" si="23"/>
        <v>495</v>
      </c>
      <c r="N67" s="5">
        <f t="shared" ca="1" si="24"/>
        <v>636.67348608837972</v>
      </c>
      <c r="O67" s="5">
        <f t="shared" ca="1" si="25"/>
        <v>778.34697217675944</v>
      </c>
      <c r="P67" s="5">
        <f t="shared" ca="1" si="26"/>
        <v>920.02045826513915</v>
      </c>
      <c r="Q67" s="5" t="e">
        <f t="shared" ca="1" si="27"/>
        <v>#N/A</v>
      </c>
      <c r="R67" s="5">
        <f t="shared" ca="1" si="32"/>
        <v>2</v>
      </c>
      <c r="S67" s="68" t="e">
        <f t="shared" ca="1" si="33"/>
        <v>#N/A</v>
      </c>
      <c r="T67" s="68">
        <f t="shared" ca="1" si="34"/>
        <v>2</v>
      </c>
      <c r="U67" s="68" t="e">
        <f t="shared" ca="1" si="35"/>
        <v>#N/A</v>
      </c>
      <c r="V67" s="5">
        <f t="shared" ca="1" si="14"/>
        <v>1</v>
      </c>
      <c r="W67" s="5" t="e">
        <f t="shared" ca="1" si="28"/>
        <v>#N/A</v>
      </c>
      <c r="X67" s="68">
        <f t="shared" ca="1" si="29"/>
        <v>1</v>
      </c>
      <c r="Y67" s="68" t="e">
        <f t="shared" ca="1" si="36"/>
        <v>#N/A</v>
      </c>
      <c r="Z67" s="68" t="e">
        <f t="shared" ca="1" si="37"/>
        <v>#N/A</v>
      </c>
      <c r="AA67" s="5" t="str">
        <f>IF(Setup!$I$15="Yes",'Demand background (hide)'!AJ55+'SPC background (hide)'!C67,"")</f>
        <v/>
      </c>
      <c r="AC67" s="5">
        <f t="shared" ca="1" si="30"/>
        <v>551.5</v>
      </c>
      <c r="AD67" s="5">
        <f t="shared" ca="1" si="31"/>
        <v>664</v>
      </c>
    </row>
    <row r="68" spans="1:30" x14ac:dyDescent="0.2">
      <c r="A68" s="68">
        <f ca="1">Demand!C65</f>
        <v>13</v>
      </c>
      <c r="B68" s="68">
        <v>53</v>
      </c>
      <c r="C68" s="5">
        <f ca="1">'Demand background (hide)'!Y56</f>
        <v>370</v>
      </c>
      <c r="D68" s="68">
        <f t="shared" si="15"/>
        <v>0</v>
      </c>
      <c r="E68" s="68" t="e">
        <f t="shared" ca="1" si="16"/>
        <v>#N/A</v>
      </c>
      <c r="F68" s="68" t="e">
        <f t="shared" ca="1" si="17"/>
        <v>#N/A</v>
      </c>
      <c r="G68" s="68" t="e">
        <f t="shared" ca="1" si="18"/>
        <v>#N/A</v>
      </c>
      <c r="H68" s="68" t="e">
        <f>IF('Demand background (hide)'!AN56&lt;&gt;"",'SPC background (hide)'!C68,NA())</f>
        <v>#N/A</v>
      </c>
      <c r="I68" s="68">
        <f t="shared" ca="1" si="19"/>
        <v>1</v>
      </c>
      <c r="J68" s="5">
        <f t="shared" ca="1" si="20"/>
        <v>69.979541734860845</v>
      </c>
      <c r="K68" s="5">
        <f t="shared" ca="1" si="21"/>
        <v>211.65302782324056</v>
      </c>
      <c r="L68" s="5">
        <f t="shared" ca="1" si="22"/>
        <v>353.32651391162028</v>
      </c>
      <c r="M68" s="5">
        <f t="shared" ca="1" si="23"/>
        <v>495</v>
      </c>
      <c r="N68" s="5">
        <f t="shared" ca="1" si="24"/>
        <v>636.67348608837972</v>
      </c>
      <c r="O68" s="5">
        <f t="shared" ca="1" si="25"/>
        <v>778.34697217675944</v>
      </c>
      <c r="P68" s="5">
        <f t="shared" ca="1" si="26"/>
        <v>920.02045826513915</v>
      </c>
      <c r="Q68" s="5" t="e">
        <f t="shared" ca="1" si="27"/>
        <v>#N/A</v>
      </c>
      <c r="R68" s="5">
        <f t="shared" ca="1" si="32"/>
        <v>-1</v>
      </c>
      <c r="S68" s="68" t="e">
        <f t="shared" ca="1" si="33"/>
        <v>#N/A</v>
      </c>
      <c r="T68" s="68">
        <f t="shared" ca="1" si="34"/>
        <v>-1</v>
      </c>
      <c r="U68" s="68" t="e">
        <f t="shared" ca="1" si="35"/>
        <v>#N/A</v>
      </c>
      <c r="V68" s="5">
        <f t="shared" ca="1" si="14"/>
        <v>-1</v>
      </c>
      <c r="W68" s="5" t="e">
        <f t="shared" ca="1" si="28"/>
        <v>#N/A</v>
      </c>
      <c r="X68" s="68">
        <f t="shared" ca="1" si="29"/>
        <v>-1</v>
      </c>
      <c r="Y68" s="68" t="e">
        <f t="shared" ca="1" si="36"/>
        <v>#N/A</v>
      </c>
      <c r="Z68" s="68" t="e">
        <f t="shared" ca="1" si="37"/>
        <v>#N/A</v>
      </c>
      <c r="AA68" s="5" t="str">
        <f>IF(Setup!$I$15="Yes",'Demand background (hide)'!AJ56+'SPC background (hide)'!C68,"")</f>
        <v/>
      </c>
      <c r="AC68" s="5">
        <f t="shared" ca="1" si="30"/>
        <v>551.5</v>
      </c>
      <c r="AD68" s="5">
        <f t="shared" ca="1" si="31"/>
        <v>664</v>
      </c>
    </row>
    <row r="69" spans="1:30" x14ac:dyDescent="0.2">
      <c r="A69" s="68">
        <f ca="1">Demand!C66</f>
        <v>14</v>
      </c>
      <c r="B69" s="68">
        <v>54</v>
      </c>
      <c r="C69" s="5">
        <f ca="1">'Demand background (hide)'!Y57</f>
        <v>450</v>
      </c>
      <c r="D69" s="68">
        <f t="shared" si="15"/>
        <v>0</v>
      </c>
      <c r="E69" s="68" t="e">
        <f t="shared" ca="1" si="16"/>
        <v>#N/A</v>
      </c>
      <c r="F69" s="68" t="e">
        <f t="shared" ca="1" si="17"/>
        <v>#N/A</v>
      </c>
      <c r="G69" s="68" t="e">
        <f t="shared" ca="1" si="18"/>
        <v>#N/A</v>
      </c>
      <c r="H69" s="68" t="e">
        <f>IF('Demand background (hide)'!AN57&lt;&gt;"",'SPC background (hide)'!C69,NA())</f>
        <v>#N/A</v>
      </c>
      <c r="I69" s="68">
        <f t="shared" ca="1" si="19"/>
        <v>1</v>
      </c>
      <c r="J69" s="5">
        <f t="shared" ca="1" si="20"/>
        <v>69.979541734860845</v>
      </c>
      <c r="K69" s="5">
        <f t="shared" ca="1" si="21"/>
        <v>211.65302782324056</v>
      </c>
      <c r="L69" s="5">
        <f t="shared" ca="1" si="22"/>
        <v>353.32651391162028</v>
      </c>
      <c r="M69" s="5">
        <f t="shared" ca="1" si="23"/>
        <v>495</v>
      </c>
      <c r="N69" s="5">
        <f t="shared" ca="1" si="24"/>
        <v>636.67348608837972</v>
      </c>
      <c r="O69" s="5">
        <f t="shared" ca="1" si="25"/>
        <v>778.34697217675944</v>
      </c>
      <c r="P69" s="5">
        <f t="shared" ca="1" si="26"/>
        <v>920.02045826513915</v>
      </c>
      <c r="Q69" s="5" t="e">
        <f t="shared" ca="1" si="27"/>
        <v>#N/A</v>
      </c>
      <c r="R69" s="5">
        <f t="shared" ca="1" si="32"/>
        <v>-1</v>
      </c>
      <c r="S69" s="68" t="e">
        <f t="shared" ca="1" si="33"/>
        <v>#N/A</v>
      </c>
      <c r="T69" s="68">
        <f t="shared" ca="1" si="34"/>
        <v>-1</v>
      </c>
      <c r="U69" s="68" t="e">
        <f t="shared" ca="1" si="35"/>
        <v>#N/A</v>
      </c>
      <c r="V69" s="5">
        <f t="shared" ca="1" si="14"/>
        <v>-1</v>
      </c>
      <c r="W69" s="5" t="e">
        <f t="shared" ca="1" si="28"/>
        <v>#N/A</v>
      </c>
      <c r="X69" s="68">
        <f t="shared" ca="1" si="29"/>
        <v>1</v>
      </c>
      <c r="Y69" s="68" t="e">
        <f t="shared" ca="1" si="36"/>
        <v>#N/A</v>
      </c>
      <c r="Z69" s="68" t="e">
        <f t="shared" ca="1" si="37"/>
        <v>#N/A</v>
      </c>
      <c r="AA69" s="5" t="str">
        <f>IF(Setup!$I$15="Yes",'Demand background (hide)'!AJ57+'SPC background (hide)'!C69,"")</f>
        <v/>
      </c>
      <c r="AC69" s="5">
        <f t="shared" ca="1" si="30"/>
        <v>551.5</v>
      </c>
      <c r="AD69" s="5">
        <f t="shared" ca="1" si="31"/>
        <v>664</v>
      </c>
    </row>
    <row r="70" spans="1:30" x14ac:dyDescent="0.2">
      <c r="A70" s="68">
        <f ca="1">Demand!C67</f>
        <v>15</v>
      </c>
      <c r="B70" s="68">
        <v>55</v>
      </c>
      <c r="C70" s="5">
        <f ca="1">'Demand background (hide)'!Y58</f>
        <v>430</v>
      </c>
      <c r="D70" s="68">
        <f t="shared" si="15"/>
        <v>0</v>
      </c>
      <c r="E70" s="68" t="e">
        <f t="shared" ca="1" si="16"/>
        <v>#N/A</v>
      </c>
      <c r="F70" s="68" t="e">
        <f t="shared" ca="1" si="17"/>
        <v>#N/A</v>
      </c>
      <c r="G70" s="68" t="e">
        <f t="shared" ca="1" si="18"/>
        <v>#N/A</v>
      </c>
      <c r="H70" s="68" t="e">
        <f>IF('Demand background (hide)'!AN58&lt;&gt;"",'SPC background (hide)'!C70,NA())</f>
        <v>#N/A</v>
      </c>
      <c r="I70" s="68">
        <f t="shared" ca="1" si="19"/>
        <v>1</v>
      </c>
      <c r="J70" s="5">
        <f t="shared" ca="1" si="20"/>
        <v>69.979541734860845</v>
      </c>
      <c r="K70" s="5">
        <f t="shared" ca="1" si="21"/>
        <v>211.65302782324056</v>
      </c>
      <c r="L70" s="5">
        <f t="shared" ca="1" si="22"/>
        <v>353.32651391162028</v>
      </c>
      <c r="M70" s="5">
        <f t="shared" ca="1" si="23"/>
        <v>495</v>
      </c>
      <c r="N70" s="5">
        <f t="shared" ca="1" si="24"/>
        <v>636.67348608837972</v>
      </c>
      <c r="O70" s="5">
        <f t="shared" ca="1" si="25"/>
        <v>778.34697217675944</v>
      </c>
      <c r="P70" s="5">
        <f t="shared" ca="1" si="26"/>
        <v>920.02045826513915</v>
      </c>
      <c r="Q70" s="5" t="e">
        <f t="shared" ca="1" si="27"/>
        <v>#N/A</v>
      </c>
      <c r="R70" s="5">
        <f t="shared" ca="1" si="32"/>
        <v>-1</v>
      </c>
      <c r="S70" s="68" t="e">
        <f t="shared" ca="1" si="33"/>
        <v>#N/A</v>
      </c>
      <c r="T70" s="68">
        <f t="shared" ca="1" si="34"/>
        <v>-1</v>
      </c>
      <c r="U70" s="68" t="e">
        <f t="shared" ca="1" si="35"/>
        <v>#N/A</v>
      </c>
      <c r="V70" s="5">
        <f t="shared" ca="1" si="14"/>
        <v>-1</v>
      </c>
      <c r="W70" s="5" t="e">
        <f t="shared" ca="1" si="28"/>
        <v>#N/A</v>
      </c>
      <c r="X70" s="68">
        <f t="shared" ca="1" si="29"/>
        <v>-1</v>
      </c>
      <c r="Y70" s="68" t="e">
        <f t="shared" ca="1" si="36"/>
        <v>#N/A</v>
      </c>
      <c r="Z70" s="68" t="e">
        <f t="shared" ca="1" si="37"/>
        <v>#N/A</v>
      </c>
      <c r="AA70" s="5" t="str">
        <f>IF(Setup!$I$15="Yes",'Demand background (hide)'!AJ58+'SPC background (hide)'!C70,"")</f>
        <v/>
      </c>
      <c r="AC70" s="5">
        <f t="shared" ca="1" si="30"/>
        <v>551.5</v>
      </c>
      <c r="AD70" s="5">
        <f t="shared" ca="1" si="31"/>
        <v>664</v>
      </c>
    </row>
    <row r="71" spans="1:30" x14ac:dyDescent="0.2">
      <c r="A71" s="68">
        <f ca="1">Demand!C68</f>
        <v>16</v>
      </c>
      <c r="B71" s="68">
        <v>56</v>
      </c>
      <c r="C71" s="5">
        <f ca="1">'Demand background (hide)'!Y59</f>
        <v>620</v>
      </c>
      <c r="D71" s="68">
        <f t="shared" si="15"/>
        <v>0</v>
      </c>
      <c r="E71" s="68" t="e">
        <f t="shared" ca="1" si="16"/>
        <v>#N/A</v>
      </c>
      <c r="F71" s="68" t="e">
        <f t="shared" ca="1" si="17"/>
        <v>#N/A</v>
      </c>
      <c r="G71" s="68" t="e">
        <f t="shared" ca="1" si="18"/>
        <v>#N/A</v>
      </c>
      <c r="H71" s="68" t="e">
        <f>IF('Demand background (hide)'!AN59&lt;&gt;"",'SPC background (hide)'!C71,NA())</f>
        <v>#N/A</v>
      </c>
      <c r="I71" s="68">
        <f t="shared" ca="1" si="19"/>
        <v>1</v>
      </c>
      <c r="J71" s="5">
        <f t="shared" ca="1" si="20"/>
        <v>69.979541734860845</v>
      </c>
      <c r="K71" s="5">
        <f t="shared" ca="1" si="21"/>
        <v>211.65302782324056</v>
      </c>
      <c r="L71" s="5">
        <f t="shared" ca="1" si="22"/>
        <v>353.32651391162028</v>
      </c>
      <c r="M71" s="5">
        <f t="shared" ca="1" si="23"/>
        <v>495</v>
      </c>
      <c r="N71" s="5">
        <f t="shared" ca="1" si="24"/>
        <v>636.67348608837972</v>
      </c>
      <c r="O71" s="5">
        <f t="shared" ca="1" si="25"/>
        <v>778.34697217675944</v>
      </c>
      <c r="P71" s="5">
        <f t="shared" ca="1" si="26"/>
        <v>920.02045826513915</v>
      </c>
      <c r="Q71" s="5" t="e">
        <f t="shared" ca="1" si="27"/>
        <v>#N/A</v>
      </c>
      <c r="R71" s="5">
        <f t="shared" ca="1" si="32"/>
        <v>1</v>
      </c>
      <c r="S71" s="68" t="e">
        <f t="shared" ca="1" si="33"/>
        <v>#N/A</v>
      </c>
      <c r="T71" s="68">
        <f t="shared" ca="1" si="34"/>
        <v>1</v>
      </c>
      <c r="U71" s="68" t="e">
        <f t="shared" ca="1" si="35"/>
        <v>#N/A</v>
      </c>
      <c r="V71" s="5">
        <f t="shared" ca="1" si="14"/>
        <v>1</v>
      </c>
      <c r="W71" s="5" t="e">
        <f t="shared" ca="1" si="28"/>
        <v>#N/A</v>
      </c>
      <c r="X71" s="68">
        <f t="shared" ca="1" si="29"/>
        <v>1</v>
      </c>
      <c r="Y71" s="68" t="e">
        <f t="shared" ca="1" si="36"/>
        <v>#N/A</v>
      </c>
      <c r="Z71" s="68" t="e">
        <f t="shared" ca="1" si="37"/>
        <v>#N/A</v>
      </c>
      <c r="AA71" s="5" t="str">
        <f>IF(Setup!$I$15="Yes",'Demand background (hide)'!AJ59+'SPC background (hide)'!C71,"")</f>
        <v/>
      </c>
      <c r="AC71" s="5">
        <f t="shared" ca="1" si="30"/>
        <v>551.5</v>
      </c>
      <c r="AD71" s="5">
        <f t="shared" ca="1" si="31"/>
        <v>664</v>
      </c>
    </row>
    <row r="72" spans="1:30" x14ac:dyDescent="0.2">
      <c r="A72" s="68">
        <f ca="1">Demand!C69</f>
        <v>17</v>
      </c>
      <c r="B72" s="68">
        <v>57</v>
      </c>
      <c r="C72" s="5">
        <f ca="1">'Demand background (hide)'!Y60</f>
        <v>430</v>
      </c>
      <c r="D72" s="68">
        <f t="shared" si="15"/>
        <v>0</v>
      </c>
      <c r="E72" s="68" t="e">
        <f t="shared" ca="1" si="16"/>
        <v>#N/A</v>
      </c>
      <c r="F72" s="68" t="e">
        <f t="shared" ca="1" si="17"/>
        <v>#N/A</v>
      </c>
      <c r="G72" s="68" t="e">
        <f t="shared" ca="1" si="18"/>
        <v>#N/A</v>
      </c>
      <c r="H72" s="68" t="e">
        <f>IF('Demand background (hide)'!AN60&lt;&gt;"",'SPC background (hide)'!C72,NA())</f>
        <v>#N/A</v>
      </c>
      <c r="I72" s="68">
        <f t="shared" ca="1" si="19"/>
        <v>1</v>
      </c>
      <c r="J72" s="5">
        <f t="shared" ca="1" si="20"/>
        <v>69.979541734860845</v>
      </c>
      <c r="K72" s="5">
        <f t="shared" ca="1" si="21"/>
        <v>211.65302782324056</v>
      </c>
      <c r="L72" s="5">
        <f t="shared" ca="1" si="22"/>
        <v>353.32651391162028</v>
      </c>
      <c r="M72" s="5">
        <f t="shared" ca="1" si="23"/>
        <v>495</v>
      </c>
      <c r="N72" s="5">
        <f t="shared" ca="1" si="24"/>
        <v>636.67348608837972</v>
      </c>
      <c r="O72" s="5">
        <f t="shared" ca="1" si="25"/>
        <v>778.34697217675944</v>
      </c>
      <c r="P72" s="5">
        <f t="shared" ca="1" si="26"/>
        <v>920.02045826513915</v>
      </c>
      <c r="Q72" s="5" t="e">
        <f t="shared" ca="1" si="27"/>
        <v>#N/A</v>
      </c>
      <c r="R72" s="5">
        <f t="shared" ca="1" si="32"/>
        <v>-1</v>
      </c>
      <c r="S72" s="68" t="e">
        <f t="shared" ca="1" si="33"/>
        <v>#N/A</v>
      </c>
      <c r="T72" s="68">
        <f t="shared" ca="1" si="34"/>
        <v>-1</v>
      </c>
      <c r="U72" s="68" t="e">
        <f t="shared" ca="1" si="35"/>
        <v>#N/A</v>
      </c>
      <c r="V72" s="5">
        <f t="shared" ca="1" si="14"/>
        <v>-1</v>
      </c>
      <c r="W72" s="5" t="e">
        <f t="shared" ca="1" si="28"/>
        <v>#N/A</v>
      </c>
      <c r="X72" s="68">
        <f t="shared" ca="1" si="29"/>
        <v>-1</v>
      </c>
      <c r="Y72" s="68" t="e">
        <f t="shared" ca="1" si="36"/>
        <v>#N/A</v>
      </c>
      <c r="Z72" s="68" t="e">
        <f t="shared" ca="1" si="37"/>
        <v>#N/A</v>
      </c>
      <c r="AA72" s="5" t="str">
        <f>IF(Setup!$I$15="Yes",'Demand background (hide)'!AJ60+'SPC background (hide)'!C72,"")</f>
        <v/>
      </c>
      <c r="AC72" s="5">
        <f t="shared" ca="1" si="30"/>
        <v>551.5</v>
      </c>
      <c r="AD72" s="5">
        <f t="shared" ca="1" si="31"/>
        <v>664</v>
      </c>
    </row>
    <row r="73" spans="1:30" x14ac:dyDescent="0.2">
      <c r="A73" s="68">
        <f ca="1">Demand!C70</f>
        <v>18</v>
      </c>
      <c r="B73" s="68">
        <v>58</v>
      </c>
      <c r="C73" s="5">
        <f ca="1">'Demand background (hide)'!Y61</f>
        <v>620</v>
      </c>
      <c r="D73" s="68">
        <f t="shared" si="15"/>
        <v>0</v>
      </c>
      <c r="E73" s="68" t="e">
        <f t="shared" ca="1" si="16"/>
        <v>#N/A</v>
      </c>
      <c r="F73" s="68" t="e">
        <f t="shared" ca="1" si="17"/>
        <v>#N/A</v>
      </c>
      <c r="G73" s="68" t="e">
        <f t="shared" ca="1" si="18"/>
        <v>#N/A</v>
      </c>
      <c r="H73" s="68" t="e">
        <f>IF('Demand background (hide)'!AN61&lt;&gt;"",'SPC background (hide)'!C73,NA())</f>
        <v>#N/A</v>
      </c>
      <c r="I73" s="68">
        <f t="shared" ca="1" si="19"/>
        <v>1</v>
      </c>
      <c r="J73" s="5">
        <f t="shared" ca="1" si="20"/>
        <v>69.979541734860845</v>
      </c>
      <c r="K73" s="5">
        <f t="shared" ca="1" si="21"/>
        <v>211.65302782324056</v>
      </c>
      <c r="L73" s="5">
        <f t="shared" ca="1" si="22"/>
        <v>353.32651391162028</v>
      </c>
      <c r="M73" s="5">
        <f t="shared" ca="1" si="23"/>
        <v>495</v>
      </c>
      <c r="N73" s="5">
        <f t="shared" ca="1" si="24"/>
        <v>636.67348608837972</v>
      </c>
      <c r="O73" s="5">
        <f t="shared" ca="1" si="25"/>
        <v>778.34697217675944</v>
      </c>
      <c r="P73" s="5">
        <f t="shared" ca="1" si="26"/>
        <v>920.02045826513915</v>
      </c>
      <c r="Q73" s="5" t="e">
        <f t="shared" ca="1" si="27"/>
        <v>#N/A</v>
      </c>
      <c r="R73" s="5">
        <f t="shared" ca="1" si="32"/>
        <v>1</v>
      </c>
      <c r="S73" s="68" t="e">
        <f t="shared" ca="1" si="33"/>
        <v>#N/A</v>
      </c>
      <c r="T73" s="68">
        <f t="shared" ca="1" si="34"/>
        <v>1</v>
      </c>
      <c r="U73" s="68" t="e">
        <f t="shared" ca="1" si="35"/>
        <v>#N/A</v>
      </c>
      <c r="V73" s="5">
        <f t="shared" ca="1" si="14"/>
        <v>1</v>
      </c>
      <c r="W73" s="5" t="e">
        <f t="shared" ca="1" si="28"/>
        <v>#N/A</v>
      </c>
      <c r="X73" s="68">
        <f t="shared" ca="1" si="29"/>
        <v>1</v>
      </c>
      <c r="Y73" s="68" t="e">
        <f t="shared" ca="1" si="36"/>
        <v>#N/A</v>
      </c>
      <c r="Z73" s="68" t="e">
        <f t="shared" ca="1" si="37"/>
        <v>#N/A</v>
      </c>
      <c r="AA73" s="5" t="str">
        <f>IF(Setup!$I$15="Yes",'Demand background (hide)'!AJ61+'SPC background (hide)'!C73,"")</f>
        <v/>
      </c>
      <c r="AC73" s="5">
        <f t="shared" ca="1" si="30"/>
        <v>551.5</v>
      </c>
      <c r="AD73" s="5">
        <f t="shared" ca="1" si="31"/>
        <v>664</v>
      </c>
    </row>
    <row r="74" spans="1:30" x14ac:dyDescent="0.2">
      <c r="A74" s="68">
        <f ca="1">Demand!C71</f>
        <v>19</v>
      </c>
      <c r="B74" s="68">
        <v>59</v>
      </c>
      <c r="C74" s="5">
        <f ca="1">'Demand background (hide)'!Y62</f>
        <v>270</v>
      </c>
      <c r="D74" s="68">
        <f t="shared" si="15"/>
        <v>0</v>
      </c>
      <c r="E74" s="68" t="e">
        <f t="shared" ca="1" si="16"/>
        <v>#N/A</v>
      </c>
      <c r="F74" s="68" t="e">
        <f t="shared" ca="1" si="17"/>
        <v>#N/A</v>
      </c>
      <c r="G74" s="68" t="e">
        <f t="shared" ca="1" si="18"/>
        <v>#N/A</v>
      </c>
      <c r="H74" s="68" t="e">
        <f>IF('Demand background (hide)'!AN62&lt;&gt;"",'SPC background (hide)'!C74,NA())</f>
        <v>#N/A</v>
      </c>
      <c r="I74" s="68">
        <f t="shared" ca="1" si="19"/>
        <v>1</v>
      </c>
      <c r="J74" s="5">
        <f t="shared" ca="1" si="20"/>
        <v>69.979541734860845</v>
      </c>
      <c r="K74" s="5">
        <f t="shared" ca="1" si="21"/>
        <v>211.65302782324056</v>
      </c>
      <c r="L74" s="5">
        <f t="shared" ca="1" si="22"/>
        <v>353.32651391162028</v>
      </c>
      <c r="M74" s="5">
        <f t="shared" ca="1" si="23"/>
        <v>495</v>
      </c>
      <c r="N74" s="5">
        <f t="shared" ca="1" si="24"/>
        <v>636.67348608837972</v>
      </c>
      <c r="O74" s="5">
        <f t="shared" ca="1" si="25"/>
        <v>778.34697217675944</v>
      </c>
      <c r="P74" s="5">
        <f t="shared" ca="1" si="26"/>
        <v>920.02045826513915</v>
      </c>
      <c r="Q74" s="5" t="e">
        <f t="shared" ca="1" si="27"/>
        <v>#N/A</v>
      </c>
      <c r="R74" s="5">
        <f t="shared" ca="1" si="32"/>
        <v>-1</v>
      </c>
      <c r="S74" s="68" t="e">
        <f t="shared" ca="1" si="33"/>
        <v>#N/A</v>
      </c>
      <c r="T74" s="68">
        <f t="shared" ca="1" si="34"/>
        <v>-2</v>
      </c>
      <c r="U74" s="68" t="e">
        <f t="shared" ca="1" si="35"/>
        <v>#N/A</v>
      </c>
      <c r="V74" s="5">
        <f t="shared" ca="1" si="14"/>
        <v>-1</v>
      </c>
      <c r="W74" s="5" t="e">
        <f t="shared" ca="1" si="28"/>
        <v>#N/A</v>
      </c>
      <c r="X74" s="68">
        <f t="shared" ca="1" si="29"/>
        <v>-1</v>
      </c>
      <c r="Y74" s="68" t="e">
        <f t="shared" ca="1" si="36"/>
        <v>#N/A</v>
      </c>
      <c r="Z74" s="68" t="e">
        <f t="shared" ca="1" si="37"/>
        <v>#N/A</v>
      </c>
      <c r="AA74" s="5" t="str">
        <f>IF(Setup!$I$15="Yes",'Demand background (hide)'!AJ62+'SPC background (hide)'!C74,"")</f>
        <v/>
      </c>
      <c r="AC74" s="5">
        <f t="shared" ca="1" si="30"/>
        <v>551.5</v>
      </c>
      <c r="AD74" s="5">
        <f t="shared" ca="1" si="31"/>
        <v>664</v>
      </c>
    </row>
    <row r="75" spans="1:30" x14ac:dyDescent="0.2">
      <c r="A75" s="68">
        <f ca="1">Demand!C72</f>
        <v>20</v>
      </c>
      <c r="B75" s="68">
        <v>60</v>
      </c>
      <c r="C75" s="5">
        <f ca="1">'Demand background (hide)'!Y63</f>
        <v>510</v>
      </c>
      <c r="D75" s="68">
        <f t="shared" si="15"/>
        <v>0</v>
      </c>
      <c r="E75" s="68" t="e">
        <f t="shared" ca="1" si="16"/>
        <v>#N/A</v>
      </c>
      <c r="F75" s="68" t="e">
        <f t="shared" ca="1" si="17"/>
        <v>#N/A</v>
      </c>
      <c r="G75" s="68" t="e">
        <f t="shared" ca="1" si="18"/>
        <v>#N/A</v>
      </c>
      <c r="H75" s="68" t="e">
        <f>IF('Demand background (hide)'!AN63&lt;&gt;"",'SPC background (hide)'!C75,NA())</f>
        <v>#N/A</v>
      </c>
      <c r="I75" s="68">
        <f t="shared" ca="1" si="19"/>
        <v>1</v>
      </c>
      <c r="J75" s="5">
        <f t="shared" ca="1" si="20"/>
        <v>69.979541734860845</v>
      </c>
      <c r="K75" s="5">
        <f t="shared" ca="1" si="21"/>
        <v>211.65302782324056</v>
      </c>
      <c r="L75" s="5">
        <f t="shared" ca="1" si="22"/>
        <v>353.32651391162028</v>
      </c>
      <c r="M75" s="5">
        <f t="shared" ca="1" si="23"/>
        <v>495</v>
      </c>
      <c r="N75" s="5">
        <f t="shared" ca="1" si="24"/>
        <v>636.67348608837972</v>
      </c>
      <c r="O75" s="5">
        <f t="shared" ca="1" si="25"/>
        <v>778.34697217675944</v>
      </c>
      <c r="P75" s="5">
        <f t="shared" ca="1" si="26"/>
        <v>920.02045826513915</v>
      </c>
      <c r="Q75" s="5" t="e">
        <f t="shared" ca="1" si="27"/>
        <v>#N/A</v>
      </c>
      <c r="R75" s="5">
        <f t="shared" ca="1" si="32"/>
        <v>1</v>
      </c>
      <c r="S75" s="68" t="e">
        <f t="shared" ca="1" si="33"/>
        <v>#N/A</v>
      </c>
      <c r="T75" s="68">
        <f t="shared" ca="1" si="34"/>
        <v>1</v>
      </c>
      <c r="U75" s="68" t="e">
        <f t="shared" ca="1" si="35"/>
        <v>#N/A</v>
      </c>
      <c r="V75" s="5">
        <f t="shared" ca="1" si="14"/>
        <v>1</v>
      </c>
      <c r="W75" s="5" t="e">
        <f t="shared" ca="1" si="28"/>
        <v>#N/A</v>
      </c>
      <c r="X75" s="68">
        <f t="shared" ca="1" si="29"/>
        <v>1</v>
      </c>
      <c r="Y75" s="68" t="e">
        <f t="shared" ca="1" si="36"/>
        <v>#N/A</v>
      </c>
      <c r="Z75" s="68" t="e">
        <f t="shared" ca="1" si="37"/>
        <v>#N/A</v>
      </c>
      <c r="AA75" s="5" t="str">
        <f>IF(Setup!$I$15="Yes",'Demand background (hide)'!AJ63+'SPC background (hide)'!C75,"")</f>
        <v/>
      </c>
      <c r="AC75" s="5">
        <f t="shared" ca="1" si="30"/>
        <v>551.5</v>
      </c>
      <c r="AD75" s="5">
        <f t="shared" ca="1" si="31"/>
        <v>664</v>
      </c>
    </row>
    <row r="76" spans="1:30" x14ac:dyDescent="0.2">
      <c r="A76" s="68">
        <f ca="1">Demand!C73</f>
        <v>21</v>
      </c>
      <c r="B76" s="68">
        <v>61</v>
      </c>
      <c r="C76" s="5">
        <f ca="1">'Demand background (hide)'!Y64</f>
        <v>280</v>
      </c>
      <c r="D76" s="68">
        <f t="shared" si="15"/>
        <v>0</v>
      </c>
      <c r="E76" s="68" t="e">
        <f t="shared" ca="1" si="16"/>
        <v>#N/A</v>
      </c>
      <c r="F76" s="68" t="e">
        <f t="shared" ca="1" si="17"/>
        <v>#N/A</v>
      </c>
      <c r="G76" s="68" t="e">
        <f t="shared" ca="1" si="18"/>
        <v>#N/A</v>
      </c>
      <c r="H76" s="68" t="e">
        <f>IF('Demand background (hide)'!AN64&lt;&gt;"",'SPC background (hide)'!C76,NA())</f>
        <v>#N/A</v>
      </c>
      <c r="I76" s="68">
        <f t="shared" ca="1" si="19"/>
        <v>1</v>
      </c>
      <c r="J76" s="5">
        <f t="shared" ca="1" si="20"/>
        <v>69.979541734860845</v>
      </c>
      <c r="K76" s="5">
        <f t="shared" ca="1" si="21"/>
        <v>211.65302782324056</v>
      </c>
      <c r="L76" s="5">
        <f t="shared" ca="1" si="22"/>
        <v>353.32651391162028</v>
      </c>
      <c r="M76" s="5">
        <f t="shared" ca="1" si="23"/>
        <v>495</v>
      </c>
      <c r="N76" s="5">
        <f t="shared" ca="1" si="24"/>
        <v>636.67348608837972</v>
      </c>
      <c r="O76" s="5">
        <f t="shared" ca="1" si="25"/>
        <v>778.34697217675944</v>
      </c>
      <c r="P76" s="5">
        <f t="shared" ca="1" si="26"/>
        <v>920.02045826513915</v>
      </c>
      <c r="Q76" s="5" t="e">
        <f t="shared" ca="1" si="27"/>
        <v>#N/A</v>
      </c>
      <c r="R76" s="5">
        <f t="shared" ca="1" si="32"/>
        <v>-1</v>
      </c>
      <c r="S76" s="68" t="e">
        <f t="shared" ca="1" si="33"/>
        <v>#N/A</v>
      </c>
      <c r="T76" s="68">
        <f t="shared" ca="1" si="34"/>
        <v>-2</v>
      </c>
      <c r="U76" s="68" t="e">
        <f t="shared" ca="1" si="35"/>
        <v>#N/A</v>
      </c>
      <c r="V76" s="5">
        <f t="shared" ca="1" si="14"/>
        <v>-1</v>
      </c>
      <c r="W76" s="5" t="e">
        <f t="shared" ca="1" si="28"/>
        <v>#N/A</v>
      </c>
      <c r="X76" s="68">
        <f t="shared" ca="1" si="29"/>
        <v>-1</v>
      </c>
      <c r="Y76" s="68" t="e">
        <f t="shared" ca="1" si="36"/>
        <v>#N/A</v>
      </c>
      <c r="Z76" s="68" t="e">
        <f t="shared" ca="1" si="37"/>
        <v>#N/A</v>
      </c>
      <c r="AA76" s="5" t="str">
        <f>IF(Setup!$I$15="Yes",'Demand background (hide)'!AJ64+'SPC background (hide)'!C76,"")</f>
        <v/>
      </c>
      <c r="AC76" s="5">
        <f t="shared" ca="1" si="30"/>
        <v>551.5</v>
      </c>
      <c r="AD76" s="5">
        <f t="shared" ca="1" si="31"/>
        <v>664</v>
      </c>
    </row>
    <row r="77" spans="1:30" x14ac:dyDescent="0.2">
      <c r="A77" s="68">
        <f ca="1">Demand!C74</f>
        <v>22</v>
      </c>
      <c r="B77" s="68">
        <v>62</v>
      </c>
      <c r="C77" s="5">
        <f ca="1">'Demand background (hide)'!Y65</f>
        <v>720</v>
      </c>
      <c r="D77" s="68">
        <f t="shared" si="15"/>
        <v>0</v>
      </c>
      <c r="E77" s="68" t="e">
        <f t="shared" ca="1" si="16"/>
        <v>#N/A</v>
      </c>
      <c r="F77" s="68" t="e">
        <f t="shared" ca="1" si="17"/>
        <v>#N/A</v>
      </c>
      <c r="G77" s="68" t="e">
        <f t="shared" ca="1" si="18"/>
        <v>#N/A</v>
      </c>
      <c r="H77" s="68" t="e">
        <f>IF('Demand background (hide)'!AN65&lt;&gt;"",'SPC background (hide)'!C77,NA())</f>
        <v>#N/A</v>
      </c>
      <c r="I77" s="68">
        <f t="shared" ca="1" si="19"/>
        <v>1</v>
      </c>
      <c r="J77" s="5">
        <f t="shared" ca="1" si="20"/>
        <v>69.979541734860845</v>
      </c>
      <c r="K77" s="5">
        <f t="shared" ca="1" si="21"/>
        <v>211.65302782324056</v>
      </c>
      <c r="L77" s="5">
        <f t="shared" ca="1" si="22"/>
        <v>353.32651391162028</v>
      </c>
      <c r="M77" s="5">
        <f t="shared" ca="1" si="23"/>
        <v>495</v>
      </c>
      <c r="N77" s="5">
        <f t="shared" ca="1" si="24"/>
        <v>636.67348608837972</v>
      </c>
      <c r="O77" s="5">
        <f t="shared" ca="1" si="25"/>
        <v>778.34697217675944</v>
      </c>
      <c r="P77" s="5">
        <f t="shared" ca="1" si="26"/>
        <v>920.02045826513915</v>
      </c>
      <c r="Q77" s="5" t="e">
        <f t="shared" ca="1" si="27"/>
        <v>#N/A</v>
      </c>
      <c r="R77" s="5">
        <f t="shared" ca="1" si="32"/>
        <v>1</v>
      </c>
      <c r="S77" s="68" t="e">
        <f t="shared" ca="1" si="33"/>
        <v>#N/A</v>
      </c>
      <c r="T77" s="68">
        <f t="shared" ca="1" si="34"/>
        <v>2</v>
      </c>
      <c r="U77" s="68" t="e">
        <f t="shared" ca="1" si="35"/>
        <v>#N/A</v>
      </c>
      <c r="V77" s="5">
        <f t="shared" ca="1" si="14"/>
        <v>1</v>
      </c>
      <c r="W77" s="5" t="e">
        <f t="shared" ca="1" si="28"/>
        <v>#N/A</v>
      </c>
      <c r="X77" s="68">
        <f t="shared" ca="1" si="29"/>
        <v>1</v>
      </c>
      <c r="Y77" s="68" t="e">
        <f t="shared" ca="1" si="36"/>
        <v>#N/A</v>
      </c>
      <c r="Z77" s="68" t="e">
        <f t="shared" ca="1" si="37"/>
        <v>#N/A</v>
      </c>
      <c r="AA77" s="5" t="str">
        <f>IF(Setup!$I$15="Yes",'Demand background (hide)'!AJ65+'SPC background (hide)'!C77,"")</f>
        <v/>
      </c>
      <c r="AC77" s="5">
        <f t="shared" ca="1" si="30"/>
        <v>551.5</v>
      </c>
      <c r="AD77" s="5">
        <f t="shared" ca="1" si="31"/>
        <v>664</v>
      </c>
    </row>
    <row r="78" spans="1:30" x14ac:dyDescent="0.2">
      <c r="A78" s="68">
        <f ca="1">Demand!C75</f>
        <v>23</v>
      </c>
      <c r="B78" s="68">
        <v>63</v>
      </c>
      <c r="C78" s="5">
        <f ca="1">'Demand background (hide)'!Y66</f>
        <v>270</v>
      </c>
      <c r="D78" s="68">
        <f t="shared" si="15"/>
        <v>0</v>
      </c>
      <c r="E78" s="68" t="e">
        <f t="shared" ca="1" si="16"/>
        <v>#N/A</v>
      </c>
      <c r="F78" s="68" t="e">
        <f t="shared" ca="1" si="17"/>
        <v>#N/A</v>
      </c>
      <c r="G78" s="68" t="e">
        <f t="shared" ca="1" si="18"/>
        <v>#N/A</v>
      </c>
      <c r="H78" s="68" t="e">
        <f>IF('Demand background (hide)'!AN66&lt;&gt;"",'SPC background (hide)'!C78,NA())</f>
        <v>#N/A</v>
      </c>
      <c r="I78" s="68">
        <f t="shared" ca="1" si="19"/>
        <v>1</v>
      </c>
      <c r="J78" s="5">
        <f t="shared" ca="1" si="20"/>
        <v>69.979541734860845</v>
      </c>
      <c r="K78" s="5">
        <f t="shared" ca="1" si="21"/>
        <v>211.65302782324056</v>
      </c>
      <c r="L78" s="5">
        <f t="shared" ca="1" si="22"/>
        <v>353.32651391162028</v>
      </c>
      <c r="M78" s="5">
        <f t="shared" ca="1" si="23"/>
        <v>495</v>
      </c>
      <c r="N78" s="5">
        <f t="shared" ca="1" si="24"/>
        <v>636.67348608837972</v>
      </c>
      <c r="O78" s="5">
        <f t="shared" ca="1" si="25"/>
        <v>778.34697217675944</v>
      </c>
      <c r="P78" s="5">
        <f t="shared" ca="1" si="26"/>
        <v>920.02045826513915</v>
      </c>
      <c r="Q78" s="5" t="e">
        <f t="shared" ca="1" si="27"/>
        <v>#N/A</v>
      </c>
      <c r="R78" s="5">
        <f t="shared" ca="1" si="32"/>
        <v>-1</v>
      </c>
      <c r="S78" s="68" t="e">
        <f t="shared" ca="1" si="33"/>
        <v>#N/A</v>
      </c>
      <c r="T78" s="68">
        <f t="shared" ca="1" si="34"/>
        <v>-2</v>
      </c>
      <c r="U78" s="68" t="e">
        <f t="shared" ca="1" si="35"/>
        <v>#N/A</v>
      </c>
      <c r="V78" s="5">
        <f t="shared" ca="1" si="14"/>
        <v>-1</v>
      </c>
      <c r="W78" s="5" t="e">
        <f t="shared" ca="1" si="28"/>
        <v>#N/A</v>
      </c>
      <c r="X78" s="68">
        <f t="shared" ca="1" si="29"/>
        <v>-1</v>
      </c>
      <c r="Y78" s="68" t="e">
        <f t="shared" ca="1" si="36"/>
        <v>#N/A</v>
      </c>
      <c r="Z78" s="68" t="e">
        <f t="shared" ca="1" si="37"/>
        <v>#N/A</v>
      </c>
      <c r="AA78" s="5" t="str">
        <f>IF(Setup!$I$15="Yes",'Demand background (hide)'!AJ66+'SPC background (hide)'!C78,"")</f>
        <v/>
      </c>
      <c r="AC78" s="5">
        <f t="shared" ca="1" si="30"/>
        <v>551.5</v>
      </c>
      <c r="AD78" s="5">
        <f t="shared" ca="1" si="31"/>
        <v>664</v>
      </c>
    </row>
    <row r="79" spans="1:30" x14ac:dyDescent="0.2">
      <c r="A79" s="68">
        <f ca="1">Demand!C76</f>
        <v>24</v>
      </c>
      <c r="B79" s="68">
        <v>64</v>
      </c>
      <c r="C79" s="5">
        <f ca="1">'Demand background (hide)'!Y67</f>
        <v>390</v>
      </c>
      <c r="D79" s="68">
        <f t="shared" si="15"/>
        <v>0</v>
      </c>
      <c r="E79" s="68" t="e">
        <f t="shared" ca="1" si="16"/>
        <v>#N/A</v>
      </c>
      <c r="F79" s="68" t="e">
        <f t="shared" ca="1" si="17"/>
        <v>#N/A</v>
      </c>
      <c r="G79" s="68" t="e">
        <f t="shared" ca="1" si="18"/>
        <v>#N/A</v>
      </c>
      <c r="H79" s="68" t="e">
        <f>IF('Demand background (hide)'!AN67&lt;&gt;"",'SPC background (hide)'!C79,NA())</f>
        <v>#N/A</v>
      </c>
      <c r="I79" s="68">
        <f t="shared" ca="1" si="19"/>
        <v>1</v>
      </c>
      <c r="J79" s="5">
        <f t="shared" ca="1" si="20"/>
        <v>69.979541734860845</v>
      </c>
      <c r="K79" s="5">
        <f t="shared" ca="1" si="21"/>
        <v>211.65302782324056</v>
      </c>
      <c r="L79" s="5">
        <f t="shared" ca="1" si="22"/>
        <v>353.32651391162028</v>
      </c>
      <c r="M79" s="5">
        <f t="shared" ca="1" si="23"/>
        <v>495</v>
      </c>
      <c r="N79" s="5">
        <f t="shared" ca="1" si="24"/>
        <v>636.67348608837972</v>
      </c>
      <c r="O79" s="5">
        <f t="shared" ca="1" si="25"/>
        <v>778.34697217675944</v>
      </c>
      <c r="P79" s="5">
        <f t="shared" ca="1" si="26"/>
        <v>920.02045826513915</v>
      </c>
      <c r="Q79" s="5" t="e">
        <f t="shared" ca="1" si="27"/>
        <v>#N/A</v>
      </c>
      <c r="R79" s="5">
        <f t="shared" ca="1" si="32"/>
        <v>-1</v>
      </c>
      <c r="S79" s="68" t="e">
        <f t="shared" ca="1" si="33"/>
        <v>#N/A</v>
      </c>
      <c r="T79" s="68">
        <f t="shared" ca="1" si="34"/>
        <v>-1</v>
      </c>
      <c r="U79" s="68" t="e">
        <f t="shared" ca="1" si="35"/>
        <v>#N/A</v>
      </c>
      <c r="V79" s="5">
        <f t="shared" ca="1" si="14"/>
        <v>-1</v>
      </c>
      <c r="W79" s="5" t="e">
        <f t="shared" ca="1" si="28"/>
        <v>#N/A</v>
      </c>
      <c r="X79" s="68">
        <f t="shared" ca="1" si="29"/>
        <v>1</v>
      </c>
      <c r="Y79" s="68" t="e">
        <f t="shared" ca="1" si="36"/>
        <v>#N/A</v>
      </c>
      <c r="Z79" s="68" t="e">
        <f t="shared" ca="1" si="37"/>
        <v>#N/A</v>
      </c>
      <c r="AA79" s="5" t="str">
        <f>IF(Setup!$I$15="Yes",'Demand background (hide)'!AJ67+'SPC background (hide)'!C79,"")</f>
        <v/>
      </c>
      <c r="AC79" s="5">
        <f t="shared" ca="1" si="30"/>
        <v>551.5</v>
      </c>
      <c r="AD79" s="5">
        <f t="shared" ca="1" si="31"/>
        <v>664</v>
      </c>
    </row>
    <row r="80" spans="1:30" x14ac:dyDescent="0.2">
      <c r="A80" s="68">
        <f ca="1">Demand!C77</f>
        <v>25</v>
      </c>
      <c r="B80" s="68">
        <v>65</v>
      </c>
      <c r="C80" s="5">
        <f ca="1">'Demand background (hide)'!Y68</f>
        <v>500</v>
      </c>
      <c r="D80" s="68">
        <f t="shared" si="15"/>
        <v>0</v>
      </c>
      <c r="E80" s="68" t="e">
        <f t="shared" ca="1" si="16"/>
        <v>#N/A</v>
      </c>
      <c r="F80" s="68" t="e">
        <f t="shared" ca="1" si="17"/>
        <v>#N/A</v>
      </c>
      <c r="G80" s="68" t="e">
        <f t="shared" ca="1" si="18"/>
        <v>#N/A</v>
      </c>
      <c r="H80" s="68" t="e">
        <f>IF('Demand background (hide)'!AN68&lt;&gt;"",'SPC background (hide)'!C80,NA())</f>
        <v>#N/A</v>
      </c>
      <c r="I80" s="68">
        <f t="shared" ca="1" si="19"/>
        <v>1</v>
      </c>
      <c r="J80" s="5">
        <f t="shared" ca="1" si="20"/>
        <v>69.979541734860845</v>
      </c>
      <c r="K80" s="5">
        <f t="shared" ca="1" si="21"/>
        <v>211.65302782324056</v>
      </c>
      <c r="L80" s="5">
        <f t="shared" ca="1" si="22"/>
        <v>353.32651391162028</v>
      </c>
      <c r="M80" s="5">
        <f t="shared" ca="1" si="23"/>
        <v>495</v>
      </c>
      <c r="N80" s="5">
        <f t="shared" ca="1" si="24"/>
        <v>636.67348608837972</v>
      </c>
      <c r="O80" s="5">
        <f t="shared" ca="1" si="25"/>
        <v>778.34697217675944</v>
      </c>
      <c r="P80" s="5">
        <f t="shared" ca="1" si="26"/>
        <v>920.02045826513915</v>
      </c>
      <c r="Q80" s="5" t="e">
        <f t="shared" ca="1" si="27"/>
        <v>#N/A</v>
      </c>
      <c r="R80" s="5">
        <f t="shared" ca="1" si="32"/>
        <v>1</v>
      </c>
      <c r="S80" s="68" t="e">
        <f t="shared" ca="1" si="33"/>
        <v>#N/A</v>
      </c>
      <c r="T80" s="68">
        <f t="shared" ca="1" si="34"/>
        <v>1</v>
      </c>
      <c r="U80" s="68" t="e">
        <f t="shared" ca="1" si="35"/>
        <v>#N/A</v>
      </c>
      <c r="V80" s="5">
        <f t="shared" ref="V80:V143" ca="1" si="38">IF(C80&lt;M80,-1,IF(C80&gt;M80,1,0))</f>
        <v>1</v>
      </c>
      <c r="W80" s="5" t="e">
        <f t="shared" ca="1" si="28"/>
        <v>#N/A</v>
      </c>
      <c r="X80" s="68">
        <f t="shared" ca="1" si="29"/>
        <v>1</v>
      </c>
      <c r="Y80" s="68" t="e">
        <f t="shared" ca="1" si="36"/>
        <v>#N/A</v>
      </c>
      <c r="Z80" s="68" t="e">
        <f t="shared" ca="1" si="37"/>
        <v>#N/A</v>
      </c>
      <c r="AA80" s="5" t="str">
        <f>IF(Setup!$I$15="Yes",'Demand background (hide)'!AJ68+'SPC background (hide)'!C80,"")</f>
        <v/>
      </c>
      <c r="AC80" s="5">
        <f t="shared" ca="1" si="30"/>
        <v>551.5</v>
      </c>
      <c r="AD80" s="5">
        <f t="shared" ca="1" si="31"/>
        <v>664</v>
      </c>
    </row>
    <row r="81" spans="1:30" x14ac:dyDescent="0.2">
      <c r="A81" s="68">
        <f ca="1">Demand!C78</f>
        <v>26</v>
      </c>
      <c r="B81" s="68">
        <v>66</v>
      </c>
      <c r="C81" s="5">
        <f ca="1">'Demand background (hide)'!Y69</f>
        <v>310</v>
      </c>
      <c r="D81" s="68">
        <f t="shared" ref="D81:D144" si="39">IF(AND($B81&gt;=$C$4,$B81&lt;=$D$5+$C$5-1),1,0)</f>
        <v>0</v>
      </c>
      <c r="E81" s="68" t="e">
        <f t="shared" ref="E81:E144" ca="1" si="40">IF(AND($B81&gt;=$D$6,$B81&lt;=$D$7+$C$7-1),1,0)</f>
        <v>#N/A</v>
      </c>
      <c r="F81" s="68" t="e">
        <f t="shared" ref="F81:F144" ca="1" si="41">IF(AND($B81&gt;=$D$8,$B81&lt;=$D$9+$C$9-1),1,0)</f>
        <v>#N/A</v>
      </c>
      <c r="G81" s="68" t="e">
        <f t="shared" ref="G81:G144" ca="1" si="42">IF(AND($B81&gt;=$D$10,$B81&lt;=$D$11+$C$11-1),1,0)</f>
        <v>#N/A</v>
      </c>
      <c r="H81" s="68" t="e">
        <f>IF('Demand background (hide)'!AN69&lt;&gt;"",'SPC background (hide)'!C81,NA())</f>
        <v>#N/A</v>
      </c>
      <c r="I81" s="68">
        <f t="shared" ref="I81:I144" ca="1" si="43">VLOOKUP(A81,$AG$2:$AI$54,3,0)</f>
        <v>1</v>
      </c>
      <c r="J81" s="5">
        <f t="shared" ref="J81:J144" ca="1" si="44">VLOOKUP($A81,$AG$2:$AQ$54,COLUMN(E$1),0)</f>
        <v>69.979541734860845</v>
      </c>
      <c r="K81" s="5">
        <f t="shared" ref="K81:K144" ca="1" si="45">VLOOKUP($A81,$AG$2:$AQ$54,COLUMN(F$1),0)</f>
        <v>211.65302782324056</v>
      </c>
      <c r="L81" s="5">
        <f t="shared" ref="L81:L144" ca="1" si="46">VLOOKUP($A81,$AG$2:$AQ$54,COLUMN(G$1),0)</f>
        <v>353.32651391162028</v>
      </c>
      <c r="M81" s="5">
        <f t="shared" ref="M81:M144" ca="1" si="47">VLOOKUP($A81,$AG$2:$AQ$54,COLUMN(H$1),0)</f>
        <v>495</v>
      </c>
      <c r="N81" s="5">
        <f t="shared" ref="N81:N144" ca="1" si="48">VLOOKUP($A81,$AG$2:$AQ$54,COLUMN(I$1),0)</f>
        <v>636.67348608837972</v>
      </c>
      <c r="O81" s="5">
        <f t="shared" ref="O81:O144" ca="1" si="49">VLOOKUP($A81,$AG$2:$AQ$54,COLUMN(J$1),0)</f>
        <v>778.34697217675944</v>
      </c>
      <c r="P81" s="5">
        <f t="shared" ref="P81:P144" ca="1" si="50">VLOOKUP($A81,$AG$2:$AQ$54,COLUMN(K$1),0)</f>
        <v>920.02045826513915</v>
      </c>
      <c r="Q81" s="5" t="e">
        <f t="shared" ref="Q81:Q144" ca="1" si="51">IF(ISNA(H81)=TRUE,IF(OR(C81&gt;P81,C81&lt;J81),C81,NA()),NA())</f>
        <v>#N/A</v>
      </c>
      <c r="R81" s="5">
        <f t="shared" ca="1" si="32"/>
        <v>-1</v>
      </c>
      <c r="S81" s="68" t="e">
        <f t="shared" ca="1" si="33"/>
        <v>#N/A</v>
      </c>
      <c r="T81" s="68">
        <f t="shared" ca="1" si="34"/>
        <v>-2</v>
      </c>
      <c r="U81" s="68" t="e">
        <f t="shared" ca="1" si="35"/>
        <v>#N/A</v>
      </c>
      <c r="V81" s="5">
        <f t="shared" ca="1" si="38"/>
        <v>-1</v>
      </c>
      <c r="W81" s="5" t="e">
        <f t="shared" ref="W81:W144" ca="1" si="52">IF(ISNA(H81)=TRUE,IF(ABS(SUM(V81:V89))=9,C81,NA()),NA())</f>
        <v>#N/A</v>
      </c>
      <c r="X81" s="68">
        <f t="shared" ref="X81:X144" ca="1" si="53">IF(C81&gt;C80,1,IF(C81&lt;C80,-1,0))</f>
        <v>-1</v>
      </c>
      <c r="Y81" s="68" t="e">
        <f t="shared" ca="1" si="36"/>
        <v>#N/A</v>
      </c>
      <c r="Z81" s="68" t="e">
        <f t="shared" ca="1" si="37"/>
        <v>#N/A</v>
      </c>
      <c r="AA81" s="5" t="str">
        <f>IF(Setup!$I$15="Yes",'Demand background (hide)'!AJ69+'SPC background (hide)'!C81,"")</f>
        <v/>
      </c>
      <c r="AC81" s="5">
        <f t="shared" ref="AC81:AC144" ca="1" si="54">VLOOKUP($A81,$AG$2:$AS$54,12,0)</f>
        <v>551.5</v>
      </c>
      <c r="AD81" s="5">
        <f t="shared" ref="AD81:AD144" ca="1" si="55">VLOOKUP($A81,$AG$2:$AS$54,13,0)</f>
        <v>664</v>
      </c>
    </row>
    <row r="82" spans="1:30" x14ac:dyDescent="0.2">
      <c r="A82" s="68">
        <f ca="1">Demand!C79</f>
        <v>27</v>
      </c>
      <c r="B82" s="68">
        <v>67</v>
      </c>
      <c r="C82" s="5">
        <f ca="1">'Demand background (hide)'!Y70</f>
        <v>820</v>
      </c>
      <c r="D82" s="68">
        <f t="shared" si="39"/>
        <v>0</v>
      </c>
      <c r="E82" s="68" t="e">
        <f t="shared" ca="1" si="40"/>
        <v>#N/A</v>
      </c>
      <c r="F82" s="68" t="e">
        <f t="shared" ca="1" si="41"/>
        <v>#N/A</v>
      </c>
      <c r="G82" s="68" t="e">
        <f t="shared" ca="1" si="42"/>
        <v>#N/A</v>
      </c>
      <c r="H82" s="68" t="e">
        <f>IF('Demand background (hide)'!AN70&lt;&gt;"",'SPC background (hide)'!C82,NA())</f>
        <v>#N/A</v>
      </c>
      <c r="I82" s="68">
        <f t="shared" ca="1" si="43"/>
        <v>1</v>
      </c>
      <c r="J82" s="5">
        <f t="shared" ca="1" si="44"/>
        <v>69.979541734860845</v>
      </c>
      <c r="K82" s="5">
        <f t="shared" ca="1" si="45"/>
        <v>211.65302782324056</v>
      </c>
      <c r="L82" s="5">
        <f t="shared" ca="1" si="46"/>
        <v>353.32651391162028</v>
      </c>
      <c r="M82" s="5">
        <f t="shared" ca="1" si="47"/>
        <v>495</v>
      </c>
      <c r="N82" s="5">
        <f t="shared" ca="1" si="48"/>
        <v>636.67348608837972</v>
      </c>
      <c r="O82" s="5">
        <f t="shared" ca="1" si="49"/>
        <v>778.34697217675944</v>
      </c>
      <c r="P82" s="5">
        <f t="shared" ca="1" si="50"/>
        <v>920.02045826513915</v>
      </c>
      <c r="Q82" s="5" t="e">
        <f t="shared" ca="1" si="51"/>
        <v>#N/A</v>
      </c>
      <c r="R82" s="5">
        <f t="shared" ref="R82:R145" ca="1" si="56">IF(C82&gt;O82,2,IF(C82&lt;K82,-2,IF(C82&gt;M82,1,IF(C82&lt;M82,-1,0))))</f>
        <v>2</v>
      </c>
      <c r="S82" s="68" t="e">
        <f t="shared" ref="S82:S145" ca="1" si="57">IF(ISNA(H82),IF(ABS(SUM(R82:R84))&gt;=5,C82,NA()),NA())</f>
        <v>#N/A</v>
      </c>
      <c r="T82" s="68">
        <f t="shared" ref="T82:T145" ca="1" si="58">IF(C82&gt;N82,2,IF(C82&lt;L82,-2,IF(C82&gt;M82,1,IF(C82&lt;M82,-1,0))))</f>
        <v>2</v>
      </c>
      <c r="U82" s="68" t="e">
        <f t="shared" ref="U82:U145" ca="1" si="59">IF(ISNA(H82)=TRUE,IF(ABS(SUM(T82:T86))&gt;=9,C82,NA()),NA())</f>
        <v>#N/A</v>
      </c>
      <c r="V82" s="5">
        <f t="shared" ca="1" si="38"/>
        <v>1</v>
      </c>
      <c r="W82" s="5" t="e">
        <f t="shared" ca="1" si="52"/>
        <v>#N/A</v>
      </c>
      <c r="X82" s="68">
        <f t="shared" ca="1" si="53"/>
        <v>1</v>
      </c>
      <c r="Y82" s="68" t="e">
        <f t="shared" ref="Y82:Y145" ca="1" si="60">IF(ISNA(H82)=TRUE,IF(ABS(SUM(X82:X87))=6,C82,NA()),NA())</f>
        <v>#N/A</v>
      </c>
      <c r="Z82" s="68" t="e">
        <f t="shared" ref="Z82:Z145" ca="1" si="61">IF(ISNA(H82)=TRUE,IF(AND(ABS(SUM(T82:T89))=8,SUM(T82:T89)&lt;ABS(SUM(T82:T89))),C82,NA()),NA())</f>
        <v>#N/A</v>
      </c>
      <c r="AA82" s="5" t="str">
        <f>IF(Setup!$I$15="Yes",'Demand background (hide)'!AJ70+'SPC background (hide)'!C82,"")</f>
        <v/>
      </c>
      <c r="AC82" s="5">
        <f t="shared" ca="1" si="54"/>
        <v>551.5</v>
      </c>
      <c r="AD82" s="5">
        <f t="shared" ca="1" si="55"/>
        <v>664</v>
      </c>
    </row>
    <row r="83" spans="1:30" x14ac:dyDescent="0.2">
      <c r="A83" s="68">
        <f ca="1">Demand!C80</f>
        <v>28</v>
      </c>
      <c r="B83" s="68">
        <v>68</v>
      </c>
      <c r="C83" s="5">
        <f ca="1">'Demand background (hide)'!Y71</f>
        <v>640</v>
      </c>
      <c r="D83" s="68">
        <f t="shared" si="39"/>
        <v>0</v>
      </c>
      <c r="E83" s="68" t="e">
        <f t="shared" ca="1" si="40"/>
        <v>#N/A</v>
      </c>
      <c r="F83" s="68" t="e">
        <f t="shared" ca="1" si="41"/>
        <v>#N/A</v>
      </c>
      <c r="G83" s="68" t="e">
        <f t="shared" ca="1" si="42"/>
        <v>#N/A</v>
      </c>
      <c r="H83" s="68" t="e">
        <f>IF('Demand background (hide)'!AN71&lt;&gt;"",'SPC background (hide)'!C83,NA())</f>
        <v>#N/A</v>
      </c>
      <c r="I83" s="68">
        <f t="shared" ca="1" si="43"/>
        <v>1</v>
      </c>
      <c r="J83" s="5">
        <f t="shared" ca="1" si="44"/>
        <v>69.979541734860845</v>
      </c>
      <c r="K83" s="5">
        <f t="shared" ca="1" si="45"/>
        <v>211.65302782324056</v>
      </c>
      <c r="L83" s="5">
        <f t="shared" ca="1" si="46"/>
        <v>353.32651391162028</v>
      </c>
      <c r="M83" s="5">
        <f t="shared" ca="1" si="47"/>
        <v>495</v>
      </c>
      <c r="N83" s="5">
        <f t="shared" ca="1" si="48"/>
        <v>636.67348608837972</v>
      </c>
      <c r="O83" s="5">
        <f t="shared" ca="1" si="49"/>
        <v>778.34697217675944</v>
      </c>
      <c r="P83" s="5">
        <f t="shared" ca="1" si="50"/>
        <v>920.02045826513915</v>
      </c>
      <c r="Q83" s="5" t="e">
        <f t="shared" ca="1" si="51"/>
        <v>#N/A</v>
      </c>
      <c r="R83" s="5">
        <f t="shared" ca="1" si="56"/>
        <v>1</v>
      </c>
      <c r="S83" s="68" t="e">
        <f t="shared" ca="1" si="57"/>
        <v>#N/A</v>
      </c>
      <c r="T83" s="68">
        <f t="shared" ca="1" si="58"/>
        <v>2</v>
      </c>
      <c r="U83" s="68" t="e">
        <f t="shared" ca="1" si="59"/>
        <v>#N/A</v>
      </c>
      <c r="V83" s="5">
        <f t="shared" ca="1" si="38"/>
        <v>1</v>
      </c>
      <c r="W83" s="5" t="e">
        <f t="shared" ca="1" si="52"/>
        <v>#N/A</v>
      </c>
      <c r="X83" s="68">
        <f t="shared" ca="1" si="53"/>
        <v>-1</v>
      </c>
      <c r="Y83" s="68" t="e">
        <f t="shared" ca="1" si="60"/>
        <v>#N/A</v>
      </c>
      <c r="Z83" s="68" t="e">
        <f t="shared" ca="1" si="61"/>
        <v>#N/A</v>
      </c>
      <c r="AA83" s="5" t="str">
        <f>IF(Setup!$I$15="Yes",'Demand background (hide)'!AJ71+'SPC background (hide)'!C83,"")</f>
        <v/>
      </c>
      <c r="AC83" s="5">
        <f t="shared" ca="1" si="54"/>
        <v>551.5</v>
      </c>
      <c r="AD83" s="5">
        <f t="shared" ca="1" si="55"/>
        <v>664</v>
      </c>
    </row>
    <row r="84" spans="1:30" x14ac:dyDescent="0.2">
      <c r="A84" s="68">
        <f ca="1">Demand!C81</f>
        <v>29</v>
      </c>
      <c r="B84" s="68">
        <v>69</v>
      </c>
      <c r="C84" s="5">
        <f ca="1">'Demand background (hide)'!Y72</f>
        <v>460</v>
      </c>
      <c r="D84" s="68">
        <f t="shared" si="39"/>
        <v>0</v>
      </c>
      <c r="E84" s="68" t="e">
        <f t="shared" ca="1" si="40"/>
        <v>#N/A</v>
      </c>
      <c r="F84" s="68" t="e">
        <f t="shared" ca="1" si="41"/>
        <v>#N/A</v>
      </c>
      <c r="G84" s="68" t="e">
        <f t="shared" ca="1" si="42"/>
        <v>#N/A</v>
      </c>
      <c r="H84" s="68" t="e">
        <f>IF('Demand background (hide)'!AN72&lt;&gt;"",'SPC background (hide)'!C84,NA())</f>
        <v>#N/A</v>
      </c>
      <c r="I84" s="68">
        <f t="shared" ca="1" si="43"/>
        <v>1</v>
      </c>
      <c r="J84" s="5">
        <f t="shared" ca="1" si="44"/>
        <v>69.979541734860845</v>
      </c>
      <c r="K84" s="5">
        <f t="shared" ca="1" si="45"/>
        <v>211.65302782324056</v>
      </c>
      <c r="L84" s="5">
        <f t="shared" ca="1" si="46"/>
        <v>353.32651391162028</v>
      </c>
      <c r="M84" s="5">
        <f t="shared" ca="1" si="47"/>
        <v>495</v>
      </c>
      <c r="N84" s="5">
        <f t="shared" ca="1" si="48"/>
        <v>636.67348608837972</v>
      </c>
      <c r="O84" s="5">
        <f t="shared" ca="1" si="49"/>
        <v>778.34697217675944</v>
      </c>
      <c r="P84" s="5">
        <f t="shared" ca="1" si="50"/>
        <v>920.02045826513915</v>
      </c>
      <c r="Q84" s="5" t="e">
        <f t="shared" ca="1" si="51"/>
        <v>#N/A</v>
      </c>
      <c r="R84" s="5">
        <f t="shared" ca="1" si="56"/>
        <v>-1</v>
      </c>
      <c r="S84" s="68" t="e">
        <f t="shared" ca="1" si="57"/>
        <v>#N/A</v>
      </c>
      <c r="T84" s="68">
        <f t="shared" ca="1" si="58"/>
        <v>-1</v>
      </c>
      <c r="U84" s="68" t="e">
        <f t="shared" ca="1" si="59"/>
        <v>#N/A</v>
      </c>
      <c r="V84" s="5">
        <f t="shared" ca="1" si="38"/>
        <v>-1</v>
      </c>
      <c r="W84" s="5" t="e">
        <f t="shared" ca="1" si="52"/>
        <v>#N/A</v>
      </c>
      <c r="X84" s="68">
        <f t="shared" ca="1" si="53"/>
        <v>-1</v>
      </c>
      <c r="Y84" s="68" t="e">
        <f t="shared" ca="1" si="60"/>
        <v>#N/A</v>
      </c>
      <c r="Z84" s="68" t="e">
        <f t="shared" ca="1" si="61"/>
        <v>#N/A</v>
      </c>
      <c r="AA84" s="5" t="str">
        <f>IF(Setup!$I$15="Yes",'Demand background (hide)'!AJ72+'SPC background (hide)'!C84,"")</f>
        <v/>
      </c>
      <c r="AC84" s="5">
        <f t="shared" ca="1" si="54"/>
        <v>551.5</v>
      </c>
      <c r="AD84" s="5">
        <f t="shared" ca="1" si="55"/>
        <v>664</v>
      </c>
    </row>
    <row r="85" spans="1:30" x14ac:dyDescent="0.2">
      <c r="A85" s="68">
        <f ca="1">Demand!C82</f>
        <v>30</v>
      </c>
      <c r="B85" s="68">
        <v>70</v>
      </c>
      <c r="C85" s="5">
        <f ca="1">'Demand background (hide)'!Y73</f>
        <v>770</v>
      </c>
      <c r="D85" s="68">
        <f t="shared" si="39"/>
        <v>0</v>
      </c>
      <c r="E85" s="68" t="e">
        <f t="shared" ca="1" si="40"/>
        <v>#N/A</v>
      </c>
      <c r="F85" s="68" t="e">
        <f t="shared" ca="1" si="41"/>
        <v>#N/A</v>
      </c>
      <c r="G85" s="68" t="e">
        <f t="shared" ca="1" si="42"/>
        <v>#N/A</v>
      </c>
      <c r="H85" s="68" t="e">
        <f>IF('Demand background (hide)'!AN73&lt;&gt;"",'SPC background (hide)'!C85,NA())</f>
        <v>#N/A</v>
      </c>
      <c r="I85" s="68">
        <f t="shared" ca="1" si="43"/>
        <v>1</v>
      </c>
      <c r="J85" s="5">
        <f t="shared" ca="1" si="44"/>
        <v>69.979541734860845</v>
      </c>
      <c r="K85" s="5">
        <f t="shared" ca="1" si="45"/>
        <v>211.65302782324056</v>
      </c>
      <c r="L85" s="5">
        <f t="shared" ca="1" si="46"/>
        <v>353.32651391162028</v>
      </c>
      <c r="M85" s="5">
        <f t="shared" ca="1" si="47"/>
        <v>495</v>
      </c>
      <c r="N85" s="5">
        <f t="shared" ca="1" si="48"/>
        <v>636.67348608837972</v>
      </c>
      <c r="O85" s="5">
        <f t="shared" ca="1" si="49"/>
        <v>778.34697217675944</v>
      </c>
      <c r="P85" s="5">
        <f t="shared" ca="1" si="50"/>
        <v>920.02045826513915</v>
      </c>
      <c r="Q85" s="5" t="e">
        <f t="shared" ca="1" si="51"/>
        <v>#N/A</v>
      </c>
      <c r="R85" s="5">
        <f t="shared" ca="1" si="56"/>
        <v>1</v>
      </c>
      <c r="S85" s="68" t="e">
        <f t="shared" ca="1" si="57"/>
        <v>#N/A</v>
      </c>
      <c r="T85" s="68">
        <f t="shared" ca="1" si="58"/>
        <v>2</v>
      </c>
      <c r="U85" s="68" t="e">
        <f t="shared" ca="1" si="59"/>
        <v>#N/A</v>
      </c>
      <c r="V85" s="5">
        <f t="shared" ca="1" si="38"/>
        <v>1</v>
      </c>
      <c r="W85" s="5" t="e">
        <f t="shared" ca="1" si="52"/>
        <v>#N/A</v>
      </c>
      <c r="X85" s="68">
        <f t="shared" ca="1" si="53"/>
        <v>1</v>
      </c>
      <c r="Y85" s="68" t="e">
        <f t="shared" ca="1" si="60"/>
        <v>#N/A</v>
      </c>
      <c r="Z85" s="68" t="e">
        <f t="shared" ca="1" si="61"/>
        <v>#N/A</v>
      </c>
      <c r="AA85" s="5" t="str">
        <f>IF(Setup!$I$15="Yes",'Demand background (hide)'!AJ73+'SPC background (hide)'!C85,"")</f>
        <v/>
      </c>
      <c r="AC85" s="5">
        <f t="shared" ca="1" si="54"/>
        <v>551.5</v>
      </c>
      <c r="AD85" s="5">
        <f t="shared" ca="1" si="55"/>
        <v>664</v>
      </c>
    </row>
    <row r="86" spans="1:30" x14ac:dyDescent="0.2">
      <c r="A86" s="68">
        <f ca="1">Demand!C83</f>
        <v>31</v>
      </c>
      <c r="B86" s="68">
        <v>71</v>
      </c>
      <c r="C86" s="5">
        <f ca="1">'Demand background (hide)'!Y74</f>
        <v>430</v>
      </c>
      <c r="D86" s="68">
        <f t="shared" si="39"/>
        <v>0</v>
      </c>
      <c r="E86" s="68" t="e">
        <f t="shared" ca="1" si="40"/>
        <v>#N/A</v>
      </c>
      <c r="F86" s="68" t="e">
        <f t="shared" ca="1" si="41"/>
        <v>#N/A</v>
      </c>
      <c r="G86" s="68" t="e">
        <f t="shared" ca="1" si="42"/>
        <v>#N/A</v>
      </c>
      <c r="H86" s="68" t="e">
        <f>IF('Demand background (hide)'!AN74&lt;&gt;"",'SPC background (hide)'!C86,NA())</f>
        <v>#N/A</v>
      </c>
      <c r="I86" s="68">
        <f t="shared" ca="1" si="43"/>
        <v>1</v>
      </c>
      <c r="J86" s="5">
        <f t="shared" ca="1" si="44"/>
        <v>69.979541734860845</v>
      </c>
      <c r="K86" s="5">
        <f t="shared" ca="1" si="45"/>
        <v>211.65302782324056</v>
      </c>
      <c r="L86" s="5">
        <f t="shared" ca="1" si="46"/>
        <v>353.32651391162028</v>
      </c>
      <c r="M86" s="5">
        <f t="shared" ca="1" si="47"/>
        <v>495</v>
      </c>
      <c r="N86" s="5">
        <f t="shared" ca="1" si="48"/>
        <v>636.67348608837972</v>
      </c>
      <c r="O86" s="5">
        <f t="shared" ca="1" si="49"/>
        <v>778.34697217675944</v>
      </c>
      <c r="P86" s="5">
        <f t="shared" ca="1" si="50"/>
        <v>920.02045826513915</v>
      </c>
      <c r="Q86" s="5" t="e">
        <f t="shared" ca="1" si="51"/>
        <v>#N/A</v>
      </c>
      <c r="R86" s="5">
        <f t="shared" ca="1" si="56"/>
        <v>-1</v>
      </c>
      <c r="S86" s="68" t="e">
        <f t="shared" ca="1" si="57"/>
        <v>#N/A</v>
      </c>
      <c r="T86" s="68">
        <f t="shared" ca="1" si="58"/>
        <v>-1</v>
      </c>
      <c r="U86" s="68" t="e">
        <f t="shared" ca="1" si="59"/>
        <v>#N/A</v>
      </c>
      <c r="V86" s="5">
        <f t="shared" ca="1" si="38"/>
        <v>-1</v>
      </c>
      <c r="W86" s="5" t="e">
        <f t="shared" ca="1" si="52"/>
        <v>#N/A</v>
      </c>
      <c r="X86" s="68">
        <f t="shared" ca="1" si="53"/>
        <v>-1</v>
      </c>
      <c r="Y86" s="68" t="e">
        <f t="shared" ca="1" si="60"/>
        <v>#N/A</v>
      </c>
      <c r="Z86" s="68" t="e">
        <f t="shared" ca="1" si="61"/>
        <v>#N/A</v>
      </c>
      <c r="AA86" s="5" t="str">
        <f>IF(Setup!$I$15="Yes",'Demand background (hide)'!AJ74+'SPC background (hide)'!C86,"")</f>
        <v/>
      </c>
      <c r="AC86" s="5">
        <f t="shared" ca="1" si="54"/>
        <v>551.5</v>
      </c>
      <c r="AD86" s="5">
        <f t="shared" ca="1" si="55"/>
        <v>664</v>
      </c>
    </row>
    <row r="87" spans="1:30" x14ac:dyDescent="0.2">
      <c r="A87" s="68">
        <f ca="1">Demand!C84</f>
        <v>32</v>
      </c>
      <c r="B87" s="68">
        <v>72</v>
      </c>
      <c r="C87" s="5">
        <f ca="1">'Demand background (hide)'!Y75</f>
        <v>490</v>
      </c>
      <c r="D87" s="68">
        <f t="shared" si="39"/>
        <v>0</v>
      </c>
      <c r="E87" s="68" t="e">
        <f t="shared" ca="1" si="40"/>
        <v>#N/A</v>
      </c>
      <c r="F87" s="68" t="e">
        <f t="shared" ca="1" si="41"/>
        <v>#N/A</v>
      </c>
      <c r="G87" s="68" t="e">
        <f t="shared" ca="1" si="42"/>
        <v>#N/A</v>
      </c>
      <c r="H87" s="68" t="e">
        <f>IF('Demand background (hide)'!AN75&lt;&gt;"",'SPC background (hide)'!C87,NA())</f>
        <v>#N/A</v>
      </c>
      <c r="I87" s="68">
        <f t="shared" ca="1" si="43"/>
        <v>1</v>
      </c>
      <c r="J87" s="5">
        <f t="shared" ca="1" si="44"/>
        <v>69.979541734860845</v>
      </c>
      <c r="K87" s="5">
        <f t="shared" ca="1" si="45"/>
        <v>211.65302782324056</v>
      </c>
      <c r="L87" s="5">
        <f t="shared" ca="1" si="46"/>
        <v>353.32651391162028</v>
      </c>
      <c r="M87" s="5">
        <f t="shared" ca="1" si="47"/>
        <v>495</v>
      </c>
      <c r="N87" s="5">
        <f t="shared" ca="1" si="48"/>
        <v>636.67348608837972</v>
      </c>
      <c r="O87" s="5">
        <f t="shared" ca="1" si="49"/>
        <v>778.34697217675944</v>
      </c>
      <c r="P87" s="5">
        <f t="shared" ca="1" si="50"/>
        <v>920.02045826513915</v>
      </c>
      <c r="Q87" s="5" t="e">
        <f t="shared" ca="1" si="51"/>
        <v>#N/A</v>
      </c>
      <c r="R87" s="5">
        <f t="shared" ca="1" si="56"/>
        <v>-1</v>
      </c>
      <c r="S87" s="68" t="e">
        <f t="shared" ca="1" si="57"/>
        <v>#N/A</v>
      </c>
      <c r="T87" s="68">
        <f t="shared" ca="1" si="58"/>
        <v>-1</v>
      </c>
      <c r="U87" s="68" t="e">
        <f t="shared" ca="1" si="59"/>
        <v>#N/A</v>
      </c>
      <c r="V87" s="5">
        <f t="shared" ca="1" si="38"/>
        <v>-1</v>
      </c>
      <c r="W87" s="5" t="e">
        <f t="shared" ca="1" si="52"/>
        <v>#N/A</v>
      </c>
      <c r="X87" s="68">
        <f t="shared" ca="1" si="53"/>
        <v>1</v>
      </c>
      <c r="Y87" s="68" t="e">
        <f t="shared" ca="1" si="60"/>
        <v>#N/A</v>
      </c>
      <c r="Z87" s="68" t="e">
        <f t="shared" ca="1" si="61"/>
        <v>#N/A</v>
      </c>
      <c r="AA87" s="5" t="str">
        <f>IF(Setup!$I$15="Yes",'Demand background (hide)'!AJ75+'SPC background (hide)'!C87,"")</f>
        <v/>
      </c>
      <c r="AC87" s="5">
        <f t="shared" ca="1" si="54"/>
        <v>551.5</v>
      </c>
      <c r="AD87" s="5">
        <f t="shared" ca="1" si="55"/>
        <v>664</v>
      </c>
    </row>
    <row r="88" spans="1:30" x14ac:dyDescent="0.2">
      <c r="A88" s="68">
        <f ca="1">Demand!C85</f>
        <v>33</v>
      </c>
      <c r="B88" s="68">
        <v>73</v>
      </c>
      <c r="C88" s="5">
        <f ca="1">'Demand background (hide)'!Y76</f>
        <v>600</v>
      </c>
      <c r="D88" s="68">
        <f t="shared" si="39"/>
        <v>0</v>
      </c>
      <c r="E88" s="68" t="e">
        <f t="shared" ca="1" si="40"/>
        <v>#N/A</v>
      </c>
      <c r="F88" s="68" t="e">
        <f t="shared" ca="1" si="41"/>
        <v>#N/A</v>
      </c>
      <c r="G88" s="68" t="e">
        <f t="shared" ca="1" si="42"/>
        <v>#N/A</v>
      </c>
      <c r="H88" s="68" t="e">
        <f>IF('Demand background (hide)'!AN76&lt;&gt;"",'SPC background (hide)'!C88,NA())</f>
        <v>#N/A</v>
      </c>
      <c r="I88" s="68">
        <f t="shared" ca="1" si="43"/>
        <v>1</v>
      </c>
      <c r="J88" s="5">
        <f t="shared" ca="1" si="44"/>
        <v>69.979541734860845</v>
      </c>
      <c r="K88" s="5">
        <f t="shared" ca="1" si="45"/>
        <v>211.65302782324056</v>
      </c>
      <c r="L88" s="5">
        <f t="shared" ca="1" si="46"/>
        <v>353.32651391162028</v>
      </c>
      <c r="M88" s="5">
        <f t="shared" ca="1" si="47"/>
        <v>495</v>
      </c>
      <c r="N88" s="5">
        <f t="shared" ca="1" si="48"/>
        <v>636.67348608837972</v>
      </c>
      <c r="O88" s="5">
        <f t="shared" ca="1" si="49"/>
        <v>778.34697217675944</v>
      </c>
      <c r="P88" s="5">
        <f t="shared" ca="1" si="50"/>
        <v>920.02045826513915</v>
      </c>
      <c r="Q88" s="5" t="e">
        <f t="shared" ca="1" si="51"/>
        <v>#N/A</v>
      </c>
      <c r="R88" s="5">
        <f t="shared" ca="1" si="56"/>
        <v>1</v>
      </c>
      <c r="S88" s="68" t="e">
        <f t="shared" ca="1" si="57"/>
        <v>#N/A</v>
      </c>
      <c r="T88" s="68">
        <f t="shared" ca="1" si="58"/>
        <v>1</v>
      </c>
      <c r="U88" s="68" t="e">
        <f t="shared" ca="1" si="59"/>
        <v>#N/A</v>
      </c>
      <c r="V88" s="5">
        <f t="shared" ca="1" si="38"/>
        <v>1</v>
      </c>
      <c r="W88" s="5" t="e">
        <f t="shared" ca="1" si="52"/>
        <v>#N/A</v>
      </c>
      <c r="X88" s="68">
        <f t="shared" ca="1" si="53"/>
        <v>1</v>
      </c>
      <c r="Y88" s="68" t="e">
        <f t="shared" ca="1" si="60"/>
        <v>#N/A</v>
      </c>
      <c r="Z88" s="68" t="e">
        <f t="shared" ca="1" si="61"/>
        <v>#N/A</v>
      </c>
      <c r="AA88" s="5" t="str">
        <f>IF(Setup!$I$15="Yes",'Demand background (hide)'!AJ76+'SPC background (hide)'!C88,"")</f>
        <v/>
      </c>
      <c r="AC88" s="5">
        <f t="shared" ca="1" si="54"/>
        <v>551.5</v>
      </c>
      <c r="AD88" s="5">
        <f t="shared" ca="1" si="55"/>
        <v>664</v>
      </c>
    </row>
    <row r="89" spans="1:30" x14ac:dyDescent="0.2">
      <c r="A89" s="68">
        <f ca="1">Demand!C86</f>
        <v>34</v>
      </c>
      <c r="B89" s="68">
        <v>74</v>
      </c>
      <c r="C89" s="5">
        <f ca="1">'Demand background (hide)'!Y77</f>
        <v>590</v>
      </c>
      <c r="D89" s="68">
        <f t="shared" si="39"/>
        <v>0</v>
      </c>
      <c r="E89" s="68" t="e">
        <f t="shared" ca="1" si="40"/>
        <v>#N/A</v>
      </c>
      <c r="F89" s="68" t="e">
        <f t="shared" ca="1" si="41"/>
        <v>#N/A</v>
      </c>
      <c r="G89" s="68" t="e">
        <f t="shared" ca="1" si="42"/>
        <v>#N/A</v>
      </c>
      <c r="H89" s="68" t="e">
        <f>IF('Demand background (hide)'!AN77&lt;&gt;"",'SPC background (hide)'!C89,NA())</f>
        <v>#N/A</v>
      </c>
      <c r="I89" s="68">
        <f t="shared" ca="1" si="43"/>
        <v>1</v>
      </c>
      <c r="J89" s="5">
        <f t="shared" ca="1" si="44"/>
        <v>69.979541734860845</v>
      </c>
      <c r="K89" s="5">
        <f t="shared" ca="1" si="45"/>
        <v>211.65302782324056</v>
      </c>
      <c r="L89" s="5">
        <f t="shared" ca="1" si="46"/>
        <v>353.32651391162028</v>
      </c>
      <c r="M89" s="5">
        <f t="shared" ca="1" si="47"/>
        <v>495</v>
      </c>
      <c r="N89" s="5">
        <f t="shared" ca="1" si="48"/>
        <v>636.67348608837972</v>
      </c>
      <c r="O89" s="5">
        <f t="shared" ca="1" si="49"/>
        <v>778.34697217675944</v>
      </c>
      <c r="P89" s="5">
        <f t="shared" ca="1" si="50"/>
        <v>920.02045826513915</v>
      </c>
      <c r="Q89" s="5" t="e">
        <f t="shared" ca="1" si="51"/>
        <v>#N/A</v>
      </c>
      <c r="R89" s="5">
        <f t="shared" ca="1" si="56"/>
        <v>1</v>
      </c>
      <c r="S89" s="68" t="e">
        <f t="shared" ca="1" si="57"/>
        <v>#N/A</v>
      </c>
      <c r="T89" s="68">
        <f t="shared" ca="1" si="58"/>
        <v>1</v>
      </c>
      <c r="U89" s="68" t="e">
        <f t="shared" ca="1" si="59"/>
        <v>#N/A</v>
      </c>
      <c r="V89" s="5">
        <f t="shared" ca="1" si="38"/>
        <v>1</v>
      </c>
      <c r="W89" s="5" t="e">
        <f t="shared" ca="1" si="52"/>
        <v>#N/A</v>
      </c>
      <c r="X89" s="68">
        <f t="shared" ca="1" si="53"/>
        <v>-1</v>
      </c>
      <c r="Y89" s="68" t="e">
        <f t="shared" ca="1" si="60"/>
        <v>#N/A</v>
      </c>
      <c r="Z89" s="68" t="e">
        <f t="shared" ca="1" si="61"/>
        <v>#N/A</v>
      </c>
      <c r="AA89" s="5" t="str">
        <f>IF(Setup!$I$15="Yes",'Demand background (hide)'!AJ77+'SPC background (hide)'!C89,"")</f>
        <v/>
      </c>
      <c r="AC89" s="5">
        <f t="shared" ca="1" si="54"/>
        <v>551.5</v>
      </c>
      <c r="AD89" s="5">
        <f t="shared" ca="1" si="55"/>
        <v>664</v>
      </c>
    </row>
    <row r="90" spans="1:30" x14ac:dyDescent="0.2">
      <c r="A90" s="68">
        <f ca="1">Demand!C87</f>
        <v>35</v>
      </c>
      <c r="B90" s="68">
        <v>75</v>
      </c>
      <c r="C90" s="5">
        <f ca="1">'Demand background (hide)'!Y78</f>
        <v>730</v>
      </c>
      <c r="D90" s="68">
        <f t="shared" si="39"/>
        <v>0</v>
      </c>
      <c r="E90" s="68" t="e">
        <f t="shared" ca="1" si="40"/>
        <v>#N/A</v>
      </c>
      <c r="F90" s="68" t="e">
        <f t="shared" ca="1" si="41"/>
        <v>#N/A</v>
      </c>
      <c r="G90" s="68" t="e">
        <f t="shared" ca="1" si="42"/>
        <v>#N/A</v>
      </c>
      <c r="H90" s="68" t="e">
        <f>IF('Demand background (hide)'!AN78&lt;&gt;"",'SPC background (hide)'!C90,NA())</f>
        <v>#N/A</v>
      </c>
      <c r="I90" s="68">
        <f t="shared" ca="1" si="43"/>
        <v>1</v>
      </c>
      <c r="J90" s="5">
        <f t="shared" ca="1" si="44"/>
        <v>69.979541734860845</v>
      </c>
      <c r="K90" s="5">
        <f t="shared" ca="1" si="45"/>
        <v>211.65302782324056</v>
      </c>
      <c r="L90" s="5">
        <f t="shared" ca="1" si="46"/>
        <v>353.32651391162028</v>
      </c>
      <c r="M90" s="5">
        <f t="shared" ca="1" si="47"/>
        <v>495</v>
      </c>
      <c r="N90" s="5">
        <f t="shared" ca="1" si="48"/>
        <v>636.67348608837972</v>
      </c>
      <c r="O90" s="5">
        <f t="shared" ca="1" si="49"/>
        <v>778.34697217675944</v>
      </c>
      <c r="P90" s="5">
        <f t="shared" ca="1" si="50"/>
        <v>920.02045826513915</v>
      </c>
      <c r="Q90" s="5" t="e">
        <f t="shared" ca="1" si="51"/>
        <v>#N/A</v>
      </c>
      <c r="R90" s="5">
        <f t="shared" ca="1" si="56"/>
        <v>1</v>
      </c>
      <c r="S90" s="68" t="e">
        <f t="shared" ca="1" si="57"/>
        <v>#N/A</v>
      </c>
      <c r="T90" s="68">
        <f t="shared" ca="1" si="58"/>
        <v>2</v>
      </c>
      <c r="U90" s="68" t="e">
        <f t="shared" ca="1" si="59"/>
        <v>#N/A</v>
      </c>
      <c r="V90" s="5">
        <f t="shared" ca="1" si="38"/>
        <v>1</v>
      </c>
      <c r="W90" s="5" t="e">
        <f t="shared" ca="1" si="52"/>
        <v>#N/A</v>
      </c>
      <c r="X90" s="68">
        <f t="shared" ca="1" si="53"/>
        <v>1</v>
      </c>
      <c r="Y90" s="68" t="e">
        <f t="shared" ca="1" si="60"/>
        <v>#N/A</v>
      </c>
      <c r="Z90" s="68" t="e">
        <f t="shared" ca="1" si="61"/>
        <v>#N/A</v>
      </c>
      <c r="AA90" s="5" t="str">
        <f>IF(Setup!$I$15="Yes",'Demand background (hide)'!AJ78+'SPC background (hide)'!C90,"")</f>
        <v/>
      </c>
      <c r="AC90" s="5">
        <f t="shared" ca="1" si="54"/>
        <v>551.5</v>
      </c>
      <c r="AD90" s="5">
        <f t="shared" ca="1" si="55"/>
        <v>664</v>
      </c>
    </row>
    <row r="91" spans="1:30" x14ac:dyDescent="0.2">
      <c r="A91" s="68">
        <f ca="1">Demand!C88</f>
        <v>36</v>
      </c>
      <c r="B91" s="68">
        <v>76</v>
      </c>
      <c r="C91" s="5">
        <f ca="1">'Demand background (hide)'!Y79</f>
        <v>500</v>
      </c>
      <c r="D91" s="68">
        <f t="shared" si="39"/>
        <v>0</v>
      </c>
      <c r="E91" s="68" t="e">
        <f t="shared" ca="1" si="40"/>
        <v>#N/A</v>
      </c>
      <c r="F91" s="68" t="e">
        <f t="shared" ca="1" si="41"/>
        <v>#N/A</v>
      </c>
      <c r="G91" s="68" t="e">
        <f t="shared" ca="1" si="42"/>
        <v>#N/A</v>
      </c>
      <c r="H91" s="68" t="e">
        <f>IF('Demand background (hide)'!AN79&lt;&gt;"",'SPC background (hide)'!C91,NA())</f>
        <v>#N/A</v>
      </c>
      <c r="I91" s="68">
        <f t="shared" ca="1" si="43"/>
        <v>1</v>
      </c>
      <c r="J91" s="5">
        <f t="shared" ca="1" si="44"/>
        <v>69.979541734860845</v>
      </c>
      <c r="K91" s="5">
        <f t="shared" ca="1" si="45"/>
        <v>211.65302782324056</v>
      </c>
      <c r="L91" s="5">
        <f t="shared" ca="1" si="46"/>
        <v>353.32651391162028</v>
      </c>
      <c r="M91" s="5">
        <f t="shared" ca="1" si="47"/>
        <v>495</v>
      </c>
      <c r="N91" s="5">
        <f t="shared" ca="1" si="48"/>
        <v>636.67348608837972</v>
      </c>
      <c r="O91" s="5">
        <f t="shared" ca="1" si="49"/>
        <v>778.34697217675944</v>
      </c>
      <c r="P91" s="5">
        <f t="shared" ca="1" si="50"/>
        <v>920.02045826513915</v>
      </c>
      <c r="Q91" s="5" t="e">
        <f t="shared" ca="1" si="51"/>
        <v>#N/A</v>
      </c>
      <c r="R91" s="5">
        <f t="shared" ca="1" si="56"/>
        <v>1</v>
      </c>
      <c r="S91" s="68" t="e">
        <f t="shared" ca="1" si="57"/>
        <v>#N/A</v>
      </c>
      <c r="T91" s="68">
        <f t="shared" ca="1" si="58"/>
        <v>1</v>
      </c>
      <c r="U91" s="68" t="e">
        <f t="shared" ca="1" si="59"/>
        <v>#N/A</v>
      </c>
      <c r="V91" s="5">
        <f t="shared" ca="1" si="38"/>
        <v>1</v>
      </c>
      <c r="W91" s="5" t="e">
        <f t="shared" ca="1" si="52"/>
        <v>#N/A</v>
      </c>
      <c r="X91" s="68">
        <f t="shared" ca="1" si="53"/>
        <v>-1</v>
      </c>
      <c r="Y91" s="68" t="e">
        <f t="shared" ca="1" si="60"/>
        <v>#N/A</v>
      </c>
      <c r="Z91" s="68" t="e">
        <f t="shared" ca="1" si="61"/>
        <v>#N/A</v>
      </c>
      <c r="AA91" s="5" t="str">
        <f>IF(Setup!$I$15="Yes",'Demand background (hide)'!AJ79+'SPC background (hide)'!C91,"")</f>
        <v/>
      </c>
      <c r="AC91" s="5">
        <f t="shared" ca="1" si="54"/>
        <v>551.5</v>
      </c>
      <c r="AD91" s="5">
        <f t="shared" ca="1" si="55"/>
        <v>664</v>
      </c>
    </row>
    <row r="92" spans="1:30" x14ac:dyDescent="0.2">
      <c r="A92" s="68">
        <f ca="1">Demand!C89</f>
        <v>37</v>
      </c>
      <c r="B92" s="68">
        <v>77</v>
      </c>
      <c r="C92" s="5">
        <f ca="1">'Demand background (hide)'!Y80</f>
        <v>700</v>
      </c>
      <c r="D92" s="68">
        <f t="shared" si="39"/>
        <v>0</v>
      </c>
      <c r="E92" s="68" t="e">
        <f t="shared" ca="1" si="40"/>
        <v>#N/A</v>
      </c>
      <c r="F92" s="68" t="e">
        <f t="shared" ca="1" si="41"/>
        <v>#N/A</v>
      </c>
      <c r="G92" s="68" t="e">
        <f t="shared" ca="1" si="42"/>
        <v>#N/A</v>
      </c>
      <c r="H92" s="68" t="e">
        <f>IF('Demand background (hide)'!AN80&lt;&gt;"",'SPC background (hide)'!C92,NA())</f>
        <v>#N/A</v>
      </c>
      <c r="I92" s="68">
        <f t="shared" ca="1" si="43"/>
        <v>1</v>
      </c>
      <c r="J92" s="5">
        <f t="shared" ca="1" si="44"/>
        <v>69.979541734860845</v>
      </c>
      <c r="K92" s="5">
        <f t="shared" ca="1" si="45"/>
        <v>211.65302782324056</v>
      </c>
      <c r="L92" s="5">
        <f t="shared" ca="1" si="46"/>
        <v>353.32651391162028</v>
      </c>
      <c r="M92" s="5">
        <f t="shared" ca="1" si="47"/>
        <v>495</v>
      </c>
      <c r="N92" s="5">
        <f t="shared" ca="1" si="48"/>
        <v>636.67348608837972</v>
      </c>
      <c r="O92" s="5">
        <f t="shared" ca="1" si="49"/>
        <v>778.34697217675944</v>
      </c>
      <c r="P92" s="5">
        <f t="shared" ca="1" si="50"/>
        <v>920.02045826513915</v>
      </c>
      <c r="Q92" s="5" t="e">
        <f t="shared" ca="1" si="51"/>
        <v>#N/A</v>
      </c>
      <c r="R92" s="5">
        <f t="shared" ca="1" si="56"/>
        <v>1</v>
      </c>
      <c r="S92" s="68" t="e">
        <f t="shared" ca="1" si="57"/>
        <v>#N/A</v>
      </c>
      <c r="T92" s="68">
        <f t="shared" ca="1" si="58"/>
        <v>2</v>
      </c>
      <c r="U92" s="68" t="e">
        <f t="shared" ca="1" si="59"/>
        <v>#N/A</v>
      </c>
      <c r="V92" s="5">
        <f t="shared" ca="1" si="38"/>
        <v>1</v>
      </c>
      <c r="W92" s="5" t="e">
        <f t="shared" ca="1" si="52"/>
        <v>#N/A</v>
      </c>
      <c r="X92" s="68">
        <f t="shared" ca="1" si="53"/>
        <v>1</v>
      </c>
      <c r="Y92" s="68" t="e">
        <f t="shared" ca="1" si="60"/>
        <v>#N/A</v>
      </c>
      <c r="Z92" s="68" t="e">
        <f t="shared" ca="1" si="61"/>
        <v>#N/A</v>
      </c>
      <c r="AA92" s="5" t="str">
        <f>IF(Setup!$I$15="Yes",'Demand background (hide)'!AJ80+'SPC background (hide)'!C92,"")</f>
        <v/>
      </c>
      <c r="AC92" s="5">
        <f t="shared" ca="1" si="54"/>
        <v>551.5</v>
      </c>
      <c r="AD92" s="5">
        <f t="shared" ca="1" si="55"/>
        <v>664</v>
      </c>
    </row>
    <row r="93" spans="1:30" x14ac:dyDescent="0.2">
      <c r="A93" s="68">
        <f ca="1">Demand!C90</f>
        <v>38</v>
      </c>
      <c r="B93" s="68">
        <v>78</v>
      </c>
      <c r="C93" s="5">
        <f ca="1">'Demand background (hide)'!Y81</f>
        <v>520</v>
      </c>
      <c r="D93" s="68">
        <f t="shared" si="39"/>
        <v>0</v>
      </c>
      <c r="E93" s="68" t="e">
        <f t="shared" ca="1" si="40"/>
        <v>#N/A</v>
      </c>
      <c r="F93" s="68" t="e">
        <f t="shared" ca="1" si="41"/>
        <v>#N/A</v>
      </c>
      <c r="G93" s="68" t="e">
        <f t="shared" ca="1" si="42"/>
        <v>#N/A</v>
      </c>
      <c r="H93" s="68" t="e">
        <f>IF('Demand background (hide)'!AN81&lt;&gt;"",'SPC background (hide)'!C93,NA())</f>
        <v>#N/A</v>
      </c>
      <c r="I93" s="68">
        <f t="shared" ca="1" si="43"/>
        <v>1</v>
      </c>
      <c r="J93" s="5">
        <f t="shared" ca="1" si="44"/>
        <v>69.979541734860845</v>
      </c>
      <c r="K93" s="5">
        <f t="shared" ca="1" si="45"/>
        <v>211.65302782324056</v>
      </c>
      <c r="L93" s="5">
        <f t="shared" ca="1" si="46"/>
        <v>353.32651391162028</v>
      </c>
      <c r="M93" s="5">
        <f t="shared" ca="1" si="47"/>
        <v>495</v>
      </c>
      <c r="N93" s="5">
        <f t="shared" ca="1" si="48"/>
        <v>636.67348608837972</v>
      </c>
      <c r="O93" s="5">
        <f t="shared" ca="1" si="49"/>
        <v>778.34697217675944</v>
      </c>
      <c r="P93" s="5">
        <f t="shared" ca="1" si="50"/>
        <v>920.02045826513915</v>
      </c>
      <c r="Q93" s="5" t="e">
        <f t="shared" ca="1" si="51"/>
        <v>#N/A</v>
      </c>
      <c r="R93" s="5">
        <f t="shared" ca="1" si="56"/>
        <v>1</v>
      </c>
      <c r="S93" s="68" t="e">
        <f t="shared" ca="1" si="57"/>
        <v>#N/A</v>
      </c>
      <c r="T93" s="68">
        <f t="shared" ca="1" si="58"/>
        <v>1</v>
      </c>
      <c r="U93" s="68" t="e">
        <f t="shared" ca="1" si="59"/>
        <v>#N/A</v>
      </c>
      <c r="V93" s="5">
        <f t="shared" ca="1" si="38"/>
        <v>1</v>
      </c>
      <c r="W93" s="5" t="e">
        <f t="shared" ca="1" si="52"/>
        <v>#N/A</v>
      </c>
      <c r="X93" s="68">
        <f t="shared" ca="1" si="53"/>
        <v>-1</v>
      </c>
      <c r="Y93" s="68" t="e">
        <f t="shared" ca="1" si="60"/>
        <v>#N/A</v>
      </c>
      <c r="Z93" s="68" t="e">
        <f t="shared" ca="1" si="61"/>
        <v>#N/A</v>
      </c>
      <c r="AA93" s="5" t="str">
        <f>IF(Setup!$I$15="Yes",'Demand background (hide)'!AJ81+'SPC background (hide)'!C93,"")</f>
        <v/>
      </c>
      <c r="AC93" s="5">
        <f t="shared" ca="1" si="54"/>
        <v>551.5</v>
      </c>
      <c r="AD93" s="5">
        <f t="shared" ca="1" si="55"/>
        <v>664</v>
      </c>
    </row>
    <row r="94" spans="1:30" x14ac:dyDescent="0.2">
      <c r="A94" s="68">
        <f ca="1">Demand!C91</f>
        <v>39</v>
      </c>
      <c r="B94" s="68">
        <v>79</v>
      </c>
      <c r="C94" s="5">
        <f ca="1">'Demand background (hide)'!Y82</f>
        <v>560</v>
      </c>
      <c r="D94" s="68">
        <f t="shared" si="39"/>
        <v>0</v>
      </c>
      <c r="E94" s="68" t="e">
        <f t="shared" ca="1" si="40"/>
        <v>#N/A</v>
      </c>
      <c r="F94" s="68" t="e">
        <f t="shared" ca="1" si="41"/>
        <v>#N/A</v>
      </c>
      <c r="G94" s="68" t="e">
        <f t="shared" ca="1" si="42"/>
        <v>#N/A</v>
      </c>
      <c r="H94" s="68" t="e">
        <f>IF('Demand background (hide)'!AN82&lt;&gt;"",'SPC background (hide)'!C94,NA())</f>
        <v>#N/A</v>
      </c>
      <c r="I94" s="68">
        <f t="shared" ca="1" si="43"/>
        <v>1</v>
      </c>
      <c r="J94" s="5">
        <f t="shared" ca="1" si="44"/>
        <v>69.979541734860845</v>
      </c>
      <c r="K94" s="5">
        <f t="shared" ca="1" si="45"/>
        <v>211.65302782324056</v>
      </c>
      <c r="L94" s="5">
        <f t="shared" ca="1" si="46"/>
        <v>353.32651391162028</v>
      </c>
      <c r="M94" s="5">
        <f t="shared" ca="1" si="47"/>
        <v>495</v>
      </c>
      <c r="N94" s="5">
        <f t="shared" ca="1" si="48"/>
        <v>636.67348608837972</v>
      </c>
      <c r="O94" s="5">
        <f t="shared" ca="1" si="49"/>
        <v>778.34697217675944</v>
      </c>
      <c r="P94" s="5">
        <f t="shared" ca="1" si="50"/>
        <v>920.02045826513915</v>
      </c>
      <c r="Q94" s="5" t="e">
        <f t="shared" ca="1" si="51"/>
        <v>#N/A</v>
      </c>
      <c r="R94" s="5">
        <f t="shared" ca="1" si="56"/>
        <v>1</v>
      </c>
      <c r="S94" s="68" t="e">
        <f t="shared" ca="1" si="57"/>
        <v>#N/A</v>
      </c>
      <c r="T94" s="68">
        <f t="shared" ca="1" si="58"/>
        <v>1</v>
      </c>
      <c r="U94" s="68" t="e">
        <f t="shared" ca="1" si="59"/>
        <v>#N/A</v>
      </c>
      <c r="V94" s="5">
        <f t="shared" ca="1" si="38"/>
        <v>1</v>
      </c>
      <c r="W94" s="5" t="e">
        <f t="shared" ca="1" si="52"/>
        <v>#N/A</v>
      </c>
      <c r="X94" s="68">
        <f t="shared" ca="1" si="53"/>
        <v>1</v>
      </c>
      <c r="Y94" s="68" t="e">
        <f t="shared" ca="1" si="60"/>
        <v>#N/A</v>
      </c>
      <c r="Z94" s="68" t="e">
        <f t="shared" ca="1" si="61"/>
        <v>#N/A</v>
      </c>
      <c r="AA94" s="5" t="str">
        <f>IF(Setup!$I$15="Yes",'Demand background (hide)'!AJ82+'SPC background (hide)'!C94,"")</f>
        <v/>
      </c>
      <c r="AC94" s="5">
        <f t="shared" ca="1" si="54"/>
        <v>551.5</v>
      </c>
      <c r="AD94" s="5">
        <f t="shared" ca="1" si="55"/>
        <v>664</v>
      </c>
    </row>
    <row r="95" spans="1:30" x14ac:dyDescent="0.2">
      <c r="A95" s="68">
        <f ca="1">Demand!C92</f>
        <v>40</v>
      </c>
      <c r="B95" s="68">
        <v>80</v>
      </c>
      <c r="C95" s="5">
        <f ca="1">'Demand background (hide)'!Y83</f>
        <v>490</v>
      </c>
      <c r="D95" s="68">
        <f t="shared" si="39"/>
        <v>0</v>
      </c>
      <c r="E95" s="68" t="e">
        <f t="shared" ca="1" si="40"/>
        <v>#N/A</v>
      </c>
      <c r="F95" s="68" t="e">
        <f t="shared" ca="1" si="41"/>
        <v>#N/A</v>
      </c>
      <c r="G95" s="68" t="e">
        <f t="shared" ca="1" si="42"/>
        <v>#N/A</v>
      </c>
      <c r="H95" s="68" t="e">
        <f>IF('Demand background (hide)'!AN83&lt;&gt;"",'SPC background (hide)'!C95,NA())</f>
        <v>#N/A</v>
      </c>
      <c r="I95" s="68">
        <f t="shared" ca="1" si="43"/>
        <v>1</v>
      </c>
      <c r="J95" s="5">
        <f t="shared" ca="1" si="44"/>
        <v>69.979541734860845</v>
      </c>
      <c r="K95" s="5">
        <f t="shared" ca="1" si="45"/>
        <v>211.65302782324056</v>
      </c>
      <c r="L95" s="5">
        <f t="shared" ca="1" si="46"/>
        <v>353.32651391162028</v>
      </c>
      <c r="M95" s="5">
        <f t="shared" ca="1" si="47"/>
        <v>495</v>
      </c>
      <c r="N95" s="5">
        <f t="shared" ca="1" si="48"/>
        <v>636.67348608837972</v>
      </c>
      <c r="O95" s="5">
        <f t="shared" ca="1" si="49"/>
        <v>778.34697217675944</v>
      </c>
      <c r="P95" s="5">
        <f t="shared" ca="1" si="50"/>
        <v>920.02045826513915</v>
      </c>
      <c r="Q95" s="5" t="e">
        <f t="shared" ca="1" si="51"/>
        <v>#N/A</v>
      </c>
      <c r="R95" s="5">
        <f t="shared" ca="1" si="56"/>
        <v>-1</v>
      </c>
      <c r="S95" s="68" t="e">
        <f t="shared" ca="1" si="57"/>
        <v>#N/A</v>
      </c>
      <c r="T95" s="68">
        <f t="shared" ca="1" si="58"/>
        <v>-1</v>
      </c>
      <c r="U95" s="68" t="e">
        <f t="shared" ca="1" si="59"/>
        <v>#N/A</v>
      </c>
      <c r="V95" s="5">
        <f t="shared" ca="1" si="38"/>
        <v>-1</v>
      </c>
      <c r="W95" s="5" t="e">
        <f t="shared" ca="1" si="52"/>
        <v>#N/A</v>
      </c>
      <c r="X95" s="68">
        <f t="shared" ca="1" si="53"/>
        <v>-1</v>
      </c>
      <c r="Y95" s="68" t="e">
        <f t="shared" ca="1" si="60"/>
        <v>#N/A</v>
      </c>
      <c r="Z95" s="68" t="e">
        <f t="shared" ca="1" si="61"/>
        <v>#N/A</v>
      </c>
      <c r="AA95" s="5" t="str">
        <f>IF(Setup!$I$15="Yes",'Demand background (hide)'!AJ83+'SPC background (hide)'!C95,"")</f>
        <v/>
      </c>
      <c r="AC95" s="5">
        <f t="shared" ca="1" si="54"/>
        <v>551.5</v>
      </c>
      <c r="AD95" s="5">
        <f t="shared" ca="1" si="55"/>
        <v>664</v>
      </c>
    </row>
    <row r="96" spans="1:30" x14ac:dyDescent="0.2">
      <c r="A96" s="68">
        <f ca="1">Demand!C93</f>
        <v>41</v>
      </c>
      <c r="B96" s="68">
        <v>81</v>
      </c>
      <c r="C96" s="5">
        <f ca="1">'Demand background (hide)'!Y84</f>
        <v>320</v>
      </c>
      <c r="D96" s="68">
        <f t="shared" si="39"/>
        <v>0</v>
      </c>
      <c r="E96" s="68" t="e">
        <f t="shared" ca="1" si="40"/>
        <v>#N/A</v>
      </c>
      <c r="F96" s="68" t="e">
        <f t="shared" ca="1" si="41"/>
        <v>#N/A</v>
      </c>
      <c r="G96" s="68" t="e">
        <f t="shared" ca="1" si="42"/>
        <v>#N/A</v>
      </c>
      <c r="H96" s="68" t="e">
        <f>IF('Demand background (hide)'!AN84&lt;&gt;"",'SPC background (hide)'!C96,NA())</f>
        <v>#N/A</v>
      </c>
      <c r="I96" s="68">
        <f t="shared" ca="1" si="43"/>
        <v>1</v>
      </c>
      <c r="J96" s="5">
        <f t="shared" ca="1" si="44"/>
        <v>69.979541734860845</v>
      </c>
      <c r="K96" s="5">
        <f t="shared" ca="1" si="45"/>
        <v>211.65302782324056</v>
      </c>
      <c r="L96" s="5">
        <f t="shared" ca="1" si="46"/>
        <v>353.32651391162028</v>
      </c>
      <c r="M96" s="5">
        <f t="shared" ca="1" si="47"/>
        <v>495</v>
      </c>
      <c r="N96" s="5">
        <f t="shared" ca="1" si="48"/>
        <v>636.67348608837972</v>
      </c>
      <c r="O96" s="5">
        <f t="shared" ca="1" si="49"/>
        <v>778.34697217675944</v>
      </c>
      <c r="P96" s="5">
        <f t="shared" ca="1" si="50"/>
        <v>920.02045826513915</v>
      </c>
      <c r="Q96" s="5" t="e">
        <f t="shared" ca="1" si="51"/>
        <v>#N/A</v>
      </c>
      <c r="R96" s="5">
        <f t="shared" ca="1" si="56"/>
        <v>-1</v>
      </c>
      <c r="S96" s="68" t="e">
        <f t="shared" ca="1" si="57"/>
        <v>#N/A</v>
      </c>
      <c r="T96" s="68">
        <f t="shared" ca="1" si="58"/>
        <v>-2</v>
      </c>
      <c r="U96" s="68" t="e">
        <f t="shared" ca="1" si="59"/>
        <v>#N/A</v>
      </c>
      <c r="V96" s="5">
        <f t="shared" ca="1" si="38"/>
        <v>-1</v>
      </c>
      <c r="W96" s="5" t="e">
        <f t="shared" ca="1" si="52"/>
        <v>#N/A</v>
      </c>
      <c r="X96" s="68">
        <f t="shared" ca="1" si="53"/>
        <v>-1</v>
      </c>
      <c r="Y96" s="68" t="e">
        <f t="shared" ca="1" si="60"/>
        <v>#N/A</v>
      </c>
      <c r="Z96" s="68" t="e">
        <f t="shared" ca="1" si="61"/>
        <v>#N/A</v>
      </c>
      <c r="AA96" s="5" t="str">
        <f>IF(Setup!$I$15="Yes",'Demand background (hide)'!AJ84+'SPC background (hide)'!C96,"")</f>
        <v/>
      </c>
      <c r="AC96" s="5">
        <f t="shared" ca="1" si="54"/>
        <v>551.5</v>
      </c>
      <c r="AD96" s="5">
        <f t="shared" ca="1" si="55"/>
        <v>664</v>
      </c>
    </row>
    <row r="97" spans="1:30" x14ac:dyDescent="0.2">
      <c r="A97" s="68">
        <f ca="1">Demand!C94</f>
        <v>42</v>
      </c>
      <c r="B97" s="68">
        <v>82</v>
      </c>
      <c r="C97" s="5">
        <f ca="1">'Demand background (hide)'!Y85</f>
        <v>470</v>
      </c>
      <c r="D97" s="68">
        <f t="shared" si="39"/>
        <v>0</v>
      </c>
      <c r="E97" s="68" t="e">
        <f t="shared" ca="1" si="40"/>
        <v>#N/A</v>
      </c>
      <c r="F97" s="68" t="e">
        <f t="shared" ca="1" si="41"/>
        <v>#N/A</v>
      </c>
      <c r="G97" s="68" t="e">
        <f t="shared" ca="1" si="42"/>
        <v>#N/A</v>
      </c>
      <c r="H97" s="68" t="e">
        <f>IF('Demand background (hide)'!AN85&lt;&gt;"",'SPC background (hide)'!C97,NA())</f>
        <v>#N/A</v>
      </c>
      <c r="I97" s="68">
        <f t="shared" ca="1" si="43"/>
        <v>1</v>
      </c>
      <c r="J97" s="5">
        <f t="shared" ca="1" si="44"/>
        <v>69.979541734860845</v>
      </c>
      <c r="K97" s="5">
        <f t="shared" ca="1" si="45"/>
        <v>211.65302782324056</v>
      </c>
      <c r="L97" s="5">
        <f t="shared" ca="1" si="46"/>
        <v>353.32651391162028</v>
      </c>
      <c r="M97" s="5">
        <f t="shared" ca="1" si="47"/>
        <v>495</v>
      </c>
      <c r="N97" s="5">
        <f t="shared" ca="1" si="48"/>
        <v>636.67348608837972</v>
      </c>
      <c r="O97" s="5">
        <f t="shared" ca="1" si="49"/>
        <v>778.34697217675944</v>
      </c>
      <c r="P97" s="5">
        <f t="shared" ca="1" si="50"/>
        <v>920.02045826513915</v>
      </c>
      <c r="Q97" s="5" t="e">
        <f t="shared" ca="1" si="51"/>
        <v>#N/A</v>
      </c>
      <c r="R97" s="5">
        <f t="shared" ca="1" si="56"/>
        <v>-1</v>
      </c>
      <c r="S97" s="68" t="e">
        <f t="shared" ca="1" si="57"/>
        <v>#N/A</v>
      </c>
      <c r="T97" s="68">
        <f t="shared" ca="1" si="58"/>
        <v>-1</v>
      </c>
      <c r="U97" s="68" t="e">
        <f t="shared" ca="1" si="59"/>
        <v>#N/A</v>
      </c>
      <c r="V97" s="5">
        <f t="shared" ca="1" si="38"/>
        <v>-1</v>
      </c>
      <c r="W97" s="5" t="e">
        <f t="shared" ca="1" si="52"/>
        <v>#N/A</v>
      </c>
      <c r="X97" s="68">
        <f t="shared" ca="1" si="53"/>
        <v>1</v>
      </c>
      <c r="Y97" s="68" t="e">
        <f t="shared" ca="1" si="60"/>
        <v>#N/A</v>
      </c>
      <c r="Z97" s="68" t="e">
        <f t="shared" ca="1" si="61"/>
        <v>#N/A</v>
      </c>
      <c r="AA97" s="5" t="str">
        <f>IF(Setup!$I$15="Yes",'Demand background (hide)'!AJ85+'SPC background (hide)'!C97,"")</f>
        <v/>
      </c>
      <c r="AC97" s="5">
        <f t="shared" ca="1" si="54"/>
        <v>551.5</v>
      </c>
      <c r="AD97" s="5">
        <f t="shared" ca="1" si="55"/>
        <v>664</v>
      </c>
    </row>
    <row r="98" spans="1:30" x14ac:dyDescent="0.2">
      <c r="A98" s="68">
        <f ca="1">Demand!C95</f>
        <v>43</v>
      </c>
      <c r="B98" s="68">
        <v>83</v>
      </c>
      <c r="C98" s="5">
        <f ca="1">'Demand background (hide)'!Y86</f>
        <v>540</v>
      </c>
      <c r="D98" s="68">
        <f t="shared" si="39"/>
        <v>0</v>
      </c>
      <c r="E98" s="68" t="e">
        <f t="shared" ca="1" si="40"/>
        <v>#N/A</v>
      </c>
      <c r="F98" s="68" t="e">
        <f t="shared" ca="1" si="41"/>
        <v>#N/A</v>
      </c>
      <c r="G98" s="68" t="e">
        <f t="shared" ca="1" si="42"/>
        <v>#N/A</v>
      </c>
      <c r="H98" s="68" t="e">
        <f>IF('Demand background (hide)'!AN86&lt;&gt;"",'SPC background (hide)'!C98,NA())</f>
        <v>#N/A</v>
      </c>
      <c r="I98" s="68">
        <f t="shared" ca="1" si="43"/>
        <v>1</v>
      </c>
      <c r="J98" s="5">
        <f t="shared" ca="1" si="44"/>
        <v>69.979541734860845</v>
      </c>
      <c r="K98" s="5">
        <f t="shared" ca="1" si="45"/>
        <v>211.65302782324056</v>
      </c>
      <c r="L98" s="5">
        <f t="shared" ca="1" si="46"/>
        <v>353.32651391162028</v>
      </c>
      <c r="M98" s="5">
        <f t="shared" ca="1" si="47"/>
        <v>495</v>
      </c>
      <c r="N98" s="5">
        <f t="shared" ca="1" si="48"/>
        <v>636.67348608837972</v>
      </c>
      <c r="O98" s="5">
        <f t="shared" ca="1" si="49"/>
        <v>778.34697217675944</v>
      </c>
      <c r="P98" s="5">
        <f t="shared" ca="1" si="50"/>
        <v>920.02045826513915</v>
      </c>
      <c r="Q98" s="5" t="e">
        <f t="shared" ca="1" si="51"/>
        <v>#N/A</v>
      </c>
      <c r="R98" s="5">
        <f t="shared" ca="1" si="56"/>
        <v>1</v>
      </c>
      <c r="S98" s="68" t="e">
        <f t="shared" ca="1" si="57"/>
        <v>#N/A</v>
      </c>
      <c r="T98" s="68">
        <f t="shared" ca="1" si="58"/>
        <v>1</v>
      </c>
      <c r="U98" s="68" t="e">
        <f t="shared" ca="1" si="59"/>
        <v>#N/A</v>
      </c>
      <c r="V98" s="5">
        <f t="shared" ca="1" si="38"/>
        <v>1</v>
      </c>
      <c r="W98" s="5" t="e">
        <f t="shared" ca="1" si="52"/>
        <v>#N/A</v>
      </c>
      <c r="X98" s="68">
        <f t="shared" ca="1" si="53"/>
        <v>1</v>
      </c>
      <c r="Y98" s="68" t="e">
        <f t="shared" ca="1" si="60"/>
        <v>#N/A</v>
      </c>
      <c r="Z98" s="68" t="e">
        <f t="shared" ca="1" si="61"/>
        <v>#N/A</v>
      </c>
      <c r="AA98" s="5" t="str">
        <f>IF(Setup!$I$15="Yes",'Demand background (hide)'!AJ86+'SPC background (hide)'!C98,"")</f>
        <v/>
      </c>
      <c r="AC98" s="5">
        <f t="shared" ca="1" si="54"/>
        <v>551.5</v>
      </c>
      <c r="AD98" s="5">
        <f t="shared" ca="1" si="55"/>
        <v>664</v>
      </c>
    </row>
    <row r="99" spans="1:30" x14ac:dyDescent="0.2">
      <c r="A99" s="68">
        <f ca="1">Demand!C96</f>
        <v>44</v>
      </c>
      <c r="B99" s="68">
        <v>84</v>
      </c>
      <c r="C99" s="5">
        <f ca="1">'Demand background (hide)'!Y87</f>
        <v>340</v>
      </c>
      <c r="D99" s="68">
        <f t="shared" si="39"/>
        <v>0</v>
      </c>
      <c r="E99" s="68" t="e">
        <f t="shared" ca="1" si="40"/>
        <v>#N/A</v>
      </c>
      <c r="F99" s="68" t="e">
        <f t="shared" ca="1" si="41"/>
        <v>#N/A</v>
      </c>
      <c r="G99" s="68" t="e">
        <f t="shared" ca="1" si="42"/>
        <v>#N/A</v>
      </c>
      <c r="H99" s="68" t="e">
        <f>IF('Demand background (hide)'!AN87&lt;&gt;"",'SPC background (hide)'!C99,NA())</f>
        <v>#N/A</v>
      </c>
      <c r="I99" s="68">
        <f t="shared" ca="1" si="43"/>
        <v>1</v>
      </c>
      <c r="J99" s="5">
        <f t="shared" ca="1" si="44"/>
        <v>69.979541734860845</v>
      </c>
      <c r="K99" s="5">
        <f t="shared" ca="1" si="45"/>
        <v>211.65302782324056</v>
      </c>
      <c r="L99" s="5">
        <f t="shared" ca="1" si="46"/>
        <v>353.32651391162028</v>
      </c>
      <c r="M99" s="5">
        <f t="shared" ca="1" si="47"/>
        <v>495</v>
      </c>
      <c r="N99" s="5">
        <f t="shared" ca="1" si="48"/>
        <v>636.67348608837972</v>
      </c>
      <c r="O99" s="5">
        <f t="shared" ca="1" si="49"/>
        <v>778.34697217675944</v>
      </c>
      <c r="P99" s="5">
        <f t="shared" ca="1" si="50"/>
        <v>920.02045826513915</v>
      </c>
      <c r="Q99" s="5" t="e">
        <f t="shared" ca="1" si="51"/>
        <v>#N/A</v>
      </c>
      <c r="R99" s="5">
        <f t="shared" ca="1" si="56"/>
        <v>-1</v>
      </c>
      <c r="S99" s="68" t="e">
        <f t="shared" ca="1" si="57"/>
        <v>#N/A</v>
      </c>
      <c r="T99" s="68">
        <f t="shared" ca="1" si="58"/>
        <v>-2</v>
      </c>
      <c r="U99" s="68" t="e">
        <f t="shared" ca="1" si="59"/>
        <v>#N/A</v>
      </c>
      <c r="V99" s="5">
        <f t="shared" ca="1" si="38"/>
        <v>-1</v>
      </c>
      <c r="W99" s="5" t="e">
        <f t="shared" ca="1" si="52"/>
        <v>#N/A</v>
      </c>
      <c r="X99" s="68">
        <f t="shared" ca="1" si="53"/>
        <v>-1</v>
      </c>
      <c r="Y99" s="68" t="e">
        <f t="shared" ca="1" si="60"/>
        <v>#N/A</v>
      </c>
      <c r="Z99" s="68" t="e">
        <f t="shared" ca="1" si="61"/>
        <v>#N/A</v>
      </c>
      <c r="AA99" s="5" t="str">
        <f>IF(Setup!$I$15="Yes",'Demand background (hide)'!AJ87+'SPC background (hide)'!C99,"")</f>
        <v/>
      </c>
      <c r="AC99" s="5">
        <f t="shared" ca="1" si="54"/>
        <v>551.5</v>
      </c>
      <c r="AD99" s="5">
        <f t="shared" ca="1" si="55"/>
        <v>664</v>
      </c>
    </row>
    <row r="100" spans="1:30" x14ac:dyDescent="0.2">
      <c r="A100" s="68">
        <f ca="1">Demand!C97</f>
        <v>45</v>
      </c>
      <c r="B100" s="68">
        <v>85</v>
      </c>
      <c r="C100" s="5">
        <f ca="1">'Demand background (hide)'!Y88</f>
        <v>530</v>
      </c>
      <c r="D100" s="68">
        <f t="shared" si="39"/>
        <v>0</v>
      </c>
      <c r="E100" s="68" t="e">
        <f t="shared" ca="1" si="40"/>
        <v>#N/A</v>
      </c>
      <c r="F100" s="68" t="e">
        <f t="shared" ca="1" si="41"/>
        <v>#N/A</v>
      </c>
      <c r="G100" s="68" t="e">
        <f t="shared" ca="1" si="42"/>
        <v>#N/A</v>
      </c>
      <c r="H100" s="68" t="e">
        <f>IF('Demand background (hide)'!AN88&lt;&gt;"",'SPC background (hide)'!C100,NA())</f>
        <v>#N/A</v>
      </c>
      <c r="I100" s="68">
        <f t="shared" ca="1" si="43"/>
        <v>1</v>
      </c>
      <c r="J100" s="5">
        <f t="shared" ca="1" si="44"/>
        <v>69.979541734860845</v>
      </c>
      <c r="K100" s="5">
        <f t="shared" ca="1" si="45"/>
        <v>211.65302782324056</v>
      </c>
      <c r="L100" s="5">
        <f t="shared" ca="1" si="46"/>
        <v>353.32651391162028</v>
      </c>
      <c r="M100" s="5">
        <f t="shared" ca="1" si="47"/>
        <v>495</v>
      </c>
      <c r="N100" s="5">
        <f t="shared" ca="1" si="48"/>
        <v>636.67348608837972</v>
      </c>
      <c r="O100" s="5">
        <f t="shared" ca="1" si="49"/>
        <v>778.34697217675944</v>
      </c>
      <c r="P100" s="5">
        <f t="shared" ca="1" si="50"/>
        <v>920.02045826513915</v>
      </c>
      <c r="Q100" s="5" t="e">
        <f t="shared" ca="1" si="51"/>
        <v>#N/A</v>
      </c>
      <c r="R100" s="5">
        <f t="shared" ca="1" si="56"/>
        <v>1</v>
      </c>
      <c r="S100" s="68" t="e">
        <f t="shared" ca="1" si="57"/>
        <v>#N/A</v>
      </c>
      <c r="T100" s="68">
        <f t="shared" ca="1" si="58"/>
        <v>1</v>
      </c>
      <c r="U100" s="68" t="e">
        <f t="shared" ca="1" si="59"/>
        <v>#N/A</v>
      </c>
      <c r="V100" s="5">
        <f t="shared" ca="1" si="38"/>
        <v>1</v>
      </c>
      <c r="W100" s="5" t="e">
        <f t="shared" ca="1" si="52"/>
        <v>#N/A</v>
      </c>
      <c r="X100" s="68">
        <f t="shared" ca="1" si="53"/>
        <v>1</v>
      </c>
      <c r="Y100" s="68" t="e">
        <f t="shared" ca="1" si="60"/>
        <v>#N/A</v>
      </c>
      <c r="Z100" s="68" t="e">
        <f t="shared" ca="1" si="61"/>
        <v>#N/A</v>
      </c>
      <c r="AA100" s="5" t="str">
        <f>IF(Setup!$I$15="Yes",'Demand background (hide)'!AJ88+'SPC background (hide)'!C100,"")</f>
        <v/>
      </c>
      <c r="AC100" s="5">
        <f t="shared" ca="1" si="54"/>
        <v>551.5</v>
      </c>
      <c r="AD100" s="5">
        <f t="shared" ca="1" si="55"/>
        <v>664</v>
      </c>
    </row>
    <row r="101" spans="1:30" x14ac:dyDescent="0.2">
      <c r="A101" s="68">
        <f ca="1">Demand!C98</f>
        <v>46</v>
      </c>
      <c r="B101" s="68">
        <v>86</v>
      </c>
      <c r="C101" s="5">
        <f ca="1">'Demand background (hide)'!Y89</f>
        <v>580</v>
      </c>
      <c r="D101" s="68">
        <f t="shared" si="39"/>
        <v>0</v>
      </c>
      <c r="E101" s="68" t="e">
        <f t="shared" ca="1" si="40"/>
        <v>#N/A</v>
      </c>
      <c r="F101" s="68" t="e">
        <f t="shared" ca="1" si="41"/>
        <v>#N/A</v>
      </c>
      <c r="G101" s="68" t="e">
        <f t="shared" ca="1" si="42"/>
        <v>#N/A</v>
      </c>
      <c r="H101" s="68" t="e">
        <f>IF('Demand background (hide)'!AN89&lt;&gt;"",'SPC background (hide)'!C101,NA())</f>
        <v>#N/A</v>
      </c>
      <c r="I101" s="68">
        <f t="shared" ca="1" si="43"/>
        <v>1</v>
      </c>
      <c r="J101" s="5">
        <f t="shared" ca="1" si="44"/>
        <v>69.979541734860845</v>
      </c>
      <c r="K101" s="5">
        <f t="shared" ca="1" si="45"/>
        <v>211.65302782324056</v>
      </c>
      <c r="L101" s="5">
        <f t="shared" ca="1" si="46"/>
        <v>353.32651391162028</v>
      </c>
      <c r="M101" s="5">
        <f t="shared" ca="1" si="47"/>
        <v>495</v>
      </c>
      <c r="N101" s="5">
        <f t="shared" ca="1" si="48"/>
        <v>636.67348608837972</v>
      </c>
      <c r="O101" s="5">
        <f t="shared" ca="1" si="49"/>
        <v>778.34697217675944</v>
      </c>
      <c r="P101" s="5">
        <f t="shared" ca="1" si="50"/>
        <v>920.02045826513915</v>
      </c>
      <c r="Q101" s="5" t="e">
        <f t="shared" ca="1" si="51"/>
        <v>#N/A</v>
      </c>
      <c r="R101" s="5">
        <f t="shared" ca="1" si="56"/>
        <v>1</v>
      </c>
      <c r="S101" s="68" t="e">
        <f t="shared" ca="1" si="57"/>
        <v>#N/A</v>
      </c>
      <c r="T101" s="68">
        <f t="shared" ca="1" si="58"/>
        <v>1</v>
      </c>
      <c r="U101" s="68" t="e">
        <f t="shared" ca="1" si="59"/>
        <v>#N/A</v>
      </c>
      <c r="V101" s="5">
        <f t="shared" ca="1" si="38"/>
        <v>1</v>
      </c>
      <c r="W101" s="5" t="e">
        <f t="shared" ca="1" si="52"/>
        <v>#N/A</v>
      </c>
      <c r="X101" s="68">
        <f t="shared" ca="1" si="53"/>
        <v>1</v>
      </c>
      <c r="Y101" s="68" t="e">
        <f t="shared" ca="1" si="60"/>
        <v>#N/A</v>
      </c>
      <c r="Z101" s="68" t="e">
        <f t="shared" ca="1" si="61"/>
        <v>#N/A</v>
      </c>
      <c r="AA101" s="5" t="str">
        <f>IF(Setup!$I$15="Yes",'Demand background (hide)'!AJ89+'SPC background (hide)'!C101,"")</f>
        <v/>
      </c>
      <c r="AC101" s="5">
        <f t="shared" ca="1" si="54"/>
        <v>551.5</v>
      </c>
      <c r="AD101" s="5">
        <f t="shared" ca="1" si="55"/>
        <v>664</v>
      </c>
    </row>
    <row r="102" spans="1:30" x14ac:dyDescent="0.2">
      <c r="A102" s="68">
        <f ca="1">Demand!C99</f>
        <v>47</v>
      </c>
      <c r="B102" s="68">
        <v>87</v>
      </c>
      <c r="C102" s="5">
        <f ca="1">'Demand background (hide)'!Y90</f>
        <v>460</v>
      </c>
      <c r="D102" s="68">
        <f t="shared" si="39"/>
        <v>0</v>
      </c>
      <c r="E102" s="68" t="e">
        <f t="shared" ca="1" si="40"/>
        <v>#N/A</v>
      </c>
      <c r="F102" s="68" t="e">
        <f t="shared" ca="1" si="41"/>
        <v>#N/A</v>
      </c>
      <c r="G102" s="68" t="e">
        <f t="shared" ca="1" si="42"/>
        <v>#N/A</v>
      </c>
      <c r="H102" s="68" t="e">
        <f>IF('Demand background (hide)'!AN90&lt;&gt;"",'SPC background (hide)'!C102,NA())</f>
        <v>#N/A</v>
      </c>
      <c r="I102" s="68">
        <f t="shared" ca="1" si="43"/>
        <v>1</v>
      </c>
      <c r="J102" s="5">
        <f t="shared" ca="1" si="44"/>
        <v>69.979541734860845</v>
      </c>
      <c r="K102" s="5">
        <f t="shared" ca="1" si="45"/>
        <v>211.65302782324056</v>
      </c>
      <c r="L102" s="5">
        <f t="shared" ca="1" si="46"/>
        <v>353.32651391162028</v>
      </c>
      <c r="M102" s="5">
        <f t="shared" ca="1" si="47"/>
        <v>495</v>
      </c>
      <c r="N102" s="5">
        <f t="shared" ca="1" si="48"/>
        <v>636.67348608837972</v>
      </c>
      <c r="O102" s="5">
        <f t="shared" ca="1" si="49"/>
        <v>778.34697217675944</v>
      </c>
      <c r="P102" s="5">
        <f t="shared" ca="1" si="50"/>
        <v>920.02045826513915</v>
      </c>
      <c r="Q102" s="5" t="e">
        <f t="shared" ca="1" si="51"/>
        <v>#N/A</v>
      </c>
      <c r="R102" s="5">
        <f t="shared" ca="1" si="56"/>
        <v>-1</v>
      </c>
      <c r="S102" s="68" t="e">
        <f t="shared" ca="1" si="57"/>
        <v>#N/A</v>
      </c>
      <c r="T102" s="68">
        <f t="shared" ca="1" si="58"/>
        <v>-1</v>
      </c>
      <c r="U102" s="68" t="e">
        <f t="shared" ca="1" si="59"/>
        <v>#N/A</v>
      </c>
      <c r="V102" s="5">
        <f t="shared" ca="1" si="38"/>
        <v>-1</v>
      </c>
      <c r="W102" s="5" t="e">
        <f t="shared" ca="1" si="52"/>
        <v>#N/A</v>
      </c>
      <c r="X102" s="68">
        <f t="shared" ca="1" si="53"/>
        <v>-1</v>
      </c>
      <c r="Y102" s="68" t="e">
        <f t="shared" ca="1" si="60"/>
        <v>#N/A</v>
      </c>
      <c r="Z102" s="68" t="e">
        <f t="shared" ca="1" si="61"/>
        <v>#N/A</v>
      </c>
      <c r="AA102" s="5" t="str">
        <f>IF(Setup!$I$15="Yes",'Demand background (hide)'!AJ90+'SPC background (hide)'!C102,"")</f>
        <v/>
      </c>
      <c r="AC102" s="5">
        <f t="shared" ca="1" si="54"/>
        <v>551.5</v>
      </c>
      <c r="AD102" s="5">
        <f t="shared" ca="1" si="55"/>
        <v>664</v>
      </c>
    </row>
    <row r="103" spans="1:30" x14ac:dyDescent="0.2">
      <c r="A103" s="68">
        <f ca="1">Demand!C100</f>
        <v>48</v>
      </c>
      <c r="B103" s="68">
        <v>88</v>
      </c>
      <c r="C103" s="5">
        <f ca="1">'Demand background (hide)'!Y91</f>
        <v>500</v>
      </c>
      <c r="D103" s="68">
        <f t="shared" si="39"/>
        <v>0</v>
      </c>
      <c r="E103" s="68" t="e">
        <f t="shared" ca="1" si="40"/>
        <v>#N/A</v>
      </c>
      <c r="F103" s="68" t="e">
        <f t="shared" ca="1" si="41"/>
        <v>#N/A</v>
      </c>
      <c r="G103" s="68" t="e">
        <f t="shared" ca="1" si="42"/>
        <v>#N/A</v>
      </c>
      <c r="H103" s="68" t="e">
        <f>IF('Demand background (hide)'!AN91&lt;&gt;"",'SPC background (hide)'!C103,NA())</f>
        <v>#N/A</v>
      </c>
      <c r="I103" s="68">
        <f t="shared" ca="1" si="43"/>
        <v>1</v>
      </c>
      <c r="J103" s="5">
        <f t="shared" ca="1" si="44"/>
        <v>69.979541734860845</v>
      </c>
      <c r="K103" s="5">
        <f t="shared" ca="1" si="45"/>
        <v>211.65302782324056</v>
      </c>
      <c r="L103" s="5">
        <f t="shared" ca="1" si="46"/>
        <v>353.32651391162028</v>
      </c>
      <c r="M103" s="5">
        <f t="shared" ca="1" si="47"/>
        <v>495</v>
      </c>
      <c r="N103" s="5">
        <f t="shared" ca="1" si="48"/>
        <v>636.67348608837972</v>
      </c>
      <c r="O103" s="5">
        <f t="shared" ca="1" si="49"/>
        <v>778.34697217675944</v>
      </c>
      <c r="P103" s="5">
        <f t="shared" ca="1" si="50"/>
        <v>920.02045826513915</v>
      </c>
      <c r="Q103" s="5" t="e">
        <f t="shared" ca="1" si="51"/>
        <v>#N/A</v>
      </c>
      <c r="R103" s="5">
        <f t="shared" ca="1" si="56"/>
        <v>1</v>
      </c>
      <c r="S103" s="68" t="e">
        <f t="shared" ca="1" si="57"/>
        <v>#N/A</v>
      </c>
      <c r="T103" s="68">
        <f t="shared" ca="1" si="58"/>
        <v>1</v>
      </c>
      <c r="U103" s="68" t="e">
        <f t="shared" ca="1" si="59"/>
        <v>#N/A</v>
      </c>
      <c r="V103" s="5">
        <f t="shared" ca="1" si="38"/>
        <v>1</v>
      </c>
      <c r="W103" s="5" t="e">
        <f t="shared" ca="1" si="52"/>
        <v>#N/A</v>
      </c>
      <c r="X103" s="68">
        <f t="shared" ca="1" si="53"/>
        <v>1</v>
      </c>
      <c r="Y103" s="68" t="e">
        <f t="shared" ca="1" si="60"/>
        <v>#N/A</v>
      </c>
      <c r="Z103" s="68" t="e">
        <f t="shared" ca="1" si="61"/>
        <v>#N/A</v>
      </c>
      <c r="AA103" s="5" t="str">
        <f>IF(Setup!$I$15="Yes",'Demand background (hide)'!AJ91+'SPC background (hide)'!C103,"")</f>
        <v/>
      </c>
      <c r="AC103" s="5">
        <f t="shared" ca="1" si="54"/>
        <v>551.5</v>
      </c>
      <c r="AD103" s="5">
        <f t="shared" ca="1" si="55"/>
        <v>664</v>
      </c>
    </row>
    <row r="104" spans="1:30" x14ac:dyDescent="0.2">
      <c r="A104" s="68">
        <f ca="1">Demand!C101</f>
        <v>49</v>
      </c>
      <c r="B104" s="68">
        <v>89</v>
      </c>
      <c r="C104" s="5">
        <f ca="1">'Demand background (hide)'!Y92</f>
        <v>510</v>
      </c>
      <c r="D104" s="68">
        <f t="shared" si="39"/>
        <v>0</v>
      </c>
      <c r="E104" s="68" t="e">
        <f t="shared" ca="1" si="40"/>
        <v>#N/A</v>
      </c>
      <c r="F104" s="68" t="e">
        <f t="shared" ca="1" si="41"/>
        <v>#N/A</v>
      </c>
      <c r="G104" s="68" t="e">
        <f t="shared" ca="1" si="42"/>
        <v>#N/A</v>
      </c>
      <c r="H104" s="68" t="e">
        <f>IF('Demand background (hide)'!AN92&lt;&gt;"",'SPC background (hide)'!C104,NA())</f>
        <v>#N/A</v>
      </c>
      <c r="I104" s="68">
        <f t="shared" ca="1" si="43"/>
        <v>1</v>
      </c>
      <c r="J104" s="5">
        <f t="shared" ca="1" si="44"/>
        <v>69.979541734860845</v>
      </c>
      <c r="K104" s="5">
        <f t="shared" ca="1" si="45"/>
        <v>211.65302782324056</v>
      </c>
      <c r="L104" s="5">
        <f t="shared" ca="1" si="46"/>
        <v>353.32651391162028</v>
      </c>
      <c r="M104" s="5">
        <f t="shared" ca="1" si="47"/>
        <v>495</v>
      </c>
      <c r="N104" s="5">
        <f t="shared" ca="1" si="48"/>
        <v>636.67348608837972</v>
      </c>
      <c r="O104" s="5">
        <f t="shared" ca="1" si="49"/>
        <v>778.34697217675944</v>
      </c>
      <c r="P104" s="5">
        <f t="shared" ca="1" si="50"/>
        <v>920.02045826513915</v>
      </c>
      <c r="Q104" s="5" t="e">
        <f t="shared" ca="1" si="51"/>
        <v>#N/A</v>
      </c>
      <c r="R104" s="5">
        <f t="shared" ca="1" si="56"/>
        <v>1</v>
      </c>
      <c r="S104" s="68" t="e">
        <f t="shared" ca="1" si="57"/>
        <v>#N/A</v>
      </c>
      <c r="T104" s="68">
        <f t="shared" ca="1" si="58"/>
        <v>1</v>
      </c>
      <c r="U104" s="68" t="e">
        <f t="shared" ca="1" si="59"/>
        <v>#N/A</v>
      </c>
      <c r="V104" s="5">
        <f t="shared" ca="1" si="38"/>
        <v>1</v>
      </c>
      <c r="W104" s="5" t="e">
        <f t="shared" ca="1" si="52"/>
        <v>#N/A</v>
      </c>
      <c r="X104" s="68">
        <f t="shared" ca="1" si="53"/>
        <v>1</v>
      </c>
      <c r="Y104" s="68" t="e">
        <f t="shared" ca="1" si="60"/>
        <v>#N/A</v>
      </c>
      <c r="Z104" s="68" t="e">
        <f t="shared" ca="1" si="61"/>
        <v>#N/A</v>
      </c>
      <c r="AA104" s="5" t="str">
        <f>IF(Setup!$I$15="Yes",'Demand background (hide)'!AJ92+'SPC background (hide)'!C104,"")</f>
        <v/>
      </c>
      <c r="AC104" s="5">
        <f t="shared" ca="1" si="54"/>
        <v>551.5</v>
      </c>
      <c r="AD104" s="5">
        <f t="shared" ca="1" si="55"/>
        <v>664</v>
      </c>
    </row>
    <row r="105" spans="1:30" x14ac:dyDescent="0.2">
      <c r="A105" s="68">
        <f ca="1">Demand!C102</f>
        <v>50</v>
      </c>
      <c r="B105" s="68">
        <v>90</v>
      </c>
      <c r="C105" s="5">
        <f ca="1">'Demand background (hide)'!Y93</f>
        <v>510</v>
      </c>
      <c r="D105" s="68">
        <f t="shared" si="39"/>
        <v>0</v>
      </c>
      <c r="E105" s="68" t="e">
        <f t="shared" ca="1" si="40"/>
        <v>#N/A</v>
      </c>
      <c r="F105" s="68" t="e">
        <f t="shared" ca="1" si="41"/>
        <v>#N/A</v>
      </c>
      <c r="G105" s="68" t="e">
        <f t="shared" ca="1" si="42"/>
        <v>#N/A</v>
      </c>
      <c r="H105" s="68" t="e">
        <f>IF('Demand background (hide)'!AN93&lt;&gt;"",'SPC background (hide)'!C105,NA())</f>
        <v>#N/A</v>
      </c>
      <c r="I105" s="68">
        <f t="shared" ca="1" si="43"/>
        <v>1</v>
      </c>
      <c r="J105" s="5">
        <f t="shared" ca="1" si="44"/>
        <v>69.979541734860845</v>
      </c>
      <c r="K105" s="5">
        <f t="shared" ca="1" si="45"/>
        <v>211.65302782324056</v>
      </c>
      <c r="L105" s="5">
        <f t="shared" ca="1" si="46"/>
        <v>353.32651391162028</v>
      </c>
      <c r="M105" s="5">
        <f t="shared" ca="1" si="47"/>
        <v>495</v>
      </c>
      <c r="N105" s="5">
        <f t="shared" ca="1" si="48"/>
        <v>636.67348608837972</v>
      </c>
      <c r="O105" s="5">
        <f t="shared" ca="1" si="49"/>
        <v>778.34697217675944</v>
      </c>
      <c r="P105" s="5">
        <f t="shared" ca="1" si="50"/>
        <v>920.02045826513915</v>
      </c>
      <c r="Q105" s="5" t="e">
        <f t="shared" ca="1" si="51"/>
        <v>#N/A</v>
      </c>
      <c r="R105" s="5">
        <f t="shared" ca="1" si="56"/>
        <v>1</v>
      </c>
      <c r="S105" s="68" t="e">
        <f t="shared" ca="1" si="57"/>
        <v>#N/A</v>
      </c>
      <c r="T105" s="68">
        <f t="shared" ca="1" si="58"/>
        <v>1</v>
      </c>
      <c r="U105" s="68" t="e">
        <f t="shared" ca="1" si="59"/>
        <v>#N/A</v>
      </c>
      <c r="V105" s="5">
        <f t="shared" ca="1" si="38"/>
        <v>1</v>
      </c>
      <c r="W105" s="5" t="e">
        <f t="shared" ca="1" si="52"/>
        <v>#N/A</v>
      </c>
      <c r="X105" s="68">
        <f t="shared" ca="1" si="53"/>
        <v>0</v>
      </c>
      <c r="Y105" s="68" t="e">
        <f t="shared" ca="1" si="60"/>
        <v>#N/A</v>
      </c>
      <c r="Z105" s="68" t="e">
        <f t="shared" ca="1" si="61"/>
        <v>#N/A</v>
      </c>
      <c r="AA105" s="5" t="str">
        <f>IF(Setup!$I$15="Yes",'Demand background (hide)'!AJ93+'SPC background (hide)'!C105,"")</f>
        <v/>
      </c>
      <c r="AC105" s="5">
        <f t="shared" ca="1" si="54"/>
        <v>551.5</v>
      </c>
      <c r="AD105" s="5">
        <f t="shared" ca="1" si="55"/>
        <v>664</v>
      </c>
    </row>
    <row r="106" spans="1:30" x14ac:dyDescent="0.2">
      <c r="A106" s="68">
        <f ca="1">Demand!C103</f>
        <v>51</v>
      </c>
      <c r="B106" s="68">
        <v>91</v>
      </c>
      <c r="C106" s="5">
        <f ca="1">'Demand background (hide)'!Y94</f>
        <v>390</v>
      </c>
      <c r="D106" s="68">
        <f t="shared" si="39"/>
        <v>0</v>
      </c>
      <c r="E106" s="68" t="e">
        <f t="shared" ca="1" si="40"/>
        <v>#N/A</v>
      </c>
      <c r="F106" s="68" t="e">
        <f t="shared" ca="1" si="41"/>
        <v>#N/A</v>
      </c>
      <c r="G106" s="68" t="e">
        <f t="shared" ca="1" si="42"/>
        <v>#N/A</v>
      </c>
      <c r="H106" s="68" t="e">
        <f>IF('Demand background (hide)'!AN94&lt;&gt;"",'SPC background (hide)'!C106,NA())</f>
        <v>#N/A</v>
      </c>
      <c r="I106" s="68">
        <f t="shared" ca="1" si="43"/>
        <v>1</v>
      </c>
      <c r="J106" s="5">
        <f t="shared" ca="1" si="44"/>
        <v>69.979541734860845</v>
      </c>
      <c r="K106" s="5">
        <f t="shared" ca="1" si="45"/>
        <v>211.65302782324056</v>
      </c>
      <c r="L106" s="5">
        <f t="shared" ca="1" si="46"/>
        <v>353.32651391162028</v>
      </c>
      <c r="M106" s="5">
        <f t="shared" ca="1" si="47"/>
        <v>495</v>
      </c>
      <c r="N106" s="5">
        <f t="shared" ca="1" si="48"/>
        <v>636.67348608837972</v>
      </c>
      <c r="O106" s="5">
        <f t="shared" ca="1" si="49"/>
        <v>778.34697217675944</v>
      </c>
      <c r="P106" s="5">
        <f t="shared" ca="1" si="50"/>
        <v>920.02045826513915</v>
      </c>
      <c r="Q106" s="5" t="e">
        <f t="shared" ca="1" si="51"/>
        <v>#N/A</v>
      </c>
      <c r="R106" s="5">
        <f t="shared" ca="1" si="56"/>
        <v>-1</v>
      </c>
      <c r="S106" s="68" t="e">
        <f t="shared" ca="1" si="57"/>
        <v>#N/A</v>
      </c>
      <c r="T106" s="68">
        <f t="shared" ca="1" si="58"/>
        <v>-1</v>
      </c>
      <c r="U106" s="68" t="e">
        <f t="shared" ca="1" si="59"/>
        <v>#N/A</v>
      </c>
      <c r="V106" s="5">
        <f t="shared" ca="1" si="38"/>
        <v>-1</v>
      </c>
      <c r="W106" s="5" t="e">
        <f t="shared" ca="1" si="52"/>
        <v>#N/A</v>
      </c>
      <c r="X106" s="68">
        <f t="shared" ca="1" si="53"/>
        <v>-1</v>
      </c>
      <c r="Y106" s="68" t="e">
        <f t="shared" ca="1" si="60"/>
        <v>#N/A</v>
      </c>
      <c r="Z106" s="68" t="e">
        <f t="shared" ca="1" si="61"/>
        <v>#N/A</v>
      </c>
      <c r="AA106" s="5" t="str">
        <f>IF(Setup!$I$15="Yes",'Demand background (hide)'!AJ94+'SPC background (hide)'!C106,"")</f>
        <v/>
      </c>
      <c r="AC106" s="5">
        <f t="shared" ca="1" si="54"/>
        <v>551.5</v>
      </c>
      <c r="AD106" s="5">
        <f t="shared" ca="1" si="55"/>
        <v>664</v>
      </c>
    </row>
    <row r="107" spans="1:30" x14ac:dyDescent="0.2">
      <c r="A107" s="68">
        <f ca="1">Demand!C104</f>
        <v>52</v>
      </c>
      <c r="B107" s="68">
        <v>92</v>
      </c>
      <c r="C107" s="5">
        <f ca="1">'Demand background (hide)'!Y95</f>
        <v>440</v>
      </c>
      <c r="D107" s="68">
        <f t="shared" si="39"/>
        <v>0</v>
      </c>
      <c r="E107" s="68" t="e">
        <f t="shared" ca="1" si="40"/>
        <v>#N/A</v>
      </c>
      <c r="F107" s="68" t="e">
        <f t="shared" ca="1" si="41"/>
        <v>#N/A</v>
      </c>
      <c r="G107" s="68" t="e">
        <f t="shared" ca="1" si="42"/>
        <v>#N/A</v>
      </c>
      <c r="H107" s="68" t="e">
        <f>IF('Demand background (hide)'!AN95&lt;&gt;"",'SPC background (hide)'!C107,NA())</f>
        <v>#N/A</v>
      </c>
      <c r="I107" s="68">
        <f t="shared" ca="1" si="43"/>
        <v>1</v>
      </c>
      <c r="J107" s="5">
        <f t="shared" ca="1" si="44"/>
        <v>69.979541734860845</v>
      </c>
      <c r="K107" s="5">
        <f t="shared" ca="1" si="45"/>
        <v>211.65302782324056</v>
      </c>
      <c r="L107" s="5">
        <f t="shared" ca="1" si="46"/>
        <v>353.32651391162028</v>
      </c>
      <c r="M107" s="5">
        <f t="shared" ca="1" si="47"/>
        <v>495</v>
      </c>
      <c r="N107" s="5">
        <f t="shared" ca="1" si="48"/>
        <v>636.67348608837972</v>
      </c>
      <c r="O107" s="5">
        <f t="shared" ca="1" si="49"/>
        <v>778.34697217675944</v>
      </c>
      <c r="P107" s="5">
        <f t="shared" ca="1" si="50"/>
        <v>920.02045826513915</v>
      </c>
      <c r="Q107" s="5" t="e">
        <f t="shared" ca="1" si="51"/>
        <v>#N/A</v>
      </c>
      <c r="R107" s="5">
        <f t="shared" ca="1" si="56"/>
        <v>-1</v>
      </c>
      <c r="S107" s="68" t="e">
        <f t="shared" ca="1" si="57"/>
        <v>#N/A</v>
      </c>
      <c r="T107" s="68">
        <f t="shared" ca="1" si="58"/>
        <v>-1</v>
      </c>
      <c r="U107" s="68" t="e">
        <f t="shared" ca="1" si="59"/>
        <v>#N/A</v>
      </c>
      <c r="V107" s="5">
        <f t="shared" ca="1" si="38"/>
        <v>-1</v>
      </c>
      <c r="W107" s="5" t="e">
        <f t="shared" ca="1" si="52"/>
        <v>#N/A</v>
      </c>
      <c r="X107" s="68">
        <f t="shared" ca="1" si="53"/>
        <v>1</v>
      </c>
      <c r="Y107" s="68" t="e">
        <f t="shared" ca="1" si="60"/>
        <v>#N/A</v>
      </c>
      <c r="Z107" s="68" t="e">
        <f t="shared" ca="1" si="61"/>
        <v>#N/A</v>
      </c>
      <c r="AA107" s="5" t="str">
        <f>IF(Setup!$I$15="Yes",'Demand background (hide)'!AJ95+'SPC background (hide)'!C107,"")</f>
        <v/>
      </c>
      <c r="AC107" s="5">
        <f t="shared" ca="1" si="54"/>
        <v>551.5</v>
      </c>
      <c r="AD107" s="5">
        <f t="shared" ca="1" si="55"/>
        <v>664</v>
      </c>
    </row>
    <row r="108" spans="1:30" x14ac:dyDescent="0.2">
      <c r="A108" s="68">
        <f ca="1">Demand!C105</f>
        <v>1</v>
      </c>
      <c r="B108" s="68">
        <v>93</v>
      </c>
      <c r="C108" s="5">
        <f ca="1">'Demand background (hide)'!Y96</f>
        <v>700</v>
      </c>
      <c r="D108" s="68">
        <f t="shared" si="39"/>
        <v>0</v>
      </c>
      <c r="E108" s="68" t="e">
        <f t="shared" ca="1" si="40"/>
        <v>#N/A</v>
      </c>
      <c r="F108" s="68" t="e">
        <f t="shared" ca="1" si="41"/>
        <v>#N/A</v>
      </c>
      <c r="G108" s="68" t="e">
        <f t="shared" ca="1" si="42"/>
        <v>#N/A</v>
      </c>
      <c r="H108" s="68" t="e">
        <f>IF('Demand background (hide)'!AN96&lt;&gt;"",'SPC background (hide)'!C108,NA())</f>
        <v>#N/A</v>
      </c>
      <c r="I108" s="68">
        <f t="shared" ca="1" si="43"/>
        <v>1</v>
      </c>
      <c r="J108" s="5">
        <f t="shared" ca="1" si="44"/>
        <v>69.979541734860845</v>
      </c>
      <c r="K108" s="5">
        <f t="shared" ca="1" si="45"/>
        <v>211.65302782324056</v>
      </c>
      <c r="L108" s="5">
        <f t="shared" ca="1" si="46"/>
        <v>353.32651391162028</v>
      </c>
      <c r="M108" s="5">
        <f t="shared" ca="1" si="47"/>
        <v>495</v>
      </c>
      <c r="N108" s="5">
        <f t="shared" ca="1" si="48"/>
        <v>636.67348608837972</v>
      </c>
      <c r="O108" s="5">
        <f t="shared" ca="1" si="49"/>
        <v>778.34697217675944</v>
      </c>
      <c r="P108" s="5">
        <f t="shared" ca="1" si="50"/>
        <v>920.02045826513915</v>
      </c>
      <c r="Q108" s="5" t="e">
        <f t="shared" ca="1" si="51"/>
        <v>#N/A</v>
      </c>
      <c r="R108" s="5">
        <f t="shared" ca="1" si="56"/>
        <v>1</v>
      </c>
      <c r="S108" s="68" t="e">
        <f t="shared" ca="1" si="57"/>
        <v>#N/A</v>
      </c>
      <c r="T108" s="68">
        <f t="shared" ca="1" si="58"/>
        <v>2</v>
      </c>
      <c r="U108" s="68" t="e">
        <f t="shared" ca="1" si="59"/>
        <v>#N/A</v>
      </c>
      <c r="V108" s="5">
        <f t="shared" ca="1" si="38"/>
        <v>1</v>
      </c>
      <c r="W108" s="5" t="e">
        <f t="shared" ca="1" si="52"/>
        <v>#N/A</v>
      </c>
      <c r="X108" s="68">
        <f t="shared" ca="1" si="53"/>
        <v>1</v>
      </c>
      <c r="Y108" s="68" t="e">
        <f t="shared" ca="1" si="60"/>
        <v>#N/A</v>
      </c>
      <c r="Z108" s="68" t="e">
        <f t="shared" ca="1" si="61"/>
        <v>#N/A</v>
      </c>
      <c r="AA108" s="5" t="str">
        <f>IF(Setup!$I$15="Yes",'Demand background (hide)'!AJ96+'SPC background (hide)'!C108,"")</f>
        <v/>
      </c>
      <c r="AC108" s="5">
        <f t="shared" ca="1" si="54"/>
        <v>551.5</v>
      </c>
      <c r="AD108" s="5">
        <f t="shared" ca="1" si="55"/>
        <v>664</v>
      </c>
    </row>
    <row r="109" spans="1:30" x14ac:dyDescent="0.2">
      <c r="A109" s="68">
        <f ca="1">Demand!C106</f>
        <v>2</v>
      </c>
      <c r="B109" s="68">
        <v>94</v>
      </c>
      <c r="C109" s="5">
        <f ca="1">'Demand background (hide)'!Y97</f>
        <v>570</v>
      </c>
      <c r="D109" s="68">
        <f t="shared" si="39"/>
        <v>0</v>
      </c>
      <c r="E109" s="68" t="e">
        <f t="shared" ca="1" si="40"/>
        <v>#N/A</v>
      </c>
      <c r="F109" s="68" t="e">
        <f t="shared" ca="1" si="41"/>
        <v>#N/A</v>
      </c>
      <c r="G109" s="68" t="e">
        <f t="shared" ca="1" si="42"/>
        <v>#N/A</v>
      </c>
      <c r="H109" s="68" t="e">
        <f>IF('Demand background (hide)'!AN97&lt;&gt;"",'SPC background (hide)'!C109,NA())</f>
        <v>#N/A</v>
      </c>
      <c r="I109" s="68">
        <f t="shared" ca="1" si="43"/>
        <v>1</v>
      </c>
      <c r="J109" s="5">
        <f t="shared" ca="1" si="44"/>
        <v>69.979541734860845</v>
      </c>
      <c r="K109" s="5">
        <f t="shared" ca="1" si="45"/>
        <v>211.65302782324056</v>
      </c>
      <c r="L109" s="5">
        <f t="shared" ca="1" si="46"/>
        <v>353.32651391162028</v>
      </c>
      <c r="M109" s="5">
        <f t="shared" ca="1" si="47"/>
        <v>495</v>
      </c>
      <c r="N109" s="5">
        <f t="shared" ca="1" si="48"/>
        <v>636.67348608837972</v>
      </c>
      <c r="O109" s="5">
        <f t="shared" ca="1" si="49"/>
        <v>778.34697217675944</v>
      </c>
      <c r="P109" s="5">
        <f t="shared" ca="1" si="50"/>
        <v>920.02045826513915</v>
      </c>
      <c r="Q109" s="5" t="e">
        <f t="shared" ca="1" si="51"/>
        <v>#N/A</v>
      </c>
      <c r="R109" s="5">
        <f t="shared" ca="1" si="56"/>
        <v>1</v>
      </c>
      <c r="S109" s="68" t="e">
        <f t="shared" ca="1" si="57"/>
        <v>#N/A</v>
      </c>
      <c r="T109" s="68">
        <f t="shared" ca="1" si="58"/>
        <v>1</v>
      </c>
      <c r="U109" s="68" t="e">
        <f t="shared" ca="1" si="59"/>
        <v>#N/A</v>
      </c>
      <c r="V109" s="5">
        <f t="shared" ca="1" si="38"/>
        <v>1</v>
      </c>
      <c r="W109" s="5" t="e">
        <f t="shared" ca="1" si="52"/>
        <v>#N/A</v>
      </c>
      <c r="X109" s="68">
        <f t="shared" ca="1" si="53"/>
        <v>-1</v>
      </c>
      <c r="Y109" s="68" t="e">
        <f t="shared" ca="1" si="60"/>
        <v>#N/A</v>
      </c>
      <c r="Z109" s="68" t="e">
        <f t="shared" ca="1" si="61"/>
        <v>#N/A</v>
      </c>
      <c r="AA109" s="5" t="str">
        <f>IF(Setup!$I$15="Yes",'Demand background (hide)'!AJ97+'SPC background (hide)'!C109,"")</f>
        <v/>
      </c>
      <c r="AC109" s="5">
        <f t="shared" ca="1" si="54"/>
        <v>551.5</v>
      </c>
      <c r="AD109" s="5">
        <f t="shared" ca="1" si="55"/>
        <v>664</v>
      </c>
    </row>
    <row r="110" spans="1:30" x14ac:dyDescent="0.2">
      <c r="A110" s="68">
        <f ca="1">Demand!C107</f>
        <v>3</v>
      </c>
      <c r="B110" s="68">
        <v>95</v>
      </c>
      <c r="C110" s="5">
        <f ca="1">'Demand background (hide)'!Y98</f>
        <v>520</v>
      </c>
      <c r="D110" s="68">
        <f t="shared" si="39"/>
        <v>0</v>
      </c>
      <c r="E110" s="68" t="e">
        <f t="shared" ca="1" si="40"/>
        <v>#N/A</v>
      </c>
      <c r="F110" s="68" t="e">
        <f t="shared" ca="1" si="41"/>
        <v>#N/A</v>
      </c>
      <c r="G110" s="68" t="e">
        <f t="shared" ca="1" si="42"/>
        <v>#N/A</v>
      </c>
      <c r="H110" s="68" t="e">
        <f>IF('Demand background (hide)'!AN98&lt;&gt;"",'SPC background (hide)'!C110,NA())</f>
        <v>#N/A</v>
      </c>
      <c r="I110" s="68">
        <f t="shared" ca="1" si="43"/>
        <v>1</v>
      </c>
      <c r="J110" s="5">
        <f t="shared" ca="1" si="44"/>
        <v>69.979541734860845</v>
      </c>
      <c r="K110" s="5">
        <f t="shared" ca="1" si="45"/>
        <v>211.65302782324056</v>
      </c>
      <c r="L110" s="5">
        <f t="shared" ca="1" si="46"/>
        <v>353.32651391162028</v>
      </c>
      <c r="M110" s="5">
        <f t="shared" ca="1" si="47"/>
        <v>495</v>
      </c>
      <c r="N110" s="5">
        <f t="shared" ca="1" si="48"/>
        <v>636.67348608837972</v>
      </c>
      <c r="O110" s="5">
        <f t="shared" ca="1" si="49"/>
        <v>778.34697217675944</v>
      </c>
      <c r="P110" s="5">
        <f t="shared" ca="1" si="50"/>
        <v>920.02045826513915</v>
      </c>
      <c r="Q110" s="5" t="e">
        <f t="shared" ca="1" si="51"/>
        <v>#N/A</v>
      </c>
      <c r="R110" s="5">
        <f t="shared" ca="1" si="56"/>
        <v>1</v>
      </c>
      <c r="S110" s="68" t="e">
        <f t="shared" ca="1" si="57"/>
        <v>#N/A</v>
      </c>
      <c r="T110" s="68">
        <f t="shared" ca="1" si="58"/>
        <v>1</v>
      </c>
      <c r="U110" s="68" t="e">
        <f t="shared" ca="1" si="59"/>
        <v>#N/A</v>
      </c>
      <c r="V110" s="5">
        <f t="shared" ca="1" si="38"/>
        <v>1</v>
      </c>
      <c r="W110" s="5" t="e">
        <f t="shared" ca="1" si="52"/>
        <v>#N/A</v>
      </c>
      <c r="X110" s="68">
        <f t="shared" ca="1" si="53"/>
        <v>-1</v>
      </c>
      <c r="Y110" s="68" t="e">
        <f t="shared" ca="1" si="60"/>
        <v>#N/A</v>
      </c>
      <c r="Z110" s="68" t="e">
        <f t="shared" ca="1" si="61"/>
        <v>#N/A</v>
      </c>
      <c r="AA110" s="5" t="str">
        <f>IF(Setup!$I$15="Yes",'Demand background (hide)'!AJ98+'SPC background (hide)'!C110,"")</f>
        <v/>
      </c>
      <c r="AC110" s="5">
        <f t="shared" ca="1" si="54"/>
        <v>551.5</v>
      </c>
      <c r="AD110" s="5">
        <f t="shared" ca="1" si="55"/>
        <v>664</v>
      </c>
    </row>
    <row r="111" spans="1:30" x14ac:dyDescent="0.2">
      <c r="A111" s="68">
        <f ca="1">Demand!C108</f>
        <v>4</v>
      </c>
      <c r="B111" s="68">
        <v>96</v>
      </c>
      <c r="C111" s="5">
        <f ca="1">'Demand background (hide)'!Y99</f>
        <v>630</v>
      </c>
      <c r="D111" s="68">
        <f t="shared" si="39"/>
        <v>0</v>
      </c>
      <c r="E111" s="68" t="e">
        <f t="shared" ca="1" si="40"/>
        <v>#N/A</v>
      </c>
      <c r="F111" s="68" t="e">
        <f t="shared" ca="1" si="41"/>
        <v>#N/A</v>
      </c>
      <c r="G111" s="68" t="e">
        <f t="shared" ca="1" si="42"/>
        <v>#N/A</v>
      </c>
      <c r="H111" s="68" t="e">
        <f>IF('Demand background (hide)'!AN99&lt;&gt;"",'SPC background (hide)'!C111,NA())</f>
        <v>#N/A</v>
      </c>
      <c r="I111" s="68">
        <f t="shared" ca="1" si="43"/>
        <v>1</v>
      </c>
      <c r="J111" s="5">
        <f t="shared" ca="1" si="44"/>
        <v>69.979541734860845</v>
      </c>
      <c r="K111" s="5">
        <f t="shared" ca="1" si="45"/>
        <v>211.65302782324056</v>
      </c>
      <c r="L111" s="5">
        <f t="shared" ca="1" si="46"/>
        <v>353.32651391162028</v>
      </c>
      <c r="M111" s="5">
        <f t="shared" ca="1" si="47"/>
        <v>495</v>
      </c>
      <c r="N111" s="5">
        <f t="shared" ca="1" si="48"/>
        <v>636.67348608837972</v>
      </c>
      <c r="O111" s="5">
        <f t="shared" ca="1" si="49"/>
        <v>778.34697217675944</v>
      </c>
      <c r="P111" s="5">
        <f t="shared" ca="1" si="50"/>
        <v>920.02045826513915</v>
      </c>
      <c r="Q111" s="5" t="e">
        <f t="shared" ca="1" si="51"/>
        <v>#N/A</v>
      </c>
      <c r="R111" s="5">
        <f t="shared" ca="1" si="56"/>
        <v>1</v>
      </c>
      <c r="S111" s="68" t="e">
        <f t="shared" ca="1" si="57"/>
        <v>#N/A</v>
      </c>
      <c r="T111" s="68">
        <f t="shared" ca="1" si="58"/>
        <v>1</v>
      </c>
      <c r="U111" s="68" t="e">
        <f t="shared" ca="1" si="59"/>
        <v>#N/A</v>
      </c>
      <c r="V111" s="5">
        <f t="shared" ca="1" si="38"/>
        <v>1</v>
      </c>
      <c r="W111" s="5" t="e">
        <f t="shared" ca="1" si="52"/>
        <v>#N/A</v>
      </c>
      <c r="X111" s="68">
        <f t="shared" ca="1" si="53"/>
        <v>1</v>
      </c>
      <c r="Y111" s="68" t="e">
        <f t="shared" ca="1" si="60"/>
        <v>#N/A</v>
      </c>
      <c r="Z111" s="68" t="e">
        <f t="shared" ca="1" si="61"/>
        <v>#N/A</v>
      </c>
      <c r="AA111" s="5" t="str">
        <f>IF(Setup!$I$15="Yes",'Demand background (hide)'!AJ99+'SPC background (hide)'!C111,"")</f>
        <v/>
      </c>
      <c r="AC111" s="5">
        <f t="shared" ca="1" si="54"/>
        <v>551.5</v>
      </c>
      <c r="AD111" s="5">
        <f t="shared" ca="1" si="55"/>
        <v>664</v>
      </c>
    </row>
    <row r="112" spans="1:30" x14ac:dyDescent="0.2">
      <c r="A112" s="68">
        <f ca="1">Demand!C109</f>
        <v>5</v>
      </c>
      <c r="B112" s="68">
        <v>97</v>
      </c>
      <c r="C112" s="5">
        <f ca="1">'Demand background (hide)'!Y100</f>
        <v>550</v>
      </c>
      <c r="D112" s="68">
        <f t="shared" si="39"/>
        <v>0</v>
      </c>
      <c r="E112" s="68" t="e">
        <f t="shared" ca="1" si="40"/>
        <v>#N/A</v>
      </c>
      <c r="F112" s="68" t="e">
        <f t="shared" ca="1" si="41"/>
        <v>#N/A</v>
      </c>
      <c r="G112" s="68" t="e">
        <f t="shared" ca="1" si="42"/>
        <v>#N/A</v>
      </c>
      <c r="H112" s="68" t="e">
        <f>IF('Demand background (hide)'!AN100&lt;&gt;"",'SPC background (hide)'!C112,NA())</f>
        <v>#N/A</v>
      </c>
      <c r="I112" s="68">
        <f t="shared" ca="1" si="43"/>
        <v>1</v>
      </c>
      <c r="J112" s="5">
        <f t="shared" ca="1" si="44"/>
        <v>69.979541734860845</v>
      </c>
      <c r="K112" s="5">
        <f t="shared" ca="1" si="45"/>
        <v>211.65302782324056</v>
      </c>
      <c r="L112" s="5">
        <f t="shared" ca="1" si="46"/>
        <v>353.32651391162028</v>
      </c>
      <c r="M112" s="5">
        <f t="shared" ca="1" si="47"/>
        <v>495</v>
      </c>
      <c r="N112" s="5">
        <f t="shared" ca="1" si="48"/>
        <v>636.67348608837972</v>
      </c>
      <c r="O112" s="5">
        <f t="shared" ca="1" si="49"/>
        <v>778.34697217675944</v>
      </c>
      <c r="P112" s="5">
        <f t="shared" ca="1" si="50"/>
        <v>920.02045826513915</v>
      </c>
      <c r="Q112" s="5" t="e">
        <f t="shared" ca="1" si="51"/>
        <v>#N/A</v>
      </c>
      <c r="R112" s="5">
        <f t="shared" ca="1" si="56"/>
        <v>1</v>
      </c>
      <c r="S112" s="68" t="e">
        <f t="shared" ca="1" si="57"/>
        <v>#N/A</v>
      </c>
      <c r="T112" s="68">
        <f t="shared" ca="1" si="58"/>
        <v>1</v>
      </c>
      <c r="U112" s="68" t="e">
        <f t="shared" ca="1" si="59"/>
        <v>#N/A</v>
      </c>
      <c r="V112" s="5">
        <f t="shared" ca="1" si="38"/>
        <v>1</v>
      </c>
      <c r="W112" s="5" t="e">
        <f t="shared" ca="1" si="52"/>
        <v>#N/A</v>
      </c>
      <c r="X112" s="68">
        <f t="shared" ca="1" si="53"/>
        <v>-1</v>
      </c>
      <c r="Y112" s="68" t="e">
        <f t="shared" ca="1" si="60"/>
        <v>#N/A</v>
      </c>
      <c r="Z112" s="68" t="e">
        <f t="shared" ca="1" si="61"/>
        <v>#N/A</v>
      </c>
      <c r="AA112" s="5" t="str">
        <f>IF(Setup!$I$15="Yes",'Demand background (hide)'!AJ100+'SPC background (hide)'!C112,"")</f>
        <v/>
      </c>
      <c r="AC112" s="5">
        <f t="shared" ca="1" si="54"/>
        <v>551.5</v>
      </c>
      <c r="AD112" s="5">
        <f t="shared" ca="1" si="55"/>
        <v>664</v>
      </c>
    </row>
    <row r="113" spans="1:30" x14ac:dyDescent="0.2">
      <c r="A113" s="68">
        <f ca="1">Demand!C110</f>
        <v>6</v>
      </c>
      <c r="B113" s="68">
        <v>98</v>
      </c>
      <c r="C113" s="5">
        <f ca="1">'Demand background (hide)'!Y101</f>
        <v>350</v>
      </c>
      <c r="D113" s="68">
        <f t="shared" si="39"/>
        <v>0</v>
      </c>
      <c r="E113" s="68" t="e">
        <f t="shared" ca="1" si="40"/>
        <v>#N/A</v>
      </c>
      <c r="F113" s="68" t="e">
        <f t="shared" ca="1" si="41"/>
        <v>#N/A</v>
      </c>
      <c r="G113" s="68" t="e">
        <f t="shared" ca="1" si="42"/>
        <v>#N/A</v>
      </c>
      <c r="H113" s="68" t="e">
        <f>IF('Demand background (hide)'!AN101&lt;&gt;"",'SPC background (hide)'!C113,NA())</f>
        <v>#N/A</v>
      </c>
      <c r="I113" s="68">
        <f t="shared" ca="1" si="43"/>
        <v>5</v>
      </c>
      <c r="J113" s="5">
        <f t="shared" ca="1" si="44"/>
        <v>69.979541734860845</v>
      </c>
      <c r="K113" s="5">
        <f t="shared" ca="1" si="45"/>
        <v>211.65302782324056</v>
      </c>
      <c r="L113" s="5">
        <f t="shared" ca="1" si="46"/>
        <v>353.32651391162028</v>
      </c>
      <c r="M113" s="5">
        <f t="shared" ca="1" si="47"/>
        <v>495</v>
      </c>
      <c r="N113" s="5">
        <f t="shared" ca="1" si="48"/>
        <v>636.67348608837972</v>
      </c>
      <c r="O113" s="5">
        <f t="shared" ca="1" si="49"/>
        <v>778.34697217675944</v>
      </c>
      <c r="P113" s="5">
        <f t="shared" ca="1" si="50"/>
        <v>920.02045826513915</v>
      </c>
      <c r="Q113" s="5" t="e">
        <f t="shared" ca="1" si="51"/>
        <v>#N/A</v>
      </c>
      <c r="R113" s="5">
        <f t="shared" ca="1" si="56"/>
        <v>-1</v>
      </c>
      <c r="S113" s="68" t="e">
        <f t="shared" ca="1" si="57"/>
        <v>#N/A</v>
      </c>
      <c r="T113" s="68">
        <f t="shared" ca="1" si="58"/>
        <v>-2</v>
      </c>
      <c r="U113" s="68" t="e">
        <f t="shared" ca="1" si="59"/>
        <v>#N/A</v>
      </c>
      <c r="V113" s="5">
        <f t="shared" ca="1" si="38"/>
        <v>-1</v>
      </c>
      <c r="W113" s="5" t="e">
        <f t="shared" ca="1" si="52"/>
        <v>#N/A</v>
      </c>
      <c r="X113" s="68">
        <f t="shared" ca="1" si="53"/>
        <v>-1</v>
      </c>
      <c r="Y113" s="68" t="e">
        <f t="shared" ca="1" si="60"/>
        <v>#N/A</v>
      </c>
      <c r="Z113" s="68" t="e">
        <f t="shared" ca="1" si="61"/>
        <v>#N/A</v>
      </c>
      <c r="AA113" s="5" t="str">
        <f>IF(Setup!$I$15="Yes",'Demand background (hide)'!AJ101+'SPC background (hide)'!C113,"")</f>
        <v/>
      </c>
      <c r="AC113" s="5">
        <f t="shared" ca="1" si="54"/>
        <v>551.5</v>
      </c>
      <c r="AD113" s="5">
        <f t="shared" ca="1" si="55"/>
        <v>664</v>
      </c>
    </row>
    <row r="114" spans="1:30" x14ac:dyDescent="0.2">
      <c r="A114" s="68">
        <f ca="1">Demand!C111</f>
        <v>7</v>
      </c>
      <c r="B114" s="68">
        <v>99</v>
      </c>
      <c r="C114" s="5">
        <f ca="1">'Demand background (hide)'!Y102</f>
        <v>410</v>
      </c>
      <c r="D114" s="68">
        <f t="shared" si="39"/>
        <v>1</v>
      </c>
      <c r="E114" s="68" t="e">
        <f t="shared" ca="1" si="40"/>
        <v>#N/A</v>
      </c>
      <c r="F114" s="68" t="e">
        <f t="shared" ca="1" si="41"/>
        <v>#N/A</v>
      </c>
      <c r="G114" s="68" t="e">
        <f t="shared" ca="1" si="42"/>
        <v>#N/A</v>
      </c>
      <c r="H114" s="68" t="e">
        <f>IF('Demand background (hide)'!AN102&lt;&gt;"",'SPC background (hide)'!C114,NA())</f>
        <v>#N/A</v>
      </c>
      <c r="I114" s="68">
        <f t="shared" ca="1" si="43"/>
        <v>1</v>
      </c>
      <c r="J114" s="5">
        <f t="shared" ca="1" si="44"/>
        <v>69.979541734860845</v>
      </c>
      <c r="K114" s="5">
        <f t="shared" ca="1" si="45"/>
        <v>211.65302782324056</v>
      </c>
      <c r="L114" s="5">
        <f t="shared" ca="1" si="46"/>
        <v>353.32651391162028</v>
      </c>
      <c r="M114" s="5">
        <f t="shared" ca="1" si="47"/>
        <v>495</v>
      </c>
      <c r="N114" s="5">
        <f t="shared" ca="1" si="48"/>
        <v>636.67348608837972</v>
      </c>
      <c r="O114" s="5">
        <f t="shared" ca="1" si="49"/>
        <v>778.34697217675944</v>
      </c>
      <c r="P114" s="5">
        <f t="shared" ca="1" si="50"/>
        <v>920.02045826513915</v>
      </c>
      <c r="Q114" s="5" t="e">
        <f t="shared" ca="1" si="51"/>
        <v>#N/A</v>
      </c>
      <c r="R114" s="5">
        <f t="shared" ca="1" si="56"/>
        <v>-1</v>
      </c>
      <c r="S114" s="68" t="e">
        <f t="shared" ca="1" si="57"/>
        <v>#N/A</v>
      </c>
      <c r="T114" s="68">
        <f t="shared" ca="1" si="58"/>
        <v>-1</v>
      </c>
      <c r="U114" s="68" t="e">
        <f t="shared" ca="1" si="59"/>
        <v>#N/A</v>
      </c>
      <c r="V114" s="5">
        <f t="shared" ca="1" si="38"/>
        <v>-1</v>
      </c>
      <c r="W114" s="5" t="e">
        <f t="shared" ca="1" si="52"/>
        <v>#N/A</v>
      </c>
      <c r="X114" s="68">
        <f t="shared" ca="1" si="53"/>
        <v>1</v>
      </c>
      <c r="Y114" s="68" t="e">
        <f t="shared" ca="1" si="60"/>
        <v>#N/A</v>
      </c>
      <c r="Z114" s="68" t="e">
        <f t="shared" ca="1" si="61"/>
        <v>#N/A</v>
      </c>
      <c r="AA114" s="5" t="str">
        <f>IF(Setup!$I$15="Yes",'Demand background (hide)'!AJ102+'SPC background (hide)'!C114,"")</f>
        <v/>
      </c>
      <c r="AC114" s="5">
        <f t="shared" ca="1" si="54"/>
        <v>551.5</v>
      </c>
      <c r="AD114" s="5">
        <f t="shared" ca="1" si="55"/>
        <v>664</v>
      </c>
    </row>
    <row r="115" spans="1:30" x14ac:dyDescent="0.2">
      <c r="A115" s="68">
        <f ca="1">Demand!C112</f>
        <v>8</v>
      </c>
      <c r="B115" s="68">
        <v>100</v>
      </c>
      <c r="C115" s="5">
        <f ca="1">'Demand background (hide)'!Y103</f>
        <v>450</v>
      </c>
      <c r="D115" s="68">
        <f t="shared" si="39"/>
        <v>1</v>
      </c>
      <c r="E115" s="68" t="e">
        <f t="shared" ca="1" si="40"/>
        <v>#N/A</v>
      </c>
      <c r="F115" s="68" t="e">
        <f t="shared" ca="1" si="41"/>
        <v>#N/A</v>
      </c>
      <c r="G115" s="68" t="e">
        <f t="shared" ca="1" si="42"/>
        <v>#N/A</v>
      </c>
      <c r="H115" s="68" t="e">
        <f>IF('Demand background (hide)'!AN103&lt;&gt;"",'SPC background (hide)'!C115,NA())</f>
        <v>#N/A</v>
      </c>
      <c r="I115" s="68">
        <f t="shared" ca="1" si="43"/>
        <v>1</v>
      </c>
      <c r="J115" s="5">
        <f t="shared" ca="1" si="44"/>
        <v>69.979541734860845</v>
      </c>
      <c r="K115" s="5">
        <f t="shared" ca="1" si="45"/>
        <v>211.65302782324056</v>
      </c>
      <c r="L115" s="5">
        <f t="shared" ca="1" si="46"/>
        <v>353.32651391162028</v>
      </c>
      <c r="M115" s="5">
        <f t="shared" ca="1" si="47"/>
        <v>495</v>
      </c>
      <c r="N115" s="5">
        <f t="shared" ca="1" si="48"/>
        <v>636.67348608837972</v>
      </c>
      <c r="O115" s="5">
        <f t="shared" ca="1" si="49"/>
        <v>778.34697217675944</v>
      </c>
      <c r="P115" s="5">
        <f t="shared" ca="1" si="50"/>
        <v>920.02045826513915</v>
      </c>
      <c r="Q115" s="5" t="e">
        <f t="shared" ca="1" si="51"/>
        <v>#N/A</v>
      </c>
      <c r="R115" s="5">
        <f t="shared" ca="1" si="56"/>
        <v>-1</v>
      </c>
      <c r="S115" s="68" t="e">
        <f t="shared" ca="1" si="57"/>
        <v>#N/A</v>
      </c>
      <c r="T115" s="68">
        <f t="shared" ca="1" si="58"/>
        <v>-1</v>
      </c>
      <c r="U115" s="68" t="e">
        <f t="shared" ca="1" si="59"/>
        <v>#N/A</v>
      </c>
      <c r="V115" s="5">
        <f t="shared" ca="1" si="38"/>
        <v>-1</v>
      </c>
      <c r="W115" s="5" t="e">
        <f t="shared" ca="1" si="52"/>
        <v>#N/A</v>
      </c>
      <c r="X115" s="68">
        <f t="shared" ca="1" si="53"/>
        <v>1</v>
      </c>
      <c r="Y115" s="68" t="e">
        <f t="shared" ca="1" si="60"/>
        <v>#N/A</v>
      </c>
      <c r="Z115" s="68" t="e">
        <f t="shared" ca="1" si="61"/>
        <v>#N/A</v>
      </c>
      <c r="AA115" s="5" t="str">
        <f>IF(Setup!$I$15="Yes",'Demand background (hide)'!AJ103+'SPC background (hide)'!C115,"")</f>
        <v/>
      </c>
      <c r="AC115" s="5">
        <f t="shared" ca="1" si="54"/>
        <v>551.5</v>
      </c>
      <c r="AD115" s="5">
        <f t="shared" ca="1" si="55"/>
        <v>664</v>
      </c>
    </row>
    <row r="116" spans="1:30" x14ac:dyDescent="0.2">
      <c r="A116" s="68">
        <f ca="1">Demand!C113</f>
        <v>9</v>
      </c>
      <c r="B116" s="68">
        <v>101</v>
      </c>
      <c r="C116" s="5">
        <f ca="1">'Demand background (hide)'!Y104</f>
        <v>270</v>
      </c>
      <c r="D116" s="68">
        <f t="shared" si="39"/>
        <v>1</v>
      </c>
      <c r="E116" s="68" t="e">
        <f t="shared" ca="1" si="40"/>
        <v>#N/A</v>
      </c>
      <c r="F116" s="68" t="e">
        <f t="shared" ca="1" si="41"/>
        <v>#N/A</v>
      </c>
      <c r="G116" s="68" t="e">
        <f t="shared" ca="1" si="42"/>
        <v>#N/A</v>
      </c>
      <c r="H116" s="68" t="e">
        <f>IF('Demand background (hide)'!AN104&lt;&gt;"",'SPC background (hide)'!C116,NA())</f>
        <v>#N/A</v>
      </c>
      <c r="I116" s="68">
        <f t="shared" ca="1" si="43"/>
        <v>1</v>
      </c>
      <c r="J116" s="5">
        <f t="shared" ca="1" si="44"/>
        <v>69.979541734860845</v>
      </c>
      <c r="K116" s="5">
        <f t="shared" ca="1" si="45"/>
        <v>211.65302782324056</v>
      </c>
      <c r="L116" s="5">
        <f t="shared" ca="1" si="46"/>
        <v>353.32651391162028</v>
      </c>
      <c r="M116" s="5">
        <f t="shared" ca="1" si="47"/>
        <v>495</v>
      </c>
      <c r="N116" s="5">
        <f t="shared" ca="1" si="48"/>
        <v>636.67348608837972</v>
      </c>
      <c r="O116" s="5">
        <f t="shared" ca="1" si="49"/>
        <v>778.34697217675944</v>
      </c>
      <c r="P116" s="5">
        <f t="shared" ca="1" si="50"/>
        <v>920.02045826513915</v>
      </c>
      <c r="Q116" s="5" t="e">
        <f t="shared" ca="1" si="51"/>
        <v>#N/A</v>
      </c>
      <c r="R116" s="5">
        <f t="shared" ca="1" si="56"/>
        <v>-1</v>
      </c>
      <c r="S116" s="68" t="e">
        <f t="shared" ca="1" si="57"/>
        <v>#N/A</v>
      </c>
      <c r="T116" s="68">
        <f t="shared" ca="1" si="58"/>
        <v>-2</v>
      </c>
      <c r="U116" s="68" t="e">
        <f t="shared" ca="1" si="59"/>
        <v>#N/A</v>
      </c>
      <c r="V116" s="5">
        <f t="shared" ca="1" si="38"/>
        <v>-1</v>
      </c>
      <c r="W116" s="5" t="e">
        <f t="shared" ca="1" si="52"/>
        <v>#N/A</v>
      </c>
      <c r="X116" s="68">
        <f t="shared" ca="1" si="53"/>
        <v>-1</v>
      </c>
      <c r="Y116" s="68" t="e">
        <f t="shared" ca="1" si="60"/>
        <v>#N/A</v>
      </c>
      <c r="Z116" s="68" t="e">
        <f t="shared" ca="1" si="61"/>
        <v>#N/A</v>
      </c>
      <c r="AA116" s="5" t="str">
        <f>IF(Setup!$I$15="Yes",'Demand background (hide)'!AJ104+'SPC background (hide)'!C116,"")</f>
        <v/>
      </c>
      <c r="AC116" s="5">
        <f t="shared" ca="1" si="54"/>
        <v>551.5</v>
      </c>
      <c r="AD116" s="5">
        <f t="shared" ca="1" si="55"/>
        <v>664</v>
      </c>
    </row>
    <row r="117" spans="1:30" x14ac:dyDescent="0.2">
      <c r="A117" s="68">
        <f ca="1">Demand!C114</f>
        <v>10</v>
      </c>
      <c r="B117" s="68">
        <v>102</v>
      </c>
      <c r="C117" s="5">
        <f ca="1">'Demand background (hide)'!Y105</f>
        <v>780</v>
      </c>
      <c r="D117" s="68">
        <f t="shared" si="39"/>
        <v>1</v>
      </c>
      <c r="E117" s="68" t="e">
        <f t="shared" ca="1" si="40"/>
        <v>#N/A</v>
      </c>
      <c r="F117" s="68" t="e">
        <f t="shared" ca="1" si="41"/>
        <v>#N/A</v>
      </c>
      <c r="G117" s="68" t="e">
        <f t="shared" ca="1" si="42"/>
        <v>#N/A</v>
      </c>
      <c r="H117" s="68" t="e">
        <f>IF('Demand background (hide)'!AN105&lt;&gt;"",'SPC background (hide)'!C117,NA())</f>
        <v>#N/A</v>
      </c>
      <c r="I117" s="68">
        <f t="shared" ca="1" si="43"/>
        <v>1</v>
      </c>
      <c r="J117" s="5">
        <f t="shared" ca="1" si="44"/>
        <v>69.979541734860845</v>
      </c>
      <c r="K117" s="5">
        <f t="shared" ca="1" si="45"/>
        <v>211.65302782324056</v>
      </c>
      <c r="L117" s="5">
        <f t="shared" ca="1" si="46"/>
        <v>353.32651391162028</v>
      </c>
      <c r="M117" s="5">
        <f t="shared" ca="1" si="47"/>
        <v>495</v>
      </c>
      <c r="N117" s="5">
        <f t="shared" ca="1" si="48"/>
        <v>636.67348608837972</v>
      </c>
      <c r="O117" s="5">
        <f t="shared" ca="1" si="49"/>
        <v>778.34697217675944</v>
      </c>
      <c r="P117" s="5">
        <f t="shared" ca="1" si="50"/>
        <v>920.02045826513915</v>
      </c>
      <c r="Q117" s="5" t="e">
        <f t="shared" ca="1" si="51"/>
        <v>#N/A</v>
      </c>
      <c r="R117" s="5">
        <f t="shared" ca="1" si="56"/>
        <v>2</v>
      </c>
      <c r="S117" s="68" t="e">
        <f t="shared" ca="1" si="57"/>
        <v>#N/A</v>
      </c>
      <c r="T117" s="68">
        <f t="shared" ca="1" si="58"/>
        <v>2</v>
      </c>
      <c r="U117" s="68" t="e">
        <f t="shared" ca="1" si="59"/>
        <v>#N/A</v>
      </c>
      <c r="V117" s="5">
        <f t="shared" ca="1" si="38"/>
        <v>1</v>
      </c>
      <c r="W117" s="5" t="e">
        <f t="shared" ca="1" si="52"/>
        <v>#N/A</v>
      </c>
      <c r="X117" s="68">
        <f t="shared" ca="1" si="53"/>
        <v>1</v>
      </c>
      <c r="Y117" s="68" t="e">
        <f t="shared" ca="1" si="60"/>
        <v>#N/A</v>
      </c>
      <c r="Z117" s="68" t="e">
        <f t="shared" ca="1" si="61"/>
        <v>#N/A</v>
      </c>
      <c r="AA117" s="5" t="str">
        <f>IF(Setup!$I$15="Yes",'Demand background (hide)'!AJ105+'SPC background (hide)'!C117,"")</f>
        <v/>
      </c>
      <c r="AC117" s="5">
        <f t="shared" ca="1" si="54"/>
        <v>551.5</v>
      </c>
      <c r="AD117" s="5">
        <f t="shared" ca="1" si="55"/>
        <v>664</v>
      </c>
    </row>
    <row r="118" spans="1:30" x14ac:dyDescent="0.2">
      <c r="A118" s="68">
        <f ca="1">Demand!C115</f>
        <v>11</v>
      </c>
      <c r="B118" s="68">
        <v>103</v>
      </c>
      <c r="C118" s="5">
        <f ca="1">'Demand background (hide)'!Y106</f>
        <v>740</v>
      </c>
      <c r="D118" s="68">
        <f t="shared" si="39"/>
        <v>1</v>
      </c>
      <c r="E118" s="68" t="e">
        <f t="shared" ca="1" si="40"/>
        <v>#N/A</v>
      </c>
      <c r="F118" s="68" t="e">
        <f t="shared" ca="1" si="41"/>
        <v>#N/A</v>
      </c>
      <c r="G118" s="68" t="e">
        <f t="shared" ca="1" si="42"/>
        <v>#N/A</v>
      </c>
      <c r="H118" s="68" t="e">
        <f>IF('Demand background (hide)'!AN106&lt;&gt;"",'SPC background (hide)'!C118,NA())</f>
        <v>#N/A</v>
      </c>
      <c r="I118" s="68">
        <f t="shared" ca="1" si="43"/>
        <v>1</v>
      </c>
      <c r="J118" s="5">
        <f t="shared" ca="1" si="44"/>
        <v>69.979541734860845</v>
      </c>
      <c r="K118" s="5">
        <f t="shared" ca="1" si="45"/>
        <v>211.65302782324056</v>
      </c>
      <c r="L118" s="5">
        <f t="shared" ca="1" si="46"/>
        <v>353.32651391162028</v>
      </c>
      <c r="M118" s="5">
        <f t="shared" ca="1" si="47"/>
        <v>495</v>
      </c>
      <c r="N118" s="5">
        <f t="shared" ca="1" si="48"/>
        <v>636.67348608837972</v>
      </c>
      <c r="O118" s="5">
        <f t="shared" ca="1" si="49"/>
        <v>778.34697217675944</v>
      </c>
      <c r="P118" s="5">
        <f t="shared" ca="1" si="50"/>
        <v>920.02045826513915</v>
      </c>
      <c r="Q118" s="5" t="e">
        <f t="shared" ca="1" si="51"/>
        <v>#N/A</v>
      </c>
      <c r="R118" s="5">
        <f t="shared" ca="1" si="56"/>
        <v>1</v>
      </c>
      <c r="S118" s="68" t="e">
        <f t="shared" ca="1" si="57"/>
        <v>#N/A</v>
      </c>
      <c r="T118" s="68">
        <f t="shared" ca="1" si="58"/>
        <v>2</v>
      </c>
      <c r="U118" s="68" t="e">
        <f t="shared" ca="1" si="59"/>
        <v>#N/A</v>
      </c>
      <c r="V118" s="5">
        <f t="shared" ca="1" si="38"/>
        <v>1</v>
      </c>
      <c r="W118" s="5" t="e">
        <f t="shared" ca="1" si="52"/>
        <v>#N/A</v>
      </c>
      <c r="X118" s="68">
        <f t="shared" ca="1" si="53"/>
        <v>-1</v>
      </c>
      <c r="Y118" s="68" t="e">
        <f t="shared" ca="1" si="60"/>
        <v>#N/A</v>
      </c>
      <c r="Z118" s="68" t="e">
        <f t="shared" ca="1" si="61"/>
        <v>#N/A</v>
      </c>
      <c r="AA118" s="5" t="str">
        <f>IF(Setup!$I$15="Yes",'Demand background (hide)'!AJ106+'SPC background (hide)'!C118,"")</f>
        <v/>
      </c>
      <c r="AC118" s="5">
        <f t="shared" ca="1" si="54"/>
        <v>551.5</v>
      </c>
      <c r="AD118" s="5">
        <f t="shared" ca="1" si="55"/>
        <v>664</v>
      </c>
    </row>
    <row r="119" spans="1:30" x14ac:dyDescent="0.2">
      <c r="A119" s="68">
        <f ca="1">Demand!C116</f>
        <v>12</v>
      </c>
      <c r="B119" s="68">
        <v>104</v>
      </c>
      <c r="C119" s="5">
        <f ca="1">'Demand background (hide)'!Y107</f>
        <v>510</v>
      </c>
      <c r="D119" s="68">
        <f t="shared" si="39"/>
        <v>1</v>
      </c>
      <c r="E119" s="68" t="e">
        <f t="shared" ca="1" si="40"/>
        <v>#N/A</v>
      </c>
      <c r="F119" s="68" t="e">
        <f t="shared" ca="1" si="41"/>
        <v>#N/A</v>
      </c>
      <c r="G119" s="68" t="e">
        <f t="shared" ca="1" si="42"/>
        <v>#N/A</v>
      </c>
      <c r="H119" s="68" t="e">
        <f>IF('Demand background (hide)'!AN107&lt;&gt;"",'SPC background (hide)'!C119,NA())</f>
        <v>#N/A</v>
      </c>
      <c r="I119" s="68">
        <f t="shared" ca="1" si="43"/>
        <v>1</v>
      </c>
      <c r="J119" s="5">
        <f t="shared" ca="1" si="44"/>
        <v>69.979541734860845</v>
      </c>
      <c r="K119" s="5">
        <f t="shared" ca="1" si="45"/>
        <v>211.65302782324056</v>
      </c>
      <c r="L119" s="5">
        <f t="shared" ca="1" si="46"/>
        <v>353.32651391162028</v>
      </c>
      <c r="M119" s="5">
        <f t="shared" ca="1" si="47"/>
        <v>495</v>
      </c>
      <c r="N119" s="5">
        <f t="shared" ca="1" si="48"/>
        <v>636.67348608837972</v>
      </c>
      <c r="O119" s="5">
        <f t="shared" ca="1" si="49"/>
        <v>778.34697217675944</v>
      </c>
      <c r="P119" s="5">
        <f t="shared" ca="1" si="50"/>
        <v>920.02045826513915</v>
      </c>
      <c r="Q119" s="5" t="e">
        <f t="shared" ca="1" si="51"/>
        <v>#N/A</v>
      </c>
      <c r="R119" s="5">
        <f t="shared" ca="1" si="56"/>
        <v>1</v>
      </c>
      <c r="S119" s="68" t="e">
        <f t="shared" ca="1" si="57"/>
        <v>#N/A</v>
      </c>
      <c r="T119" s="68">
        <f t="shared" ca="1" si="58"/>
        <v>1</v>
      </c>
      <c r="U119" s="68" t="e">
        <f t="shared" ca="1" si="59"/>
        <v>#N/A</v>
      </c>
      <c r="V119" s="5">
        <f t="shared" ca="1" si="38"/>
        <v>1</v>
      </c>
      <c r="W119" s="5" t="e">
        <f t="shared" ca="1" si="52"/>
        <v>#N/A</v>
      </c>
      <c r="X119" s="68">
        <f t="shared" ca="1" si="53"/>
        <v>-1</v>
      </c>
      <c r="Y119" s="68" t="e">
        <f t="shared" ca="1" si="60"/>
        <v>#N/A</v>
      </c>
      <c r="Z119" s="68" t="e">
        <f t="shared" ca="1" si="61"/>
        <v>#N/A</v>
      </c>
      <c r="AA119" s="5" t="str">
        <f>IF(Setup!$I$15="Yes",'Demand background (hide)'!AJ107+'SPC background (hide)'!C119,"")</f>
        <v/>
      </c>
      <c r="AC119" s="5">
        <f t="shared" ca="1" si="54"/>
        <v>551.5</v>
      </c>
      <c r="AD119" s="5">
        <f t="shared" ca="1" si="55"/>
        <v>664</v>
      </c>
    </row>
    <row r="120" spans="1:30" x14ac:dyDescent="0.2">
      <c r="A120" s="68">
        <f ca="1">Demand!C117</f>
        <v>13</v>
      </c>
      <c r="B120" s="68">
        <v>105</v>
      </c>
      <c r="C120" s="5">
        <f ca="1">'Demand background (hide)'!Y108</f>
        <v>390</v>
      </c>
      <c r="D120" s="68">
        <f t="shared" si="39"/>
        <v>1</v>
      </c>
      <c r="E120" s="68" t="e">
        <f t="shared" ca="1" si="40"/>
        <v>#N/A</v>
      </c>
      <c r="F120" s="68" t="e">
        <f t="shared" ca="1" si="41"/>
        <v>#N/A</v>
      </c>
      <c r="G120" s="68" t="e">
        <f t="shared" ca="1" si="42"/>
        <v>#N/A</v>
      </c>
      <c r="H120" s="68" t="e">
        <f>IF('Demand background (hide)'!AN108&lt;&gt;"",'SPC background (hide)'!C120,NA())</f>
        <v>#N/A</v>
      </c>
      <c r="I120" s="68">
        <f t="shared" ca="1" si="43"/>
        <v>1</v>
      </c>
      <c r="J120" s="5">
        <f t="shared" ca="1" si="44"/>
        <v>69.979541734860845</v>
      </c>
      <c r="K120" s="5">
        <f t="shared" ca="1" si="45"/>
        <v>211.65302782324056</v>
      </c>
      <c r="L120" s="5">
        <f t="shared" ca="1" si="46"/>
        <v>353.32651391162028</v>
      </c>
      <c r="M120" s="5">
        <f t="shared" ca="1" si="47"/>
        <v>495</v>
      </c>
      <c r="N120" s="5">
        <f t="shared" ca="1" si="48"/>
        <v>636.67348608837972</v>
      </c>
      <c r="O120" s="5">
        <f t="shared" ca="1" si="49"/>
        <v>778.34697217675944</v>
      </c>
      <c r="P120" s="5">
        <f t="shared" ca="1" si="50"/>
        <v>920.02045826513915</v>
      </c>
      <c r="Q120" s="5" t="e">
        <f t="shared" ca="1" si="51"/>
        <v>#N/A</v>
      </c>
      <c r="R120" s="5">
        <f t="shared" ca="1" si="56"/>
        <v>-1</v>
      </c>
      <c r="S120" s="68" t="e">
        <f t="shared" ca="1" si="57"/>
        <v>#N/A</v>
      </c>
      <c r="T120" s="68">
        <f t="shared" ca="1" si="58"/>
        <v>-1</v>
      </c>
      <c r="U120" s="68" t="e">
        <f t="shared" ca="1" si="59"/>
        <v>#N/A</v>
      </c>
      <c r="V120" s="5">
        <f t="shared" ca="1" si="38"/>
        <v>-1</v>
      </c>
      <c r="W120" s="5" t="e">
        <f t="shared" ca="1" si="52"/>
        <v>#N/A</v>
      </c>
      <c r="X120" s="68">
        <f t="shared" ca="1" si="53"/>
        <v>-1</v>
      </c>
      <c r="Y120" s="68" t="e">
        <f t="shared" ca="1" si="60"/>
        <v>#N/A</v>
      </c>
      <c r="Z120" s="68" t="e">
        <f t="shared" ca="1" si="61"/>
        <v>#N/A</v>
      </c>
      <c r="AA120" s="5" t="str">
        <f>IF(Setup!$I$15="Yes",'Demand background (hide)'!AJ108+'SPC background (hide)'!C120,"")</f>
        <v/>
      </c>
      <c r="AC120" s="5">
        <f t="shared" ca="1" si="54"/>
        <v>551.5</v>
      </c>
      <c r="AD120" s="5">
        <f t="shared" ca="1" si="55"/>
        <v>664</v>
      </c>
    </row>
    <row r="121" spans="1:30" x14ac:dyDescent="0.2">
      <c r="A121" s="68">
        <f ca="1">Demand!C118</f>
        <v>14</v>
      </c>
      <c r="B121" s="68">
        <v>106</v>
      </c>
      <c r="C121" s="5">
        <f ca="1">'Demand background (hide)'!Y109</f>
        <v>270</v>
      </c>
      <c r="D121" s="68">
        <f t="shared" si="39"/>
        <v>1</v>
      </c>
      <c r="E121" s="68" t="e">
        <f t="shared" ca="1" si="40"/>
        <v>#N/A</v>
      </c>
      <c r="F121" s="68" t="e">
        <f t="shared" ca="1" si="41"/>
        <v>#N/A</v>
      </c>
      <c r="G121" s="68" t="e">
        <f t="shared" ca="1" si="42"/>
        <v>#N/A</v>
      </c>
      <c r="H121" s="68" t="e">
        <f>IF('Demand background (hide)'!AN109&lt;&gt;"",'SPC background (hide)'!C121,NA())</f>
        <v>#N/A</v>
      </c>
      <c r="I121" s="68">
        <f t="shared" ca="1" si="43"/>
        <v>1</v>
      </c>
      <c r="J121" s="5">
        <f t="shared" ca="1" si="44"/>
        <v>69.979541734860845</v>
      </c>
      <c r="K121" s="5">
        <f t="shared" ca="1" si="45"/>
        <v>211.65302782324056</v>
      </c>
      <c r="L121" s="5">
        <f t="shared" ca="1" si="46"/>
        <v>353.32651391162028</v>
      </c>
      <c r="M121" s="5">
        <f t="shared" ca="1" si="47"/>
        <v>495</v>
      </c>
      <c r="N121" s="5">
        <f t="shared" ca="1" si="48"/>
        <v>636.67348608837972</v>
      </c>
      <c r="O121" s="5">
        <f t="shared" ca="1" si="49"/>
        <v>778.34697217675944</v>
      </c>
      <c r="P121" s="5">
        <f t="shared" ca="1" si="50"/>
        <v>920.02045826513915</v>
      </c>
      <c r="Q121" s="5" t="e">
        <f t="shared" ca="1" si="51"/>
        <v>#N/A</v>
      </c>
      <c r="R121" s="5">
        <f t="shared" ca="1" si="56"/>
        <v>-1</v>
      </c>
      <c r="S121" s="68" t="e">
        <f t="shared" ca="1" si="57"/>
        <v>#N/A</v>
      </c>
      <c r="T121" s="68">
        <f t="shared" ca="1" si="58"/>
        <v>-2</v>
      </c>
      <c r="U121" s="68" t="e">
        <f t="shared" ca="1" si="59"/>
        <v>#N/A</v>
      </c>
      <c r="V121" s="5">
        <f t="shared" ca="1" si="38"/>
        <v>-1</v>
      </c>
      <c r="W121" s="5" t="e">
        <f t="shared" ca="1" si="52"/>
        <v>#N/A</v>
      </c>
      <c r="X121" s="68">
        <f t="shared" ca="1" si="53"/>
        <v>-1</v>
      </c>
      <c r="Y121" s="68" t="e">
        <f t="shared" ca="1" si="60"/>
        <v>#N/A</v>
      </c>
      <c r="Z121" s="68" t="e">
        <f t="shared" ca="1" si="61"/>
        <v>#N/A</v>
      </c>
      <c r="AA121" s="5" t="str">
        <f>IF(Setup!$I$15="Yes",'Demand background (hide)'!AJ109+'SPC background (hide)'!C121,"")</f>
        <v/>
      </c>
      <c r="AC121" s="5">
        <f t="shared" ca="1" si="54"/>
        <v>551.5</v>
      </c>
      <c r="AD121" s="5">
        <f t="shared" ca="1" si="55"/>
        <v>664</v>
      </c>
    </row>
    <row r="122" spans="1:30" x14ac:dyDescent="0.2">
      <c r="A122" s="68">
        <f ca="1">Demand!C119</f>
        <v>15</v>
      </c>
      <c r="B122" s="68">
        <v>107</v>
      </c>
      <c r="C122" s="5">
        <f ca="1">'Demand background (hide)'!Y110</f>
        <v>570</v>
      </c>
      <c r="D122" s="68">
        <f t="shared" si="39"/>
        <v>1</v>
      </c>
      <c r="E122" s="68" t="e">
        <f t="shared" ca="1" si="40"/>
        <v>#N/A</v>
      </c>
      <c r="F122" s="68" t="e">
        <f t="shared" ca="1" si="41"/>
        <v>#N/A</v>
      </c>
      <c r="G122" s="68" t="e">
        <f t="shared" ca="1" si="42"/>
        <v>#N/A</v>
      </c>
      <c r="H122" s="68" t="e">
        <f>IF('Demand background (hide)'!AN110&lt;&gt;"",'SPC background (hide)'!C122,NA())</f>
        <v>#N/A</v>
      </c>
      <c r="I122" s="68">
        <f t="shared" ca="1" si="43"/>
        <v>1</v>
      </c>
      <c r="J122" s="5">
        <f t="shared" ca="1" si="44"/>
        <v>69.979541734860845</v>
      </c>
      <c r="K122" s="5">
        <f t="shared" ca="1" si="45"/>
        <v>211.65302782324056</v>
      </c>
      <c r="L122" s="5">
        <f t="shared" ca="1" si="46"/>
        <v>353.32651391162028</v>
      </c>
      <c r="M122" s="5">
        <f t="shared" ca="1" si="47"/>
        <v>495</v>
      </c>
      <c r="N122" s="5">
        <f t="shared" ca="1" si="48"/>
        <v>636.67348608837972</v>
      </c>
      <c r="O122" s="5">
        <f t="shared" ca="1" si="49"/>
        <v>778.34697217675944</v>
      </c>
      <c r="P122" s="5">
        <f t="shared" ca="1" si="50"/>
        <v>920.02045826513915</v>
      </c>
      <c r="Q122" s="5" t="e">
        <f t="shared" ca="1" si="51"/>
        <v>#N/A</v>
      </c>
      <c r="R122" s="5">
        <f t="shared" ca="1" si="56"/>
        <v>1</v>
      </c>
      <c r="S122" s="68" t="e">
        <f t="shared" ca="1" si="57"/>
        <v>#N/A</v>
      </c>
      <c r="T122" s="68">
        <f t="shared" ca="1" si="58"/>
        <v>1</v>
      </c>
      <c r="U122" s="68" t="e">
        <f t="shared" ca="1" si="59"/>
        <v>#N/A</v>
      </c>
      <c r="V122" s="5">
        <f t="shared" ca="1" si="38"/>
        <v>1</v>
      </c>
      <c r="W122" s="5" t="e">
        <f t="shared" ca="1" si="52"/>
        <v>#N/A</v>
      </c>
      <c r="X122" s="68">
        <f t="shared" ca="1" si="53"/>
        <v>1</v>
      </c>
      <c r="Y122" s="68" t="e">
        <f t="shared" ca="1" si="60"/>
        <v>#N/A</v>
      </c>
      <c r="Z122" s="68" t="e">
        <f t="shared" ca="1" si="61"/>
        <v>#N/A</v>
      </c>
      <c r="AA122" s="5" t="str">
        <f>IF(Setup!$I$15="Yes",'Demand background (hide)'!AJ110+'SPC background (hide)'!C122,"")</f>
        <v/>
      </c>
      <c r="AC122" s="5">
        <f t="shared" ca="1" si="54"/>
        <v>551.5</v>
      </c>
      <c r="AD122" s="5">
        <f t="shared" ca="1" si="55"/>
        <v>664</v>
      </c>
    </row>
    <row r="123" spans="1:30" x14ac:dyDescent="0.2">
      <c r="A123" s="68">
        <f ca="1">Demand!C120</f>
        <v>16</v>
      </c>
      <c r="B123" s="68">
        <v>108</v>
      </c>
      <c r="C123" s="5">
        <f ca="1">'Demand background (hide)'!Y111</f>
        <v>690</v>
      </c>
      <c r="D123" s="68">
        <f t="shared" si="39"/>
        <v>1</v>
      </c>
      <c r="E123" s="68" t="e">
        <f t="shared" ca="1" si="40"/>
        <v>#N/A</v>
      </c>
      <c r="F123" s="68" t="e">
        <f t="shared" ca="1" si="41"/>
        <v>#N/A</v>
      </c>
      <c r="G123" s="68" t="e">
        <f t="shared" ca="1" si="42"/>
        <v>#N/A</v>
      </c>
      <c r="H123" s="68" t="e">
        <f>IF('Demand background (hide)'!AN111&lt;&gt;"",'SPC background (hide)'!C123,NA())</f>
        <v>#N/A</v>
      </c>
      <c r="I123" s="68">
        <f t="shared" ca="1" si="43"/>
        <v>1</v>
      </c>
      <c r="J123" s="5">
        <f t="shared" ca="1" si="44"/>
        <v>69.979541734860845</v>
      </c>
      <c r="K123" s="5">
        <f t="shared" ca="1" si="45"/>
        <v>211.65302782324056</v>
      </c>
      <c r="L123" s="5">
        <f t="shared" ca="1" si="46"/>
        <v>353.32651391162028</v>
      </c>
      <c r="M123" s="5">
        <f t="shared" ca="1" si="47"/>
        <v>495</v>
      </c>
      <c r="N123" s="5">
        <f t="shared" ca="1" si="48"/>
        <v>636.67348608837972</v>
      </c>
      <c r="O123" s="5">
        <f t="shared" ca="1" si="49"/>
        <v>778.34697217675944</v>
      </c>
      <c r="P123" s="5">
        <f t="shared" ca="1" si="50"/>
        <v>920.02045826513915</v>
      </c>
      <c r="Q123" s="5" t="e">
        <f t="shared" ca="1" si="51"/>
        <v>#N/A</v>
      </c>
      <c r="R123" s="5">
        <f t="shared" ca="1" si="56"/>
        <v>1</v>
      </c>
      <c r="S123" s="68" t="e">
        <f t="shared" ca="1" si="57"/>
        <v>#N/A</v>
      </c>
      <c r="T123" s="68">
        <f t="shared" ca="1" si="58"/>
        <v>2</v>
      </c>
      <c r="U123" s="68" t="e">
        <f t="shared" ca="1" si="59"/>
        <v>#N/A</v>
      </c>
      <c r="V123" s="5">
        <f t="shared" ca="1" si="38"/>
        <v>1</v>
      </c>
      <c r="W123" s="5" t="e">
        <f t="shared" ca="1" si="52"/>
        <v>#N/A</v>
      </c>
      <c r="X123" s="68">
        <f t="shared" ca="1" si="53"/>
        <v>1</v>
      </c>
      <c r="Y123" s="68" t="e">
        <f t="shared" ca="1" si="60"/>
        <v>#N/A</v>
      </c>
      <c r="Z123" s="68" t="e">
        <f t="shared" ca="1" si="61"/>
        <v>#N/A</v>
      </c>
      <c r="AA123" s="5" t="str">
        <f>IF(Setup!$I$15="Yes",'Demand background (hide)'!AJ111+'SPC background (hide)'!C123,"")</f>
        <v/>
      </c>
      <c r="AC123" s="5">
        <f t="shared" ca="1" si="54"/>
        <v>551.5</v>
      </c>
      <c r="AD123" s="5">
        <f t="shared" ca="1" si="55"/>
        <v>664</v>
      </c>
    </row>
    <row r="124" spans="1:30" x14ac:dyDescent="0.2">
      <c r="A124" s="68">
        <f ca="1">Demand!C121</f>
        <v>17</v>
      </c>
      <c r="B124" s="68">
        <v>109</v>
      </c>
      <c r="C124" s="5">
        <f ca="1">'Demand background (hide)'!Y112</f>
        <v>410</v>
      </c>
      <c r="D124" s="68">
        <f t="shared" si="39"/>
        <v>1</v>
      </c>
      <c r="E124" s="68" t="e">
        <f t="shared" ca="1" si="40"/>
        <v>#N/A</v>
      </c>
      <c r="F124" s="68" t="e">
        <f t="shared" ca="1" si="41"/>
        <v>#N/A</v>
      </c>
      <c r="G124" s="68" t="e">
        <f t="shared" ca="1" si="42"/>
        <v>#N/A</v>
      </c>
      <c r="H124" s="68" t="e">
        <f>IF('Demand background (hide)'!AN112&lt;&gt;"",'SPC background (hide)'!C124,NA())</f>
        <v>#N/A</v>
      </c>
      <c r="I124" s="68">
        <f t="shared" ca="1" si="43"/>
        <v>1</v>
      </c>
      <c r="J124" s="5">
        <f t="shared" ca="1" si="44"/>
        <v>69.979541734860845</v>
      </c>
      <c r="K124" s="5">
        <f t="shared" ca="1" si="45"/>
        <v>211.65302782324056</v>
      </c>
      <c r="L124" s="5">
        <f t="shared" ca="1" si="46"/>
        <v>353.32651391162028</v>
      </c>
      <c r="M124" s="5">
        <f t="shared" ca="1" si="47"/>
        <v>495</v>
      </c>
      <c r="N124" s="5">
        <f t="shared" ca="1" si="48"/>
        <v>636.67348608837972</v>
      </c>
      <c r="O124" s="5">
        <f t="shared" ca="1" si="49"/>
        <v>778.34697217675944</v>
      </c>
      <c r="P124" s="5">
        <f t="shared" ca="1" si="50"/>
        <v>920.02045826513915</v>
      </c>
      <c r="Q124" s="5" t="e">
        <f t="shared" ca="1" si="51"/>
        <v>#N/A</v>
      </c>
      <c r="R124" s="5">
        <f t="shared" ca="1" si="56"/>
        <v>-1</v>
      </c>
      <c r="S124" s="68" t="e">
        <f t="shared" ca="1" si="57"/>
        <v>#N/A</v>
      </c>
      <c r="T124" s="68">
        <f t="shared" ca="1" si="58"/>
        <v>-1</v>
      </c>
      <c r="U124" s="68" t="e">
        <f t="shared" ca="1" si="59"/>
        <v>#N/A</v>
      </c>
      <c r="V124" s="5">
        <f t="shared" ca="1" si="38"/>
        <v>-1</v>
      </c>
      <c r="W124" s="5" t="e">
        <f t="shared" ca="1" si="52"/>
        <v>#N/A</v>
      </c>
      <c r="X124" s="68">
        <f t="shared" ca="1" si="53"/>
        <v>-1</v>
      </c>
      <c r="Y124" s="68" t="e">
        <f t="shared" ca="1" si="60"/>
        <v>#N/A</v>
      </c>
      <c r="Z124" s="68" t="e">
        <f t="shared" ca="1" si="61"/>
        <v>#N/A</v>
      </c>
      <c r="AA124" s="5" t="str">
        <f>IF(Setup!$I$15="Yes",'Demand background (hide)'!AJ112+'SPC background (hide)'!C124,"")</f>
        <v/>
      </c>
      <c r="AC124" s="5">
        <f t="shared" ca="1" si="54"/>
        <v>551.5</v>
      </c>
      <c r="AD124" s="5">
        <f t="shared" ca="1" si="55"/>
        <v>664</v>
      </c>
    </row>
    <row r="125" spans="1:30" x14ac:dyDescent="0.2">
      <c r="A125" s="68">
        <f ca="1">Demand!C122</f>
        <v>18</v>
      </c>
      <c r="B125" s="68">
        <v>110</v>
      </c>
      <c r="C125" s="5">
        <f ca="1">'Demand background (hide)'!Y113</f>
        <v>400</v>
      </c>
      <c r="D125" s="68">
        <f t="shared" si="39"/>
        <v>1</v>
      </c>
      <c r="E125" s="68" t="e">
        <f t="shared" ca="1" si="40"/>
        <v>#N/A</v>
      </c>
      <c r="F125" s="68" t="e">
        <f t="shared" ca="1" si="41"/>
        <v>#N/A</v>
      </c>
      <c r="G125" s="68" t="e">
        <f t="shared" ca="1" si="42"/>
        <v>#N/A</v>
      </c>
      <c r="H125" s="68" t="e">
        <f>IF('Demand background (hide)'!AN113&lt;&gt;"",'SPC background (hide)'!C125,NA())</f>
        <v>#N/A</v>
      </c>
      <c r="I125" s="68">
        <f t="shared" ca="1" si="43"/>
        <v>1</v>
      </c>
      <c r="J125" s="5">
        <f t="shared" ca="1" si="44"/>
        <v>69.979541734860845</v>
      </c>
      <c r="K125" s="5">
        <f t="shared" ca="1" si="45"/>
        <v>211.65302782324056</v>
      </c>
      <c r="L125" s="5">
        <f t="shared" ca="1" si="46"/>
        <v>353.32651391162028</v>
      </c>
      <c r="M125" s="5">
        <f t="shared" ca="1" si="47"/>
        <v>495</v>
      </c>
      <c r="N125" s="5">
        <f t="shared" ca="1" si="48"/>
        <v>636.67348608837972</v>
      </c>
      <c r="O125" s="5">
        <f t="shared" ca="1" si="49"/>
        <v>778.34697217675944</v>
      </c>
      <c r="P125" s="5">
        <f t="shared" ca="1" si="50"/>
        <v>920.02045826513915</v>
      </c>
      <c r="Q125" s="5" t="e">
        <f t="shared" ca="1" si="51"/>
        <v>#N/A</v>
      </c>
      <c r="R125" s="5">
        <f t="shared" ca="1" si="56"/>
        <v>-1</v>
      </c>
      <c r="S125" s="68" t="e">
        <f t="shared" ca="1" si="57"/>
        <v>#N/A</v>
      </c>
      <c r="T125" s="68">
        <f t="shared" ca="1" si="58"/>
        <v>-1</v>
      </c>
      <c r="U125" s="68" t="e">
        <f t="shared" ca="1" si="59"/>
        <v>#N/A</v>
      </c>
      <c r="V125" s="5">
        <f t="shared" ca="1" si="38"/>
        <v>-1</v>
      </c>
      <c r="W125" s="5" t="e">
        <f t="shared" ca="1" si="52"/>
        <v>#N/A</v>
      </c>
      <c r="X125" s="68">
        <f t="shared" ca="1" si="53"/>
        <v>-1</v>
      </c>
      <c r="Y125" s="68" t="e">
        <f t="shared" ca="1" si="60"/>
        <v>#N/A</v>
      </c>
      <c r="Z125" s="68" t="e">
        <f t="shared" ca="1" si="61"/>
        <v>#N/A</v>
      </c>
      <c r="AA125" s="5" t="str">
        <f>IF(Setup!$I$15="Yes",'Demand background (hide)'!AJ113+'SPC background (hide)'!C125,"")</f>
        <v/>
      </c>
      <c r="AC125" s="5">
        <f t="shared" ca="1" si="54"/>
        <v>551.5</v>
      </c>
      <c r="AD125" s="5">
        <f t="shared" ca="1" si="55"/>
        <v>664</v>
      </c>
    </row>
    <row r="126" spans="1:30" x14ac:dyDescent="0.2">
      <c r="A126" s="68">
        <f ca="1">Demand!C123</f>
        <v>19</v>
      </c>
      <c r="B126" s="68">
        <v>111</v>
      </c>
      <c r="C126" s="5">
        <f ca="1">'Demand background (hide)'!Y114</f>
        <v>650</v>
      </c>
      <c r="D126" s="68">
        <f t="shared" si="39"/>
        <v>1</v>
      </c>
      <c r="E126" s="68" t="e">
        <f t="shared" ca="1" si="40"/>
        <v>#N/A</v>
      </c>
      <c r="F126" s="68" t="e">
        <f t="shared" ca="1" si="41"/>
        <v>#N/A</v>
      </c>
      <c r="G126" s="68" t="e">
        <f t="shared" ca="1" si="42"/>
        <v>#N/A</v>
      </c>
      <c r="H126" s="68" t="e">
        <f>IF('Demand background (hide)'!AN114&lt;&gt;"",'SPC background (hide)'!C126,NA())</f>
        <v>#N/A</v>
      </c>
      <c r="I126" s="68">
        <f t="shared" ca="1" si="43"/>
        <v>1</v>
      </c>
      <c r="J126" s="5">
        <f t="shared" ca="1" si="44"/>
        <v>69.979541734860845</v>
      </c>
      <c r="K126" s="5">
        <f t="shared" ca="1" si="45"/>
        <v>211.65302782324056</v>
      </c>
      <c r="L126" s="5">
        <f t="shared" ca="1" si="46"/>
        <v>353.32651391162028</v>
      </c>
      <c r="M126" s="5">
        <f t="shared" ca="1" si="47"/>
        <v>495</v>
      </c>
      <c r="N126" s="5">
        <f t="shared" ca="1" si="48"/>
        <v>636.67348608837972</v>
      </c>
      <c r="O126" s="5">
        <f t="shared" ca="1" si="49"/>
        <v>778.34697217675944</v>
      </c>
      <c r="P126" s="5">
        <f t="shared" ca="1" si="50"/>
        <v>920.02045826513915</v>
      </c>
      <c r="Q126" s="5" t="e">
        <f t="shared" ca="1" si="51"/>
        <v>#N/A</v>
      </c>
      <c r="R126" s="5">
        <f t="shared" ca="1" si="56"/>
        <v>1</v>
      </c>
      <c r="S126" s="68" t="e">
        <f t="shared" ca="1" si="57"/>
        <v>#N/A</v>
      </c>
      <c r="T126" s="68">
        <f t="shared" ca="1" si="58"/>
        <v>2</v>
      </c>
      <c r="U126" s="68" t="e">
        <f t="shared" ca="1" si="59"/>
        <v>#N/A</v>
      </c>
      <c r="V126" s="5">
        <f t="shared" ca="1" si="38"/>
        <v>1</v>
      </c>
      <c r="W126" s="5" t="e">
        <f t="shared" ca="1" si="52"/>
        <v>#N/A</v>
      </c>
      <c r="X126" s="68">
        <f t="shared" ca="1" si="53"/>
        <v>1</v>
      </c>
      <c r="Y126" s="68" t="e">
        <f t="shared" ca="1" si="60"/>
        <v>#N/A</v>
      </c>
      <c r="Z126" s="68" t="e">
        <f t="shared" ca="1" si="61"/>
        <v>#N/A</v>
      </c>
      <c r="AA126" s="5" t="str">
        <f>IF(Setup!$I$15="Yes",'Demand background (hide)'!AJ114+'SPC background (hide)'!C126,"")</f>
        <v/>
      </c>
      <c r="AC126" s="5">
        <f t="shared" ca="1" si="54"/>
        <v>551.5</v>
      </c>
      <c r="AD126" s="5">
        <f t="shared" ca="1" si="55"/>
        <v>664</v>
      </c>
    </row>
    <row r="127" spans="1:30" x14ac:dyDescent="0.2">
      <c r="A127" s="68">
        <f ca="1">Demand!C124</f>
        <v>20</v>
      </c>
      <c r="B127" s="68">
        <v>112</v>
      </c>
      <c r="C127" s="5">
        <f ca="1">'Demand background (hide)'!Y115</f>
        <v>470</v>
      </c>
      <c r="D127" s="68">
        <f t="shared" si="39"/>
        <v>1</v>
      </c>
      <c r="E127" s="68" t="e">
        <f t="shared" ca="1" si="40"/>
        <v>#N/A</v>
      </c>
      <c r="F127" s="68" t="e">
        <f t="shared" ca="1" si="41"/>
        <v>#N/A</v>
      </c>
      <c r="G127" s="68" t="e">
        <f t="shared" ca="1" si="42"/>
        <v>#N/A</v>
      </c>
      <c r="H127" s="68" t="e">
        <f>IF('Demand background (hide)'!AN115&lt;&gt;"",'SPC background (hide)'!C127,NA())</f>
        <v>#N/A</v>
      </c>
      <c r="I127" s="68">
        <f t="shared" ca="1" si="43"/>
        <v>1</v>
      </c>
      <c r="J127" s="5">
        <f t="shared" ca="1" si="44"/>
        <v>69.979541734860845</v>
      </c>
      <c r="K127" s="5">
        <f t="shared" ca="1" si="45"/>
        <v>211.65302782324056</v>
      </c>
      <c r="L127" s="5">
        <f t="shared" ca="1" si="46"/>
        <v>353.32651391162028</v>
      </c>
      <c r="M127" s="5">
        <f t="shared" ca="1" si="47"/>
        <v>495</v>
      </c>
      <c r="N127" s="5">
        <f t="shared" ca="1" si="48"/>
        <v>636.67348608837972</v>
      </c>
      <c r="O127" s="5">
        <f t="shared" ca="1" si="49"/>
        <v>778.34697217675944</v>
      </c>
      <c r="P127" s="5">
        <f t="shared" ca="1" si="50"/>
        <v>920.02045826513915</v>
      </c>
      <c r="Q127" s="5" t="e">
        <f t="shared" ca="1" si="51"/>
        <v>#N/A</v>
      </c>
      <c r="R127" s="5">
        <f t="shared" ca="1" si="56"/>
        <v>-1</v>
      </c>
      <c r="S127" s="68" t="e">
        <f t="shared" ca="1" si="57"/>
        <v>#N/A</v>
      </c>
      <c r="T127" s="68">
        <f t="shared" ca="1" si="58"/>
        <v>-1</v>
      </c>
      <c r="U127" s="68" t="e">
        <f t="shared" ca="1" si="59"/>
        <v>#N/A</v>
      </c>
      <c r="V127" s="5">
        <f t="shared" ca="1" si="38"/>
        <v>-1</v>
      </c>
      <c r="W127" s="5" t="e">
        <f t="shared" ca="1" si="52"/>
        <v>#N/A</v>
      </c>
      <c r="X127" s="68">
        <f t="shared" ca="1" si="53"/>
        <v>-1</v>
      </c>
      <c r="Y127" s="68" t="e">
        <f t="shared" ca="1" si="60"/>
        <v>#N/A</v>
      </c>
      <c r="Z127" s="68" t="e">
        <f t="shared" ca="1" si="61"/>
        <v>#N/A</v>
      </c>
      <c r="AA127" s="5" t="str">
        <f>IF(Setup!$I$15="Yes",'Demand background (hide)'!AJ115+'SPC background (hide)'!C127,"")</f>
        <v/>
      </c>
      <c r="AC127" s="5">
        <f t="shared" ca="1" si="54"/>
        <v>551.5</v>
      </c>
      <c r="AD127" s="5">
        <f t="shared" ca="1" si="55"/>
        <v>664</v>
      </c>
    </row>
    <row r="128" spans="1:30" x14ac:dyDescent="0.2">
      <c r="A128" s="68">
        <f ca="1">Demand!C125</f>
        <v>21</v>
      </c>
      <c r="B128" s="68">
        <v>113</v>
      </c>
      <c r="C128" s="5">
        <f ca="1">'Demand background (hide)'!Y116</f>
        <v>410</v>
      </c>
      <c r="D128" s="68">
        <f t="shared" si="39"/>
        <v>1</v>
      </c>
      <c r="E128" s="68" t="e">
        <f t="shared" ca="1" si="40"/>
        <v>#N/A</v>
      </c>
      <c r="F128" s="68" t="e">
        <f t="shared" ca="1" si="41"/>
        <v>#N/A</v>
      </c>
      <c r="G128" s="68" t="e">
        <f t="shared" ca="1" si="42"/>
        <v>#N/A</v>
      </c>
      <c r="H128" s="68" t="e">
        <f>IF('Demand background (hide)'!AN116&lt;&gt;"",'SPC background (hide)'!C128,NA())</f>
        <v>#N/A</v>
      </c>
      <c r="I128" s="68">
        <f t="shared" ca="1" si="43"/>
        <v>1</v>
      </c>
      <c r="J128" s="5">
        <f t="shared" ca="1" si="44"/>
        <v>69.979541734860845</v>
      </c>
      <c r="K128" s="5">
        <f t="shared" ca="1" si="45"/>
        <v>211.65302782324056</v>
      </c>
      <c r="L128" s="5">
        <f t="shared" ca="1" si="46"/>
        <v>353.32651391162028</v>
      </c>
      <c r="M128" s="5">
        <f t="shared" ca="1" si="47"/>
        <v>495</v>
      </c>
      <c r="N128" s="5">
        <f t="shared" ca="1" si="48"/>
        <v>636.67348608837972</v>
      </c>
      <c r="O128" s="5">
        <f t="shared" ca="1" si="49"/>
        <v>778.34697217675944</v>
      </c>
      <c r="P128" s="5">
        <f t="shared" ca="1" si="50"/>
        <v>920.02045826513915</v>
      </c>
      <c r="Q128" s="5" t="e">
        <f t="shared" ca="1" si="51"/>
        <v>#N/A</v>
      </c>
      <c r="R128" s="5">
        <f t="shared" ca="1" si="56"/>
        <v>-1</v>
      </c>
      <c r="S128" s="68" t="e">
        <f t="shared" ca="1" si="57"/>
        <v>#N/A</v>
      </c>
      <c r="T128" s="68">
        <f t="shared" ca="1" si="58"/>
        <v>-1</v>
      </c>
      <c r="U128" s="68" t="e">
        <f t="shared" ca="1" si="59"/>
        <v>#N/A</v>
      </c>
      <c r="V128" s="5">
        <f t="shared" ca="1" si="38"/>
        <v>-1</v>
      </c>
      <c r="W128" s="5" t="e">
        <f t="shared" ca="1" si="52"/>
        <v>#N/A</v>
      </c>
      <c r="X128" s="68">
        <f t="shared" ca="1" si="53"/>
        <v>-1</v>
      </c>
      <c r="Y128" s="68" t="e">
        <f t="shared" ca="1" si="60"/>
        <v>#N/A</v>
      </c>
      <c r="Z128" s="68" t="e">
        <f t="shared" ca="1" si="61"/>
        <v>#N/A</v>
      </c>
      <c r="AA128" s="5" t="str">
        <f>IF(Setup!$I$15="Yes",'Demand background (hide)'!AJ116+'SPC background (hide)'!C128,"")</f>
        <v/>
      </c>
      <c r="AC128" s="5">
        <f t="shared" ca="1" si="54"/>
        <v>551.5</v>
      </c>
      <c r="AD128" s="5">
        <f t="shared" ca="1" si="55"/>
        <v>664</v>
      </c>
    </row>
    <row r="129" spans="1:30" x14ac:dyDescent="0.2">
      <c r="A129" s="68">
        <f ca="1">Demand!C126</f>
        <v>22</v>
      </c>
      <c r="B129" s="68">
        <v>114</v>
      </c>
      <c r="C129" s="5">
        <f ca="1">'Demand background (hide)'!Y117</f>
        <v>370</v>
      </c>
      <c r="D129" s="68">
        <f t="shared" si="39"/>
        <v>1</v>
      </c>
      <c r="E129" s="68" t="e">
        <f t="shared" ca="1" si="40"/>
        <v>#N/A</v>
      </c>
      <c r="F129" s="68" t="e">
        <f t="shared" ca="1" si="41"/>
        <v>#N/A</v>
      </c>
      <c r="G129" s="68" t="e">
        <f t="shared" ca="1" si="42"/>
        <v>#N/A</v>
      </c>
      <c r="H129" s="68" t="e">
        <f>IF('Demand background (hide)'!AN117&lt;&gt;"",'SPC background (hide)'!C129,NA())</f>
        <v>#N/A</v>
      </c>
      <c r="I129" s="68">
        <f t="shared" ca="1" si="43"/>
        <v>1</v>
      </c>
      <c r="J129" s="5">
        <f t="shared" ca="1" si="44"/>
        <v>69.979541734860845</v>
      </c>
      <c r="K129" s="5">
        <f t="shared" ca="1" si="45"/>
        <v>211.65302782324056</v>
      </c>
      <c r="L129" s="5">
        <f t="shared" ca="1" si="46"/>
        <v>353.32651391162028</v>
      </c>
      <c r="M129" s="5">
        <f t="shared" ca="1" si="47"/>
        <v>495</v>
      </c>
      <c r="N129" s="5">
        <f t="shared" ca="1" si="48"/>
        <v>636.67348608837972</v>
      </c>
      <c r="O129" s="5">
        <f t="shared" ca="1" si="49"/>
        <v>778.34697217675944</v>
      </c>
      <c r="P129" s="5">
        <f t="shared" ca="1" si="50"/>
        <v>920.02045826513915</v>
      </c>
      <c r="Q129" s="5" t="e">
        <f t="shared" ca="1" si="51"/>
        <v>#N/A</v>
      </c>
      <c r="R129" s="5">
        <f t="shared" ca="1" si="56"/>
        <v>-1</v>
      </c>
      <c r="S129" s="68" t="e">
        <f t="shared" ca="1" si="57"/>
        <v>#N/A</v>
      </c>
      <c r="T129" s="68">
        <f t="shared" ca="1" si="58"/>
        <v>-1</v>
      </c>
      <c r="U129" s="68" t="e">
        <f t="shared" ca="1" si="59"/>
        <v>#N/A</v>
      </c>
      <c r="V129" s="5">
        <f t="shared" ca="1" si="38"/>
        <v>-1</v>
      </c>
      <c r="W129" s="5" t="e">
        <f t="shared" ca="1" si="52"/>
        <v>#N/A</v>
      </c>
      <c r="X129" s="68">
        <f t="shared" ca="1" si="53"/>
        <v>-1</v>
      </c>
      <c r="Y129" s="68" t="e">
        <f t="shared" ca="1" si="60"/>
        <v>#N/A</v>
      </c>
      <c r="Z129" s="68" t="e">
        <f t="shared" ca="1" si="61"/>
        <v>#N/A</v>
      </c>
      <c r="AA129" s="5" t="str">
        <f>IF(Setup!$I$15="Yes",'Demand background (hide)'!AJ117+'SPC background (hide)'!C129,"")</f>
        <v/>
      </c>
      <c r="AC129" s="5">
        <f t="shared" ca="1" si="54"/>
        <v>551.5</v>
      </c>
      <c r="AD129" s="5">
        <f t="shared" ca="1" si="55"/>
        <v>664</v>
      </c>
    </row>
    <row r="130" spans="1:30" x14ac:dyDescent="0.2">
      <c r="A130" s="68">
        <f ca="1">Demand!C127</f>
        <v>23</v>
      </c>
      <c r="B130" s="68">
        <v>115</v>
      </c>
      <c r="C130" s="5">
        <f ca="1">'Demand background (hide)'!Y118</f>
        <v>430</v>
      </c>
      <c r="D130" s="68">
        <f t="shared" si="39"/>
        <v>1</v>
      </c>
      <c r="E130" s="68" t="e">
        <f t="shared" ca="1" si="40"/>
        <v>#N/A</v>
      </c>
      <c r="F130" s="68" t="e">
        <f t="shared" ca="1" si="41"/>
        <v>#N/A</v>
      </c>
      <c r="G130" s="68" t="e">
        <f t="shared" ca="1" si="42"/>
        <v>#N/A</v>
      </c>
      <c r="H130" s="68" t="e">
        <f>IF('Demand background (hide)'!AN118&lt;&gt;"",'SPC background (hide)'!C130,NA())</f>
        <v>#N/A</v>
      </c>
      <c r="I130" s="68">
        <f t="shared" ca="1" si="43"/>
        <v>1</v>
      </c>
      <c r="J130" s="5">
        <f t="shared" ca="1" si="44"/>
        <v>69.979541734860845</v>
      </c>
      <c r="K130" s="5">
        <f t="shared" ca="1" si="45"/>
        <v>211.65302782324056</v>
      </c>
      <c r="L130" s="5">
        <f t="shared" ca="1" si="46"/>
        <v>353.32651391162028</v>
      </c>
      <c r="M130" s="5">
        <f t="shared" ca="1" si="47"/>
        <v>495</v>
      </c>
      <c r="N130" s="5">
        <f t="shared" ca="1" si="48"/>
        <v>636.67348608837972</v>
      </c>
      <c r="O130" s="5">
        <f t="shared" ca="1" si="49"/>
        <v>778.34697217675944</v>
      </c>
      <c r="P130" s="5">
        <f t="shared" ca="1" si="50"/>
        <v>920.02045826513915</v>
      </c>
      <c r="Q130" s="5" t="e">
        <f t="shared" ca="1" si="51"/>
        <v>#N/A</v>
      </c>
      <c r="R130" s="5">
        <f t="shared" ca="1" si="56"/>
        <v>-1</v>
      </c>
      <c r="S130" s="68" t="e">
        <f t="shared" ca="1" si="57"/>
        <v>#N/A</v>
      </c>
      <c r="T130" s="68">
        <f t="shared" ca="1" si="58"/>
        <v>-1</v>
      </c>
      <c r="U130" s="68" t="e">
        <f t="shared" ca="1" si="59"/>
        <v>#N/A</v>
      </c>
      <c r="V130" s="5">
        <f t="shared" ca="1" si="38"/>
        <v>-1</v>
      </c>
      <c r="W130" s="5" t="e">
        <f t="shared" ca="1" si="52"/>
        <v>#N/A</v>
      </c>
      <c r="X130" s="68">
        <f t="shared" ca="1" si="53"/>
        <v>1</v>
      </c>
      <c r="Y130" s="68" t="e">
        <f t="shared" ca="1" si="60"/>
        <v>#N/A</v>
      </c>
      <c r="Z130" s="68" t="e">
        <f t="shared" ca="1" si="61"/>
        <v>#N/A</v>
      </c>
      <c r="AA130" s="5" t="str">
        <f>IF(Setup!$I$15="Yes",'Demand background (hide)'!AJ118+'SPC background (hide)'!C130,"")</f>
        <v/>
      </c>
      <c r="AC130" s="5">
        <f t="shared" ca="1" si="54"/>
        <v>551.5</v>
      </c>
      <c r="AD130" s="5">
        <f t="shared" ca="1" si="55"/>
        <v>664</v>
      </c>
    </row>
    <row r="131" spans="1:30" x14ac:dyDescent="0.2">
      <c r="A131" s="68">
        <f ca="1">Demand!C128</f>
        <v>24</v>
      </c>
      <c r="B131" s="68">
        <v>116</v>
      </c>
      <c r="C131" s="5">
        <f ca="1">'Demand background (hide)'!Y119</f>
        <v>630</v>
      </c>
      <c r="D131" s="68">
        <f t="shared" si="39"/>
        <v>1</v>
      </c>
      <c r="E131" s="68" t="e">
        <f t="shared" ca="1" si="40"/>
        <v>#N/A</v>
      </c>
      <c r="F131" s="68" t="e">
        <f t="shared" ca="1" si="41"/>
        <v>#N/A</v>
      </c>
      <c r="G131" s="68" t="e">
        <f t="shared" ca="1" si="42"/>
        <v>#N/A</v>
      </c>
      <c r="H131" s="68" t="e">
        <f>IF('Demand background (hide)'!AN119&lt;&gt;"",'SPC background (hide)'!C131,NA())</f>
        <v>#N/A</v>
      </c>
      <c r="I131" s="68">
        <f t="shared" ca="1" si="43"/>
        <v>1</v>
      </c>
      <c r="J131" s="5">
        <f t="shared" ca="1" si="44"/>
        <v>69.979541734860845</v>
      </c>
      <c r="K131" s="5">
        <f t="shared" ca="1" si="45"/>
        <v>211.65302782324056</v>
      </c>
      <c r="L131" s="5">
        <f t="shared" ca="1" si="46"/>
        <v>353.32651391162028</v>
      </c>
      <c r="M131" s="5">
        <f t="shared" ca="1" si="47"/>
        <v>495</v>
      </c>
      <c r="N131" s="5">
        <f t="shared" ca="1" si="48"/>
        <v>636.67348608837972</v>
      </c>
      <c r="O131" s="5">
        <f t="shared" ca="1" si="49"/>
        <v>778.34697217675944</v>
      </c>
      <c r="P131" s="5">
        <f t="shared" ca="1" si="50"/>
        <v>920.02045826513915</v>
      </c>
      <c r="Q131" s="5" t="e">
        <f t="shared" ca="1" si="51"/>
        <v>#N/A</v>
      </c>
      <c r="R131" s="5">
        <f t="shared" ca="1" si="56"/>
        <v>1</v>
      </c>
      <c r="S131" s="68" t="e">
        <f t="shared" ca="1" si="57"/>
        <v>#N/A</v>
      </c>
      <c r="T131" s="68">
        <f t="shared" ca="1" si="58"/>
        <v>1</v>
      </c>
      <c r="U131" s="68" t="e">
        <f t="shared" ca="1" si="59"/>
        <v>#N/A</v>
      </c>
      <c r="V131" s="5">
        <f t="shared" ca="1" si="38"/>
        <v>1</v>
      </c>
      <c r="W131" s="5" t="e">
        <f t="shared" ca="1" si="52"/>
        <v>#N/A</v>
      </c>
      <c r="X131" s="68">
        <f t="shared" ca="1" si="53"/>
        <v>1</v>
      </c>
      <c r="Y131" s="68" t="e">
        <f t="shared" ca="1" si="60"/>
        <v>#N/A</v>
      </c>
      <c r="Z131" s="68" t="e">
        <f t="shared" ca="1" si="61"/>
        <v>#N/A</v>
      </c>
      <c r="AA131" s="5" t="str">
        <f>IF(Setup!$I$15="Yes",'Demand background (hide)'!AJ119+'SPC background (hide)'!C131,"")</f>
        <v/>
      </c>
      <c r="AC131" s="5">
        <f t="shared" ca="1" si="54"/>
        <v>551.5</v>
      </c>
      <c r="AD131" s="5">
        <f t="shared" ca="1" si="55"/>
        <v>664</v>
      </c>
    </row>
    <row r="132" spans="1:30" x14ac:dyDescent="0.2">
      <c r="A132" s="68">
        <f ca="1">Demand!C129</f>
        <v>25</v>
      </c>
      <c r="B132" s="68">
        <v>117</v>
      </c>
      <c r="C132" s="5">
        <f ca="1">'Demand background (hide)'!Y120</f>
        <v>540</v>
      </c>
      <c r="D132" s="68">
        <f t="shared" si="39"/>
        <v>1</v>
      </c>
      <c r="E132" s="68" t="e">
        <f t="shared" ca="1" si="40"/>
        <v>#N/A</v>
      </c>
      <c r="F132" s="68" t="e">
        <f t="shared" ca="1" si="41"/>
        <v>#N/A</v>
      </c>
      <c r="G132" s="68" t="e">
        <f t="shared" ca="1" si="42"/>
        <v>#N/A</v>
      </c>
      <c r="H132" s="68" t="e">
        <f>IF('Demand background (hide)'!AN120&lt;&gt;"",'SPC background (hide)'!C132,NA())</f>
        <v>#N/A</v>
      </c>
      <c r="I132" s="68">
        <f t="shared" ca="1" si="43"/>
        <v>1</v>
      </c>
      <c r="J132" s="5">
        <f t="shared" ca="1" si="44"/>
        <v>69.979541734860845</v>
      </c>
      <c r="K132" s="5">
        <f t="shared" ca="1" si="45"/>
        <v>211.65302782324056</v>
      </c>
      <c r="L132" s="5">
        <f t="shared" ca="1" si="46"/>
        <v>353.32651391162028</v>
      </c>
      <c r="M132" s="5">
        <f t="shared" ca="1" si="47"/>
        <v>495</v>
      </c>
      <c r="N132" s="5">
        <f t="shared" ca="1" si="48"/>
        <v>636.67348608837972</v>
      </c>
      <c r="O132" s="5">
        <f t="shared" ca="1" si="49"/>
        <v>778.34697217675944</v>
      </c>
      <c r="P132" s="5">
        <f t="shared" ca="1" si="50"/>
        <v>920.02045826513915</v>
      </c>
      <c r="Q132" s="5" t="e">
        <f t="shared" ca="1" si="51"/>
        <v>#N/A</v>
      </c>
      <c r="R132" s="5">
        <f t="shared" ca="1" si="56"/>
        <v>1</v>
      </c>
      <c r="S132" s="68" t="e">
        <f t="shared" ca="1" si="57"/>
        <v>#N/A</v>
      </c>
      <c r="T132" s="68">
        <f t="shared" ca="1" si="58"/>
        <v>1</v>
      </c>
      <c r="U132" s="68" t="e">
        <f t="shared" ca="1" si="59"/>
        <v>#N/A</v>
      </c>
      <c r="V132" s="5">
        <f t="shared" ca="1" si="38"/>
        <v>1</v>
      </c>
      <c r="W132" s="5" t="e">
        <f t="shared" ca="1" si="52"/>
        <v>#N/A</v>
      </c>
      <c r="X132" s="68">
        <f t="shared" ca="1" si="53"/>
        <v>-1</v>
      </c>
      <c r="Y132" s="68" t="e">
        <f t="shared" ca="1" si="60"/>
        <v>#N/A</v>
      </c>
      <c r="Z132" s="68" t="e">
        <f t="shared" ca="1" si="61"/>
        <v>#N/A</v>
      </c>
      <c r="AA132" s="5" t="str">
        <f>IF(Setup!$I$15="Yes",'Demand background (hide)'!AJ120+'SPC background (hide)'!C132,"")</f>
        <v/>
      </c>
      <c r="AC132" s="5">
        <f t="shared" ca="1" si="54"/>
        <v>551.5</v>
      </c>
      <c r="AD132" s="5">
        <f t="shared" ca="1" si="55"/>
        <v>664</v>
      </c>
    </row>
    <row r="133" spans="1:30" x14ac:dyDescent="0.2">
      <c r="A133" s="68">
        <f ca="1">Demand!C130</f>
        <v>26</v>
      </c>
      <c r="B133" s="68">
        <v>118</v>
      </c>
      <c r="C133" s="5">
        <f ca="1">'Demand background (hide)'!Y121</f>
        <v>410</v>
      </c>
      <c r="D133" s="68">
        <f t="shared" si="39"/>
        <v>1</v>
      </c>
      <c r="E133" s="68" t="e">
        <f t="shared" ca="1" si="40"/>
        <v>#N/A</v>
      </c>
      <c r="F133" s="68" t="e">
        <f t="shared" ca="1" si="41"/>
        <v>#N/A</v>
      </c>
      <c r="G133" s="68" t="e">
        <f t="shared" ca="1" si="42"/>
        <v>#N/A</v>
      </c>
      <c r="H133" s="68" t="e">
        <f>IF('Demand background (hide)'!AN121&lt;&gt;"",'SPC background (hide)'!C133,NA())</f>
        <v>#N/A</v>
      </c>
      <c r="I133" s="68">
        <f t="shared" ca="1" si="43"/>
        <v>1</v>
      </c>
      <c r="J133" s="5">
        <f t="shared" ca="1" si="44"/>
        <v>69.979541734860845</v>
      </c>
      <c r="K133" s="5">
        <f t="shared" ca="1" si="45"/>
        <v>211.65302782324056</v>
      </c>
      <c r="L133" s="5">
        <f t="shared" ca="1" si="46"/>
        <v>353.32651391162028</v>
      </c>
      <c r="M133" s="5">
        <f t="shared" ca="1" si="47"/>
        <v>495</v>
      </c>
      <c r="N133" s="5">
        <f t="shared" ca="1" si="48"/>
        <v>636.67348608837972</v>
      </c>
      <c r="O133" s="5">
        <f t="shared" ca="1" si="49"/>
        <v>778.34697217675944</v>
      </c>
      <c r="P133" s="5">
        <f t="shared" ca="1" si="50"/>
        <v>920.02045826513915</v>
      </c>
      <c r="Q133" s="5" t="e">
        <f t="shared" ca="1" si="51"/>
        <v>#N/A</v>
      </c>
      <c r="R133" s="5">
        <f t="shared" ca="1" si="56"/>
        <v>-1</v>
      </c>
      <c r="S133" s="68" t="e">
        <f t="shared" ca="1" si="57"/>
        <v>#N/A</v>
      </c>
      <c r="T133" s="68">
        <f t="shared" ca="1" si="58"/>
        <v>-1</v>
      </c>
      <c r="U133" s="68" t="e">
        <f t="shared" ca="1" si="59"/>
        <v>#N/A</v>
      </c>
      <c r="V133" s="5">
        <f t="shared" ca="1" si="38"/>
        <v>-1</v>
      </c>
      <c r="W133" s="5" t="e">
        <f t="shared" ca="1" si="52"/>
        <v>#N/A</v>
      </c>
      <c r="X133" s="68">
        <f t="shared" ca="1" si="53"/>
        <v>-1</v>
      </c>
      <c r="Y133" s="68" t="e">
        <f t="shared" ca="1" si="60"/>
        <v>#N/A</v>
      </c>
      <c r="Z133" s="68" t="e">
        <f t="shared" ca="1" si="61"/>
        <v>#N/A</v>
      </c>
      <c r="AA133" s="5" t="str">
        <f>IF(Setup!$I$15="Yes",'Demand background (hide)'!AJ121+'SPC background (hide)'!C133,"")</f>
        <v/>
      </c>
      <c r="AC133" s="5">
        <f t="shared" ca="1" si="54"/>
        <v>551.5</v>
      </c>
      <c r="AD133" s="5">
        <f t="shared" ca="1" si="55"/>
        <v>664</v>
      </c>
    </row>
    <row r="134" spans="1:30" x14ac:dyDescent="0.2">
      <c r="A134" s="68">
        <f ca="1">Demand!C131</f>
        <v>27</v>
      </c>
      <c r="B134" s="68">
        <v>119</v>
      </c>
      <c r="C134" s="5">
        <f ca="1">'Demand background (hide)'!Y122</f>
        <v>460</v>
      </c>
      <c r="D134" s="68">
        <f t="shared" si="39"/>
        <v>1</v>
      </c>
      <c r="E134" s="68" t="e">
        <f t="shared" ca="1" si="40"/>
        <v>#N/A</v>
      </c>
      <c r="F134" s="68" t="e">
        <f t="shared" ca="1" si="41"/>
        <v>#N/A</v>
      </c>
      <c r="G134" s="68" t="e">
        <f t="shared" ca="1" si="42"/>
        <v>#N/A</v>
      </c>
      <c r="H134" s="68" t="e">
        <f>IF('Demand background (hide)'!AN122&lt;&gt;"",'SPC background (hide)'!C134,NA())</f>
        <v>#N/A</v>
      </c>
      <c r="I134" s="68">
        <f t="shared" ca="1" si="43"/>
        <v>1</v>
      </c>
      <c r="J134" s="5">
        <f t="shared" ca="1" si="44"/>
        <v>69.979541734860845</v>
      </c>
      <c r="K134" s="5">
        <f t="shared" ca="1" si="45"/>
        <v>211.65302782324056</v>
      </c>
      <c r="L134" s="5">
        <f t="shared" ca="1" si="46"/>
        <v>353.32651391162028</v>
      </c>
      <c r="M134" s="5">
        <f t="shared" ca="1" si="47"/>
        <v>495</v>
      </c>
      <c r="N134" s="5">
        <f t="shared" ca="1" si="48"/>
        <v>636.67348608837972</v>
      </c>
      <c r="O134" s="5">
        <f t="shared" ca="1" si="49"/>
        <v>778.34697217675944</v>
      </c>
      <c r="P134" s="5">
        <f t="shared" ca="1" si="50"/>
        <v>920.02045826513915</v>
      </c>
      <c r="Q134" s="5" t="e">
        <f t="shared" ca="1" si="51"/>
        <v>#N/A</v>
      </c>
      <c r="R134" s="5">
        <f t="shared" ca="1" si="56"/>
        <v>-1</v>
      </c>
      <c r="S134" s="68" t="e">
        <f t="shared" ca="1" si="57"/>
        <v>#N/A</v>
      </c>
      <c r="T134" s="68">
        <f t="shared" ca="1" si="58"/>
        <v>-1</v>
      </c>
      <c r="U134" s="68" t="e">
        <f t="shared" ca="1" si="59"/>
        <v>#N/A</v>
      </c>
      <c r="V134" s="5">
        <f t="shared" ca="1" si="38"/>
        <v>-1</v>
      </c>
      <c r="W134" s="5" t="e">
        <f t="shared" ca="1" si="52"/>
        <v>#N/A</v>
      </c>
      <c r="X134" s="68">
        <f t="shared" ca="1" si="53"/>
        <v>1</v>
      </c>
      <c r="Y134" s="68" t="e">
        <f t="shared" ca="1" si="60"/>
        <v>#N/A</v>
      </c>
      <c r="Z134" s="68" t="e">
        <f t="shared" ca="1" si="61"/>
        <v>#N/A</v>
      </c>
      <c r="AA134" s="5" t="str">
        <f>IF(Setup!$I$15="Yes",'Demand background (hide)'!AJ122+'SPC background (hide)'!C134,"")</f>
        <v/>
      </c>
      <c r="AC134" s="5">
        <f t="shared" ca="1" si="54"/>
        <v>551.5</v>
      </c>
      <c r="AD134" s="5">
        <f t="shared" ca="1" si="55"/>
        <v>664</v>
      </c>
    </row>
    <row r="135" spans="1:30" x14ac:dyDescent="0.2">
      <c r="A135" s="68">
        <f ca="1">Demand!C132</f>
        <v>28</v>
      </c>
      <c r="B135" s="68">
        <v>120</v>
      </c>
      <c r="C135" s="5">
        <f ca="1">'Demand background (hide)'!Y123</f>
        <v>620</v>
      </c>
      <c r="D135" s="68">
        <f t="shared" si="39"/>
        <v>1</v>
      </c>
      <c r="E135" s="68" t="e">
        <f t="shared" ca="1" si="40"/>
        <v>#N/A</v>
      </c>
      <c r="F135" s="68" t="e">
        <f t="shared" ca="1" si="41"/>
        <v>#N/A</v>
      </c>
      <c r="G135" s="68" t="e">
        <f t="shared" ca="1" si="42"/>
        <v>#N/A</v>
      </c>
      <c r="H135" s="68" t="e">
        <f>IF('Demand background (hide)'!AN123&lt;&gt;"",'SPC background (hide)'!C135,NA())</f>
        <v>#N/A</v>
      </c>
      <c r="I135" s="68">
        <f t="shared" ca="1" si="43"/>
        <v>1</v>
      </c>
      <c r="J135" s="5">
        <f t="shared" ca="1" si="44"/>
        <v>69.979541734860845</v>
      </c>
      <c r="K135" s="5">
        <f t="shared" ca="1" si="45"/>
        <v>211.65302782324056</v>
      </c>
      <c r="L135" s="5">
        <f t="shared" ca="1" si="46"/>
        <v>353.32651391162028</v>
      </c>
      <c r="M135" s="5">
        <f t="shared" ca="1" si="47"/>
        <v>495</v>
      </c>
      <c r="N135" s="5">
        <f t="shared" ca="1" si="48"/>
        <v>636.67348608837972</v>
      </c>
      <c r="O135" s="5">
        <f t="shared" ca="1" si="49"/>
        <v>778.34697217675944</v>
      </c>
      <c r="P135" s="5">
        <f t="shared" ca="1" si="50"/>
        <v>920.02045826513915</v>
      </c>
      <c r="Q135" s="5" t="e">
        <f t="shared" ca="1" si="51"/>
        <v>#N/A</v>
      </c>
      <c r="R135" s="5">
        <f t="shared" ca="1" si="56"/>
        <v>1</v>
      </c>
      <c r="S135" s="68" t="e">
        <f t="shared" ca="1" si="57"/>
        <v>#N/A</v>
      </c>
      <c r="T135" s="68">
        <f t="shared" ca="1" si="58"/>
        <v>1</v>
      </c>
      <c r="U135" s="68" t="e">
        <f t="shared" ca="1" si="59"/>
        <v>#N/A</v>
      </c>
      <c r="V135" s="5">
        <f t="shared" ca="1" si="38"/>
        <v>1</v>
      </c>
      <c r="W135" s="5" t="e">
        <f t="shared" ca="1" si="52"/>
        <v>#N/A</v>
      </c>
      <c r="X135" s="68">
        <f t="shared" ca="1" si="53"/>
        <v>1</v>
      </c>
      <c r="Y135" s="68" t="e">
        <f t="shared" ca="1" si="60"/>
        <v>#N/A</v>
      </c>
      <c r="Z135" s="68" t="e">
        <f t="shared" ca="1" si="61"/>
        <v>#N/A</v>
      </c>
      <c r="AA135" s="5" t="str">
        <f>IF(Setup!$I$15="Yes",'Demand background (hide)'!AJ123+'SPC background (hide)'!C135,"")</f>
        <v/>
      </c>
      <c r="AC135" s="5">
        <f t="shared" ca="1" si="54"/>
        <v>551.5</v>
      </c>
      <c r="AD135" s="5">
        <f t="shared" ca="1" si="55"/>
        <v>664</v>
      </c>
    </row>
    <row r="136" spans="1:30" x14ac:dyDescent="0.2">
      <c r="A136" s="68">
        <f ca="1">Demand!C133</f>
        <v>29</v>
      </c>
      <c r="B136" s="68">
        <v>121</v>
      </c>
      <c r="C136" s="5">
        <f ca="1">'Demand background (hide)'!Y124</f>
        <v>410</v>
      </c>
      <c r="D136" s="68">
        <f t="shared" si="39"/>
        <v>1</v>
      </c>
      <c r="E136" s="68" t="e">
        <f t="shared" ca="1" si="40"/>
        <v>#N/A</v>
      </c>
      <c r="F136" s="68" t="e">
        <f t="shared" ca="1" si="41"/>
        <v>#N/A</v>
      </c>
      <c r="G136" s="68" t="e">
        <f t="shared" ca="1" si="42"/>
        <v>#N/A</v>
      </c>
      <c r="H136" s="68" t="e">
        <f>IF('Demand background (hide)'!AN124&lt;&gt;"",'SPC background (hide)'!C136,NA())</f>
        <v>#N/A</v>
      </c>
      <c r="I136" s="68">
        <f t="shared" ca="1" si="43"/>
        <v>1</v>
      </c>
      <c r="J136" s="5">
        <f t="shared" ca="1" si="44"/>
        <v>69.979541734860845</v>
      </c>
      <c r="K136" s="5">
        <f t="shared" ca="1" si="45"/>
        <v>211.65302782324056</v>
      </c>
      <c r="L136" s="5">
        <f t="shared" ca="1" si="46"/>
        <v>353.32651391162028</v>
      </c>
      <c r="M136" s="5">
        <f t="shared" ca="1" si="47"/>
        <v>495</v>
      </c>
      <c r="N136" s="5">
        <f t="shared" ca="1" si="48"/>
        <v>636.67348608837972</v>
      </c>
      <c r="O136" s="5">
        <f t="shared" ca="1" si="49"/>
        <v>778.34697217675944</v>
      </c>
      <c r="P136" s="5">
        <f t="shared" ca="1" si="50"/>
        <v>920.02045826513915</v>
      </c>
      <c r="Q136" s="5" t="e">
        <f t="shared" ca="1" si="51"/>
        <v>#N/A</v>
      </c>
      <c r="R136" s="5">
        <f t="shared" ca="1" si="56"/>
        <v>-1</v>
      </c>
      <c r="S136" s="68" t="e">
        <f t="shared" ca="1" si="57"/>
        <v>#N/A</v>
      </c>
      <c r="T136" s="68">
        <f t="shared" ca="1" si="58"/>
        <v>-1</v>
      </c>
      <c r="U136" s="68" t="e">
        <f t="shared" ca="1" si="59"/>
        <v>#N/A</v>
      </c>
      <c r="V136" s="5">
        <f t="shared" ca="1" si="38"/>
        <v>-1</v>
      </c>
      <c r="W136" s="5" t="e">
        <f t="shared" ca="1" si="52"/>
        <v>#N/A</v>
      </c>
      <c r="X136" s="68">
        <f t="shared" ca="1" si="53"/>
        <v>-1</v>
      </c>
      <c r="Y136" s="68" t="e">
        <f t="shared" ca="1" si="60"/>
        <v>#N/A</v>
      </c>
      <c r="Z136" s="68" t="e">
        <f t="shared" ca="1" si="61"/>
        <v>#N/A</v>
      </c>
      <c r="AA136" s="5" t="str">
        <f>IF(Setup!$I$15="Yes",'Demand background (hide)'!AJ124+'SPC background (hide)'!C136,"")</f>
        <v/>
      </c>
      <c r="AC136" s="5">
        <f t="shared" ca="1" si="54"/>
        <v>551.5</v>
      </c>
      <c r="AD136" s="5">
        <f t="shared" ca="1" si="55"/>
        <v>664</v>
      </c>
    </row>
    <row r="137" spans="1:30" x14ac:dyDescent="0.2">
      <c r="A137" s="68">
        <f ca="1">Demand!C134</f>
        <v>30</v>
      </c>
      <c r="B137" s="68">
        <v>122</v>
      </c>
      <c r="C137" s="5">
        <f ca="1">'Demand background (hide)'!Y125</f>
        <v>420</v>
      </c>
      <c r="D137" s="68">
        <f t="shared" si="39"/>
        <v>1</v>
      </c>
      <c r="E137" s="68" t="e">
        <f t="shared" ca="1" si="40"/>
        <v>#N/A</v>
      </c>
      <c r="F137" s="68" t="e">
        <f t="shared" ca="1" si="41"/>
        <v>#N/A</v>
      </c>
      <c r="G137" s="68" t="e">
        <f t="shared" ca="1" si="42"/>
        <v>#N/A</v>
      </c>
      <c r="H137" s="68" t="e">
        <f>IF('Demand background (hide)'!AN125&lt;&gt;"",'SPC background (hide)'!C137,NA())</f>
        <v>#N/A</v>
      </c>
      <c r="I137" s="68">
        <f t="shared" ca="1" si="43"/>
        <v>1</v>
      </c>
      <c r="J137" s="5">
        <f t="shared" ca="1" si="44"/>
        <v>69.979541734860845</v>
      </c>
      <c r="K137" s="5">
        <f t="shared" ca="1" si="45"/>
        <v>211.65302782324056</v>
      </c>
      <c r="L137" s="5">
        <f t="shared" ca="1" si="46"/>
        <v>353.32651391162028</v>
      </c>
      <c r="M137" s="5">
        <f t="shared" ca="1" si="47"/>
        <v>495</v>
      </c>
      <c r="N137" s="5">
        <f t="shared" ca="1" si="48"/>
        <v>636.67348608837972</v>
      </c>
      <c r="O137" s="5">
        <f t="shared" ca="1" si="49"/>
        <v>778.34697217675944</v>
      </c>
      <c r="P137" s="5">
        <f t="shared" ca="1" si="50"/>
        <v>920.02045826513915</v>
      </c>
      <c r="Q137" s="5" t="e">
        <f t="shared" ca="1" si="51"/>
        <v>#N/A</v>
      </c>
      <c r="R137" s="5">
        <f t="shared" ca="1" si="56"/>
        <v>-1</v>
      </c>
      <c r="S137" s="68" t="e">
        <f t="shared" ca="1" si="57"/>
        <v>#N/A</v>
      </c>
      <c r="T137" s="68">
        <f t="shared" ca="1" si="58"/>
        <v>-1</v>
      </c>
      <c r="U137" s="68" t="e">
        <f t="shared" ca="1" si="59"/>
        <v>#N/A</v>
      </c>
      <c r="V137" s="5">
        <f t="shared" ca="1" si="38"/>
        <v>-1</v>
      </c>
      <c r="W137" s="5" t="e">
        <f t="shared" ca="1" si="52"/>
        <v>#N/A</v>
      </c>
      <c r="X137" s="68">
        <f t="shared" ca="1" si="53"/>
        <v>1</v>
      </c>
      <c r="Y137" s="68" t="e">
        <f t="shared" ca="1" si="60"/>
        <v>#N/A</v>
      </c>
      <c r="Z137" s="68" t="e">
        <f t="shared" ca="1" si="61"/>
        <v>#N/A</v>
      </c>
      <c r="AA137" s="5" t="str">
        <f>IF(Setup!$I$15="Yes",'Demand background (hide)'!AJ125+'SPC background (hide)'!C137,"")</f>
        <v/>
      </c>
      <c r="AC137" s="5">
        <f t="shared" ca="1" si="54"/>
        <v>551.5</v>
      </c>
      <c r="AD137" s="5">
        <f t="shared" ca="1" si="55"/>
        <v>664</v>
      </c>
    </row>
    <row r="138" spans="1:30" x14ac:dyDescent="0.2">
      <c r="A138" s="68">
        <f ca="1">Demand!C135</f>
        <v>31</v>
      </c>
      <c r="B138" s="68">
        <v>123</v>
      </c>
      <c r="C138" s="5">
        <f ca="1">'Demand background (hide)'!Y126</f>
        <v>270</v>
      </c>
      <c r="D138" s="68">
        <f t="shared" si="39"/>
        <v>1</v>
      </c>
      <c r="E138" s="68" t="e">
        <f t="shared" ca="1" si="40"/>
        <v>#N/A</v>
      </c>
      <c r="F138" s="68" t="e">
        <f t="shared" ca="1" si="41"/>
        <v>#N/A</v>
      </c>
      <c r="G138" s="68" t="e">
        <f t="shared" ca="1" si="42"/>
        <v>#N/A</v>
      </c>
      <c r="H138" s="68" t="e">
        <f>IF('Demand background (hide)'!AN126&lt;&gt;"",'SPC background (hide)'!C138,NA())</f>
        <v>#N/A</v>
      </c>
      <c r="I138" s="68">
        <f t="shared" ca="1" si="43"/>
        <v>1</v>
      </c>
      <c r="J138" s="5">
        <f t="shared" ca="1" si="44"/>
        <v>69.979541734860845</v>
      </c>
      <c r="K138" s="5">
        <f t="shared" ca="1" si="45"/>
        <v>211.65302782324056</v>
      </c>
      <c r="L138" s="5">
        <f t="shared" ca="1" si="46"/>
        <v>353.32651391162028</v>
      </c>
      <c r="M138" s="5">
        <f t="shared" ca="1" si="47"/>
        <v>495</v>
      </c>
      <c r="N138" s="5">
        <f t="shared" ca="1" si="48"/>
        <v>636.67348608837972</v>
      </c>
      <c r="O138" s="5">
        <f t="shared" ca="1" si="49"/>
        <v>778.34697217675944</v>
      </c>
      <c r="P138" s="5">
        <f t="shared" ca="1" si="50"/>
        <v>920.02045826513915</v>
      </c>
      <c r="Q138" s="5" t="e">
        <f t="shared" ca="1" si="51"/>
        <v>#N/A</v>
      </c>
      <c r="R138" s="5">
        <f t="shared" ca="1" si="56"/>
        <v>-1</v>
      </c>
      <c r="S138" s="68" t="e">
        <f t="shared" ca="1" si="57"/>
        <v>#N/A</v>
      </c>
      <c r="T138" s="68">
        <f t="shared" ca="1" si="58"/>
        <v>-2</v>
      </c>
      <c r="U138" s="68" t="e">
        <f t="shared" ca="1" si="59"/>
        <v>#N/A</v>
      </c>
      <c r="V138" s="5">
        <f t="shared" ca="1" si="38"/>
        <v>-1</v>
      </c>
      <c r="W138" s="5" t="e">
        <f t="shared" ca="1" si="52"/>
        <v>#N/A</v>
      </c>
      <c r="X138" s="68">
        <f t="shared" ca="1" si="53"/>
        <v>-1</v>
      </c>
      <c r="Y138" s="68" t="e">
        <f t="shared" ca="1" si="60"/>
        <v>#N/A</v>
      </c>
      <c r="Z138" s="68" t="e">
        <f t="shared" ca="1" si="61"/>
        <v>#N/A</v>
      </c>
      <c r="AA138" s="5" t="str">
        <f>IF(Setup!$I$15="Yes",'Demand background (hide)'!AJ126+'SPC background (hide)'!C138,"")</f>
        <v/>
      </c>
      <c r="AC138" s="5">
        <f t="shared" ca="1" si="54"/>
        <v>551.5</v>
      </c>
      <c r="AD138" s="5">
        <f t="shared" ca="1" si="55"/>
        <v>664</v>
      </c>
    </row>
    <row r="139" spans="1:30" x14ac:dyDescent="0.2">
      <c r="A139" s="68">
        <f ca="1">Demand!C136</f>
        <v>32</v>
      </c>
      <c r="B139" s="68">
        <v>124</v>
      </c>
      <c r="C139" s="5">
        <f ca="1">'Demand background (hide)'!Y127</f>
        <v>510</v>
      </c>
      <c r="D139" s="68">
        <f t="shared" si="39"/>
        <v>1</v>
      </c>
      <c r="E139" s="68" t="e">
        <f t="shared" ca="1" si="40"/>
        <v>#N/A</v>
      </c>
      <c r="F139" s="68" t="e">
        <f t="shared" ca="1" si="41"/>
        <v>#N/A</v>
      </c>
      <c r="G139" s="68" t="e">
        <f t="shared" ca="1" si="42"/>
        <v>#N/A</v>
      </c>
      <c r="H139" s="68" t="e">
        <f>IF('Demand background (hide)'!AN127&lt;&gt;"",'SPC background (hide)'!C139,NA())</f>
        <v>#N/A</v>
      </c>
      <c r="I139" s="68">
        <f t="shared" ca="1" si="43"/>
        <v>1</v>
      </c>
      <c r="J139" s="5">
        <f t="shared" ca="1" si="44"/>
        <v>69.979541734860845</v>
      </c>
      <c r="K139" s="5">
        <f t="shared" ca="1" si="45"/>
        <v>211.65302782324056</v>
      </c>
      <c r="L139" s="5">
        <f t="shared" ca="1" si="46"/>
        <v>353.32651391162028</v>
      </c>
      <c r="M139" s="5">
        <f t="shared" ca="1" si="47"/>
        <v>495</v>
      </c>
      <c r="N139" s="5">
        <f t="shared" ca="1" si="48"/>
        <v>636.67348608837972</v>
      </c>
      <c r="O139" s="5">
        <f t="shared" ca="1" si="49"/>
        <v>778.34697217675944</v>
      </c>
      <c r="P139" s="5">
        <f t="shared" ca="1" si="50"/>
        <v>920.02045826513915</v>
      </c>
      <c r="Q139" s="5" t="e">
        <f t="shared" ca="1" si="51"/>
        <v>#N/A</v>
      </c>
      <c r="R139" s="5">
        <f t="shared" ca="1" si="56"/>
        <v>1</v>
      </c>
      <c r="S139" s="68" t="e">
        <f t="shared" ca="1" si="57"/>
        <v>#N/A</v>
      </c>
      <c r="T139" s="68">
        <f t="shared" ca="1" si="58"/>
        <v>1</v>
      </c>
      <c r="U139" s="68" t="e">
        <f t="shared" ca="1" si="59"/>
        <v>#N/A</v>
      </c>
      <c r="V139" s="5">
        <f t="shared" ca="1" si="38"/>
        <v>1</v>
      </c>
      <c r="W139" s="5" t="e">
        <f t="shared" ca="1" si="52"/>
        <v>#N/A</v>
      </c>
      <c r="X139" s="68">
        <f t="shared" ca="1" si="53"/>
        <v>1</v>
      </c>
      <c r="Y139" s="68" t="e">
        <f t="shared" ca="1" si="60"/>
        <v>#N/A</v>
      </c>
      <c r="Z139" s="68" t="e">
        <f t="shared" ca="1" si="61"/>
        <v>#N/A</v>
      </c>
      <c r="AA139" s="5" t="str">
        <f>IF(Setup!$I$15="Yes",'Demand background (hide)'!AJ127+'SPC background (hide)'!C139,"")</f>
        <v/>
      </c>
      <c r="AC139" s="5">
        <f t="shared" ca="1" si="54"/>
        <v>551.5</v>
      </c>
      <c r="AD139" s="5">
        <f t="shared" ca="1" si="55"/>
        <v>664</v>
      </c>
    </row>
    <row r="140" spans="1:30" x14ac:dyDescent="0.2">
      <c r="A140" s="68">
        <f ca="1">Demand!C137</f>
        <v>33</v>
      </c>
      <c r="B140" s="68">
        <v>125</v>
      </c>
      <c r="C140" s="5">
        <f ca="1">'Demand background (hide)'!Y128</f>
        <v>710</v>
      </c>
      <c r="D140" s="68">
        <f t="shared" si="39"/>
        <v>1</v>
      </c>
      <c r="E140" s="68" t="e">
        <f t="shared" ca="1" si="40"/>
        <v>#N/A</v>
      </c>
      <c r="F140" s="68" t="e">
        <f t="shared" ca="1" si="41"/>
        <v>#N/A</v>
      </c>
      <c r="G140" s="68" t="e">
        <f t="shared" ca="1" si="42"/>
        <v>#N/A</v>
      </c>
      <c r="H140" s="68" t="e">
        <f>IF('Demand background (hide)'!AN128&lt;&gt;"",'SPC background (hide)'!C140,NA())</f>
        <v>#N/A</v>
      </c>
      <c r="I140" s="68">
        <f t="shared" ca="1" si="43"/>
        <v>1</v>
      </c>
      <c r="J140" s="5">
        <f t="shared" ca="1" si="44"/>
        <v>69.979541734860845</v>
      </c>
      <c r="K140" s="5">
        <f t="shared" ca="1" si="45"/>
        <v>211.65302782324056</v>
      </c>
      <c r="L140" s="5">
        <f t="shared" ca="1" si="46"/>
        <v>353.32651391162028</v>
      </c>
      <c r="M140" s="5">
        <f t="shared" ca="1" si="47"/>
        <v>495</v>
      </c>
      <c r="N140" s="5">
        <f t="shared" ca="1" si="48"/>
        <v>636.67348608837972</v>
      </c>
      <c r="O140" s="5">
        <f t="shared" ca="1" si="49"/>
        <v>778.34697217675944</v>
      </c>
      <c r="P140" s="5">
        <f t="shared" ca="1" si="50"/>
        <v>920.02045826513915</v>
      </c>
      <c r="Q140" s="5" t="e">
        <f t="shared" ca="1" si="51"/>
        <v>#N/A</v>
      </c>
      <c r="R140" s="5">
        <f t="shared" ca="1" si="56"/>
        <v>1</v>
      </c>
      <c r="S140" s="68" t="e">
        <f t="shared" ca="1" si="57"/>
        <v>#N/A</v>
      </c>
      <c r="T140" s="68">
        <f t="shared" ca="1" si="58"/>
        <v>2</v>
      </c>
      <c r="U140" s="68" t="e">
        <f t="shared" ca="1" si="59"/>
        <v>#N/A</v>
      </c>
      <c r="V140" s="5">
        <f t="shared" ca="1" si="38"/>
        <v>1</v>
      </c>
      <c r="W140" s="5" t="e">
        <f t="shared" ca="1" si="52"/>
        <v>#N/A</v>
      </c>
      <c r="X140" s="68">
        <f t="shared" ca="1" si="53"/>
        <v>1</v>
      </c>
      <c r="Y140" s="68" t="e">
        <f t="shared" ca="1" si="60"/>
        <v>#N/A</v>
      </c>
      <c r="Z140" s="68" t="e">
        <f t="shared" ca="1" si="61"/>
        <v>#N/A</v>
      </c>
      <c r="AA140" s="5" t="str">
        <f>IF(Setup!$I$15="Yes",'Demand background (hide)'!AJ128+'SPC background (hide)'!C140,"")</f>
        <v/>
      </c>
      <c r="AC140" s="5">
        <f t="shared" ca="1" si="54"/>
        <v>551.5</v>
      </c>
      <c r="AD140" s="5">
        <f t="shared" ca="1" si="55"/>
        <v>664</v>
      </c>
    </row>
    <row r="141" spans="1:30" x14ac:dyDescent="0.2">
      <c r="A141" s="68">
        <f ca="1">Demand!C138</f>
        <v>34</v>
      </c>
      <c r="B141" s="68">
        <v>126</v>
      </c>
      <c r="C141" s="5">
        <f ca="1">'Demand background (hide)'!Y129</f>
        <v>690</v>
      </c>
      <c r="D141" s="68">
        <f t="shared" si="39"/>
        <v>1</v>
      </c>
      <c r="E141" s="68" t="e">
        <f t="shared" ca="1" si="40"/>
        <v>#N/A</v>
      </c>
      <c r="F141" s="68" t="e">
        <f t="shared" ca="1" si="41"/>
        <v>#N/A</v>
      </c>
      <c r="G141" s="68" t="e">
        <f t="shared" ca="1" si="42"/>
        <v>#N/A</v>
      </c>
      <c r="H141" s="68" t="e">
        <f>IF('Demand background (hide)'!AN129&lt;&gt;"",'SPC background (hide)'!C141,NA())</f>
        <v>#N/A</v>
      </c>
      <c r="I141" s="68">
        <f t="shared" ca="1" si="43"/>
        <v>1</v>
      </c>
      <c r="J141" s="5">
        <f t="shared" ca="1" si="44"/>
        <v>69.979541734860845</v>
      </c>
      <c r="K141" s="5">
        <f t="shared" ca="1" si="45"/>
        <v>211.65302782324056</v>
      </c>
      <c r="L141" s="5">
        <f t="shared" ca="1" si="46"/>
        <v>353.32651391162028</v>
      </c>
      <c r="M141" s="5">
        <f t="shared" ca="1" si="47"/>
        <v>495</v>
      </c>
      <c r="N141" s="5">
        <f t="shared" ca="1" si="48"/>
        <v>636.67348608837972</v>
      </c>
      <c r="O141" s="5">
        <f t="shared" ca="1" si="49"/>
        <v>778.34697217675944</v>
      </c>
      <c r="P141" s="5">
        <f t="shared" ca="1" si="50"/>
        <v>920.02045826513915</v>
      </c>
      <c r="Q141" s="5" t="e">
        <f t="shared" ca="1" si="51"/>
        <v>#N/A</v>
      </c>
      <c r="R141" s="5">
        <f t="shared" ca="1" si="56"/>
        <v>1</v>
      </c>
      <c r="S141" s="68" t="e">
        <f t="shared" ca="1" si="57"/>
        <v>#N/A</v>
      </c>
      <c r="T141" s="68">
        <f t="shared" ca="1" si="58"/>
        <v>2</v>
      </c>
      <c r="U141" s="68" t="e">
        <f t="shared" ca="1" si="59"/>
        <v>#N/A</v>
      </c>
      <c r="V141" s="5">
        <f t="shared" ca="1" si="38"/>
        <v>1</v>
      </c>
      <c r="W141" s="5" t="e">
        <f t="shared" ca="1" si="52"/>
        <v>#N/A</v>
      </c>
      <c r="X141" s="68">
        <f t="shared" ca="1" si="53"/>
        <v>-1</v>
      </c>
      <c r="Y141" s="68" t="e">
        <f t="shared" ca="1" si="60"/>
        <v>#N/A</v>
      </c>
      <c r="Z141" s="68" t="e">
        <f t="shared" ca="1" si="61"/>
        <v>#N/A</v>
      </c>
      <c r="AA141" s="5" t="str">
        <f>IF(Setup!$I$15="Yes",'Demand background (hide)'!AJ129+'SPC background (hide)'!C141,"")</f>
        <v/>
      </c>
      <c r="AC141" s="5">
        <f t="shared" ca="1" si="54"/>
        <v>551.5</v>
      </c>
      <c r="AD141" s="5">
        <f t="shared" ca="1" si="55"/>
        <v>664</v>
      </c>
    </row>
    <row r="142" spans="1:30" x14ac:dyDescent="0.2">
      <c r="A142" s="68">
        <f ca="1">Demand!C139</f>
        <v>35</v>
      </c>
      <c r="B142" s="68">
        <v>127</v>
      </c>
      <c r="C142" s="5">
        <f ca="1">'Demand background (hide)'!Y130</f>
        <v>580</v>
      </c>
      <c r="D142" s="68">
        <f t="shared" si="39"/>
        <v>1</v>
      </c>
      <c r="E142" s="68" t="e">
        <f t="shared" ca="1" si="40"/>
        <v>#N/A</v>
      </c>
      <c r="F142" s="68" t="e">
        <f t="shared" ca="1" si="41"/>
        <v>#N/A</v>
      </c>
      <c r="G142" s="68" t="e">
        <f t="shared" ca="1" si="42"/>
        <v>#N/A</v>
      </c>
      <c r="H142" s="68" t="e">
        <f>IF('Demand background (hide)'!AN130&lt;&gt;"",'SPC background (hide)'!C142,NA())</f>
        <v>#N/A</v>
      </c>
      <c r="I142" s="68">
        <f t="shared" ca="1" si="43"/>
        <v>1</v>
      </c>
      <c r="J142" s="5">
        <f t="shared" ca="1" si="44"/>
        <v>69.979541734860845</v>
      </c>
      <c r="K142" s="5">
        <f t="shared" ca="1" si="45"/>
        <v>211.65302782324056</v>
      </c>
      <c r="L142" s="5">
        <f t="shared" ca="1" si="46"/>
        <v>353.32651391162028</v>
      </c>
      <c r="M142" s="5">
        <f t="shared" ca="1" si="47"/>
        <v>495</v>
      </c>
      <c r="N142" s="5">
        <f t="shared" ca="1" si="48"/>
        <v>636.67348608837972</v>
      </c>
      <c r="O142" s="5">
        <f t="shared" ca="1" si="49"/>
        <v>778.34697217675944</v>
      </c>
      <c r="P142" s="5">
        <f t="shared" ca="1" si="50"/>
        <v>920.02045826513915</v>
      </c>
      <c r="Q142" s="5" t="e">
        <f t="shared" ca="1" si="51"/>
        <v>#N/A</v>
      </c>
      <c r="R142" s="5">
        <f t="shared" ca="1" si="56"/>
        <v>1</v>
      </c>
      <c r="S142" s="68" t="e">
        <f t="shared" ca="1" si="57"/>
        <v>#N/A</v>
      </c>
      <c r="T142" s="68">
        <f t="shared" ca="1" si="58"/>
        <v>1</v>
      </c>
      <c r="U142" s="68" t="e">
        <f t="shared" ca="1" si="59"/>
        <v>#N/A</v>
      </c>
      <c r="V142" s="5">
        <f t="shared" ca="1" si="38"/>
        <v>1</v>
      </c>
      <c r="W142" s="5" t="e">
        <f t="shared" ca="1" si="52"/>
        <v>#N/A</v>
      </c>
      <c r="X142" s="68">
        <f t="shared" ca="1" si="53"/>
        <v>-1</v>
      </c>
      <c r="Y142" s="68" t="e">
        <f t="shared" ca="1" si="60"/>
        <v>#N/A</v>
      </c>
      <c r="Z142" s="68" t="e">
        <f t="shared" ca="1" si="61"/>
        <v>#N/A</v>
      </c>
      <c r="AA142" s="5" t="str">
        <f>IF(Setup!$I$15="Yes",'Demand background (hide)'!AJ130+'SPC background (hide)'!C142,"")</f>
        <v/>
      </c>
      <c r="AC142" s="5">
        <f t="shared" ca="1" si="54"/>
        <v>551.5</v>
      </c>
      <c r="AD142" s="5">
        <f t="shared" ca="1" si="55"/>
        <v>664</v>
      </c>
    </row>
    <row r="143" spans="1:30" x14ac:dyDescent="0.2">
      <c r="A143" s="68">
        <f ca="1">Demand!C140</f>
        <v>36</v>
      </c>
      <c r="B143" s="68">
        <v>128</v>
      </c>
      <c r="C143" s="5">
        <f ca="1">'Demand background (hide)'!Y131</f>
        <v>410</v>
      </c>
      <c r="D143" s="68">
        <f t="shared" si="39"/>
        <v>1</v>
      </c>
      <c r="E143" s="68" t="e">
        <f t="shared" ca="1" si="40"/>
        <v>#N/A</v>
      </c>
      <c r="F143" s="68" t="e">
        <f t="shared" ca="1" si="41"/>
        <v>#N/A</v>
      </c>
      <c r="G143" s="68" t="e">
        <f t="shared" ca="1" si="42"/>
        <v>#N/A</v>
      </c>
      <c r="H143" s="68" t="e">
        <f>IF('Demand background (hide)'!AN131&lt;&gt;"",'SPC background (hide)'!C143,NA())</f>
        <v>#N/A</v>
      </c>
      <c r="I143" s="68">
        <f t="shared" ca="1" si="43"/>
        <v>1</v>
      </c>
      <c r="J143" s="5">
        <f t="shared" ca="1" si="44"/>
        <v>69.979541734860845</v>
      </c>
      <c r="K143" s="5">
        <f t="shared" ca="1" si="45"/>
        <v>211.65302782324056</v>
      </c>
      <c r="L143" s="5">
        <f t="shared" ca="1" si="46"/>
        <v>353.32651391162028</v>
      </c>
      <c r="M143" s="5">
        <f t="shared" ca="1" si="47"/>
        <v>495</v>
      </c>
      <c r="N143" s="5">
        <f t="shared" ca="1" si="48"/>
        <v>636.67348608837972</v>
      </c>
      <c r="O143" s="5">
        <f t="shared" ca="1" si="49"/>
        <v>778.34697217675944</v>
      </c>
      <c r="P143" s="5">
        <f t="shared" ca="1" si="50"/>
        <v>920.02045826513915</v>
      </c>
      <c r="Q143" s="5" t="e">
        <f t="shared" ca="1" si="51"/>
        <v>#N/A</v>
      </c>
      <c r="R143" s="5">
        <f t="shared" ca="1" si="56"/>
        <v>-1</v>
      </c>
      <c r="S143" s="68" t="e">
        <f t="shared" ca="1" si="57"/>
        <v>#N/A</v>
      </c>
      <c r="T143" s="68">
        <f t="shared" ca="1" si="58"/>
        <v>-1</v>
      </c>
      <c r="U143" s="68" t="e">
        <f t="shared" ca="1" si="59"/>
        <v>#N/A</v>
      </c>
      <c r="V143" s="5">
        <f t="shared" ca="1" si="38"/>
        <v>-1</v>
      </c>
      <c r="W143" s="5" t="e">
        <f t="shared" ca="1" si="52"/>
        <v>#N/A</v>
      </c>
      <c r="X143" s="68">
        <f t="shared" ca="1" si="53"/>
        <v>-1</v>
      </c>
      <c r="Y143" s="68" t="e">
        <f t="shared" ca="1" si="60"/>
        <v>#N/A</v>
      </c>
      <c r="Z143" s="68" t="e">
        <f t="shared" ca="1" si="61"/>
        <v>#N/A</v>
      </c>
      <c r="AA143" s="5" t="str">
        <f>IF(Setup!$I$15="Yes",'Demand background (hide)'!AJ131+'SPC background (hide)'!C143,"")</f>
        <v/>
      </c>
      <c r="AC143" s="5">
        <f t="shared" ca="1" si="54"/>
        <v>551.5</v>
      </c>
      <c r="AD143" s="5">
        <f t="shared" ca="1" si="55"/>
        <v>664</v>
      </c>
    </row>
    <row r="144" spans="1:30" x14ac:dyDescent="0.2">
      <c r="A144" s="68">
        <f ca="1">Demand!C141</f>
        <v>37</v>
      </c>
      <c r="B144" s="68">
        <v>129</v>
      </c>
      <c r="C144" s="5">
        <f ca="1">'Demand background (hide)'!Y132</f>
        <v>370</v>
      </c>
      <c r="D144" s="68">
        <f t="shared" si="39"/>
        <v>1</v>
      </c>
      <c r="E144" s="68" t="e">
        <f t="shared" ca="1" si="40"/>
        <v>#N/A</v>
      </c>
      <c r="F144" s="68" t="e">
        <f t="shared" ca="1" si="41"/>
        <v>#N/A</v>
      </c>
      <c r="G144" s="68" t="e">
        <f t="shared" ca="1" si="42"/>
        <v>#N/A</v>
      </c>
      <c r="H144" s="68" t="e">
        <f>IF('Demand background (hide)'!AN132&lt;&gt;"",'SPC background (hide)'!C144,NA())</f>
        <v>#N/A</v>
      </c>
      <c r="I144" s="68">
        <f t="shared" ca="1" si="43"/>
        <v>1</v>
      </c>
      <c r="J144" s="5">
        <f t="shared" ca="1" si="44"/>
        <v>69.979541734860845</v>
      </c>
      <c r="K144" s="5">
        <f t="shared" ca="1" si="45"/>
        <v>211.65302782324056</v>
      </c>
      <c r="L144" s="5">
        <f t="shared" ca="1" si="46"/>
        <v>353.32651391162028</v>
      </c>
      <c r="M144" s="5">
        <f t="shared" ca="1" si="47"/>
        <v>495</v>
      </c>
      <c r="N144" s="5">
        <f t="shared" ca="1" si="48"/>
        <v>636.67348608837972</v>
      </c>
      <c r="O144" s="5">
        <f t="shared" ca="1" si="49"/>
        <v>778.34697217675944</v>
      </c>
      <c r="P144" s="5">
        <f t="shared" ca="1" si="50"/>
        <v>920.02045826513915</v>
      </c>
      <c r="Q144" s="5" t="e">
        <f t="shared" ca="1" si="51"/>
        <v>#N/A</v>
      </c>
      <c r="R144" s="5">
        <f t="shared" ca="1" si="56"/>
        <v>-1</v>
      </c>
      <c r="S144" s="68" t="e">
        <f t="shared" ca="1" si="57"/>
        <v>#N/A</v>
      </c>
      <c r="T144" s="68">
        <f t="shared" ca="1" si="58"/>
        <v>-1</v>
      </c>
      <c r="U144" s="68" t="e">
        <f t="shared" ca="1" si="59"/>
        <v>#N/A</v>
      </c>
      <c r="V144" s="5">
        <f t="shared" ref="V144:V207" ca="1" si="62">IF(C144&lt;M144,-1,IF(C144&gt;M144,1,0))</f>
        <v>-1</v>
      </c>
      <c r="W144" s="5" t="e">
        <f t="shared" ca="1" si="52"/>
        <v>#N/A</v>
      </c>
      <c r="X144" s="68">
        <f t="shared" ca="1" si="53"/>
        <v>-1</v>
      </c>
      <c r="Y144" s="68" t="e">
        <f t="shared" ca="1" si="60"/>
        <v>#N/A</v>
      </c>
      <c r="Z144" s="68" t="e">
        <f t="shared" ca="1" si="61"/>
        <v>#N/A</v>
      </c>
      <c r="AA144" s="5" t="str">
        <f>IF(Setup!$I$15="Yes",'Demand background (hide)'!AJ132+'SPC background (hide)'!C144,"")</f>
        <v/>
      </c>
      <c r="AC144" s="5">
        <f t="shared" ca="1" si="54"/>
        <v>551.5</v>
      </c>
      <c r="AD144" s="5">
        <f t="shared" ca="1" si="55"/>
        <v>664</v>
      </c>
    </row>
    <row r="145" spans="1:30" x14ac:dyDescent="0.2">
      <c r="A145" s="68">
        <f ca="1">Demand!C142</f>
        <v>38</v>
      </c>
      <c r="B145" s="68">
        <v>130</v>
      </c>
      <c r="C145" s="5">
        <f ca="1">'Demand background (hide)'!Y133</f>
        <v>590</v>
      </c>
      <c r="D145" s="68">
        <f t="shared" ref="D145:D208" si="63">IF(AND($B145&gt;=$C$4,$B145&lt;=$D$5+$C$5-1),1,0)</f>
        <v>1</v>
      </c>
      <c r="E145" s="68" t="e">
        <f t="shared" ref="E145:E208" ca="1" si="64">IF(AND($B145&gt;=$D$6,$B145&lt;=$D$7+$C$7-1),1,0)</f>
        <v>#N/A</v>
      </c>
      <c r="F145" s="68" t="e">
        <f t="shared" ref="F145:F208" ca="1" si="65">IF(AND($B145&gt;=$D$8,$B145&lt;=$D$9+$C$9-1),1,0)</f>
        <v>#N/A</v>
      </c>
      <c r="G145" s="68" t="e">
        <f t="shared" ref="G145:G208" ca="1" si="66">IF(AND($B145&gt;=$D$10,$B145&lt;=$D$11+$C$11-1),1,0)</f>
        <v>#N/A</v>
      </c>
      <c r="H145" s="68" t="e">
        <f>IF('Demand background (hide)'!AN133&lt;&gt;"",'SPC background (hide)'!C145,NA())</f>
        <v>#N/A</v>
      </c>
      <c r="I145" s="68">
        <f t="shared" ref="I145:I208" ca="1" si="67">VLOOKUP(A145,$AG$2:$AI$54,3,0)</f>
        <v>1</v>
      </c>
      <c r="J145" s="5">
        <f t="shared" ref="J145:J208" ca="1" si="68">VLOOKUP($A145,$AG$2:$AQ$54,COLUMN(E$1),0)</f>
        <v>69.979541734860845</v>
      </c>
      <c r="K145" s="5">
        <f t="shared" ref="K145:K208" ca="1" si="69">VLOOKUP($A145,$AG$2:$AQ$54,COLUMN(F$1),0)</f>
        <v>211.65302782324056</v>
      </c>
      <c r="L145" s="5">
        <f t="shared" ref="L145:L208" ca="1" si="70">VLOOKUP($A145,$AG$2:$AQ$54,COLUMN(G$1),0)</f>
        <v>353.32651391162028</v>
      </c>
      <c r="M145" s="5">
        <f t="shared" ref="M145:M208" ca="1" si="71">VLOOKUP($A145,$AG$2:$AQ$54,COLUMN(H$1),0)</f>
        <v>495</v>
      </c>
      <c r="N145" s="5">
        <f t="shared" ref="N145:N208" ca="1" si="72">VLOOKUP($A145,$AG$2:$AQ$54,COLUMN(I$1),0)</f>
        <v>636.67348608837972</v>
      </c>
      <c r="O145" s="5">
        <f t="shared" ref="O145:O208" ca="1" si="73">VLOOKUP($A145,$AG$2:$AQ$54,COLUMN(J$1),0)</f>
        <v>778.34697217675944</v>
      </c>
      <c r="P145" s="5">
        <f t="shared" ref="P145:P208" ca="1" si="74">VLOOKUP($A145,$AG$2:$AQ$54,COLUMN(K$1),0)</f>
        <v>920.02045826513915</v>
      </c>
      <c r="Q145" s="5" t="e">
        <f t="shared" ref="Q145:Q208" ca="1" si="75">IF(ISNA(H145)=TRUE,IF(OR(C145&gt;P145,C145&lt;J145),C145,NA()),NA())</f>
        <v>#N/A</v>
      </c>
      <c r="R145" s="5">
        <f t="shared" ca="1" si="56"/>
        <v>1</v>
      </c>
      <c r="S145" s="68" t="e">
        <f t="shared" ca="1" si="57"/>
        <v>#N/A</v>
      </c>
      <c r="T145" s="68">
        <f t="shared" ca="1" si="58"/>
        <v>1</v>
      </c>
      <c r="U145" s="68" t="e">
        <f t="shared" ca="1" si="59"/>
        <v>#N/A</v>
      </c>
      <c r="V145" s="5">
        <f t="shared" ca="1" si="62"/>
        <v>1</v>
      </c>
      <c r="W145" s="5" t="e">
        <f t="shared" ref="W145:W208" ca="1" si="76">IF(ISNA(H145)=TRUE,IF(ABS(SUM(V145:V153))=9,C145,NA()),NA())</f>
        <v>#N/A</v>
      </c>
      <c r="X145" s="68">
        <f t="shared" ref="X145:X208" ca="1" si="77">IF(C145&gt;C144,1,IF(C145&lt;C144,-1,0))</f>
        <v>1</v>
      </c>
      <c r="Y145" s="68" t="e">
        <f t="shared" ca="1" si="60"/>
        <v>#N/A</v>
      </c>
      <c r="Z145" s="68" t="e">
        <f t="shared" ca="1" si="61"/>
        <v>#N/A</v>
      </c>
      <c r="AA145" s="5" t="str">
        <f>IF(Setup!$I$15="Yes",'Demand background (hide)'!AJ133+'SPC background (hide)'!C145,"")</f>
        <v/>
      </c>
      <c r="AC145" s="5">
        <f t="shared" ref="AC145:AC208" ca="1" si="78">VLOOKUP($A145,$AG$2:$AS$54,12,0)</f>
        <v>551.5</v>
      </c>
      <c r="AD145" s="5">
        <f t="shared" ref="AD145:AD208" ca="1" si="79">VLOOKUP($A145,$AG$2:$AS$54,13,0)</f>
        <v>664</v>
      </c>
    </row>
    <row r="146" spans="1:30" x14ac:dyDescent="0.2">
      <c r="A146" s="68">
        <f ca="1">Demand!C143</f>
        <v>39</v>
      </c>
      <c r="B146" s="68">
        <v>131</v>
      </c>
      <c r="C146" s="5">
        <f ca="1">'Demand background (hide)'!Y134</f>
        <v>570</v>
      </c>
      <c r="D146" s="68">
        <f t="shared" si="63"/>
        <v>1</v>
      </c>
      <c r="E146" s="68" t="e">
        <f t="shared" ca="1" si="64"/>
        <v>#N/A</v>
      </c>
      <c r="F146" s="68" t="e">
        <f t="shared" ca="1" si="65"/>
        <v>#N/A</v>
      </c>
      <c r="G146" s="68" t="e">
        <f t="shared" ca="1" si="66"/>
        <v>#N/A</v>
      </c>
      <c r="H146" s="68" t="e">
        <f>IF('Demand background (hide)'!AN134&lt;&gt;"",'SPC background (hide)'!C146,NA())</f>
        <v>#N/A</v>
      </c>
      <c r="I146" s="68">
        <f t="shared" ca="1" si="67"/>
        <v>1</v>
      </c>
      <c r="J146" s="5">
        <f t="shared" ca="1" si="68"/>
        <v>69.979541734860845</v>
      </c>
      <c r="K146" s="5">
        <f t="shared" ca="1" si="69"/>
        <v>211.65302782324056</v>
      </c>
      <c r="L146" s="5">
        <f t="shared" ca="1" si="70"/>
        <v>353.32651391162028</v>
      </c>
      <c r="M146" s="5">
        <f t="shared" ca="1" si="71"/>
        <v>495</v>
      </c>
      <c r="N146" s="5">
        <f t="shared" ca="1" si="72"/>
        <v>636.67348608837972</v>
      </c>
      <c r="O146" s="5">
        <f t="shared" ca="1" si="73"/>
        <v>778.34697217675944</v>
      </c>
      <c r="P146" s="5">
        <f t="shared" ca="1" si="74"/>
        <v>920.02045826513915</v>
      </c>
      <c r="Q146" s="5" t="e">
        <f t="shared" ca="1" si="75"/>
        <v>#N/A</v>
      </c>
      <c r="R146" s="5">
        <f t="shared" ref="R146:R209" ca="1" si="80">IF(C146&gt;O146,2,IF(C146&lt;K146,-2,IF(C146&gt;M146,1,IF(C146&lt;M146,-1,0))))</f>
        <v>1</v>
      </c>
      <c r="S146" s="68" t="e">
        <f t="shared" ref="S146:S209" ca="1" si="81">IF(ISNA(H146),IF(ABS(SUM(R146:R148))&gt;=5,C146,NA()),NA())</f>
        <v>#N/A</v>
      </c>
      <c r="T146" s="68">
        <f t="shared" ref="T146:T209" ca="1" si="82">IF(C146&gt;N146,2,IF(C146&lt;L146,-2,IF(C146&gt;M146,1,IF(C146&lt;M146,-1,0))))</f>
        <v>1</v>
      </c>
      <c r="U146" s="68" t="e">
        <f t="shared" ref="U146:U209" ca="1" si="83">IF(ISNA(H146)=TRUE,IF(ABS(SUM(T146:T150))&gt;=9,C146,NA()),NA())</f>
        <v>#N/A</v>
      </c>
      <c r="V146" s="5">
        <f t="shared" ca="1" si="62"/>
        <v>1</v>
      </c>
      <c r="W146" s="5" t="e">
        <f t="shared" ca="1" si="76"/>
        <v>#N/A</v>
      </c>
      <c r="X146" s="68">
        <f t="shared" ca="1" si="77"/>
        <v>-1</v>
      </c>
      <c r="Y146" s="68" t="e">
        <f t="shared" ref="Y146:Y209" ca="1" si="84">IF(ISNA(H146)=TRUE,IF(ABS(SUM(X146:X151))=6,C146,NA()),NA())</f>
        <v>#N/A</v>
      </c>
      <c r="Z146" s="68" t="e">
        <f t="shared" ref="Z146:Z209" ca="1" si="85">IF(ISNA(H146)=TRUE,IF(AND(ABS(SUM(T146:T153))=8,SUM(T146:T153)&lt;ABS(SUM(T146:T153))),C146,NA()),NA())</f>
        <v>#N/A</v>
      </c>
      <c r="AA146" s="5" t="str">
        <f>IF(Setup!$I$15="Yes",'Demand background (hide)'!AJ134+'SPC background (hide)'!C146,"")</f>
        <v/>
      </c>
      <c r="AC146" s="5">
        <f t="shared" ca="1" si="78"/>
        <v>551.5</v>
      </c>
      <c r="AD146" s="5">
        <f t="shared" ca="1" si="79"/>
        <v>664</v>
      </c>
    </row>
    <row r="147" spans="1:30" x14ac:dyDescent="0.2">
      <c r="A147" s="68">
        <f ca="1">Demand!C144</f>
        <v>40</v>
      </c>
      <c r="B147" s="68">
        <v>132</v>
      </c>
      <c r="C147" s="5">
        <f ca="1">'Demand background (hide)'!Y135</f>
        <v>490</v>
      </c>
      <c r="D147" s="68">
        <f t="shared" si="63"/>
        <v>1</v>
      </c>
      <c r="E147" s="68" t="e">
        <f t="shared" ca="1" si="64"/>
        <v>#N/A</v>
      </c>
      <c r="F147" s="68" t="e">
        <f t="shared" ca="1" si="65"/>
        <v>#N/A</v>
      </c>
      <c r="G147" s="68" t="e">
        <f t="shared" ca="1" si="66"/>
        <v>#N/A</v>
      </c>
      <c r="H147" s="68" t="e">
        <f>IF('Demand background (hide)'!AN135&lt;&gt;"",'SPC background (hide)'!C147,NA())</f>
        <v>#N/A</v>
      </c>
      <c r="I147" s="68">
        <f t="shared" ca="1" si="67"/>
        <v>1</v>
      </c>
      <c r="J147" s="5">
        <f t="shared" ca="1" si="68"/>
        <v>69.979541734860845</v>
      </c>
      <c r="K147" s="5">
        <f t="shared" ca="1" si="69"/>
        <v>211.65302782324056</v>
      </c>
      <c r="L147" s="5">
        <f t="shared" ca="1" si="70"/>
        <v>353.32651391162028</v>
      </c>
      <c r="M147" s="5">
        <f t="shared" ca="1" si="71"/>
        <v>495</v>
      </c>
      <c r="N147" s="5">
        <f t="shared" ca="1" si="72"/>
        <v>636.67348608837972</v>
      </c>
      <c r="O147" s="5">
        <f t="shared" ca="1" si="73"/>
        <v>778.34697217675944</v>
      </c>
      <c r="P147" s="5">
        <f t="shared" ca="1" si="74"/>
        <v>920.02045826513915</v>
      </c>
      <c r="Q147" s="5" t="e">
        <f t="shared" ca="1" si="75"/>
        <v>#N/A</v>
      </c>
      <c r="R147" s="5">
        <f t="shared" ca="1" si="80"/>
        <v>-1</v>
      </c>
      <c r="S147" s="68" t="e">
        <f t="shared" ca="1" si="81"/>
        <v>#N/A</v>
      </c>
      <c r="T147" s="68">
        <f t="shared" ca="1" si="82"/>
        <v>-1</v>
      </c>
      <c r="U147" s="68" t="e">
        <f t="shared" ca="1" si="83"/>
        <v>#N/A</v>
      </c>
      <c r="V147" s="5">
        <f t="shared" ca="1" si="62"/>
        <v>-1</v>
      </c>
      <c r="W147" s="5" t="e">
        <f t="shared" ca="1" si="76"/>
        <v>#N/A</v>
      </c>
      <c r="X147" s="68">
        <f t="shared" ca="1" si="77"/>
        <v>-1</v>
      </c>
      <c r="Y147" s="68" t="e">
        <f t="shared" ca="1" si="84"/>
        <v>#N/A</v>
      </c>
      <c r="Z147" s="68" t="e">
        <f t="shared" ca="1" si="85"/>
        <v>#N/A</v>
      </c>
      <c r="AA147" s="5" t="str">
        <f>IF(Setup!$I$15="Yes",'Demand background (hide)'!AJ135+'SPC background (hide)'!C147,"")</f>
        <v/>
      </c>
      <c r="AC147" s="5">
        <f t="shared" ca="1" si="78"/>
        <v>551.5</v>
      </c>
      <c r="AD147" s="5">
        <f t="shared" ca="1" si="79"/>
        <v>664</v>
      </c>
    </row>
    <row r="148" spans="1:30" x14ac:dyDescent="0.2">
      <c r="A148" s="68">
        <f ca="1">Demand!C145</f>
        <v>41</v>
      </c>
      <c r="B148" s="68">
        <v>133</v>
      </c>
      <c r="C148" s="5">
        <f ca="1">'Demand background (hide)'!Y136</f>
        <v>570</v>
      </c>
      <c r="D148" s="68">
        <f t="shared" si="63"/>
        <v>1</v>
      </c>
      <c r="E148" s="68" t="e">
        <f t="shared" ca="1" si="64"/>
        <v>#N/A</v>
      </c>
      <c r="F148" s="68" t="e">
        <f t="shared" ca="1" si="65"/>
        <v>#N/A</v>
      </c>
      <c r="G148" s="68" t="e">
        <f t="shared" ca="1" si="66"/>
        <v>#N/A</v>
      </c>
      <c r="H148" s="68" t="e">
        <f>IF('Demand background (hide)'!AN136&lt;&gt;"",'SPC background (hide)'!C148,NA())</f>
        <v>#N/A</v>
      </c>
      <c r="I148" s="68">
        <f t="shared" ca="1" si="67"/>
        <v>1</v>
      </c>
      <c r="J148" s="5">
        <f t="shared" ca="1" si="68"/>
        <v>69.979541734860845</v>
      </c>
      <c r="K148" s="5">
        <f t="shared" ca="1" si="69"/>
        <v>211.65302782324056</v>
      </c>
      <c r="L148" s="5">
        <f t="shared" ca="1" si="70"/>
        <v>353.32651391162028</v>
      </c>
      <c r="M148" s="5">
        <f t="shared" ca="1" si="71"/>
        <v>495</v>
      </c>
      <c r="N148" s="5">
        <f t="shared" ca="1" si="72"/>
        <v>636.67348608837972</v>
      </c>
      <c r="O148" s="5">
        <f t="shared" ca="1" si="73"/>
        <v>778.34697217675944</v>
      </c>
      <c r="P148" s="5">
        <f t="shared" ca="1" si="74"/>
        <v>920.02045826513915</v>
      </c>
      <c r="Q148" s="5" t="e">
        <f t="shared" ca="1" si="75"/>
        <v>#N/A</v>
      </c>
      <c r="R148" s="5">
        <f t="shared" ca="1" si="80"/>
        <v>1</v>
      </c>
      <c r="S148" s="68" t="e">
        <f t="shared" ca="1" si="81"/>
        <v>#N/A</v>
      </c>
      <c r="T148" s="68">
        <f t="shared" ca="1" si="82"/>
        <v>1</v>
      </c>
      <c r="U148" s="68" t="e">
        <f t="shared" ca="1" si="83"/>
        <v>#N/A</v>
      </c>
      <c r="V148" s="5">
        <f t="shared" ca="1" si="62"/>
        <v>1</v>
      </c>
      <c r="W148" s="5" t="e">
        <f t="shared" ca="1" si="76"/>
        <v>#N/A</v>
      </c>
      <c r="X148" s="68">
        <f t="shared" ca="1" si="77"/>
        <v>1</v>
      </c>
      <c r="Y148" s="68" t="e">
        <f t="shared" ca="1" si="84"/>
        <v>#N/A</v>
      </c>
      <c r="Z148" s="68" t="e">
        <f t="shared" ca="1" si="85"/>
        <v>#N/A</v>
      </c>
      <c r="AA148" s="5" t="str">
        <f>IF(Setup!$I$15="Yes",'Demand background (hide)'!AJ136+'SPC background (hide)'!C148,"")</f>
        <v/>
      </c>
      <c r="AC148" s="5">
        <f t="shared" ca="1" si="78"/>
        <v>551.5</v>
      </c>
      <c r="AD148" s="5">
        <f t="shared" ca="1" si="79"/>
        <v>664</v>
      </c>
    </row>
    <row r="149" spans="1:30" x14ac:dyDescent="0.2">
      <c r="A149" s="68">
        <f ca="1">Demand!C146</f>
        <v>42</v>
      </c>
      <c r="B149" s="68">
        <v>134</v>
      </c>
      <c r="C149" s="5">
        <f ca="1">'Demand background (hide)'!Y137</f>
        <v>330</v>
      </c>
      <c r="D149" s="68">
        <f t="shared" si="63"/>
        <v>1</v>
      </c>
      <c r="E149" s="68" t="e">
        <f t="shared" ca="1" si="64"/>
        <v>#N/A</v>
      </c>
      <c r="F149" s="68" t="e">
        <f t="shared" ca="1" si="65"/>
        <v>#N/A</v>
      </c>
      <c r="G149" s="68" t="e">
        <f t="shared" ca="1" si="66"/>
        <v>#N/A</v>
      </c>
      <c r="H149" s="68" t="e">
        <f>IF('Demand background (hide)'!AN137&lt;&gt;"",'SPC background (hide)'!C149,NA())</f>
        <v>#N/A</v>
      </c>
      <c r="I149" s="68">
        <f t="shared" ca="1" si="67"/>
        <v>1</v>
      </c>
      <c r="J149" s="5">
        <f t="shared" ca="1" si="68"/>
        <v>69.979541734860845</v>
      </c>
      <c r="K149" s="5">
        <f t="shared" ca="1" si="69"/>
        <v>211.65302782324056</v>
      </c>
      <c r="L149" s="5">
        <f t="shared" ca="1" si="70"/>
        <v>353.32651391162028</v>
      </c>
      <c r="M149" s="5">
        <f t="shared" ca="1" si="71"/>
        <v>495</v>
      </c>
      <c r="N149" s="5">
        <f t="shared" ca="1" si="72"/>
        <v>636.67348608837972</v>
      </c>
      <c r="O149" s="5">
        <f t="shared" ca="1" si="73"/>
        <v>778.34697217675944</v>
      </c>
      <c r="P149" s="5">
        <f t="shared" ca="1" si="74"/>
        <v>920.02045826513915</v>
      </c>
      <c r="Q149" s="5" t="e">
        <f t="shared" ca="1" si="75"/>
        <v>#N/A</v>
      </c>
      <c r="R149" s="5">
        <f t="shared" ca="1" si="80"/>
        <v>-1</v>
      </c>
      <c r="S149" s="68" t="e">
        <f t="shared" ca="1" si="81"/>
        <v>#N/A</v>
      </c>
      <c r="T149" s="68">
        <f t="shared" ca="1" si="82"/>
        <v>-2</v>
      </c>
      <c r="U149" s="68" t="e">
        <f t="shared" ca="1" si="83"/>
        <v>#N/A</v>
      </c>
      <c r="V149" s="5">
        <f t="shared" ca="1" si="62"/>
        <v>-1</v>
      </c>
      <c r="W149" s="5" t="e">
        <f t="shared" ca="1" si="76"/>
        <v>#N/A</v>
      </c>
      <c r="X149" s="68">
        <f t="shared" ca="1" si="77"/>
        <v>-1</v>
      </c>
      <c r="Y149" s="68" t="e">
        <f t="shared" ca="1" si="84"/>
        <v>#N/A</v>
      </c>
      <c r="Z149" s="68" t="e">
        <f t="shared" ca="1" si="85"/>
        <v>#N/A</v>
      </c>
      <c r="AA149" s="5" t="str">
        <f>IF(Setup!$I$15="Yes",'Demand background (hide)'!AJ137+'SPC background (hide)'!C149,"")</f>
        <v/>
      </c>
      <c r="AC149" s="5">
        <f t="shared" ca="1" si="78"/>
        <v>551.5</v>
      </c>
      <c r="AD149" s="5">
        <f t="shared" ca="1" si="79"/>
        <v>664</v>
      </c>
    </row>
    <row r="150" spans="1:30" x14ac:dyDescent="0.2">
      <c r="A150" s="68">
        <f ca="1">Demand!C147</f>
        <v>43</v>
      </c>
      <c r="B150" s="68">
        <v>135</v>
      </c>
      <c r="C150" s="5">
        <f ca="1">'Demand background (hide)'!Y138</f>
        <v>460</v>
      </c>
      <c r="D150" s="68">
        <f t="shared" si="63"/>
        <v>1</v>
      </c>
      <c r="E150" s="68" t="e">
        <f t="shared" ca="1" si="64"/>
        <v>#N/A</v>
      </c>
      <c r="F150" s="68" t="e">
        <f t="shared" ca="1" si="65"/>
        <v>#N/A</v>
      </c>
      <c r="G150" s="68" t="e">
        <f t="shared" ca="1" si="66"/>
        <v>#N/A</v>
      </c>
      <c r="H150" s="68" t="e">
        <f>IF('Demand background (hide)'!AN138&lt;&gt;"",'SPC background (hide)'!C150,NA())</f>
        <v>#N/A</v>
      </c>
      <c r="I150" s="68">
        <f t="shared" ca="1" si="67"/>
        <v>1</v>
      </c>
      <c r="J150" s="5">
        <f t="shared" ca="1" si="68"/>
        <v>69.979541734860845</v>
      </c>
      <c r="K150" s="5">
        <f t="shared" ca="1" si="69"/>
        <v>211.65302782324056</v>
      </c>
      <c r="L150" s="5">
        <f t="shared" ca="1" si="70"/>
        <v>353.32651391162028</v>
      </c>
      <c r="M150" s="5">
        <f t="shared" ca="1" si="71"/>
        <v>495</v>
      </c>
      <c r="N150" s="5">
        <f t="shared" ca="1" si="72"/>
        <v>636.67348608837972</v>
      </c>
      <c r="O150" s="5">
        <f t="shared" ca="1" si="73"/>
        <v>778.34697217675944</v>
      </c>
      <c r="P150" s="5">
        <f t="shared" ca="1" si="74"/>
        <v>920.02045826513915</v>
      </c>
      <c r="Q150" s="5" t="e">
        <f t="shared" ca="1" si="75"/>
        <v>#N/A</v>
      </c>
      <c r="R150" s="5">
        <f t="shared" ca="1" si="80"/>
        <v>-1</v>
      </c>
      <c r="S150" s="68" t="e">
        <f t="shared" ca="1" si="81"/>
        <v>#N/A</v>
      </c>
      <c r="T150" s="68">
        <f t="shared" ca="1" si="82"/>
        <v>-1</v>
      </c>
      <c r="U150" s="68" t="e">
        <f t="shared" ca="1" si="83"/>
        <v>#N/A</v>
      </c>
      <c r="V150" s="5">
        <f t="shared" ca="1" si="62"/>
        <v>-1</v>
      </c>
      <c r="W150" s="5" t="e">
        <f t="shared" ca="1" si="76"/>
        <v>#N/A</v>
      </c>
      <c r="X150" s="68">
        <f t="shared" ca="1" si="77"/>
        <v>1</v>
      </c>
      <c r="Y150" s="68" t="e">
        <f t="shared" ca="1" si="84"/>
        <v>#N/A</v>
      </c>
      <c r="Z150" s="68" t="e">
        <f t="shared" ca="1" si="85"/>
        <v>#N/A</v>
      </c>
      <c r="AA150" s="5" t="str">
        <f>IF(Setup!$I$15="Yes",'Demand background (hide)'!AJ138+'SPC background (hide)'!C150,"")</f>
        <v/>
      </c>
      <c r="AC150" s="5">
        <f t="shared" ca="1" si="78"/>
        <v>551.5</v>
      </c>
      <c r="AD150" s="5">
        <f t="shared" ca="1" si="79"/>
        <v>664</v>
      </c>
    </row>
    <row r="151" spans="1:30" x14ac:dyDescent="0.2">
      <c r="A151" s="68">
        <f ca="1">Demand!C148</f>
        <v>44</v>
      </c>
      <c r="B151" s="68">
        <v>136</v>
      </c>
      <c r="C151" s="5">
        <f ca="1">'Demand background (hide)'!Y139</f>
        <v>470</v>
      </c>
      <c r="D151" s="68">
        <f t="shared" si="63"/>
        <v>1</v>
      </c>
      <c r="E151" s="68" t="e">
        <f t="shared" ca="1" si="64"/>
        <v>#N/A</v>
      </c>
      <c r="F151" s="68" t="e">
        <f t="shared" ca="1" si="65"/>
        <v>#N/A</v>
      </c>
      <c r="G151" s="68" t="e">
        <f t="shared" ca="1" si="66"/>
        <v>#N/A</v>
      </c>
      <c r="H151" s="68" t="e">
        <f>IF('Demand background (hide)'!AN139&lt;&gt;"",'SPC background (hide)'!C151,NA())</f>
        <v>#N/A</v>
      </c>
      <c r="I151" s="68">
        <f t="shared" ca="1" si="67"/>
        <v>1</v>
      </c>
      <c r="J151" s="5">
        <f t="shared" ca="1" si="68"/>
        <v>69.979541734860845</v>
      </c>
      <c r="K151" s="5">
        <f t="shared" ca="1" si="69"/>
        <v>211.65302782324056</v>
      </c>
      <c r="L151" s="5">
        <f t="shared" ca="1" si="70"/>
        <v>353.32651391162028</v>
      </c>
      <c r="M151" s="5">
        <f t="shared" ca="1" si="71"/>
        <v>495</v>
      </c>
      <c r="N151" s="5">
        <f t="shared" ca="1" si="72"/>
        <v>636.67348608837972</v>
      </c>
      <c r="O151" s="5">
        <f t="shared" ca="1" si="73"/>
        <v>778.34697217675944</v>
      </c>
      <c r="P151" s="5">
        <f t="shared" ca="1" si="74"/>
        <v>920.02045826513915</v>
      </c>
      <c r="Q151" s="5" t="e">
        <f t="shared" ca="1" si="75"/>
        <v>#N/A</v>
      </c>
      <c r="R151" s="5">
        <f t="shared" ca="1" si="80"/>
        <v>-1</v>
      </c>
      <c r="S151" s="68" t="e">
        <f t="shared" ca="1" si="81"/>
        <v>#N/A</v>
      </c>
      <c r="T151" s="68">
        <f t="shared" ca="1" si="82"/>
        <v>-1</v>
      </c>
      <c r="U151" s="68" t="e">
        <f t="shared" ca="1" si="83"/>
        <v>#N/A</v>
      </c>
      <c r="V151" s="5">
        <f t="shared" ca="1" si="62"/>
        <v>-1</v>
      </c>
      <c r="W151" s="5" t="e">
        <f t="shared" ca="1" si="76"/>
        <v>#N/A</v>
      </c>
      <c r="X151" s="68">
        <f t="shared" ca="1" si="77"/>
        <v>1</v>
      </c>
      <c r="Y151" s="68" t="e">
        <f t="shared" ca="1" si="84"/>
        <v>#N/A</v>
      </c>
      <c r="Z151" s="68" t="e">
        <f t="shared" ca="1" si="85"/>
        <v>#N/A</v>
      </c>
      <c r="AA151" s="5" t="str">
        <f>IF(Setup!$I$15="Yes",'Demand background (hide)'!AJ139+'SPC background (hide)'!C151,"")</f>
        <v/>
      </c>
      <c r="AC151" s="5">
        <f t="shared" ca="1" si="78"/>
        <v>551.5</v>
      </c>
      <c r="AD151" s="5">
        <f t="shared" ca="1" si="79"/>
        <v>664</v>
      </c>
    </row>
    <row r="152" spans="1:30" x14ac:dyDescent="0.2">
      <c r="A152" s="68">
        <f ca="1">Demand!C149</f>
        <v>45</v>
      </c>
      <c r="B152" s="68">
        <v>137</v>
      </c>
      <c r="C152" s="5">
        <f ca="1">'Demand background (hide)'!Y140</f>
        <v>490</v>
      </c>
      <c r="D152" s="68">
        <f t="shared" si="63"/>
        <v>1</v>
      </c>
      <c r="E152" s="68" t="e">
        <f t="shared" ca="1" si="64"/>
        <v>#N/A</v>
      </c>
      <c r="F152" s="68" t="e">
        <f t="shared" ca="1" si="65"/>
        <v>#N/A</v>
      </c>
      <c r="G152" s="68" t="e">
        <f t="shared" ca="1" si="66"/>
        <v>#N/A</v>
      </c>
      <c r="H152" s="68" t="e">
        <f>IF('Demand background (hide)'!AN140&lt;&gt;"",'SPC background (hide)'!C152,NA())</f>
        <v>#N/A</v>
      </c>
      <c r="I152" s="68">
        <f t="shared" ca="1" si="67"/>
        <v>1</v>
      </c>
      <c r="J152" s="5">
        <f t="shared" ca="1" si="68"/>
        <v>69.979541734860845</v>
      </c>
      <c r="K152" s="5">
        <f t="shared" ca="1" si="69"/>
        <v>211.65302782324056</v>
      </c>
      <c r="L152" s="5">
        <f t="shared" ca="1" si="70"/>
        <v>353.32651391162028</v>
      </c>
      <c r="M152" s="5">
        <f t="shared" ca="1" si="71"/>
        <v>495</v>
      </c>
      <c r="N152" s="5">
        <f t="shared" ca="1" si="72"/>
        <v>636.67348608837972</v>
      </c>
      <c r="O152" s="5">
        <f t="shared" ca="1" si="73"/>
        <v>778.34697217675944</v>
      </c>
      <c r="P152" s="5">
        <f t="shared" ca="1" si="74"/>
        <v>920.02045826513915</v>
      </c>
      <c r="Q152" s="5" t="e">
        <f t="shared" ca="1" si="75"/>
        <v>#N/A</v>
      </c>
      <c r="R152" s="5">
        <f t="shared" ca="1" si="80"/>
        <v>-1</v>
      </c>
      <c r="S152" s="68" t="e">
        <f t="shared" ca="1" si="81"/>
        <v>#N/A</v>
      </c>
      <c r="T152" s="68">
        <f t="shared" ca="1" si="82"/>
        <v>-1</v>
      </c>
      <c r="U152" s="68" t="e">
        <f t="shared" ca="1" si="83"/>
        <v>#N/A</v>
      </c>
      <c r="V152" s="5">
        <f t="shared" ca="1" si="62"/>
        <v>-1</v>
      </c>
      <c r="W152" s="5" t="e">
        <f t="shared" ca="1" si="76"/>
        <v>#N/A</v>
      </c>
      <c r="X152" s="68">
        <f t="shared" ca="1" si="77"/>
        <v>1</v>
      </c>
      <c r="Y152" s="68" t="e">
        <f t="shared" ca="1" si="84"/>
        <v>#N/A</v>
      </c>
      <c r="Z152" s="68" t="e">
        <f t="shared" ca="1" si="85"/>
        <v>#N/A</v>
      </c>
      <c r="AA152" s="5" t="str">
        <f>IF(Setup!$I$15="Yes",'Demand background (hide)'!AJ140+'SPC background (hide)'!C152,"")</f>
        <v/>
      </c>
      <c r="AC152" s="5">
        <f t="shared" ca="1" si="78"/>
        <v>551.5</v>
      </c>
      <c r="AD152" s="5">
        <f t="shared" ca="1" si="79"/>
        <v>664</v>
      </c>
    </row>
    <row r="153" spans="1:30" x14ac:dyDescent="0.2">
      <c r="A153" s="68">
        <f ca="1">Demand!C150</f>
        <v>46</v>
      </c>
      <c r="B153" s="68">
        <v>138</v>
      </c>
      <c r="C153" s="5">
        <f ca="1">'Demand background (hide)'!Y141</f>
        <v>430</v>
      </c>
      <c r="D153" s="68">
        <f t="shared" si="63"/>
        <v>1</v>
      </c>
      <c r="E153" s="68" t="e">
        <f t="shared" ca="1" si="64"/>
        <v>#N/A</v>
      </c>
      <c r="F153" s="68" t="e">
        <f t="shared" ca="1" si="65"/>
        <v>#N/A</v>
      </c>
      <c r="G153" s="68" t="e">
        <f t="shared" ca="1" si="66"/>
        <v>#N/A</v>
      </c>
      <c r="H153" s="68" t="e">
        <f>IF('Demand background (hide)'!AN141&lt;&gt;"",'SPC background (hide)'!C153,NA())</f>
        <v>#N/A</v>
      </c>
      <c r="I153" s="68">
        <f t="shared" ca="1" si="67"/>
        <v>1</v>
      </c>
      <c r="J153" s="5">
        <f t="shared" ca="1" si="68"/>
        <v>69.979541734860845</v>
      </c>
      <c r="K153" s="5">
        <f t="shared" ca="1" si="69"/>
        <v>211.65302782324056</v>
      </c>
      <c r="L153" s="5">
        <f t="shared" ca="1" si="70"/>
        <v>353.32651391162028</v>
      </c>
      <c r="M153" s="5">
        <f t="shared" ca="1" si="71"/>
        <v>495</v>
      </c>
      <c r="N153" s="5">
        <f t="shared" ca="1" si="72"/>
        <v>636.67348608837972</v>
      </c>
      <c r="O153" s="5">
        <f t="shared" ca="1" si="73"/>
        <v>778.34697217675944</v>
      </c>
      <c r="P153" s="5">
        <f t="shared" ca="1" si="74"/>
        <v>920.02045826513915</v>
      </c>
      <c r="Q153" s="5" t="e">
        <f t="shared" ca="1" si="75"/>
        <v>#N/A</v>
      </c>
      <c r="R153" s="5">
        <f t="shared" ca="1" si="80"/>
        <v>-1</v>
      </c>
      <c r="S153" s="68" t="e">
        <f t="shared" ca="1" si="81"/>
        <v>#N/A</v>
      </c>
      <c r="T153" s="68">
        <f t="shared" ca="1" si="82"/>
        <v>-1</v>
      </c>
      <c r="U153" s="68" t="e">
        <f t="shared" ca="1" si="83"/>
        <v>#N/A</v>
      </c>
      <c r="V153" s="5">
        <f t="shared" ca="1" si="62"/>
        <v>-1</v>
      </c>
      <c r="W153" s="5" t="e">
        <f t="shared" ca="1" si="76"/>
        <v>#N/A</v>
      </c>
      <c r="X153" s="68">
        <f t="shared" ca="1" si="77"/>
        <v>-1</v>
      </c>
      <c r="Y153" s="68" t="e">
        <f t="shared" ca="1" si="84"/>
        <v>#N/A</v>
      </c>
      <c r="Z153" s="68" t="e">
        <f t="shared" ca="1" si="85"/>
        <v>#N/A</v>
      </c>
      <c r="AA153" s="5" t="str">
        <f>IF(Setup!$I$15="Yes",'Demand background (hide)'!AJ141+'SPC background (hide)'!C153,"")</f>
        <v/>
      </c>
      <c r="AC153" s="5">
        <f t="shared" ca="1" si="78"/>
        <v>551.5</v>
      </c>
      <c r="AD153" s="5">
        <f t="shared" ca="1" si="79"/>
        <v>664</v>
      </c>
    </row>
    <row r="154" spans="1:30" x14ac:dyDescent="0.2">
      <c r="A154" s="68">
        <f ca="1">Demand!C151</f>
        <v>47</v>
      </c>
      <c r="B154" s="68">
        <v>139</v>
      </c>
      <c r="C154" s="5">
        <f ca="1">'Demand background (hide)'!Y142</f>
        <v>470</v>
      </c>
      <c r="D154" s="68">
        <f t="shared" si="63"/>
        <v>1</v>
      </c>
      <c r="E154" s="68" t="e">
        <f t="shared" ca="1" si="64"/>
        <v>#N/A</v>
      </c>
      <c r="F154" s="68" t="e">
        <f t="shared" ca="1" si="65"/>
        <v>#N/A</v>
      </c>
      <c r="G154" s="68" t="e">
        <f t="shared" ca="1" si="66"/>
        <v>#N/A</v>
      </c>
      <c r="H154" s="68" t="e">
        <f>IF('Demand background (hide)'!AN142&lt;&gt;"",'SPC background (hide)'!C154,NA())</f>
        <v>#N/A</v>
      </c>
      <c r="I154" s="68">
        <f t="shared" ca="1" si="67"/>
        <v>1</v>
      </c>
      <c r="J154" s="5">
        <f t="shared" ca="1" si="68"/>
        <v>69.979541734860845</v>
      </c>
      <c r="K154" s="5">
        <f t="shared" ca="1" si="69"/>
        <v>211.65302782324056</v>
      </c>
      <c r="L154" s="5">
        <f t="shared" ca="1" si="70"/>
        <v>353.32651391162028</v>
      </c>
      <c r="M154" s="5">
        <f t="shared" ca="1" si="71"/>
        <v>495</v>
      </c>
      <c r="N154" s="5">
        <f t="shared" ca="1" si="72"/>
        <v>636.67348608837972</v>
      </c>
      <c r="O154" s="5">
        <f t="shared" ca="1" si="73"/>
        <v>778.34697217675944</v>
      </c>
      <c r="P154" s="5">
        <f t="shared" ca="1" si="74"/>
        <v>920.02045826513915</v>
      </c>
      <c r="Q154" s="5" t="e">
        <f t="shared" ca="1" si="75"/>
        <v>#N/A</v>
      </c>
      <c r="R154" s="5">
        <f t="shared" ca="1" si="80"/>
        <v>-1</v>
      </c>
      <c r="S154" s="68" t="e">
        <f t="shared" ca="1" si="81"/>
        <v>#N/A</v>
      </c>
      <c r="T154" s="68">
        <f t="shared" ca="1" si="82"/>
        <v>-1</v>
      </c>
      <c r="U154" s="68" t="e">
        <f t="shared" ca="1" si="83"/>
        <v>#N/A</v>
      </c>
      <c r="V154" s="5">
        <f t="shared" ca="1" si="62"/>
        <v>-1</v>
      </c>
      <c r="W154" s="5" t="e">
        <f t="shared" ca="1" si="76"/>
        <v>#N/A</v>
      </c>
      <c r="X154" s="68">
        <f t="shared" ca="1" si="77"/>
        <v>1</v>
      </c>
      <c r="Y154" s="68" t="e">
        <f t="shared" ca="1" si="84"/>
        <v>#N/A</v>
      </c>
      <c r="Z154" s="68" t="e">
        <f t="shared" ca="1" si="85"/>
        <v>#N/A</v>
      </c>
      <c r="AA154" s="5" t="str">
        <f>IF(Setup!$I$15="Yes",'Demand background (hide)'!AJ142+'SPC background (hide)'!C154,"")</f>
        <v/>
      </c>
      <c r="AC154" s="5">
        <f t="shared" ca="1" si="78"/>
        <v>551.5</v>
      </c>
      <c r="AD154" s="5">
        <f t="shared" ca="1" si="79"/>
        <v>664</v>
      </c>
    </row>
    <row r="155" spans="1:30" x14ac:dyDescent="0.2">
      <c r="A155" s="68">
        <f ca="1">Demand!C152</f>
        <v>48</v>
      </c>
      <c r="B155" s="68">
        <v>140</v>
      </c>
      <c r="C155" s="5">
        <f ca="1">'Demand background (hide)'!Y143</f>
        <v>720</v>
      </c>
      <c r="D155" s="68">
        <f t="shared" si="63"/>
        <v>1</v>
      </c>
      <c r="E155" s="68" t="e">
        <f t="shared" ca="1" si="64"/>
        <v>#N/A</v>
      </c>
      <c r="F155" s="68" t="e">
        <f t="shared" ca="1" si="65"/>
        <v>#N/A</v>
      </c>
      <c r="G155" s="68" t="e">
        <f t="shared" ca="1" si="66"/>
        <v>#N/A</v>
      </c>
      <c r="H155" s="68" t="e">
        <f>IF('Demand background (hide)'!AN143&lt;&gt;"",'SPC background (hide)'!C155,NA())</f>
        <v>#N/A</v>
      </c>
      <c r="I155" s="68">
        <f t="shared" ca="1" si="67"/>
        <v>1</v>
      </c>
      <c r="J155" s="5">
        <f t="shared" ca="1" si="68"/>
        <v>69.979541734860845</v>
      </c>
      <c r="K155" s="5">
        <f t="shared" ca="1" si="69"/>
        <v>211.65302782324056</v>
      </c>
      <c r="L155" s="5">
        <f t="shared" ca="1" si="70"/>
        <v>353.32651391162028</v>
      </c>
      <c r="M155" s="5">
        <f t="shared" ca="1" si="71"/>
        <v>495</v>
      </c>
      <c r="N155" s="5">
        <f t="shared" ca="1" si="72"/>
        <v>636.67348608837972</v>
      </c>
      <c r="O155" s="5">
        <f t="shared" ca="1" si="73"/>
        <v>778.34697217675944</v>
      </c>
      <c r="P155" s="5">
        <f t="shared" ca="1" si="74"/>
        <v>920.02045826513915</v>
      </c>
      <c r="Q155" s="5" t="e">
        <f t="shared" ca="1" si="75"/>
        <v>#N/A</v>
      </c>
      <c r="R155" s="5">
        <f t="shared" ca="1" si="80"/>
        <v>1</v>
      </c>
      <c r="S155" s="68" t="e">
        <f t="shared" ca="1" si="81"/>
        <v>#N/A</v>
      </c>
      <c r="T155" s="68">
        <f t="shared" ca="1" si="82"/>
        <v>2</v>
      </c>
      <c r="U155" s="68" t="e">
        <f t="shared" ca="1" si="83"/>
        <v>#N/A</v>
      </c>
      <c r="V155" s="5">
        <f t="shared" ca="1" si="62"/>
        <v>1</v>
      </c>
      <c r="W155" s="5" t="e">
        <f t="shared" ca="1" si="76"/>
        <v>#N/A</v>
      </c>
      <c r="X155" s="68">
        <f t="shared" ca="1" si="77"/>
        <v>1</v>
      </c>
      <c r="Y155" s="68" t="e">
        <f t="shared" ca="1" si="84"/>
        <v>#N/A</v>
      </c>
      <c r="Z155" s="68" t="e">
        <f t="shared" ca="1" si="85"/>
        <v>#N/A</v>
      </c>
      <c r="AA155" s="5" t="str">
        <f>IF(Setup!$I$15="Yes",'Demand background (hide)'!AJ143+'SPC background (hide)'!C155,"")</f>
        <v/>
      </c>
      <c r="AC155" s="5">
        <f t="shared" ca="1" si="78"/>
        <v>551.5</v>
      </c>
      <c r="AD155" s="5">
        <f t="shared" ca="1" si="79"/>
        <v>664</v>
      </c>
    </row>
    <row r="156" spans="1:30" x14ac:dyDescent="0.2">
      <c r="A156" s="68">
        <f ca="1">Demand!C153</f>
        <v>49</v>
      </c>
      <c r="B156" s="68">
        <v>141</v>
      </c>
      <c r="C156" s="5">
        <f ca="1">'Demand background (hide)'!Y144</f>
        <v>250</v>
      </c>
      <c r="D156" s="68">
        <f t="shared" si="63"/>
        <v>1</v>
      </c>
      <c r="E156" s="68" t="e">
        <f t="shared" ca="1" si="64"/>
        <v>#N/A</v>
      </c>
      <c r="F156" s="68" t="e">
        <f t="shared" ca="1" si="65"/>
        <v>#N/A</v>
      </c>
      <c r="G156" s="68" t="e">
        <f t="shared" ca="1" si="66"/>
        <v>#N/A</v>
      </c>
      <c r="H156" s="68" t="e">
        <f>IF('Demand background (hide)'!AN144&lt;&gt;"",'SPC background (hide)'!C156,NA())</f>
        <v>#N/A</v>
      </c>
      <c r="I156" s="68">
        <f t="shared" ca="1" si="67"/>
        <v>1</v>
      </c>
      <c r="J156" s="5">
        <f t="shared" ca="1" si="68"/>
        <v>69.979541734860845</v>
      </c>
      <c r="K156" s="5">
        <f t="shared" ca="1" si="69"/>
        <v>211.65302782324056</v>
      </c>
      <c r="L156" s="5">
        <f t="shared" ca="1" si="70"/>
        <v>353.32651391162028</v>
      </c>
      <c r="M156" s="5">
        <f t="shared" ca="1" si="71"/>
        <v>495</v>
      </c>
      <c r="N156" s="5">
        <f t="shared" ca="1" si="72"/>
        <v>636.67348608837972</v>
      </c>
      <c r="O156" s="5">
        <f t="shared" ca="1" si="73"/>
        <v>778.34697217675944</v>
      </c>
      <c r="P156" s="5">
        <f t="shared" ca="1" si="74"/>
        <v>920.02045826513915</v>
      </c>
      <c r="Q156" s="5" t="e">
        <f t="shared" ca="1" si="75"/>
        <v>#N/A</v>
      </c>
      <c r="R156" s="5">
        <f t="shared" ca="1" si="80"/>
        <v>-1</v>
      </c>
      <c r="S156" s="68" t="e">
        <f t="shared" ca="1" si="81"/>
        <v>#N/A</v>
      </c>
      <c r="T156" s="68">
        <f t="shared" ca="1" si="82"/>
        <v>-2</v>
      </c>
      <c r="U156" s="68" t="e">
        <f t="shared" ca="1" si="83"/>
        <v>#N/A</v>
      </c>
      <c r="V156" s="5">
        <f t="shared" ca="1" si="62"/>
        <v>-1</v>
      </c>
      <c r="W156" s="5" t="e">
        <f t="shared" ca="1" si="76"/>
        <v>#N/A</v>
      </c>
      <c r="X156" s="68">
        <f t="shared" ca="1" si="77"/>
        <v>-1</v>
      </c>
      <c r="Y156" s="68" t="e">
        <f t="shared" ca="1" si="84"/>
        <v>#N/A</v>
      </c>
      <c r="Z156" s="68" t="e">
        <f t="shared" ca="1" si="85"/>
        <v>#N/A</v>
      </c>
      <c r="AA156" s="5" t="str">
        <f>IF(Setup!$I$15="Yes",'Demand background (hide)'!AJ144+'SPC background (hide)'!C156,"")</f>
        <v/>
      </c>
      <c r="AC156" s="5">
        <f t="shared" ca="1" si="78"/>
        <v>551.5</v>
      </c>
      <c r="AD156" s="5">
        <f t="shared" ca="1" si="79"/>
        <v>664</v>
      </c>
    </row>
    <row r="157" spans="1:30" x14ac:dyDescent="0.2">
      <c r="A157" s="68">
        <f ca="1">Demand!C154</f>
        <v>50</v>
      </c>
      <c r="B157" s="68">
        <v>142</v>
      </c>
      <c r="C157" s="5">
        <f ca="1">'Demand background (hide)'!Y145</f>
        <v>550</v>
      </c>
      <c r="D157" s="68">
        <f t="shared" si="63"/>
        <v>1</v>
      </c>
      <c r="E157" s="68" t="e">
        <f t="shared" ca="1" si="64"/>
        <v>#N/A</v>
      </c>
      <c r="F157" s="68" t="e">
        <f t="shared" ca="1" si="65"/>
        <v>#N/A</v>
      </c>
      <c r="G157" s="68" t="e">
        <f t="shared" ca="1" si="66"/>
        <v>#N/A</v>
      </c>
      <c r="H157" s="68" t="e">
        <f>IF('Demand background (hide)'!AN145&lt;&gt;"",'SPC background (hide)'!C157,NA())</f>
        <v>#N/A</v>
      </c>
      <c r="I157" s="68">
        <f t="shared" ca="1" si="67"/>
        <v>1</v>
      </c>
      <c r="J157" s="5">
        <f t="shared" ca="1" si="68"/>
        <v>69.979541734860845</v>
      </c>
      <c r="K157" s="5">
        <f t="shared" ca="1" si="69"/>
        <v>211.65302782324056</v>
      </c>
      <c r="L157" s="5">
        <f t="shared" ca="1" si="70"/>
        <v>353.32651391162028</v>
      </c>
      <c r="M157" s="5">
        <f t="shared" ca="1" si="71"/>
        <v>495</v>
      </c>
      <c r="N157" s="5">
        <f t="shared" ca="1" si="72"/>
        <v>636.67348608837972</v>
      </c>
      <c r="O157" s="5">
        <f t="shared" ca="1" si="73"/>
        <v>778.34697217675944</v>
      </c>
      <c r="P157" s="5">
        <f t="shared" ca="1" si="74"/>
        <v>920.02045826513915</v>
      </c>
      <c r="Q157" s="5" t="e">
        <f t="shared" ca="1" si="75"/>
        <v>#N/A</v>
      </c>
      <c r="R157" s="5">
        <f t="shared" ca="1" si="80"/>
        <v>1</v>
      </c>
      <c r="S157" s="68" t="e">
        <f t="shared" ca="1" si="81"/>
        <v>#N/A</v>
      </c>
      <c r="T157" s="68">
        <f t="shared" ca="1" si="82"/>
        <v>1</v>
      </c>
      <c r="U157" s="68" t="e">
        <f t="shared" ca="1" si="83"/>
        <v>#N/A</v>
      </c>
      <c r="V157" s="5">
        <f t="shared" ca="1" si="62"/>
        <v>1</v>
      </c>
      <c r="W157" s="5" t="e">
        <f t="shared" ca="1" si="76"/>
        <v>#N/A</v>
      </c>
      <c r="X157" s="68">
        <f t="shared" ca="1" si="77"/>
        <v>1</v>
      </c>
      <c r="Y157" s="68" t="e">
        <f t="shared" ca="1" si="84"/>
        <v>#N/A</v>
      </c>
      <c r="Z157" s="68" t="e">
        <f t="shared" ca="1" si="85"/>
        <v>#N/A</v>
      </c>
      <c r="AA157" s="5" t="str">
        <f>IF(Setup!$I$15="Yes",'Demand background (hide)'!AJ145+'SPC background (hide)'!C157,"")</f>
        <v/>
      </c>
      <c r="AC157" s="5">
        <f t="shared" ca="1" si="78"/>
        <v>551.5</v>
      </c>
      <c r="AD157" s="5">
        <f t="shared" ca="1" si="79"/>
        <v>664</v>
      </c>
    </row>
    <row r="158" spans="1:30" x14ac:dyDescent="0.2">
      <c r="A158" s="68">
        <f ca="1">Demand!C155</f>
        <v>51</v>
      </c>
      <c r="B158" s="68">
        <v>143</v>
      </c>
      <c r="C158" s="5">
        <f ca="1">'Demand background (hide)'!Y146</f>
        <v>690</v>
      </c>
      <c r="D158" s="68">
        <f t="shared" si="63"/>
        <v>1</v>
      </c>
      <c r="E158" s="68" t="e">
        <f t="shared" ca="1" si="64"/>
        <v>#N/A</v>
      </c>
      <c r="F158" s="68" t="e">
        <f t="shared" ca="1" si="65"/>
        <v>#N/A</v>
      </c>
      <c r="G158" s="68" t="e">
        <f t="shared" ca="1" si="66"/>
        <v>#N/A</v>
      </c>
      <c r="H158" s="68" t="e">
        <f>IF('Demand background (hide)'!AN146&lt;&gt;"",'SPC background (hide)'!C158,NA())</f>
        <v>#N/A</v>
      </c>
      <c r="I158" s="68">
        <f t="shared" ca="1" si="67"/>
        <v>1</v>
      </c>
      <c r="J158" s="5">
        <f t="shared" ca="1" si="68"/>
        <v>69.979541734860845</v>
      </c>
      <c r="K158" s="5">
        <f t="shared" ca="1" si="69"/>
        <v>211.65302782324056</v>
      </c>
      <c r="L158" s="5">
        <f t="shared" ca="1" si="70"/>
        <v>353.32651391162028</v>
      </c>
      <c r="M158" s="5">
        <f t="shared" ca="1" si="71"/>
        <v>495</v>
      </c>
      <c r="N158" s="5">
        <f t="shared" ca="1" si="72"/>
        <v>636.67348608837972</v>
      </c>
      <c r="O158" s="5">
        <f t="shared" ca="1" si="73"/>
        <v>778.34697217675944</v>
      </c>
      <c r="P158" s="5">
        <f t="shared" ca="1" si="74"/>
        <v>920.02045826513915</v>
      </c>
      <c r="Q158" s="5" t="e">
        <f t="shared" ca="1" si="75"/>
        <v>#N/A</v>
      </c>
      <c r="R158" s="5">
        <f t="shared" ca="1" si="80"/>
        <v>1</v>
      </c>
      <c r="S158" s="68" t="e">
        <f t="shared" ca="1" si="81"/>
        <v>#N/A</v>
      </c>
      <c r="T158" s="68">
        <f t="shared" ca="1" si="82"/>
        <v>2</v>
      </c>
      <c r="U158" s="68" t="e">
        <f t="shared" ca="1" si="83"/>
        <v>#N/A</v>
      </c>
      <c r="V158" s="5">
        <f t="shared" ca="1" si="62"/>
        <v>1</v>
      </c>
      <c r="W158" s="5" t="e">
        <f t="shared" ca="1" si="76"/>
        <v>#N/A</v>
      </c>
      <c r="X158" s="68">
        <f t="shared" ca="1" si="77"/>
        <v>1</v>
      </c>
      <c r="Y158" s="68" t="e">
        <f t="shared" ca="1" si="84"/>
        <v>#N/A</v>
      </c>
      <c r="Z158" s="68" t="e">
        <f t="shared" ca="1" si="85"/>
        <v>#N/A</v>
      </c>
      <c r="AA158" s="5" t="str">
        <f>IF(Setup!$I$15="Yes",'Demand background (hide)'!AJ146+'SPC background (hide)'!C158,"")</f>
        <v/>
      </c>
      <c r="AC158" s="5">
        <f t="shared" ca="1" si="78"/>
        <v>551.5</v>
      </c>
      <c r="AD158" s="5">
        <f t="shared" ca="1" si="79"/>
        <v>664</v>
      </c>
    </row>
    <row r="159" spans="1:30" x14ac:dyDescent="0.2">
      <c r="A159" s="68">
        <f ca="1">Demand!C156</f>
        <v>52</v>
      </c>
      <c r="B159" s="68">
        <v>144</v>
      </c>
      <c r="C159" s="5">
        <f ca="1">'Demand background (hide)'!Y147</f>
        <v>370</v>
      </c>
      <c r="D159" s="68">
        <f t="shared" si="63"/>
        <v>1</v>
      </c>
      <c r="E159" s="68" t="e">
        <f t="shared" ca="1" si="64"/>
        <v>#N/A</v>
      </c>
      <c r="F159" s="68" t="e">
        <f t="shared" ca="1" si="65"/>
        <v>#N/A</v>
      </c>
      <c r="G159" s="68" t="e">
        <f t="shared" ca="1" si="66"/>
        <v>#N/A</v>
      </c>
      <c r="H159" s="68" t="e">
        <f>IF('Demand background (hide)'!AN147&lt;&gt;"",'SPC background (hide)'!C159,NA())</f>
        <v>#N/A</v>
      </c>
      <c r="I159" s="68">
        <f t="shared" ca="1" si="67"/>
        <v>1</v>
      </c>
      <c r="J159" s="5">
        <f t="shared" ca="1" si="68"/>
        <v>69.979541734860845</v>
      </c>
      <c r="K159" s="5">
        <f t="shared" ca="1" si="69"/>
        <v>211.65302782324056</v>
      </c>
      <c r="L159" s="5">
        <f t="shared" ca="1" si="70"/>
        <v>353.32651391162028</v>
      </c>
      <c r="M159" s="5">
        <f t="shared" ca="1" si="71"/>
        <v>495</v>
      </c>
      <c r="N159" s="5">
        <f t="shared" ca="1" si="72"/>
        <v>636.67348608837972</v>
      </c>
      <c r="O159" s="5">
        <f t="shared" ca="1" si="73"/>
        <v>778.34697217675944</v>
      </c>
      <c r="P159" s="5">
        <f t="shared" ca="1" si="74"/>
        <v>920.02045826513915</v>
      </c>
      <c r="Q159" s="5" t="e">
        <f t="shared" ca="1" si="75"/>
        <v>#N/A</v>
      </c>
      <c r="R159" s="5">
        <f t="shared" ca="1" si="80"/>
        <v>-1</v>
      </c>
      <c r="S159" s="68" t="e">
        <f t="shared" ca="1" si="81"/>
        <v>#N/A</v>
      </c>
      <c r="T159" s="68">
        <f t="shared" ca="1" si="82"/>
        <v>-1</v>
      </c>
      <c r="U159" s="68" t="e">
        <f t="shared" ca="1" si="83"/>
        <v>#N/A</v>
      </c>
      <c r="V159" s="5">
        <f t="shared" ca="1" si="62"/>
        <v>-1</v>
      </c>
      <c r="W159" s="5" t="e">
        <f t="shared" ca="1" si="76"/>
        <v>#N/A</v>
      </c>
      <c r="X159" s="68">
        <f t="shared" ca="1" si="77"/>
        <v>-1</v>
      </c>
      <c r="Y159" s="68" t="e">
        <f t="shared" ca="1" si="84"/>
        <v>#N/A</v>
      </c>
      <c r="Z159" s="68" t="e">
        <f t="shared" ca="1" si="85"/>
        <v>#N/A</v>
      </c>
      <c r="AA159" s="5" t="str">
        <f>IF(Setup!$I$15="Yes",'Demand background (hide)'!AJ147+'SPC background (hide)'!C159,"")</f>
        <v/>
      </c>
      <c r="AC159" s="5">
        <f t="shared" ca="1" si="78"/>
        <v>551.5</v>
      </c>
      <c r="AD159" s="5">
        <f t="shared" ca="1" si="79"/>
        <v>664</v>
      </c>
    </row>
    <row r="160" spans="1:30" x14ac:dyDescent="0.2">
      <c r="A160" s="68">
        <f ca="1">Demand!C157</f>
        <v>1</v>
      </c>
      <c r="B160" s="68">
        <v>145</v>
      </c>
      <c r="C160" s="5">
        <f ca="1">'Demand background (hide)'!Y148</f>
        <v>560</v>
      </c>
      <c r="D160" s="68">
        <f t="shared" si="63"/>
        <v>1</v>
      </c>
      <c r="E160" s="68" t="e">
        <f t="shared" ca="1" si="64"/>
        <v>#N/A</v>
      </c>
      <c r="F160" s="68" t="e">
        <f t="shared" ca="1" si="65"/>
        <v>#N/A</v>
      </c>
      <c r="G160" s="68" t="e">
        <f t="shared" ca="1" si="66"/>
        <v>#N/A</v>
      </c>
      <c r="H160" s="68" t="e">
        <f>IF('Demand background (hide)'!AN148&lt;&gt;"",'SPC background (hide)'!C160,NA())</f>
        <v>#N/A</v>
      </c>
      <c r="I160" s="68">
        <f t="shared" ca="1" si="67"/>
        <v>1</v>
      </c>
      <c r="J160" s="5">
        <f t="shared" ca="1" si="68"/>
        <v>69.979541734860845</v>
      </c>
      <c r="K160" s="5">
        <f t="shared" ca="1" si="69"/>
        <v>211.65302782324056</v>
      </c>
      <c r="L160" s="5">
        <f t="shared" ca="1" si="70"/>
        <v>353.32651391162028</v>
      </c>
      <c r="M160" s="5">
        <f t="shared" ca="1" si="71"/>
        <v>495</v>
      </c>
      <c r="N160" s="5">
        <f t="shared" ca="1" si="72"/>
        <v>636.67348608837972</v>
      </c>
      <c r="O160" s="5">
        <f t="shared" ca="1" si="73"/>
        <v>778.34697217675944</v>
      </c>
      <c r="P160" s="5">
        <f t="shared" ca="1" si="74"/>
        <v>920.02045826513915</v>
      </c>
      <c r="Q160" s="5" t="e">
        <f t="shared" ca="1" si="75"/>
        <v>#N/A</v>
      </c>
      <c r="R160" s="5">
        <f t="shared" ca="1" si="80"/>
        <v>1</v>
      </c>
      <c r="S160" s="68" t="e">
        <f t="shared" ca="1" si="81"/>
        <v>#N/A</v>
      </c>
      <c r="T160" s="68">
        <f t="shared" ca="1" si="82"/>
        <v>1</v>
      </c>
      <c r="U160" s="68" t="e">
        <f t="shared" ca="1" si="83"/>
        <v>#N/A</v>
      </c>
      <c r="V160" s="5">
        <f t="shared" ca="1" si="62"/>
        <v>1</v>
      </c>
      <c r="W160" s="5" t="e">
        <f t="shared" ca="1" si="76"/>
        <v>#N/A</v>
      </c>
      <c r="X160" s="68">
        <f t="shared" ca="1" si="77"/>
        <v>1</v>
      </c>
      <c r="Y160" s="68" t="e">
        <f t="shared" ca="1" si="84"/>
        <v>#N/A</v>
      </c>
      <c r="Z160" s="68" t="e">
        <f t="shared" ca="1" si="85"/>
        <v>#N/A</v>
      </c>
      <c r="AA160" s="5" t="str">
        <f>IF(Setup!$I$15="Yes",'Demand background (hide)'!AJ148+'SPC background (hide)'!C160,"")</f>
        <v/>
      </c>
      <c r="AC160" s="5">
        <f t="shared" ca="1" si="78"/>
        <v>551.5</v>
      </c>
      <c r="AD160" s="5">
        <f t="shared" ca="1" si="79"/>
        <v>664</v>
      </c>
    </row>
    <row r="161" spans="1:30" x14ac:dyDescent="0.2">
      <c r="A161" s="68">
        <f ca="1">Demand!C158</f>
        <v>2</v>
      </c>
      <c r="B161" s="68">
        <v>146</v>
      </c>
      <c r="C161" s="5">
        <f ca="1">'Demand background (hide)'!Y149</f>
        <v>270</v>
      </c>
      <c r="D161" s="68">
        <f t="shared" si="63"/>
        <v>1</v>
      </c>
      <c r="E161" s="68" t="e">
        <f t="shared" ca="1" si="64"/>
        <v>#N/A</v>
      </c>
      <c r="F161" s="68" t="e">
        <f t="shared" ca="1" si="65"/>
        <v>#N/A</v>
      </c>
      <c r="G161" s="68" t="e">
        <f t="shared" ca="1" si="66"/>
        <v>#N/A</v>
      </c>
      <c r="H161" s="68" t="e">
        <f>IF('Demand background (hide)'!AN149&lt;&gt;"",'SPC background (hide)'!C161,NA())</f>
        <v>#N/A</v>
      </c>
      <c r="I161" s="68">
        <f t="shared" ca="1" si="67"/>
        <v>1</v>
      </c>
      <c r="J161" s="5">
        <f t="shared" ca="1" si="68"/>
        <v>69.979541734860845</v>
      </c>
      <c r="K161" s="5">
        <f t="shared" ca="1" si="69"/>
        <v>211.65302782324056</v>
      </c>
      <c r="L161" s="5">
        <f t="shared" ca="1" si="70"/>
        <v>353.32651391162028</v>
      </c>
      <c r="M161" s="5">
        <f t="shared" ca="1" si="71"/>
        <v>495</v>
      </c>
      <c r="N161" s="5">
        <f t="shared" ca="1" si="72"/>
        <v>636.67348608837972</v>
      </c>
      <c r="O161" s="5">
        <f t="shared" ca="1" si="73"/>
        <v>778.34697217675944</v>
      </c>
      <c r="P161" s="5">
        <f t="shared" ca="1" si="74"/>
        <v>920.02045826513915</v>
      </c>
      <c r="Q161" s="5" t="e">
        <f t="shared" ca="1" si="75"/>
        <v>#N/A</v>
      </c>
      <c r="R161" s="5">
        <f t="shared" ca="1" si="80"/>
        <v>-1</v>
      </c>
      <c r="S161" s="68" t="e">
        <f t="shared" ca="1" si="81"/>
        <v>#N/A</v>
      </c>
      <c r="T161" s="68">
        <f t="shared" ca="1" si="82"/>
        <v>-2</v>
      </c>
      <c r="U161" s="68" t="e">
        <f t="shared" ca="1" si="83"/>
        <v>#N/A</v>
      </c>
      <c r="V161" s="5">
        <f t="shared" ca="1" si="62"/>
        <v>-1</v>
      </c>
      <c r="W161" s="5" t="e">
        <f t="shared" ca="1" si="76"/>
        <v>#N/A</v>
      </c>
      <c r="X161" s="68">
        <f t="shared" ca="1" si="77"/>
        <v>-1</v>
      </c>
      <c r="Y161" s="68" t="e">
        <f t="shared" ca="1" si="84"/>
        <v>#N/A</v>
      </c>
      <c r="Z161" s="68" t="e">
        <f t="shared" ca="1" si="85"/>
        <v>#N/A</v>
      </c>
      <c r="AA161" s="5" t="str">
        <f>IF(Setup!$I$15="Yes",'Demand background (hide)'!AJ149+'SPC background (hide)'!C161,"")</f>
        <v/>
      </c>
      <c r="AC161" s="5">
        <f t="shared" ca="1" si="78"/>
        <v>551.5</v>
      </c>
      <c r="AD161" s="5">
        <f t="shared" ca="1" si="79"/>
        <v>664</v>
      </c>
    </row>
    <row r="162" spans="1:30" x14ac:dyDescent="0.2">
      <c r="A162" s="68">
        <f ca="1">Demand!C159</f>
        <v>3</v>
      </c>
      <c r="B162" s="68">
        <v>147</v>
      </c>
      <c r="C162" s="5">
        <f ca="1">'Demand background (hide)'!Y150</f>
        <v>450</v>
      </c>
      <c r="D162" s="68">
        <f t="shared" si="63"/>
        <v>1</v>
      </c>
      <c r="E162" s="68" t="e">
        <f t="shared" ca="1" si="64"/>
        <v>#N/A</v>
      </c>
      <c r="F162" s="68" t="e">
        <f t="shared" ca="1" si="65"/>
        <v>#N/A</v>
      </c>
      <c r="G162" s="68" t="e">
        <f t="shared" ca="1" si="66"/>
        <v>#N/A</v>
      </c>
      <c r="H162" s="68" t="e">
        <f>IF('Demand background (hide)'!AN150&lt;&gt;"",'SPC background (hide)'!C162,NA())</f>
        <v>#N/A</v>
      </c>
      <c r="I162" s="68">
        <f t="shared" ca="1" si="67"/>
        <v>1</v>
      </c>
      <c r="J162" s="5">
        <f t="shared" ca="1" si="68"/>
        <v>69.979541734860845</v>
      </c>
      <c r="K162" s="5">
        <f t="shared" ca="1" si="69"/>
        <v>211.65302782324056</v>
      </c>
      <c r="L162" s="5">
        <f t="shared" ca="1" si="70"/>
        <v>353.32651391162028</v>
      </c>
      <c r="M162" s="5">
        <f t="shared" ca="1" si="71"/>
        <v>495</v>
      </c>
      <c r="N162" s="5">
        <f t="shared" ca="1" si="72"/>
        <v>636.67348608837972</v>
      </c>
      <c r="O162" s="5">
        <f t="shared" ca="1" si="73"/>
        <v>778.34697217675944</v>
      </c>
      <c r="P162" s="5">
        <f t="shared" ca="1" si="74"/>
        <v>920.02045826513915</v>
      </c>
      <c r="Q162" s="5" t="e">
        <f t="shared" ca="1" si="75"/>
        <v>#N/A</v>
      </c>
      <c r="R162" s="5">
        <f t="shared" ca="1" si="80"/>
        <v>-1</v>
      </c>
      <c r="S162" s="68" t="e">
        <f t="shared" ca="1" si="81"/>
        <v>#N/A</v>
      </c>
      <c r="T162" s="68">
        <f t="shared" ca="1" si="82"/>
        <v>-1</v>
      </c>
      <c r="U162" s="68" t="e">
        <f t="shared" ca="1" si="83"/>
        <v>#N/A</v>
      </c>
      <c r="V162" s="5">
        <f t="shared" ca="1" si="62"/>
        <v>-1</v>
      </c>
      <c r="W162" s="5" t="e">
        <f t="shared" ca="1" si="76"/>
        <v>#N/A</v>
      </c>
      <c r="X162" s="68">
        <f t="shared" ca="1" si="77"/>
        <v>1</v>
      </c>
      <c r="Y162" s="68" t="e">
        <f t="shared" ca="1" si="84"/>
        <v>#N/A</v>
      </c>
      <c r="Z162" s="68" t="e">
        <f t="shared" ca="1" si="85"/>
        <v>#N/A</v>
      </c>
      <c r="AA162" s="5" t="str">
        <f>IF(Setup!$I$15="Yes",'Demand background (hide)'!AJ150+'SPC background (hide)'!C162,"")</f>
        <v/>
      </c>
      <c r="AC162" s="5">
        <f t="shared" ca="1" si="78"/>
        <v>551.5</v>
      </c>
      <c r="AD162" s="5">
        <f t="shared" ca="1" si="79"/>
        <v>664</v>
      </c>
    </row>
    <row r="163" spans="1:30" x14ac:dyDescent="0.2">
      <c r="A163" s="68">
        <f ca="1">Demand!C160</f>
        <v>4</v>
      </c>
      <c r="B163" s="68">
        <v>148</v>
      </c>
      <c r="C163" s="5">
        <f ca="1">'Demand background (hide)'!Y151</f>
        <v>750</v>
      </c>
      <c r="D163" s="68">
        <f t="shared" si="63"/>
        <v>1</v>
      </c>
      <c r="E163" s="68" t="e">
        <f t="shared" ca="1" si="64"/>
        <v>#N/A</v>
      </c>
      <c r="F163" s="68" t="e">
        <f t="shared" ca="1" si="65"/>
        <v>#N/A</v>
      </c>
      <c r="G163" s="68" t="e">
        <f t="shared" ca="1" si="66"/>
        <v>#N/A</v>
      </c>
      <c r="H163" s="68" t="e">
        <f>IF('Demand background (hide)'!AN151&lt;&gt;"",'SPC background (hide)'!C163,NA())</f>
        <v>#N/A</v>
      </c>
      <c r="I163" s="68">
        <f t="shared" ca="1" si="67"/>
        <v>1</v>
      </c>
      <c r="J163" s="5">
        <f t="shared" ca="1" si="68"/>
        <v>69.979541734860845</v>
      </c>
      <c r="K163" s="5">
        <f t="shared" ca="1" si="69"/>
        <v>211.65302782324056</v>
      </c>
      <c r="L163" s="5">
        <f t="shared" ca="1" si="70"/>
        <v>353.32651391162028</v>
      </c>
      <c r="M163" s="5">
        <f t="shared" ca="1" si="71"/>
        <v>495</v>
      </c>
      <c r="N163" s="5">
        <f t="shared" ca="1" si="72"/>
        <v>636.67348608837972</v>
      </c>
      <c r="O163" s="5">
        <f t="shared" ca="1" si="73"/>
        <v>778.34697217675944</v>
      </c>
      <c r="P163" s="5">
        <f t="shared" ca="1" si="74"/>
        <v>920.02045826513915</v>
      </c>
      <c r="Q163" s="5" t="e">
        <f t="shared" ca="1" si="75"/>
        <v>#N/A</v>
      </c>
      <c r="R163" s="5">
        <f t="shared" ca="1" si="80"/>
        <v>1</v>
      </c>
      <c r="S163" s="68" t="e">
        <f t="shared" ca="1" si="81"/>
        <v>#N/A</v>
      </c>
      <c r="T163" s="68">
        <f t="shared" ca="1" si="82"/>
        <v>2</v>
      </c>
      <c r="U163" s="68" t="e">
        <f t="shared" ca="1" si="83"/>
        <v>#N/A</v>
      </c>
      <c r="V163" s="5">
        <f t="shared" ca="1" si="62"/>
        <v>1</v>
      </c>
      <c r="W163" s="5" t="e">
        <f t="shared" ca="1" si="76"/>
        <v>#N/A</v>
      </c>
      <c r="X163" s="68">
        <f t="shared" ca="1" si="77"/>
        <v>1</v>
      </c>
      <c r="Y163" s="68" t="e">
        <f t="shared" ca="1" si="84"/>
        <v>#N/A</v>
      </c>
      <c r="Z163" s="68" t="e">
        <f t="shared" ca="1" si="85"/>
        <v>#N/A</v>
      </c>
      <c r="AA163" s="5" t="str">
        <f>IF(Setup!$I$15="Yes",'Demand background (hide)'!AJ151+'SPC background (hide)'!C163,"")</f>
        <v/>
      </c>
      <c r="AC163" s="5">
        <f t="shared" ca="1" si="78"/>
        <v>551.5</v>
      </c>
      <c r="AD163" s="5">
        <f t="shared" ca="1" si="79"/>
        <v>664</v>
      </c>
    </row>
    <row r="164" spans="1:30" x14ac:dyDescent="0.2">
      <c r="A164" s="68">
        <f ca="1">Demand!C161</f>
        <v>5</v>
      </c>
      <c r="B164" s="68">
        <v>149</v>
      </c>
      <c r="C164" s="5">
        <f ca="1">'Demand background (hide)'!Y152</f>
        <v>390</v>
      </c>
      <c r="D164" s="68">
        <f t="shared" si="63"/>
        <v>1</v>
      </c>
      <c r="E164" s="68" t="e">
        <f t="shared" ca="1" si="64"/>
        <v>#N/A</v>
      </c>
      <c r="F164" s="68" t="e">
        <f t="shared" ca="1" si="65"/>
        <v>#N/A</v>
      </c>
      <c r="G164" s="68" t="e">
        <f t="shared" ca="1" si="66"/>
        <v>#N/A</v>
      </c>
      <c r="H164" s="68" t="e">
        <f>IF('Demand background (hide)'!AN152&lt;&gt;"",'SPC background (hide)'!C164,NA())</f>
        <v>#N/A</v>
      </c>
      <c r="I164" s="68">
        <f t="shared" ca="1" si="67"/>
        <v>1</v>
      </c>
      <c r="J164" s="5">
        <f t="shared" ca="1" si="68"/>
        <v>69.979541734860845</v>
      </c>
      <c r="K164" s="5">
        <f t="shared" ca="1" si="69"/>
        <v>211.65302782324056</v>
      </c>
      <c r="L164" s="5">
        <f t="shared" ca="1" si="70"/>
        <v>353.32651391162028</v>
      </c>
      <c r="M164" s="5">
        <f t="shared" ca="1" si="71"/>
        <v>495</v>
      </c>
      <c r="N164" s="5">
        <f t="shared" ca="1" si="72"/>
        <v>636.67348608837972</v>
      </c>
      <c r="O164" s="5">
        <f t="shared" ca="1" si="73"/>
        <v>778.34697217675944</v>
      </c>
      <c r="P164" s="5">
        <f t="shared" ca="1" si="74"/>
        <v>920.02045826513915</v>
      </c>
      <c r="Q164" s="5" t="e">
        <f t="shared" ca="1" si="75"/>
        <v>#N/A</v>
      </c>
      <c r="R164" s="5">
        <f t="shared" ca="1" si="80"/>
        <v>-1</v>
      </c>
      <c r="S164" s="68" t="e">
        <f t="shared" ca="1" si="81"/>
        <v>#N/A</v>
      </c>
      <c r="T164" s="68">
        <f t="shared" ca="1" si="82"/>
        <v>-1</v>
      </c>
      <c r="U164" s="68" t="e">
        <f t="shared" ca="1" si="83"/>
        <v>#N/A</v>
      </c>
      <c r="V164" s="5">
        <f t="shared" ca="1" si="62"/>
        <v>-1</v>
      </c>
      <c r="W164" s="5" t="e">
        <f t="shared" ca="1" si="76"/>
        <v>#N/A</v>
      </c>
      <c r="X164" s="68">
        <f t="shared" ca="1" si="77"/>
        <v>-1</v>
      </c>
      <c r="Y164" s="68" t="e">
        <f t="shared" ca="1" si="84"/>
        <v>#N/A</v>
      </c>
      <c r="Z164" s="68" t="e">
        <f t="shared" ca="1" si="85"/>
        <v>#N/A</v>
      </c>
      <c r="AA164" s="5" t="str">
        <f>IF(Setup!$I$15="Yes",'Demand background (hide)'!AJ152+'SPC background (hide)'!C164,"")</f>
        <v/>
      </c>
      <c r="AC164" s="5">
        <f t="shared" ca="1" si="78"/>
        <v>551.5</v>
      </c>
      <c r="AD164" s="5">
        <f t="shared" ca="1" si="79"/>
        <v>664</v>
      </c>
    </row>
    <row r="165" spans="1:30" x14ac:dyDescent="0.2">
      <c r="A165" s="68">
        <f ca="1">Demand!C162</f>
        <v>6</v>
      </c>
      <c r="B165" s="68">
        <v>150</v>
      </c>
      <c r="C165" s="5">
        <f ca="1">'Demand background (hide)'!Y153</f>
        <v>620</v>
      </c>
      <c r="D165" s="68">
        <f t="shared" si="63"/>
        <v>1</v>
      </c>
      <c r="E165" s="68" t="e">
        <f t="shared" ca="1" si="64"/>
        <v>#N/A</v>
      </c>
      <c r="F165" s="68" t="e">
        <f t="shared" ca="1" si="65"/>
        <v>#N/A</v>
      </c>
      <c r="G165" s="68" t="e">
        <f t="shared" ca="1" si="66"/>
        <v>#N/A</v>
      </c>
      <c r="H165" s="68" t="e">
        <f>IF('Demand background (hide)'!AN153&lt;&gt;"",'SPC background (hide)'!C165,NA())</f>
        <v>#N/A</v>
      </c>
      <c r="I165" s="68">
        <f t="shared" ca="1" si="67"/>
        <v>5</v>
      </c>
      <c r="J165" s="5">
        <f t="shared" ca="1" si="68"/>
        <v>69.979541734860845</v>
      </c>
      <c r="K165" s="5">
        <f t="shared" ca="1" si="69"/>
        <v>211.65302782324056</v>
      </c>
      <c r="L165" s="5">
        <f t="shared" ca="1" si="70"/>
        <v>353.32651391162028</v>
      </c>
      <c r="M165" s="5">
        <f t="shared" ca="1" si="71"/>
        <v>495</v>
      </c>
      <c r="N165" s="5">
        <f t="shared" ca="1" si="72"/>
        <v>636.67348608837972</v>
      </c>
      <c r="O165" s="5">
        <f t="shared" ca="1" si="73"/>
        <v>778.34697217675944</v>
      </c>
      <c r="P165" s="5">
        <f t="shared" ca="1" si="74"/>
        <v>920.02045826513915</v>
      </c>
      <c r="Q165" s="5" t="e">
        <f t="shared" ca="1" si="75"/>
        <v>#N/A</v>
      </c>
      <c r="R165" s="5">
        <f t="shared" ca="1" si="80"/>
        <v>1</v>
      </c>
      <c r="S165" s="68" t="e">
        <f t="shared" ca="1" si="81"/>
        <v>#N/A</v>
      </c>
      <c r="T165" s="68">
        <f t="shared" ca="1" si="82"/>
        <v>1</v>
      </c>
      <c r="U165" s="68" t="e">
        <f t="shared" ca="1" si="83"/>
        <v>#N/A</v>
      </c>
      <c r="V165" s="5">
        <f t="shared" ca="1" si="62"/>
        <v>1</v>
      </c>
      <c r="W165" s="5" t="e">
        <f t="shared" ca="1" si="76"/>
        <v>#N/A</v>
      </c>
      <c r="X165" s="68">
        <f t="shared" ca="1" si="77"/>
        <v>1</v>
      </c>
      <c r="Y165" s="68" t="e">
        <f t="shared" ca="1" si="84"/>
        <v>#N/A</v>
      </c>
      <c r="Z165" s="68" t="e">
        <f t="shared" ca="1" si="85"/>
        <v>#N/A</v>
      </c>
      <c r="AA165" s="5" t="str">
        <f>IF(Setup!$I$15="Yes",'Demand background (hide)'!AJ153+'SPC background (hide)'!C165,"")</f>
        <v/>
      </c>
      <c r="AC165" s="5">
        <f t="shared" ca="1" si="78"/>
        <v>551.5</v>
      </c>
      <c r="AD165" s="5">
        <f t="shared" ca="1" si="79"/>
        <v>664</v>
      </c>
    </row>
    <row r="166" spans="1:30" x14ac:dyDescent="0.2">
      <c r="A166" s="68">
        <f ca="1">Demand!C163</f>
        <v>7</v>
      </c>
      <c r="B166" s="68">
        <v>151</v>
      </c>
      <c r="C166" s="5">
        <f ca="1">'Demand background (hide)'!Y154</f>
        <v>340</v>
      </c>
      <c r="D166" s="68">
        <f t="shared" si="63"/>
        <v>1</v>
      </c>
      <c r="E166" s="68" t="e">
        <f t="shared" ca="1" si="64"/>
        <v>#N/A</v>
      </c>
      <c r="F166" s="68" t="e">
        <f t="shared" ca="1" si="65"/>
        <v>#N/A</v>
      </c>
      <c r="G166" s="68" t="e">
        <f t="shared" ca="1" si="66"/>
        <v>#N/A</v>
      </c>
      <c r="H166" s="68" t="e">
        <f>IF('Demand background (hide)'!AN154&lt;&gt;"",'SPC background (hide)'!C166,NA())</f>
        <v>#N/A</v>
      </c>
      <c r="I166" s="68">
        <f t="shared" ca="1" si="67"/>
        <v>1</v>
      </c>
      <c r="J166" s="5">
        <f t="shared" ca="1" si="68"/>
        <v>69.979541734860845</v>
      </c>
      <c r="K166" s="5">
        <f t="shared" ca="1" si="69"/>
        <v>211.65302782324056</v>
      </c>
      <c r="L166" s="5">
        <f t="shared" ca="1" si="70"/>
        <v>353.32651391162028</v>
      </c>
      <c r="M166" s="5">
        <f t="shared" ca="1" si="71"/>
        <v>495</v>
      </c>
      <c r="N166" s="5">
        <f t="shared" ca="1" si="72"/>
        <v>636.67348608837972</v>
      </c>
      <c r="O166" s="5">
        <f t="shared" ca="1" si="73"/>
        <v>778.34697217675944</v>
      </c>
      <c r="P166" s="5">
        <f t="shared" ca="1" si="74"/>
        <v>920.02045826513915</v>
      </c>
      <c r="Q166" s="5" t="e">
        <f t="shared" ca="1" si="75"/>
        <v>#N/A</v>
      </c>
      <c r="R166" s="5">
        <f t="shared" ca="1" si="80"/>
        <v>-1</v>
      </c>
      <c r="S166" s="68" t="e">
        <f t="shared" ca="1" si="81"/>
        <v>#N/A</v>
      </c>
      <c r="T166" s="68">
        <f t="shared" ca="1" si="82"/>
        <v>-2</v>
      </c>
      <c r="U166" s="68" t="e">
        <f t="shared" ca="1" si="83"/>
        <v>#N/A</v>
      </c>
      <c r="V166" s="5">
        <f t="shared" ca="1" si="62"/>
        <v>-1</v>
      </c>
      <c r="W166" s="5" t="e">
        <f t="shared" ca="1" si="76"/>
        <v>#N/A</v>
      </c>
      <c r="X166" s="68">
        <f t="shared" ca="1" si="77"/>
        <v>-1</v>
      </c>
      <c r="Y166" s="68" t="e">
        <f t="shared" ca="1" si="84"/>
        <v>#N/A</v>
      </c>
      <c r="Z166" s="68" t="e">
        <f t="shared" ca="1" si="85"/>
        <v>#N/A</v>
      </c>
      <c r="AA166" s="5" t="str">
        <f>IF(Setup!$I$15="Yes",'Demand background (hide)'!AJ154+'SPC background (hide)'!C166,"")</f>
        <v/>
      </c>
      <c r="AC166" s="5">
        <f t="shared" ca="1" si="78"/>
        <v>551.5</v>
      </c>
      <c r="AD166" s="5">
        <f t="shared" ca="1" si="79"/>
        <v>664</v>
      </c>
    </row>
    <row r="167" spans="1:30" x14ac:dyDescent="0.2">
      <c r="A167" s="68" t="str">
        <f ca="1">Demand!C164</f>
        <v/>
      </c>
      <c r="B167" s="68">
        <v>152</v>
      </c>
      <c r="C167" s="5">
        <f ca="1">'Demand background (hide)'!Y155</f>
        <v>0</v>
      </c>
      <c r="D167" s="68">
        <f t="shared" si="63"/>
        <v>0</v>
      </c>
      <c r="E167" s="68" t="e">
        <f t="shared" ca="1" si="64"/>
        <v>#N/A</v>
      </c>
      <c r="F167" s="68" t="e">
        <f t="shared" ca="1" si="65"/>
        <v>#N/A</v>
      </c>
      <c r="G167" s="68" t="e">
        <f t="shared" ca="1" si="66"/>
        <v>#N/A</v>
      </c>
      <c r="H167" s="68" t="e">
        <f>IF('Demand background (hide)'!AN155&lt;&gt;"",'SPC background (hide)'!C167,NA())</f>
        <v>#N/A</v>
      </c>
      <c r="I167" s="68" t="e">
        <f t="shared" ca="1" si="67"/>
        <v>#N/A</v>
      </c>
      <c r="J167" s="5" t="e">
        <f t="shared" ca="1" si="68"/>
        <v>#N/A</v>
      </c>
      <c r="K167" s="5" t="e">
        <f t="shared" ca="1" si="69"/>
        <v>#N/A</v>
      </c>
      <c r="L167" s="5" t="e">
        <f t="shared" ca="1" si="70"/>
        <v>#N/A</v>
      </c>
      <c r="M167" s="5" t="e">
        <f t="shared" ca="1" si="71"/>
        <v>#N/A</v>
      </c>
      <c r="N167" s="5" t="e">
        <f t="shared" ca="1" si="72"/>
        <v>#N/A</v>
      </c>
      <c r="O167" s="5" t="e">
        <f t="shared" ca="1" si="73"/>
        <v>#N/A</v>
      </c>
      <c r="P167" s="5" t="e">
        <f t="shared" ca="1" si="74"/>
        <v>#N/A</v>
      </c>
      <c r="Q167" s="5" t="e">
        <f t="shared" ca="1" si="75"/>
        <v>#N/A</v>
      </c>
      <c r="R167" s="5" t="e">
        <f t="shared" ca="1" si="80"/>
        <v>#N/A</v>
      </c>
      <c r="S167" s="68" t="e">
        <f t="shared" ca="1" si="81"/>
        <v>#N/A</v>
      </c>
      <c r="T167" s="68" t="e">
        <f t="shared" ca="1" si="82"/>
        <v>#N/A</v>
      </c>
      <c r="U167" s="68" t="e">
        <f t="shared" ca="1" si="83"/>
        <v>#N/A</v>
      </c>
      <c r="V167" s="5" t="e">
        <f t="shared" ca="1" si="62"/>
        <v>#N/A</v>
      </c>
      <c r="W167" s="5" t="e">
        <f t="shared" ca="1" si="76"/>
        <v>#N/A</v>
      </c>
      <c r="X167" s="68">
        <f t="shared" ca="1" si="77"/>
        <v>-1</v>
      </c>
      <c r="Y167" s="68" t="e">
        <f t="shared" ca="1" si="84"/>
        <v>#N/A</v>
      </c>
      <c r="Z167" s="68" t="e">
        <f t="shared" ca="1" si="85"/>
        <v>#N/A</v>
      </c>
      <c r="AA167" s="5" t="str">
        <f>IF(Setup!$I$15="Yes",'Demand background (hide)'!AJ155+'SPC background (hide)'!C167,"")</f>
        <v/>
      </c>
      <c r="AC167" s="5" t="e">
        <f t="shared" ca="1" si="78"/>
        <v>#N/A</v>
      </c>
      <c r="AD167" s="5" t="e">
        <f t="shared" ca="1" si="79"/>
        <v>#N/A</v>
      </c>
    </row>
    <row r="168" spans="1:30" x14ac:dyDescent="0.2">
      <c r="A168" s="68" t="str">
        <f ca="1">Demand!C165</f>
        <v/>
      </c>
      <c r="B168" s="68">
        <v>153</v>
      </c>
      <c r="C168" s="5">
        <f ca="1">'Demand background (hide)'!Y156</f>
        <v>0</v>
      </c>
      <c r="D168" s="68">
        <f t="shared" si="63"/>
        <v>0</v>
      </c>
      <c r="E168" s="68" t="e">
        <f t="shared" ca="1" si="64"/>
        <v>#N/A</v>
      </c>
      <c r="F168" s="68" t="e">
        <f t="shared" ca="1" si="65"/>
        <v>#N/A</v>
      </c>
      <c r="G168" s="68" t="e">
        <f t="shared" ca="1" si="66"/>
        <v>#N/A</v>
      </c>
      <c r="H168" s="68" t="e">
        <f>IF('Demand background (hide)'!AN156&lt;&gt;"",'SPC background (hide)'!C168,NA())</f>
        <v>#N/A</v>
      </c>
      <c r="I168" s="68" t="e">
        <f t="shared" ca="1" si="67"/>
        <v>#N/A</v>
      </c>
      <c r="J168" s="5" t="e">
        <f t="shared" ca="1" si="68"/>
        <v>#N/A</v>
      </c>
      <c r="K168" s="5" t="e">
        <f t="shared" ca="1" si="69"/>
        <v>#N/A</v>
      </c>
      <c r="L168" s="5" t="e">
        <f t="shared" ca="1" si="70"/>
        <v>#N/A</v>
      </c>
      <c r="M168" s="5" t="e">
        <f t="shared" ca="1" si="71"/>
        <v>#N/A</v>
      </c>
      <c r="N168" s="5" t="e">
        <f t="shared" ca="1" si="72"/>
        <v>#N/A</v>
      </c>
      <c r="O168" s="5" t="e">
        <f t="shared" ca="1" si="73"/>
        <v>#N/A</v>
      </c>
      <c r="P168" s="5" t="e">
        <f t="shared" ca="1" si="74"/>
        <v>#N/A</v>
      </c>
      <c r="Q168" s="5" t="e">
        <f t="shared" ca="1" si="75"/>
        <v>#N/A</v>
      </c>
      <c r="R168" s="5" t="e">
        <f t="shared" ca="1" si="80"/>
        <v>#N/A</v>
      </c>
      <c r="S168" s="68" t="e">
        <f t="shared" ca="1" si="81"/>
        <v>#N/A</v>
      </c>
      <c r="T168" s="68" t="e">
        <f t="shared" ca="1" si="82"/>
        <v>#N/A</v>
      </c>
      <c r="U168" s="68" t="e">
        <f t="shared" ca="1" si="83"/>
        <v>#N/A</v>
      </c>
      <c r="V168" s="5" t="e">
        <f t="shared" ca="1" si="62"/>
        <v>#N/A</v>
      </c>
      <c r="W168" s="5" t="e">
        <f t="shared" ca="1" si="76"/>
        <v>#N/A</v>
      </c>
      <c r="X168" s="68">
        <f t="shared" ca="1" si="77"/>
        <v>0</v>
      </c>
      <c r="Y168" s="68" t="e">
        <f t="shared" ca="1" si="84"/>
        <v>#N/A</v>
      </c>
      <c r="Z168" s="68" t="e">
        <f t="shared" ca="1" si="85"/>
        <v>#N/A</v>
      </c>
      <c r="AA168" s="5" t="str">
        <f>IF(Setup!$I$15="Yes",'Demand background (hide)'!AJ156+'SPC background (hide)'!C168,"")</f>
        <v/>
      </c>
      <c r="AC168" s="5" t="e">
        <f t="shared" ca="1" si="78"/>
        <v>#N/A</v>
      </c>
      <c r="AD168" s="5" t="e">
        <f t="shared" ca="1" si="79"/>
        <v>#N/A</v>
      </c>
    </row>
    <row r="169" spans="1:30" x14ac:dyDescent="0.2">
      <c r="A169" s="68" t="str">
        <f ca="1">Demand!C166</f>
        <v/>
      </c>
      <c r="B169" s="68">
        <v>154</v>
      </c>
      <c r="C169" s="5">
        <f ca="1">'Demand background (hide)'!Y157</f>
        <v>0</v>
      </c>
      <c r="D169" s="68">
        <f t="shared" si="63"/>
        <v>0</v>
      </c>
      <c r="E169" s="68" t="e">
        <f t="shared" ca="1" si="64"/>
        <v>#N/A</v>
      </c>
      <c r="F169" s="68" t="e">
        <f t="shared" ca="1" si="65"/>
        <v>#N/A</v>
      </c>
      <c r="G169" s="68" t="e">
        <f t="shared" ca="1" si="66"/>
        <v>#N/A</v>
      </c>
      <c r="H169" s="68" t="e">
        <f>IF('Demand background (hide)'!AN157&lt;&gt;"",'SPC background (hide)'!C169,NA())</f>
        <v>#N/A</v>
      </c>
      <c r="I169" s="68" t="e">
        <f t="shared" ca="1" si="67"/>
        <v>#N/A</v>
      </c>
      <c r="J169" s="5" t="e">
        <f t="shared" ca="1" si="68"/>
        <v>#N/A</v>
      </c>
      <c r="K169" s="5" t="e">
        <f t="shared" ca="1" si="69"/>
        <v>#N/A</v>
      </c>
      <c r="L169" s="5" t="e">
        <f t="shared" ca="1" si="70"/>
        <v>#N/A</v>
      </c>
      <c r="M169" s="5" t="e">
        <f t="shared" ca="1" si="71"/>
        <v>#N/A</v>
      </c>
      <c r="N169" s="5" t="e">
        <f t="shared" ca="1" si="72"/>
        <v>#N/A</v>
      </c>
      <c r="O169" s="5" t="e">
        <f t="shared" ca="1" si="73"/>
        <v>#N/A</v>
      </c>
      <c r="P169" s="5" t="e">
        <f t="shared" ca="1" si="74"/>
        <v>#N/A</v>
      </c>
      <c r="Q169" s="5" t="e">
        <f t="shared" ca="1" si="75"/>
        <v>#N/A</v>
      </c>
      <c r="R169" s="5" t="e">
        <f t="shared" ca="1" si="80"/>
        <v>#N/A</v>
      </c>
      <c r="S169" s="68" t="e">
        <f t="shared" ca="1" si="81"/>
        <v>#N/A</v>
      </c>
      <c r="T169" s="68" t="e">
        <f t="shared" ca="1" si="82"/>
        <v>#N/A</v>
      </c>
      <c r="U169" s="68" t="e">
        <f t="shared" ca="1" si="83"/>
        <v>#N/A</v>
      </c>
      <c r="V169" s="5" t="e">
        <f t="shared" ca="1" si="62"/>
        <v>#N/A</v>
      </c>
      <c r="W169" s="5" t="e">
        <f t="shared" ca="1" si="76"/>
        <v>#N/A</v>
      </c>
      <c r="X169" s="68">
        <f t="shared" ca="1" si="77"/>
        <v>0</v>
      </c>
      <c r="Y169" s="68" t="e">
        <f t="shared" ca="1" si="84"/>
        <v>#N/A</v>
      </c>
      <c r="Z169" s="68" t="e">
        <f t="shared" ca="1" si="85"/>
        <v>#N/A</v>
      </c>
      <c r="AA169" s="5" t="str">
        <f>IF(Setup!$I$15="Yes",'Demand background (hide)'!AJ157+'SPC background (hide)'!C169,"")</f>
        <v/>
      </c>
      <c r="AC169" s="5" t="e">
        <f t="shared" ca="1" si="78"/>
        <v>#N/A</v>
      </c>
      <c r="AD169" s="5" t="e">
        <f t="shared" ca="1" si="79"/>
        <v>#N/A</v>
      </c>
    </row>
    <row r="170" spans="1:30" x14ac:dyDescent="0.2">
      <c r="A170" s="68" t="str">
        <f ca="1">Demand!C167</f>
        <v/>
      </c>
      <c r="B170" s="68">
        <v>155</v>
      </c>
      <c r="C170" s="5">
        <f ca="1">'Demand background (hide)'!Y158</f>
        <v>0</v>
      </c>
      <c r="D170" s="68">
        <f t="shared" si="63"/>
        <v>0</v>
      </c>
      <c r="E170" s="68" t="e">
        <f t="shared" ca="1" si="64"/>
        <v>#N/A</v>
      </c>
      <c r="F170" s="68" t="e">
        <f t="shared" ca="1" si="65"/>
        <v>#N/A</v>
      </c>
      <c r="G170" s="68" t="e">
        <f t="shared" ca="1" si="66"/>
        <v>#N/A</v>
      </c>
      <c r="H170" s="68" t="e">
        <f>IF('Demand background (hide)'!AN158&lt;&gt;"",'SPC background (hide)'!C170,NA())</f>
        <v>#N/A</v>
      </c>
      <c r="I170" s="68" t="e">
        <f t="shared" ca="1" si="67"/>
        <v>#N/A</v>
      </c>
      <c r="J170" s="5" t="e">
        <f t="shared" ca="1" si="68"/>
        <v>#N/A</v>
      </c>
      <c r="K170" s="5" t="e">
        <f t="shared" ca="1" si="69"/>
        <v>#N/A</v>
      </c>
      <c r="L170" s="5" t="e">
        <f t="shared" ca="1" si="70"/>
        <v>#N/A</v>
      </c>
      <c r="M170" s="5" t="e">
        <f t="shared" ca="1" si="71"/>
        <v>#N/A</v>
      </c>
      <c r="N170" s="5" t="e">
        <f t="shared" ca="1" si="72"/>
        <v>#N/A</v>
      </c>
      <c r="O170" s="5" t="e">
        <f t="shared" ca="1" si="73"/>
        <v>#N/A</v>
      </c>
      <c r="P170" s="5" t="e">
        <f t="shared" ca="1" si="74"/>
        <v>#N/A</v>
      </c>
      <c r="Q170" s="5" t="e">
        <f t="shared" ca="1" si="75"/>
        <v>#N/A</v>
      </c>
      <c r="R170" s="5" t="e">
        <f t="shared" ca="1" si="80"/>
        <v>#N/A</v>
      </c>
      <c r="S170" s="68" t="e">
        <f t="shared" ca="1" si="81"/>
        <v>#N/A</v>
      </c>
      <c r="T170" s="68" t="e">
        <f t="shared" ca="1" si="82"/>
        <v>#N/A</v>
      </c>
      <c r="U170" s="68" t="e">
        <f t="shared" ca="1" si="83"/>
        <v>#N/A</v>
      </c>
      <c r="V170" s="5" t="e">
        <f t="shared" ca="1" si="62"/>
        <v>#N/A</v>
      </c>
      <c r="W170" s="5" t="e">
        <f t="shared" ca="1" si="76"/>
        <v>#N/A</v>
      </c>
      <c r="X170" s="68">
        <f t="shared" ca="1" si="77"/>
        <v>0</v>
      </c>
      <c r="Y170" s="68" t="e">
        <f t="shared" ca="1" si="84"/>
        <v>#N/A</v>
      </c>
      <c r="Z170" s="68" t="e">
        <f t="shared" ca="1" si="85"/>
        <v>#N/A</v>
      </c>
      <c r="AA170" s="5" t="str">
        <f>IF(Setup!$I$15="Yes",'Demand background (hide)'!AJ158+'SPC background (hide)'!C170,"")</f>
        <v/>
      </c>
      <c r="AC170" s="5" t="e">
        <f t="shared" ca="1" si="78"/>
        <v>#N/A</v>
      </c>
      <c r="AD170" s="5" t="e">
        <f t="shared" ca="1" si="79"/>
        <v>#N/A</v>
      </c>
    </row>
    <row r="171" spans="1:30" x14ac:dyDescent="0.2">
      <c r="A171" s="68" t="str">
        <f ca="1">Demand!C168</f>
        <v/>
      </c>
      <c r="B171" s="68">
        <v>156</v>
      </c>
      <c r="C171" s="5">
        <f ca="1">'Demand background (hide)'!Y159</f>
        <v>0</v>
      </c>
      <c r="D171" s="68">
        <f t="shared" si="63"/>
        <v>0</v>
      </c>
      <c r="E171" s="68" t="e">
        <f t="shared" ca="1" si="64"/>
        <v>#N/A</v>
      </c>
      <c r="F171" s="68" t="e">
        <f t="shared" ca="1" si="65"/>
        <v>#N/A</v>
      </c>
      <c r="G171" s="68" t="e">
        <f t="shared" ca="1" si="66"/>
        <v>#N/A</v>
      </c>
      <c r="H171" s="68" t="e">
        <f>IF('Demand background (hide)'!AN159&lt;&gt;"",'SPC background (hide)'!C171,NA())</f>
        <v>#N/A</v>
      </c>
      <c r="I171" s="68" t="e">
        <f t="shared" ca="1" si="67"/>
        <v>#N/A</v>
      </c>
      <c r="J171" s="5" t="e">
        <f t="shared" ca="1" si="68"/>
        <v>#N/A</v>
      </c>
      <c r="K171" s="5" t="e">
        <f t="shared" ca="1" si="69"/>
        <v>#N/A</v>
      </c>
      <c r="L171" s="5" t="e">
        <f t="shared" ca="1" si="70"/>
        <v>#N/A</v>
      </c>
      <c r="M171" s="5" t="e">
        <f t="shared" ca="1" si="71"/>
        <v>#N/A</v>
      </c>
      <c r="N171" s="5" t="e">
        <f t="shared" ca="1" si="72"/>
        <v>#N/A</v>
      </c>
      <c r="O171" s="5" t="e">
        <f t="shared" ca="1" si="73"/>
        <v>#N/A</v>
      </c>
      <c r="P171" s="5" t="e">
        <f t="shared" ca="1" si="74"/>
        <v>#N/A</v>
      </c>
      <c r="Q171" s="5" t="e">
        <f t="shared" ca="1" si="75"/>
        <v>#N/A</v>
      </c>
      <c r="R171" s="5" t="e">
        <f t="shared" ca="1" si="80"/>
        <v>#N/A</v>
      </c>
      <c r="S171" s="68" t="e">
        <f t="shared" ca="1" si="81"/>
        <v>#N/A</v>
      </c>
      <c r="T171" s="68" t="e">
        <f t="shared" ca="1" si="82"/>
        <v>#N/A</v>
      </c>
      <c r="U171" s="68" t="e">
        <f t="shared" ca="1" si="83"/>
        <v>#N/A</v>
      </c>
      <c r="V171" s="5" t="e">
        <f t="shared" ca="1" si="62"/>
        <v>#N/A</v>
      </c>
      <c r="W171" s="5" t="e">
        <f t="shared" ca="1" si="76"/>
        <v>#N/A</v>
      </c>
      <c r="X171" s="68">
        <f t="shared" ca="1" si="77"/>
        <v>0</v>
      </c>
      <c r="Y171" s="68" t="e">
        <f t="shared" ca="1" si="84"/>
        <v>#N/A</v>
      </c>
      <c r="Z171" s="68" t="e">
        <f t="shared" ca="1" si="85"/>
        <v>#N/A</v>
      </c>
      <c r="AA171" s="5" t="str">
        <f>IF(Setup!$I$15="Yes",'Demand background (hide)'!AJ159+'SPC background (hide)'!C171,"")</f>
        <v/>
      </c>
      <c r="AC171" s="5" t="e">
        <f t="shared" ca="1" si="78"/>
        <v>#N/A</v>
      </c>
      <c r="AD171" s="5" t="e">
        <f t="shared" ca="1" si="79"/>
        <v>#N/A</v>
      </c>
    </row>
    <row r="172" spans="1:30" x14ac:dyDescent="0.2">
      <c r="A172" s="68" t="str">
        <f ca="1">Demand!C169</f>
        <v/>
      </c>
      <c r="B172" s="68">
        <v>157</v>
      </c>
      <c r="C172" s="5">
        <f ca="1">'Demand background (hide)'!Y160</f>
        <v>0</v>
      </c>
      <c r="D172" s="68">
        <f t="shared" si="63"/>
        <v>0</v>
      </c>
      <c r="E172" s="68" t="e">
        <f t="shared" ca="1" si="64"/>
        <v>#N/A</v>
      </c>
      <c r="F172" s="68" t="e">
        <f t="shared" ca="1" si="65"/>
        <v>#N/A</v>
      </c>
      <c r="G172" s="68" t="e">
        <f t="shared" ca="1" si="66"/>
        <v>#N/A</v>
      </c>
      <c r="H172" s="68" t="e">
        <f>IF('Demand background (hide)'!AN160&lt;&gt;"",'SPC background (hide)'!C172,NA())</f>
        <v>#N/A</v>
      </c>
      <c r="I172" s="68" t="e">
        <f t="shared" ca="1" si="67"/>
        <v>#N/A</v>
      </c>
      <c r="J172" s="5" t="e">
        <f t="shared" ca="1" si="68"/>
        <v>#N/A</v>
      </c>
      <c r="K172" s="5" t="e">
        <f t="shared" ca="1" si="69"/>
        <v>#N/A</v>
      </c>
      <c r="L172" s="5" t="e">
        <f t="shared" ca="1" si="70"/>
        <v>#N/A</v>
      </c>
      <c r="M172" s="5" t="e">
        <f t="shared" ca="1" si="71"/>
        <v>#N/A</v>
      </c>
      <c r="N172" s="5" t="e">
        <f t="shared" ca="1" si="72"/>
        <v>#N/A</v>
      </c>
      <c r="O172" s="5" t="e">
        <f t="shared" ca="1" si="73"/>
        <v>#N/A</v>
      </c>
      <c r="P172" s="5" t="e">
        <f t="shared" ca="1" si="74"/>
        <v>#N/A</v>
      </c>
      <c r="Q172" s="5" t="e">
        <f t="shared" ca="1" si="75"/>
        <v>#N/A</v>
      </c>
      <c r="R172" s="5" t="e">
        <f t="shared" ca="1" si="80"/>
        <v>#N/A</v>
      </c>
      <c r="S172" s="68" t="e">
        <f t="shared" ca="1" si="81"/>
        <v>#N/A</v>
      </c>
      <c r="T172" s="68" t="e">
        <f t="shared" ca="1" si="82"/>
        <v>#N/A</v>
      </c>
      <c r="U172" s="68" t="e">
        <f t="shared" ca="1" si="83"/>
        <v>#N/A</v>
      </c>
      <c r="V172" s="5" t="e">
        <f t="shared" ca="1" si="62"/>
        <v>#N/A</v>
      </c>
      <c r="W172" s="5" t="e">
        <f t="shared" ca="1" si="76"/>
        <v>#N/A</v>
      </c>
      <c r="X172" s="68">
        <f t="shared" ca="1" si="77"/>
        <v>0</v>
      </c>
      <c r="Y172" s="68" t="e">
        <f t="shared" ca="1" si="84"/>
        <v>#N/A</v>
      </c>
      <c r="Z172" s="68" t="e">
        <f t="shared" ca="1" si="85"/>
        <v>#N/A</v>
      </c>
      <c r="AA172" s="5" t="str">
        <f>IF(Setup!$I$15="Yes",'Demand background (hide)'!AJ160+'SPC background (hide)'!C172,"")</f>
        <v/>
      </c>
      <c r="AC172" s="5" t="e">
        <f t="shared" ca="1" si="78"/>
        <v>#N/A</v>
      </c>
      <c r="AD172" s="5" t="e">
        <f t="shared" ca="1" si="79"/>
        <v>#N/A</v>
      </c>
    </row>
    <row r="173" spans="1:30" x14ac:dyDescent="0.2">
      <c r="A173" s="68" t="str">
        <f ca="1">Demand!C170</f>
        <v/>
      </c>
      <c r="B173" s="68">
        <v>158</v>
      </c>
      <c r="C173" s="5">
        <f ca="1">'Demand background (hide)'!Y161</f>
        <v>0</v>
      </c>
      <c r="D173" s="68">
        <f t="shared" si="63"/>
        <v>0</v>
      </c>
      <c r="E173" s="68" t="e">
        <f t="shared" ca="1" si="64"/>
        <v>#N/A</v>
      </c>
      <c r="F173" s="68" t="e">
        <f t="shared" ca="1" si="65"/>
        <v>#N/A</v>
      </c>
      <c r="G173" s="68" t="e">
        <f t="shared" ca="1" si="66"/>
        <v>#N/A</v>
      </c>
      <c r="H173" s="68" t="e">
        <f>IF('Demand background (hide)'!AN161&lt;&gt;"",'SPC background (hide)'!C173,NA())</f>
        <v>#N/A</v>
      </c>
      <c r="I173" s="68" t="e">
        <f t="shared" ca="1" si="67"/>
        <v>#N/A</v>
      </c>
      <c r="J173" s="5" t="e">
        <f t="shared" ca="1" si="68"/>
        <v>#N/A</v>
      </c>
      <c r="K173" s="5" t="e">
        <f t="shared" ca="1" si="69"/>
        <v>#N/A</v>
      </c>
      <c r="L173" s="5" t="e">
        <f t="shared" ca="1" si="70"/>
        <v>#N/A</v>
      </c>
      <c r="M173" s="5" t="e">
        <f t="shared" ca="1" si="71"/>
        <v>#N/A</v>
      </c>
      <c r="N173" s="5" t="e">
        <f t="shared" ca="1" si="72"/>
        <v>#N/A</v>
      </c>
      <c r="O173" s="5" t="e">
        <f t="shared" ca="1" si="73"/>
        <v>#N/A</v>
      </c>
      <c r="P173" s="5" t="e">
        <f t="shared" ca="1" si="74"/>
        <v>#N/A</v>
      </c>
      <c r="Q173" s="5" t="e">
        <f t="shared" ca="1" si="75"/>
        <v>#N/A</v>
      </c>
      <c r="R173" s="5" t="e">
        <f t="shared" ca="1" si="80"/>
        <v>#N/A</v>
      </c>
      <c r="S173" s="68" t="e">
        <f t="shared" ca="1" si="81"/>
        <v>#N/A</v>
      </c>
      <c r="T173" s="68" t="e">
        <f t="shared" ca="1" si="82"/>
        <v>#N/A</v>
      </c>
      <c r="U173" s="68" t="e">
        <f t="shared" ca="1" si="83"/>
        <v>#N/A</v>
      </c>
      <c r="V173" s="5" t="e">
        <f t="shared" ca="1" si="62"/>
        <v>#N/A</v>
      </c>
      <c r="W173" s="5" t="e">
        <f t="shared" ca="1" si="76"/>
        <v>#N/A</v>
      </c>
      <c r="X173" s="68">
        <f t="shared" ca="1" si="77"/>
        <v>0</v>
      </c>
      <c r="Y173" s="68" t="e">
        <f t="shared" ca="1" si="84"/>
        <v>#N/A</v>
      </c>
      <c r="Z173" s="68" t="e">
        <f t="shared" ca="1" si="85"/>
        <v>#N/A</v>
      </c>
      <c r="AA173" s="5" t="str">
        <f>IF(Setup!$I$15="Yes",'Demand background (hide)'!AJ161+'SPC background (hide)'!C173,"")</f>
        <v/>
      </c>
      <c r="AC173" s="5" t="e">
        <f t="shared" ca="1" si="78"/>
        <v>#N/A</v>
      </c>
      <c r="AD173" s="5" t="e">
        <f t="shared" ca="1" si="79"/>
        <v>#N/A</v>
      </c>
    </row>
    <row r="174" spans="1:30" x14ac:dyDescent="0.2">
      <c r="A174" s="68" t="str">
        <f ca="1">Demand!C171</f>
        <v/>
      </c>
      <c r="B174" s="68">
        <v>159</v>
      </c>
      <c r="C174" s="5">
        <f ca="1">'Demand background (hide)'!Y162</f>
        <v>0</v>
      </c>
      <c r="D174" s="68">
        <f t="shared" si="63"/>
        <v>0</v>
      </c>
      <c r="E174" s="68" t="e">
        <f t="shared" ca="1" si="64"/>
        <v>#N/A</v>
      </c>
      <c r="F174" s="68" t="e">
        <f t="shared" ca="1" si="65"/>
        <v>#N/A</v>
      </c>
      <c r="G174" s="68" t="e">
        <f t="shared" ca="1" si="66"/>
        <v>#N/A</v>
      </c>
      <c r="H174" s="68" t="e">
        <f>IF('Demand background (hide)'!AN162&lt;&gt;"",'SPC background (hide)'!C174,NA())</f>
        <v>#N/A</v>
      </c>
      <c r="I174" s="68" t="e">
        <f t="shared" ca="1" si="67"/>
        <v>#N/A</v>
      </c>
      <c r="J174" s="5" t="e">
        <f t="shared" ca="1" si="68"/>
        <v>#N/A</v>
      </c>
      <c r="K174" s="5" t="e">
        <f t="shared" ca="1" si="69"/>
        <v>#N/A</v>
      </c>
      <c r="L174" s="5" t="e">
        <f t="shared" ca="1" si="70"/>
        <v>#N/A</v>
      </c>
      <c r="M174" s="5" t="e">
        <f t="shared" ca="1" si="71"/>
        <v>#N/A</v>
      </c>
      <c r="N174" s="5" t="e">
        <f t="shared" ca="1" si="72"/>
        <v>#N/A</v>
      </c>
      <c r="O174" s="5" t="e">
        <f t="shared" ca="1" si="73"/>
        <v>#N/A</v>
      </c>
      <c r="P174" s="5" t="e">
        <f t="shared" ca="1" si="74"/>
        <v>#N/A</v>
      </c>
      <c r="Q174" s="5" t="e">
        <f t="shared" ca="1" si="75"/>
        <v>#N/A</v>
      </c>
      <c r="R174" s="5" t="e">
        <f t="shared" ca="1" si="80"/>
        <v>#N/A</v>
      </c>
      <c r="S174" s="68" t="e">
        <f t="shared" ca="1" si="81"/>
        <v>#N/A</v>
      </c>
      <c r="T174" s="68" t="e">
        <f t="shared" ca="1" si="82"/>
        <v>#N/A</v>
      </c>
      <c r="U174" s="68" t="e">
        <f t="shared" ca="1" si="83"/>
        <v>#N/A</v>
      </c>
      <c r="V174" s="5" t="e">
        <f t="shared" ca="1" si="62"/>
        <v>#N/A</v>
      </c>
      <c r="W174" s="5" t="e">
        <f t="shared" ca="1" si="76"/>
        <v>#N/A</v>
      </c>
      <c r="X174" s="68">
        <f t="shared" ca="1" si="77"/>
        <v>0</v>
      </c>
      <c r="Y174" s="68" t="e">
        <f t="shared" ca="1" si="84"/>
        <v>#N/A</v>
      </c>
      <c r="Z174" s="68" t="e">
        <f t="shared" ca="1" si="85"/>
        <v>#N/A</v>
      </c>
      <c r="AA174" s="5" t="str">
        <f>IF(Setup!$I$15="Yes",'Demand background (hide)'!AJ162+'SPC background (hide)'!C174,"")</f>
        <v/>
      </c>
      <c r="AC174" s="5" t="e">
        <f t="shared" ca="1" si="78"/>
        <v>#N/A</v>
      </c>
      <c r="AD174" s="5" t="e">
        <f t="shared" ca="1" si="79"/>
        <v>#N/A</v>
      </c>
    </row>
    <row r="175" spans="1:30" x14ac:dyDescent="0.2">
      <c r="A175" s="68" t="str">
        <f ca="1">Demand!C172</f>
        <v/>
      </c>
      <c r="B175" s="68">
        <v>160</v>
      </c>
      <c r="C175" s="5">
        <f ca="1">'Demand background (hide)'!Y163</f>
        <v>0</v>
      </c>
      <c r="D175" s="68">
        <f t="shared" si="63"/>
        <v>0</v>
      </c>
      <c r="E175" s="68" t="e">
        <f t="shared" ca="1" si="64"/>
        <v>#N/A</v>
      </c>
      <c r="F175" s="68" t="e">
        <f t="shared" ca="1" si="65"/>
        <v>#N/A</v>
      </c>
      <c r="G175" s="68" t="e">
        <f t="shared" ca="1" si="66"/>
        <v>#N/A</v>
      </c>
      <c r="H175" s="68" t="e">
        <f>IF('Demand background (hide)'!AN163&lt;&gt;"",'SPC background (hide)'!C175,NA())</f>
        <v>#N/A</v>
      </c>
      <c r="I175" s="68" t="e">
        <f t="shared" ca="1" si="67"/>
        <v>#N/A</v>
      </c>
      <c r="J175" s="5" t="e">
        <f t="shared" ca="1" si="68"/>
        <v>#N/A</v>
      </c>
      <c r="K175" s="5" t="e">
        <f t="shared" ca="1" si="69"/>
        <v>#N/A</v>
      </c>
      <c r="L175" s="5" t="e">
        <f t="shared" ca="1" si="70"/>
        <v>#N/A</v>
      </c>
      <c r="M175" s="5" t="e">
        <f t="shared" ca="1" si="71"/>
        <v>#N/A</v>
      </c>
      <c r="N175" s="5" t="e">
        <f t="shared" ca="1" si="72"/>
        <v>#N/A</v>
      </c>
      <c r="O175" s="5" t="e">
        <f t="shared" ca="1" si="73"/>
        <v>#N/A</v>
      </c>
      <c r="P175" s="5" t="e">
        <f t="shared" ca="1" si="74"/>
        <v>#N/A</v>
      </c>
      <c r="Q175" s="5" t="e">
        <f t="shared" ca="1" si="75"/>
        <v>#N/A</v>
      </c>
      <c r="R175" s="5" t="e">
        <f t="shared" ca="1" si="80"/>
        <v>#N/A</v>
      </c>
      <c r="S175" s="68" t="e">
        <f t="shared" ca="1" si="81"/>
        <v>#N/A</v>
      </c>
      <c r="T175" s="68" t="e">
        <f t="shared" ca="1" si="82"/>
        <v>#N/A</v>
      </c>
      <c r="U175" s="68" t="e">
        <f t="shared" ca="1" si="83"/>
        <v>#N/A</v>
      </c>
      <c r="V175" s="5" t="e">
        <f t="shared" ca="1" si="62"/>
        <v>#N/A</v>
      </c>
      <c r="W175" s="5" t="e">
        <f t="shared" ca="1" si="76"/>
        <v>#N/A</v>
      </c>
      <c r="X175" s="68">
        <f t="shared" ca="1" si="77"/>
        <v>0</v>
      </c>
      <c r="Y175" s="68" t="e">
        <f t="shared" ca="1" si="84"/>
        <v>#N/A</v>
      </c>
      <c r="Z175" s="68" t="e">
        <f t="shared" ca="1" si="85"/>
        <v>#N/A</v>
      </c>
      <c r="AA175" s="5" t="str">
        <f>IF(Setup!$I$15="Yes",'Demand background (hide)'!AJ163+'SPC background (hide)'!C175,"")</f>
        <v/>
      </c>
      <c r="AC175" s="5" t="e">
        <f t="shared" ca="1" si="78"/>
        <v>#N/A</v>
      </c>
      <c r="AD175" s="5" t="e">
        <f t="shared" ca="1" si="79"/>
        <v>#N/A</v>
      </c>
    </row>
    <row r="176" spans="1:30" x14ac:dyDescent="0.2">
      <c r="A176" s="68" t="str">
        <f ca="1">Demand!C173</f>
        <v/>
      </c>
      <c r="B176" s="68">
        <v>161</v>
      </c>
      <c r="C176" s="5">
        <f ca="1">'Demand background (hide)'!Y164</f>
        <v>0</v>
      </c>
      <c r="D176" s="68">
        <f t="shared" si="63"/>
        <v>0</v>
      </c>
      <c r="E176" s="68" t="e">
        <f t="shared" ca="1" si="64"/>
        <v>#N/A</v>
      </c>
      <c r="F176" s="68" t="e">
        <f t="shared" ca="1" si="65"/>
        <v>#N/A</v>
      </c>
      <c r="G176" s="68" t="e">
        <f t="shared" ca="1" si="66"/>
        <v>#N/A</v>
      </c>
      <c r="H176" s="68" t="e">
        <f>IF('Demand background (hide)'!AN164&lt;&gt;"",'SPC background (hide)'!C176,NA())</f>
        <v>#N/A</v>
      </c>
      <c r="I176" s="68" t="e">
        <f t="shared" ca="1" si="67"/>
        <v>#N/A</v>
      </c>
      <c r="J176" s="5" t="e">
        <f t="shared" ca="1" si="68"/>
        <v>#N/A</v>
      </c>
      <c r="K176" s="5" t="e">
        <f t="shared" ca="1" si="69"/>
        <v>#N/A</v>
      </c>
      <c r="L176" s="5" t="e">
        <f t="shared" ca="1" si="70"/>
        <v>#N/A</v>
      </c>
      <c r="M176" s="5" t="e">
        <f t="shared" ca="1" si="71"/>
        <v>#N/A</v>
      </c>
      <c r="N176" s="5" t="e">
        <f t="shared" ca="1" si="72"/>
        <v>#N/A</v>
      </c>
      <c r="O176" s="5" t="e">
        <f t="shared" ca="1" si="73"/>
        <v>#N/A</v>
      </c>
      <c r="P176" s="5" t="e">
        <f t="shared" ca="1" si="74"/>
        <v>#N/A</v>
      </c>
      <c r="Q176" s="5" t="e">
        <f t="shared" ca="1" si="75"/>
        <v>#N/A</v>
      </c>
      <c r="R176" s="5" t="e">
        <f t="shared" ca="1" si="80"/>
        <v>#N/A</v>
      </c>
      <c r="S176" s="68" t="e">
        <f t="shared" ca="1" si="81"/>
        <v>#N/A</v>
      </c>
      <c r="T176" s="68" t="e">
        <f t="shared" ca="1" si="82"/>
        <v>#N/A</v>
      </c>
      <c r="U176" s="68" t="e">
        <f t="shared" ca="1" si="83"/>
        <v>#N/A</v>
      </c>
      <c r="V176" s="5" t="e">
        <f t="shared" ca="1" si="62"/>
        <v>#N/A</v>
      </c>
      <c r="W176" s="5" t="e">
        <f t="shared" ca="1" si="76"/>
        <v>#N/A</v>
      </c>
      <c r="X176" s="68">
        <f t="shared" ca="1" si="77"/>
        <v>0</v>
      </c>
      <c r="Y176" s="68" t="e">
        <f t="shared" ca="1" si="84"/>
        <v>#N/A</v>
      </c>
      <c r="Z176" s="68" t="e">
        <f t="shared" ca="1" si="85"/>
        <v>#N/A</v>
      </c>
      <c r="AA176" s="5" t="str">
        <f>IF(Setup!$I$15="Yes",'Demand background (hide)'!AJ164+'SPC background (hide)'!C176,"")</f>
        <v/>
      </c>
      <c r="AC176" s="5" t="e">
        <f t="shared" ca="1" si="78"/>
        <v>#N/A</v>
      </c>
      <c r="AD176" s="5" t="e">
        <f t="shared" ca="1" si="79"/>
        <v>#N/A</v>
      </c>
    </row>
    <row r="177" spans="1:30" x14ac:dyDescent="0.2">
      <c r="A177" s="68" t="str">
        <f ca="1">Demand!C174</f>
        <v/>
      </c>
      <c r="B177" s="68">
        <v>162</v>
      </c>
      <c r="C177" s="5">
        <f ca="1">'Demand background (hide)'!Y165</f>
        <v>0</v>
      </c>
      <c r="D177" s="68">
        <f t="shared" si="63"/>
        <v>0</v>
      </c>
      <c r="E177" s="68" t="e">
        <f t="shared" ca="1" si="64"/>
        <v>#N/A</v>
      </c>
      <c r="F177" s="68" t="e">
        <f t="shared" ca="1" si="65"/>
        <v>#N/A</v>
      </c>
      <c r="G177" s="68" t="e">
        <f t="shared" ca="1" si="66"/>
        <v>#N/A</v>
      </c>
      <c r="H177" s="68" t="e">
        <f>IF('Demand background (hide)'!AN165&lt;&gt;"",'SPC background (hide)'!C177,NA())</f>
        <v>#N/A</v>
      </c>
      <c r="I177" s="68" t="e">
        <f t="shared" ca="1" si="67"/>
        <v>#N/A</v>
      </c>
      <c r="J177" s="5" t="e">
        <f t="shared" ca="1" si="68"/>
        <v>#N/A</v>
      </c>
      <c r="K177" s="5" t="e">
        <f t="shared" ca="1" si="69"/>
        <v>#N/A</v>
      </c>
      <c r="L177" s="5" t="e">
        <f t="shared" ca="1" si="70"/>
        <v>#N/A</v>
      </c>
      <c r="M177" s="5" t="e">
        <f t="shared" ca="1" si="71"/>
        <v>#N/A</v>
      </c>
      <c r="N177" s="5" t="e">
        <f t="shared" ca="1" si="72"/>
        <v>#N/A</v>
      </c>
      <c r="O177" s="5" t="e">
        <f t="shared" ca="1" si="73"/>
        <v>#N/A</v>
      </c>
      <c r="P177" s="5" t="e">
        <f t="shared" ca="1" si="74"/>
        <v>#N/A</v>
      </c>
      <c r="Q177" s="5" t="e">
        <f t="shared" ca="1" si="75"/>
        <v>#N/A</v>
      </c>
      <c r="R177" s="5" t="e">
        <f t="shared" ca="1" si="80"/>
        <v>#N/A</v>
      </c>
      <c r="S177" s="68" t="e">
        <f t="shared" ca="1" si="81"/>
        <v>#N/A</v>
      </c>
      <c r="T177" s="68" t="e">
        <f t="shared" ca="1" si="82"/>
        <v>#N/A</v>
      </c>
      <c r="U177" s="68" t="e">
        <f t="shared" ca="1" si="83"/>
        <v>#N/A</v>
      </c>
      <c r="V177" s="5" t="e">
        <f t="shared" ca="1" si="62"/>
        <v>#N/A</v>
      </c>
      <c r="W177" s="5" t="e">
        <f t="shared" ca="1" si="76"/>
        <v>#N/A</v>
      </c>
      <c r="X177" s="68">
        <f t="shared" ca="1" si="77"/>
        <v>0</v>
      </c>
      <c r="Y177" s="68" t="e">
        <f t="shared" ca="1" si="84"/>
        <v>#N/A</v>
      </c>
      <c r="Z177" s="68" t="e">
        <f t="shared" ca="1" si="85"/>
        <v>#N/A</v>
      </c>
      <c r="AA177" s="5" t="str">
        <f>IF(Setup!$I$15="Yes",'Demand background (hide)'!AJ165+'SPC background (hide)'!C177,"")</f>
        <v/>
      </c>
      <c r="AC177" s="5" t="e">
        <f t="shared" ca="1" si="78"/>
        <v>#N/A</v>
      </c>
      <c r="AD177" s="5" t="e">
        <f t="shared" ca="1" si="79"/>
        <v>#N/A</v>
      </c>
    </row>
    <row r="178" spans="1:30" x14ac:dyDescent="0.2">
      <c r="A178" s="68" t="str">
        <f ca="1">Demand!C175</f>
        <v/>
      </c>
      <c r="B178" s="68">
        <v>163</v>
      </c>
      <c r="C178" s="5">
        <f ca="1">'Demand background (hide)'!Y166</f>
        <v>0</v>
      </c>
      <c r="D178" s="68">
        <f t="shared" si="63"/>
        <v>0</v>
      </c>
      <c r="E178" s="68" t="e">
        <f t="shared" ca="1" si="64"/>
        <v>#N/A</v>
      </c>
      <c r="F178" s="68" t="e">
        <f t="shared" ca="1" si="65"/>
        <v>#N/A</v>
      </c>
      <c r="G178" s="68" t="e">
        <f t="shared" ca="1" si="66"/>
        <v>#N/A</v>
      </c>
      <c r="H178" s="68" t="e">
        <f>IF('Demand background (hide)'!AN166&lt;&gt;"",'SPC background (hide)'!C178,NA())</f>
        <v>#N/A</v>
      </c>
      <c r="I178" s="68" t="e">
        <f t="shared" ca="1" si="67"/>
        <v>#N/A</v>
      </c>
      <c r="J178" s="5" t="e">
        <f t="shared" ca="1" si="68"/>
        <v>#N/A</v>
      </c>
      <c r="K178" s="5" t="e">
        <f t="shared" ca="1" si="69"/>
        <v>#N/A</v>
      </c>
      <c r="L178" s="5" t="e">
        <f t="shared" ca="1" si="70"/>
        <v>#N/A</v>
      </c>
      <c r="M178" s="5" t="e">
        <f t="shared" ca="1" si="71"/>
        <v>#N/A</v>
      </c>
      <c r="N178" s="5" t="e">
        <f t="shared" ca="1" si="72"/>
        <v>#N/A</v>
      </c>
      <c r="O178" s="5" t="e">
        <f t="shared" ca="1" si="73"/>
        <v>#N/A</v>
      </c>
      <c r="P178" s="5" t="e">
        <f t="shared" ca="1" si="74"/>
        <v>#N/A</v>
      </c>
      <c r="Q178" s="5" t="e">
        <f t="shared" ca="1" si="75"/>
        <v>#N/A</v>
      </c>
      <c r="R178" s="5" t="e">
        <f t="shared" ca="1" si="80"/>
        <v>#N/A</v>
      </c>
      <c r="S178" s="68" t="e">
        <f t="shared" ca="1" si="81"/>
        <v>#N/A</v>
      </c>
      <c r="T178" s="68" t="e">
        <f t="shared" ca="1" si="82"/>
        <v>#N/A</v>
      </c>
      <c r="U178" s="68" t="e">
        <f t="shared" ca="1" si="83"/>
        <v>#N/A</v>
      </c>
      <c r="V178" s="5" t="e">
        <f t="shared" ca="1" si="62"/>
        <v>#N/A</v>
      </c>
      <c r="W178" s="5" t="e">
        <f t="shared" ca="1" si="76"/>
        <v>#N/A</v>
      </c>
      <c r="X178" s="68">
        <f t="shared" ca="1" si="77"/>
        <v>0</v>
      </c>
      <c r="Y178" s="68" t="e">
        <f t="shared" ca="1" si="84"/>
        <v>#N/A</v>
      </c>
      <c r="Z178" s="68" t="e">
        <f t="shared" ca="1" si="85"/>
        <v>#N/A</v>
      </c>
      <c r="AA178" s="5" t="str">
        <f>IF(Setup!$I$15="Yes",'Demand background (hide)'!AJ166+'SPC background (hide)'!C178,"")</f>
        <v/>
      </c>
      <c r="AC178" s="5" t="e">
        <f t="shared" ca="1" si="78"/>
        <v>#N/A</v>
      </c>
      <c r="AD178" s="5" t="e">
        <f t="shared" ca="1" si="79"/>
        <v>#N/A</v>
      </c>
    </row>
    <row r="179" spans="1:30" x14ac:dyDescent="0.2">
      <c r="A179" s="68" t="str">
        <f ca="1">Demand!C176</f>
        <v/>
      </c>
      <c r="B179" s="68">
        <v>164</v>
      </c>
      <c r="C179" s="5">
        <f ca="1">'Demand background (hide)'!Y167</f>
        <v>0</v>
      </c>
      <c r="D179" s="68">
        <f t="shared" si="63"/>
        <v>0</v>
      </c>
      <c r="E179" s="68" t="e">
        <f t="shared" ca="1" si="64"/>
        <v>#N/A</v>
      </c>
      <c r="F179" s="68" t="e">
        <f t="shared" ca="1" si="65"/>
        <v>#N/A</v>
      </c>
      <c r="G179" s="68" t="e">
        <f t="shared" ca="1" si="66"/>
        <v>#N/A</v>
      </c>
      <c r="H179" s="68" t="e">
        <f>IF('Demand background (hide)'!AN167&lt;&gt;"",'SPC background (hide)'!C179,NA())</f>
        <v>#N/A</v>
      </c>
      <c r="I179" s="68" t="e">
        <f t="shared" ca="1" si="67"/>
        <v>#N/A</v>
      </c>
      <c r="J179" s="5" t="e">
        <f t="shared" ca="1" si="68"/>
        <v>#N/A</v>
      </c>
      <c r="K179" s="5" t="e">
        <f t="shared" ca="1" si="69"/>
        <v>#N/A</v>
      </c>
      <c r="L179" s="5" t="e">
        <f t="shared" ca="1" si="70"/>
        <v>#N/A</v>
      </c>
      <c r="M179" s="5" t="e">
        <f t="shared" ca="1" si="71"/>
        <v>#N/A</v>
      </c>
      <c r="N179" s="5" t="e">
        <f t="shared" ca="1" si="72"/>
        <v>#N/A</v>
      </c>
      <c r="O179" s="5" t="e">
        <f t="shared" ca="1" si="73"/>
        <v>#N/A</v>
      </c>
      <c r="P179" s="5" t="e">
        <f t="shared" ca="1" si="74"/>
        <v>#N/A</v>
      </c>
      <c r="Q179" s="5" t="e">
        <f t="shared" ca="1" si="75"/>
        <v>#N/A</v>
      </c>
      <c r="R179" s="5" t="e">
        <f t="shared" ca="1" si="80"/>
        <v>#N/A</v>
      </c>
      <c r="S179" s="68" t="e">
        <f t="shared" ca="1" si="81"/>
        <v>#N/A</v>
      </c>
      <c r="T179" s="68" t="e">
        <f t="shared" ca="1" si="82"/>
        <v>#N/A</v>
      </c>
      <c r="U179" s="68" t="e">
        <f t="shared" ca="1" si="83"/>
        <v>#N/A</v>
      </c>
      <c r="V179" s="5" t="e">
        <f t="shared" ca="1" si="62"/>
        <v>#N/A</v>
      </c>
      <c r="W179" s="5" t="e">
        <f t="shared" ca="1" si="76"/>
        <v>#N/A</v>
      </c>
      <c r="X179" s="68">
        <f t="shared" ca="1" si="77"/>
        <v>0</v>
      </c>
      <c r="Y179" s="68" t="e">
        <f t="shared" ca="1" si="84"/>
        <v>#N/A</v>
      </c>
      <c r="Z179" s="68" t="e">
        <f t="shared" ca="1" si="85"/>
        <v>#N/A</v>
      </c>
      <c r="AA179" s="5" t="str">
        <f>IF(Setup!$I$15="Yes",'Demand background (hide)'!AJ167+'SPC background (hide)'!C179,"")</f>
        <v/>
      </c>
      <c r="AC179" s="5" t="e">
        <f t="shared" ca="1" si="78"/>
        <v>#N/A</v>
      </c>
      <c r="AD179" s="5" t="e">
        <f t="shared" ca="1" si="79"/>
        <v>#N/A</v>
      </c>
    </row>
    <row r="180" spans="1:30" x14ac:dyDescent="0.2">
      <c r="A180" s="68" t="str">
        <f ca="1">Demand!C177</f>
        <v/>
      </c>
      <c r="B180" s="68">
        <v>165</v>
      </c>
      <c r="C180" s="5">
        <f ca="1">'Demand background (hide)'!Y168</f>
        <v>0</v>
      </c>
      <c r="D180" s="68">
        <f t="shared" si="63"/>
        <v>0</v>
      </c>
      <c r="E180" s="68" t="e">
        <f t="shared" ca="1" si="64"/>
        <v>#N/A</v>
      </c>
      <c r="F180" s="68" t="e">
        <f t="shared" ca="1" si="65"/>
        <v>#N/A</v>
      </c>
      <c r="G180" s="68" t="e">
        <f t="shared" ca="1" si="66"/>
        <v>#N/A</v>
      </c>
      <c r="H180" s="68" t="e">
        <f>IF('Demand background (hide)'!AN168&lt;&gt;"",'SPC background (hide)'!C180,NA())</f>
        <v>#N/A</v>
      </c>
      <c r="I180" s="68" t="e">
        <f t="shared" ca="1" si="67"/>
        <v>#N/A</v>
      </c>
      <c r="J180" s="5" t="e">
        <f t="shared" ca="1" si="68"/>
        <v>#N/A</v>
      </c>
      <c r="K180" s="5" t="e">
        <f t="shared" ca="1" si="69"/>
        <v>#N/A</v>
      </c>
      <c r="L180" s="5" t="e">
        <f t="shared" ca="1" si="70"/>
        <v>#N/A</v>
      </c>
      <c r="M180" s="5" t="e">
        <f t="shared" ca="1" si="71"/>
        <v>#N/A</v>
      </c>
      <c r="N180" s="5" t="e">
        <f t="shared" ca="1" si="72"/>
        <v>#N/A</v>
      </c>
      <c r="O180" s="5" t="e">
        <f t="shared" ca="1" si="73"/>
        <v>#N/A</v>
      </c>
      <c r="P180" s="5" t="e">
        <f t="shared" ca="1" si="74"/>
        <v>#N/A</v>
      </c>
      <c r="Q180" s="5" t="e">
        <f t="shared" ca="1" si="75"/>
        <v>#N/A</v>
      </c>
      <c r="R180" s="5" t="e">
        <f t="shared" ca="1" si="80"/>
        <v>#N/A</v>
      </c>
      <c r="S180" s="68" t="e">
        <f t="shared" ca="1" si="81"/>
        <v>#N/A</v>
      </c>
      <c r="T180" s="68" t="e">
        <f t="shared" ca="1" si="82"/>
        <v>#N/A</v>
      </c>
      <c r="U180" s="68" t="e">
        <f t="shared" ca="1" si="83"/>
        <v>#N/A</v>
      </c>
      <c r="V180" s="5" t="e">
        <f t="shared" ca="1" si="62"/>
        <v>#N/A</v>
      </c>
      <c r="W180" s="5" t="e">
        <f t="shared" ca="1" si="76"/>
        <v>#N/A</v>
      </c>
      <c r="X180" s="68">
        <f t="shared" ca="1" si="77"/>
        <v>0</v>
      </c>
      <c r="Y180" s="68" t="e">
        <f t="shared" ca="1" si="84"/>
        <v>#N/A</v>
      </c>
      <c r="Z180" s="68" t="e">
        <f t="shared" ca="1" si="85"/>
        <v>#N/A</v>
      </c>
      <c r="AA180" s="5" t="str">
        <f>IF(Setup!$I$15="Yes",'Demand background (hide)'!AJ168+'SPC background (hide)'!C180,"")</f>
        <v/>
      </c>
      <c r="AC180" s="5" t="e">
        <f t="shared" ca="1" si="78"/>
        <v>#N/A</v>
      </c>
      <c r="AD180" s="5" t="e">
        <f t="shared" ca="1" si="79"/>
        <v>#N/A</v>
      </c>
    </row>
    <row r="181" spans="1:30" x14ac:dyDescent="0.2">
      <c r="A181" s="68" t="str">
        <f ca="1">Demand!C178</f>
        <v/>
      </c>
      <c r="B181" s="68">
        <v>166</v>
      </c>
      <c r="C181" s="5">
        <f ca="1">'Demand background (hide)'!Y169</f>
        <v>0</v>
      </c>
      <c r="D181" s="68">
        <f t="shared" si="63"/>
        <v>0</v>
      </c>
      <c r="E181" s="68" t="e">
        <f t="shared" ca="1" si="64"/>
        <v>#N/A</v>
      </c>
      <c r="F181" s="68" t="e">
        <f t="shared" ca="1" si="65"/>
        <v>#N/A</v>
      </c>
      <c r="G181" s="68" t="e">
        <f t="shared" ca="1" si="66"/>
        <v>#N/A</v>
      </c>
      <c r="H181" s="68" t="e">
        <f>IF('Demand background (hide)'!AN169&lt;&gt;"",'SPC background (hide)'!C181,NA())</f>
        <v>#N/A</v>
      </c>
      <c r="I181" s="68" t="e">
        <f t="shared" ca="1" si="67"/>
        <v>#N/A</v>
      </c>
      <c r="J181" s="5" t="e">
        <f t="shared" ca="1" si="68"/>
        <v>#N/A</v>
      </c>
      <c r="K181" s="5" t="e">
        <f t="shared" ca="1" si="69"/>
        <v>#N/A</v>
      </c>
      <c r="L181" s="5" t="e">
        <f t="shared" ca="1" si="70"/>
        <v>#N/A</v>
      </c>
      <c r="M181" s="5" t="e">
        <f t="shared" ca="1" si="71"/>
        <v>#N/A</v>
      </c>
      <c r="N181" s="5" t="e">
        <f t="shared" ca="1" si="72"/>
        <v>#N/A</v>
      </c>
      <c r="O181" s="5" t="e">
        <f t="shared" ca="1" si="73"/>
        <v>#N/A</v>
      </c>
      <c r="P181" s="5" t="e">
        <f t="shared" ca="1" si="74"/>
        <v>#N/A</v>
      </c>
      <c r="Q181" s="5" t="e">
        <f t="shared" ca="1" si="75"/>
        <v>#N/A</v>
      </c>
      <c r="R181" s="5" t="e">
        <f t="shared" ca="1" si="80"/>
        <v>#N/A</v>
      </c>
      <c r="S181" s="68" t="e">
        <f t="shared" ca="1" si="81"/>
        <v>#N/A</v>
      </c>
      <c r="T181" s="68" t="e">
        <f t="shared" ca="1" si="82"/>
        <v>#N/A</v>
      </c>
      <c r="U181" s="68" t="e">
        <f t="shared" ca="1" si="83"/>
        <v>#N/A</v>
      </c>
      <c r="V181" s="5" t="e">
        <f t="shared" ca="1" si="62"/>
        <v>#N/A</v>
      </c>
      <c r="W181" s="5" t="e">
        <f t="shared" ca="1" si="76"/>
        <v>#N/A</v>
      </c>
      <c r="X181" s="68">
        <f t="shared" ca="1" si="77"/>
        <v>0</v>
      </c>
      <c r="Y181" s="68" t="e">
        <f t="shared" ca="1" si="84"/>
        <v>#N/A</v>
      </c>
      <c r="Z181" s="68" t="e">
        <f t="shared" ca="1" si="85"/>
        <v>#N/A</v>
      </c>
      <c r="AA181" s="5" t="str">
        <f>IF(Setup!$I$15="Yes",'Demand background (hide)'!AJ169+'SPC background (hide)'!C181,"")</f>
        <v/>
      </c>
      <c r="AC181" s="5" t="e">
        <f t="shared" ca="1" si="78"/>
        <v>#N/A</v>
      </c>
      <c r="AD181" s="5" t="e">
        <f t="shared" ca="1" si="79"/>
        <v>#N/A</v>
      </c>
    </row>
    <row r="182" spans="1:30" x14ac:dyDescent="0.2">
      <c r="A182" s="68" t="str">
        <f ca="1">Demand!C179</f>
        <v/>
      </c>
      <c r="B182" s="68">
        <v>167</v>
      </c>
      <c r="C182" s="5">
        <f ca="1">'Demand background (hide)'!Y170</f>
        <v>0</v>
      </c>
      <c r="D182" s="68">
        <f t="shared" si="63"/>
        <v>0</v>
      </c>
      <c r="E182" s="68" t="e">
        <f t="shared" ca="1" si="64"/>
        <v>#N/A</v>
      </c>
      <c r="F182" s="68" t="e">
        <f t="shared" ca="1" si="65"/>
        <v>#N/A</v>
      </c>
      <c r="G182" s="68" t="e">
        <f t="shared" ca="1" si="66"/>
        <v>#N/A</v>
      </c>
      <c r="H182" s="68" t="e">
        <f>IF('Demand background (hide)'!AN170&lt;&gt;"",'SPC background (hide)'!C182,NA())</f>
        <v>#N/A</v>
      </c>
      <c r="I182" s="68" t="e">
        <f t="shared" ca="1" si="67"/>
        <v>#N/A</v>
      </c>
      <c r="J182" s="5" t="e">
        <f t="shared" ca="1" si="68"/>
        <v>#N/A</v>
      </c>
      <c r="K182" s="5" t="e">
        <f t="shared" ca="1" si="69"/>
        <v>#N/A</v>
      </c>
      <c r="L182" s="5" t="e">
        <f t="shared" ca="1" si="70"/>
        <v>#N/A</v>
      </c>
      <c r="M182" s="5" t="e">
        <f t="shared" ca="1" si="71"/>
        <v>#N/A</v>
      </c>
      <c r="N182" s="5" t="e">
        <f t="shared" ca="1" si="72"/>
        <v>#N/A</v>
      </c>
      <c r="O182" s="5" t="e">
        <f t="shared" ca="1" si="73"/>
        <v>#N/A</v>
      </c>
      <c r="P182" s="5" t="e">
        <f t="shared" ca="1" si="74"/>
        <v>#N/A</v>
      </c>
      <c r="Q182" s="5" t="e">
        <f t="shared" ca="1" si="75"/>
        <v>#N/A</v>
      </c>
      <c r="R182" s="5" t="e">
        <f t="shared" ca="1" si="80"/>
        <v>#N/A</v>
      </c>
      <c r="S182" s="68" t="e">
        <f t="shared" ca="1" si="81"/>
        <v>#N/A</v>
      </c>
      <c r="T182" s="68" t="e">
        <f t="shared" ca="1" si="82"/>
        <v>#N/A</v>
      </c>
      <c r="U182" s="68" t="e">
        <f t="shared" ca="1" si="83"/>
        <v>#N/A</v>
      </c>
      <c r="V182" s="5" t="e">
        <f t="shared" ca="1" si="62"/>
        <v>#N/A</v>
      </c>
      <c r="W182" s="5" t="e">
        <f t="shared" ca="1" si="76"/>
        <v>#N/A</v>
      </c>
      <c r="X182" s="68">
        <f t="shared" ca="1" si="77"/>
        <v>0</v>
      </c>
      <c r="Y182" s="68" t="e">
        <f t="shared" ca="1" si="84"/>
        <v>#N/A</v>
      </c>
      <c r="Z182" s="68" t="e">
        <f t="shared" ca="1" si="85"/>
        <v>#N/A</v>
      </c>
      <c r="AA182" s="5" t="str">
        <f>IF(Setup!$I$15="Yes",'Demand background (hide)'!AJ170+'SPC background (hide)'!C182,"")</f>
        <v/>
      </c>
      <c r="AC182" s="5" t="e">
        <f t="shared" ca="1" si="78"/>
        <v>#N/A</v>
      </c>
      <c r="AD182" s="5" t="e">
        <f t="shared" ca="1" si="79"/>
        <v>#N/A</v>
      </c>
    </row>
    <row r="183" spans="1:30" x14ac:dyDescent="0.2">
      <c r="A183" s="68" t="str">
        <f ca="1">Demand!C180</f>
        <v/>
      </c>
      <c r="B183" s="68">
        <v>168</v>
      </c>
      <c r="C183" s="5">
        <f ca="1">'Demand background (hide)'!Y171</f>
        <v>0</v>
      </c>
      <c r="D183" s="68">
        <f t="shared" si="63"/>
        <v>0</v>
      </c>
      <c r="E183" s="68" t="e">
        <f t="shared" ca="1" si="64"/>
        <v>#N/A</v>
      </c>
      <c r="F183" s="68" t="e">
        <f t="shared" ca="1" si="65"/>
        <v>#N/A</v>
      </c>
      <c r="G183" s="68" t="e">
        <f t="shared" ca="1" si="66"/>
        <v>#N/A</v>
      </c>
      <c r="H183" s="68" t="e">
        <f>IF('Demand background (hide)'!AN171&lt;&gt;"",'SPC background (hide)'!C183,NA())</f>
        <v>#N/A</v>
      </c>
      <c r="I183" s="68" t="e">
        <f t="shared" ca="1" si="67"/>
        <v>#N/A</v>
      </c>
      <c r="J183" s="5" t="e">
        <f t="shared" ca="1" si="68"/>
        <v>#N/A</v>
      </c>
      <c r="K183" s="5" t="e">
        <f t="shared" ca="1" si="69"/>
        <v>#N/A</v>
      </c>
      <c r="L183" s="5" t="e">
        <f t="shared" ca="1" si="70"/>
        <v>#N/A</v>
      </c>
      <c r="M183" s="5" t="e">
        <f t="shared" ca="1" si="71"/>
        <v>#N/A</v>
      </c>
      <c r="N183" s="5" t="e">
        <f t="shared" ca="1" si="72"/>
        <v>#N/A</v>
      </c>
      <c r="O183" s="5" t="e">
        <f t="shared" ca="1" si="73"/>
        <v>#N/A</v>
      </c>
      <c r="P183" s="5" t="e">
        <f t="shared" ca="1" si="74"/>
        <v>#N/A</v>
      </c>
      <c r="Q183" s="5" t="e">
        <f t="shared" ca="1" si="75"/>
        <v>#N/A</v>
      </c>
      <c r="R183" s="5" t="e">
        <f t="shared" ca="1" si="80"/>
        <v>#N/A</v>
      </c>
      <c r="S183" s="68" t="e">
        <f t="shared" ca="1" si="81"/>
        <v>#N/A</v>
      </c>
      <c r="T183" s="68" t="e">
        <f t="shared" ca="1" si="82"/>
        <v>#N/A</v>
      </c>
      <c r="U183" s="68" t="e">
        <f t="shared" ca="1" si="83"/>
        <v>#N/A</v>
      </c>
      <c r="V183" s="5" t="e">
        <f t="shared" ca="1" si="62"/>
        <v>#N/A</v>
      </c>
      <c r="W183" s="5" t="e">
        <f t="shared" ca="1" si="76"/>
        <v>#N/A</v>
      </c>
      <c r="X183" s="68">
        <f t="shared" ca="1" si="77"/>
        <v>0</v>
      </c>
      <c r="Y183" s="68" t="e">
        <f t="shared" ca="1" si="84"/>
        <v>#N/A</v>
      </c>
      <c r="Z183" s="68" t="e">
        <f t="shared" ca="1" si="85"/>
        <v>#N/A</v>
      </c>
      <c r="AA183" s="5" t="str">
        <f>IF(Setup!$I$15="Yes",'Demand background (hide)'!AJ171+'SPC background (hide)'!C183,"")</f>
        <v/>
      </c>
      <c r="AC183" s="5" t="e">
        <f t="shared" ca="1" si="78"/>
        <v>#N/A</v>
      </c>
      <c r="AD183" s="5" t="e">
        <f t="shared" ca="1" si="79"/>
        <v>#N/A</v>
      </c>
    </row>
    <row r="184" spans="1:30" x14ac:dyDescent="0.2">
      <c r="A184" s="68" t="str">
        <f ca="1">Demand!C181</f>
        <v/>
      </c>
      <c r="B184" s="68">
        <v>169</v>
      </c>
      <c r="C184" s="5">
        <f ca="1">'Demand background (hide)'!Y172</f>
        <v>0</v>
      </c>
      <c r="D184" s="68">
        <f t="shared" si="63"/>
        <v>0</v>
      </c>
      <c r="E184" s="68" t="e">
        <f t="shared" ca="1" si="64"/>
        <v>#N/A</v>
      </c>
      <c r="F184" s="68" t="e">
        <f t="shared" ca="1" si="65"/>
        <v>#N/A</v>
      </c>
      <c r="G184" s="68" t="e">
        <f t="shared" ca="1" si="66"/>
        <v>#N/A</v>
      </c>
      <c r="H184" s="68" t="e">
        <f>IF('Demand background (hide)'!AN172&lt;&gt;"",'SPC background (hide)'!C184,NA())</f>
        <v>#N/A</v>
      </c>
      <c r="I184" s="68" t="e">
        <f t="shared" ca="1" si="67"/>
        <v>#N/A</v>
      </c>
      <c r="J184" s="5" t="e">
        <f t="shared" ca="1" si="68"/>
        <v>#N/A</v>
      </c>
      <c r="K184" s="5" t="e">
        <f t="shared" ca="1" si="69"/>
        <v>#N/A</v>
      </c>
      <c r="L184" s="5" t="e">
        <f t="shared" ca="1" si="70"/>
        <v>#N/A</v>
      </c>
      <c r="M184" s="5" t="e">
        <f t="shared" ca="1" si="71"/>
        <v>#N/A</v>
      </c>
      <c r="N184" s="5" t="e">
        <f t="shared" ca="1" si="72"/>
        <v>#N/A</v>
      </c>
      <c r="O184" s="5" t="e">
        <f t="shared" ca="1" si="73"/>
        <v>#N/A</v>
      </c>
      <c r="P184" s="5" t="e">
        <f t="shared" ca="1" si="74"/>
        <v>#N/A</v>
      </c>
      <c r="Q184" s="5" t="e">
        <f t="shared" ca="1" si="75"/>
        <v>#N/A</v>
      </c>
      <c r="R184" s="5" t="e">
        <f t="shared" ca="1" si="80"/>
        <v>#N/A</v>
      </c>
      <c r="S184" s="68" t="e">
        <f t="shared" ca="1" si="81"/>
        <v>#N/A</v>
      </c>
      <c r="T184" s="68" t="e">
        <f t="shared" ca="1" si="82"/>
        <v>#N/A</v>
      </c>
      <c r="U184" s="68" t="e">
        <f t="shared" ca="1" si="83"/>
        <v>#N/A</v>
      </c>
      <c r="V184" s="5" t="e">
        <f t="shared" ca="1" si="62"/>
        <v>#N/A</v>
      </c>
      <c r="W184" s="5" t="e">
        <f t="shared" ca="1" si="76"/>
        <v>#N/A</v>
      </c>
      <c r="X184" s="68">
        <f t="shared" ca="1" si="77"/>
        <v>0</v>
      </c>
      <c r="Y184" s="68" t="e">
        <f t="shared" ca="1" si="84"/>
        <v>#N/A</v>
      </c>
      <c r="Z184" s="68" t="e">
        <f t="shared" ca="1" si="85"/>
        <v>#N/A</v>
      </c>
      <c r="AA184" s="5" t="str">
        <f>IF(Setup!$I$15="Yes",'Demand background (hide)'!AJ172+'SPC background (hide)'!C184,"")</f>
        <v/>
      </c>
      <c r="AC184" s="5" t="e">
        <f t="shared" ca="1" si="78"/>
        <v>#N/A</v>
      </c>
      <c r="AD184" s="5" t="e">
        <f t="shared" ca="1" si="79"/>
        <v>#N/A</v>
      </c>
    </row>
    <row r="185" spans="1:30" x14ac:dyDescent="0.2">
      <c r="A185" s="68" t="str">
        <f ca="1">Demand!C182</f>
        <v/>
      </c>
      <c r="B185" s="68">
        <v>170</v>
      </c>
      <c r="C185" s="5">
        <f ca="1">'Demand background (hide)'!Y173</f>
        <v>0</v>
      </c>
      <c r="D185" s="68">
        <f t="shared" si="63"/>
        <v>0</v>
      </c>
      <c r="E185" s="68" t="e">
        <f t="shared" ca="1" si="64"/>
        <v>#N/A</v>
      </c>
      <c r="F185" s="68" t="e">
        <f t="shared" ca="1" si="65"/>
        <v>#N/A</v>
      </c>
      <c r="G185" s="68" t="e">
        <f t="shared" ca="1" si="66"/>
        <v>#N/A</v>
      </c>
      <c r="H185" s="68" t="e">
        <f>IF('Demand background (hide)'!AN173&lt;&gt;"",'SPC background (hide)'!C185,NA())</f>
        <v>#N/A</v>
      </c>
      <c r="I185" s="68" t="e">
        <f t="shared" ca="1" si="67"/>
        <v>#N/A</v>
      </c>
      <c r="J185" s="5" t="e">
        <f t="shared" ca="1" si="68"/>
        <v>#N/A</v>
      </c>
      <c r="K185" s="5" t="e">
        <f t="shared" ca="1" si="69"/>
        <v>#N/A</v>
      </c>
      <c r="L185" s="5" t="e">
        <f t="shared" ca="1" si="70"/>
        <v>#N/A</v>
      </c>
      <c r="M185" s="5" t="e">
        <f t="shared" ca="1" si="71"/>
        <v>#N/A</v>
      </c>
      <c r="N185" s="5" t="e">
        <f t="shared" ca="1" si="72"/>
        <v>#N/A</v>
      </c>
      <c r="O185" s="5" t="e">
        <f t="shared" ca="1" si="73"/>
        <v>#N/A</v>
      </c>
      <c r="P185" s="5" t="e">
        <f t="shared" ca="1" si="74"/>
        <v>#N/A</v>
      </c>
      <c r="Q185" s="5" t="e">
        <f t="shared" ca="1" si="75"/>
        <v>#N/A</v>
      </c>
      <c r="R185" s="5" t="e">
        <f t="shared" ca="1" si="80"/>
        <v>#N/A</v>
      </c>
      <c r="S185" s="68" t="e">
        <f t="shared" ca="1" si="81"/>
        <v>#N/A</v>
      </c>
      <c r="T185" s="68" t="e">
        <f t="shared" ca="1" si="82"/>
        <v>#N/A</v>
      </c>
      <c r="U185" s="68" t="e">
        <f t="shared" ca="1" si="83"/>
        <v>#N/A</v>
      </c>
      <c r="V185" s="5" t="e">
        <f t="shared" ca="1" si="62"/>
        <v>#N/A</v>
      </c>
      <c r="W185" s="5" t="e">
        <f t="shared" ca="1" si="76"/>
        <v>#N/A</v>
      </c>
      <c r="X185" s="68">
        <f t="shared" ca="1" si="77"/>
        <v>0</v>
      </c>
      <c r="Y185" s="68" t="e">
        <f t="shared" ca="1" si="84"/>
        <v>#N/A</v>
      </c>
      <c r="Z185" s="68" t="e">
        <f t="shared" ca="1" si="85"/>
        <v>#N/A</v>
      </c>
      <c r="AA185" s="5" t="str">
        <f>IF(Setup!$I$15="Yes",'Demand background (hide)'!AJ173+'SPC background (hide)'!C185,"")</f>
        <v/>
      </c>
      <c r="AC185" s="5" t="e">
        <f t="shared" ca="1" si="78"/>
        <v>#N/A</v>
      </c>
      <c r="AD185" s="5" t="e">
        <f t="shared" ca="1" si="79"/>
        <v>#N/A</v>
      </c>
    </row>
    <row r="186" spans="1:30" x14ac:dyDescent="0.2">
      <c r="A186" s="68" t="str">
        <f ca="1">Demand!C183</f>
        <v/>
      </c>
      <c r="B186" s="68">
        <v>171</v>
      </c>
      <c r="C186" s="5">
        <f ca="1">'Demand background (hide)'!Y174</f>
        <v>0</v>
      </c>
      <c r="D186" s="68">
        <f t="shared" si="63"/>
        <v>0</v>
      </c>
      <c r="E186" s="68" t="e">
        <f t="shared" ca="1" si="64"/>
        <v>#N/A</v>
      </c>
      <c r="F186" s="68" t="e">
        <f t="shared" ca="1" si="65"/>
        <v>#N/A</v>
      </c>
      <c r="G186" s="68" t="e">
        <f t="shared" ca="1" si="66"/>
        <v>#N/A</v>
      </c>
      <c r="H186" s="68" t="e">
        <f>IF('Demand background (hide)'!AN174&lt;&gt;"",'SPC background (hide)'!C186,NA())</f>
        <v>#N/A</v>
      </c>
      <c r="I186" s="68" t="e">
        <f t="shared" ca="1" si="67"/>
        <v>#N/A</v>
      </c>
      <c r="J186" s="5" t="e">
        <f t="shared" ca="1" si="68"/>
        <v>#N/A</v>
      </c>
      <c r="K186" s="5" t="e">
        <f t="shared" ca="1" si="69"/>
        <v>#N/A</v>
      </c>
      <c r="L186" s="5" t="e">
        <f t="shared" ca="1" si="70"/>
        <v>#N/A</v>
      </c>
      <c r="M186" s="5" t="e">
        <f t="shared" ca="1" si="71"/>
        <v>#N/A</v>
      </c>
      <c r="N186" s="5" t="e">
        <f t="shared" ca="1" si="72"/>
        <v>#N/A</v>
      </c>
      <c r="O186" s="5" t="e">
        <f t="shared" ca="1" si="73"/>
        <v>#N/A</v>
      </c>
      <c r="P186" s="5" t="e">
        <f t="shared" ca="1" si="74"/>
        <v>#N/A</v>
      </c>
      <c r="Q186" s="5" t="e">
        <f t="shared" ca="1" si="75"/>
        <v>#N/A</v>
      </c>
      <c r="R186" s="5" t="e">
        <f t="shared" ca="1" si="80"/>
        <v>#N/A</v>
      </c>
      <c r="S186" s="68" t="e">
        <f t="shared" ca="1" si="81"/>
        <v>#N/A</v>
      </c>
      <c r="T186" s="68" t="e">
        <f t="shared" ca="1" si="82"/>
        <v>#N/A</v>
      </c>
      <c r="U186" s="68" t="e">
        <f t="shared" ca="1" si="83"/>
        <v>#N/A</v>
      </c>
      <c r="V186" s="5" t="e">
        <f t="shared" ca="1" si="62"/>
        <v>#N/A</v>
      </c>
      <c r="W186" s="5" t="e">
        <f t="shared" ca="1" si="76"/>
        <v>#N/A</v>
      </c>
      <c r="X186" s="68">
        <f t="shared" ca="1" si="77"/>
        <v>0</v>
      </c>
      <c r="Y186" s="68" t="e">
        <f t="shared" ca="1" si="84"/>
        <v>#N/A</v>
      </c>
      <c r="Z186" s="68" t="e">
        <f t="shared" ca="1" si="85"/>
        <v>#N/A</v>
      </c>
      <c r="AA186" s="5" t="str">
        <f>IF(Setup!$I$15="Yes",'Demand background (hide)'!AJ174+'SPC background (hide)'!C186,"")</f>
        <v/>
      </c>
      <c r="AC186" s="5" t="e">
        <f t="shared" ca="1" si="78"/>
        <v>#N/A</v>
      </c>
      <c r="AD186" s="5" t="e">
        <f t="shared" ca="1" si="79"/>
        <v>#N/A</v>
      </c>
    </row>
    <row r="187" spans="1:30" x14ac:dyDescent="0.2">
      <c r="A187" s="68" t="str">
        <f ca="1">Demand!C184</f>
        <v/>
      </c>
      <c r="B187" s="68">
        <v>172</v>
      </c>
      <c r="C187" s="5">
        <f ca="1">'Demand background (hide)'!Y175</f>
        <v>0</v>
      </c>
      <c r="D187" s="68">
        <f t="shared" si="63"/>
        <v>0</v>
      </c>
      <c r="E187" s="68" t="e">
        <f t="shared" ca="1" si="64"/>
        <v>#N/A</v>
      </c>
      <c r="F187" s="68" t="e">
        <f t="shared" ca="1" si="65"/>
        <v>#N/A</v>
      </c>
      <c r="G187" s="68" t="e">
        <f t="shared" ca="1" si="66"/>
        <v>#N/A</v>
      </c>
      <c r="H187" s="68" t="e">
        <f>IF('Demand background (hide)'!AN175&lt;&gt;"",'SPC background (hide)'!C187,NA())</f>
        <v>#N/A</v>
      </c>
      <c r="I187" s="68" t="e">
        <f t="shared" ca="1" si="67"/>
        <v>#N/A</v>
      </c>
      <c r="J187" s="5" t="e">
        <f t="shared" ca="1" si="68"/>
        <v>#N/A</v>
      </c>
      <c r="K187" s="5" t="e">
        <f t="shared" ca="1" si="69"/>
        <v>#N/A</v>
      </c>
      <c r="L187" s="5" t="e">
        <f t="shared" ca="1" si="70"/>
        <v>#N/A</v>
      </c>
      <c r="M187" s="5" t="e">
        <f t="shared" ca="1" si="71"/>
        <v>#N/A</v>
      </c>
      <c r="N187" s="5" t="e">
        <f t="shared" ca="1" si="72"/>
        <v>#N/A</v>
      </c>
      <c r="O187" s="5" t="e">
        <f t="shared" ca="1" si="73"/>
        <v>#N/A</v>
      </c>
      <c r="P187" s="5" t="e">
        <f t="shared" ca="1" si="74"/>
        <v>#N/A</v>
      </c>
      <c r="Q187" s="5" t="e">
        <f t="shared" ca="1" si="75"/>
        <v>#N/A</v>
      </c>
      <c r="R187" s="5" t="e">
        <f t="shared" ca="1" si="80"/>
        <v>#N/A</v>
      </c>
      <c r="S187" s="68" t="e">
        <f t="shared" ca="1" si="81"/>
        <v>#N/A</v>
      </c>
      <c r="T187" s="68" t="e">
        <f t="shared" ca="1" si="82"/>
        <v>#N/A</v>
      </c>
      <c r="U187" s="68" t="e">
        <f t="shared" ca="1" si="83"/>
        <v>#N/A</v>
      </c>
      <c r="V187" s="5" t="e">
        <f t="shared" ca="1" si="62"/>
        <v>#N/A</v>
      </c>
      <c r="W187" s="5" t="e">
        <f t="shared" ca="1" si="76"/>
        <v>#N/A</v>
      </c>
      <c r="X187" s="68">
        <f t="shared" ca="1" si="77"/>
        <v>0</v>
      </c>
      <c r="Y187" s="68" t="e">
        <f t="shared" ca="1" si="84"/>
        <v>#N/A</v>
      </c>
      <c r="Z187" s="68" t="e">
        <f t="shared" ca="1" si="85"/>
        <v>#N/A</v>
      </c>
      <c r="AA187" s="5" t="str">
        <f>IF(Setup!$I$15="Yes",'Demand background (hide)'!AJ175+'SPC background (hide)'!C187,"")</f>
        <v/>
      </c>
      <c r="AC187" s="5" t="e">
        <f t="shared" ca="1" si="78"/>
        <v>#N/A</v>
      </c>
      <c r="AD187" s="5" t="e">
        <f t="shared" ca="1" si="79"/>
        <v>#N/A</v>
      </c>
    </row>
    <row r="188" spans="1:30" x14ac:dyDescent="0.2">
      <c r="A188" s="68" t="str">
        <f ca="1">Demand!C185</f>
        <v/>
      </c>
      <c r="B188" s="68">
        <v>173</v>
      </c>
      <c r="C188" s="5">
        <f ca="1">'Demand background (hide)'!Y176</f>
        <v>0</v>
      </c>
      <c r="D188" s="68">
        <f t="shared" si="63"/>
        <v>0</v>
      </c>
      <c r="E188" s="68" t="e">
        <f t="shared" ca="1" si="64"/>
        <v>#N/A</v>
      </c>
      <c r="F188" s="68" t="e">
        <f t="shared" ca="1" si="65"/>
        <v>#N/A</v>
      </c>
      <c r="G188" s="68" t="e">
        <f t="shared" ca="1" si="66"/>
        <v>#N/A</v>
      </c>
      <c r="H188" s="68" t="e">
        <f>IF('Demand background (hide)'!AN176&lt;&gt;"",'SPC background (hide)'!C188,NA())</f>
        <v>#N/A</v>
      </c>
      <c r="I188" s="68" t="e">
        <f t="shared" ca="1" si="67"/>
        <v>#N/A</v>
      </c>
      <c r="J188" s="5" t="e">
        <f t="shared" ca="1" si="68"/>
        <v>#N/A</v>
      </c>
      <c r="K188" s="5" t="e">
        <f t="shared" ca="1" si="69"/>
        <v>#N/A</v>
      </c>
      <c r="L188" s="5" t="e">
        <f t="shared" ca="1" si="70"/>
        <v>#N/A</v>
      </c>
      <c r="M188" s="5" t="e">
        <f t="shared" ca="1" si="71"/>
        <v>#N/A</v>
      </c>
      <c r="N188" s="5" t="e">
        <f t="shared" ca="1" si="72"/>
        <v>#N/A</v>
      </c>
      <c r="O188" s="5" t="e">
        <f t="shared" ca="1" si="73"/>
        <v>#N/A</v>
      </c>
      <c r="P188" s="5" t="e">
        <f t="shared" ca="1" si="74"/>
        <v>#N/A</v>
      </c>
      <c r="Q188" s="5" t="e">
        <f t="shared" ca="1" si="75"/>
        <v>#N/A</v>
      </c>
      <c r="R188" s="5" t="e">
        <f t="shared" ca="1" si="80"/>
        <v>#N/A</v>
      </c>
      <c r="S188" s="68" t="e">
        <f t="shared" ca="1" si="81"/>
        <v>#N/A</v>
      </c>
      <c r="T188" s="68" t="e">
        <f t="shared" ca="1" si="82"/>
        <v>#N/A</v>
      </c>
      <c r="U188" s="68" t="e">
        <f t="shared" ca="1" si="83"/>
        <v>#N/A</v>
      </c>
      <c r="V188" s="5" t="e">
        <f t="shared" ca="1" si="62"/>
        <v>#N/A</v>
      </c>
      <c r="W188" s="5" t="e">
        <f t="shared" ca="1" si="76"/>
        <v>#N/A</v>
      </c>
      <c r="X188" s="68">
        <f t="shared" ca="1" si="77"/>
        <v>0</v>
      </c>
      <c r="Y188" s="68" t="e">
        <f t="shared" ca="1" si="84"/>
        <v>#N/A</v>
      </c>
      <c r="Z188" s="68" t="e">
        <f t="shared" ca="1" si="85"/>
        <v>#N/A</v>
      </c>
      <c r="AA188" s="5" t="str">
        <f>IF(Setup!$I$15="Yes",'Demand background (hide)'!AJ176+'SPC background (hide)'!C188,"")</f>
        <v/>
      </c>
      <c r="AC188" s="5" t="e">
        <f t="shared" ca="1" si="78"/>
        <v>#N/A</v>
      </c>
      <c r="AD188" s="5" t="e">
        <f t="shared" ca="1" si="79"/>
        <v>#N/A</v>
      </c>
    </row>
    <row r="189" spans="1:30" x14ac:dyDescent="0.2">
      <c r="A189" s="68" t="str">
        <f ca="1">Demand!C186</f>
        <v/>
      </c>
      <c r="B189" s="68">
        <v>174</v>
      </c>
      <c r="C189" s="5">
        <f ca="1">'Demand background (hide)'!Y177</f>
        <v>0</v>
      </c>
      <c r="D189" s="68">
        <f t="shared" si="63"/>
        <v>0</v>
      </c>
      <c r="E189" s="68" t="e">
        <f t="shared" ca="1" si="64"/>
        <v>#N/A</v>
      </c>
      <c r="F189" s="68" t="e">
        <f t="shared" ca="1" si="65"/>
        <v>#N/A</v>
      </c>
      <c r="G189" s="68" t="e">
        <f t="shared" ca="1" si="66"/>
        <v>#N/A</v>
      </c>
      <c r="H189" s="68" t="e">
        <f>IF('Demand background (hide)'!AN177&lt;&gt;"",'SPC background (hide)'!C189,NA())</f>
        <v>#N/A</v>
      </c>
      <c r="I189" s="68" t="e">
        <f t="shared" ca="1" si="67"/>
        <v>#N/A</v>
      </c>
      <c r="J189" s="5" t="e">
        <f t="shared" ca="1" si="68"/>
        <v>#N/A</v>
      </c>
      <c r="K189" s="5" t="e">
        <f t="shared" ca="1" si="69"/>
        <v>#N/A</v>
      </c>
      <c r="L189" s="5" t="e">
        <f t="shared" ca="1" si="70"/>
        <v>#N/A</v>
      </c>
      <c r="M189" s="5" t="e">
        <f t="shared" ca="1" si="71"/>
        <v>#N/A</v>
      </c>
      <c r="N189" s="5" t="e">
        <f t="shared" ca="1" si="72"/>
        <v>#N/A</v>
      </c>
      <c r="O189" s="5" t="e">
        <f t="shared" ca="1" si="73"/>
        <v>#N/A</v>
      </c>
      <c r="P189" s="5" t="e">
        <f t="shared" ca="1" si="74"/>
        <v>#N/A</v>
      </c>
      <c r="Q189" s="5" t="e">
        <f t="shared" ca="1" si="75"/>
        <v>#N/A</v>
      </c>
      <c r="R189" s="5" t="e">
        <f t="shared" ca="1" si="80"/>
        <v>#N/A</v>
      </c>
      <c r="S189" s="68" t="e">
        <f t="shared" ca="1" si="81"/>
        <v>#N/A</v>
      </c>
      <c r="T189" s="68" t="e">
        <f t="shared" ca="1" si="82"/>
        <v>#N/A</v>
      </c>
      <c r="U189" s="68" t="e">
        <f t="shared" ca="1" si="83"/>
        <v>#N/A</v>
      </c>
      <c r="V189" s="5" t="e">
        <f t="shared" ca="1" si="62"/>
        <v>#N/A</v>
      </c>
      <c r="W189" s="5" t="e">
        <f t="shared" ca="1" si="76"/>
        <v>#N/A</v>
      </c>
      <c r="X189" s="68">
        <f t="shared" ca="1" si="77"/>
        <v>0</v>
      </c>
      <c r="Y189" s="68" t="e">
        <f t="shared" ca="1" si="84"/>
        <v>#N/A</v>
      </c>
      <c r="Z189" s="68" t="e">
        <f t="shared" ca="1" si="85"/>
        <v>#N/A</v>
      </c>
      <c r="AA189" s="5" t="str">
        <f>IF(Setup!$I$15="Yes",'Demand background (hide)'!AJ177+'SPC background (hide)'!C189,"")</f>
        <v/>
      </c>
      <c r="AC189" s="5" t="e">
        <f t="shared" ca="1" si="78"/>
        <v>#N/A</v>
      </c>
      <c r="AD189" s="5" t="e">
        <f t="shared" ca="1" si="79"/>
        <v>#N/A</v>
      </c>
    </row>
    <row r="190" spans="1:30" x14ac:dyDescent="0.2">
      <c r="A190" s="68" t="str">
        <f ca="1">Demand!C187</f>
        <v/>
      </c>
      <c r="B190" s="68">
        <v>175</v>
      </c>
      <c r="C190" s="5">
        <f ca="1">'Demand background (hide)'!Y178</f>
        <v>0</v>
      </c>
      <c r="D190" s="68">
        <f t="shared" si="63"/>
        <v>0</v>
      </c>
      <c r="E190" s="68" t="e">
        <f t="shared" ca="1" si="64"/>
        <v>#N/A</v>
      </c>
      <c r="F190" s="68" t="e">
        <f t="shared" ca="1" si="65"/>
        <v>#N/A</v>
      </c>
      <c r="G190" s="68" t="e">
        <f t="shared" ca="1" si="66"/>
        <v>#N/A</v>
      </c>
      <c r="H190" s="68" t="e">
        <f>IF('Demand background (hide)'!AN178&lt;&gt;"",'SPC background (hide)'!C190,NA())</f>
        <v>#N/A</v>
      </c>
      <c r="I190" s="68" t="e">
        <f t="shared" ca="1" si="67"/>
        <v>#N/A</v>
      </c>
      <c r="J190" s="5" t="e">
        <f t="shared" ca="1" si="68"/>
        <v>#N/A</v>
      </c>
      <c r="K190" s="5" t="e">
        <f t="shared" ca="1" si="69"/>
        <v>#N/A</v>
      </c>
      <c r="L190" s="5" t="e">
        <f t="shared" ca="1" si="70"/>
        <v>#N/A</v>
      </c>
      <c r="M190" s="5" t="e">
        <f t="shared" ca="1" si="71"/>
        <v>#N/A</v>
      </c>
      <c r="N190" s="5" t="e">
        <f t="shared" ca="1" si="72"/>
        <v>#N/A</v>
      </c>
      <c r="O190" s="5" t="e">
        <f t="shared" ca="1" si="73"/>
        <v>#N/A</v>
      </c>
      <c r="P190" s="5" t="e">
        <f t="shared" ca="1" si="74"/>
        <v>#N/A</v>
      </c>
      <c r="Q190" s="5" t="e">
        <f t="shared" ca="1" si="75"/>
        <v>#N/A</v>
      </c>
      <c r="R190" s="5" t="e">
        <f t="shared" ca="1" si="80"/>
        <v>#N/A</v>
      </c>
      <c r="S190" s="68" t="e">
        <f t="shared" ca="1" si="81"/>
        <v>#N/A</v>
      </c>
      <c r="T190" s="68" t="e">
        <f t="shared" ca="1" si="82"/>
        <v>#N/A</v>
      </c>
      <c r="U190" s="68" t="e">
        <f t="shared" ca="1" si="83"/>
        <v>#N/A</v>
      </c>
      <c r="V190" s="5" t="e">
        <f t="shared" ca="1" si="62"/>
        <v>#N/A</v>
      </c>
      <c r="W190" s="5" t="e">
        <f t="shared" ca="1" si="76"/>
        <v>#N/A</v>
      </c>
      <c r="X190" s="68">
        <f t="shared" ca="1" si="77"/>
        <v>0</v>
      </c>
      <c r="Y190" s="68" t="e">
        <f t="shared" ca="1" si="84"/>
        <v>#N/A</v>
      </c>
      <c r="Z190" s="68" t="e">
        <f t="shared" ca="1" si="85"/>
        <v>#N/A</v>
      </c>
      <c r="AA190" s="5" t="str">
        <f>IF(Setup!$I$15="Yes",'Demand background (hide)'!AJ178+'SPC background (hide)'!C190,"")</f>
        <v/>
      </c>
      <c r="AC190" s="5" t="e">
        <f t="shared" ca="1" si="78"/>
        <v>#N/A</v>
      </c>
      <c r="AD190" s="5" t="e">
        <f t="shared" ca="1" si="79"/>
        <v>#N/A</v>
      </c>
    </row>
    <row r="191" spans="1:30" x14ac:dyDescent="0.2">
      <c r="A191" s="68" t="str">
        <f ca="1">Demand!C188</f>
        <v/>
      </c>
      <c r="B191" s="68">
        <v>176</v>
      </c>
      <c r="C191" s="5">
        <f ca="1">'Demand background (hide)'!Y179</f>
        <v>0</v>
      </c>
      <c r="D191" s="68">
        <f t="shared" si="63"/>
        <v>0</v>
      </c>
      <c r="E191" s="68" t="e">
        <f t="shared" ca="1" si="64"/>
        <v>#N/A</v>
      </c>
      <c r="F191" s="68" t="e">
        <f t="shared" ca="1" si="65"/>
        <v>#N/A</v>
      </c>
      <c r="G191" s="68" t="e">
        <f t="shared" ca="1" si="66"/>
        <v>#N/A</v>
      </c>
      <c r="H191" s="68" t="e">
        <f>IF('Demand background (hide)'!AN179&lt;&gt;"",'SPC background (hide)'!C191,NA())</f>
        <v>#N/A</v>
      </c>
      <c r="I191" s="68" t="e">
        <f t="shared" ca="1" si="67"/>
        <v>#N/A</v>
      </c>
      <c r="J191" s="5" t="e">
        <f t="shared" ca="1" si="68"/>
        <v>#N/A</v>
      </c>
      <c r="K191" s="5" t="e">
        <f t="shared" ca="1" si="69"/>
        <v>#N/A</v>
      </c>
      <c r="L191" s="5" t="e">
        <f t="shared" ca="1" si="70"/>
        <v>#N/A</v>
      </c>
      <c r="M191" s="5" t="e">
        <f t="shared" ca="1" si="71"/>
        <v>#N/A</v>
      </c>
      <c r="N191" s="5" t="e">
        <f t="shared" ca="1" si="72"/>
        <v>#N/A</v>
      </c>
      <c r="O191" s="5" t="e">
        <f t="shared" ca="1" si="73"/>
        <v>#N/A</v>
      </c>
      <c r="P191" s="5" t="e">
        <f t="shared" ca="1" si="74"/>
        <v>#N/A</v>
      </c>
      <c r="Q191" s="5" t="e">
        <f t="shared" ca="1" si="75"/>
        <v>#N/A</v>
      </c>
      <c r="R191" s="5" t="e">
        <f t="shared" ca="1" si="80"/>
        <v>#N/A</v>
      </c>
      <c r="S191" s="68" t="e">
        <f t="shared" ca="1" si="81"/>
        <v>#N/A</v>
      </c>
      <c r="T191" s="68" t="e">
        <f t="shared" ca="1" si="82"/>
        <v>#N/A</v>
      </c>
      <c r="U191" s="68" t="e">
        <f t="shared" ca="1" si="83"/>
        <v>#N/A</v>
      </c>
      <c r="V191" s="5" t="e">
        <f t="shared" ca="1" si="62"/>
        <v>#N/A</v>
      </c>
      <c r="W191" s="5" t="e">
        <f t="shared" ca="1" si="76"/>
        <v>#N/A</v>
      </c>
      <c r="X191" s="68">
        <f t="shared" ca="1" si="77"/>
        <v>0</v>
      </c>
      <c r="Y191" s="68" t="e">
        <f t="shared" ca="1" si="84"/>
        <v>#N/A</v>
      </c>
      <c r="Z191" s="68" t="e">
        <f t="shared" ca="1" si="85"/>
        <v>#N/A</v>
      </c>
      <c r="AA191" s="5" t="str">
        <f>IF(Setup!$I$15="Yes",'Demand background (hide)'!AJ179+'SPC background (hide)'!C191,"")</f>
        <v/>
      </c>
      <c r="AC191" s="5" t="e">
        <f t="shared" ca="1" si="78"/>
        <v>#N/A</v>
      </c>
      <c r="AD191" s="5" t="e">
        <f t="shared" ca="1" si="79"/>
        <v>#N/A</v>
      </c>
    </row>
    <row r="192" spans="1:30" x14ac:dyDescent="0.2">
      <c r="A192" s="68" t="str">
        <f ca="1">Demand!C189</f>
        <v/>
      </c>
      <c r="B192" s="68">
        <v>177</v>
      </c>
      <c r="C192" s="5">
        <f ca="1">'Demand background (hide)'!Y180</f>
        <v>0</v>
      </c>
      <c r="D192" s="68">
        <f t="shared" si="63"/>
        <v>0</v>
      </c>
      <c r="E192" s="68" t="e">
        <f t="shared" ca="1" si="64"/>
        <v>#N/A</v>
      </c>
      <c r="F192" s="68" t="e">
        <f t="shared" ca="1" si="65"/>
        <v>#N/A</v>
      </c>
      <c r="G192" s="68" t="e">
        <f t="shared" ca="1" si="66"/>
        <v>#N/A</v>
      </c>
      <c r="H192" s="68" t="e">
        <f>IF('Demand background (hide)'!AN180&lt;&gt;"",'SPC background (hide)'!C192,NA())</f>
        <v>#N/A</v>
      </c>
      <c r="I192" s="68" t="e">
        <f t="shared" ca="1" si="67"/>
        <v>#N/A</v>
      </c>
      <c r="J192" s="5" t="e">
        <f t="shared" ca="1" si="68"/>
        <v>#N/A</v>
      </c>
      <c r="K192" s="5" t="e">
        <f t="shared" ca="1" si="69"/>
        <v>#N/A</v>
      </c>
      <c r="L192" s="5" t="e">
        <f t="shared" ca="1" si="70"/>
        <v>#N/A</v>
      </c>
      <c r="M192" s="5" t="e">
        <f t="shared" ca="1" si="71"/>
        <v>#N/A</v>
      </c>
      <c r="N192" s="5" t="e">
        <f t="shared" ca="1" si="72"/>
        <v>#N/A</v>
      </c>
      <c r="O192" s="5" t="e">
        <f t="shared" ca="1" si="73"/>
        <v>#N/A</v>
      </c>
      <c r="P192" s="5" t="e">
        <f t="shared" ca="1" si="74"/>
        <v>#N/A</v>
      </c>
      <c r="Q192" s="5" t="e">
        <f t="shared" ca="1" si="75"/>
        <v>#N/A</v>
      </c>
      <c r="R192" s="5" t="e">
        <f t="shared" ca="1" si="80"/>
        <v>#N/A</v>
      </c>
      <c r="S192" s="68" t="e">
        <f t="shared" ca="1" si="81"/>
        <v>#N/A</v>
      </c>
      <c r="T192" s="68" t="e">
        <f t="shared" ca="1" si="82"/>
        <v>#N/A</v>
      </c>
      <c r="U192" s="68" t="e">
        <f t="shared" ca="1" si="83"/>
        <v>#N/A</v>
      </c>
      <c r="V192" s="5" t="e">
        <f t="shared" ca="1" si="62"/>
        <v>#N/A</v>
      </c>
      <c r="W192" s="5" t="e">
        <f t="shared" ca="1" si="76"/>
        <v>#N/A</v>
      </c>
      <c r="X192" s="68">
        <f t="shared" ca="1" si="77"/>
        <v>0</v>
      </c>
      <c r="Y192" s="68" t="e">
        <f t="shared" ca="1" si="84"/>
        <v>#N/A</v>
      </c>
      <c r="Z192" s="68" t="e">
        <f t="shared" ca="1" si="85"/>
        <v>#N/A</v>
      </c>
      <c r="AA192" s="5" t="str">
        <f>IF(Setup!$I$15="Yes",'Demand background (hide)'!AJ180+'SPC background (hide)'!C192,"")</f>
        <v/>
      </c>
      <c r="AC192" s="5" t="e">
        <f t="shared" ca="1" si="78"/>
        <v>#N/A</v>
      </c>
      <c r="AD192" s="5" t="e">
        <f t="shared" ca="1" si="79"/>
        <v>#N/A</v>
      </c>
    </row>
    <row r="193" spans="1:30" x14ac:dyDescent="0.2">
      <c r="A193" s="68" t="str">
        <f ca="1">Demand!C190</f>
        <v/>
      </c>
      <c r="B193" s="68">
        <v>178</v>
      </c>
      <c r="C193" s="5">
        <f ca="1">'Demand background (hide)'!Y181</f>
        <v>0</v>
      </c>
      <c r="D193" s="68">
        <f t="shared" si="63"/>
        <v>0</v>
      </c>
      <c r="E193" s="68" t="e">
        <f t="shared" ca="1" si="64"/>
        <v>#N/A</v>
      </c>
      <c r="F193" s="68" t="e">
        <f t="shared" ca="1" si="65"/>
        <v>#N/A</v>
      </c>
      <c r="G193" s="68" t="e">
        <f t="shared" ca="1" si="66"/>
        <v>#N/A</v>
      </c>
      <c r="H193" s="68" t="e">
        <f>IF('Demand background (hide)'!AN181&lt;&gt;"",'SPC background (hide)'!C193,NA())</f>
        <v>#N/A</v>
      </c>
      <c r="I193" s="68" t="e">
        <f t="shared" ca="1" si="67"/>
        <v>#N/A</v>
      </c>
      <c r="J193" s="5" t="e">
        <f t="shared" ca="1" si="68"/>
        <v>#N/A</v>
      </c>
      <c r="K193" s="5" t="e">
        <f t="shared" ca="1" si="69"/>
        <v>#N/A</v>
      </c>
      <c r="L193" s="5" t="e">
        <f t="shared" ca="1" si="70"/>
        <v>#N/A</v>
      </c>
      <c r="M193" s="5" t="e">
        <f t="shared" ca="1" si="71"/>
        <v>#N/A</v>
      </c>
      <c r="N193" s="5" t="e">
        <f t="shared" ca="1" si="72"/>
        <v>#N/A</v>
      </c>
      <c r="O193" s="5" t="e">
        <f t="shared" ca="1" si="73"/>
        <v>#N/A</v>
      </c>
      <c r="P193" s="5" t="e">
        <f t="shared" ca="1" si="74"/>
        <v>#N/A</v>
      </c>
      <c r="Q193" s="5" t="e">
        <f t="shared" ca="1" si="75"/>
        <v>#N/A</v>
      </c>
      <c r="R193" s="5" t="e">
        <f t="shared" ca="1" si="80"/>
        <v>#N/A</v>
      </c>
      <c r="S193" s="68" t="e">
        <f t="shared" ca="1" si="81"/>
        <v>#N/A</v>
      </c>
      <c r="T193" s="68" t="e">
        <f t="shared" ca="1" si="82"/>
        <v>#N/A</v>
      </c>
      <c r="U193" s="68" t="e">
        <f t="shared" ca="1" si="83"/>
        <v>#N/A</v>
      </c>
      <c r="V193" s="5" t="e">
        <f t="shared" ca="1" si="62"/>
        <v>#N/A</v>
      </c>
      <c r="W193" s="5" t="e">
        <f t="shared" ca="1" si="76"/>
        <v>#N/A</v>
      </c>
      <c r="X193" s="68">
        <f t="shared" ca="1" si="77"/>
        <v>0</v>
      </c>
      <c r="Y193" s="68" t="e">
        <f t="shared" ca="1" si="84"/>
        <v>#N/A</v>
      </c>
      <c r="Z193" s="68" t="e">
        <f t="shared" ca="1" si="85"/>
        <v>#N/A</v>
      </c>
      <c r="AA193" s="5" t="str">
        <f>IF(Setup!$I$15="Yes",'Demand background (hide)'!AJ181+'SPC background (hide)'!C193,"")</f>
        <v/>
      </c>
      <c r="AC193" s="5" t="e">
        <f t="shared" ca="1" si="78"/>
        <v>#N/A</v>
      </c>
      <c r="AD193" s="5" t="e">
        <f t="shared" ca="1" si="79"/>
        <v>#N/A</v>
      </c>
    </row>
    <row r="194" spans="1:30" x14ac:dyDescent="0.2">
      <c r="A194" s="68" t="str">
        <f ca="1">Demand!C191</f>
        <v/>
      </c>
      <c r="B194" s="68">
        <v>179</v>
      </c>
      <c r="C194" s="5">
        <f ca="1">'Demand background (hide)'!Y182</f>
        <v>0</v>
      </c>
      <c r="D194" s="68">
        <f t="shared" si="63"/>
        <v>0</v>
      </c>
      <c r="E194" s="68" t="e">
        <f t="shared" ca="1" si="64"/>
        <v>#N/A</v>
      </c>
      <c r="F194" s="68" t="e">
        <f t="shared" ca="1" si="65"/>
        <v>#N/A</v>
      </c>
      <c r="G194" s="68" t="e">
        <f t="shared" ca="1" si="66"/>
        <v>#N/A</v>
      </c>
      <c r="H194" s="68" t="e">
        <f>IF('Demand background (hide)'!AN182&lt;&gt;"",'SPC background (hide)'!C194,NA())</f>
        <v>#N/A</v>
      </c>
      <c r="I194" s="68" t="e">
        <f t="shared" ca="1" si="67"/>
        <v>#N/A</v>
      </c>
      <c r="J194" s="5" t="e">
        <f t="shared" ca="1" si="68"/>
        <v>#N/A</v>
      </c>
      <c r="K194" s="5" t="e">
        <f t="shared" ca="1" si="69"/>
        <v>#N/A</v>
      </c>
      <c r="L194" s="5" t="e">
        <f t="shared" ca="1" si="70"/>
        <v>#N/A</v>
      </c>
      <c r="M194" s="5" t="e">
        <f t="shared" ca="1" si="71"/>
        <v>#N/A</v>
      </c>
      <c r="N194" s="5" t="e">
        <f t="shared" ca="1" si="72"/>
        <v>#N/A</v>
      </c>
      <c r="O194" s="5" t="e">
        <f t="shared" ca="1" si="73"/>
        <v>#N/A</v>
      </c>
      <c r="P194" s="5" t="e">
        <f t="shared" ca="1" si="74"/>
        <v>#N/A</v>
      </c>
      <c r="Q194" s="5" t="e">
        <f t="shared" ca="1" si="75"/>
        <v>#N/A</v>
      </c>
      <c r="R194" s="5" t="e">
        <f t="shared" ca="1" si="80"/>
        <v>#N/A</v>
      </c>
      <c r="S194" s="68" t="e">
        <f t="shared" ca="1" si="81"/>
        <v>#N/A</v>
      </c>
      <c r="T194" s="68" t="e">
        <f t="shared" ca="1" si="82"/>
        <v>#N/A</v>
      </c>
      <c r="U194" s="68" t="e">
        <f t="shared" ca="1" si="83"/>
        <v>#N/A</v>
      </c>
      <c r="V194" s="5" t="e">
        <f t="shared" ca="1" si="62"/>
        <v>#N/A</v>
      </c>
      <c r="W194" s="5" t="e">
        <f t="shared" ca="1" si="76"/>
        <v>#N/A</v>
      </c>
      <c r="X194" s="68">
        <f t="shared" ca="1" si="77"/>
        <v>0</v>
      </c>
      <c r="Y194" s="68" t="e">
        <f t="shared" ca="1" si="84"/>
        <v>#N/A</v>
      </c>
      <c r="Z194" s="68" t="e">
        <f t="shared" ca="1" si="85"/>
        <v>#N/A</v>
      </c>
      <c r="AA194" s="5" t="str">
        <f>IF(Setup!$I$15="Yes",'Demand background (hide)'!AJ182+'SPC background (hide)'!C194,"")</f>
        <v/>
      </c>
      <c r="AC194" s="5" t="e">
        <f t="shared" ca="1" si="78"/>
        <v>#N/A</v>
      </c>
      <c r="AD194" s="5" t="e">
        <f t="shared" ca="1" si="79"/>
        <v>#N/A</v>
      </c>
    </row>
    <row r="195" spans="1:30" x14ac:dyDescent="0.2">
      <c r="A195" s="68" t="str">
        <f ca="1">Demand!C192</f>
        <v/>
      </c>
      <c r="B195" s="68">
        <v>180</v>
      </c>
      <c r="C195" s="5">
        <f ca="1">'Demand background (hide)'!Y183</f>
        <v>0</v>
      </c>
      <c r="D195" s="68">
        <f t="shared" si="63"/>
        <v>0</v>
      </c>
      <c r="E195" s="68" t="e">
        <f t="shared" ca="1" si="64"/>
        <v>#N/A</v>
      </c>
      <c r="F195" s="68" t="e">
        <f t="shared" ca="1" si="65"/>
        <v>#N/A</v>
      </c>
      <c r="G195" s="68" t="e">
        <f t="shared" ca="1" si="66"/>
        <v>#N/A</v>
      </c>
      <c r="H195" s="68" t="e">
        <f>IF('Demand background (hide)'!AN183&lt;&gt;"",'SPC background (hide)'!C195,NA())</f>
        <v>#N/A</v>
      </c>
      <c r="I195" s="68" t="e">
        <f t="shared" ca="1" si="67"/>
        <v>#N/A</v>
      </c>
      <c r="J195" s="5" t="e">
        <f t="shared" ca="1" si="68"/>
        <v>#N/A</v>
      </c>
      <c r="K195" s="5" t="e">
        <f t="shared" ca="1" si="69"/>
        <v>#N/A</v>
      </c>
      <c r="L195" s="5" t="e">
        <f t="shared" ca="1" si="70"/>
        <v>#N/A</v>
      </c>
      <c r="M195" s="5" t="e">
        <f t="shared" ca="1" si="71"/>
        <v>#N/A</v>
      </c>
      <c r="N195" s="5" t="e">
        <f t="shared" ca="1" si="72"/>
        <v>#N/A</v>
      </c>
      <c r="O195" s="5" t="e">
        <f t="shared" ca="1" si="73"/>
        <v>#N/A</v>
      </c>
      <c r="P195" s="5" t="e">
        <f t="shared" ca="1" si="74"/>
        <v>#N/A</v>
      </c>
      <c r="Q195" s="5" t="e">
        <f t="shared" ca="1" si="75"/>
        <v>#N/A</v>
      </c>
      <c r="R195" s="5" t="e">
        <f t="shared" ca="1" si="80"/>
        <v>#N/A</v>
      </c>
      <c r="S195" s="68" t="e">
        <f t="shared" ca="1" si="81"/>
        <v>#N/A</v>
      </c>
      <c r="T195" s="68" t="e">
        <f t="shared" ca="1" si="82"/>
        <v>#N/A</v>
      </c>
      <c r="U195" s="68" t="e">
        <f t="shared" ca="1" si="83"/>
        <v>#N/A</v>
      </c>
      <c r="V195" s="5" t="e">
        <f t="shared" ca="1" si="62"/>
        <v>#N/A</v>
      </c>
      <c r="W195" s="5" t="e">
        <f t="shared" ca="1" si="76"/>
        <v>#N/A</v>
      </c>
      <c r="X195" s="68">
        <f t="shared" ca="1" si="77"/>
        <v>0</v>
      </c>
      <c r="Y195" s="68" t="e">
        <f t="shared" ca="1" si="84"/>
        <v>#N/A</v>
      </c>
      <c r="Z195" s="68" t="e">
        <f t="shared" ca="1" si="85"/>
        <v>#N/A</v>
      </c>
      <c r="AA195" s="5" t="str">
        <f>IF(Setup!$I$15="Yes",'Demand background (hide)'!AJ183+'SPC background (hide)'!C195,"")</f>
        <v/>
      </c>
      <c r="AC195" s="5" t="e">
        <f t="shared" ca="1" si="78"/>
        <v>#N/A</v>
      </c>
      <c r="AD195" s="5" t="e">
        <f t="shared" ca="1" si="79"/>
        <v>#N/A</v>
      </c>
    </row>
    <row r="196" spans="1:30" x14ac:dyDescent="0.2">
      <c r="A196" s="68" t="str">
        <f ca="1">Demand!C193</f>
        <v/>
      </c>
      <c r="B196" s="68">
        <v>181</v>
      </c>
      <c r="C196" s="5">
        <f ca="1">'Demand background (hide)'!Y184</f>
        <v>0</v>
      </c>
      <c r="D196" s="68">
        <f t="shared" si="63"/>
        <v>0</v>
      </c>
      <c r="E196" s="68" t="e">
        <f t="shared" ca="1" si="64"/>
        <v>#N/A</v>
      </c>
      <c r="F196" s="68" t="e">
        <f t="shared" ca="1" si="65"/>
        <v>#N/A</v>
      </c>
      <c r="G196" s="68" t="e">
        <f t="shared" ca="1" si="66"/>
        <v>#N/A</v>
      </c>
      <c r="H196" s="68" t="e">
        <f>IF('Demand background (hide)'!AN184&lt;&gt;"",'SPC background (hide)'!C196,NA())</f>
        <v>#N/A</v>
      </c>
      <c r="I196" s="68" t="e">
        <f t="shared" ca="1" si="67"/>
        <v>#N/A</v>
      </c>
      <c r="J196" s="5" t="e">
        <f t="shared" ca="1" si="68"/>
        <v>#N/A</v>
      </c>
      <c r="K196" s="5" t="e">
        <f t="shared" ca="1" si="69"/>
        <v>#N/A</v>
      </c>
      <c r="L196" s="5" t="e">
        <f t="shared" ca="1" si="70"/>
        <v>#N/A</v>
      </c>
      <c r="M196" s="5" t="e">
        <f t="shared" ca="1" si="71"/>
        <v>#N/A</v>
      </c>
      <c r="N196" s="5" t="e">
        <f t="shared" ca="1" si="72"/>
        <v>#N/A</v>
      </c>
      <c r="O196" s="5" t="e">
        <f t="shared" ca="1" si="73"/>
        <v>#N/A</v>
      </c>
      <c r="P196" s="5" t="e">
        <f t="shared" ca="1" si="74"/>
        <v>#N/A</v>
      </c>
      <c r="Q196" s="5" t="e">
        <f t="shared" ca="1" si="75"/>
        <v>#N/A</v>
      </c>
      <c r="R196" s="5" t="e">
        <f t="shared" ca="1" si="80"/>
        <v>#N/A</v>
      </c>
      <c r="S196" s="68" t="e">
        <f t="shared" ca="1" si="81"/>
        <v>#N/A</v>
      </c>
      <c r="T196" s="68" t="e">
        <f t="shared" ca="1" si="82"/>
        <v>#N/A</v>
      </c>
      <c r="U196" s="68" t="e">
        <f t="shared" ca="1" si="83"/>
        <v>#N/A</v>
      </c>
      <c r="V196" s="5" t="e">
        <f t="shared" ca="1" si="62"/>
        <v>#N/A</v>
      </c>
      <c r="W196" s="5" t="e">
        <f t="shared" ca="1" si="76"/>
        <v>#N/A</v>
      </c>
      <c r="X196" s="68">
        <f t="shared" ca="1" si="77"/>
        <v>0</v>
      </c>
      <c r="Y196" s="68" t="e">
        <f t="shared" ca="1" si="84"/>
        <v>#N/A</v>
      </c>
      <c r="Z196" s="68" t="e">
        <f t="shared" ca="1" si="85"/>
        <v>#N/A</v>
      </c>
      <c r="AA196" s="5" t="str">
        <f>IF(Setup!$I$15="Yes",'Demand background (hide)'!AJ184+'SPC background (hide)'!C196,"")</f>
        <v/>
      </c>
      <c r="AC196" s="5" t="e">
        <f t="shared" ca="1" si="78"/>
        <v>#N/A</v>
      </c>
      <c r="AD196" s="5" t="e">
        <f t="shared" ca="1" si="79"/>
        <v>#N/A</v>
      </c>
    </row>
    <row r="197" spans="1:30" x14ac:dyDescent="0.2">
      <c r="A197" s="68" t="str">
        <f ca="1">Demand!C194</f>
        <v/>
      </c>
      <c r="B197" s="68">
        <v>182</v>
      </c>
      <c r="C197" s="5">
        <f ca="1">'Demand background (hide)'!Y185</f>
        <v>0</v>
      </c>
      <c r="D197" s="68">
        <f t="shared" si="63"/>
        <v>0</v>
      </c>
      <c r="E197" s="68" t="e">
        <f t="shared" ca="1" si="64"/>
        <v>#N/A</v>
      </c>
      <c r="F197" s="68" t="e">
        <f t="shared" ca="1" si="65"/>
        <v>#N/A</v>
      </c>
      <c r="G197" s="68" t="e">
        <f t="shared" ca="1" si="66"/>
        <v>#N/A</v>
      </c>
      <c r="H197" s="68" t="e">
        <f>IF('Demand background (hide)'!AN185&lt;&gt;"",'SPC background (hide)'!C197,NA())</f>
        <v>#N/A</v>
      </c>
      <c r="I197" s="68" t="e">
        <f t="shared" ca="1" si="67"/>
        <v>#N/A</v>
      </c>
      <c r="J197" s="5" t="e">
        <f t="shared" ca="1" si="68"/>
        <v>#N/A</v>
      </c>
      <c r="K197" s="5" t="e">
        <f t="shared" ca="1" si="69"/>
        <v>#N/A</v>
      </c>
      <c r="L197" s="5" t="e">
        <f t="shared" ca="1" si="70"/>
        <v>#N/A</v>
      </c>
      <c r="M197" s="5" t="e">
        <f t="shared" ca="1" si="71"/>
        <v>#N/A</v>
      </c>
      <c r="N197" s="5" t="e">
        <f t="shared" ca="1" si="72"/>
        <v>#N/A</v>
      </c>
      <c r="O197" s="5" t="e">
        <f t="shared" ca="1" si="73"/>
        <v>#N/A</v>
      </c>
      <c r="P197" s="5" t="e">
        <f t="shared" ca="1" si="74"/>
        <v>#N/A</v>
      </c>
      <c r="Q197" s="5" t="e">
        <f t="shared" ca="1" si="75"/>
        <v>#N/A</v>
      </c>
      <c r="R197" s="5" t="e">
        <f t="shared" ca="1" si="80"/>
        <v>#N/A</v>
      </c>
      <c r="S197" s="68" t="e">
        <f t="shared" ca="1" si="81"/>
        <v>#N/A</v>
      </c>
      <c r="T197" s="68" t="e">
        <f t="shared" ca="1" si="82"/>
        <v>#N/A</v>
      </c>
      <c r="U197" s="68" t="e">
        <f t="shared" ca="1" si="83"/>
        <v>#N/A</v>
      </c>
      <c r="V197" s="5" t="e">
        <f t="shared" ca="1" si="62"/>
        <v>#N/A</v>
      </c>
      <c r="W197" s="5" t="e">
        <f t="shared" ca="1" si="76"/>
        <v>#N/A</v>
      </c>
      <c r="X197" s="68">
        <f t="shared" ca="1" si="77"/>
        <v>0</v>
      </c>
      <c r="Y197" s="68" t="e">
        <f t="shared" ca="1" si="84"/>
        <v>#N/A</v>
      </c>
      <c r="Z197" s="68" t="e">
        <f t="shared" ca="1" si="85"/>
        <v>#N/A</v>
      </c>
      <c r="AA197" s="5" t="str">
        <f>IF(Setup!$I$15="Yes",'Demand background (hide)'!AJ185+'SPC background (hide)'!C197,"")</f>
        <v/>
      </c>
      <c r="AC197" s="5" t="e">
        <f t="shared" ca="1" si="78"/>
        <v>#N/A</v>
      </c>
      <c r="AD197" s="5" t="e">
        <f t="shared" ca="1" si="79"/>
        <v>#N/A</v>
      </c>
    </row>
    <row r="198" spans="1:30" x14ac:dyDescent="0.2">
      <c r="A198" s="68" t="str">
        <f ca="1">Demand!C195</f>
        <v/>
      </c>
      <c r="B198" s="68">
        <v>183</v>
      </c>
      <c r="C198" s="5">
        <f ca="1">'Demand background (hide)'!Y186</f>
        <v>0</v>
      </c>
      <c r="D198" s="68">
        <f t="shared" si="63"/>
        <v>0</v>
      </c>
      <c r="E198" s="68" t="e">
        <f t="shared" ca="1" si="64"/>
        <v>#N/A</v>
      </c>
      <c r="F198" s="68" t="e">
        <f t="shared" ca="1" si="65"/>
        <v>#N/A</v>
      </c>
      <c r="G198" s="68" t="e">
        <f t="shared" ca="1" si="66"/>
        <v>#N/A</v>
      </c>
      <c r="H198" s="68" t="e">
        <f>IF('Demand background (hide)'!AN186&lt;&gt;"",'SPC background (hide)'!C198,NA())</f>
        <v>#N/A</v>
      </c>
      <c r="I198" s="68" t="e">
        <f t="shared" ca="1" si="67"/>
        <v>#N/A</v>
      </c>
      <c r="J198" s="5" t="e">
        <f t="shared" ca="1" si="68"/>
        <v>#N/A</v>
      </c>
      <c r="K198" s="5" t="e">
        <f t="shared" ca="1" si="69"/>
        <v>#N/A</v>
      </c>
      <c r="L198" s="5" t="e">
        <f t="shared" ca="1" si="70"/>
        <v>#N/A</v>
      </c>
      <c r="M198" s="5" t="e">
        <f t="shared" ca="1" si="71"/>
        <v>#N/A</v>
      </c>
      <c r="N198" s="5" t="e">
        <f t="shared" ca="1" si="72"/>
        <v>#N/A</v>
      </c>
      <c r="O198" s="5" t="e">
        <f t="shared" ca="1" si="73"/>
        <v>#N/A</v>
      </c>
      <c r="P198" s="5" t="e">
        <f t="shared" ca="1" si="74"/>
        <v>#N/A</v>
      </c>
      <c r="Q198" s="5" t="e">
        <f t="shared" ca="1" si="75"/>
        <v>#N/A</v>
      </c>
      <c r="R198" s="5" t="e">
        <f t="shared" ca="1" si="80"/>
        <v>#N/A</v>
      </c>
      <c r="S198" s="68" t="e">
        <f t="shared" ca="1" si="81"/>
        <v>#N/A</v>
      </c>
      <c r="T198" s="68" t="e">
        <f t="shared" ca="1" si="82"/>
        <v>#N/A</v>
      </c>
      <c r="U198" s="68" t="e">
        <f t="shared" ca="1" si="83"/>
        <v>#N/A</v>
      </c>
      <c r="V198" s="5" t="e">
        <f t="shared" ca="1" si="62"/>
        <v>#N/A</v>
      </c>
      <c r="W198" s="5" t="e">
        <f t="shared" ca="1" si="76"/>
        <v>#N/A</v>
      </c>
      <c r="X198" s="68">
        <f t="shared" ca="1" si="77"/>
        <v>0</v>
      </c>
      <c r="Y198" s="68" t="e">
        <f t="shared" ca="1" si="84"/>
        <v>#N/A</v>
      </c>
      <c r="Z198" s="68" t="e">
        <f t="shared" ca="1" si="85"/>
        <v>#N/A</v>
      </c>
      <c r="AA198" s="5" t="str">
        <f>IF(Setup!$I$15="Yes",'Demand background (hide)'!AJ186+'SPC background (hide)'!C198,"")</f>
        <v/>
      </c>
      <c r="AC198" s="5" t="e">
        <f t="shared" ca="1" si="78"/>
        <v>#N/A</v>
      </c>
      <c r="AD198" s="5" t="e">
        <f t="shared" ca="1" si="79"/>
        <v>#N/A</v>
      </c>
    </row>
    <row r="199" spans="1:30" x14ac:dyDescent="0.2">
      <c r="A199" s="68" t="str">
        <f ca="1">Demand!C196</f>
        <v/>
      </c>
      <c r="B199" s="68">
        <v>184</v>
      </c>
      <c r="C199" s="5">
        <f ca="1">'Demand background (hide)'!Y187</f>
        <v>0</v>
      </c>
      <c r="D199" s="68">
        <f t="shared" si="63"/>
        <v>0</v>
      </c>
      <c r="E199" s="68" t="e">
        <f t="shared" ca="1" si="64"/>
        <v>#N/A</v>
      </c>
      <c r="F199" s="68" t="e">
        <f t="shared" ca="1" si="65"/>
        <v>#N/A</v>
      </c>
      <c r="G199" s="68" t="e">
        <f t="shared" ca="1" si="66"/>
        <v>#N/A</v>
      </c>
      <c r="H199" s="68" t="e">
        <f>IF('Demand background (hide)'!AN187&lt;&gt;"",'SPC background (hide)'!C199,NA())</f>
        <v>#N/A</v>
      </c>
      <c r="I199" s="68" t="e">
        <f t="shared" ca="1" si="67"/>
        <v>#N/A</v>
      </c>
      <c r="J199" s="5" t="e">
        <f t="shared" ca="1" si="68"/>
        <v>#N/A</v>
      </c>
      <c r="K199" s="5" t="e">
        <f t="shared" ca="1" si="69"/>
        <v>#N/A</v>
      </c>
      <c r="L199" s="5" t="e">
        <f t="shared" ca="1" si="70"/>
        <v>#N/A</v>
      </c>
      <c r="M199" s="5" t="e">
        <f t="shared" ca="1" si="71"/>
        <v>#N/A</v>
      </c>
      <c r="N199" s="5" t="e">
        <f t="shared" ca="1" si="72"/>
        <v>#N/A</v>
      </c>
      <c r="O199" s="5" t="e">
        <f t="shared" ca="1" si="73"/>
        <v>#N/A</v>
      </c>
      <c r="P199" s="5" t="e">
        <f t="shared" ca="1" si="74"/>
        <v>#N/A</v>
      </c>
      <c r="Q199" s="5" t="e">
        <f t="shared" ca="1" si="75"/>
        <v>#N/A</v>
      </c>
      <c r="R199" s="5" t="e">
        <f t="shared" ca="1" si="80"/>
        <v>#N/A</v>
      </c>
      <c r="S199" s="68" t="e">
        <f t="shared" ca="1" si="81"/>
        <v>#N/A</v>
      </c>
      <c r="T199" s="68" t="e">
        <f t="shared" ca="1" si="82"/>
        <v>#N/A</v>
      </c>
      <c r="U199" s="68" t="e">
        <f t="shared" ca="1" si="83"/>
        <v>#N/A</v>
      </c>
      <c r="V199" s="5" t="e">
        <f t="shared" ca="1" si="62"/>
        <v>#N/A</v>
      </c>
      <c r="W199" s="5" t="e">
        <f t="shared" ca="1" si="76"/>
        <v>#N/A</v>
      </c>
      <c r="X199" s="68">
        <f t="shared" ca="1" si="77"/>
        <v>0</v>
      </c>
      <c r="Y199" s="68" t="e">
        <f t="shared" ca="1" si="84"/>
        <v>#N/A</v>
      </c>
      <c r="Z199" s="68" t="e">
        <f t="shared" ca="1" si="85"/>
        <v>#N/A</v>
      </c>
      <c r="AA199" s="5" t="str">
        <f>IF(Setup!$I$15="Yes",'Demand background (hide)'!AJ187+'SPC background (hide)'!C199,"")</f>
        <v/>
      </c>
      <c r="AC199" s="5" t="e">
        <f t="shared" ca="1" si="78"/>
        <v>#N/A</v>
      </c>
      <c r="AD199" s="5" t="e">
        <f t="shared" ca="1" si="79"/>
        <v>#N/A</v>
      </c>
    </row>
    <row r="200" spans="1:30" x14ac:dyDescent="0.2">
      <c r="A200" s="68" t="str">
        <f ca="1">Demand!C197</f>
        <v/>
      </c>
      <c r="B200" s="68">
        <v>185</v>
      </c>
      <c r="C200" s="5">
        <f ca="1">'Demand background (hide)'!Y188</f>
        <v>0</v>
      </c>
      <c r="D200" s="68">
        <f t="shared" si="63"/>
        <v>0</v>
      </c>
      <c r="E200" s="68" t="e">
        <f t="shared" ca="1" si="64"/>
        <v>#N/A</v>
      </c>
      <c r="F200" s="68" t="e">
        <f t="shared" ca="1" si="65"/>
        <v>#N/A</v>
      </c>
      <c r="G200" s="68" t="e">
        <f t="shared" ca="1" si="66"/>
        <v>#N/A</v>
      </c>
      <c r="H200" s="68" t="e">
        <f>IF('Demand background (hide)'!AN188&lt;&gt;"",'SPC background (hide)'!C200,NA())</f>
        <v>#N/A</v>
      </c>
      <c r="I200" s="68" t="e">
        <f t="shared" ca="1" si="67"/>
        <v>#N/A</v>
      </c>
      <c r="J200" s="5" t="e">
        <f t="shared" ca="1" si="68"/>
        <v>#N/A</v>
      </c>
      <c r="K200" s="5" t="e">
        <f t="shared" ca="1" si="69"/>
        <v>#N/A</v>
      </c>
      <c r="L200" s="5" t="e">
        <f t="shared" ca="1" si="70"/>
        <v>#N/A</v>
      </c>
      <c r="M200" s="5" t="e">
        <f t="shared" ca="1" si="71"/>
        <v>#N/A</v>
      </c>
      <c r="N200" s="5" t="e">
        <f t="shared" ca="1" si="72"/>
        <v>#N/A</v>
      </c>
      <c r="O200" s="5" t="e">
        <f t="shared" ca="1" si="73"/>
        <v>#N/A</v>
      </c>
      <c r="P200" s="5" t="e">
        <f t="shared" ca="1" si="74"/>
        <v>#N/A</v>
      </c>
      <c r="Q200" s="5" t="e">
        <f t="shared" ca="1" si="75"/>
        <v>#N/A</v>
      </c>
      <c r="R200" s="5" t="e">
        <f t="shared" ca="1" si="80"/>
        <v>#N/A</v>
      </c>
      <c r="S200" s="68" t="e">
        <f t="shared" ca="1" si="81"/>
        <v>#N/A</v>
      </c>
      <c r="T200" s="68" t="e">
        <f t="shared" ca="1" si="82"/>
        <v>#N/A</v>
      </c>
      <c r="U200" s="68" t="e">
        <f t="shared" ca="1" si="83"/>
        <v>#N/A</v>
      </c>
      <c r="V200" s="5" t="e">
        <f t="shared" ca="1" si="62"/>
        <v>#N/A</v>
      </c>
      <c r="W200" s="5" t="e">
        <f t="shared" ca="1" si="76"/>
        <v>#N/A</v>
      </c>
      <c r="X200" s="68">
        <f t="shared" ca="1" si="77"/>
        <v>0</v>
      </c>
      <c r="Y200" s="68" t="e">
        <f t="shared" ca="1" si="84"/>
        <v>#N/A</v>
      </c>
      <c r="Z200" s="68" t="e">
        <f t="shared" ca="1" si="85"/>
        <v>#N/A</v>
      </c>
      <c r="AA200" s="5" t="str">
        <f>IF(Setup!$I$15="Yes",'Demand background (hide)'!AJ188+'SPC background (hide)'!C200,"")</f>
        <v/>
      </c>
      <c r="AC200" s="5" t="e">
        <f t="shared" ca="1" si="78"/>
        <v>#N/A</v>
      </c>
      <c r="AD200" s="5" t="e">
        <f t="shared" ca="1" si="79"/>
        <v>#N/A</v>
      </c>
    </row>
    <row r="201" spans="1:30" x14ac:dyDescent="0.2">
      <c r="A201" s="68" t="str">
        <f ca="1">Demand!C198</f>
        <v/>
      </c>
      <c r="B201" s="68">
        <v>186</v>
      </c>
      <c r="C201" s="5">
        <f ca="1">'Demand background (hide)'!Y189</f>
        <v>0</v>
      </c>
      <c r="D201" s="68">
        <f t="shared" si="63"/>
        <v>0</v>
      </c>
      <c r="E201" s="68" t="e">
        <f t="shared" ca="1" si="64"/>
        <v>#N/A</v>
      </c>
      <c r="F201" s="68" t="e">
        <f t="shared" ca="1" si="65"/>
        <v>#N/A</v>
      </c>
      <c r="G201" s="68" t="e">
        <f t="shared" ca="1" si="66"/>
        <v>#N/A</v>
      </c>
      <c r="H201" s="68" t="e">
        <f>IF('Demand background (hide)'!AN189&lt;&gt;"",'SPC background (hide)'!C201,NA())</f>
        <v>#N/A</v>
      </c>
      <c r="I201" s="68" t="e">
        <f t="shared" ca="1" si="67"/>
        <v>#N/A</v>
      </c>
      <c r="J201" s="5" t="e">
        <f t="shared" ca="1" si="68"/>
        <v>#N/A</v>
      </c>
      <c r="K201" s="5" t="e">
        <f t="shared" ca="1" si="69"/>
        <v>#N/A</v>
      </c>
      <c r="L201" s="5" t="e">
        <f t="shared" ca="1" si="70"/>
        <v>#N/A</v>
      </c>
      <c r="M201" s="5" t="e">
        <f t="shared" ca="1" si="71"/>
        <v>#N/A</v>
      </c>
      <c r="N201" s="5" t="e">
        <f t="shared" ca="1" si="72"/>
        <v>#N/A</v>
      </c>
      <c r="O201" s="5" t="e">
        <f t="shared" ca="1" si="73"/>
        <v>#N/A</v>
      </c>
      <c r="P201" s="5" t="e">
        <f t="shared" ca="1" si="74"/>
        <v>#N/A</v>
      </c>
      <c r="Q201" s="5" t="e">
        <f t="shared" ca="1" si="75"/>
        <v>#N/A</v>
      </c>
      <c r="R201" s="5" t="e">
        <f t="shared" ca="1" si="80"/>
        <v>#N/A</v>
      </c>
      <c r="S201" s="68" t="e">
        <f t="shared" ca="1" si="81"/>
        <v>#N/A</v>
      </c>
      <c r="T201" s="68" t="e">
        <f t="shared" ca="1" si="82"/>
        <v>#N/A</v>
      </c>
      <c r="U201" s="68" t="e">
        <f t="shared" ca="1" si="83"/>
        <v>#N/A</v>
      </c>
      <c r="V201" s="5" t="e">
        <f t="shared" ca="1" si="62"/>
        <v>#N/A</v>
      </c>
      <c r="W201" s="5" t="e">
        <f t="shared" ca="1" si="76"/>
        <v>#N/A</v>
      </c>
      <c r="X201" s="68">
        <f t="shared" ca="1" si="77"/>
        <v>0</v>
      </c>
      <c r="Y201" s="68" t="e">
        <f t="shared" ca="1" si="84"/>
        <v>#N/A</v>
      </c>
      <c r="Z201" s="68" t="e">
        <f t="shared" ca="1" si="85"/>
        <v>#N/A</v>
      </c>
      <c r="AA201" s="5" t="str">
        <f>IF(Setup!$I$15="Yes",'Demand background (hide)'!AJ189+'SPC background (hide)'!C201,"")</f>
        <v/>
      </c>
      <c r="AC201" s="5" t="e">
        <f t="shared" ca="1" si="78"/>
        <v>#N/A</v>
      </c>
      <c r="AD201" s="5" t="e">
        <f t="shared" ca="1" si="79"/>
        <v>#N/A</v>
      </c>
    </row>
    <row r="202" spans="1:30" x14ac:dyDescent="0.2">
      <c r="A202" s="68" t="str">
        <f ca="1">Demand!C199</f>
        <v/>
      </c>
      <c r="B202" s="68">
        <v>187</v>
      </c>
      <c r="C202" s="5">
        <f ca="1">'Demand background (hide)'!Y190</f>
        <v>0</v>
      </c>
      <c r="D202" s="68">
        <f t="shared" si="63"/>
        <v>0</v>
      </c>
      <c r="E202" s="68" t="e">
        <f t="shared" ca="1" si="64"/>
        <v>#N/A</v>
      </c>
      <c r="F202" s="68" t="e">
        <f t="shared" ca="1" si="65"/>
        <v>#N/A</v>
      </c>
      <c r="G202" s="68" t="e">
        <f t="shared" ca="1" si="66"/>
        <v>#N/A</v>
      </c>
      <c r="H202" s="68" t="e">
        <f>IF('Demand background (hide)'!AN190&lt;&gt;"",'SPC background (hide)'!C202,NA())</f>
        <v>#N/A</v>
      </c>
      <c r="I202" s="68" t="e">
        <f t="shared" ca="1" si="67"/>
        <v>#N/A</v>
      </c>
      <c r="J202" s="5" t="e">
        <f t="shared" ca="1" si="68"/>
        <v>#N/A</v>
      </c>
      <c r="K202" s="5" t="e">
        <f t="shared" ca="1" si="69"/>
        <v>#N/A</v>
      </c>
      <c r="L202" s="5" t="e">
        <f t="shared" ca="1" si="70"/>
        <v>#N/A</v>
      </c>
      <c r="M202" s="5" t="e">
        <f t="shared" ca="1" si="71"/>
        <v>#N/A</v>
      </c>
      <c r="N202" s="5" t="e">
        <f t="shared" ca="1" si="72"/>
        <v>#N/A</v>
      </c>
      <c r="O202" s="5" t="e">
        <f t="shared" ca="1" si="73"/>
        <v>#N/A</v>
      </c>
      <c r="P202" s="5" t="e">
        <f t="shared" ca="1" si="74"/>
        <v>#N/A</v>
      </c>
      <c r="Q202" s="5" t="e">
        <f t="shared" ca="1" si="75"/>
        <v>#N/A</v>
      </c>
      <c r="R202" s="5" t="e">
        <f t="shared" ca="1" si="80"/>
        <v>#N/A</v>
      </c>
      <c r="S202" s="68" t="e">
        <f t="shared" ca="1" si="81"/>
        <v>#N/A</v>
      </c>
      <c r="T202" s="68" t="e">
        <f t="shared" ca="1" si="82"/>
        <v>#N/A</v>
      </c>
      <c r="U202" s="68" t="e">
        <f t="shared" ca="1" si="83"/>
        <v>#N/A</v>
      </c>
      <c r="V202" s="5" t="e">
        <f t="shared" ca="1" si="62"/>
        <v>#N/A</v>
      </c>
      <c r="W202" s="5" t="e">
        <f t="shared" ca="1" si="76"/>
        <v>#N/A</v>
      </c>
      <c r="X202" s="68">
        <f t="shared" ca="1" si="77"/>
        <v>0</v>
      </c>
      <c r="Y202" s="68" t="e">
        <f t="shared" ca="1" si="84"/>
        <v>#N/A</v>
      </c>
      <c r="Z202" s="68" t="e">
        <f t="shared" ca="1" si="85"/>
        <v>#N/A</v>
      </c>
      <c r="AA202" s="5" t="str">
        <f>IF(Setup!$I$15="Yes",'Demand background (hide)'!AJ190+'SPC background (hide)'!C202,"")</f>
        <v/>
      </c>
      <c r="AC202" s="5" t="e">
        <f t="shared" ca="1" si="78"/>
        <v>#N/A</v>
      </c>
      <c r="AD202" s="5" t="e">
        <f t="shared" ca="1" si="79"/>
        <v>#N/A</v>
      </c>
    </row>
    <row r="203" spans="1:30" x14ac:dyDescent="0.2">
      <c r="A203" s="68" t="str">
        <f ca="1">Demand!C200</f>
        <v/>
      </c>
      <c r="B203" s="68">
        <v>188</v>
      </c>
      <c r="C203" s="5">
        <f ca="1">'Demand background (hide)'!Y191</f>
        <v>0</v>
      </c>
      <c r="D203" s="68">
        <f t="shared" si="63"/>
        <v>0</v>
      </c>
      <c r="E203" s="68" t="e">
        <f t="shared" ca="1" si="64"/>
        <v>#N/A</v>
      </c>
      <c r="F203" s="68" t="e">
        <f t="shared" ca="1" si="65"/>
        <v>#N/A</v>
      </c>
      <c r="G203" s="68" t="e">
        <f t="shared" ca="1" si="66"/>
        <v>#N/A</v>
      </c>
      <c r="H203" s="68" t="e">
        <f>IF('Demand background (hide)'!AN191&lt;&gt;"",'SPC background (hide)'!C203,NA())</f>
        <v>#N/A</v>
      </c>
      <c r="I203" s="68" t="e">
        <f t="shared" ca="1" si="67"/>
        <v>#N/A</v>
      </c>
      <c r="J203" s="5" t="e">
        <f t="shared" ca="1" si="68"/>
        <v>#N/A</v>
      </c>
      <c r="K203" s="5" t="e">
        <f t="shared" ca="1" si="69"/>
        <v>#N/A</v>
      </c>
      <c r="L203" s="5" t="e">
        <f t="shared" ca="1" si="70"/>
        <v>#N/A</v>
      </c>
      <c r="M203" s="5" t="e">
        <f t="shared" ca="1" si="71"/>
        <v>#N/A</v>
      </c>
      <c r="N203" s="5" t="e">
        <f t="shared" ca="1" si="72"/>
        <v>#N/A</v>
      </c>
      <c r="O203" s="5" t="e">
        <f t="shared" ca="1" si="73"/>
        <v>#N/A</v>
      </c>
      <c r="P203" s="5" t="e">
        <f t="shared" ca="1" si="74"/>
        <v>#N/A</v>
      </c>
      <c r="Q203" s="5" t="e">
        <f t="shared" ca="1" si="75"/>
        <v>#N/A</v>
      </c>
      <c r="R203" s="5" t="e">
        <f t="shared" ca="1" si="80"/>
        <v>#N/A</v>
      </c>
      <c r="S203" s="68" t="e">
        <f t="shared" ca="1" si="81"/>
        <v>#N/A</v>
      </c>
      <c r="T203" s="68" t="e">
        <f t="shared" ca="1" si="82"/>
        <v>#N/A</v>
      </c>
      <c r="U203" s="68" t="e">
        <f t="shared" ca="1" si="83"/>
        <v>#N/A</v>
      </c>
      <c r="V203" s="5" t="e">
        <f t="shared" ca="1" si="62"/>
        <v>#N/A</v>
      </c>
      <c r="W203" s="5" t="e">
        <f t="shared" ca="1" si="76"/>
        <v>#N/A</v>
      </c>
      <c r="X203" s="68">
        <f t="shared" ca="1" si="77"/>
        <v>0</v>
      </c>
      <c r="Y203" s="68" t="e">
        <f t="shared" ca="1" si="84"/>
        <v>#N/A</v>
      </c>
      <c r="Z203" s="68" t="e">
        <f t="shared" ca="1" si="85"/>
        <v>#N/A</v>
      </c>
      <c r="AA203" s="5" t="str">
        <f>IF(Setup!$I$15="Yes",'Demand background (hide)'!AJ191+'SPC background (hide)'!C203,"")</f>
        <v/>
      </c>
      <c r="AC203" s="5" t="e">
        <f t="shared" ca="1" si="78"/>
        <v>#N/A</v>
      </c>
      <c r="AD203" s="5" t="e">
        <f t="shared" ca="1" si="79"/>
        <v>#N/A</v>
      </c>
    </row>
    <row r="204" spans="1:30" x14ac:dyDescent="0.2">
      <c r="A204" s="68" t="str">
        <f ca="1">Demand!C201</f>
        <v/>
      </c>
      <c r="B204" s="68">
        <v>189</v>
      </c>
      <c r="C204" s="5">
        <f ca="1">'Demand background (hide)'!Y192</f>
        <v>0</v>
      </c>
      <c r="D204" s="68">
        <f t="shared" si="63"/>
        <v>0</v>
      </c>
      <c r="E204" s="68" t="e">
        <f t="shared" ca="1" si="64"/>
        <v>#N/A</v>
      </c>
      <c r="F204" s="68" t="e">
        <f t="shared" ca="1" si="65"/>
        <v>#N/A</v>
      </c>
      <c r="G204" s="68" t="e">
        <f t="shared" ca="1" si="66"/>
        <v>#N/A</v>
      </c>
      <c r="H204" s="68" t="e">
        <f>IF('Demand background (hide)'!AN192&lt;&gt;"",'SPC background (hide)'!C204,NA())</f>
        <v>#N/A</v>
      </c>
      <c r="I204" s="68" t="e">
        <f t="shared" ca="1" si="67"/>
        <v>#N/A</v>
      </c>
      <c r="J204" s="5" t="e">
        <f t="shared" ca="1" si="68"/>
        <v>#N/A</v>
      </c>
      <c r="K204" s="5" t="e">
        <f t="shared" ca="1" si="69"/>
        <v>#N/A</v>
      </c>
      <c r="L204" s="5" t="e">
        <f t="shared" ca="1" si="70"/>
        <v>#N/A</v>
      </c>
      <c r="M204" s="5" t="e">
        <f t="shared" ca="1" si="71"/>
        <v>#N/A</v>
      </c>
      <c r="N204" s="5" t="e">
        <f t="shared" ca="1" si="72"/>
        <v>#N/A</v>
      </c>
      <c r="O204" s="5" t="e">
        <f t="shared" ca="1" si="73"/>
        <v>#N/A</v>
      </c>
      <c r="P204" s="5" t="e">
        <f t="shared" ca="1" si="74"/>
        <v>#N/A</v>
      </c>
      <c r="Q204" s="5" t="e">
        <f t="shared" ca="1" si="75"/>
        <v>#N/A</v>
      </c>
      <c r="R204" s="5" t="e">
        <f t="shared" ca="1" si="80"/>
        <v>#N/A</v>
      </c>
      <c r="S204" s="68" t="e">
        <f t="shared" ca="1" si="81"/>
        <v>#N/A</v>
      </c>
      <c r="T204" s="68" t="e">
        <f t="shared" ca="1" si="82"/>
        <v>#N/A</v>
      </c>
      <c r="U204" s="68" t="e">
        <f t="shared" ca="1" si="83"/>
        <v>#N/A</v>
      </c>
      <c r="V204" s="5" t="e">
        <f t="shared" ca="1" si="62"/>
        <v>#N/A</v>
      </c>
      <c r="W204" s="5" t="e">
        <f t="shared" ca="1" si="76"/>
        <v>#N/A</v>
      </c>
      <c r="X204" s="68">
        <f t="shared" ca="1" si="77"/>
        <v>0</v>
      </c>
      <c r="Y204" s="68" t="e">
        <f t="shared" ca="1" si="84"/>
        <v>#N/A</v>
      </c>
      <c r="Z204" s="68" t="e">
        <f t="shared" ca="1" si="85"/>
        <v>#N/A</v>
      </c>
      <c r="AA204" s="5" t="str">
        <f>IF(Setup!$I$15="Yes",'Demand background (hide)'!AJ192+'SPC background (hide)'!C204,"")</f>
        <v/>
      </c>
      <c r="AC204" s="5" t="e">
        <f t="shared" ca="1" si="78"/>
        <v>#N/A</v>
      </c>
      <c r="AD204" s="5" t="e">
        <f t="shared" ca="1" si="79"/>
        <v>#N/A</v>
      </c>
    </row>
    <row r="205" spans="1:30" x14ac:dyDescent="0.2">
      <c r="A205" s="68" t="str">
        <f ca="1">Demand!C202</f>
        <v/>
      </c>
      <c r="B205" s="68">
        <v>190</v>
      </c>
      <c r="C205" s="5">
        <f ca="1">'Demand background (hide)'!Y193</f>
        <v>0</v>
      </c>
      <c r="D205" s="68">
        <f t="shared" si="63"/>
        <v>0</v>
      </c>
      <c r="E205" s="68" t="e">
        <f t="shared" ca="1" si="64"/>
        <v>#N/A</v>
      </c>
      <c r="F205" s="68" t="e">
        <f t="shared" ca="1" si="65"/>
        <v>#N/A</v>
      </c>
      <c r="G205" s="68" t="e">
        <f t="shared" ca="1" si="66"/>
        <v>#N/A</v>
      </c>
      <c r="H205" s="68" t="e">
        <f>IF('Demand background (hide)'!AN193&lt;&gt;"",'SPC background (hide)'!C205,NA())</f>
        <v>#N/A</v>
      </c>
      <c r="I205" s="68" t="e">
        <f t="shared" ca="1" si="67"/>
        <v>#N/A</v>
      </c>
      <c r="J205" s="5" t="e">
        <f t="shared" ca="1" si="68"/>
        <v>#N/A</v>
      </c>
      <c r="K205" s="5" t="e">
        <f t="shared" ca="1" si="69"/>
        <v>#N/A</v>
      </c>
      <c r="L205" s="5" t="e">
        <f t="shared" ca="1" si="70"/>
        <v>#N/A</v>
      </c>
      <c r="M205" s="5" t="e">
        <f t="shared" ca="1" si="71"/>
        <v>#N/A</v>
      </c>
      <c r="N205" s="5" t="e">
        <f t="shared" ca="1" si="72"/>
        <v>#N/A</v>
      </c>
      <c r="O205" s="5" t="e">
        <f t="shared" ca="1" si="73"/>
        <v>#N/A</v>
      </c>
      <c r="P205" s="5" t="e">
        <f t="shared" ca="1" si="74"/>
        <v>#N/A</v>
      </c>
      <c r="Q205" s="5" t="e">
        <f t="shared" ca="1" si="75"/>
        <v>#N/A</v>
      </c>
      <c r="R205" s="5" t="e">
        <f t="shared" ca="1" si="80"/>
        <v>#N/A</v>
      </c>
      <c r="S205" s="68" t="e">
        <f t="shared" ca="1" si="81"/>
        <v>#N/A</v>
      </c>
      <c r="T205" s="68" t="e">
        <f t="shared" ca="1" si="82"/>
        <v>#N/A</v>
      </c>
      <c r="U205" s="68" t="e">
        <f t="shared" ca="1" si="83"/>
        <v>#N/A</v>
      </c>
      <c r="V205" s="5" t="e">
        <f t="shared" ca="1" si="62"/>
        <v>#N/A</v>
      </c>
      <c r="W205" s="5" t="e">
        <f t="shared" ca="1" si="76"/>
        <v>#N/A</v>
      </c>
      <c r="X205" s="68">
        <f t="shared" ca="1" si="77"/>
        <v>0</v>
      </c>
      <c r="Y205" s="68" t="e">
        <f t="shared" ca="1" si="84"/>
        <v>#N/A</v>
      </c>
      <c r="Z205" s="68" t="e">
        <f t="shared" ca="1" si="85"/>
        <v>#N/A</v>
      </c>
      <c r="AA205" s="5" t="str">
        <f>IF(Setup!$I$15="Yes",'Demand background (hide)'!AJ193+'SPC background (hide)'!C205,"")</f>
        <v/>
      </c>
      <c r="AC205" s="5" t="e">
        <f t="shared" ca="1" si="78"/>
        <v>#N/A</v>
      </c>
      <c r="AD205" s="5" t="e">
        <f t="shared" ca="1" si="79"/>
        <v>#N/A</v>
      </c>
    </row>
    <row r="206" spans="1:30" x14ac:dyDescent="0.2">
      <c r="A206" s="68" t="str">
        <f ca="1">Demand!C203</f>
        <v/>
      </c>
      <c r="B206" s="68">
        <v>191</v>
      </c>
      <c r="C206" s="5">
        <f ca="1">'Demand background (hide)'!Y194</f>
        <v>0</v>
      </c>
      <c r="D206" s="68">
        <f t="shared" si="63"/>
        <v>0</v>
      </c>
      <c r="E206" s="68" t="e">
        <f t="shared" ca="1" si="64"/>
        <v>#N/A</v>
      </c>
      <c r="F206" s="68" t="e">
        <f t="shared" ca="1" si="65"/>
        <v>#N/A</v>
      </c>
      <c r="G206" s="68" t="e">
        <f t="shared" ca="1" si="66"/>
        <v>#N/A</v>
      </c>
      <c r="H206" s="68" t="e">
        <f>IF('Demand background (hide)'!AN194&lt;&gt;"",'SPC background (hide)'!C206,NA())</f>
        <v>#N/A</v>
      </c>
      <c r="I206" s="68" t="e">
        <f t="shared" ca="1" si="67"/>
        <v>#N/A</v>
      </c>
      <c r="J206" s="5" t="e">
        <f t="shared" ca="1" si="68"/>
        <v>#N/A</v>
      </c>
      <c r="K206" s="5" t="e">
        <f t="shared" ca="1" si="69"/>
        <v>#N/A</v>
      </c>
      <c r="L206" s="5" t="e">
        <f t="shared" ca="1" si="70"/>
        <v>#N/A</v>
      </c>
      <c r="M206" s="5" t="e">
        <f t="shared" ca="1" si="71"/>
        <v>#N/A</v>
      </c>
      <c r="N206" s="5" t="e">
        <f t="shared" ca="1" si="72"/>
        <v>#N/A</v>
      </c>
      <c r="O206" s="5" t="e">
        <f t="shared" ca="1" si="73"/>
        <v>#N/A</v>
      </c>
      <c r="P206" s="5" t="e">
        <f t="shared" ca="1" si="74"/>
        <v>#N/A</v>
      </c>
      <c r="Q206" s="5" t="e">
        <f t="shared" ca="1" si="75"/>
        <v>#N/A</v>
      </c>
      <c r="R206" s="5" t="e">
        <f t="shared" ca="1" si="80"/>
        <v>#N/A</v>
      </c>
      <c r="S206" s="68" t="e">
        <f t="shared" ca="1" si="81"/>
        <v>#N/A</v>
      </c>
      <c r="T206" s="68" t="e">
        <f t="shared" ca="1" si="82"/>
        <v>#N/A</v>
      </c>
      <c r="U206" s="68" t="e">
        <f t="shared" ca="1" si="83"/>
        <v>#N/A</v>
      </c>
      <c r="V206" s="5" t="e">
        <f t="shared" ca="1" si="62"/>
        <v>#N/A</v>
      </c>
      <c r="W206" s="5" t="e">
        <f t="shared" ca="1" si="76"/>
        <v>#N/A</v>
      </c>
      <c r="X206" s="68">
        <f t="shared" ca="1" si="77"/>
        <v>0</v>
      </c>
      <c r="Y206" s="68" t="e">
        <f t="shared" ca="1" si="84"/>
        <v>#N/A</v>
      </c>
      <c r="Z206" s="68" t="e">
        <f t="shared" ca="1" si="85"/>
        <v>#N/A</v>
      </c>
      <c r="AA206" s="5" t="str">
        <f>IF(Setup!$I$15="Yes",'Demand background (hide)'!AJ194+'SPC background (hide)'!C206,"")</f>
        <v/>
      </c>
      <c r="AC206" s="5" t="e">
        <f t="shared" ca="1" si="78"/>
        <v>#N/A</v>
      </c>
      <c r="AD206" s="5" t="e">
        <f t="shared" ca="1" si="79"/>
        <v>#N/A</v>
      </c>
    </row>
    <row r="207" spans="1:30" x14ac:dyDescent="0.2">
      <c r="A207" s="68" t="str">
        <f ca="1">Demand!C204</f>
        <v/>
      </c>
      <c r="B207" s="68">
        <v>192</v>
      </c>
      <c r="C207" s="5">
        <f ca="1">'Demand background (hide)'!Y195</f>
        <v>0</v>
      </c>
      <c r="D207" s="68">
        <f t="shared" si="63"/>
        <v>0</v>
      </c>
      <c r="E207" s="68" t="e">
        <f t="shared" ca="1" si="64"/>
        <v>#N/A</v>
      </c>
      <c r="F207" s="68" t="e">
        <f t="shared" ca="1" si="65"/>
        <v>#N/A</v>
      </c>
      <c r="G207" s="68" t="e">
        <f t="shared" ca="1" si="66"/>
        <v>#N/A</v>
      </c>
      <c r="H207" s="68" t="e">
        <f>IF('Demand background (hide)'!AN195&lt;&gt;"",'SPC background (hide)'!C207,NA())</f>
        <v>#N/A</v>
      </c>
      <c r="I207" s="68" t="e">
        <f t="shared" ca="1" si="67"/>
        <v>#N/A</v>
      </c>
      <c r="J207" s="5" t="e">
        <f t="shared" ca="1" si="68"/>
        <v>#N/A</v>
      </c>
      <c r="K207" s="5" t="e">
        <f t="shared" ca="1" si="69"/>
        <v>#N/A</v>
      </c>
      <c r="L207" s="5" t="e">
        <f t="shared" ca="1" si="70"/>
        <v>#N/A</v>
      </c>
      <c r="M207" s="5" t="e">
        <f t="shared" ca="1" si="71"/>
        <v>#N/A</v>
      </c>
      <c r="N207" s="5" t="e">
        <f t="shared" ca="1" si="72"/>
        <v>#N/A</v>
      </c>
      <c r="O207" s="5" t="e">
        <f t="shared" ca="1" si="73"/>
        <v>#N/A</v>
      </c>
      <c r="P207" s="5" t="e">
        <f t="shared" ca="1" si="74"/>
        <v>#N/A</v>
      </c>
      <c r="Q207" s="5" t="e">
        <f t="shared" ca="1" si="75"/>
        <v>#N/A</v>
      </c>
      <c r="R207" s="5" t="e">
        <f t="shared" ca="1" si="80"/>
        <v>#N/A</v>
      </c>
      <c r="S207" s="68" t="e">
        <f t="shared" ca="1" si="81"/>
        <v>#N/A</v>
      </c>
      <c r="T207" s="68" t="e">
        <f t="shared" ca="1" si="82"/>
        <v>#N/A</v>
      </c>
      <c r="U207" s="68" t="e">
        <f t="shared" ca="1" si="83"/>
        <v>#N/A</v>
      </c>
      <c r="V207" s="5" t="e">
        <f t="shared" ca="1" si="62"/>
        <v>#N/A</v>
      </c>
      <c r="W207" s="5" t="e">
        <f t="shared" ca="1" si="76"/>
        <v>#N/A</v>
      </c>
      <c r="X207" s="68">
        <f t="shared" ca="1" si="77"/>
        <v>0</v>
      </c>
      <c r="Y207" s="68" t="e">
        <f t="shared" ca="1" si="84"/>
        <v>#N/A</v>
      </c>
      <c r="Z207" s="68" t="e">
        <f t="shared" ca="1" si="85"/>
        <v>#N/A</v>
      </c>
      <c r="AA207" s="5" t="str">
        <f>IF(Setup!$I$15="Yes",'Demand background (hide)'!AJ195+'SPC background (hide)'!C207,"")</f>
        <v/>
      </c>
      <c r="AC207" s="5" t="e">
        <f t="shared" ca="1" si="78"/>
        <v>#N/A</v>
      </c>
      <c r="AD207" s="5" t="e">
        <f t="shared" ca="1" si="79"/>
        <v>#N/A</v>
      </c>
    </row>
    <row r="208" spans="1:30" x14ac:dyDescent="0.2">
      <c r="A208" s="68" t="str">
        <f ca="1">Demand!C205</f>
        <v/>
      </c>
      <c r="B208" s="68">
        <v>193</v>
      </c>
      <c r="C208" s="5">
        <f ca="1">'Demand background (hide)'!Y196</f>
        <v>0</v>
      </c>
      <c r="D208" s="68">
        <f t="shared" si="63"/>
        <v>0</v>
      </c>
      <c r="E208" s="68" t="e">
        <f t="shared" ca="1" si="64"/>
        <v>#N/A</v>
      </c>
      <c r="F208" s="68" t="e">
        <f t="shared" ca="1" si="65"/>
        <v>#N/A</v>
      </c>
      <c r="G208" s="68" t="e">
        <f t="shared" ca="1" si="66"/>
        <v>#N/A</v>
      </c>
      <c r="H208" s="68" t="e">
        <f>IF('Demand background (hide)'!AN196&lt;&gt;"",'SPC background (hide)'!C208,NA())</f>
        <v>#N/A</v>
      </c>
      <c r="I208" s="68" t="e">
        <f t="shared" ca="1" si="67"/>
        <v>#N/A</v>
      </c>
      <c r="J208" s="5" t="e">
        <f t="shared" ca="1" si="68"/>
        <v>#N/A</v>
      </c>
      <c r="K208" s="5" t="e">
        <f t="shared" ca="1" si="69"/>
        <v>#N/A</v>
      </c>
      <c r="L208" s="5" t="e">
        <f t="shared" ca="1" si="70"/>
        <v>#N/A</v>
      </c>
      <c r="M208" s="5" t="e">
        <f t="shared" ca="1" si="71"/>
        <v>#N/A</v>
      </c>
      <c r="N208" s="5" t="e">
        <f t="shared" ca="1" si="72"/>
        <v>#N/A</v>
      </c>
      <c r="O208" s="5" t="e">
        <f t="shared" ca="1" si="73"/>
        <v>#N/A</v>
      </c>
      <c r="P208" s="5" t="e">
        <f t="shared" ca="1" si="74"/>
        <v>#N/A</v>
      </c>
      <c r="Q208" s="5" t="e">
        <f t="shared" ca="1" si="75"/>
        <v>#N/A</v>
      </c>
      <c r="R208" s="5" t="e">
        <f t="shared" ca="1" si="80"/>
        <v>#N/A</v>
      </c>
      <c r="S208" s="68" t="e">
        <f t="shared" ca="1" si="81"/>
        <v>#N/A</v>
      </c>
      <c r="T208" s="68" t="e">
        <f t="shared" ca="1" si="82"/>
        <v>#N/A</v>
      </c>
      <c r="U208" s="68" t="e">
        <f t="shared" ca="1" si="83"/>
        <v>#N/A</v>
      </c>
      <c r="V208" s="5" t="e">
        <f t="shared" ref="V208:V275" ca="1" si="86">IF(C208&lt;M208,-1,IF(C208&gt;M208,1,0))</f>
        <v>#N/A</v>
      </c>
      <c r="W208" s="5" t="e">
        <f t="shared" ca="1" si="76"/>
        <v>#N/A</v>
      </c>
      <c r="X208" s="68">
        <f t="shared" ca="1" si="77"/>
        <v>0</v>
      </c>
      <c r="Y208" s="68" t="e">
        <f t="shared" ca="1" si="84"/>
        <v>#N/A</v>
      </c>
      <c r="Z208" s="68" t="e">
        <f t="shared" ca="1" si="85"/>
        <v>#N/A</v>
      </c>
      <c r="AA208" s="5" t="str">
        <f>IF(Setup!$I$15="Yes",'Demand background (hide)'!AJ196+'SPC background (hide)'!C208,"")</f>
        <v/>
      </c>
      <c r="AC208" s="5" t="e">
        <f t="shared" ca="1" si="78"/>
        <v>#N/A</v>
      </c>
      <c r="AD208" s="5" t="e">
        <f t="shared" ca="1" si="79"/>
        <v>#N/A</v>
      </c>
    </row>
    <row r="209" spans="1:30" x14ac:dyDescent="0.2">
      <c r="A209" s="68" t="str">
        <f ca="1">Demand!C206</f>
        <v/>
      </c>
      <c r="B209" s="68">
        <v>194</v>
      </c>
      <c r="C209" s="5">
        <f ca="1">'Demand background (hide)'!Y197</f>
        <v>0</v>
      </c>
      <c r="D209" s="68">
        <f t="shared" ref="D209:D272" si="87">IF(AND($B209&gt;=$C$4,$B209&lt;=$D$5+$C$5-1),1,0)</f>
        <v>0</v>
      </c>
      <c r="E209" s="68" t="e">
        <f t="shared" ref="E209:E272" ca="1" si="88">IF(AND($B209&gt;=$D$6,$B209&lt;=$D$7+$C$7-1),1,0)</f>
        <v>#N/A</v>
      </c>
      <c r="F209" s="68" t="e">
        <f t="shared" ref="F209:F272" ca="1" si="89">IF(AND($B209&gt;=$D$8,$B209&lt;=$D$9+$C$9-1),1,0)</f>
        <v>#N/A</v>
      </c>
      <c r="G209" s="68" t="e">
        <f t="shared" ref="G209:G272" ca="1" si="90">IF(AND($B209&gt;=$D$10,$B209&lt;=$D$11+$C$11-1),1,0)</f>
        <v>#N/A</v>
      </c>
      <c r="H209" s="68" t="e">
        <f>IF('Demand background (hide)'!AN197&lt;&gt;"",'SPC background (hide)'!C209,NA())</f>
        <v>#N/A</v>
      </c>
      <c r="I209" s="68" t="e">
        <f t="shared" ref="I209:I272" ca="1" si="91">VLOOKUP(A209,$AG$2:$AI$54,3,0)</f>
        <v>#N/A</v>
      </c>
      <c r="J209" s="5" t="e">
        <f t="shared" ref="J209:J272" ca="1" si="92">VLOOKUP($A209,$AG$2:$AQ$54,COLUMN(E$1),0)</f>
        <v>#N/A</v>
      </c>
      <c r="K209" s="5" t="e">
        <f t="shared" ref="K209:K272" ca="1" si="93">VLOOKUP($A209,$AG$2:$AQ$54,COLUMN(F$1),0)</f>
        <v>#N/A</v>
      </c>
      <c r="L209" s="5" t="e">
        <f t="shared" ref="L209:L272" ca="1" si="94">VLOOKUP($A209,$AG$2:$AQ$54,COLUMN(G$1),0)</f>
        <v>#N/A</v>
      </c>
      <c r="M209" s="5" t="e">
        <f t="shared" ref="M209:M272" ca="1" si="95">VLOOKUP($A209,$AG$2:$AQ$54,COLUMN(H$1),0)</f>
        <v>#N/A</v>
      </c>
      <c r="N209" s="5" t="e">
        <f t="shared" ref="N209:N272" ca="1" si="96">VLOOKUP($A209,$AG$2:$AQ$54,COLUMN(I$1),0)</f>
        <v>#N/A</v>
      </c>
      <c r="O209" s="5" t="e">
        <f t="shared" ref="O209:O272" ca="1" si="97">VLOOKUP($A209,$AG$2:$AQ$54,COLUMN(J$1),0)</f>
        <v>#N/A</v>
      </c>
      <c r="P209" s="5" t="e">
        <f t="shared" ref="P209:P272" ca="1" si="98">VLOOKUP($A209,$AG$2:$AQ$54,COLUMN(K$1),0)</f>
        <v>#N/A</v>
      </c>
      <c r="Q209" s="5" t="e">
        <f t="shared" ref="Q209:Q272" ca="1" si="99">IF(ISNA(H209)=TRUE,IF(OR(C209&gt;P209,C209&lt;J209),C209,NA()),NA())</f>
        <v>#N/A</v>
      </c>
      <c r="R209" s="5" t="e">
        <f t="shared" ca="1" si="80"/>
        <v>#N/A</v>
      </c>
      <c r="S209" s="68" t="e">
        <f t="shared" ca="1" si="81"/>
        <v>#N/A</v>
      </c>
      <c r="T209" s="68" t="e">
        <f t="shared" ca="1" si="82"/>
        <v>#N/A</v>
      </c>
      <c r="U209" s="68" t="e">
        <f t="shared" ca="1" si="83"/>
        <v>#N/A</v>
      </c>
      <c r="V209" s="5" t="e">
        <f t="shared" ca="1" si="86"/>
        <v>#N/A</v>
      </c>
      <c r="W209" s="5" t="e">
        <f t="shared" ref="W209:W272" ca="1" si="100">IF(ISNA(H209)=TRUE,IF(ABS(SUM(V209:V217))=9,C209,NA()),NA())</f>
        <v>#N/A</v>
      </c>
      <c r="X209" s="68">
        <f t="shared" ref="X209:X275" ca="1" si="101">IF(C209&gt;C208,1,IF(C209&lt;C208,-1,0))</f>
        <v>0</v>
      </c>
      <c r="Y209" s="68" t="e">
        <f t="shared" ca="1" si="84"/>
        <v>#N/A</v>
      </c>
      <c r="Z209" s="68" t="e">
        <f t="shared" ca="1" si="85"/>
        <v>#N/A</v>
      </c>
      <c r="AA209" s="5" t="str">
        <f>IF(Setup!$I$15="Yes",'Demand background (hide)'!AJ197+'SPC background (hide)'!C209,"")</f>
        <v/>
      </c>
      <c r="AC209" s="5" t="e">
        <f t="shared" ref="AC209:AC272" ca="1" si="102">VLOOKUP($A209,$AG$2:$AS$54,12,0)</f>
        <v>#N/A</v>
      </c>
      <c r="AD209" s="5" t="e">
        <f t="shared" ref="AD209:AD272" ca="1" si="103">VLOOKUP($A209,$AG$2:$AS$54,13,0)</f>
        <v>#N/A</v>
      </c>
    </row>
    <row r="210" spans="1:30" x14ac:dyDescent="0.2">
      <c r="A210" s="68" t="str">
        <f ca="1">Demand!C207</f>
        <v/>
      </c>
      <c r="B210" s="68">
        <v>195</v>
      </c>
      <c r="C210" s="5">
        <f ca="1">'Demand background (hide)'!Y198</f>
        <v>0</v>
      </c>
      <c r="D210" s="68">
        <f t="shared" si="87"/>
        <v>0</v>
      </c>
      <c r="E210" s="68" t="e">
        <f t="shared" ca="1" si="88"/>
        <v>#N/A</v>
      </c>
      <c r="F210" s="68" t="e">
        <f t="shared" ca="1" si="89"/>
        <v>#N/A</v>
      </c>
      <c r="G210" s="68" t="e">
        <f t="shared" ca="1" si="90"/>
        <v>#N/A</v>
      </c>
      <c r="H210" s="68" t="e">
        <f>IF('Demand background (hide)'!AN198&lt;&gt;"",'SPC background (hide)'!C210,NA())</f>
        <v>#N/A</v>
      </c>
      <c r="I210" s="68" t="e">
        <f t="shared" ca="1" si="91"/>
        <v>#N/A</v>
      </c>
      <c r="J210" s="5" t="e">
        <f t="shared" ca="1" si="92"/>
        <v>#N/A</v>
      </c>
      <c r="K210" s="5" t="e">
        <f t="shared" ca="1" si="93"/>
        <v>#N/A</v>
      </c>
      <c r="L210" s="5" t="e">
        <f t="shared" ca="1" si="94"/>
        <v>#N/A</v>
      </c>
      <c r="M210" s="5" t="e">
        <f t="shared" ca="1" si="95"/>
        <v>#N/A</v>
      </c>
      <c r="N210" s="5" t="e">
        <f t="shared" ca="1" si="96"/>
        <v>#N/A</v>
      </c>
      <c r="O210" s="5" t="e">
        <f t="shared" ca="1" si="97"/>
        <v>#N/A</v>
      </c>
      <c r="P210" s="5" t="e">
        <f t="shared" ca="1" si="98"/>
        <v>#N/A</v>
      </c>
      <c r="Q210" s="5" t="e">
        <f t="shared" ca="1" si="99"/>
        <v>#N/A</v>
      </c>
      <c r="R210" s="5" t="e">
        <f t="shared" ref="R210:R273" ca="1" si="104">IF(C210&gt;O210,2,IF(C210&lt;K210,-2,IF(C210&gt;M210,1,IF(C210&lt;M210,-1,0))))</f>
        <v>#N/A</v>
      </c>
      <c r="S210" s="68" t="e">
        <f t="shared" ref="S210:S273" ca="1" si="105">IF(ISNA(H210),IF(ABS(SUM(R210:R212))&gt;=5,C210,NA()),NA())</f>
        <v>#N/A</v>
      </c>
      <c r="T210" s="68" t="e">
        <f t="shared" ref="T210:T273" ca="1" si="106">IF(C210&gt;N210,2,IF(C210&lt;L210,-2,IF(C210&gt;M210,1,IF(C210&lt;M210,-1,0))))</f>
        <v>#N/A</v>
      </c>
      <c r="U210" s="68" t="e">
        <f t="shared" ref="U210:U273" ca="1" si="107">IF(ISNA(H210)=TRUE,IF(ABS(SUM(T210:T214))&gt;=9,C210,NA()),NA())</f>
        <v>#N/A</v>
      </c>
      <c r="V210" s="5" t="e">
        <f t="shared" ca="1" si="86"/>
        <v>#N/A</v>
      </c>
      <c r="W210" s="5" t="e">
        <f t="shared" ca="1" si="100"/>
        <v>#N/A</v>
      </c>
      <c r="X210" s="68">
        <f t="shared" ca="1" si="101"/>
        <v>0</v>
      </c>
      <c r="Y210" s="68" t="e">
        <f t="shared" ref="Y210:Y273" ca="1" si="108">IF(ISNA(H210)=TRUE,IF(ABS(SUM(X210:X215))=6,C210,NA()),NA())</f>
        <v>#N/A</v>
      </c>
      <c r="Z210" s="68" t="e">
        <f t="shared" ref="Z210:Z273" ca="1" si="109">IF(ISNA(H210)=TRUE,IF(AND(ABS(SUM(T210:T217))=8,SUM(T210:T217)&lt;ABS(SUM(T210:T217))),C210,NA()),NA())</f>
        <v>#N/A</v>
      </c>
      <c r="AA210" s="5" t="str">
        <f>IF(Setup!$I$15="Yes",'Demand background (hide)'!AJ198+'SPC background (hide)'!C210,"")</f>
        <v/>
      </c>
      <c r="AC210" s="5" t="e">
        <f t="shared" ca="1" si="102"/>
        <v>#N/A</v>
      </c>
      <c r="AD210" s="5" t="e">
        <f t="shared" ca="1" si="103"/>
        <v>#N/A</v>
      </c>
    </row>
    <row r="211" spans="1:30" x14ac:dyDescent="0.2">
      <c r="A211" s="68" t="str">
        <f ca="1">Demand!C208</f>
        <v/>
      </c>
      <c r="B211" s="68">
        <v>196</v>
      </c>
      <c r="C211" s="5">
        <f ca="1">'Demand background (hide)'!Y199</f>
        <v>0</v>
      </c>
      <c r="D211" s="68">
        <f t="shared" si="87"/>
        <v>0</v>
      </c>
      <c r="E211" s="68" t="e">
        <f t="shared" ca="1" si="88"/>
        <v>#N/A</v>
      </c>
      <c r="F211" s="68" t="e">
        <f t="shared" ca="1" si="89"/>
        <v>#N/A</v>
      </c>
      <c r="G211" s="68" t="e">
        <f t="shared" ca="1" si="90"/>
        <v>#N/A</v>
      </c>
      <c r="H211" s="68" t="e">
        <f>IF('Demand background (hide)'!AN199&lt;&gt;"",'SPC background (hide)'!C211,NA())</f>
        <v>#N/A</v>
      </c>
      <c r="I211" s="68" t="e">
        <f t="shared" ca="1" si="91"/>
        <v>#N/A</v>
      </c>
      <c r="J211" s="5" t="e">
        <f t="shared" ca="1" si="92"/>
        <v>#N/A</v>
      </c>
      <c r="K211" s="5" t="e">
        <f t="shared" ca="1" si="93"/>
        <v>#N/A</v>
      </c>
      <c r="L211" s="5" t="e">
        <f t="shared" ca="1" si="94"/>
        <v>#N/A</v>
      </c>
      <c r="M211" s="5" t="e">
        <f t="shared" ca="1" si="95"/>
        <v>#N/A</v>
      </c>
      <c r="N211" s="5" t="e">
        <f t="shared" ca="1" si="96"/>
        <v>#N/A</v>
      </c>
      <c r="O211" s="5" t="e">
        <f t="shared" ca="1" si="97"/>
        <v>#N/A</v>
      </c>
      <c r="P211" s="5" t="e">
        <f t="shared" ca="1" si="98"/>
        <v>#N/A</v>
      </c>
      <c r="Q211" s="5" t="e">
        <f t="shared" ca="1" si="99"/>
        <v>#N/A</v>
      </c>
      <c r="R211" s="5" t="e">
        <f t="shared" ca="1" si="104"/>
        <v>#N/A</v>
      </c>
      <c r="S211" s="68" t="e">
        <f t="shared" ca="1" si="105"/>
        <v>#N/A</v>
      </c>
      <c r="T211" s="68" t="e">
        <f t="shared" ca="1" si="106"/>
        <v>#N/A</v>
      </c>
      <c r="U211" s="68" t="e">
        <f t="shared" ca="1" si="107"/>
        <v>#N/A</v>
      </c>
      <c r="V211" s="5" t="e">
        <f t="shared" ca="1" si="86"/>
        <v>#N/A</v>
      </c>
      <c r="W211" s="5" t="e">
        <f t="shared" ca="1" si="100"/>
        <v>#N/A</v>
      </c>
      <c r="X211" s="68">
        <f t="shared" ca="1" si="101"/>
        <v>0</v>
      </c>
      <c r="Y211" s="68" t="e">
        <f t="shared" ca="1" si="108"/>
        <v>#N/A</v>
      </c>
      <c r="Z211" s="68" t="e">
        <f t="shared" ca="1" si="109"/>
        <v>#N/A</v>
      </c>
      <c r="AA211" s="5" t="str">
        <f>IF(Setup!$I$15="Yes",'Demand background (hide)'!AJ199+'SPC background (hide)'!C211,"")</f>
        <v/>
      </c>
      <c r="AC211" s="5" t="e">
        <f t="shared" ca="1" si="102"/>
        <v>#N/A</v>
      </c>
      <c r="AD211" s="5" t="e">
        <f t="shared" ca="1" si="103"/>
        <v>#N/A</v>
      </c>
    </row>
    <row r="212" spans="1:30" x14ac:dyDescent="0.2">
      <c r="A212" s="68" t="str">
        <f ca="1">Demand!C209</f>
        <v/>
      </c>
      <c r="B212" s="68">
        <v>197</v>
      </c>
      <c r="C212" s="5">
        <f ca="1">'Demand background (hide)'!Y200</f>
        <v>0</v>
      </c>
      <c r="D212" s="68">
        <f t="shared" si="87"/>
        <v>0</v>
      </c>
      <c r="E212" s="68" t="e">
        <f t="shared" ca="1" si="88"/>
        <v>#N/A</v>
      </c>
      <c r="F212" s="68" t="e">
        <f t="shared" ca="1" si="89"/>
        <v>#N/A</v>
      </c>
      <c r="G212" s="68" t="e">
        <f t="shared" ca="1" si="90"/>
        <v>#N/A</v>
      </c>
      <c r="H212" s="68" t="e">
        <f>IF('Demand background (hide)'!AN200&lt;&gt;"",'SPC background (hide)'!C212,NA())</f>
        <v>#N/A</v>
      </c>
      <c r="I212" s="68" t="e">
        <f t="shared" ca="1" si="91"/>
        <v>#N/A</v>
      </c>
      <c r="J212" s="5" t="e">
        <f t="shared" ca="1" si="92"/>
        <v>#N/A</v>
      </c>
      <c r="K212" s="5" t="e">
        <f t="shared" ca="1" si="93"/>
        <v>#N/A</v>
      </c>
      <c r="L212" s="5" t="e">
        <f t="shared" ca="1" si="94"/>
        <v>#N/A</v>
      </c>
      <c r="M212" s="5" t="e">
        <f t="shared" ca="1" si="95"/>
        <v>#N/A</v>
      </c>
      <c r="N212" s="5" t="e">
        <f t="shared" ca="1" si="96"/>
        <v>#N/A</v>
      </c>
      <c r="O212" s="5" t="e">
        <f t="shared" ca="1" si="97"/>
        <v>#N/A</v>
      </c>
      <c r="P212" s="5" t="e">
        <f t="shared" ca="1" si="98"/>
        <v>#N/A</v>
      </c>
      <c r="Q212" s="5" t="e">
        <f t="shared" ca="1" si="99"/>
        <v>#N/A</v>
      </c>
      <c r="R212" s="5" t="e">
        <f t="shared" ca="1" si="104"/>
        <v>#N/A</v>
      </c>
      <c r="S212" s="68" t="e">
        <f t="shared" ca="1" si="105"/>
        <v>#N/A</v>
      </c>
      <c r="T212" s="68" t="e">
        <f t="shared" ca="1" si="106"/>
        <v>#N/A</v>
      </c>
      <c r="U212" s="68" t="e">
        <f t="shared" ca="1" si="107"/>
        <v>#N/A</v>
      </c>
      <c r="V212" s="5" t="e">
        <f t="shared" ca="1" si="86"/>
        <v>#N/A</v>
      </c>
      <c r="W212" s="5" t="e">
        <f t="shared" ca="1" si="100"/>
        <v>#N/A</v>
      </c>
      <c r="X212" s="68">
        <f t="shared" ca="1" si="101"/>
        <v>0</v>
      </c>
      <c r="Y212" s="68" t="e">
        <f t="shared" ca="1" si="108"/>
        <v>#N/A</v>
      </c>
      <c r="Z212" s="68" t="e">
        <f t="shared" ca="1" si="109"/>
        <v>#N/A</v>
      </c>
      <c r="AA212" s="5" t="str">
        <f>IF(Setup!$I$15="Yes",'Demand background (hide)'!AJ200+'SPC background (hide)'!C212,"")</f>
        <v/>
      </c>
      <c r="AC212" s="5" t="e">
        <f t="shared" ca="1" si="102"/>
        <v>#N/A</v>
      </c>
      <c r="AD212" s="5" t="e">
        <f t="shared" ca="1" si="103"/>
        <v>#N/A</v>
      </c>
    </row>
    <row r="213" spans="1:30" x14ac:dyDescent="0.2">
      <c r="A213" s="68" t="str">
        <f ca="1">Demand!C210</f>
        <v/>
      </c>
      <c r="B213" s="68">
        <v>198</v>
      </c>
      <c r="C213" s="5">
        <f ca="1">'Demand background (hide)'!Y201</f>
        <v>0</v>
      </c>
      <c r="D213" s="68">
        <f t="shared" si="87"/>
        <v>0</v>
      </c>
      <c r="E213" s="68" t="e">
        <f t="shared" ca="1" si="88"/>
        <v>#N/A</v>
      </c>
      <c r="F213" s="68" t="e">
        <f t="shared" ca="1" si="89"/>
        <v>#N/A</v>
      </c>
      <c r="G213" s="68" t="e">
        <f t="shared" ca="1" si="90"/>
        <v>#N/A</v>
      </c>
      <c r="H213" s="68" t="e">
        <f>IF('Demand background (hide)'!AN201&lt;&gt;"",'SPC background (hide)'!C213,NA())</f>
        <v>#N/A</v>
      </c>
      <c r="I213" s="68" t="e">
        <f t="shared" ca="1" si="91"/>
        <v>#N/A</v>
      </c>
      <c r="J213" s="5" t="e">
        <f t="shared" ca="1" si="92"/>
        <v>#N/A</v>
      </c>
      <c r="K213" s="5" t="e">
        <f t="shared" ca="1" si="93"/>
        <v>#N/A</v>
      </c>
      <c r="L213" s="5" t="e">
        <f t="shared" ca="1" si="94"/>
        <v>#N/A</v>
      </c>
      <c r="M213" s="5" t="e">
        <f t="shared" ca="1" si="95"/>
        <v>#N/A</v>
      </c>
      <c r="N213" s="5" t="e">
        <f t="shared" ca="1" si="96"/>
        <v>#N/A</v>
      </c>
      <c r="O213" s="5" t="e">
        <f t="shared" ca="1" si="97"/>
        <v>#N/A</v>
      </c>
      <c r="P213" s="5" t="e">
        <f t="shared" ca="1" si="98"/>
        <v>#N/A</v>
      </c>
      <c r="Q213" s="5" t="e">
        <f t="shared" ca="1" si="99"/>
        <v>#N/A</v>
      </c>
      <c r="R213" s="5" t="e">
        <f t="shared" ca="1" si="104"/>
        <v>#N/A</v>
      </c>
      <c r="S213" s="68" t="e">
        <f t="shared" ca="1" si="105"/>
        <v>#N/A</v>
      </c>
      <c r="T213" s="68" t="e">
        <f t="shared" ca="1" si="106"/>
        <v>#N/A</v>
      </c>
      <c r="U213" s="68" t="e">
        <f t="shared" ca="1" si="107"/>
        <v>#N/A</v>
      </c>
      <c r="V213" s="5" t="e">
        <f t="shared" ca="1" si="86"/>
        <v>#N/A</v>
      </c>
      <c r="W213" s="5" t="e">
        <f t="shared" ca="1" si="100"/>
        <v>#N/A</v>
      </c>
      <c r="X213" s="68">
        <f t="shared" ca="1" si="101"/>
        <v>0</v>
      </c>
      <c r="Y213" s="68" t="e">
        <f t="shared" ca="1" si="108"/>
        <v>#N/A</v>
      </c>
      <c r="Z213" s="68" t="e">
        <f t="shared" ca="1" si="109"/>
        <v>#N/A</v>
      </c>
      <c r="AA213" s="5" t="str">
        <f>IF(Setup!$I$15="Yes",'Demand background (hide)'!AJ201+'SPC background (hide)'!C213,"")</f>
        <v/>
      </c>
      <c r="AC213" s="5" t="e">
        <f t="shared" ca="1" si="102"/>
        <v>#N/A</v>
      </c>
      <c r="AD213" s="5" t="e">
        <f t="shared" ca="1" si="103"/>
        <v>#N/A</v>
      </c>
    </row>
    <row r="214" spans="1:30" x14ac:dyDescent="0.2">
      <c r="A214" s="68" t="str">
        <f ca="1">Demand!C211</f>
        <v/>
      </c>
      <c r="B214" s="68">
        <v>199</v>
      </c>
      <c r="C214" s="5">
        <f ca="1">'Demand background (hide)'!Y202</f>
        <v>0</v>
      </c>
      <c r="D214" s="68">
        <f t="shared" si="87"/>
        <v>0</v>
      </c>
      <c r="E214" s="68" t="e">
        <f t="shared" ca="1" si="88"/>
        <v>#N/A</v>
      </c>
      <c r="F214" s="68" t="e">
        <f t="shared" ca="1" si="89"/>
        <v>#N/A</v>
      </c>
      <c r="G214" s="68" t="e">
        <f t="shared" ca="1" si="90"/>
        <v>#N/A</v>
      </c>
      <c r="H214" s="68" t="e">
        <f>IF('Demand background (hide)'!AN202&lt;&gt;"",'SPC background (hide)'!C214,NA())</f>
        <v>#N/A</v>
      </c>
      <c r="I214" s="68" t="e">
        <f t="shared" ca="1" si="91"/>
        <v>#N/A</v>
      </c>
      <c r="J214" s="5" t="e">
        <f t="shared" ca="1" si="92"/>
        <v>#N/A</v>
      </c>
      <c r="K214" s="5" t="e">
        <f t="shared" ca="1" si="93"/>
        <v>#N/A</v>
      </c>
      <c r="L214" s="5" t="e">
        <f t="shared" ca="1" si="94"/>
        <v>#N/A</v>
      </c>
      <c r="M214" s="5" t="e">
        <f t="shared" ca="1" si="95"/>
        <v>#N/A</v>
      </c>
      <c r="N214" s="5" t="e">
        <f t="shared" ca="1" si="96"/>
        <v>#N/A</v>
      </c>
      <c r="O214" s="5" t="e">
        <f t="shared" ca="1" si="97"/>
        <v>#N/A</v>
      </c>
      <c r="P214" s="5" t="e">
        <f t="shared" ca="1" si="98"/>
        <v>#N/A</v>
      </c>
      <c r="Q214" s="5" t="e">
        <f t="shared" ca="1" si="99"/>
        <v>#N/A</v>
      </c>
      <c r="R214" s="5" t="e">
        <f t="shared" ca="1" si="104"/>
        <v>#N/A</v>
      </c>
      <c r="S214" s="68" t="e">
        <f t="shared" ca="1" si="105"/>
        <v>#N/A</v>
      </c>
      <c r="T214" s="68" t="e">
        <f t="shared" ca="1" si="106"/>
        <v>#N/A</v>
      </c>
      <c r="U214" s="68" t="e">
        <f t="shared" ca="1" si="107"/>
        <v>#N/A</v>
      </c>
      <c r="V214" s="5" t="e">
        <f t="shared" ca="1" si="86"/>
        <v>#N/A</v>
      </c>
      <c r="W214" s="5" t="e">
        <f t="shared" ca="1" si="100"/>
        <v>#N/A</v>
      </c>
      <c r="X214" s="68">
        <f t="shared" ca="1" si="101"/>
        <v>0</v>
      </c>
      <c r="Y214" s="68" t="e">
        <f t="shared" ca="1" si="108"/>
        <v>#N/A</v>
      </c>
      <c r="Z214" s="68" t="e">
        <f t="shared" ca="1" si="109"/>
        <v>#N/A</v>
      </c>
      <c r="AA214" s="5" t="str">
        <f>IF(Setup!$I$15="Yes",'Demand background (hide)'!AJ202+'SPC background (hide)'!C214,"")</f>
        <v/>
      </c>
      <c r="AC214" s="5" t="e">
        <f t="shared" ca="1" si="102"/>
        <v>#N/A</v>
      </c>
      <c r="AD214" s="5" t="e">
        <f t="shared" ca="1" si="103"/>
        <v>#N/A</v>
      </c>
    </row>
    <row r="215" spans="1:30" x14ac:dyDescent="0.2">
      <c r="A215" s="68" t="str">
        <f ca="1">Demand!C212</f>
        <v/>
      </c>
      <c r="B215" s="68">
        <v>200</v>
      </c>
      <c r="C215" s="5">
        <f ca="1">'Demand background (hide)'!Y203</f>
        <v>0</v>
      </c>
      <c r="D215" s="68">
        <f t="shared" si="87"/>
        <v>0</v>
      </c>
      <c r="E215" s="68" t="e">
        <f t="shared" ca="1" si="88"/>
        <v>#N/A</v>
      </c>
      <c r="F215" s="68" t="e">
        <f t="shared" ca="1" si="89"/>
        <v>#N/A</v>
      </c>
      <c r="G215" s="68" t="e">
        <f t="shared" ca="1" si="90"/>
        <v>#N/A</v>
      </c>
      <c r="H215" s="68" t="e">
        <f>IF('Demand background (hide)'!AN203&lt;&gt;"",'SPC background (hide)'!C215,NA())</f>
        <v>#N/A</v>
      </c>
      <c r="I215" s="68" t="e">
        <f t="shared" ca="1" si="91"/>
        <v>#N/A</v>
      </c>
      <c r="J215" s="5" t="e">
        <f t="shared" ca="1" si="92"/>
        <v>#N/A</v>
      </c>
      <c r="K215" s="5" t="e">
        <f t="shared" ca="1" si="93"/>
        <v>#N/A</v>
      </c>
      <c r="L215" s="5" t="e">
        <f t="shared" ca="1" si="94"/>
        <v>#N/A</v>
      </c>
      <c r="M215" s="5" t="e">
        <f t="shared" ca="1" si="95"/>
        <v>#N/A</v>
      </c>
      <c r="N215" s="5" t="e">
        <f t="shared" ca="1" si="96"/>
        <v>#N/A</v>
      </c>
      <c r="O215" s="5" t="e">
        <f t="shared" ca="1" si="97"/>
        <v>#N/A</v>
      </c>
      <c r="P215" s="5" t="e">
        <f t="shared" ca="1" si="98"/>
        <v>#N/A</v>
      </c>
      <c r="Q215" s="5" t="e">
        <f t="shared" ca="1" si="99"/>
        <v>#N/A</v>
      </c>
      <c r="R215" s="5" t="e">
        <f t="shared" ca="1" si="104"/>
        <v>#N/A</v>
      </c>
      <c r="S215" s="68" t="e">
        <f t="shared" ca="1" si="105"/>
        <v>#N/A</v>
      </c>
      <c r="T215" s="68" t="e">
        <f t="shared" ca="1" si="106"/>
        <v>#N/A</v>
      </c>
      <c r="U215" s="68" t="e">
        <f t="shared" ca="1" si="107"/>
        <v>#N/A</v>
      </c>
      <c r="V215" s="5" t="e">
        <f t="shared" ca="1" si="86"/>
        <v>#N/A</v>
      </c>
      <c r="W215" s="5" t="e">
        <f t="shared" ca="1" si="100"/>
        <v>#N/A</v>
      </c>
      <c r="X215" s="68">
        <f t="shared" ca="1" si="101"/>
        <v>0</v>
      </c>
      <c r="Y215" s="68" t="e">
        <f t="shared" ca="1" si="108"/>
        <v>#N/A</v>
      </c>
      <c r="Z215" s="68" t="e">
        <f t="shared" ca="1" si="109"/>
        <v>#N/A</v>
      </c>
      <c r="AA215" s="5" t="str">
        <f>IF(Setup!$I$15="Yes",'Demand background (hide)'!AJ203+'SPC background (hide)'!C215,"")</f>
        <v/>
      </c>
      <c r="AC215" s="5" t="e">
        <f t="shared" ca="1" si="102"/>
        <v>#N/A</v>
      </c>
      <c r="AD215" s="5" t="e">
        <f t="shared" ca="1" si="103"/>
        <v>#N/A</v>
      </c>
    </row>
    <row r="216" spans="1:30" x14ac:dyDescent="0.2">
      <c r="A216" s="68" t="str">
        <f ca="1">Demand!C213</f>
        <v/>
      </c>
      <c r="B216" s="68">
        <v>201</v>
      </c>
      <c r="C216" s="5">
        <f ca="1">'Demand background (hide)'!Y204</f>
        <v>0</v>
      </c>
      <c r="D216" s="68">
        <f t="shared" si="87"/>
        <v>0</v>
      </c>
      <c r="E216" s="68" t="e">
        <f t="shared" ca="1" si="88"/>
        <v>#N/A</v>
      </c>
      <c r="F216" s="68" t="e">
        <f t="shared" ca="1" si="89"/>
        <v>#N/A</v>
      </c>
      <c r="G216" s="68" t="e">
        <f t="shared" ca="1" si="90"/>
        <v>#N/A</v>
      </c>
      <c r="H216" s="68" t="e">
        <f>IF('Demand background (hide)'!AN204&lt;&gt;"",'SPC background (hide)'!C216,NA())</f>
        <v>#N/A</v>
      </c>
      <c r="I216" s="68" t="e">
        <f t="shared" ca="1" si="91"/>
        <v>#N/A</v>
      </c>
      <c r="J216" s="5" t="e">
        <f t="shared" ca="1" si="92"/>
        <v>#N/A</v>
      </c>
      <c r="K216" s="5" t="e">
        <f t="shared" ca="1" si="93"/>
        <v>#N/A</v>
      </c>
      <c r="L216" s="5" t="e">
        <f t="shared" ca="1" si="94"/>
        <v>#N/A</v>
      </c>
      <c r="M216" s="5" t="e">
        <f t="shared" ca="1" si="95"/>
        <v>#N/A</v>
      </c>
      <c r="N216" s="5" t="e">
        <f t="shared" ca="1" si="96"/>
        <v>#N/A</v>
      </c>
      <c r="O216" s="5" t="e">
        <f t="shared" ca="1" si="97"/>
        <v>#N/A</v>
      </c>
      <c r="P216" s="5" t="e">
        <f t="shared" ca="1" si="98"/>
        <v>#N/A</v>
      </c>
      <c r="Q216" s="5" t="e">
        <f t="shared" ca="1" si="99"/>
        <v>#N/A</v>
      </c>
      <c r="R216" s="5" t="e">
        <f t="shared" ca="1" si="104"/>
        <v>#N/A</v>
      </c>
      <c r="S216" s="68" t="e">
        <f t="shared" ca="1" si="105"/>
        <v>#N/A</v>
      </c>
      <c r="T216" s="68" t="e">
        <f t="shared" ca="1" si="106"/>
        <v>#N/A</v>
      </c>
      <c r="U216" s="68" t="e">
        <f t="shared" ca="1" si="107"/>
        <v>#N/A</v>
      </c>
      <c r="V216" s="5" t="e">
        <f t="shared" ca="1" si="86"/>
        <v>#N/A</v>
      </c>
      <c r="W216" s="5" t="e">
        <f t="shared" ca="1" si="100"/>
        <v>#N/A</v>
      </c>
      <c r="X216" s="68">
        <f t="shared" ca="1" si="101"/>
        <v>0</v>
      </c>
      <c r="Y216" s="68" t="e">
        <f t="shared" ca="1" si="108"/>
        <v>#N/A</v>
      </c>
      <c r="Z216" s="68" t="e">
        <f t="shared" ca="1" si="109"/>
        <v>#N/A</v>
      </c>
      <c r="AA216" s="5" t="str">
        <f>IF(Setup!$I$15="Yes",'Demand background (hide)'!AJ204+'SPC background (hide)'!C216,"")</f>
        <v/>
      </c>
      <c r="AC216" s="5" t="e">
        <f t="shared" ca="1" si="102"/>
        <v>#N/A</v>
      </c>
      <c r="AD216" s="5" t="e">
        <f t="shared" ca="1" si="103"/>
        <v>#N/A</v>
      </c>
    </row>
    <row r="217" spans="1:30" x14ac:dyDescent="0.2">
      <c r="A217" s="68" t="str">
        <f ca="1">Demand!C214</f>
        <v/>
      </c>
      <c r="B217" s="68">
        <v>202</v>
      </c>
      <c r="C217" s="5">
        <f ca="1">'Demand background (hide)'!Y205</f>
        <v>0</v>
      </c>
      <c r="D217" s="68">
        <f t="shared" si="87"/>
        <v>0</v>
      </c>
      <c r="E217" s="68" t="e">
        <f t="shared" ca="1" si="88"/>
        <v>#N/A</v>
      </c>
      <c r="F217" s="68" t="e">
        <f t="shared" ca="1" si="89"/>
        <v>#N/A</v>
      </c>
      <c r="G217" s="68" t="e">
        <f t="shared" ca="1" si="90"/>
        <v>#N/A</v>
      </c>
      <c r="H217" s="68" t="e">
        <f>IF('Demand background (hide)'!AN205&lt;&gt;"",'SPC background (hide)'!C217,NA())</f>
        <v>#N/A</v>
      </c>
      <c r="I217" s="68" t="e">
        <f t="shared" ca="1" si="91"/>
        <v>#N/A</v>
      </c>
      <c r="J217" s="5" t="e">
        <f t="shared" ca="1" si="92"/>
        <v>#N/A</v>
      </c>
      <c r="K217" s="5" t="e">
        <f t="shared" ca="1" si="93"/>
        <v>#N/A</v>
      </c>
      <c r="L217" s="5" t="e">
        <f t="shared" ca="1" si="94"/>
        <v>#N/A</v>
      </c>
      <c r="M217" s="5" t="e">
        <f t="shared" ca="1" si="95"/>
        <v>#N/A</v>
      </c>
      <c r="N217" s="5" t="e">
        <f t="shared" ca="1" si="96"/>
        <v>#N/A</v>
      </c>
      <c r="O217" s="5" t="e">
        <f t="shared" ca="1" si="97"/>
        <v>#N/A</v>
      </c>
      <c r="P217" s="5" t="e">
        <f t="shared" ca="1" si="98"/>
        <v>#N/A</v>
      </c>
      <c r="Q217" s="5" t="e">
        <f t="shared" ca="1" si="99"/>
        <v>#N/A</v>
      </c>
      <c r="R217" s="5" t="e">
        <f t="shared" ca="1" si="104"/>
        <v>#N/A</v>
      </c>
      <c r="S217" s="68" t="e">
        <f t="shared" ca="1" si="105"/>
        <v>#N/A</v>
      </c>
      <c r="T217" s="68" t="e">
        <f t="shared" ca="1" si="106"/>
        <v>#N/A</v>
      </c>
      <c r="U217" s="68" t="e">
        <f t="shared" ca="1" si="107"/>
        <v>#N/A</v>
      </c>
      <c r="V217" s="5" t="e">
        <f t="shared" ca="1" si="86"/>
        <v>#N/A</v>
      </c>
      <c r="W217" s="5" t="e">
        <f t="shared" ca="1" si="100"/>
        <v>#N/A</v>
      </c>
      <c r="X217" s="68">
        <f t="shared" ca="1" si="101"/>
        <v>0</v>
      </c>
      <c r="Y217" s="68" t="e">
        <f t="shared" ca="1" si="108"/>
        <v>#N/A</v>
      </c>
      <c r="Z217" s="68" t="e">
        <f t="shared" ca="1" si="109"/>
        <v>#N/A</v>
      </c>
      <c r="AA217" s="5" t="str">
        <f>IF(Setup!$I$15="Yes",'Demand background (hide)'!AJ205+'SPC background (hide)'!C217,"")</f>
        <v/>
      </c>
      <c r="AC217" s="5" t="e">
        <f t="shared" ca="1" si="102"/>
        <v>#N/A</v>
      </c>
      <c r="AD217" s="5" t="e">
        <f t="shared" ca="1" si="103"/>
        <v>#N/A</v>
      </c>
    </row>
    <row r="218" spans="1:30" x14ac:dyDescent="0.2">
      <c r="A218" s="68" t="str">
        <f ca="1">Demand!C215</f>
        <v/>
      </c>
      <c r="B218" s="68">
        <v>203</v>
      </c>
      <c r="C218" s="5">
        <f ca="1">'Demand background (hide)'!Y206</f>
        <v>0</v>
      </c>
      <c r="D218" s="68">
        <f t="shared" si="87"/>
        <v>0</v>
      </c>
      <c r="E218" s="68" t="e">
        <f t="shared" ca="1" si="88"/>
        <v>#N/A</v>
      </c>
      <c r="F218" s="68" t="e">
        <f t="shared" ca="1" si="89"/>
        <v>#N/A</v>
      </c>
      <c r="G218" s="68" t="e">
        <f t="shared" ca="1" si="90"/>
        <v>#N/A</v>
      </c>
      <c r="H218" s="68" t="e">
        <f>IF('Demand background (hide)'!AN206&lt;&gt;"",'SPC background (hide)'!C218,NA())</f>
        <v>#N/A</v>
      </c>
      <c r="I218" s="68" t="e">
        <f t="shared" ca="1" si="91"/>
        <v>#N/A</v>
      </c>
      <c r="J218" s="5" t="e">
        <f t="shared" ca="1" si="92"/>
        <v>#N/A</v>
      </c>
      <c r="K218" s="5" t="e">
        <f t="shared" ca="1" si="93"/>
        <v>#N/A</v>
      </c>
      <c r="L218" s="5" t="e">
        <f t="shared" ca="1" si="94"/>
        <v>#N/A</v>
      </c>
      <c r="M218" s="5" t="e">
        <f t="shared" ca="1" si="95"/>
        <v>#N/A</v>
      </c>
      <c r="N218" s="5" t="e">
        <f t="shared" ca="1" si="96"/>
        <v>#N/A</v>
      </c>
      <c r="O218" s="5" t="e">
        <f t="shared" ca="1" si="97"/>
        <v>#N/A</v>
      </c>
      <c r="P218" s="5" t="e">
        <f t="shared" ca="1" si="98"/>
        <v>#N/A</v>
      </c>
      <c r="Q218" s="5" t="e">
        <f t="shared" ca="1" si="99"/>
        <v>#N/A</v>
      </c>
      <c r="R218" s="5" t="e">
        <f t="shared" ca="1" si="104"/>
        <v>#N/A</v>
      </c>
      <c r="S218" s="68" t="e">
        <f t="shared" ca="1" si="105"/>
        <v>#N/A</v>
      </c>
      <c r="T218" s="68" t="e">
        <f t="shared" ca="1" si="106"/>
        <v>#N/A</v>
      </c>
      <c r="U218" s="68" t="e">
        <f t="shared" ca="1" si="107"/>
        <v>#N/A</v>
      </c>
      <c r="V218" s="5" t="e">
        <f t="shared" ca="1" si="86"/>
        <v>#N/A</v>
      </c>
      <c r="W218" s="5" t="e">
        <f t="shared" ca="1" si="100"/>
        <v>#N/A</v>
      </c>
      <c r="X218" s="68">
        <f t="shared" ca="1" si="101"/>
        <v>0</v>
      </c>
      <c r="Y218" s="68" t="e">
        <f t="shared" ca="1" si="108"/>
        <v>#N/A</v>
      </c>
      <c r="Z218" s="68" t="e">
        <f t="shared" ca="1" si="109"/>
        <v>#N/A</v>
      </c>
      <c r="AA218" s="5" t="str">
        <f>IF(Setup!$I$15="Yes",'Demand background (hide)'!AJ206+'SPC background (hide)'!C218,"")</f>
        <v/>
      </c>
      <c r="AC218" s="5" t="e">
        <f t="shared" ca="1" si="102"/>
        <v>#N/A</v>
      </c>
      <c r="AD218" s="5" t="e">
        <f t="shared" ca="1" si="103"/>
        <v>#N/A</v>
      </c>
    </row>
    <row r="219" spans="1:30" x14ac:dyDescent="0.2">
      <c r="A219" s="68" t="str">
        <f ca="1">Demand!C216</f>
        <v/>
      </c>
      <c r="B219" s="68">
        <v>204</v>
      </c>
      <c r="C219" s="5">
        <f ca="1">'Demand background (hide)'!Y207</f>
        <v>0</v>
      </c>
      <c r="D219" s="68">
        <f t="shared" si="87"/>
        <v>0</v>
      </c>
      <c r="E219" s="68" t="e">
        <f t="shared" ca="1" si="88"/>
        <v>#N/A</v>
      </c>
      <c r="F219" s="68" t="e">
        <f t="shared" ca="1" si="89"/>
        <v>#N/A</v>
      </c>
      <c r="G219" s="68" t="e">
        <f t="shared" ca="1" si="90"/>
        <v>#N/A</v>
      </c>
      <c r="H219" s="68" t="e">
        <f>IF('Demand background (hide)'!AN207&lt;&gt;"",'SPC background (hide)'!C219,NA())</f>
        <v>#N/A</v>
      </c>
      <c r="I219" s="68" t="e">
        <f t="shared" ca="1" si="91"/>
        <v>#N/A</v>
      </c>
      <c r="J219" s="5" t="e">
        <f t="shared" ca="1" si="92"/>
        <v>#N/A</v>
      </c>
      <c r="K219" s="5" t="e">
        <f t="shared" ca="1" si="93"/>
        <v>#N/A</v>
      </c>
      <c r="L219" s="5" t="e">
        <f t="shared" ca="1" si="94"/>
        <v>#N/A</v>
      </c>
      <c r="M219" s="5" t="e">
        <f t="shared" ca="1" si="95"/>
        <v>#N/A</v>
      </c>
      <c r="N219" s="5" t="e">
        <f t="shared" ca="1" si="96"/>
        <v>#N/A</v>
      </c>
      <c r="O219" s="5" t="e">
        <f t="shared" ca="1" si="97"/>
        <v>#N/A</v>
      </c>
      <c r="P219" s="5" t="e">
        <f t="shared" ca="1" si="98"/>
        <v>#N/A</v>
      </c>
      <c r="Q219" s="5" t="e">
        <f t="shared" ca="1" si="99"/>
        <v>#N/A</v>
      </c>
      <c r="R219" s="5" t="e">
        <f t="shared" ca="1" si="104"/>
        <v>#N/A</v>
      </c>
      <c r="S219" s="68" t="e">
        <f t="shared" ca="1" si="105"/>
        <v>#N/A</v>
      </c>
      <c r="T219" s="68" t="e">
        <f t="shared" ca="1" si="106"/>
        <v>#N/A</v>
      </c>
      <c r="U219" s="68" t="e">
        <f t="shared" ca="1" si="107"/>
        <v>#N/A</v>
      </c>
      <c r="V219" s="5" t="e">
        <f t="shared" ca="1" si="86"/>
        <v>#N/A</v>
      </c>
      <c r="W219" s="5" t="e">
        <f t="shared" ca="1" si="100"/>
        <v>#N/A</v>
      </c>
      <c r="X219" s="68">
        <f t="shared" ca="1" si="101"/>
        <v>0</v>
      </c>
      <c r="Y219" s="68" t="e">
        <f t="shared" ca="1" si="108"/>
        <v>#N/A</v>
      </c>
      <c r="Z219" s="68" t="e">
        <f t="shared" ca="1" si="109"/>
        <v>#N/A</v>
      </c>
      <c r="AA219" s="5" t="str">
        <f>IF(Setup!$I$15="Yes",'Demand background (hide)'!AJ207+'SPC background (hide)'!C219,"")</f>
        <v/>
      </c>
      <c r="AC219" s="5" t="e">
        <f t="shared" ca="1" si="102"/>
        <v>#N/A</v>
      </c>
      <c r="AD219" s="5" t="e">
        <f t="shared" ca="1" si="103"/>
        <v>#N/A</v>
      </c>
    </row>
    <row r="220" spans="1:30" x14ac:dyDescent="0.2">
      <c r="A220" s="68" t="str">
        <f ca="1">Demand!C217</f>
        <v/>
      </c>
      <c r="B220" s="68">
        <v>205</v>
      </c>
      <c r="C220" s="5">
        <f ca="1">'Demand background (hide)'!Y208</f>
        <v>0</v>
      </c>
      <c r="D220" s="68">
        <f t="shared" si="87"/>
        <v>0</v>
      </c>
      <c r="E220" s="68" t="e">
        <f t="shared" ca="1" si="88"/>
        <v>#N/A</v>
      </c>
      <c r="F220" s="68" t="e">
        <f t="shared" ca="1" si="89"/>
        <v>#N/A</v>
      </c>
      <c r="G220" s="68" t="e">
        <f t="shared" ca="1" si="90"/>
        <v>#N/A</v>
      </c>
      <c r="H220" s="68" t="e">
        <f>IF('Demand background (hide)'!AN208&lt;&gt;"",'SPC background (hide)'!C220,NA())</f>
        <v>#N/A</v>
      </c>
      <c r="I220" s="68" t="e">
        <f t="shared" ca="1" si="91"/>
        <v>#N/A</v>
      </c>
      <c r="J220" s="5" t="e">
        <f t="shared" ca="1" si="92"/>
        <v>#N/A</v>
      </c>
      <c r="K220" s="5" t="e">
        <f t="shared" ca="1" si="93"/>
        <v>#N/A</v>
      </c>
      <c r="L220" s="5" t="e">
        <f t="shared" ca="1" si="94"/>
        <v>#N/A</v>
      </c>
      <c r="M220" s="5" t="e">
        <f t="shared" ca="1" si="95"/>
        <v>#N/A</v>
      </c>
      <c r="N220" s="5" t="e">
        <f t="shared" ca="1" si="96"/>
        <v>#N/A</v>
      </c>
      <c r="O220" s="5" t="e">
        <f t="shared" ca="1" si="97"/>
        <v>#N/A</v>
      </c>
      <c r="P220" s="5" t="e">
        <f t="shared" ca="1" si="98"/>
        <v>#N/A</v>
      </c>
      <c r="Q220" s="5" t="e">
        <f t="shared" ca="1" si="99"/>
        <v>#N/A</v>
      </c>
      <c r="R220" s="5" t="e">
        <f t="shared" ca="1" si="104"/>
        <v>#N/A</v>
      </c>
      <c r="S220" s="68" t="e">
        <f t="shared" ca="1" si="105"/>
        <v>#N/A</v>
      </c>
      <c r="T220" s="68" t="e">
        <f t="shared" ca="1" si="106"/>
        <v>#N/A</v>
      </c>
      <c r="U220" s="68" t="e">
        <f t="shared" ca="1" si="107"/>
        <v>#N/A</v>
      </c>
      <c r="V220" s="5" t="e">
        <f t="shared" ca="1" si="86"/>
        <v>#N/A</v>
      </c>
      <c r="W220" s="5" t="e">
        <f t="shared" ca="1" si="100"/>
        <v>#N/A</v>
      </c>
      <c r="X220" s="68">
        <f t="shared" ca="1" si="101"/>
        <v>0</v>
      </c>
      <c r="Y220" s="68" t="e">
        <f t="shared" ca="1" si="108"/>
        <v>#N/A</v>
      </c>
      <c r="Z220" s="68" t="e">
        <f t="shared" ca="1" si="109"/>
        <v>#N/A</v>
      </c>
      <c r="AA220" s="5" t="str">
        <f>IF(Setup!$I$15="Yes",'Demand background (hide)'!AJ208+'SPC background (hide)'!C220,"")</f>
        <v/>
      </c>
      <c r="AC220" s="5" t="e">
        <f t="shared" ca="1" si="102"/>
        <v>#N/A</v>
      </c>
      <c r="AD220" s="5" t="e">
        <f t="shared" ca="1" si="103"/>
        <v>#N/A</v>
      </c>
    </row>
    <row r="221" spans="1:30" x14ac:dyDescent="0.2">
      <c r="A221" s="68" t="str">
        <f ca="1">Demand!C218</f>
        <v/>
      </c>
      <c r="B221" s="68">
        <v>206</v>
      </c>
      <c r="C221" s="5">
        <f ca="1">'Demand background (hide)'!Y209</f>
        <v>0</v>
      </c>
      <c r="D221" s="68">
        <f t="shared" si="87"/>
        <v>0</v>
      </c>
      <c r="E221" s="68" t="e">
        <f t="shared" ca="1" si="88"/>
        <v>#N/A</v>
      </c>
      <c r="F221" s="68" t="e">
        <f t="shared" ca="1" si="89"/>
        <v>#N/A</v>
      </c>
      <c r="G221" s="68" t="e">
        <f t="shared" ca="1" si="90"/>
        <v>#N/A</v>
      </c>
      <c r="H221" s="68" t="e">
        <f>IF('Demand background (hide)'!AN209&lt;&gt;"",'SPC background (hide)'!C221,NA())</f>
        <v>#N/A</v>
      </c>
      <c r="I221" s="68" t="e">
        <f t="shared" ca="1" si="91"/>
        <v>#N/A</v>
      </c>
      <c r="J221" s="5" t="e">
        <f t="shared" ca="1" si="92"/>
        <v>#N/A</v>
      </c>
      <c r="K221" s="5" t="e">
        <f t="shared" ca="1" si="93"/>
        <v>#N/A</v>
      </c>
      <c r="L221" s="5" t="e">
        <f t="shared" ca="1" si="94"/>
        <v>#N/A</v>
      </c>
      <c r="M221" s="5" t="e">
        <f t="shared" ca="1" si="95"/>
        <v>#N/A</v>
      </c>
      <c r="N221" s="5" t="e">
        <f t="shared" ca="1" si="96"/>
        <v>#N/A</v>
      </c>
      <c r="O221" s="5" t="e">
        <f t="shared" ca="1" si="97"/>
        <v>#N/A</v>
      </c>
      <c r="P221" s="5" t="e">
        <f t="shared" ca="1" si="98"/>
        <v>#N/A</v>
      </c>
      <c r="Q221" s="5" t="e">
        <f t="shared" ca="1" si="99"/>
        <v>#N/A</v>
      </c>
      <c r="R221" s="5" t="e">
        <f t="shared" ca="1" si="104"/>
        <v>#N/A</v>
      </c>
      <c r="S221" s="68" t="e">
        <f t="shared" ca="1" si="105"/>
        <v>#N/A</v>
      </c>
      <c r="T221" s="68" t="e">
        <f t="shared" ca="1" si="106"/>
        <v>#N/A</v>
      </c>
      <c r="U221" s="68" t="e">
        <f t="shared" ca="1" si="107"/>
        <v>#N/A</v>
      </c>
      <c r="V221" s="5" t="e">
        <f t="shared" ca="1" si="86"/>
        <v>#N/A</v>
      </c>
      <c r="W221" s="5" t="e">
        <f t="shared" ca="1" si="100"/>
        <v>#N/A</v>
      </c>
      <c r="X221" s="68">
        <f t="shared" ca="1" si="101"/>
        <v>0</v>
      </c>
      <c r="Y221" s="68" t="e">
        <f t="shared" ca="1" si="108"/>
        <v>#N/A</v>
      </c>
      <c r="Z221" s="68" t="e">
        <f t="shared" ca="1" si="109"/>
        <v>#N/A</v>
      </c>
      <c r="AA221" s="5" t="str">
        <f>IF(Setup!$I$15="Yes",'Demand background (hide)'!AJ209+'SPC background (hide)'!C221,"")</f>
        <v/>
      </c>
      <c r="AC221" s="5" t="e">
        <f t="shared" ca="1" si="102"/>
        <v>#N/A</v>
      </c>
      <c r="AD221" s="5" t="e">
        <f t="shared" ca="1" si="103"/>
        <v>#N/A</v>
      </c>
    </row>
    <row r="222" spans="1:30" x14ac:dyDescent="0.2">
      <c r="A222" s="68" t="str">
        <f ca="1">Demand!C219</f>
        <v/>
      </c>
      <c r="B222" s="68">
        <v>207</v>
      </c>
      <c r="C222" s="5">
        <f ca="1">'Demand background (hide)'!Y210</f>
        <v>0</v>
      </c>
      <c r="D222" s="68">
        <f t="shared" si="87"/>
        <v>0</v>
      </c>
      <c r="E222" s="68" t="e">
        <f t="shared" ca="1" si="88"/>
        <v>#N/A</v>
      </c>
      <c r="F222" s="68" t="e">
        <f t="shared" ca="1" si="89"/>
        <v>#N/A</v>
      </c>
      <c r="G222" s="68" t="e">
        <f t="shared" ca="1" si="90"/>
        <v>#N/A</v>
      </c>
      <c r="H222" s="68" t="e">
        <f>IF('Demand background (hide)'!AN210&lt;&gt;"",'SPC background (hide)'!C222,NA())</f>
        <v>#N/A</v>
      </c>
      <c r="I222" s="68" t="e">
        <f t="shared" ca="1" si="91"/>
        <v>#N/A</v>
      </c>
      <c r="J222" s="5" t="e">
        <f t="shared" ca="1" si="92"/>
        <v>#N/A</v>
      </c>
      <c r="K222" s="5" t="e">
        <f t="shared" ca="1" si="93"/>
        <v>#N/A</v>
      </c>
      <c r="L222" s="5" t="e">
        <f t="shared" ca="1" si="94"/>
        <v>#N/A</v>
      </c>
      <c r="M222" s="5" t="e">
        <f t="shared" ca="1" si="95"/>
        <v>#N/A</v>
      </c>
      <c r="N222" s="5" t="e">
        <f t="shared" ca="1" si="96"/>
        <v>#N/A</v>
      </c>
      <c r="O222" s="5" t="e">
        <f t="shared" ca="1" si="97"/>
        <v>#N/A</v>
      </c>
      <c r="P222" s="5" t="e">
        <f t="shared" ca="1" si="98"/>
        <v>#N/A</v>
      </c>
      <c r="Q222" s="5" t="e">
        <f t="shared" ca="1" si="99"/>
        <v>#N/A</v>
      </c>
      <c r="R222" s="5" t="e">
        <f t="shared" ca="1" si="104"/>
        <v>#N/A</v>
      </c>
      <c r="S222" s="68" t="e">
        <f t="shared" ca="1" si="105"/>
        <v>#N/A</v>
      </c>
      <c r="T222" s="68" t="e">
        <f t="shared" ca="1" si="106"/>
        <v>#N/A</v>
      </c>
      <c r="U222" s="68" t="e">
        <f t="shared" ca="1" si="107"/>
        <v>#N/A</v>
      </c>
      <c r="V222" s="5" t="e">
        <f t="shared" ca="1" si="86"/>
        <v>#N/A</v>
      </c>
      <c r="W222" s="5" t="e">
        <f t="shared" ca="1" si="100"/>
        <v>#N/A</v>
      </c>
      <c r="X222" s="68">
        <f t="shared" ca="1" si="101"/>
        <v>0</v>
      </c>
      <c r="Y222" s="68" t="e">
        <f t="shared" ca="1" si="108"/>
        <v>#N/A</v>
      </c>
      <c r="Z222" s="68" t="e">
        <f t="shared" ca="1" si="109"/>
        <v>#N/A</v>
      </c>
      <c r="AA222" s="5" t="str">
        <f>IF(Setup!$I$15="Yes",'Demand background (hide)'!AJ210+'SPC background (hide)'!C222,"")</f>
        <v/>
      </c>
      <c r="AC222" s="5" t="e">
        <f t="shared" ca="1" si="102"/>
        <v>#N/A</v>
      </c>
      <c r="AD222" s="5" t="e">
        <f t="shared" ca="1" si="103"/>
        <v>#N/A</v>
      </c>
    </row>
    <row r="223" spans="1:30" x14ac:dyDescent="0.2">
      <c r="A223" s="68" t="str">
        <f ca="1">Demand!C220</f>
        <v/>
      </c>
      <c r="B223" s="68">
        <v>208</v>
      </c>
      <c r="C223" s="5">
        <f ca="1">'Demand background (hide)'!Y211</f>
        <v>0</v>
      </c>
      <c r="D223" s="68">
        <f t="shared" si="87"/>
        <v>0</v>
      </c>
      <c r="E223" s="68" t="e">
        <f t="shared" ca="1" si="88"/>
        <v>#N/A</v>
      </c>
      <c r="F223" s="68" t="e">
        <f t="shared" ca="1" si="89"/>
        <v>#N/A</v>
      </c>
      <c r="G223" s="68" t="e">
        <f t="shared" ca="1" si="90"/>
        <v>#N/A</v>
      </c>
      <c r="H223" s="68" t="e">
        <f>IF('Demand background (hide)'!AN211&lt;&gt;"",'SPC background (hide)'!C223,NA())</f>
        <v>#N/A</v>
      </c>
      <c r="I223" s="68" t="e">
        <f t="shared" ca="1" si="91"/>
        <v>#N/A</v>
      </c>
      <c r="J223" s="5" t="e">
        <f t="shared" ca="1" si="92"/>
        <v>#N/A</v>
      </c>
      <c r="K223" s="5" t="e">
        <f t="shared" ca="1" si="93"/>
        <v>#N/A</v>
      </c>
      <c r="L223" s="5" t="e">
        <f t="shared" ca="1" si="94"/>
        <v>#N/A</v>
      </c>
      <c r="M223" s="5" t="e">
        <f t="shared" ca="1" si="95"/>
        <v>#N/A</v>
      </c>
      <c r="N223" s="5" t="e">
        <f t="shared" ca="1" si="96"/>
        <v>#N/A</v>
      </c>
      <c r="O223" s="5" t="e">
        <f t="shared" ca="1" si="97"/>
        <v>#N/A</v>
      </c>
      <c r="P223" s="5" t="e">
        <f t="shared" ca="1" si="98"/>
        <v>#N/A</v>
      </c>
      <c r="Q223" s="5" t="e">
        <f t="shared" ca="1" si="99"/>
        <v>#N/A</v>
      </c>
      <c r="R223" s="5" t="e">
        <f t="shared" ca="1" si="104"/>
        <v>#N/A</v>
      </c>
      <c r="S223" s="68" t="e">
        <f t="shared" ca="1" si="105"/>
        <v>#N/A</v>
      </c>
      <c r="T223" s="68" t="e">
        <f t="shared" ca="1" si="106"/>
        <v>#N/A</v>
      </c>
      <c r="U223" s="68" t="e">
        <f t="shared" ca="1" si="107"/>
        <v>#N/A</v>
      </c>
      <c r="V223" s="5" t="e">
        <f t="shared" ca="1" si="86"/>
        <v>#N/A</v>
      </c>
      <c r="W223" s="5" t="e">
        <f t="shared" ca="1" si="100"/>
        <v>#N/A</v>
      </c>
      <c r="X223" s="68">
        <f t="shared" ca="1" si="101"/>
        <v>0</v>
      </c>
      <c r="Y223" s="68" t="e">
        <f t="shared" ca="1" si="108"/>
        <v>#N/A</v>
      </c>
      <c r="Z223" s="68" t="e">
        <f t="shared" ca="1" si="109"/>
        <v>#N/A</v>
      </c>
      <c r="AA223" s="5" t="str">
        <f>IF(Setup!$I$15="Yes",'Demand background (hide)'!AJ211+'SPC background (hide)'!C223,"")</f>
        <v/>
      </c>
      <c r="AC223" s="5" t="e">
        <f t="shared" ca="1" si="102"/>
        <v>#N/A</v>
      </c>
      <c r="AD223" s="5" t="e">
        <f t="shared" ca="1" si="103"/>
        <v>#N/A</v>
      </c>
    </row>
    <row r="224" spans="1:30" x14ac:dyDescent="0.2">
      <c r="A224" s="68" t="str">
        <f ca="1">Demand!C221</f>
        <v/>
      </c>
      <c r="B224" s="68">
        <v>209</v>
      </c>
      <c r="C224" s="5">
        <f ca="1">'Demand background (hide)'!Y212</f>
        <v>0</v>
      </c>
      <c r="D224" s="68">
        <f t="shared" si="87"/>
        <v>0</v>
      </c>
      <c r="E224" s="68" t="e">
        <f t="shared" ca="1" si="88"/>
        <v>#N/A</v>
      </c>
      <c r="F224" s="68" t="e">
        <f t="shared" ca="1" si="89"/>
        <v>#N/A</v>
      </c>
      <c r="G224" s="68" t="e">
        <f t="shared" ca="1" si="90"/>
        <v>#N/A</v>
      </c>
      <c r="H224" s="68" t="e">
        <f>IF('Demand background (hide)'!AN212&lt;&gt;"",'SPC background (hide)'!C224,NA())</f>
        <v>#N/A</v>
      </c>
      <c r="I224" s="68" t="e">
        <f t="shared" ca="1" si="91"/>
        <v>#N/A</v>
      </c>
      <c r="J224" s="5" t="e">
        <f t="shared" ca="1" si="92"/>
        <v>#N/A</v>
      </c>
      <c r="K224" s="5" t="e">
        <f t="shared" ca="1" si="93"/>
        <v>#N/A</v>
      </c>
      <c r="L224" s="5" t="e">
        <f t="shared" ca="1" si="94"/>
        <v>#N/A</v>
      </c>
      <c r="M224" s="5" t="e">
        <f t="shared" ca="1" si="95"/>
        <v>#N/A</v>
      </c>
      <c r="N224" s="5" t="e">
        <f t="shared" ca="1" si="96"/>
        <v>#N/A</v>
      </c>
      <c r="O224" s="5" t="e">
        <f t="shared" ca="1" si="97"/>
        <v>#N/A</v>
      </c>
      <c r="P224" s="5" t="e">
        <f t="shared" ca="1" si="98"/>
        <v>#N/A</v>
      </c>
      <c r="Q224" s="5" t="e">
        <f t="shared" ca="1" si="99"/>
        <v>#N/A</v>
      </c>
      <c r="R224" s="5" t="e">
        <f t="shared" ca="1" si="104"/>
        <v>#N/A</v>
      </c>
      <c r="S224" s="68" t="e">
        <f t="shared" ca="1" si="105"/>
        <v>#N/A</v>
      </c>
      <c r="T224" s="68" t="e">
        <f t="shared" ca="1" si="106"/>
        <v>#N/A</v>
      </c>
      <c r="U224" s="68" t="e">
        <f t="shared" ca="1" si="107"/>
        <v>#N/A</v>
      </c>
      <c r="V224" s="5" t="e">
        <f t="shared" ca="1" si="86"/>
        <v>#N/A</v>
      </c>
      <c r="W224" s="5" t="e">
        <f t="shared" ca="1" si="100"/>
        <v>#N/A</v>
      </c>
      <c r="X224" s="68">
        <f t="shared" ca="1" si="101"/>
        <v>0</v>
      </c>
      <c r="Y224" s="68" t="e">
        <f t="shared" ca="1" si="108"/>
        <v>#N/A</v>
      </c>
      <c r="Z224" s="68" t="e">
        <f t="shared" ca="1" si="109"/>
        <v>#N/A</v>
      </c>
      <c r="AA224" s="5" t="str">
        <f>IF(Setup!$I$15="Yes",'Demand background (hide)'!AJ212+'SPC background (hide)'!C224,"")</f>
        <v/>
      </c>
      <c r="AC224" s="5" t="e">
        <f t="shared" ca="1" si="102"/>
        <v>#N/A</v>
      </c>
      <c r="AD224" s="5" t="e">
        <f t="shared" ca="1" si="103"/>
        <v>#N/A</v>
      </c>
    </row>
    <row r="225" spans="1:30" x14ac:dyDescent="0.2">
      <c r="A225" s="68" t="str">
        <f ca="1">Demand!C222</f>
        <v/>
      </c>
      <c r="B225" s="68">
        <v>210</v>
      </c>
      <c r="C225" s="5">
        <f ca="1">'Demand background (hide)'!Y213</f>
        <v>0</v>
      </c>
      <c r="D225" s="68">
        <f t="shared" si="87"/>
        <v>0</v>
      </c>
      <c r="E225" s="68" t="e">
        <f t="shared" ca="1" si="88"/>
        <v>#N/A</v>
      </c>
      <c r="F225" s="68" t="e">
        <f t="shared" ca="1" si="89"/>
        <v>#N/A</v>
      </c>
      <c r="G225" s="68" t="e">
        <f t="shared" ca="1" si="90"/>
        <v>#N/A</v>
      </c>
      <c r="H225" s="68" t="e">
        <f>IF('Demand background (hide)'!AN213&lt;&gt;"",'SPC background (hide)'!C225,NA())</f>
        <v>#N/A</v>
      </c>
      <c r="I225" s="68" t="e">
        <f t="shared" ca="1" si="91"/>
        <v>#N/A</v>
      </c>
      <c r="J225" s="5" t="e">
        <f t="shared" ca="1" si="92"/>
        <v>#N/A</v>
      </c>
      <c r="K225" s="5" t="e">
        <f t="shared" ca="1" si="93"/>
        <v>#N/A</v>
      </c>
      <c r="L225" s="5" t="e">
        <f t="shared" ca="1" si="94"/>
        <v>#N/A</v>
      </c>
      <c r="M225" s="5" t="e">
        <f t="shared" ca="1" si="95"/>
        <v>#N/A</v>
      </c>
      <c r="N225" s="5" t="e">
        <f t="shared" ca="1" si="96"/>
        <v>#N/A</v>
      </c>
      <c r="O225" s="5" t="e">
        <f t="shared" ca="1" si="97"/>
        <v>#N/A</v>
      </c>
      <c r="P225" s="5" t="e">
        <f t="shared" ca="1" si="98"/>
        <v>#N/A</v>
      </c>
      <c r="Q225" s="5" t="e">
        <f t="shared" ca="1" si="99"/>
        <v>#N/A</v>
      </c>
      <c r="R225" s="5" t="e">
        <f t="shared" ca="1" si="104"/>
        <v>#N/A</v>
      </c>
      <c r="S225" s="68" t="e">
        <f t="shared" ca="1" si="105"/>
        <v>#N/A</v>
      </c>
      <c r="T225" s="68" t="e">
        <f t="shared" ca="1" si="106"/>
        <v>#N/A</v>
      </c>
      <c r="U225" s="68" t="e">
        <f t="shared" ca="1" si="107"/>
        <v>#N/A</v>
      </c>
      <c r="V225" s="5" t="e">
        <f t="shared" ca="1" si="86"/>
        <v>#N/A</v>
      </c>
      <c r="W225" s="5" t="e">
        <f t="shared" ca="1" si="100"/>
        <v>#N/A</v>
      </c>
      <c r="X225" s="68">
        <f t="shared" ca="1" si="101"/>
        <v>0</v>
      </c>
      <c r="Y225" s="68" t="e">
        <f t="shared" ca="1" si="108"/>
        <v>#N/A</v>
      </c>
      <c r="Z225" s="68" t="e">
        <f t="shared" ca="1" si="109"/>
        <v>#N/A</v>
      </c>
      <c r="AA225" s="5" t="str">
        <f>IF(Setup!$I$15="Yes",'Demand background (hide)'!AJ213+'SPC background (hide)'!C225,"")</f>
        <v/>
      </c>
      <c r="AC225" s="5" t="e">
        <f t="shared" ca="1" si="102"/>
        <v>#N/A</v>
      </c>
      <c r="AD225" s="5" t="e">
        <f t="shared" ca="1" si="103"/>
        <v>#N/A</v>
      </c>
    </row>
    <row r="226" spans="1:30" x14ac:dyDescent="0.2">
      <c r="A226" s="68" t="str">
        <f ca="1">Demand!C223</f>
        <v/>
      </c>
      <c r="B226" s="68">
        <v>211</v>
      </c>
      <c r="C226" s="5">
        <f ca="1">'Demand background (hide)'!Y214</f>
        <v>0</v>
      </c>
      <c r="D226" s="68">
        <f t="shared" si="87"/>
        <v>0</v>
      </c>
      <c r="E226" s="68" t="e">
        <f t="shared" ca="1" si="88"/>
        <v>#N/A</v>
      </c>
      <c r="F226" s="68" t="e">
        <f t="shared" ca="1" si="89"/>
        <v>#N/A</v>
      </c>
      <c r="G226" s="68" t="e">
        <f t="shared" ca="1" si="90"/>
        <v>#N/A</v>
      </c>
      <c r="H226" s="68" t="e">
        <f>IF('Demand background (hide)'!AN214&lt;&gt;"",'SPC background (hide)'!C226,NA())</f>
        <v>#N/A</v>
      </c>
      <c r="I226" s="68" t="e">
        <f t="shared" ca="1" si="91"/>
        <v>#N/A</v>
      </c>
      <c r="J226" s="5" t="e">
        <f t="shared" ca="1" si="92"/>
        <v>#N/A</v>
      </c>
      <c r="K226" s="5" t="e">
        <f t="shared" ca="1" si="93"/>
        <v>#N/A</v>
      </c>
      <c r="L226" s="5" t="e">
        <f t="shared" ca="1" si="94"/>
        <v>#N/A</v>
      </c>
      <c r="M226" s="5" t="e">
        <f t="shared" ca="1" si="95"/>
        <v>#N/A</v>
      </c>
      <c r="N226" s="5" t="e">
        <f t="shared" ca="1" si="96"/>
        <v>#N/A</v>
      </c>
      <c r="O226" s="5" t="e">
        <f t="shared" ca="1" si="97"/>
        <v>#N/A</v>
      </c>
      <c r="P226" s="5" t="e">
        <f t="shared" ca="1" si="98"/>
        <v>#N/A</v>
      </c>
      <c r="Q226" s="5" t="e">
        <f t="shared" ca="1" si="99"/>
        <v>#N/A</v>
      </c>
      <c r="R226" s="5" t="e">
        <f t="shared" ca="1" si="104"/>
        <v>#N/A</v>
      </c>
      <c r="S226" s="68" t="e">
        <f t="shared" ca="1" si="105"/>
        <v>#N/A</v>
      </c>
      <c r="T226" s="68" t="e">
        <f t="shared" ca="1" si="106"/>
        <v>#N/A</v>
      </c>
      <c r="U226" s="68" t="e">
        <f t="shared" ca="1" si="107"/>
        <v>#N/A</v>
      </c>
      <c r="V226" s="5" t="e">
        <f t="shared" ca="1" si="86"/>
        <v>#N/A</v>
      </c>
      <c r="W226" s="5" t="e">
        <f t="shared" ca="1" si="100"/>
        <v>#N/A</v>
      </c>
      <c r="X226" s="68">
        <f t="shared" ca="1" si="101"/>
        <v>0</v>
      </c>
      <c r="Y226" s="68" t="e">
        <f t="shared" ca="1" si="108"/>
        <v>#N/A</v>
      </c>
      <c r="Z226" s="68" t="e">
        <f t="shared" ca="1" si="109"/>
        <v>#N/A</v>
      </c>
      <c r="AA226" s="5" t="str">
        <f>IF(Setup!$I$15="Yes",'Demand background (hide)'!AJ214+'SPC background (hide)'!C226,"")</f>
        <v/>
      </c>
      <c r="AC226" s="5" t="e">
        <f t="shared" ca="1" si="102"/>
        <v>#N/A</v>
      </c>
      <c r="AD226" s="5" t="e">
        <f t="shared" ca="1" si="103"/>
        <v>#N/A</v>
      </c>
    </row>
    <row r="227" spans="1:30" x14ac:dyDescent="0.2">
      <c r="A227" s="68" t="str">
        <f ca="1">Demand!C224</f>
        <v/>
      </c>
      <c r="B227" s="68">
        <v>212</v>
      </c>
      <c r="C227" s="5">
        <f ca="1">'Demand background (hide)'!Y215</f>
        <v>0</v>
      </c>
      <c r="D227" s="68">
        <f t="shared" si="87"/>
        <v>0</v>
      </c>
      <c r="E227" s="68" t="e">
        <f t="shared" ca="1" si="88"/>
        <v>#N/A</v>
      </c>
      <c r="F227" s="68" t="e">
        <f t="shared" ca="1" si="89"/>
        <v>#N/A</v>
      </c>
      <c r="G227" s="68" t="e">
        <f t="shared" ca="1" si="90"/>
        <v>#N/A</v>
      </c>
      <c r="H227" s="68" t="e">
        <f>IF('Demand background (hide)'!AN215&lt;&gt;"",'SPC background (hide)'!C227,NA())</f>
        <v>#N/A</v>
      </c>
      <c r="I227" s="68" t="e">
        <f t="shared" ca="1" si="91"/>
        <v>#N/A</v>
      </c>
      <c r="J227" s="5" t="e">
        <f t="shared" ca="1" si="92"/>
        <v>#N/A</v>
      </c>
      <c r="K227" s="5" t="e">
        <f t="shared" ca="1" si="93"/>
        <v>#N/A</v>
      </c>
      <c r="L227" s="5" t="e">
        <f t="shared" ca="1" si="94"/>
        <v>#N/A</v>
      </c>
      <c r="M227" s="5" t="e">
        <f t="shared" ca="1" si="95"/>
        <v>#N/A</v>
      </c>
      <c r="N227" s="5" t="e">
        <f t="shared" ca="1" si="96"/>
        <v>#N/A</v>
      </c>
      <c r="O227" s="5" t="e">
        <f t="shared" ca="1" si="97"/>
        <v>#N/A</v>
      </c>
      <c r="P227" s="5" t="e">
        <f t="shared" ca="1" si="98"/>
        <v>#N/A</v>
      </c>
      <c r="Q227" s="5" t="e">
        <f t="shared" ca="1" si="99"/>
        <v>#N/A</v>
      </c>
      <c r="R227" s="5" t="e">
        <f t="shared" ca="1" si="104"/>
        <v>#N/A</v>
      </c>
      <c r="S227" s="68" t="e">
        <f t="shared" ca="1" si="105"/>
        <v>#N/A</v>
      </c>
      <c r="T227" s="68" t="e">
        <f t="shared" ca="1" si="106"/>
        <v>#N/A</v>
      </c>
      <c r="U227" s="68" t="e">
        <f t="shared" ca="1" si="107"/>
        <v>#N/A</v>
      </c>
      <c r="V227" s="5" t="e">
        <f t="shared" ca="1" si="86"/>
        <v>#N/A</v>
      </c>
      <c r="W227" s="5" t="e">
        <f t="shared" ca="1" si="100"/>
        <v>#N/A</v>
      </c>
      <c r="X227" s="68">
        <f t="shared" ca="1" si="101"/>
        <v>0</v>
      </c>
      <c r="Y227" s="68" t="e">
        <f t="shared" ca="1" si="108"/>
        <v>#N/A</v>
      </c>
      <c r="Z227" s="68" t="e">
        <f t="shared" ca="1" si="109"/>
        <v>#N/A</v>
      </c>
      <c r="AA227" s="5" t="str">
        <f>IF(Setup!$I$15="Yes",'Demand background (hide)'!AJ215+'SPC background (hide)'!C227,"")</f>
        <v/>
      </c>
      <c r="AC227" s="5" t="e">
        <f t="shared" ca="1" si="102"/>
        <v>#N/A</v>
      </c>
      <c r="AD227" s="5" t="e">
        <f t="shared" ca="1" si="103"/>
        <v>#N/A</v>
      </c>
    </row>
    <row r="228" spans="1:30" x14ac:dyDescent="0.2">
      <c r="A228" s="68" t="str">
        <f ca="1">Demand!C225</f>
        <v/>
      </c>
      <c r="B228" s="68">
        <v>213</v>
      </c>
      <c r="C228" s="5">
        <f ca="1">'Demand background (hide)'!Y216</f>
        <v>0</v>
      </c>
      <c r="D228" s="68">
        <f t="shared" si="87"/>
        <v>0</v>
      </c>
      <c r="E228" s="68" t="e">
        <f t="shared" ca="1" si="88"/>
        <v>#N/A</v>
      </c>
      <c r="F228" s="68" t="e">
        <f t="shared" ca="1" si="89"/>
        <v>#N/A</v>
      </c>
      <c r="G228" s="68" t="e">
        <f t="shared" ca="1" si="90"/>
        <v>#N/A</v>
      </c>
      <c r="H228" s="68" t="e">
        <f>IF('Demand background (hide)'!AN216&lt;&gt;"",'SPC background (hide)'!C228,NA())</f>
        <v>#N/A</v>
      </c>
      <c r="I228" s="68" t="e">
        <f t="shared" ca="1" si="91"/>
        <v>#N/A</v>
      </c>
      <c r="J228" s="5" t="e">
        <f t="shared" ca="1" si="92"/>
        <v>#N/A</v>
      </c>
      <c r="K228" s="5" t="e">
        <f t="shared" ca="1" si="93"/>
        <v>#N/A</v>
      </c>
      <c r="L228" s="5" t="e">
        <f t="shared" ca="1" si="94"/>
        <v>#N/A</v>
      </c>
      <c r="M228" s="5" t="e">
        <f t="shared" ca="1" si="95"/>
        <v>#N/A</v>
      </c>
      <c r="N228" s="5" t="e">
        <f t="shared" ca="1" si="96"/>
        <v>#N/A</v>
      </c>
      <c r="O228" s="5" t="e">
        <f t="shared" ca="1" si="97"/>
        <v>#N/A</v>
      </c>
      <c r="P228" s="5" t="e">
        <f t="shared" ca="1" si="98"/>
        <v>#N/A</v>
      </c>
      <c r="Q228" s="5" t="e">
        <f t="shared" ca="1" si="99"/>
        <v>#N/A</v>
      </c>
      <c r="R228" s="5" t="e">
        <f t="shared" ca="1" si="104"/>
        <v>#N/A</v>
      </c>
      <c r="S228" s="68" t="e">
        <f t="shared" ca="1" si="105"/>
        <v>#N/A</v>
      </c>
      <c r="T228" s="68" t="e">
        <f t="shared" ca="1" si="106"/>
        <v>#N/A</v>
      </c>
      <c r="U228" s="68" t="e">
        <f t="shared" ca="1" si="107"/>
        <v>#N/A</v>
      </c>
      <c r="V228" s="5" t="e">
        <f t="shared" ca="1" si="86"/>
        <v>#N/A</v>
      </c>
      <c r="W228" s="5" t="e">
        <f t="shared" ca="1" si="100"/>
        <v>#N/A</v>
      </c>
      <c r="X228" s="68">
        <f t="shared" ca="1" si="101"/>
        <v>0</v>
      </c>
      <c r="Y228" s="68" t="e">
        <f t="shared" ca="1" si="108"/>
        <v>#N/A</v>
      </c>
      <c r="Z228" s="68" t="e">
        <f t="shared" ca="1" si="109"/>
        <v>#N/A</v>
      </c>
      <c r="AA228" s="5" t="str">
        <f>IF(Setup!$I$15="Yes",'Demand background (hide)'!AJ216+'SPC background (hide)'!C228,"")</f>
        <v/>
      </c>
      <c r="AC228" s="5" t="e">
        <f t="shared" ca="1" si="102"/>
        <v>#N/A</v>
      </c>
      <c r="AD228" s="5" t="e">
        <f t="shared" ca="1" si="103"/>
        <v>#N/A</v>
      </c>
    </row>
    <row r="229" spans="1:30" x14ac:dyDescent="0.2">
      <c r="A229" s="68" t="str">
        <f ca="1">Demand!C226</f>
        <v/>
      </c>
      <c r="B229" s="68">
        <v>214</v>
      </c>
      <c r="C229" s="5">
        <f ca="1">'Demand background (hide)'!Y217</f>
        <v>0</v>
      </c>
      <c r="D229" s="68">
        <f t="shared" si="87"/>
        <v>0</v>
      </c>
      <c r="E229" s="68" t="e">
        <f t="shared" ca="1" si="88"/>
        <v>#N/A</v>
      </c>
      <c r="F229" s="68" t="e">
        <f t="shared" ca="1" si="89"/>
        <v>#N/A</v>
      </c>
      <c r="G229" s="68" t="e">
        <f t="shared" ca="1" si="90"/>
        <v>#N/A</v>
      </c>
      <c r="H229" s="68" t="e">
        <f>IF('Demand background (hide)'!AN217&lt;&gt;"",'SPC background (hide)'!C229,NA())</f>
        <v>#N/A</v>
      </c>
      <c r="I229" s="68" t="e">
        <f t="shared" ca="1" si="91"/>
        <v>#N/A</v>
      </c>
      <c r="J229" s="5" t="e">
        <f t="shared" ca="1" si="92"/>
        <v>#N/A</v>
      </c>
      <c r="K229" s="5" t="e">
        <f t="shared" ca="1" si="93"/>
        <v>#N/A</v>
      </c>
      <c r="L229" s="5" t="e">
        <f t="shared" ca="1" si="94"/>
        <v>#N/A</v>
      </c>
      <c r="M229" s="5" t="e">
        <f t="shared" ca="1" si="95"/>
        <v>#N/A</v>
      </c>
      <c r="N229" s="5" t="e">
        <f t="shared" ca="1" si="96"/>
        <v>#N/A</v>
      </c>
      <c r="O229" s="5" t="e">
        <f t="shared" ca="1" si="97"/>
        <v>#N/A</v>
      </c>
      <c r="P229" s="5" t="e">
        <f t="shared" ca="1" si="98"/>
        <v>#N/A</v>
      </c>
      <c r="Q229" s="5" t="e">
        <f t="shared" ca="1" si="99"/>
        <v>#N/A</v>
      </c>
      <c r="R229" s="5" t="e">
        <f t="shared" ca="1" si="104"/>
        <v>#N/A</v>
      </c>
      <c r="S229" s="68" t="e">
        <f t="shared" ca="1" si="105"/>
        <v>#N/A</v>
      </c>
      <c r="T229" s="68" t="e">
        <f t="shared" ca="1" si="106"/>
        <v>#N/A</v>
      </c>
      <c r="U229" s="68" t="e">
        <f t="shared" ca="1" si="107"/>
        <v>#N/A</v>
      </c>
      <c r="V229" s="5" t="e">
        <f t="shared" ca="1" si="86"/>
        <v>#N/A</v>
      </c>
      <c r="W229" s="5" t="e">
        <f t="shared" ca="1" si="100"/>
        <v>#N/A</v>
      </c>
      <c r="X229" s="68">
        <f t="shared" ca="1" si="101"/>
        <v>0</v>
      </c>
      <c r="Y229" s="68" t="e">
        <f t="shared" ca="1" si="108"/>
        <v>#N/A</v>
      </c>
      <c r="Z229" s="68" t="e">
        <f t="shared" ca="1" si="109"/>
        <v>#N/A</v>
      </c>
      <c r="AA229" s="5" t="str">
        <f>IF(Setup!$I$15="Yes",'Demand background (hide)'!AJ217+'SPC background (hide)'!C229,"")</f>
        <v/>
      </c>
      <c r="AC229" s="5" t="e">
        <f t="shared" ca="1" si="102"/>
        <v>#N/A</v>
      </c>
      <c r="AD229" s="5" t="e">
        <f t="shared" ca="1" si="103"/>
        <v>#N/A</v>
      </c>
    </row>
    <row r="230" spans="1:30" x14ac:dyDescent="0.2">
      <c r="A230" s="68" t="str">
        <f ca="1">Demand!C227</f>
        <v/>
      </c>
      <c r="B230" s="68">
        <v>215</v>
      </c>
      <c r="C230" s="5">
        <f ca="1">'Demand background (hide)'!Y218</f>
        <v>0</v>
      </c>
      <c r="D230" s="68">
        <f t="shared" si="87"/>
        <v>0</v>
      </c>
      <c r="E230" s="68" t="e">
        <f t="shared" ca="1" si="88"/>
        <v>#N/A</v>
      </c>
      <c r="F230" s="68" t="e">
        <f t="shared" ca="1" si="89"/>
        <v>#N/A</v>
      </c>
      <c r="G230" s="68" t="e">
        <f t="shared" ca="1" si="90"/>
        <v>#N/A</v>
      </c>
      <c r="H230" s="68" t="e">
        <f>IF('Demand background (hide)'!AN218&lt;&gt;"",'SPC background (hide)'!C230,NA())</f>
        <v>#N/A</v>
      </c>
      <c r="I230" s="68" t="e">
        <f t="shared" ca="1" si="91"/>
        <v>#N/A</v>
      </c>
      <c r="J230" s="5" t="e">
        <f t="shared" ca="1" si="92"/>
        <v>#N/A</v>
      </c>
      <c r="K230" s="5" t="e">
        <f t="shared" ca="1" si="93"/>
        <v>#N/A</v>
      </c>
      <c r="L230" s="5" t="e">
        <f t="shared" ca="1" si="94"/>
        <v>#N/A</v>
      </c>
      <c r="M230" s="5" t="e">
        <f t="shared" ca="1" si="95"/>
        <v>#N/A</v>
      </c>
      <c r="N230" s="5" t="e">
        <f t="shared" ca="1" si="96"/>
        <v>#N/A</v>
      </c>
      <c r="O230" s="5" t="e">
        <f t="shared" ca="1" si="97"/>
        <v>#N/A</v>
      </c>
      <c r="P230" s="5" t="e">
        <f t="shared" ca="1" si="98"/>
        <v>#N/A</v>
      </c>
      <c r="Q230" s="5" t="e">
        <f t="shared" ca="1" si="99"/>
        <v>#N/A</v>
      </c>
      <c r="R230" s="5" t="e">
        <f t="shared" ca="1" si="104"/>
        <v>#N/A</v>
      </c>
      <c r="S230" s="68" t="e">
        <f t="shared" ca="1" si="105"/>
        <v>#N/A</v>
      </c>
      <c r="T230" s="68" t="e">
        <f t="shared" ca="1" si="106"/>
        <v>#N/A</v>
      </c>
      <c r="U230" s="68" t="e">
        <f t="shared" ca="1" si="107"/>
        <v>#N/A</v>
      </c>
      <c r="V230" s="5" t="e">
        <f t="shared" ca="1" si="86"/>
        <v>#N/A</v>
      </c>
      <c r="W230" s="5" t="e">
        <f t="shared" ca="1" si="100"/>
        <v>#N/A</v>
      </c>
      <c r="X230" s="68">
        <f t="shared" ca="1" si="101"/>
        <v>0</v>
      </c>
      <c r="Y230" s="68" t="e">
        <f t="shared" ca="1" si="108"/>
        <v>#N/A</v>
      </c>
      <c r="Z230" s="68" t="e">
        <f t="shared" ca="1" si="109"/>
        <v>#N/A</v>
      </c>
      <c r="AA230" s="5" t="str">
        <f>IF(Setup!$I$15="Yes",'Demand background (hide)'!AJ218+'SPC background (hide)'!C230,"")</f>
        <v/>
      </c>
      <c r="AC230" s="5" t="e">
        <f t="shared" ca="1" si="102"/>
        <v>#N/A</v>
      </c>
      <c r="AD230" s="5" t="e">
        <f t="shared" ca="1" si="103"/>
        <v>#N/A</v>
      </c>
    </row>
    <row r="231" spans="1:30" x14ac:dyDescent="0.2">
      <c r="A231" s="68" t="str">
        <f ca="1">Demand!C228</f>
        <v/>
      </c>
      <c r="B231" s="68">
        <v>216</v>
      </c>
      <c r="C231" s="5">
        <f ca="1">'Demand background (hide)'!Y219</f>
        <v>0</v>
      </c>
      <c r="D231" s="68">
        <f t="shared" si="87"/>
        <v>0</v>
      </c>
      <c r="E231" s="68" t="e">
        <f t="shared" ca="1" si="88"/>
        <v>#N/A</v>
      </c>
      <c r="F231" s="68" t="e">
        <f t="shared" ca="1" si="89"/>
        <v>#N/A</v>
      </c>
      <c r="G231" s="68" t="e">
        <f t="shared" ca="1" si="90"/>
        <v>#N/A</v>
      </c>
      <c r="H231" s="68" t="e">
        <f>IF('Demand background (hide)'!AN219&lt;&gt;"",'SPC background (hide)'!C231,NA())</f>
        <v>#N/A</v>
      </c>
      <c r="I231" s="68" t="e">
        <f t="shared" ca="1" si="91"/>
        <v>#N/A</v>
      </c>
      <c r="J231" s="5" t="e">
        <f t="shared" ca="1" si="92"/>
        <v>#N/A</v>
      </c>
      <c r="K231" s="5" t="e">
        <f t="shared" ca="1" si="93"/>
        <v>#N/A</v>
      </c>
      <c r="L231" s="5" t="e">
        <f t="shared" ca="1" si="94"/>
        <v>#N/A</v>
      </c>
      <c r="M231" s="5" t="e">
        <f t="shared" ca="1" si="95"/>
        <v>#N/A</v>
      </c>
      <c r="N231" s="5" t="e">
        <f t="shared" ca="1" si="96"/>
        <v>#N/A</v>
      </c>
      <c r="O231" s="5" t="e">
        <f t="shared" ca="1" si="97"/>
        <v>#N/A</v>
      </c>
      <c r="P231" s="5" t="e">
        <f t="shared" ca="1" si="98"/>
        <v>#N/A</v>
      </c>
      <c r="Q231" s="5" t="e">
        <f t="shared" ca="1" si="99"/>
        <v>#N/A</v>
      </c>
      <c r="R231" s="5" t="e">
        <f t="shared" ca="1" si="104"/>
        <v>#N/A</v>
      </c>
      <c r="S231" s="68" t="e">
        <f t="shared" ca="1" si="105"/>
        <v>#N/A</v>
      </c>
      <c r="T231" s="68" t="e">
        <f t="shared" ca="1" si="106"/>
        <v>#N/A</v>
      </c>
      <c r="U231" s="68" t="e">
        <f t="shared" ca="1" si="107"/>
        <v>#N/A</v>
      </c>
      <c r="V231" s="5" t="e">
        <f t="shared" ca="1" si="86"/>
        <v>#N/A</v>
      </c>
      <c r="W231" s="5" t="e">
        <f t="shared" ca="1" si="100"/>
        <v>#N/A</v>
      </c>
      <c r="X231" s="68">
        <f t="shared" ca="1" si="101"/>
        <v>0</v>
      </c>
      <c r="Y231" s="68" t="e">
        <f t="shared" ca="1" si="108"/>
        <v>#N/A</v>
      </c>
      <c r="Z231" s="68" t="e">
        <f t="shared" ca="1" si="109"/>
        <v>#N/A</v>
      </c>
      <c r="AA231" s="5" t="str">
        <f>IF(Setup!$I$15="Yes",'Demand background (hide)'!AJ219+'SPC background (hide)'!C231,"")</f>
        <v/>
      </c>
      <c r="AC231" s="5" t="e">
        <f t="shared" ca="1" si="102"/>
        <v>#N/A</v>
      </c>
      <c r="AD231" s="5" t="e">
        <f t="shared" ca="1" si="103"/>
        <v>#N/A</v>
      </c>
    </row>
    <row r="232" spans="1:30" x14ac:dyDescent="0.2">
      <c r="A232" s="68" t="str">
        <f ca="1">Demand!C229</f>
        <v/>
      </c>
      <c r="B232" s="68">
        <v>217</v>
      </c>
      <c r="C232" s="5">
        <f ca="1">'Demand background (hide)'!Y220</f>
        <v>0</v>
      </c>
      <c r="D232" s="68">
        <f t="shared" si="87"/>
        <v>0</v>
      </c>
      <c r="E232" s="68" t="e">
        <f t="shared" ca="1" si="88"/>
        <v>#N/A</v>
      </c>
      <c r="F232" s="68" t="e">
        <f t="shared" ca="1" si="89"/>
        <v>#N/A</v>
      </c>
      <c r="G232" s="68" t="e">
        <f t="shared" ca="1" si="90"/>
        <v>#N/A</v>
      </c>
      <c r="H232" s="68" t="e">
        <f>IF('Demand background (hide)'!AN220&lt;&gt;"",'SPC background (hide)'!C232,NA())</f>
        <v>#N/A</v>
      </c>
      <c r="I232" s="68" t="e">
        <f t="shared" ca="1" si="91"/>
        <v>#N/A</v>
      </c>
      <c r="J232" s="5" t="e">
        <f t="shared" ca="1" si="92"/>
        <v>#N/A</v>
      </c>
      <c r="K232" s="5" t="e">
        <f t="shared" ca="1" si="93"/>
        <v>#N/A</v>
      </c>
      <c r="L232" s="5" t="e">
        <f t="shared" ca="1" si="94"/>
        <v>#N/A</v>
      </c>
      <c r="M232" s="5" t="e">
        <f t="shared" ca="1" si="95"/>
        <v>#N/A</v>
      </c>
      <c r="N232" s="5" t="e">
        <f t="shared" ca="1" si="96"/>
        <v>#N/A</v>
      </c>
      <c r="O232" s="5" t="e">
        <f t="shared" ca="1" si="97"/>
        <v>#N/A</v>
      </c>
      <c r="P232" s="5" t="e">
        <f t="shared" ca="1" si="98"/>
        <v>#N/A</v>
      </c>
      <c r="Q232" s="5" t="e">
        <f t="shared" ca="1" si="99"/>
        <v>#N/A</v>
      </c>
      <c r="R232" s="5" t="e">
        <f t="shared" ca="1" si="104"/>
        <v>#N/A</v>
      </c>
      <c r="S232" s="68" t="e">
        <f t="shared" ca="1" si="105"/>
        <v>#N/A</v>
      </c>
      <c r="T232" s="68" t="e">
        <f t="shared" ca="1" si="106"/>
        <v>#N/A</v>
      </c>
      <c r="U232" s="68" t="e">
        <f t="shared" ca="1" si="107"/>
        <v>#N/A</v>
      </c>
      <c r="V232" s="5" t="e">
        <f t="shared" ca="1" si="86"/>
        <v>#N/A</v>
      </c>
      <c r="W232" s="5" t="e">
        <f t="shared" ca="1" si="100"/>
        <v>#N/A</v>
      </c>
      <c r="X232" s="68">
        <f t="shared" ca="1" si="101"/>
        <v>0</v>
      </c>
      <c r="Y232" s="68" t="e">
        <f t="shared" ca="1" si="108"/>
        <v>#N/A</v>
      </c>
      <c r="Z232" s="68" t="e">
        <f t="shared" ca="1" si="109"/>
        <v>#N/A</v>
      </c>
      <c r="AA232" s="5" t="str">
        <f>IF(Setup!$I$15="Yes",'Demand background (hide)'!AJ220+'SPC background (hide)'!C232,"")</f>
        <v/>
      </c>
      <c r="AC232" s="5" t="e">
        <f t="shared" ca="1" si="102"/>
        <v>#N/A</v>
      </c>
      <c r="AD232" s="5" t="e">
        <f t="shared" ca="1" si="103"/>
        <v>#N/A</v>
      </c>
    </row>
    <row r="233" spans="1:30" x14ac:dyDescent="0.2">
      <c r="A233" s="68" t="str">
        <f ca="1">Demand!C230</f>
        <v/>
      </c>
      <c r="B233" s="68">
        <v>218</v>
      </c>
      <c r="C233" s="5">
        <f ca="1">'Demand background (hide)'!Y221</f>
        <v>0</v>
      </c>
      <c r="D233" s="68">
        <f t="shared" si="87"/>
        <v>0</v>
      </c>
      <c r="E233" s="68" t="e">
        <f t="shared" ca="1" si="88"/>
        <v>#N/A</v>
      </c>
      <c r="F233" s="68" t="e">
        <f t="shared" ca="1" si="89"/>
        <v>#N/A</v>
      </c>
      <c r="G233" s="68" t="e">
        <f t="shared" ca="1" si="90"/>
        <v>#N/A</v>
      </c>
      <c r="H233" s="68" t="e">
        <f>IF('Demand background (hide)'!AN221&lt;&gt;"",'SPC background (hide)'!C233,NA())</f>
        <v>#N/A</v>
      </c>
      <c r="I233" s="68" t="e">
        <f t="shared" ca="1" si="91"/>
        <v>#N/A</v>
      </c>
      <c r="J233" s="5" t="e">
        <f t="shared" ca="1" si="92"/>
        <v>#N/A</v>
      </c>
      <c r="K233" s="5" t="e">
        <f t="shared" ca="1" si="93"/>
        <v>#N/A</v>
      </c>
      <c r="L233" s="5" t="e">
        <f t="shared" ca="1" si="94"/>
        <v>#N/A</v>
      </c>
      <c r="M233" s="5" t="e">
        <f t="shared" ca="1" si="95"/>
        <v>#N/A</v>
      </c>
      <c r="N233" s="5" t="e">
        <f t="shared" ca="1" si="96"/>
        <v>#N/A</v>
      </c>
      <c r="O233" s="5" t="e">
        <f t="shared" ca="1" si="97"/>
        <v>#N/A</v>
      </c>
      <c r="P233" s="5" t="e">
        <f t="shared" ca="1" si="98"/>
        <v>#N/A</v>
      </c>
      <c r="Q233" s="5" t="e">
        <f t="shared" ca="1" si="99"/>
        <v>#N/A</v>
      </c>
      <c r="R233" s="5" t="e">
        <f t="shared" ca="1" si="104"/>
        <v>#N/A</v>
      </c>
      <c r="S233" s="68" t="e">
        <f t="shared" ca="1" si="105"/>
        <v>#N/A</v>
      </c>
      <c r="T233" s="68" t="e">
        <f t="shared" ca="1" si="106"/>
        <v>#N/A</v>
      </c>
      <c r="U233" s="68" t="e">
        <f t="shared" ca="1" si="107"/>
        <v>#N/A</v>
      </c>
      <c r="V233" s="5" t="e">
        <f t="shared" ca="1" si="86"/>
        <v>#N/A</v>
      </c>
      <c r="W233" s="5" t="e">
        <f t="shared" ca="1" si="100"/>
        <v>#N/A</v>
      </c>
      <c r="X233" s="68">
        <f t="shared" ca="1" si="101"/>
        <v>0</v>
      </c>
      <c r="Y233" s="68" t="e">
        <f t="shared" ca="1" si="108"/>
        <v>#N/A</v>
      </c>
      <c r="Z233" s="68" t="e">
        <f t="shared" ca="1" si="109"/>
        <v>#N/A</v>
      </c>
      <c r="AA233" s="5" t="str">
        <f>IF(Setup!$I$15="Yes",'Demand background (hide)'!AJ221+'SPC background (hide)'!C233,"")</f>
        <v/>
      </c>
      <c r="AC233" s="5" t="e">
        <f t="shared" ca="1" si="102"/>
        <v>#N/A</v>
      </c>
      <c r="AD233" s="5" t="e">
        <f t="shared" ca="1" si="103"/>
        <v>#N/A</v>
      </c>
    </row>
    <row r="234" spans="1:30" x14ac:dyDescent="0.2">
      <c r="A234" s="68" t="str">
        <f ca="1">Demand!C231</f>
        <v/>
      </c>
      <c r="B234" s="68">
        <v>219</v>
      </c>
      <c r="C234" s="5">
        <f ca="1">'Demand background (hide)'!Y222</f>
        <v>0</v>
      </c>
      <c r="D234" s="68">
        <f t="shared" si="87"/>
        <v>0</v>
      </c>
      <c r="E234" s="68" t="e">
        <f t="shared" ca="1" si="88"/>
        <v>#N/A</v>
      </c>
      <c r="F234" s="68" t="e">
        <f t="shared" ca="1" si="89"/>
        <v>#N/A</v>
      </c>
      <c r="G234" s="68" t="e">
        <f t="shared" ca="1" si="90"/>
        <v>#N/A</v>
      </c>
      <c r="H234" s="68" t="e">
        <f>IF('Demand background (hide)'!AN222&lt;&gt;"",'SPC background (hide)'!C234,NA())</f>
        <v>#N/A</v>
      </c>
      <c r="I234" s="68" t="e">
        <f t="shared" ca="1" si="91"/>
        <v>#N/A</v>
      </c>
      <c r="J234" s="5" t="e">
        <f t="shared" ca="1" si="92"/>
        <v>#N/A</v>
      </c>
      <c r="K234" s="5" t="e">
        <f t="shared" ca="1" si="93"/>
        <v>#N/A</v>
      </c>
      <c r="L234" s="5" t="e">
        <f t="shared" ca="1" si="94"/>
        <v>#N/A</v>
      </c>
      <c r="M234" s="5" t="e">
        <f t="shared" ca="1" si="95"/>
        <v>#N/A</v>
      </c>
      <c r="N234" s="5" t="e">
        <f t="shared" ca="1" si="96"/>
        <v>#N/A</v>
      </c>
      <c r="O234" s="5" t="e">
        <f t="shared" ca="1" si="97"/>
        <v>#N/A</v>
      </c>
      <c r="P234" s="5" t="e">
        <f t="shared" ca="1" si="98"/>
        <v>#N/A</v>
      </c>
      <c r="Q234" s="5" t="e">
        <f t="shared" ca="1" si="99"/>
        <v>#N/A</v>
      </c>
      <c r="R234" s="5" t="e">
        <f t="shared" ca="1" si="104"/>
        <v>#N/A</v>
      </c>
      <c r="S234" s="68" t="e">
        <f t="shared" ca="1" si="105"/>
        <v>#N/A</v>
      </c>
      <c r="T234" s="68" t="e">
        <f t="shared" ca="1" si="106"/>
        <v>#N/A</v>
      </c>
      <c r="U234" s="68" t="e">
        <f t="shared" ca="1" si="107"/>
        <v>#N/A</v>
      </c>
      <c r="V234" s="5" t="e">
        <f t="shared" ca="1" si="86"/>
        <v>#N/A</v>
      </c>
      <c r="W234" s="5" t="e">
        <f t="shared" ca="1" si="100"/>
        <v>#N/A</v>
      </c>
      <c r="X234" s="68">
        <f t="shared" ca="1" si="101"/>
        <v>0</v>
      </c>
      <c r="Y234" s="68" t="e">
        <f t="shared" ca="1" si="108"/>
        <v>#N/A</v>
      </c>
      <c r="Z234" s="68" t="e">
        <f t="shared" ca="1" si="109"/>
        <v>#N/A</v>
      </c>
      <c r="AA234" s="5" t="str">
        <f>IF(Setup!$I$15="Yes",'Demand background (hide)'!AJ222+'SPC background (hide)'!C234,"")</f>
        <v/>
      </c>
      <c r="AC234" s="5" t="e">
        <f t="shared" ca="1" si="102"/>
        <v>#N/A</v>
      </c>
      <c r="AD234" s="5" t="e">
        <f t="shared" ca="1" si="103"/>
        <v>#N/A</v>
      </c>
    </row>
    <row r="235" spans="1:30" x14ac:dyDescent="0.2">
      <c r="A235" s="68" t="str">
        <f ca="1">Demand!C232</f>
        <v/>
      </c>
      <c r="B235" s="68">
        <v>220</v>
      </c>
      <c r="C235" s="5">
        <f ca="1">'Demand background (hide)'!Y223</f>
        <v>0</v>
      </c>
      <c r="D235" s="68">
        <f t="shared" si="87"/>
        <v>0</v>
      </c>
      <c r="E235" s="68" t="e">
        <f t="shared" ca="1" si="88"/>
        <v>#N/A</v>
      </c>
      <c r="F235" s="68" t="e">
        <f t="shared" ca="1" si="89"/>
        <v>#N/A</v>
      </c>
      <c r="G235" s="68" t="e">
        <f t="shared" ca="1" si="90"/>
        <v>#N/A</v>
      </c>
      <c r="H235" s="68" t="e">
        <f>IF('Demand background (hide)'!AN223&lt;&gt;"",'SPC background (hide)'!C235,NA())</f>
        <v>#N/A</v>
      </c>
      <c r="I235" s="68" t="e">
        <f t="shared" ca="1" si="91"/>
        <v>#N/A</v>
      </c>
      <c r="J235" s="5" t="e">
        <f t="shared" ca="1" si="92"/>
        <v>#N/A</v>
      </c>
      <c r="K235" s="5" t="e">
        <f t="shared" ca="1" si="93"/>
        <v>#N/A</v>
      </c>
      <c r="L235" s="5" t="e">
        <f t="shared" ca="1" si="94"/>
        <v>#N/A</v>
      </c>
      <c r="M235" s="5" t="e">
        <f t="shared" ca="1" si="95"/>
        <v>#N/A</v>
      </c>
      <c r="N235" s="5" t="e">
        <f t="shared" ca="1" si="96"/>
        <v>#N/A</v>
      </c>
      <c r="O235" s="5" t="e">
        <f t="shared" ca="1" si="97"/>
        <v>#N/A</v>
      </c>
      <c r="P235" s="5" t="e">
        <f t="shared" ca="1" si="98"/>
        <v>#N/A</v>
      </c>
      <c r="Q235" s="5" t="e">
        <f t="shared" ca="1" si="99"/>
        <v>#N/A</v>
      </c>
      <c r="R235" s="5" t="e">
        <f t="shared" ca="1" si="104"/>
        <v>#N/A</v>
      </c>
      <c r="S235" s="68" t="e">
        <f t="shared" ca="1" si="105"/>
        <v>#N/A</v>
      </c>
      <c r="T235" s="68" t="e">
        <f t="shared" ca="1" si="106"/>
        <v>#N/A</v>
      </c>
      <c r="U235" s="68" t="e">
        <f t="shared" ca="1" si="107"/>
        <v>#N/A</v>
      </c>
      <c r="V235" s="5" t="e">
        <f t="shared" ca="1" si="86"/>
        <v>#N/A</v>
      </c>
      <c r="W235" s="5" t="e">
        <f t="shared" ca="1" si="100"/>
        <v>#N/A</v>
      </c>
      <c r="X235" s="68">
        <f t="shared" ca="1" si="101"/>
        <v>0</v>
      </c>
      <c r="Y235" s="68" t="e">
        <f t="shared" ca="1" si="108"/>
        <v>#N/A</v>
      </c>
      <c r="Z235" s="68" t="e">
        <f t="shared" ca="1" si="109"/>
        <v>#N/A</v>
      </c>
      <c r="AA235" s="5" t="str">
        <f>IF(Setup!$I$15="Yes",'Demand background (hide)'!AJ223+'SPC background (hide)'!C235,"")</f>
        <v/>
      </c>
      <c r="AC235" s="5" t="e">
        <f t="shared" ca="1" si="102"/>
        <v>#N/A</v>
      </c>
      <c r="AD235" s="5" t="e">
        <f t="shared" ca="1" si="103"/>
        <v>#N/A</v>
      </c>
    </row>
    <row r="236" spans="1:30" x14ac:dyDescent="0.2">
      <c r="A236" s="68" t="str">
        <f ca="1">Demand!C233</f>
        <v/>
      </c>
      <c r="B236" s="68">
        <v>221</v>
      </c>
      <c r="C236" s="5">
        <f ca="1">'Demand background (hide)'!Y224</f>
        <v>0</v>
      </c>
      <c r="D236" s="68">
        <f t="shared" si="87"/>
        <v>0</v>
      </c>
      <c r="E236" s="68" t="e">
        <f t="shared" ca="1" si="88"/>
        <v>#N/A</v>
      </c>
      <c r="F236" s="68" t="e">
        <f t="shared" ca="1" si="89"/>
        <v>#N/A</v>
      </c>
      <c r="G236" s="68" t="e">
        <f t="shared" ca="1" si="90"/>
        <v>#N/A</v>
      </c>
      <c r="H236" s="68" t="e">
        <f>IF('Demand background (hide)'!AN224&lt;&gt;"",'SPC background (hide)'!C236,NA())</f>
        <v>#N/A</v>
      </c>
      <c r="I236" s="68" t="e">
        <f t="shared" ca="1" si="91"/>
        <v>#N/A</v>
      </c>
      <c r="J236" s="5" t="e">
        <f t="shared" ca="1" si="92"/>
        <v>#N/A</v>
      </c>
      <c r="K236" s="5" t="e">
        <f t="shared" ca="1" si="93"/>
        <v>#N/A</v>
      </c>
      <c r="L236" s="5" t="e">
        <f t="shared" ca="1" si="94"/>
        <v>#N/A</v>
      </c>
      <c r="M236" s="5" t="e">
        <f t="shared" ca="1" si="95"/>
        <v>#N/A</v>
      </c>
      <c r="N236" s="5" t="e">
        <f t="shared" ca="1" si="96"/>
        <v>#N/A</v>
      </c>
      <c r="O236" s="5" t="e">
        <f t="shared" ca="1" si="97"/>
        <v>#N/A</v>
      </c>
      <c r="P236" s="5" t="e">
        <f t="shared" ca="1" si="98"/>
        <v>#N/A</v>
      </c>
      <c r="Q236" s="5" t="e">
        <f t="shared" ca="1" si="99"/>
        <v>#N/A</v>
      </c>
      <c r="R236" s="5" t="e">
        <f t="shared" ca="1" si="104"/>
        <v>#N/A</v>
      </c>
      <c r="S236" s="68" t="e">
        <f t="shared" ca="1" si="105"/>
        <v>#N/A</v>
      </c>
      <c r="T236" s="68" t="e">
        <f t="shared" ca="1" si="106"/>
        <v>#N/A</v>
      </c>
      <c r="U236" s="68" t="e">
        <f t="shared" ca="1" si="107"/>
        <v>#N/A</v>
      </c>
      <c r="V236" s="5" t="e">
        <f t="shared" ca="1" si="86"/>
        <v>#N/A</v>
      </c>
      <c r="W236" s="5" t="e">
        <f t="shared" ca="1" si="100"/>
        <v>#N/A</v>
      </c>
      <c r="X236" s="68">
        <f t="shared" ca="1" si="101"/>
        <v>0</v>
      </c>
      <c r="Y236" s="68" t="e">
        <f t="shared" ca="1" si="108"/>
        <v>#N/A</v>
      </c>
      <c r="Z236" s="68" t="e">
        <f t="shared" ca="1" si="109"/>
        <v>#N/A</v>
      </c>
      <c r="AA236" s="5" t="str">
        <f>IF(Setup!$I$15="Yes",'Demand background (hide)'!AJ224+'SPC background (hide)'!C236,"")</f>
        <v/>
      </c>
      <c r="AC236" s="5" t="e">
        <f t="shared" ca="1" si="102"/>
        <v>#N/A</v>
      </c>
      <c r="AD236" s="5" t="e">
        <f t="shared" ca="1" si="103"/>
        <v>#N/A</v>
      </c>
    </row>
    <row r="237" spans="1:30" x14ac:dyDescent="0.2">
      <c r="A237" s="68" t="str">
        <f ca="1">Demand!C234</f>
        <v/>
      </c>
      <c r="B237" s="68">
        <v>222</v>
      </c>
      <c r="C237" s="5">
        <f ca="1">'Demand background (hide)'!Y225</f>
        <v>0</v>
      </c>
      <c r="D237" s="68">
        <f t="shared" si="87"/>
        <v>0</v>
      </c>
      <c r="E237" s="68" t="e">
        <f t="shared" ca="1" si="88"/>
        <v>#N/A</v>
      </c>
      <c r="F237" s="68" t="e">
        <f t="shared" ca="1" si="89"/>
        <v>#N/A</v>
      </c>
      <c r="G237" s="68" t="e">
        <f t="shared" ca="1" si="90"/>
        <v>#N/A</v>
      </c>
      <c r="H237" s="68" t="e">
        <f>IF('Demand background (hide)'!AN225&lt;&gt;"",'SPC background (hide)'!C237,NA())</f>
        <v>#N/A</v>
      </c>
      <c r="I237" s="68" t="e">
        <f t="shared" ca="1" si="91"/>
        <v>#N/A</v>
      </c>
      <c r="J237" s="5" t="e">
        <f t="shared" ca="1" si="92"/>
        <v>#N/A</v>
      </c>
      <c r="K237" s="5" t="e">
        <f t="shared" ca="1" si="93"/>
        <v>#N/A</v>
      </c>
      <c r="L237" s="5" t="e">
        <f t="shared" ca="1" si="94"/>
        <v>#N/A</v>
      </c>
      <c r="M237" s="5" t="e">
        <f t="shared" ca="1" si="95"/>
        <v>#N/A</v>
      </c>
      <c r="N237" s="5" t="e">
        <f t="shared" ca="1" si="96"/>
        <v>#N/A</v>
      </c>
      <c r="O237" s="5" t="e">
        <f t="shared" ca="1" si="97"/>
        <v>#N/A</v>
      </c>
      <c r="P237" s="5" t="e">
        <f t="shared" ca="1" si="98"/>
        <v>#N/A</v>
      </c>
      <c r="Q237" s="5" t="e">
        <f t="shared" ca="1" si="99"/>
        <v>#N/A</v>
      </c>
      <c r="R237" s="5" t="e">
        <f t="shared" ca="1" si="104"/>
        <v>#N/A</v>
      </c>
      <c r="S237" s="68" t="e">
        <f t="shared" ca="1" si="105"/>
        <v>#N/A</v>
      </c>
      <c r="T237" s="68" t="e">
        <f t="shared" ca="1" si="106"/>
        <v>#N/A</v>
      </c>
      <c r="U237" s="68" t="e">
        <f t="shared" ca="1" si="107"/>
        <v>#N/A</v>
      </c>
      <c r="V237" s="5" t="e">
        <f t="shared" ca="1" si="86"/>
        <v>#N/A</v>
      </c>
      <c r="W237" s="5" t="e">
        <f t="shared" ca="1" si="100"/>
        <v>#N/A</v>
      </c>
      <c r="X237" s="68">
        <f t="shared" ca="1" si="101"/>
        <v>0</v>
      </c>
      <c r="Y237" s="68" t="e">
        <f t="shared" ca="1" si="108"/>
        <v>#N/A</v>
      </c>
      <c r="Z237" s="68" t="e">
        <f t="shared" ca="1" si="109"/>
        <v>#N/A</v>
      </c>
      <c r="AA237" s="5" t="str">
        <f>IF(Setup!$I$15="Yes",'Demand background (hide)'!AJ225+'SPC background (hide)'!C237,"")</f>
        <v/>
      </c>
      <c r="AC237" s="5" t="e">
        <f t="shared" ca="1" si="102"/>
        <v>#N/A</v>
      </c>
      <c r="AD237" s="5" t="e">
        <f t="shared" ca="1" si="103"/>
        <v>#N/A</v>
      </c>
    </row>
    <row r="238" spans="1:30" x14ac:dyDescent="0.2">
      <c r="A238" s="68" t="str">
        <f ca="1">Demand!C235</f>
        <v/>
      </c>
      <c r="B238" s="68">
        <v>223</v>
      </c>
      <c r="C238" s="5">
        <f ca="1">'Demand background (hide)'!Y226</f>
        <v>0</v>
      </c>
      <c r="D238" s="68">
        <f t="shared" si="87"/>
        <v>0</v>
      </c>
      <c r="E238" s="68" t="e">
        <f t="shared" ca="1" si="88"/>
        <v>#N/A</v>
      </c>
      <c r="F238" s="68" t="e">
        <f t="shared" ca="1" si="89"/>
        <v>#N/A</v>
      </c>
      <c r="G238" s="68" t="e">
        <f t="shared" ca="1" si="90"/>
        <v>#N/A</v>
      </c>
      <c r="H238" s="68" t="e">
        <f>IF('Demand background (hide)'!AN226&lt;&gt;"",'SPC background (hide)'!C238,NA())</f>
        <v>#N/A</v>
      </c>
      <c r="I238" s="68" t="e">
        <f t="shared" ca="1" si="91"/>
        <v>#N/A</v>
      </c>
      <c r="J238" s="5" t="e">
        <f t="shared" ca="1" si="92"/>
        <v>#N/A</v>
      </c>
      <c r="K238" s="5" t="e">
        <f t="shared" ca="1" si="93"/>
        <v>#N/A</v>
      </c>
      <c r="L238" s="5" t="e">
        <f t="shared" ca="1" si="94"/>
        <v>#N/A</v>
      </c>
      <c r="M238" s="5" t="e">
        <f t="shared" ca="1" si="95"/>
        <v>#N/A</v>
      </c>
      <c r="N238" s="5" t="e">
        <f t="shared" ca="1" si="96"/>
        <v>#N/A</v>
      </c>
      <c r="O238" s="5" t="e">
        <f t="shared" ca="1" si="97"/>
        <v>#N/A</v>
      </c>
      <c r="P238" s="5" t="e">
        <f t="shared" ca="1" si="98"/>
        <v>#N/A</v>
      </c>
      <c r="Q238" s="5" t="e">
        <f t="shared" ca="1" si="99"/>
        <v>#N/A</v>
      </c>
      <c r="R238" s="5" t="e">
        <f t="shared" ca="1" si="104"/>
        <v>#N/A</v>
      </c>
      <c r="S238" s="68" t="e">
        <f t="shared" ca="1" si="105"/>
        <v>#N/A</v>
      </c>
      <c r="T238" s="68" t="e">
        <f t="shared" ca="1" si="106"/>
        <v>#N/A</v>
      </c>
      <c r="U238" s="68" t="e">
        <f t="shared" ca="1" si="107"/>
        <v>#N/A</v>
      </c>
      <c r="V238" s="5" t="e">
        <f t="shared" ca="1" si="86"/>
        <v>#N/A</v>
      </c>
      <c r="W238" s="5" t="e">
        <f t="shared" ca="1" si="100"/>
        <v>#N/A</v>
      </c>
      <c r="X238" s="68">
        <f t="shared" ca="1" si="101"/>
        <v>0</v>
      </c>
      <c r="Y238" s="68" t="e">
        <f t="shared" ca="1" si="108"/>
        <v>#N/A</v>
      </c>
      <c r="Z238" s="68" t="e">
        <f t="shared" ca="1" si="109"/>
        <v>#N/A</v>
      </c>
      <c r="AA238" s="5" t="str">
        <f>IF(Setup!$I$15="Yes",'Demand background (hide)'!AJ226+'SPC background (hide)'!C238,"")</f>
        <v/>
      </c>
      <c r="AC238" s="5" t="e">
        <f t="shared" ca="1" si="102"/>
        <v>#N/A</v>
      </c>
      <c r="AD238" s="5" t="e">
        <f t="shared" ca="1" si="103"/>
        <v>#N/A</v>
      </c>
    </row>
    <row r="239" spans="1:30" x14ac:dyDescent="0.2">
      <c r="A239" s="68" t="str">
        <f ca="1">Demand!C236</f>
        <v/>
      </c>
      <c r="B239" s="68">
        <v>224</v>
      </c>
      <c r="C239" s="5">
        <f ca="1">'Demand background (hide)'!Y227</f>
        <v>0</v>
      </c>
      <c r="D239" s="68">
        <f t="shared" si="87"/>
        <v>0</v>
      </c>
      <c r="E239" s="68" t="e">
        <f t="shared" ca="1" si="88"/>
        <v>#N/A</v>
      </c>
      <c r="F239" s="68" t="e">
        <f t="shared" ca="1" si="89"/>
        <v>#N/A</v>
      </c>
      <c r="G239" s="68" t="e">
        <f t="shared" ca="1" si="90"/>
        <v>#N/A</v>
      </c>
      <c r="H239" s="68" t="e">
        <f>IF('Demand background (hide)'!AN227&lt;&gt;"",'SPC background (hide)'!C239,NA())</f>
        <v>#N/A</v>
      </c>
      <c r="I239" s="68" t="e">
        <f t="shared" ca="1" si="91"/>
        <v>#N/A</v>
      </c>
      <c r="J239" s="5" t="e">
        <f t="shared" ca="1" si="92"/>
        <v>#N/A</v>
      </c>
      <c r="K239" s="5" t="e">
        <f t="shared" ca="1" si="93"/>
        <v>#N/A</v>
      </c>
      <c r="L239" s="5" t="e">
        <f t="shared" ca="1" si="94"/>
        <v>#N/A</v>
      </c>
      <c r="M239" s="5" t="e">
        <f t="shared" ca="1" si="95"/>
        <v>#N/A</v>
      </c>
      <c r="N239" s="5" t="e">
        <f t="shared" ca="1" si="96"/>
        <v>#N/A</v>
      </c>
      <c r="O239" s="5" t="e">
        <f t="shared" ca="1" si="97"/>
        <v>#N/A</v>
      </c>
      <c r="P239" s="5" t="e">
        <f t="shared" ca="1" si="98"/>
        <v>#N/A</v>
      </c>
      <c r="Q239" s="5" t="e">
        <f t="shared" ca="1" si="99"/>
        <v>#N/A</v>
      </c>
      <c r="R239" s="5" t="e">
        <f t="shared" ca="1" si="104"/>
        <v>#N/A</v>
      </c>
      <c r="S239" s="68" t="e">
        <f t="shared" ca="1" si="105"/>
        <v>#N/A</v>
      </c>
      <c r="T239" s="68" t="e">
        <f t="shared" ca="1" si="106"/>
        <v>#N/A</v>
      </c>
      <c r="U239" s="68" t="e">
        <f t="shared" ca="1" si="107"/>
        <v>#N/A</v>
      </c>
      <c r="V239" s="5" t="e">
        <f t="shared" ca="1" si="86"/>
        <v>#N/A</v>
      </c>
      <c r="W239" s="5" t="e">
        <f t="shared" ca="1" si="100"/>
        <v>#N/A</v>
      </c>
      <c r="X239" s="68">
        <f t="shared" ca="1" si="101"/>
        <v>0</v>
      </c>
      <c r="Y239" s="68" t="e">
        <f t="shared" ca="1" si="108"/>
        <v>#N/A</v>
      </c>
      <c r="Z239" s="68" t="e">
        <f t="shared" ca="1" si="109"/>
        <v>#N/A</v>
      </c>
      <c r="AA239" s="5" t="str">
        <f>IF(Setup!$I$15="Yes",'Demand background (hide)'!AJ227+'SPC background (hide)'!C239,"")</f>
        <v/>
      </c>
      <c r="AC239" s="5" t="e">
        <f t="shared" ca="1" si="102"/>
        <v>#N/A</v>
      </c>
      <c r="AD239" s="5" t="e">
        <f t="shared" ca="1" si="103"/>
        <v>#N/A</v>
      </c>
    </row>
    <row r="240" spans="1:30" x14ac:dyDescent="0.2">
      <c r="A240" s="68" t="str">
        <f ca="1">Demand!C237</f>
        <v/>
      </c>
      <c r="B240" s="68">
        <v>225</v>
      </c>
      <c r="C240" s="5">
        <f ca="1">'Demand background (hide)'!Y228</f>
        <v>0</v>
      </c>
      <c r="D240" s="68">
        <f t="shared" si="87"/>
        <v>0</v>
      </c>
      <c r="E240" s="68" t="e">
        <f t="shared" ca="1" si="88"/>
        <v>#N/A</v>
      </c>
      <c r="F240" s="68" t="e">
        <f t="shared" ca="1" si="89"/>
        <v>#N/A</v>
      </c>
      <c r="G240" s="68" t="e">
        <f t="shared" ca="1" si="90"/>
        <v>#N/A</v>
      </c>
      <c r="H240" s="68" t="e">
        <f>IF('Demand background (hide)'!AN228&lt;&gt;"",'SPC background (hide)'!C240,NA())</f>
        <v>#N/A</v>
      </c>
      <c r="I240" s="68" t="e">
        <f t="shared" ca="1" si="91"/>
        <v>#N/A</v>
      </c>
      <c r="J240" s="5" t="e">
        <f t="shared" ca="1" si="92"/>
        <v>#N/A</v>
      </c>
      <c r="K240" s="5" t="e">
        <f t="shared" ca="1" si="93"/>
        <v>#N/A</v>
      </c>
      <c r="L240" s="5" t="e">
        <f t="shared" ca="1" si="94"/>
        <v>#N/A</v>
      </c>
      <c r="M240" s="5" t="e">
        <f t="shared" ca="1" si="95"/>
        <v>#N/A</v>
      </c>
      <c r="N240" s="5" t="e">
        <f t="shared" ca="1" si="96"/>
        <v>#N/A</v>
      </c>
      <c r="O240" s="5" t="e">
        <f t="shared" ca="1" si="97"/>
        <v>#N/A</v>
      </c>
      <c r="P240" s="5" t="e">
        <f t="shared" ca="1" si="98"/>
        <v>#N/A</v>
      </c>
      <c r="Q240" s="5" t="e">
        <f t="shared" ca="1" si="99"/>
        <v>#N/A</v>
      </c>
      <c r="R240" s="5" t="e">
        <f t="shared" ca="1" si="104"/>
        <v>#N/A</v>
      </c>
      <c r="S240" s="68" t="e">
        <f t="shared" ca="1" si="105"/>
        <v>#N/A</v>
      </c>
      <c r="T240" s="68" t="e">
        <f t="shared" ca="1" si="106"/>
        <v>#N/A</v>
      </c>
      <c r="U240" s="68" t="e">
        <f t="shared" ca="1" si="107"/>
        <v>#N/A</v>
      </c>
      <c r="V240" s="5" t="e">
        <f t="shared" ca="1" si="86"/>
        <v>#N/A</v>
      </c>
      <c r="W240" s="5" t="e">
        <f t="shared" ca="1" si="100"/>
        <v>#N/A</v>
      </c>
      <c r="X240" s="68">
        <f t="shared" ca="1" si="101"/>
        <v>0</v>
      </c>
      <c r="Y240" s="68" t="e">
        <f t="shared" ca="1" si="108"/>
        <v>#N/A</v>
      </c>
      <c r="Z240" s="68" t="e">
        <f t="shared" ca="1" si="109"/>
        <v>#N/A</v>
      </c>
      <c r="AA240" s="5" t="str">
        <f>IF(Setup!$I$15="Yes",'Demand background (hide)'!AJ228+'SPC background (hide)'!C240,"")</f>
        <v/>
      </c>
      <c r="AC240" s="5" t="e">
        <f t="shared" ca="1" si="102"/>
        <v>#N/A</v>
      </c>
      <c r="AD240" s="5" t="e">
        <f t="shared" ca="1" si="103"/>
        <v>#N/A</v>
      </c>
    </row>
    <row r="241" spans="1:30" x14ac:dyDescent="0.2">
      <c r="A241" s="68" t="str">
        <f ca="1">Demand!C238</f>
        <v/>
      </c>
      <c r="B241" s="68">
        <v>226</v>
      </c>
      <c r="C241" s="5">
        <f ca="1">'Demand background (hide)'!Y229</f>
        <v>0</v>
      </c>
      <c r="D241" s="68">
        <f t="shared" si="87"/>
        <v>0</v>
      </c>
      <c r="E241" s="68" t="e">
        <f t="shared" ca="1" si="88"/>
        <v>#N/A</v>
      </c>
      <c r="F241" s="68" t="e">
        <f t="shared" ca="1" si="89"/>
        <v>#N/A</v>
      </c>
      <c r="G241" s="68" t="e">
        <f t="shared" ca="1" si="90"/>
        <v>#N/A</v>
      </c>
      <c r="H241" s="68" t="e">
        <f>IF('Demand background (hide)'!AN229&lt;&gt;"",'SPC background (hide)'!C241,NA())</f>
        <v>#N/A</v>
      </c>
      <c r="I241" s="68" t="e">
        <f t="shared" ca="1" si="91"/>
        <v>#N/A</v>
      </c>
      <c r="J241" s="5" t="e">
        <f t="shared" ca="1" si="92"/>
        <v>#N/A</v>
      </c>
      <c r="K241" s="5" t="e">
        <f t="shared" ca="1" si="93"/>
        <v>#N/A</v>
      </c>
      <c r="L241" s="5" t="e">
        <f t="shared" ca="1" si="94"/>
        <v>#N/A</v>
      </c>
      <c r="M241" s="5" t="e">
        <f t="shared" ca="1" si="95"/>
        <v>#N/A</v>
      </c>
      <c r="N241" s="5" t="e">
        <f t="shared" ca="1" si="96"/>
        <v>#N/A</v>
      </c>
      <c r="O241" s="5" t="e">
        <f t="shared" ca="1" si="97"/>
        <v>#N/A</v>
      </c>
      <c r="P241" s="5" t="e">
        <f t="shared" ca="1" si="98"/>
        <v>#N/A</v>
      </c>
      <c r="Q241" s="5" t="e">
        <f t="shared" ca="1" si="99"/>
        <v>#N/A</v>
      </c>
      <c r="R241" s="5" t="e">
        <f t="shared" ca="1" si="104"/>
        <v>#N/A</v>
      </c>
      <c r="S241" s="68" t="e">
        <f t="shared" ca="1" si="105"/>
        <v>#N/A</v>
      </c>
      <c r="T241" s="68" t="e">
        <f t="shared" ca="1" si="106"/>
        <v>#N/A</v>
      </c>
      <c r="U241" s="68" t="e">
        <f t="shared" ca="1" si="107"/>
        <v>#N/A</v>
      </c>
      <c r="V241" s="5" t="e">
        <f t="shared" ca="1" si="86"/>
        <v>#N/A</v>
      </c>
      <c r="W241" s="5" t="e">
        <f t="shared" ca="1" si="100"/>
        <v>#N/A</v>
      </c>
      <c r="X241" s="68">
        <f t="shared" ca="1" si="101"/>
        <v>0</v>
      </c>
      <c r="Y241" s="68" t="e">
        <f t="shared" ca="1" si="108"/>
        <v>#N/A</v>
      </c>
      <c r="Z241" s="68" t="e">
        <f t="shared" ca="1" si="109"/>
        <v>#N/A</v>
      </c>
      <c r="AA241" s="5" t="str">
        <f>IF(Setup!$I$15="Yes",'Demand background (hide)'!AJ229+'SPC background (hide)'!C241,"")</f>
        <v/>
      </c>
      <c r="AC241" s="5" t="e">
        <f t="shared" ca="1" si="102"/>
        <v>#N/A</v>
      </c>
      <c r="AD241" s="5" t="e">
        <f t="shared" ca="1" si="103"/>
        <v>#N/A</v>
      </c>
    </row>
    <row r="242" spans="1:30" x14ac:dyDescent="0.2">
      <c r="A242" s="68" t="str">
        <f ca="1">Demand!C239</f>
        <v/>
      </c>
      <c r="B242" s="68">
        <v>227</v>
      </c>
      <c r="C242" s="5">
        <f ca="1">'Demand background (hide)'!Y230</f>
        <v>0</v>
      </c>
      <c r="D242" s="68">
        <f t="shared" si="87"/>
        <v>0</v>
      </c>
      <c r="E242" s="68" t="e">
        <f t="shared" ca="1" si="88"/>
        <v>#N/A</v>
      </c>
      <c r="F242" s="68" t="e">
        <f t="shared" ca="1" si="89"/>
        <v>#N/A</v>
      </c>
      <c r="G242" s="68" t="e">
        <f t="shared" ca="1" si="90"/>
        <v>#N/A</v>
      </c>
      <c r="H242" s="68" t="e">
        <f>IF('Demand background (hide)'!AN230&lt;&gt;"",'SPC background (hide)'!C242,NA())</f>
        <v>#N/A</v>
      </c>
      <c r="I242" s="68" t="e">
        <f t="shared" ca="1" si="91"/>
        <v>#N/A</v>
      </c>
      <c r="J242" s="5" t="e">
        <f t="shared" ca="1" si="92"/>
        <v>#N/A</v>
      </c>
      <c r="K242" s="5" t="e">
        <f t="shared" ca="1" si="93"/>
        <v>#N/A</v>
      </c>
      <c r="L242" s="5" t="e">
        <f t="shared" ca="1" si="94"/>
        <v>#N/A</v>
      </c>
      <c r="M242" s="5" t="e">
        <f t="shared" ca="1" si="95"/>
        <v>#N/A</v>
      </c>
      <c r="N242" s="5" t="e">
        <f t="shared" ca="1" si="96"/>
        <v>#N/A</v>
      </c>
      <c r="O242" s="5" t="e">
        <f t="shared" ca="1" si="97"/>
        <v>#N/A</v>
      </c>
      <c r="P242" s="5" t="e">
        <f t="shared" ca="1" si="98"/>
        <v>#N/A</v>
      </c>
      <c r="Q242" s="5" t="e">
        <f t="shared" ca="1" si="99"/>
        <v>#N/A</v>
      </c>
      <c r="R242" s="5" t="e">
        <f t="shared" ca="1" si="104"/>
        <v>#N/A</v>
      </c>
      <c r="S242" s="68" t="e">
        <f t="shared" ca="1" si="105"/>
        <v>#N/A</v>
      </c>
      <c r="T242" s="68" t="e">
        <f t="shared" ca="1" si="106"/>
        <v>#N/A</v>
      </c>
      <c r="U242" s="68" t="e">
        <f t="shared" ca="1" si="107"/>
        <v>#N/A</v>
      </c>
      <c r="V242" s="5" t="e">
        <f t="shared" ca="1" si="86"/>
        <v>#N/A</v>
      </c>
      <c r="W242" s="5" t="e">
        <f t="shared" ca="1" si="100"/>
        <v>#N/A</v>
      </c>
      <c r="X242" s="68">
        <f t="shared" ca="1" si="101"/>
        <v>0</v>
      </c>
      <c r="Y242" s="68" t="e">
        <f t="shared" ca="1" si="108"/>
        <v>#N/A</v>
      </c>
      <c r="Z242" s="68" t="e">
        <f t="shared" ca="1" si="109"/>
        <v>#N/A</v>
      </c>
      <c r="AA242" s="5" t="str">
        <f>IF(Setup!$I$15="Yes",'Demand background (hide)'!AJ230+'SPC background (hide)'!C242,"")</f>
        <v/>
      </c>
      <c r="AC242" s="5" t="e">
        <f t="shared" ca="1" si="102"/>
        <v>#N/A</v>
      </c>
      <c r="AD242" s="5" t="e">
        <f t="shared" ca="1" si="103"/>
        <v>#N/A</v>
      </c>
    </row>
    <row r="243" spans="1:30" x14ac:dyDescent="0.2">
      <c r="A243" s="68" t="str">
        <f ca="1">Demand!C240</f>
        <v/>
      </c>
      <c r="B243" s="68">
        <v>228</v>
      </c>
      <c r="C243" s="5">
        <f ca="1">'Demand background (hide)'!Y231</f>
        <v>0</v>
      </c>
      <c r="D243" s="68">
        <f t="shared" si="87"/>
        <v>0</v>
      </c>
      <c r="E243" s="68" t="e">
        <f t="shared" ca="1" si="88"/>
        <v>#N/A</v>
      </c>
      <c r="F243" s="68" t="e">
        <f t="shared" ca="1" si="89"/>
        <v>#N/A</v>
      </c>
      <c r="G243" s="68" t="e">
        <f t="shared" ca="1" si="90"/>
        <v>#N/A</v>
      </c>
      <c r="H243" s="68" t="e">
        <f>IF('Demand background (hide)'!AN231&lt;&gt;"",'SPC background (hide)'!C243,NA())</f>
        <v>#N/A</v>
      </c>
      <c r="I243" s="68" t="e">
        <f t="shared" ca="1" si="91"/>
        <v>#N/A</v>
      </c>
      <c r="J243" s="5" t="e">
        <f t="shared" ca="1" si="92"/>
        <v>#N/A</v>
      </c>
      <c r="K243" s="5" t="e">
        <f t="shared" ca="1" si="93"/>
        <v>#N/A</v>
      </c>
      <c r="L243" s="5" t="e">
        <f t="shared" ca="1" si="94"/>
        <v>#N/A</v>
      </c>
      <c r="M243" s="5" t="e">
        <f t="shared" ca="1" si="95"/>
        <v>#N/A</v>
      </c>
      <c r="N243" s="5" t="e">
        <f t="shared" ca="1" si="96"/>
        <v>#N/A</v>
      </c>
      <c r="O243" s="5" t="e">
        <f t="shared" ca="1" si="97"/>
        <v>#N/A</v>
      </c>
      <c r="P243" s="5" t="e">
        <f t="shared" ca="1" si="98"/>
        <v>#N/A</v>
      </c>
      <c r="Q243" s="5" t="e">
        <f t="shared" ca="1" si="99"/>
        <v>#N/A</v>
      </c>
      <c r="R243" s="5" t="e">
        <f t="shared" ca="1" si="104"/>
        <v>#N/A</v>
      </c>
      <c r="S243" s="68" t="e">
        <f t="shared" ca="1" si="105"/>
        <v>#N/A</v>
      </c>
      <c r="T243" s="68" t="e">
        <f t="shared" ca="1" si="106"/>
        <v>#N/A</v>
      </c>
      <c r="U243" s="68" t="e">
        <f t="shared" ca="1" si="107"/>
        <v>#N/A</v>
      </c>
      <c r="V243" s="5" t="e">
        <f t="shared" ca="1" si="86"/>
        <v>#N/A</v>
      </c>
      <c r="W243" s="5" t="e">
        <f t="shared" ca="1" si="100"/>
        <v>#N/A</v>
      </c>
      <c r="X243" s="68">
        <f t="shared" ca="1" si="101"/>
        <v>0</v>
      </c>
      <c r="Y243" s="68" t="e">
        <f t="shared" ca="1" si="108"/>
        <v>#N/A</v>
      </c>
      <c r="Z243" s="68" t="e">
        <f t="shared" ca="1" si="109"/>
        <v>#N/A</v>
      </c>
      <c r="AA243" s="5" t="str">
        <f>IF(Setup!$I$15="Yes",'Demand background (hide)'!AJ231+'SPC background (hide)'!C243,"")</f>
        <v/>
      </c>
      <c r="AC243" s="5" t="e">
        <f t="shared" ca="1" si="102"/>
        <v>#N/A</v>
      </c>
      <c r="AD243" s="5" t="e">
        <f t="shared" ca="1" si="103"/>
        <v>#N/A</v>
      </c>
    </row>
    <row r="244" spans="1:30" x14ac:dyDescent="0.2">
      <c r="A244" s="68" t="str">
        <f ca="1">Demand!C241</f>
        <v/>
      </c>
      <c r="B244" s="68">
        <v>229</v>
      </c>
      <c r="C244" s="5">
        <f ca="1">'Demand background (hide)'!Y232</f>
        <v>0</v>
      </c>
      <c r="D244" s="68">
        <f t="shared" si="87"/>
        <v>0</v>
      </c>
      <c r="E244" s="68" t="e">
        <f t="shared" ca="1" si="88"/>
        <v>#N/A</v>
      </c>
      <c r="F244" s="68" t="e">
        <f t="shared" ca="1" si="89"/>
        <v>#N/A</v>
      </c>
      <c r="G244" s="68" t="e">
        <f t="shared" ca="1" si="90"/>
        <v>#N/A</v>
      </c>
      <c r="H244" s="68" t="e">
        <f>IF('Demand background (hide)'!AN232&lt;&gt;"",'SPC background (hide)'!C244,NA())</f>
        <v>#N/A</v>
      </c>
      <c r="I244" s="68" t="e">
        <f t="shared" ca="1" si="91"/>
        <v>#N/A</v>
      </c>
      <c r="J244" s="5" t="e">
        <f t="shared" ca="1" si="92"/>
        <v>#N/A</v>
      </c>
      <c r="K244" s="5" t="e">
        <f t="shared" ca="1" si="93"/>
        <v>#N/A</v>
      </c>
      <c r="L244" s="5" t="e">
        <f t="shared" ca="1" si="94"/>
        <v>#N/A</v>
      </c>
      <c r="M244" s="5" t="e">
        <f t="shared" ca="1" si="95"/>
        <v>#N/A</v>
      </c>
      <c r="N244" s="5" t="e">
        <f t="shared" ca="1" si="96"/>
        <v>#N/A</v>
      </c>
      <c r="O244" s="5" t="e">
        <f t="shared" ca="1" si="97"/>
        <v>#N/A</v>
      </c>
      <c r="P244" s="5" t="e">
        <f t="shared" ca="1" si="98"/>
        <v>#N/A</v>
      </c>
      <c r="Q244" s="5" t="e">
        <f t="shared" ca="1" si="99"/>
        <v>#N/A</v>
      </c>
      <c r="R244" s="5" t="e">
        <f t="shared" ca="1" si="104"/>
        <v>#N/A</v>
      </c>
      <c r="S244" s="68" t="e">
        <f t="shared" ca="1" si="105"/>
        <v>#N/A</v>
      </c>
      <c r="T244" s="68" t="e">
        <f t="shared" ca="1" si="106"/>
        <v>#N/A</v>
      </c>
      <c r="U244" s="68" t="e">
        <f t="shared" ca="1" si="107"/>
        <v>#N/A</v>
      </c>
      <c r="V244" s="5" t="e">
        <f t="shared" ca="1" si="86"/>
        <v>#N/A</v>
      </c>
      <c r="W244" s="5" t="e">
        <f t="shared" ca="1" si="100"/>
        <v>#N/A</v>
      </c>
      <c r="X244" s="68">
        <f t="shared" ca="1" si="101"/>
        <v>0</v>
      </c>
      <c r="Y244" s="68" t="e">
        <f t="shared" ca="1" si="108"/>
        <v>#N/A</v>
      </c>
      <c r="Z244" s="68" t="e">
        <f t="shared" ca="1" si="109"/>
        <v>#N/A</v>
      </c>
      <c r="AA244" s="5" t="str">
        <f>IF(Setup!$I$15="Yes",'Demand background (hide)'!AJ232+'SPC background (hide)'!C244,"")</f>
        <v/>
      </c>
      <c r="AC244" s="5" t="e">
        <f t="shared" ca="1" si="102"/>
        <v>#N/A</v>
      </c>
      <c r="AD244" s="5" t="e">
        <f t="shared" ca="1" si="103"/>
        <v>#N/A</v>
      </c>
    </row>
    <row r="245" spans="1:30" x14ac:dyDescent="0.2">
      <c r="A245" s="68" t="str">
        <f ca="1">Demand!C242</f>
        <v/>
      </c>
      <c r="B245" s="68">
        <v>230</v>
      </c>
      <c r="C245" s="5">
        <f ca="1">'Demand background (hide)'!Y233</f>
        <v>0</v>
      </c>
      <c r="D245" s="68">
        <f t="shared" si="87"/>
        <v>0</v>
      </c>
      <c r="E245" s="68" t="e">
        <f t="shared" ca="1" si="88"/>
        <v>#N/A</v>
      </c>
      <c r="F245" s="68" t="e">
        <f t="shared" ca="1" si="89"/>
        <v>#N/A</v>
      </c>
      <c r="G245" s="68" t="e">
        <f t="shared" ca="1" si="90"/>
        <v>#N/A</v>
      </c>
      <c r="H245" s="68" t="e">
        <f>IF('Demand background (hide)'!AN233&lt;&gt;"",'SPC background (hide)'!C245,NA())</f>
        <v>#N/A</v>
      </c>
      <c r="I245" s="68" t="e">
        <f t="shared" ca="1" si="91"/>
        <v>#N/A</v>
      </c>
      <c r="J245" s="5" t="e">
        <f t="shared" ca="1" si="92"/>
        <v>#N/A</v>
      </c>
      <c r="K245" s="5" t="e">
        <f t="shared" ca="1" si="93"/>
        <v>#N/A</v>
      </c>
      <c r="L245" s="5" t="e">
        <f t="shared" ca="1" si="94"/>
        <v>#N/A</v>
      </c>
      <c r="M245" s="5" t="e">
        <f t="shared" ca="1" si="95"/>
        <v>#N/A</v>
      </c>
      <c r="N245" s="5" t="e">
        <f t="shared" ca="1" si="96"/>
        <v>#N/A</v>
      </c>
      <c r="O245" s="5" t="e">
        <f t="shared" ca="1" si="97"/>
        <v>#N/A</v>
      </c>
      <c r="P245" s="5" t="e">
        <f t="shared" ca="1" si="98"/>
        <v>#N/A</v>
      </c>
      <c r="Q245" s="5" t="e">
        <f t="shared" ca="1" si="99"/>
        <v>#N/A</v>
      </c>
      <c r="R245" s="5" t="e">
        <f t="shared" ca="1" si="104"/>
        <v>#N/A</v>
      </c>
      <c r="S245" s="68" t="e">
        <f t="shared" ca="1" si="105"/>
        <v>#N/A</v>
      </c>
      <c r="T245" s="68" t="e">
        <f t="shared" ca="1" si="106"/>
        <v>#N/A</v>
      </c>
      <c r="U245" s="68" t="e">
        <f t="shared" ca="1" si="107"/>
        <v>#N/A</v>
      </c>
      <c r="V245" s="5" t="e">
        <f t="shared" ca="1" si="86"/>
        <v>#N/A</v>
      </c>
      <c r="W245" s="5" t="e">
        <f t="shared" ca="1" si="100"/>
        <v>#N/A</v>
      </c>
      <c r="X245" s="68">
        <f t="shared" ca="1" si="101"/>
        <v>0</v>
      </c>
      <c r="Y245" s="68" t="e">
        <f t="shared" ca="1" si="108"/>
        <v>#N/A</v>
      </c>
      <c r="Z245" s="68" t="e">
        <f t="shared" ca="1" si="109"/>
        <v>#N/A</v>
      </c>
      <c r="AA245" s="5" t="str">
        <f>IF(Setup!$I$15="Yes",'Demand background (hide)'!AJ233+'SPC background (hide)'!C245,"")</f>
        <v/>
      </c>
      <c r="AC245" s="5" t="e">
        <f t="shared" ca="1" si="102"/>
        <v>#N/A</v>
      </c>
      <c r="AD245" s="5" t="e">
        <f t="shared" ca="1" si="103"/>
        <v>#N/A</v>
      </c>
    </row>
    <row r="246" spans="1:30" x14ac:dyDescent="0.2">
      <c r="A246" s="68" t="str">
        <f ca="1">Demand!C243</f>
        <v/>
      </c>
      <c r="B246" s="68">
        <v>231</v>
      </c>
      <c r="C246" s="5">
        <f ca="1">'Demand background (hide)'!Y234</f>
        <v>0</v>
      </c>
      <c r="D246" s="68">
        <f t="shared" si="87"/>
        <v>0</v>
      </c>
      <c r="E246" s="68" t="e">
        <f t="shared" ca="1" si="88"/>
        <v>#N/A</v>
      </c>
      <c r="F246" s="68" t="e">
        <f t="shared" ca="1" si="89"/>
        <v>#N/A</v>
      </c>
      <c r="G246" s="68" t="e">
        <f t="shared" ca="1" si="90"/>
        <v>#N/A</v>
      </c>
      <c r="H246" s="68" t="e">
        <f>IF('Demand background (hide)'!AN234&lt;&gt;"",'SPC background (hide)'!C246,NA())</f>
        <v>#N/A</v>
      </c>
      <c r="I246" s="68" t="e">
        <f t="shared" ca="1" si="91"/>
        <v>#N/A</v>
      </c>
      <c r="J246" s="5" t="e">
        <f t="shared" ca="1" si="92"/>
        <v>#N/A</v>
      </c>
      <c r="K246" s="5" t="e">
        <f t="shared" ca="1" si="93"/>
        <v>#N/A</v>
      </c>
      <c r="L246" s="5" t="e">
        <f t="shared" ca="1" si="94"/>
        <v>#N/A</v>
      </c>
      <c r="M246" s="5" t="e">
        <f t="shared" ca="1" si="95"/>
        <v>#N/A</v>
      </c>
      <c r="N246" s="5" t="e">
        <f t="shared" ca="1" si="96"/>
        <v>#N/A</v>
      </c>
      <c r="O246" s="5" t="e">
        <f t="shared" ca="1" si="97"/>
        <v>#N/A</v>
      </c>
      <c r="P246" s="5" t="e">
        <f t="shared" ca="1" si="98"/>
        <v>#N/A</v>
      </c>
      <c r="Q246" s="5" t="e">
        <f t="shared" ca="1" si="99"/>
        <v>#N/A</v>
      </c>
      <c r="R246" s="5" t="e">
        <f t="shared" ca="1" si="104"/>
        <v>#N/A</v>
      </c>
      <c r="S246" s="68" t="e">
        <f t="shared" ca="1" si="105"/>
        <v>#N/A</v>
      </c>
      <c r="T246" s="68" t="e">
        <f t="shared" ca="1" si="106"/>
        <v>#N/A</v>
      </c>
      <c r="U246" s="68" t="e">
        <f t="shared" ca="1" si="107"/>
        <v>#N/A</v>
      </c>
      <c r="V246" s="5" t="e">
        <f t="shared" ca="1" si="86"/>
        <v>#N/A</v>
      </c>
      <c r="W246" s="5" t="e">
        <f t="shared" ca="1" si="100"/>
        <v>#N/A</v>
      </c>
      <c r="X246" s="68">
        <f t="shared" ca="1" si="101"/>
        <v>0</v>
      </c>
      <c r="Y246" s="68" t="e">
        <f t="shared" ca="1" si="108"/>
        <v>#N/A</v>
      </c>
      <c r="Z246" s="68" t="e">
        <f t="shared" ca="1" si="109"/>
        <v>#N/A</v>
      </c>
      <c r="AA246" s="5" t="str">
        <f>IF(Setup!$I$15="Yes",'Demand background (hide)'!AJ234+'SPC background (hide)'!C246,"")</f>
        <v/>
      </c>
      <c r="AC246" s="5" t="e">
        <f t="shared" ca="1" si="102"/>
        <v>#N/A</v>
      </c>
      <c r="AD246" s="5" t="e">
        <f t="shared" ca="1" si="103"/>
        <v>#N/A</v>
      </c>
    </row>
    <row r="247" spans="1:30" x14ac:dyDescent="0.2">
      <c r="A247" s="68" t="str">
        <f ca="1">Demand!C244</f>
        <v/>
      </c>
      <c r="B247" s="68">
        <v>232</v>
      </c>
      <c r="C247" s="5">
        <f ca="1">'Demand background (hide)'!Y235</f>
        <v>0</v>
      </c>
      <c r="D247" s="68">
        <f t="shared" si="87"/>
        <v>0</v>
      </c>
      <c r="E247" s="68" t="e">
        <f t="shared" ca="1" si="88"/>
        <v>#N/A</v>
      </c>
      <c r="F247" s="68" t="e">
        <f t="shared" ca="1" si="89"/>
        <v>#N/A</v>
      </c>
      <c r="G247" s="68" t="e">
        <f t="shared" ca="1" si="90"/>
        <v>#N/A</v>
      </c>
      <c r="H247" s="68" t="e">
        <f>IF('Demand background (hide)'!AN235&lt;&gt;"",'SPC background (hide)'!C247,NA())</f>
        <v>#N/A</v>
      </c>
      <c r="I247" s="68" t="e">
        <f t="shared" ca="1" si="91"/>
        <v>#N/A</v>
      </c>
      <c r="J247" s="5" t="e">
        <f t="shared" ca="1" si="92"/>
        <v>#N/A</v>
      </c>
      <c r="K247" s="5" t="e">
        <f t="shared" ca="1" si="93"/>
        <v>#N/A</v>
      </c>
      <c r="L247" s="5" t="e">
        <f t="shared" ca="1" si="94"/>
        <v>#N/A</v>
      </c>
      <c r="M247" s="5" t="e">
        <f t="shared" ca="1" si="95"/>
        <v>#N/A</v>
      </c>
      <c r="N247" s="5" t="e">
        <f t="shared" ca="1" si="96"/>
        <v>#N/A</v>
      </c>
      <c r="O247" s="5" t="e">
        <f t="shared" ca="1" si="97"/>
        <v>#N/A</v>
      </c>
      <c r="P247" s="5" t="e">
        <f t="shared" ca="1" si="98"/>
        <v>#N/A</v>
      </c>
      <c r="Q247" s="5" t="e">
        <f t="shared" ca="1" si="99"/>
        <v>#N/A</v>
      </c>
      <c r="R247" s="5" t="e">
        <f t="shared" ca="1" si="104"/>
        <v>#N/A</v>
      </c>
      <c r="S247" s="68" t="e">
        <f t="shared" ca="1" si="105"/>
        <v>#N/A</v>
      </c>
      <c r="T247" s="68" t="e">
        <f t="shared" ca="1" si="106"/>
        <v>#N/A</v>
      </c>
      <c r="U247" s="68" t="e">
        <f t="shared" ca="1" si="107"/>
        <v>#N/A</v>
      </c>
      <c r="V247" s="5" t="e">
        <f t="shared" ca="1" si="86"/>
        <v>#N/A</v>
      </c>
      <c r="W247" s="5" t="e">
        <f t="shared" ca="1" si="100"/>
        <v>#N/A</v>
      </c>
      <c r="X247" s="68">
        <f t="shared" ca="1" si="101"/>
        <v>0</v>
      </c>
      <c r="Y247" s="68" t="e">
        <f t="shared" ca="1" si="108"/>
        <v>#N/A</v>
      </c>
      <c r="Z247" s="68" t="e">
        <f t="shared" ca="1" si="109"/>
        <v>#N/A</v>
      </c>
      <c r="AA247" s="5" t="str">
        <f>IF(Setup!$I$15="Yes",'Demand background (hide)'!AJ235+'SPC background (hide)'!C247,"")</f>
        <v/>
      </c>
      <c r="AC247" s="5" t="e">
        <f t="shared" ca="1" si="102"/>
        <v>#N/A</v>
      </c>
      <c r="AD247" s="5" t="e">
        <f t="shared" ca="1" si="103"/>
        <v>#N/A</v>
      </c>
    </row>
    <row r="248" spans="1:30" x14ac:dyDescent="0.2">
      <c r="A248" s="68" t="str">
        <f ca="1">Demand!C245</f>
        <v/>
      </c>
      <c r="B248" s="68">
        <v>233</v>
      </c>
      <c r="C248" s="5">
        <f ca="1">'Demand background (hide)'!Y236</f>
        <v>0</v>
      </c>
      <c r="D248" s="68">
        <f t="shared" si="87"/>
        <v>0</v>
      </c>
      <c r="E248" s="68" t="e">
        <f t="shared" ca="1" si="88"/>
        <v>#N/A</v>
      </c>
      <c r="F248" s="68" t="e">
        <f t="shared" ca="1" si="89"/>
        <v>#N/A</v>
      </c>
      <c r="G248" s="68" t="e">
        <f t="shared" ca="1" si="90"/>
        <v>#N/A</v>
      </c>
      <c r="H248" s="68" t="e">
        <f>IF('Demand background (hide)'!AN236&lt;&gt;"",'SPC background (hide)'!C248,NA())</f>
        <v>#N/A</v>
      </c>
      <c r="I248" s="68" t="e">
        <f t="shared" ca="1" si="91"/>
        <v>#N/A</v>
      </c>
      <c r="J248" s="5" t="e">
        <f t="shared" ca="1" si="92"/>
        <v>#N/A</v>
      </c>
      <c r="K248" s="5" t="e">
        <f t="shared" ca="1" si="93"/>
        <v>#N/A</v>
      </c>
      <c r="L248" s="5" t="e">
        <f t="shared" ca="1" si="94"/>
        <v>#N/A</v>
      </c>
      <c r="M248" s="5" t="e">
        <f t="shared" ca="1" si="95"/>
        <v>#N/A</v>
      </c>
      <c r="N248" s="5" t="e">
        <f t="shared" ca="1" si="96"/>
        <v>#N/A</v>
      </c>
      <c r="O248" s="5" t="e">
        <f t="shared" ca="1" si="97"/>
        <v>#N/A</v>
      </c>
      <c r="P248" s="5" t="e">
        <f t="shared" ca="1" si="98"/>
        <v>#N/A</v>
      </c>
      <c r="Q248" s="5" t="e">
        <f t="shared" ca="1" si="99"/>
        <v>#N/A</v>
      </c>
      <c r="R248" s="5" t="e">
        <f t="shared" ca="1" si="104"/>
        <v>#N/A</v>
      </c>
      <c r="S248" s="68" t="e">
        <f t="shared" ca="1" si="105"/>
        <v>#N/A</v>
      </c>
      <c r="T248" s="68" t="e">
        <f t="shared" ca="1" si="106"/>
        <v>#N/A</v>
      </c>
      <c r="U248" s="68" t="e">
        <f t="shared" ca="1" si="107"/>
        <v>#N/A</v>
      </c>
      <c r="V248" s="5" t="e">
        <f t="shared" ca="1" si="86"/>
        <v>#N/A</v>
      </c>
      <c r="W248" s="5" t="e">
        <f t="shared" ca="1" si="100"/>
        <v>#N/A</v>
      </c>
      <c r="X248" s="68">
        <f t="shared" ca="1" si="101"/>
        <v>0</v>
      </c>
      <c r="Y248" s="68" t="e">
        <f t="shared" ca="1" si="108"/>
        <v>#N/A</v>
      </c>
      <c r="Z248" s="68" t="e">
        <f t="shared" ca="1" si="109"/>
        <v>#N/A</v>
      </c>
      <c r="AA248" s="5" t="str">
        <f>IF(Setup!$I$15="Yes",'Demand background (hide)'!AJ236+'SPC background (hide)'!C248,"")</f>
        <v/>
      </c>
      <c r="AC248" s="5" t="e">
        <f t="shared" ca="1" si="102"/>
        <v>#N/A</v>
      </c>
      <c r="AD248" s="5" t="e">
        <f t="shared" ca="1" si="103"/>
        <v>#N/A</v>
      </c>
    </row>
    <row r="249" spans="1:30" x14ac:dyDescent="0.2">
      <c r="A249" s="68" t="str">
        <f ca="1">Demand!C246</f>
        <v/>
      </c>
      <c r="B249" s="68">
        <v>234</v>
      </c>
      <c r="C249" s="5">
        <f ca="1">'Demand background (hide)'!Y237</f>
        <v>0</v>
      </c>
      <c r="D249" s="68">
        <f t="shared" si="87"/>
        <v>0</v>
      </c>
      <c r="E249" s="68" t="e">
        <f t="shared" ca="1" si="88"/>
        <v>#N/A</v>
      </c>
      <c r="F249" s="68" t="e">
        <f t="shared" ca="1" si="89"/>
        <v>#N/A</v>
      </c>
      <c r="G249" s="68" t="e">
        <f t="shared" ca="1" si="90"/>
        <v>#N/A</v>
      </c>
      <c r="H249" s="68" t="e">
        <f>IF('Demand background (hide)'!AN237&lt;&gt;"",'SPC background (hide)'!C249,NA())</f>
        <v>#N/A</v>
      </c>
      <c r="I249" s="68" t="e">
        <f t="shared" ca="1" si="91"/>
        <v>#N/A</v>
      </c>
      <c r="J249" s="5" t="e">
        <f t="shared" ca="1" si="92"/>
        <v>#N/A</v>
      </c>
      <c r="K249" s="5" t="e">
        <f t="shared" ca="1" si="93"/>
        <v>#N/A</v>
      </c>
      <c r="L249" s="5" t="e">
        <f t="shared" ca="1" si="94"/>
        <v>#N/A</v>
      </c>
      <c r="M249" s="5" t="e">
        <f t="shared" ca="1" si="95"/>
        <v>#N/A</v>
      </c>
      <c r="N249" s="5" t="e">
        <f t="shared" ca="1" si="96"/>
        <v>#N/A</v>
      </c>
      <c r="O249" s="5" t="e">
        <f t="shared" ca="1" si="97"/>
        <v>#N/A</v>
      </c>
      <c r="P249" s="5" t="e">
        <f t="shared" ca="1" si="98"/>
        <v>#N/A</v>
      </c>
      <c r="Q249" s="5" t="e">
        <f t="shared" ca="1" si="99"/>
        <v>#N/A</v>
      </c>
      <c r="R249" s="5" t="e">
        <f t="shared" ca="1" si="104"/>
        <v>#N/A</v>
      </c>
      <c r="S249" s="68" t="e">
        <f t="shared" ca="1" si="105"/>
        <v>#N/A</v>
      </c>
      <c r="T249" s="68" t="e">
        <f t="shared" ca="1" si="106"/>
        <v>#N/A</v>
      </c>
      <c r="U249" s="68" t="e">
        <f t="shared" ca="1" si="107"/>
        <v>#N/A</v>
      </c>
      <c r="V249" s="5" t="e">
        <f t="shared" ca="1" si="86"/>
        <v>#N/A</v>
      </c>
      <c r="W249" s="5" t="e">
        <f t="shared" ca="1" si="100"/>
        <v>#N/A</v>
      </c>
      <c r="X249" s="68">
        <f t="shared" ca="1" si="101"/>
        <v>0</v>
      </c>
      <c r="Y249" s="68" t="e">
        <f t="shared" ca="1" si="108"/>
        <v>#N/A</v>
      </c>
      <c r="Z249" s="68" t="e">
        <f t="shared" ca="1" si="109"/>
        <v>#N/A</v>
      </c>
      <c r="AA249" s="5" t="str">
        <f>IF(Setup!$I$15="Yes",'Demand background (hide)'!AJ237+'SPC background (hide)'!C249,"")</f>
        <v/>
      </c>
      <c r="AC249" s="5" t="e">
        <f t="shared" ca="1" si="102"/>
        <v>#N/A</v>
      </c>
      <c r="AD249" s="5" t="e">
        <f t="shared" ca="1" si="103"/>
        <v>#N/A</v>
      </c>
    </row>
    <row r="250" spans="1:30" x14ac:dyDescent="0.2">
      <c r="A250" s="68" t="str">
        <f ca="1">Demand!C247</f>
        <v/>
      </c>
      <c r="B250" s="68">
        <v>235</v>
      </c>
      <c r="C250" s="5">
        <f ca="1">'Demand background (hide)'!Y238</f>
        <v>0</v>
      </c>
      <c r="D250" s="68">
        <f t="shared" si="87"/>
        <v>0</v>
      </c>
      <c r="E250" s="68" t="e">
        <f t="shared" ca="1" si="88"/>
        <v>#N/A</v>
      </c>
      <c r="F250" s="68" t="e">
        <f t="shared" ca="1" si="89"/>
        <v>#N/A</v>
      </c>
      <c r="G250" s="68" t="e">
        <f t="shared" ca="1" si="90"/>
        <v>#N/A</v>
      </c>
      <c r="H250" s="68" t="e">
        <f>IF('Demand background (hide)'!AN238&lt;&gt;"",'SPC background (hide)'!C250,NA())</f>
        <v>#N/A</v>
      </c>
      <c r="I250" s="68" t="e">
        <f t="shared" ca="1" si="91"/>
        <v>#N/A</v>
      </c>
      <c r="J250" s="5" t="e">
        <f t="shared" ca="1" si="92"/>
        <v>#N/A</v>
      </c>
      <c r="K250" s="5" t="e">
        <f t="shared" ca="1" si="93"/>
        <v>#N/A</v>
      </c>
      <c r="L250" s="5" t="e">
        <f t="shared" ca="1" si="94"/>
        <v>#N/A</v>
      </c>
      <c r="M250" s="5" t="e">
        <f t="shared" ca="1" si="95"/>
        <v>#N/A</v>
      </c>
      <c r="N250" s="5" t="e">
        <f t="shared" ca="1" si="96"/>
        <v>#N/A</v>
      </c>
      <c r="O250" s="5" t="e">
        <f t="shared" ca="1" si="97"/>
        <v>#N/A</v>
      </c>
      <c r="P250" s="5" t="e">
        <f t="shared" ca="1" si="98"/>
        <v>#N/A</v>
      </c>
      <c r="Q250" s="5" t="e">
        <f t="shared" ca="1" si="99"/>
        <v>#N/A</v>
      </c>
      <c r="R250" s="5" t="e">
        <f t="shared" ca="1" si="104"/>
        <v>#N/A</v>
      </c>
      <c r="S250" s="68" t="e">
        <f t="shared" ca="1" si="105"/>
        <v>#N/A</v>
      </c>
      <c r="T250" s="68" t="e">
        <f t="shared" ca="1" si="106"/>
        <v>#N/A</v>
      </c>
      <c r="U250" s="68" t="e">
        <f t="shared" ca="1" si="107"/>
        <v>#N/A</v>
      </c>
      <c r="V250" s="5" t="e">
        <f t="shared" ca="1" si="86"/>
        <v>#N/A</v>
      </c>
      <c r="W250" s="5" t="e">
        <f t="shared" ca="1" si="100"/>
        <v>#N/A</v>
      </c>
      <c r="X250" s="68">
        <f t="shared" ca="1" si="101"/>
        <v>0</v>
      </c>
      <c r="Y250" s="68" t="e">
        <f t="shared" ca="1" si="108"/>
        <v>#N/A</v>
      </c>
      <c r="Z250" s="68" t="e">
        <f t="shared" ca="1" si="109"/>
        <v>#N/A</v>
      </c>
      <c r="AA250" s="5" t="str">
        <f>IF(Setup!$I$15="Yes",'Demand background (hide)'!AJ238+'SPC background (hide)'!C250,"")</f>
        <v/>
      </c>
      <c r="AC250" s="5" t="e">
        <f t="shared" ca="1" si="102"/>
        <v>#N/A</v>
      </c>
      <c r="AD250" s="5" t="e">
        <f t="shared" ca="1" si="103"/>
        <v>#N/A</v>
      </c>
    </row>
    <row r="251" spans="1:30" x14ac:dyDescent="0.2">
      <c r="A251" s="68" t="str">
        <f ca="1">Demand!C248</f>
        <v/>
      </c>
      <c r="B251" s="68">
        <v>236</v>
      </c>
      <c r="C251" s="5">
        <f ca="1">'Demand background (hide)'!Y239</f>
        <v>0</v>
      </c>
      <c r="D251" s="68">
        <f t="shared" si="87"/>
        <v>0</v>
      </c>
      <c r="E251" s="68" t="e">
        <f t="shared" ca="1" si="88"/>
        <v>#N/A</v>
      </c>
      <c r="F251" s="68" t="e">
        <f t="shared" ca="1" si="89"/>
        <v>#N/A</v>
      </c>
      <c r="G251" s="68" t="e">
        <f t="shared" ca="1" si="90"/>
        <v>#N/A</v>
      </c>
      <c r="H251" s="68" t="e">
        <f>IF('Demand background (hide)'!AN239&lt;&gt;"",'SPC background (hide)'!C251,NA())</f>
        <v>#N/A</v>
      </c>
      <c r="I251" s="68" t="e">
        <f t="shared" ca="1" si="91"/>
        <v>#N/A</v>
      </c>
      <c r="J251" s="5" t="e">
        <f t="shared" ca="1" si="92"/>
        <v>#N/A</v>
      </c>
      <c r="K251" s="5" t="e">
        <f t="shared" ca="1" si="93"/>
        <v>#N/A</v>
      </c>
      <c r="L251" s="5" t="e">
        <f t="shared" ca="1" si="94"/>
        <v>#N/A</v>
      </c>
      <c r="M251" s="5" t="e">
        <f t="shared" ca="1" si="95"/>
        <v>#N/A</v>
      </c>
      <c r="N251" s="5" t="e">
        <f t="shared" ca="1" si="96"/>
        <v>#N/A</v>
      </c>
      <c r="O251" s="5" t="e">
        <f t="shared" ca="1" si="97"/>
        <v>#N/A</v>
      </c>
      <c r="P251" s="5" t="e">
        <f t="shared" ca="1" si="98"/>
        <v>#N/A</v>
      </c>
      <c r="Q251" s="5" t="e">
        <f t="shared" ca="1" si="99"/>
        <v>#N/A</v>
      </c>
      <c r="R251" s="5" t="e">
        <f t="shared" ca="1" si="104"/>
        <v>#N/A</v>
      </c>
      <c r="S251" s="68" t="e">
        <f t="shared" ca="1" si="105"/>
        <v>#N/A</v>
      </c>
      <c r="T251" s="68" t="e">
        <f t="shared" ca="1" si="106"/>
        <v>#N/A</v>
      </c>
      <c r="U251" s="68" t="e">
        <f t="shared" ca="1" si="107"/>
        <v>#N/A</v>
      </c>
      <c r="V251" s="5" t="e">
        <f t="shared" ca="1" si="86"/>
        <v>#N/A</v>
      </c>
      <c r="W251" s="5" t="e">
        <f t="shared" ca="1" si="100"/>
        <v>#N/A</v>
      </c>
      <c r="X251" s="68">
        <f t="shared" ca="1" si="101"/>
        <v>0</v>
      </c>
      <c r="Y251" s="68" t="e">
        <f t="shared" ca="1" si="108"/>
        <v>#N/A</v>
      </c>
      <c r="Z251" s="68" t="e">
        <f t="shared" ca="1" si="109"/>
        <v>#N/A</v>
      </c>
      <c r="AA251" s="5" t="str">
        <f>IF(Setup!$I$15="Yes",'Demand background (hide)'!AJ239+'SPC background (hide)'!C251,"")</f>
        <v/>
      </c>
      <c r="AC251" s="5" t="e">
        <f t="shared" ca="1" si="102"/>
        <v>#N/A</v>
      </c>
      <c r="AD251" s="5" t="e">
        <f t="shared" ca="1" si="103"/>
        <v>#N/A</v>
      </c>
    </row>
    <row r="252" spans="1:30" x14ac:dyDescent="0.2">
      <c r="A252" s="68" t="str">
        <f ca="1">Demand!C249</f>
        <v/>
      </c>
      <c r="B252" s="68">
        <v>237</v>
      </c>
      <c r="C252" s="5">
        <f ca="1">'Demand background (hide)'!Y240</f>
        <v>0</v>
      </c>
      <c r="D252" s="68">
        <f t="shared" si="87"/>
        <v>0</v>
      </c>
      <c r="E252" s="68" t="e">
        <f t="shared" ca="1" si="88"/>
        <v>#N/A</v>
      </c>
      <c r="F252" s="68" t="e">
        <f t="shared" ca="1" si="89"/>
        <v>#N/A</v>
      </c>
      <c r="G252" s="68" t="e">
        <f t="shared" ca="1" si="90"/>
        <v>#N/A</v>
      </c>
      <c r="H252" s="68" t="e">
        <f>IF('Demand background (hide)'!AN240&lt;&gt;"",'SPC background (hide)'!C252,NA())</f>
        <v>#N/A</v>
      </c>
      <c r="I252" s="68" t="e">
        <f t="shared" ca="1" si="91"/>
        <v>#N/A</v>
      </c>
      <c r="J252" s="5" t="e">
        <f t="shared" ca="1" si="92"/>
        <v>#N/A</v>
      </c>
      <c r="K252" s="5" t="e">
        <f t="shared" ca="1" si="93"/>
        <v>#N/A</v>
      </c>
      <c r="L252" s="5" t="e">
        <f t="shared" ca="1" si="94"/>
        <v>#N/A</v>
      </c>
      <c r="M252" s="5" t="e">
        <f t="shared" ca="1" si="95"/>
        <v>#N/A</v>
      </c>
      <c r="N252" s="5" t="e">
        <f t="shared" ca="1" si="96"/>
        <v>#N/A</v>
      </c>
      <c r="O252" s="5" t="e">
        <f t="shared" ca="1" si="97"/>
        <v>#N/A</v>
      </c>
      <c r="P252" s="5" t="e">
        <f t="shared" ca="1" si="98"/>
        <v>#N/A</v>
      </c>
      <c r="Q252" s="5" t="e">
        <f t="shared" ca="1" si="99"/>
        <v>#N/A</v>
      </c>
      <c r="R252" s="5" t="e">
        <f t="shared" ca="1" si="104"/>
        <v>#N/A</v>
      </c>
      <c r="S252" s="68" t="e">
        <f t="shared" ca="1" si="105"/>
        <v>#N/A</v>
      </c>
      <c r="T252" s="68" t="e">
        <f t="shared" ca="1" si="106"/>
        <v>#N/A</v>
      </c>
      <c r="U252" s="68" t="e">
        <f t="shared" ca="1" si="107"/>
        <v>#N/A</v>
      </c>
      <c r="V252" s="5" t="e">
        <f t="shared" ca="1" si="86"/>
        <v>#N/A</v>
      </c>
      <c r="W252" s="5" t="e">
        <f t="shared" ca="1" si="100"/>
        <v>#N/A</v>
      </c>
      <c r="X252" s="68">
        <f t="shared" ca="1" si="101"/>
        <v>0</v>
      </c>
      <c r="Y252" s="68" t="e">
        <f t="shared" ca="1" si="108"/>
        <v>#N/A</v>
      </c>
      <c r="Z252" s="68" t="e">
        <f t="shared" ca="1" si="109"/>
        <v>#N/A</v>
      </c>
      <c r="AA252" s="5" t="str">
        <f>IF(Setup!$I$15="Yes",'Demand background (hide)'!AJ240+'SPC background (hide)'!C252,"")</f>
        <v/>
      </c>
      <c r="AC252" s="5" t="e">
        <f t="shared" ca="1" si="102"/>
        <v>#N/A</v>
      </c>
      <c r="AD252" s="5" t="e">
        <f t="shared" ca="1" si="103"/>
        <v>#N/A</v>
      </c>
    </row>
    <row r="253" spans="1:30" x14ac:dyDescent="0.2">
      <c r="A253" s="68" t="str">
        <f ca="1">Demand!C250</f>
        <v/>
      </c>
      <c r="B253" s="68">
        <v>238</v>
      </c>
      <c r="C253" s="5">
        <f ca="1">'Demand background (hide)'!Y241</f>
        <v>0</v>
      </c>
      <c r="D253" s="68">
        <f t="shared" si="87"/>
        <v>0</v>
      </c>
      <c r="E253" s="68" t="e">
        <f t="shared" ca="1" si="88"/>
        <v>#N/A</v>
      </c>
      <c r="F253" s="68" t="e">
        <f t="shared" ca="1" si="89"/>
        <v>#N/A</v>
      </c>
      <c r="G253" s="68" t="e">
        <f t="shared" ca="1" si="90"/>
        <v>#N/A</v>
      </c>
      <c r="H253" s="68" t="e">
        <f>IF('Demand background (hide)'!AN241&lt;&gt;"",'SPC background (hide)'!C253,NA())</f>
        <v>#N/A</v>
      </c>
      <c r="I253" s="68" t="e">
        <f t="shared" ca="1" si="91"/>
        <v>#N/A</v>
      </c>
      <c r="J253" s="5" t="e">
        <f t="shared" ca="1" si="92"/>
        <v>#N/A</v>
      </c>
      <c r="K253" s="5" t="e">
        <f t="shared" ca="1" si="93"/>
        <v>#N/A</v>
      </c>
      <c r="L253" s="5" t="e">
        <f t="shared" ca="1" si="94"/>
        <v>#N/A</v>
      </c>
      <c r="M253" s="5" t="e">
        <f t="shared" ca="1" si="95"/>
        <v>#N/A</v>
      </c>
      <c r="N253" s="5" t="e">
        <f t="shared" ca="1" si="96"/>
        <v>#N/A</v>
      </c>
      <c r="O253" s="5" t="e">
        <f t="shared" ca="1" si="97"/>
        <v>#N/A</v>
      </c>
      <c r="P253" s="5" t="e">
        <f t="shared" ca="1" si="98"/>
        <v>#N/A</v>
      </c>
      <c r="Q253" s="5" t="e">
        <f t="shared" ca="1" si="99"/>
        <v>#N/A</v>
      </c>
      <c r="R253" s="5" t="e">
        <f t="shared" ca="1" si="104"/>
        <v>#N/A</v>
      </c>
      <c r="S253" s="68" t="e">
        <f t="shared" ca="1" si="105"/>
        <v>#N/A</v>
      </c>
      <c r="T253" s="68" t="e">
        <f t="shared" ca="1" si="106"/>
        <v>#N/A</v>
      </c>
      <c r="U253" s="68" t="e">
        <f t="shared" ca="1" si="107"/>
        <v>#N/A</v>
      </c>
      <c r="V253" s="5" t="e">
        <f t="shared" ca="1" si="86"/>
        <v>#N/A</v>
      </c>
      <c r="W253" s="5" t="e">
        <f t="shared" ca="1" si="100"/>
        <v>#N/A</v>
      </c>
      <c r="X253" s="68">
        <f t="shared" ca="1" si="101"/>
        <v>0</v>
      </c>
      <c r="Y253" s="68" t="e">
        <f t="shared" ca="1" si="108"/>
        <v>#N/A</v>
      </c>
      <c r="Z253" s="68" t="e">
        <f t="shared" ca="1" si="109"/>
        <v>#N/A</v>
      </c>
      <c r="AA253" s="5" t="str">
        <f>IF(Setup!$I$15="Yes",'Demand background (hide)'!AJ241+'SPC background (hide)'!C253,"")</f>
        <v/>
      </c>
      <c r="AC253" s="5" t="e">
        <f t="shared" ca="1" si="102"/>
        <v>#N/A</v>
      </c>
      <c r="AD253" s="5" t="e">
        <f t="shared" ca="1" si="103"/>
        <v>#N/A</v>
      </c>
    </row>
    <row r="254" spans="1:30" x14ac:dyDescent="0.2">
      <c r="A254" s="68" t="str">
        <f ca="1">Demand!C251</f>
        <v/>
      </c>
      <c r="B254" s="68">
        <v>239</v>
      </c>
      <c r="C254" s="5">
        <f ca="1">'Demand background (hide)'!Y242</f>
        <v>0</v>
      </c>
      <c r="D254" s="68">
        <f t="shared" si="87"/>
        <v>0</v>
      </c>
      <c r="E254" s="68" t="e">
        <f t="shared" ca="1" si="88"/>
        <v>#N/A</v>
      </c>
      <c r="F254" s="68" t="e">
        <f t="shared" ca="1" si="89"/>
        <v>#N/A</v>
      </c>
      <c r="G254" s="68" t="e">
        <f t="shared" ca="1" si="90"/>
        <v>#N/A</v>
      </c>
      <c r="H254" s="68" t="e">
        <f>IF('Demand background (hide)'!AN242&lt;&gt;"",'SPC background (hide)'!C254,NA())</f>
        <v>#N/A</v>
      </c>
      <c r="I254" s="68" t="e">
        <f t="shared" ca="1" si="91"/>
        <v>#N/A</v>
      </c>
      <c r="J254" s="5" t="e">
        <f t="shared" ca="1" si="92"/>
        <v>#N/A</v>
      </c>
      <c r="K254" s="5" t="e">
        <f t="shared" ca="1" si="93"/>
        <v>#N/A</v>
      </c>
      <c r="L254" s="5" t="e">
        <f t="shared" ca="1" si="94"/>
        <v>#N/A</v>
      </c>
      <c r="M254" s="5" t="e">
        <f t="shared" ca="1" si="95"/>
        <v>#N/A</v>
      </c>
      <c r="N254" s="5" t="e">
        <f t="shared" ca="1" si="96"/>
        <v>#N/A</v>
      </c>
      <c r="O254" s="5" t="e">
        <f t="shared" ca="1" si="97"/>
        <v>#N/A</v>
      </c>
      <c r="P254" s="5" t="e">
        <f t="shared" ca="1" si="98"/>
        <v>#N/A</v>
      </c>
      <c r="Q254" s="5" t="e">
        <f t="shared" ca="1" si="99"/>
        <v>#N/A</v>
      </c>
      <c r="R254" s="5" t="e">
        <f t="shared" ca="1" si="104"/>
        <v>#N/A</v>
      </c>
      <c r="S254" s="68" t="e">
        <f t="shared" ca="1" si="105"/>
        <v>#N/A</v>
      </c>
      <c r="T254" s="68" t="e">
        <f t="shared" ca="1" si="106"/>
        <v>#N/A</v>
      </c>
      <c r="U254" s="68" t="e">
        <f t="shared" ca="1" si="107"/>
        <v>#N/A</v>
      </c>
      <c r="V254" s="5" t="e">
        <f t="shared" ca="1" si="86"/>
        <v>#N/A</v>
      </c>
      <c r="W254" s="5" t="e">
        <f t="shared" ca="1" si="100"/>
        <v>#N/A</v>
      </c>
      <c r="X254" s="68">
        <f t="shared" ca="1" si="101"/>
        <v>0</v>
      </c>
      <c r="Y254" s="68" t="e">
        <f t="shared" ca="1" si="108"/>
        <v>#N/A</v>
      </c>
      <c r="Z254" s="68" t="e">
        <f t="shared" ca="1" si="109"/>
        <v>#N/A</v>
      </c>
      <c r="AA254" s="5" t="str">
        <f>IF(Setup!$I$15="Yes",'Demand background (hide)'!AJ242+'SPC background (hide)'!C254,"")</f>
        <v/>
      </c>
      <c r="AC254" s="5" t="e">
        <f t="shared" ca="1" si="102"/>
        <v>#N/A</v>
      </c>
      <c r="AD254" s="5" t="e">
        <f t="shared" ca="1" si="103"/>
        <v>#N/A</v>
      </c>
    </row>
    <row r="255" spans="1:30" x14ac:dyDescent="0.2">
      <c r="A255" s="68" t="str">
        <f ca="1">Demand!C252</f>
        <v/>
      </c>
      <c r="B255" s="68">
        <v>240</v>
      </c>
      <c r="C255" s="5">
        <f ca="1">'Demand background (hide)'!Y243</f>
        <v>0</v>
      </c>
      <c r="D255" s="68">
        <f t="shared" si="87"/>
        <v>0</v>
      </c>
      <c r="E255" s="68" t="e">
        <f t="shared" ca="1" si="88"/>
        <v>#N/A</v>
      </c>
      <c r="F255" s="68" t="e">
        <f t="shared" ca="1" si="89"/>
        <v>#N/A</v>
      </c>
      <c r="G255" s="68" t="e">
        <f t="shared" ca="1" si="90"/>
        <v>#N/A</v>
      </c>
      <c r="H255" s="68" t="e">
        <f>IF('Demand background (hide)'!AN243&lt;&gt;"",'SPC background (hide)'!C255,NA())</f>
        <v>#N/A</v>
      </c>
      <c r="I255" s="68" t="e">
        <f t="shared" ca="1" si="91"/>
        <v>#N/A</v>
      </c>
      <c r="J255" s="5" t="e">
        <f t="shared" ca="1" si="92"/>
        <v>#N/A</v>
      </c>
      <c r="K255" s="5" t="e">
        <f t="shared" ca="1" si="93"/>
        <v>#N/A</v>
      </c>
      <c r="L255" s="5" t="e">
        <f t="shared" ca="1" si="94"/>
        <v>#N/A</v>
      </c>
      <c r="M255" s="5" t="e">
        <f t="shared" ca="1" si="95"/>
        <v>#N/A</v>
      </c>
      <c r="N255" s="5" t="e">
        <f t="shared" ca="1" si="96"/>
        <v>#N/A</v>
      </c>
      <c r="O255" s="5" t="e">
        <f t="shared" ca="1" si="97"/>
        <v>#N/A</v>
      </c>
      <c r="P255" s="5" t="e">
        <f t="shared" ca="1" si="98"/>
        <v>#N/A</v>
      </c>
      <c r="Q255" s="5" t="e">
        <f t="shared" ca="1" si="99"/>
        <v>#N/A</v>
      </c>
      <c r="R255" s="5" t="e">
        <f t="shared" ca="1" si="104"/>
        <v>#N/A</v>
      </c>
      <c r="S255" s="68" t="e">
        <f t="shared" ca="1" si="105"/>
        <v>#N/A</v>
      </c>
      <c r="T255" s="68" t="e">
        <f t="shared" ca="1" si="106"/>
        <v>#N/A</v>
      </c>
      <c r="U255" s="68" t="e">
        <f t="shared" ca="1" si="107"/>
        <v>#N/A</v>
      </c>
      <c r="V255" s="5" t="e">
        <f t="shared" ca="1" si="86"/>
        <v>#N/A</v>
      </c>
      <c r="W255" s="5" t="e">
        <f t="shared" ca="1" si="100"/>
        <v>#N/A</v>
      </c>
      <c r="X255" s="68">
        <f t="shared" ca="1" si="101"/>
        <v>0</v>
      </c>
      <c r="Y255" s="68" t="e">
        <f t="shared" ca="1" si="108"/>
        <v>#N/A</v>
      </c>
      <c r="Z255" s="68" t="e">
        <f t="shared" ca="1" si="109"/>
        <v>#N/A</v>
      </c>
      <c r="AA255" s="5" t="str">
        <f>IF(Setup!$I$15="Yes",'Demand background (hide)'!AJ243+'SPC background (hide)'!C255,"")</f>
        <v/>
      </c>
      <c r="AC255" s="5" t="e">
        <f t="shared" ca="1" si="102"/>
        <v>#N/A</v>
      </c>
      <c r="AD255" s="5" t="e">
        <f t="shared" ca="1" si="103"/>
        <v>#N/A</v>
      </c>
    </row>
    <row r="256" spans="1:30" x14ac:dyDescent="0.2">
      <c r="A256" s="68" t="str">
        <f ca="1">Demand!C253</f>
        <v/>
      </c>
      <c r="B256" s="68">
        <v>241</v>
      </c>
      <c r="C256" s="5">
        <f ca="1">'Demand background (hide)'!Y244</f>
        <v>0</v>
      </c>
      <c r="D256" s="68">
        <f t="shared" si="87"/>
        <v>0</v>
      </c>
      <c r="E256" s="68" t="e">
        <f t="shared" ca="1" si="88"/>
        <v>#N/A</v>
      </c>
      <c r="F256" s="68" t="e">
        <f t="shared" ca="1" si="89"/>
        <v>#N/A</v>
      </c>
      <c r="G256" s="68" t="e">
        <f t="shared" ca="1" si="90"/>
        <v>#N/A</v>
      </c>
      <c r="H256" s="68" t="e">
        <f>IF('Demand background (hide)'!AN244&lt;&gt;"",'SPC background (hide)'!C256,NA())</f>
        <v>#N/A</v>
      </c>
      <c r="I256" s="68" t="e">
        <f t="shared" ca="1" si="91"/>
        <v>#N/A</v>
      </c>
      <c r="J256" s="5" t="e">
        <f t="shared" ca="1" si="92"/>
        <v>#N/A</v>
      </c>
      <c r="K256" s="5" t="e">
        <f t="shared" ca="1" si="93"/>
        <v>#N/A</v>
      </c>
      <c r="L256" s="5" t="e">
        <f t="shared" ca="1" si="94"/>
        <v>#N/A</v>
      </c>
      <c r="M256" s="5" t="e">
        <f t="shared" ca="1" si="95"/>
        <v>#N/A</v>
      </c>
      <c r="N256" s="5" t="e">
        <f t="shared" ca="1" si="96"/>
        <v>#N/A</v>
      </c>
      <c r="O256" s="5" t="e">
        <f t="shared" ca="1" si="97"/>
        <v>#N/A</v>
      </c>
      <c r="P256" s="5" t="e">
        <f t="shared" ca="1" si="98"/>
        <v>#N/A</v>
      </c>
      <c r="Q256" s="5" t="e">
        <f t="shared" ca="1" si="99"/>
        <v>#N/A</v>
      </c>
      <c r="R256" s="5" t="e">
        <f t="shared" ca="1" si="104"/>
        <v>#N/A</v>
      </c>
      <c r="S256" s="68" t="e">
        <f t="shared" ca="1" si="105"/>
        <v>#N/A</v>
      </c>
      <c r="T256" s="68" t="e">
        <f t="shared" ca="1" si="106"/>
        <v>#N/A</v>
      </c>
      <c r="U256" s="68" t="e">
        <f t="shared" ca="1" si="107"/>
        <v>#N/A</v>
      </c>
      <c r="V256" s="5" t="e">
        <f t="shared" ca="1" si="86"/>
        <v>#N/A</v>
      </c>
      <c r="W256" s="5" t="e">
        <f t="shared" ca="1" si="100"/>
        <v>#N/A</v>
      </c>
      <c r="X256" s="68">
        <f t="shared" ca="1" si="101"/>
        <v>0</v>
      </c>
      <c r="Y256" s="68" t="e">
        <f t="shared" ca="1" si="108"/>
        <v>#N/A</v>
      </c>
      <c r="Z256" s="68" t="e">
        <f t="shared" ca="1" si="109"/>
        <v>#N/A</v>
      </c>
      <c r="AA256" s="5" t="str">
        <f>IF(Setup!$I$15="Yes",'Demand background (hide)'!AJ244+'SPC background (hide)'!C256,"")</f>
        <v/>
      </c>
      <c r="AC256" s="5" t="e">
        <f t="shared" ca="1" si="102"/>
        <v>#N/A</v>
      </c>
      <c r="AD256" s="5" t="e">
        <f t="shared" ca="1" si="103"/>
        <v>#N/A</v>
      </c>
    </row>
    <row r="257" spans="1:30" x14ac:dyDescent="0.2">
      <c r="A257" s="68" t="str">
        <f ca="1">Demand!C254</f>
        <v/>
      </c>
      <c r="B257" s="68">
        <v>242</v>
      </c>
      <c r="C257" s="5">
        <f ca="1">'Demand background (hide)'!Y245</f>
        <v>0</v>
      </c>
      <c r="D257" s="68">
        <f t="shared" si="87"/>
        <v>0</v>
      </c>
      <c r="E257" s="68" t="e">
        <f t="shared" ca="1" si="88"/>
        <v>#N/A</v>
      </c>
      <c r="F257" s="68" t="e">
        <f t="shared" ca="1" si="89"/>
        <v>#N/A</v>
      </c>
      <c r="G257" s="68" t="e">
        <f t="shared" ca="1" si="90"/>
        <v>#N/A</v>
      </c>
      <c r="H257" s="68" t="e">
        <f>IF('Demand background (hide)'!AN245&lt;&gt;"",'SPC background (hide)'!C257,NA())</f>
        <v>#N/A</v>
      </c>
      <c r="I257" s="68" t="e">
        <f t="shared" ca="1" si="91"/>
        <v>#N/A</v>
      </c>
      <c r="J257" s="5" t="e">
        <f t="shared" ca="1" si="92"/>
        <v>#N/A</v>
      </c>
      <c r="K257" s="5" t="e">
        <f t="shared" ca="1" si="93"/>
        <v>#N/A</v>
      </c>
      <c r="L257" s="5" t="e">
        <f t="shared" ca="1" si="94"/>
        <v>#N/A</v>
      </c>
      <c r="M257" s="5" t="e">
        <f t="shared" ca="1" si="95"/>
        <v>#N/A</v>
      </c>
      <c r="N257" s="5" t="e">
        <f t="shared" ca="1" si="96"/>
        <v>#N/A</v>
      </c>
      <c r="O257" s="5" t="e">
        <f t="shared" ca="1" si="97"/>
        <v>#N/A</v>
      </c>
      <c r="P257" s="5" t="e">
        <f t="shared" ca="1" si="98"/>
        <v>#N/A</v>
      </c>
      <c r="Q257" s="5" t="e">
        <f t="shared" ca="1" si="99"/>
        <v>#N/A</v>
      </c>
      <c r="R257" s="5" t="e">
        <f t="shared" ca="1" si="104"/>
        <v>#N/A</v>
      </c>
      <c r="S257" s="68" t="e">
        <f t="shared" ca="1" si="105"/>
        <v>#N/A</v>
      </c>
      <c r="T257" s="68" t="e">
        <f t="shared" ca="1" si="106"/>
        <v>#N/A</v>
      </c>
      <c r="U257" s="68" t="e">
        <f t="shared" ca="1" si="107"/>
        <v>#N/A</v>
      </c>
      <c r="V257" s="5" t="e">
        <f t="shared" ca="1" si="86"/>
        <v>#N/A</v>
      </c>
      <c r="W257" s="5" t="e">
        <f t="shared" ca="1" si="100"/>
        <v>#N/A</v>
      </c>
      <c r="X257" s="68">
        <f t="shared" ca="1" si="101"/>
        <v>0</v>
      </c>
      <c r="Y257" s="68" t="e">
        <f t="shared" ca="1" si="108"/>
        <v>#N/A</v>
      </c>
      <c r="Z257" s="68" t="e">
        <f t="shared" ca="1" si="109"/>
        <v>#N/A</v>
      </c>
      <c r="AA257" s="5" t="str">
        <f>IF(Setup!$I$15="Yes",'Demand background (hide)'!AJ245+'SPC background (hide)'!C257,"")</f>
        <v/>
      </c>
      <c r="AC257" s="5" t="e">
        <f t="shared" ca="1" si="102"/>
        <v>#N/A</v>
      </c>
      <c r="AD257" s="5" t="e">
        <f t="shared" ca="1" si="103"/>
        <v>#N/A</v>
      </c>
    </row>
    <row r="258" spans="1:30" x14ac:dyDescent="0.2">
      <c r="A258" s="68" t="str">
        <f ca="1">Demand!C255</f>
        <v/>
      </c>
      <c r="B258" s="68">
        <v>243</v>
      </c>
      <c r="C258" s="5">
        <f ca="1">'Demand background (hide)'!Y246</f>
        <v>0</v>
      </c>
      <c r="D258" s="68">
        <f t="shared" si="87"/>
        <v>0</v>
      </c>
      <c r="E258" s="68" t="e">
        <f t="shared" ca="1" si="88"/>
        <v>#N/A</v>
      </c>
      <c r="F258" s="68" t="e">
        <f t="shared" ca="1" si="89"/>
        <v>#N/A</v>
      </c>
      <c r="G258" s="68" t="e">
        <f t="shared" ca="1" si="90"/>
        <v>#N/A</v>
      </c>
      <c r="H258" s="68" t="e">
        <f>IF('Demand background (hide)'!AN246&lt;&gt;"",'SPC background (hide)'!C258,NA())</f>
        <v>#N/A</v>
      </c>
      <c r="I258" s="68" t="e">
        <f t="shared" ca="1" si="91"/>
        <v>#N/A</v>
      </c>
      <c r="J258" s="5" t="e">
        <f t="shared" ca="1" si="92"/>
        <v>#N/A</v>
      </c>
      <c r="K258" s="5" t="e">
        <f t="shared" ca="1" si="93"/>
        <v>#N/A</v>
      </c>
      <c r="L258" s="5" t="e">
        <f t="shared" ca="1" si="94"/>
        <v>#N/A</v>
      </c>
      <c r="M258" s="5" t="e">
        <f t="shared" ca="1" si="95"/>
        <v>#N/A</v>
      </c>
      <c r="N258" s="5" t="e">
        <f t="shared" ca="1" si="96"/>
        <v>#N/A</v>
      </c>
      <c r="O258" s="5" t="e">
        <f t="shared" ca="1" si="97"/>
        <v>#N/A</v>
      </c>
      <c r="P258" s="5" t="e">
        <f t="shared" ca="1" si="98"/>
        <v>#N/A</v>
      </c>
      <c r="Q258" s="5" t="e">
        <f t="shared" ca="1" si="99"/>
        <v>#N/A</v>
      </c>
      <c r="R258" s="5" t="e">
        <f t="shared" ca="1" si="104"/>
        <v>#N/A</v>
      </c>
      <c r="S258" s="68" t="e">
        <f t="shared" ca="1" si="105"/>
        <v>#N/A</v>
      </c>
      <c r="T258" s="68" t="e">
        <f t="shared" ca="1" si="106"/>
        <v>#N/A</v>
      </c>
      <c r="U258" s="68" t="e">
        <f t="shared" ca="1" si="107"/>
        <v>#N/A</v>
      </c>
      <c r="V258" s="5" t="e">
        <f t="shared" ca="1" si="86"/>
        <v>#N/A</v>
      </c>
      <c r="W258" s="5" t="e">
        <f t="shared" ca="1" si="100"/>
        <v>#N/A</v>
      </c>
      <c r="X258" s="68">
        <f t="shared" ca="1" si="101"/>
        <v>0</v>
      </c>
      <c r="Y258" s="68" t="e">
        <f t="shared" ca="1" si="108"/>
        <v>#N/A</v>
      </c>
      <c r="Z258" s="68" t="e">
        <f t="shared" ca="1" si="109"/>
        <v>#N/A</v>
      </c>
      <c r="AA258" s="5" t="str">
        <f>IF(Setup!$I$15="Yes",'Demand background (hide)'!AJ246+'SPC background (hide)'!C258,"")</f>
        <v/>
      </c>
      <c r="AC258" s="5" t="e">
        <f t="shared" ca="1" si="102"/>
        <v>#N/A</v>
      </c>
      <c r="AD258" s="5" t="e">
        <f t="shared" ca="1" si="103"/>
        <v>#N/A</v>
      </c>
    </row>
    <row r="259" spans="1:30" x14ac:dyDescent="0.2">
      <c r="A259" s="68" t="str">
        <f ca="1">Demand!C256</f>
        <v/>
      </c>
      <c r="B259" s="68">
        <v>244</v>
      </c>
      <c r="C259" s="5">
        <f ca="1">'Demand background (hide)'!Y247</f>
        <v>0</v>
      </c>
      <c r="D259" s="68">
        <f t="shared" si="87"/>
        <v>0</v>
      </c>
      <c r="E259" s="68" t="e">
        <f t="shared" ca="1" si="88"/>
        <v>#N/A</v>
      </c>
      <c r="F259" s="68" t="e">
        <f t="shared" ca="1" si="89"/>
        <v>#N/A</v>
      </c>
      <c r="G259" s="68" t="e">
        <f t="shared" ca="1" si="90"/>
        <v>#N/A</v>
      </c>
      <c r="H259" s="68" t="e">
        <f>IF('Demand background (hide)'!AN247&lt;&gt;"",'SPC background (hide)'!C259,NA())</f>
        <v>#N/A</v>
      </c>
      <c r="I259" s="68" t="e">
        <f t="shared" ca="1" si="91"/>
        <v>#N/A</v>
      </c>
      <c r="J259" s="5" t="e">
        <f t="shared" ca="1" si="92"/>
        <v>#N/A</v>
      </c>
      <c r="K259" s="5" t="e">
        <f t="shared" ca="1" si="93"/>
        <v>#N/A</v>
      </c>
      <c r="L259" s="5" t="e">
        <f t="shared" ca="1" si="94"/>
        <v>#N/A</v>
      </c>
      <c r="M259" s="5" t="e">
        <f t="shared" ca="1" si="95"/>
        <v>#N/A</v>
      </c>
      <c r="N259" s="5" t="e">
        <f t="shared" ca="1" si="96"/>
        <v>#N/A</v>
      </c>
      <c r="O259" s="5" t="e">
        <f t="shared" ca="1" si="97"/>
        <v>#N/A</v>
      </c>
      <c r="P259" s="5" t="e">
        <f t="shared" ca="1" si="98"/>
        <v>#N/A</v>
      </c>
      <c r="Q259" s="5" t="e">
        <f t="shared" ca="1" si="99"/>
        <v>#N/A</v>
      </c>
      <c r="R259" s="5" t="e">
        <f t="shared" ca="1" si="104"/>
        <v>#N/A</v>
      </c>
      <c r="S259" s="68" t="e">
        <f t="shared" ca="1" si="105"/>
        <v>#N/A</v>
      </c>
      <c r="T259" s="68" t="e">
        <f t="shared" ca="1" si="106"/>
        <v>#N/A</v>
      </c>
      <c r="U259" s="68" t="e">
        <f t="shared" ca="1" si="107"/>
        <v>#N/A</v>
      </c>
      <c r="V259" s="5" t="e">
        <f t="shared" ca="1" si="86"/>
        <v>#N/A</v>
      </c>
      <c r="W259" s="5" t="e">
        <f t="shared" ca="1" si="100"/>
        <v>#N/A</v>
      </c>
      <c r="X259" s="68">
        <f t="shared" ca="1" si="101"/>
        <v>0</v>
      </c>
      <c r="Y259" s="68" t="e">
        <f t="shared" ca="1" si="108"/>
        <v>#N/A</v>
      </c>
      <c r="Z259" s="68" t="e">
        <f t="shared" ca="1" si="109"/>
        <v>#N/A</v>
      </c>
      <c r="AA259" s="5" t="str">
        <f>IF(Setup!$I$15="Yes",'Demand background (hide)'!AJ247+'SPC background (hide)'!C259,"")</f>
        <v/>
      </c>
      <c r="AC259" s="5" t="e">
        <f t="shared" ca="1" si="102"/>
        <v>#N/A</v>
      </c>
      <c r="AD259" s="5" t="e">
        <f t="shared" ca="1" si="103"/>
        <v>#N/A</v>
      </c>
    </row>
    <row r="260" spans="1:30" x14ac:dyDescent="0.2">
      <c r="A260" s="68" t="str">
        <f ca="1">Demand!C257</f>
        <v/>
      </c>
      <c r="B260" s="68">
        <v>245</v>
      </c>
      <c r="C260" s="5">
        <f ca="1">'Demand background (hide)'!Y248</f>
        <v>0</v>
      </c>
      <c r="D260" s="68">
        <f t="shared" si="87"/>
        <v>0</v>
      </c>
      <c r="E260" s="68" t="e">
        <f t="shared" ca="1" si="88"/>
        <v>#N/A</v>
      </c>
      <c r="F260" s="68" t="e">
        <f t="shared" ca="1" si="89"/>
        <v>#N/A</v>
      </c>
      <c r="G260" s="68" t="e">
        <f t="shared" ca="1" si="90"/>
        <v>#N/A</v>
      </c>
      <c r="H260" s="68" t="e">
        <f>IF('Demand background (hide)'!AN248&lt;&gt;"",'SPC background (hide)'!C260,NA())</f>
        <v>#N/A</v>
      </c>
      <c r="I260" s="68" t="e">
        <f t="shared" ca="1" si="91"/>
        <v>#N/A</v>
      </c>
      <c r="J260" s="5" t="e">
        <f t="shared" ca="1" si="92"/>
        <v>#N/A</v>
      </c>
      <c r="K260" s="5" t="e">
        <f t="shared" ca="1" si="93"/>
        <v>#N/A</v>
      </c>
      <c r="L260" s="5" t="e">
        <f t="shared" ca="1" si="94"/>
        <v>#N/A</v>
      </c>
      <c r="M260" s="5" t="e">
        <f t="shared" ca="1" si="95"/>
        <v>#N/A</v>
      </c>
      <c r="N260" s="5" t="e">
        <f t="shared" ca="1" si="96"/>
        <v>#N/A</v>
      </c>
      <c r="O260" s="5" t="e">
        <f t="shared" ca="1" si="97"/>
        <v>#N/A</v>
      </c>
      <c r="P260" s="5" t="e">
        <f t="shared" ca="1" si="98"/>
        <v>#N/A</v>
      </c>
      <c r="Q260" s="5" t="e">
        <f t="shared" ca="1" si="99"/>
        <v>#N/A</v>
      </c>
      <c r="R260" s="5" t="e">
        <f t="shared" ca="1" si="104"/>
        <v>#N/A</v>
      </c>
      <c r="S260" s="68" t="e">
        <f t="shared" ca="1" si="105"/>
        <v>#N/A</v>
      </c>
      <c r="T260" s="68" t="e">
        <f t="shared" ca="1" si="106"/>
        <v>#N/A</v>
      </c>
      <c r="U260" s="68" t="e">
        <f t="shared" ca="1" si="107"/>
        <v>#N/A</v>
      </c>
      <c r="V260" s="5" t="e">
        <f t="shared" ca="1" si="86"/>
        <v>#N/A</v>
      </c>
      <c r="W260" s="5" t="e">
        <f t="shared" ca="1" si="100"/>
        <v>#N/A</v>
      </c>
      <c r="X260" s="68">
        <f t="shared" ca="1" si="101"/>
        <v>0</v>
      </c>
      <c r="Y260" s="68" t="e">
        <f t="shared" ca="1" si="108"/>
        <v>#N/A</v>
      </c>
      <c r="Z260" s="68" t="e">
        <f t="shared" ca="1" si="109"/>
        <v>#N/A</v>
      </c>
      <c r="AA260" s="5" t="str">
        <f>IF(Setup!$I$15="Yes",'Demand background (hide)'!AJ248+'SPC background (hide)'!C260,"")</f>
        <v/>
      </c>
      <c r="AC260" s="5" t="e">
        <f t="shared" ca="1" si="102"/>
        <v>#N/A</v>
      </c>
      <c r="AD260" s="5" t="e">
        <f t="shared" ca="1" si="103"/>
        <v>#N/A</v>
      </c>
    </row>
    <row r="261" spans="1:30" x14ac:dyDescent="0.2">
      <c r="A261" s="68" t="str">
        <f ca="1">Demand!C258</f>
        <v/>
      </c>
      <c r="B261" s="68">
        <v>246</v>
      </c>
      <c r="C261" s="5">
        <f ca="1">'Demand background (hide)'!Y249</f>
        <v>0</v>
      </c>
      <c r="D261" s="68">
        <f t="shared" si="87"/>
        <v>0</v>
      </c>
      <c r="E261" s="68" t="e">
        <f t="shared" ca="1" si="88"/>
        <v>#N/A</v>
      </c>
      <c r="F261" s="68" t="e">
        <f t="shared" ca="1" si="89"/>
        <v>#N/A</v>
      </c>
      <c r="G261" s="68" t="e">
        <f t="shared" ca="1" si="90"/>
        <v>#N/A</v>
      </c>
      <c r="H261" s="68" t="e">
        <f>IF('Demand background (hide)'!AN249&lt;&gt;"",'SPC background (hide)'!C261,NA())</f>
        <v>#N/A</v>
      </c>
      <c r="I261" s="68" t="e">
        <f t="shared" ca="1" si="91"/>
        <v>#N/A</v>
      </c>
      <c r="J261" s="5" t="e">
        <f t="shared" ca="1" si="92"/>
        <v>#N/A</v>
      </c>
      <c r="K261" s="5" t="e">
        <f t="shared" ca="1" si="93"/>
        <v>#N/A</v>
      </c>
      <c r="L261" s="5" t="e">
        <f t="shared" ca="1" si="94"/>
        <v>#N/A</v>
      </c>
      <c r="M261" s="5" t="e">
        <f t="shared" ca="1" si="95"/>
        <v>#N/A</v>
      </c>
      <c r="N261" s="5" t="e">
        <f t="shared" ca="1" si="96"/>
        <v>#N/A</v>
      </c>
      <c r="O261" s="5" t="e">
        <f t="shared" ca="1" si="97"/>
        <v>#N/A</v>
      </c>
      <c r="P261" s="5" t="e">
        <f t="shared" ca="1" si="98"/>
        <v>#N/A</v>
      </c>
      <c r="Q261" s="5" t="e">
        <f t="shared" ca="1" si="99"/>
        <v>#N/A</v>
      </c>
      <c r="R261" s="5" t="e">
        <f t="shared" ca="1" si="104"/>
        <v>#N/A</v>
      </c>
      <c r="S261" s="68" t="e">
        <f t="shared" ca="1" si="105"/>
        <v>#N/A</v>
      </c>
      <c r="T261" s="68" t="e">
        <f t="shared" ca="1" si="106"/>
        <v>#N/A</v>
      </c>
      <c r="U261" s="68" t="e">
        <f t="shared" ca="1" si="107"/>
        <v>#N/A</v>
      </c>
      <c r="V261" s="5" t="e">
        <f t="shared" ca="1" si="86"/>
        <v>#N/A</v>
      </c>
      <c r="W261" s="5" t="e">
        <f t="shared" ca="1" si="100"/>
        <v>#N/A</v>
      </c>
      <c r="X261" s="68">
        <f t="shared" ca="1" si="101"/>
        <v>0</v>
      </c>
      <c r="Y261" s="68" t="e">
        <f t="shared" ca="1" si="108"/>
        <v>#N/A</v>
      </c>
      <c r="Z261" s="68" t="e">
        <f t="shared" ca="1" si="109"/>
        <v>#N/A</v>
      </c>
      <c r="AA261" s="5" t="str">
        <f>IF(Setup!$I$15="Yes",'Demand background (hide)'!AJ249+'SPC background (hide)'!C261,"")</f>
        <v/>
      </c>
      <c r="AC261" s="5" t="e">
        <f t="shared" ca="1" si="102"/>
        <v>#N/A</v>
      </c>
      <c r="AD261" s="5" t="e">
        <f t="shared" ca="1" si="103"/>
        <v>#N/A</v>
      </c>
    </row>
    <row r="262" spans="1:30" x14ac:dyDescent="0.2">
      <c r="A262" s="68" t="str">
        <f ca="1">Demand!C259</f>
        <v/>
      </c>
      <c r="B262" s="68">
        <v>247</v>
      </c>
      <c r="C262" s="5">
        <f ca="1">'Demand background (hide)'!Y250</f>
        <v>0</v>
      </c>
      <c r="D262" s="68">
        <f t="shared" si="87"/>
        <v>0</v>
      </c>
      <c r="E262" s="68" t="e">
        <f t="shared" ca="1" si="88"/>
        <v>#N/A</v>
      </c>
      <c r="F262" s="68" t="e">
        <f t="shared" ca="1" si="89"/>
        <v>#N/A</v>
      </c>
      <c r="G262" s="68" t="e">
        <f t="shared" ca="1" si="90"/>
        <v>#N/A</v>
      </c>
      <c r="H262" s="68" t="e">
        <f>IF('Demand background (hide)'!AN250&lt;&gt;"",'SPC background (hide)'!C262,NA())</f>
        <v>#N/A</v>
      </c>
      <c r="I262" s="68" t="e">
        <f t="shared" ca="1" si="91"/>
        <v>#N/A</v>
      </c>
      <c r="J262" s="5" t="e">
        <f t="shared" ca="1" si="92"/>
        <v>#N/A</v>
      </c>
      <c r="K262" s="5" t="e">
        <f t="shared" ca="1" si="93"/>
        <v>#N/A</v>
      </c>
      <c r="L262" s="5" t="e">
        <f t="shared" ca="1" si="94"/>
        <v>#N/A</v>
      </c>
      <c r="M262" s="5" t="e">
        <f t="shared" ca="1" si="95"/>
        <v>#N/A</v>
      </c>
      <c r="N262" s="5" t="e">
        <f t="shared" ca="1" si="96"/>
        <v>#N/A</v>
      </c>
      <c r="O262" s="5" t="e">
        <f t="shared" ca="1" si="97"/>
        <v>#N/A</v>
      </c>
      <c r="P262" s="5" t="e">
        <f t="shared" ca="1" si="98"/>
        <v>#N/A</v>
      </c>
      <c r="Q262" s="5" t="e">
        <f t="shared" ca="1" si="99"/>
        <v>#N/A</v>
      </c>
      <c r="R262" s="5" t="e">
        <f t="shared" ca="1" si="104"/>
        <v>#N/A</v>
      </c>
      <c r="S262" s="68" t="e">
        <f t="shared" ca="1" si="105"/>
        <v>#N/A</v>
      </c>
      <c r="T262" s="68" t="e">
        <f t="shared" ca="1" si="106"/>
        <v>#N/A</v>
      </c>
      <c r="U262" s="68" t="e">
        <f t="shared" ca="1" si="107"/>
        <v>#N/A</v>
      </c>
      <c r="V262" s="5" t="e">
        <f t="shared" ca="1" si="86"/>
        <v>#N/A</v>
      </c>
      <c r="W262" s="5" t="e">
        <f t="shared" ca="1" si="100"/>
        <v>#N/A</v>
      </c>
      <c r="X262" s="68">
        <f t="shared" ca="1" si="101"/>
        <v>0</v>
      </c>
      <c r="Y262" s="68" t="e">
        <f t="shared" ca="1" si="108"/>
        <v>#N/A</v>
      </c>
      <c r="Z262" s="68" t="e">
        <f t="shared" ca="1" si="109"/>
        <v>#N/A</v>
      </c>
      <c r="AA262" s="5" t="str">
        <f>IF(Setup!$I$15="Yes",'Demand background (hide)'!AJ250+'SPC background (hide)'!C262,"")</f>
        <v/>
      </c>
      <c r="AC262" s="5" t="e">
        <f t="shared" ca="1" si="102"/>
        <v>#N/A</v>
      </c>
      <c r="AD262" s="5" t="e">
        <f t="shared" ca="1" si="103"/>
        <v>#N/A</v>
      </c>
    </row>
    <row r="263" spans="1:30" x14ac:dyDescent="0.2">
      <c r="A263" s="68" t="str">
        <f ca="1">Demand!C260</f>
        <v/>
      </c>
      <c r="B263" s="68">
        <v>248</v>
      </c>
      <c r="C263" s="5">
        <f ca="1">'Demand background (hide)'!Y251</f>
        <v>0</v>
      </c>
      <c r="D263" s="68">
        <f t="shared" si="87"/>
        <v>0</v>
      </c>
      <c r="E263" s="68" t="e">
        <f t="shared" ca="1" si="88"/>
        <v>#N/A</v>
      </c>
      <c r="F263" s="68" t="e">
        <f t="shared" ca="1" si="89"/>
        <v>#N/A</v>
      </c>
      <c r="G263" s="68" t="e">
        <f t="shared" ca="1" si="90"/>
        <v>#N/A</v>
      </c>
      <c r="H263" s="68" t="e">
        <f>IF('Demand background (hide)'!AN251&lt;&gt;"",'SPC background (hide)'!C263,NA())</f>
        <v>#N/A</v>
      </c>
      <c r="I263" s="68" t="e">
        <f t="shared" ca="1" si="91"/>
        <v>#N/A</v>
      </c>
      <c r="J263" s="5" t="e">
        <f t="shared" ca="1" si="92"/>
        <v>#N/A</v>
      </c>
      <c r="K263" s="5" t="e">
        <f t="shared" ca="1" si="93"/>
        <v>#N/A</v>
      </c>
      <c r="L263" s="5" t="e">
        <f t="shared" ca="1" si="94"/>
        <v>#N/A</v>
      </c>
      <c r="M263" s="5" t="e">
        <f t="shared" ca="1" si="95"/>
        <v>#N/A</v>
      </c>
      <c r="N263" s="5" t="e">
        <f t="shared" ca="1" si="96"/>
        <v>#N/A</v>
      </c>
      <c r="O263" s="5" t="e">
        <f t="shared" ca="1" si="97"/>
        <v>#N/A</v>
      </c>
      <c r="P263" s="5" t="e">
        <f t="shared" ca="1" si="98"/>
        <v>#N/A</v>
      </c>
      <c r="Q263" s="5" t="e">
        <f t="shared" ca="1" si="99"/>
        <v>#N/A</v>
      </c>
      <c r="R263" s="5" t="e">
        <f t="shared" ca="1" si="104"/>
        <v>#N/A</v>
      </c>
      <c r="S263" s="68" t="e">
        <f t="shared" ca="1" si="105"/>
        <v>#N/A</v>
      </c>
      <c r="T263" s="68" t="e">
        <f t="shared" ca="1" si="106"/>
        <v>#N/A</v>
      </c>
      <c r="U263" s="68" t="e">
        <f t="shared" ca="1" si="107"/>
        <v>#N/A</v>
      </c>
      <c r="V263" s="5" t="e">
        <f t="shared" ca="1" si="86"/>
        <v>#N/A</v>
      </c>
      <c r="W263" s="5" t="e">
        <f t="shared" ca="1" si="100"/>
        <v>#N/A</v>
      </c>
      <c r="X263" s="68">
        <f t="shared" ca="1" si="101"/>
        <v>0</v>
      </c>
      <c r="Y263" s="68" t="e">
        <f t="shared" ca="1" si="108"/>
        <v>#N/A</v>
      </c>
      <c r="Z263" s="68" t="e">
        <f t="shared" ca="1" si="109"/>
        <v>#N/A</v>
      </c>
      <c r="AA263" s="5" t="str">
        <f>IF(Setup!$I$15="Yes",'Demand background (hide)'!AJ251+'SPC background (hide)'!C263,"")</f>
        <v/>
      </c>
      <c r="AC263" s="5" t="e">
        <f t="shared" ca="1" si="102"/>
        <v>#N/A</v>
      </c>
      <c r="AD263" s="5" t="e">
        <f t="shared" ca="1" si="103"/>
        <v>#N/A</v>
      </c>
    </row>
    <row r="264" spans="1:30" x14ac:dyDescent="0.2">
      <c r="A264" s="68" t="str">
        <f ca="1">Demand!C261</f>
        <v/>
      </c>
      <c r="B264" s="68">
        <v>249</v>
      </c>
      <c r="C264" s="5">
        <f ca="1">'Demand background (hide)'!Y252</f>
        <v>0</v>
      </c>
      <c r="D264" s="68">
        <f t="shared" si="87"/>
        <v>0</v>
      </c>
      <c r="E264" s="68" t="e">
        <f t="shared" ca="1" si="88"/>
        <v>#N/A</v>
      </c>
      <c r="F264" s="68" t="e">
        <f t="shared" ca="1" si="89"/>
        <v>#N/A</v>
      </c>
      <c r="G264" s="68" t="e">
        <f t="shared" ca="1" si="90"/>
        <v>#N/A</v>
      </c>
      <c r="H264" s="68" t="e">
        <f>IF('Demand background (hide)'!AN252&lt;&gt;"",'SPC background (hide)'!C264,NA())</f>
        <v>#N/A</v>
      </c>
      <c r="I264" s="68" t="e">
        <f t="shared" ca="1" si="91"/>
        <v>#N/A</v>
      </c>
      <c r="J264" s="5" t="e">
        <f t="shared" ca="1" si="92"/>
        <v>#N/A</v>
      </c>
      <c r="K264" s="5" t="e">
        <f t="shared" ca="1" si="93"/>
        <v>#N/A</v>
      </c>
      <c r="L264" s="5" t="e">
        <f t="shared" ca="1" si="94"/>
        <v>#N/A</v>
      </c>
      <c r="M264" s="5" t="e">
        <f t="shared" ca="1" si="95"/>
        <v>#N/A</v>
      </c>
      <c r="N264" s="5" t="e">
        <f t="shared" ca="1" si="96"/>
        <v>#N/A</v>
      </c>
      <c r="O264" s="5" t="e">
        <f t="shared" ca="1" si="97"/>
        <v>#N/A</v>
      </c>
      <c r="P264" s="5" t="e">
        <f t="shared" ca="1" si="98"/>
        <v>#N/A</v>
      </c>
      <c r="Q264" s="5" t="e">
        <f t="shared" ca="1" si="99"/>
        <v>#N/A</v>
      </c>
      <c r="R264" s="5" t="e">
        <f t="shared" ca="1" si="104"/>
        <v>#N/A</v>
      </c>
      <c r="S264" s="68" t="e">
        <f t="shared" ca="1" si="105"/>
        <v>#N/A</v>
      </c>
      <c r="T264" s="68" t="e">
        <f t="shared" ca="1" si="106"/>
        <v>#N/A</v>
      </c>
      <c r="U264" s="68" t="e">
        <f t="shared" ca="1" si="107"/>
        <v>#N/A</v>
      </c>
      <c r="V264" s="5" t="e">
        <f t="shared" ca="1" si="86"/>
        <v>#N/A</v>
      </c>
      <c r="W264" s="5" t="e">
        <f t="shared" ca="1" si="100"/>
        <v>#N/A</v>
      </c>
      <c r="X264" s="68">
        <f t="shared" ca="1" si="101"/>
        <v>0</v>
      </c>
      <c r="Y264" s="68" t="e">
        <f t="shared" ca="1" si="108"/>
        <v>#N/A</v>
      </c>
      <c r="Z264" s="68" t="e">
        <f t="shared" ca="1" si="109"/>
        <v>#N/A</v>
      </c>
      <c r="AA264" s="5" t="str">
        <f>IF(Setup!$I$15="Yes",'Demand background (hide)'!AJ252+'SPC background (hide)'!C264,"")</f>
        <v/>
      </c>
      <c r="AC264" s="5" t="e">
        <f t="shared" ca="1" si="102"/>
        <v>#N/A</v>
      </c>
      <c r="AD264" s="5" t="e">
        <f t="shared" ca="1" si="103"/>
        <v>#N/A</v>
      </c>
    </row>
    <row r="265" spans="1:30" x14ac:dyDescent="0.2">
      <c r="A265" s="68" t="str">
        <f ca="1">Demand!C262</f>
        <v/>
      </c>
      <c r="B265" s="68">
        <v>250</v>
      </c>
      <c r="C265" s="5">
        <f ca="1">'Demand background (hide)'!Y253</f>
        <v>0</v>
      </c>
      <c r="D265" s="68">
        <f t="shared" si="87"/>
        <v>0</v>
      </c>
      <c r="E265" s="68" t="e">
        <f t="shared" ca="1" si="88"/>
        <v>#N/A</v>
      </c>
      <c r="F265" s="68" t="e">
        <f t="shared" ca="1" si="89"/>
        <v>#N/A</v>
      </c>
      <c r="G265" s="68" t="e">
        <f t="shared" ca="1" si="90"/>
        <v>#N/A</v>
      </c>
      <c r="H265" s="68" t="e">
        <f>IF('Demand background (hide)'!AN253&lt;&gt;"",'SPC background (hide)'!C265,NA())</f>
        <v>#N/A</v>
      </c>
      <c r="I265" s="68" t="e">
        <f t="shared" ca="1" si="91"/>
        <v>#N/A</v>
      </c>
      <c r="J265" s="5" t="e">
        <f t="shared" ca="1" si="92"/>
        <v>#N/A</v>
      </c>
      <c r="K265" s="5" t="e">
        <f t="shared" ca="1" si="93"/>
        <v>#N/A</v>
      </c>
      <c r="L265" s="5" t="e">
        <f t="shared" ca="1" si="94"/>
        <v>#N/A</v>
      </c>
      <c r="M265" s="5" t="e">
        <f t="shared" ca="1" si="95"/>
        <v>#N/A</v>
      </c>
      <c r="N265" s="5" t="e">
        <f t="shared" ca="1" si="96"/>
        <v>#N/A</v>
      </c>
      <c r="O265" s="5" t="e">
        <f t="shared" ca="1" si="97"/>
        <v>#N/A</v>
      </c>
      <c r="P265" s="5" t="e">
        <f t="shared" ca="1" si="98"/>
        <v>#N/A</v>
      </c>
      <c r="Q265" s="5" t="e">
        <f t="shared" ca="1" si="99"/>
        <v>#N/A</v>
      </c>
      <c r="R265" s="5" t="e">
        <f t="shared" ca="1" si="104"/>
        <v>#N/A</v>
      </c>
      <c r="S265" s="68" t="e">
        <f t="shared" ca="1" si="105"/>
        <v>#N/A</v>
      </c>
      <c r="T265" s="68" t="e">
        <f t="shared" ca="1" si="106"/>
        <v>#N/A</v>
      </c>
      <c r="U265" s="68" t="e">
        <f t="shared" ca="1" si="107"/>
        <v>#N/A</v>
      </c>
      <c r="V265" s="5" t="e">
        <f t="shared" ca="1" si="86"/>
        <v>#N/A</v>
      </c>
      <c r="W265" s="5" t="e">
        <f t="shared" ca="1" si="100"/>
        <v>#N/A</v>
      </c>
      <c r="X265" s="68">
        <f t="shared" ca="1" si="101"/>
        <v>0</v>
      </c>
      <c r="Y265" s="68" t="e">
        <f t="shared" ca="1" si="108"/>
        <v>#N/A</v>
      </c>
      <c r="Z265" s="68" t="e">
        <f t="shared" ca="1" si="109"/>
        <v>#N/A</v>
      </c>
      <c r="AA265" s="5" t="str">
        <f>IF(Setup!$I$15="Yes",'Demand background (hide)'!AJ253+'SPC background (hide)'!C265,"")</f>
        <v/>
      </c>
      <c r="AC265" s="5" t="e">
        <f t="shared" ca="1" si="102"/>
        <v>#N/A</v>
      </c>
      <c r="AD265" s="5" t="e">
        <f t="shared" ca="1" si="103"/>
        <v>#N/A</v>
      </c>
    </row>
    <row r="266" spans="1:30" x14ac:dyDescent="0.2">
      <c r="A266" s="68" t="str">
        <f ca="1">Demand!C263</f>
        <v/>
      </c>
      <c r="B266" s="68">
        <v>251</v>
      </c>
      <c r="C266" s="5">
        <f ca="1">'Demand background (hide)'!Y254</f>
        <v>0</v>
      </c>
      <c r="D266" s="68">
        <f t="shared" si="87"/>
        <v>0</v>
      </c>
      <c r="E266" s="68" t="e">
        <f t="shared" ca="1" si="88"/>
        <v>#N/A</v>
      </c>
      <c r="F266" s="68" t="e">
        <f t="shared" ca="1" si="89"/>
        <v>#N/A</v>
      </c>
      <c r="G266" s="68" t="e">
        <f t="shared" ca="1" si="90"/>
        <v>#N/A</v>
      </c>
      <c r="H266" s="68" t="e">
        <f>IF('Demand background (hide)'!AN254&lt;&gt;"",'SPC background (hide)'!C266,NA())</f>
        <v>#N/A</v>
      </c>
      <c r="I266" s="68" t="e">
        <f t="shared" ca="1" si="91"/>
        <v>#N/A</v>
      </c>
      <c r="J266" s="5" t="e">
        <f t="shared" ca="1" si="92"/>
        <v>#N/A</v>
      </c>
      <c r="K266" s="5" t="e">
        <f t="shared" ca="1" si="93"/>
        <v>#N/A</v>
      </c>
      <c r="L266" s="5" t="e">
        <f t="shared" ca="1" si="94"/>
        <v>#N/A</v>
      </c>
      <c r="M266" s="5" t="e">
        <f t="shared" ca="1" si="95"/>
        <v>#N/A</v>
      </c>
      <c r="N266" s="5" t="e">
        <f t="shared" ca="1" si="96"/>
        <v>#N/A</v>
      </c>
      <c r="O266" s="5" t="e">
        <f t="shared" ca="1" si="97"/>
        <v>#N/A</v>
      </c>
      <c r="P266" s="5" t="e">
        <f t="shared" ca="1" si="98"/>
        <v>#N/A</v>
      </c>
      <c r="Q266" s="5" t="e">
        <f t="shared" ca="1" si="99"/>
        <v>#N/A</v>
      </c>
      <c r="R266" s="5" t="e">
        <f t="shared" ca="1" si="104"/>
        <v>#N/A</v>
      </c>
      <c r="S266" s="68" t="e">
        <f t="shared" ca="1" si="105"/>
        <v>#N/A</v>
      </c>
      <c r="T266" s="68" t="e">
        <f t="shared" ca="1" si="106"/>
        <v>#N/A</v>
      </c>
      <c r="U266" s="68" t="e">
        <f t="shared" ca="1" si="107"/>
        <v>#N/A</v>
      </c>
      <c r="V266" s="5" t="e">
        <f t="shared" ca="1" si="86"/>
        <v>#N/A</v>
      </c>
      <c r="W266" s="5" t="e">
        <f t="shared" ca="1" si="100"/>
        <v>#N/A</v>
      </c>
      <c r="X266" s="68">
        <f t="shared" ca="1" si="101"/>
        <v>0</v>
      </c>
      <c r="Y266" s="68" t="e">
        <f t="shared" ca="1" si="108"/>
        <v>#N/A</v>
      </c>
      <c r="Z266" s="68" t="e">
        <f t="shared" ca="1" si="109"/>
        <v>#N/A</v>
      </c>
      <c r="AA266" s="5" t="str">
        <f>IF(Setup!$I$15="Yes",'Demand background (hide)'!AJ254+'SPC background (hide)'!C266,"")</f>
        <v/>
      </c>
      <c r="AC266" s="5" t="e">
        <f t="shared" ca="1" si="102"/>
        <v>#N/A</v>
      </c>
      <c r="AD266" s="5" t="e">
        <f t="shared" ca="1" si="103"/>
        <v>#N/A</v>
      </c>
    </row>
    <row r="267" spans="1:30" x14ac:dyDescent="0.2">
      <c r="A267" s="68" t="str">
        <f ca="1">Demand!C264</f>
        <v/>
      </c>
      <c r="B267" s="68">
        <v>252</v>
      </c>
      <c r="C267" s="5">
        <f ca="1">'Demand background (hide)'!Y255</f>
        <v>0</v>
      </c>
      <c r="D267" s="68">
        <f t="shared" si="87"/>
        <v>0</v>
      </c>
      <c r="E267" s="68" t="e">
        <f t="shared" ca="1" si="88"/>
        <v>#N/A</v>
      </c>
      <c r="F267" s="68" t="e">
        <f t="shared" ca="1" si="89"/>
        <v>#N/A</v>
      </c>
      <c r="G267" s="68" t="e">
        <f t="shared" ca="1" si="90"/>
        <v>#N/A</v>
      </c>
      <c r="H267" s="68" t="e">
        <f>IF('Demand background (hide)'!AN255&lt;&gt;"",'SPC background (hide)'!C267,NA())</f>
        <v>#N/A</v>
      </c>
      <c r="I267" s="68" t="e">
        <f t="shared" ca="1" si="91"/>
        <v>#N/A</v>
      </c>
      <c r="J267" s="5" t="e">
        <f t="shared" ca="1" si="92"/>
        <v>#N/A</v>
      </c>
      <c r="K267" s="5" t="e">
        <f t="shared" ca="1" si="93"/>
        <v>#N/A</v>
      </c>
      <c r="L267" s="5" t="e">
        <f t="shared" ca="1" si="94"/>
        <v>#N/A</v>
      </c>
      <c r="M267" s="5" t="e">
        <f t="shared" ca="1" si="95"/>
        <v>#N/A</v>
      </c>
      <c r="N267" s="5" t="e">
        <f t="shared" ca="1" si="96"/>
        <v>#N/A</v>
      </c>
      <c r="O267" s="5" t="e">
        <f t="shared" ca="1" si="97"/>
        <v>#N/A</v>
      </c>
      <c r="P267" s="5" t="e">
        <f t="shared" ca="1" si="98"/>
        <v>#N/A</v>
      </c>
      <c r="Q267" s="5" t="e">
        <f t="shared" ca="1" si="99"/>
        <v>#N/A</v>
      </c>
      <c r="R267" s="5" t="e">
        <f t="shared" ca="1" si="104"/>
        <v>#N/A</v>
      </c>
      <c r="S267" s="68" t="e">
        <f t="shared" ca="1" si="105"/>
        <v>#N/A</v>
      </c>
      <c r="T267" s="68" t="e">
        <f t="shared" ca="1" si="106"/>
        <v>#N/A</v>
      </c>
      <c r="U267" s="68" t="e">
        <f t="shared" ca="1" si="107"/>
        <v>#N/A</v>
      </c>
      <c r="V267" s="5" t="e">
        <f t="shared" ca="1" si="86"/>
        <v>#N/A</v>
      </c>
      <c r="W267" s="5" t="e">
        <f t="shared" ca="1" si="100"/>
        <v>#N/A</v>
      </c>
      <c r="X267" s="68">
        <f t="shared" ca="1" si="101"/>
        <v>0</v>
      </c>
      <c r="Y267" s="68" t="e">
        <f t="shared" ca="1" si="108"/>
        <v>#N/A</v>
      </c>
      <c r="Z267" s="68" t="e">
        <f t="shared" ca="1" si="109"/>
        <v>#N/A</v>
      </c>
      <c r="AA267" s="5" t="str">
        <f>IF(Setup!$I$15="Yes",'Demand background (hide)'!AJ255+'SPC background (hide)'!C267,"")</f>
        <v/>
      </c>
      <c r="AC267" s="5" t="e">
        <f t="shared" ca="1" si="102"/>
        <v>#N/A</v>
      </c>
      <c r="AD267" s="5" t="e">
        <f t="shared" ca="1" si="103"/>
        <v>#N/A</v>
      </c>
    </row>
    <row r="268" spans="1:30" x14ac:dyDescent="0.2">
      <c r="A268" s="68" t="str">
        <f ca="1">Demand!C265</f>
        <v/>
      </c>
      <c r="B268" s="68">
        <v>253</v>
      </c>
      <c r="C268" s="5">
        <f ca="1">'Demand background (hide)'!Y256</f>
        <v>0</v>
      </c>
      <c r="D268" s="68">
        <f t="shared" si="87"/>
        <v>0</v>
      </c>
      <c r="E268" s="68" t="e">
        <f t="shared" ca="1" si="88"/>
        <v>#N/A</v>
      </c>
      <c r="F268" s="68" t="e">
        <f t="shared" ca="1" si="89"/>
        <v>#N/A</v>
      </c>
      <c r="G268" s="68" t="e">
        <f t="shared" ca="1" si="90"/>
        <v>#N/A</v>
      </c>
      <c r="H268" s="68" t="e">
        <f>IF('Demand background (hide)'!AN256&lt;&gt;"",'SPC background (hide)'!C268,NA())</f>
        <v>#N/A</v>
      </c>
      <c r="I268" s="68" t="e">
        <f t="shared" ca="1" si="91"/>
        <v>#N/A</v>
      </c>
      <c r="J268" s="5" t="e">
        <f t="shared" ca="1" si="92"/>
        <v>#N/A</v>
      </c>
      <c r="K268" s="5" t="e">
        <f t="shared" ca="1" si="93"/>
        <v>#N/A</v>
      </c>
      <c r="L268" s="5" t="e">
        <f t="shared" ca="1" si="94"/>
        <v>#N/A</v>
      </c>
      <c r="M268" s="5" t="e">
        <f t="shared" ca="1" si="95"/>
        <v>#N/A</v>
      </c>
      <c r="N268" s="5" t="e">
        <f t="shared" ca="1" si="96"/>
        <v>#N/A</v>
      </c>
      <c r="O268" s="5" t="e">
        <f t="shared" ca="1" si="97"/>
        <v>#N/A</v>
      </c>
      <c r="P268" s="5" t="e">
        <f t="shared" ca="1" si="98"/>
        <v>#N/A</v>
      </c>
      <c r="Q268" s="5" t="e">
        <f t="shared" ca="1" si="99"/>
        <v>#N/A</v>
      </c>
      <c r="R268" s="5" t="e">
        <f t="shared" ca="1" si="104"/>
        <v>#N/A</v>
      </c>
      <c r="S268" s="68" t="e">
        <f t="shared" ca="1" si="105"/>
        <v>#N/A</v>
      </c>
      <c r="T268" s="68" t="e">
        <f t="shared" ca="1" si="106"/>
        <v>#N/A</v>
      </c>
      <c r="U268" s="68" t="e">
        <f t="shared" ca="1" si="107"/>
        <v>#N/A</v>
      </c>
      <c r="V268" s="5" t="e">
        <f t="shared" ca="1" si="86"/>
        <v>#N/A</v>
      </c>
      <c r="W268" s="5" t="e">
        <f t="shared" ca="1" si="100"/>
        <v>#N/A</v>
      </c>
      <c r="X268" s="68">
        <f t="shared" ca="1" si="101"/>
        <v>0</v>
      </c>
      <c r="Y268" s="68" t="e">
        <f t="shared" ca="1" si="108"/>
        <v>#N/A</v>
      </c>
      <c r="Z268" s="68" t="e">
        <f t="shared" ca="1" si="109"/>
        <v>#N/A</v>
      </c>
      <c r="AA268" s="5" t="str">
        <f>IF(Setup!$I$15="Yes",'Demand background (hide)'!AJ256+'SPC background (hide)'!C268,"")</f>
        <v/>
      </c>
      <c r="AC268" s="5" t="e">
        <f t="shared" ca="1" si="102"/>
        <v>#N/A</v>
      </c>
      <c r="AD268" s="5" t="e">
        <f t="shared" ca="1" si="103"/>
        <v>#N/A</v>
      </c>
    </row>
    <row r="269" spans="1:30" x14ac:dyDescent="0.2">
      <c r="A269" s="68" t="str">
        <f ca="1">Demand!C266</f>
        <v/>
      </c>
      <c r="B269" s="68">
        <v>254</v>
      </c>
      <c r="C269" s="5">
        <f ca="1">'Demand background (hide)'!Y257</f>
        <v>0</v>
      </c>
      <c r="D269" s="68">
        <f t="shared" si="87"/>
        <v>0</v>
      </c>
      <c r="E269" s="68" t="e">
        <f t="shared" ca="1" si="88"/>
        <v>#N/A</v>
      </c>
      <c r="F269" s="68" t="e">
        <f t="shared" ca="1" si="89"/>
        <v>#N/A</v>
      </c>
      <c r="G269" s="68" t="e">
        <f t="shared" ca="1" si="90"/>
        <v>#N/A</v>
      </c>
      <c r="H269" s="68" t="e">
        <f>IF('Demand background (hide)'!AN257&lt;&gt;"",'SPC background (hide)'!C269,NA())</f>
        <v>#N/A</v>
      </c>
      <c r="I269" s="68" t="e">
        <f t="shared" ca="1" si="91"/>
        <v>#N/A</v>
      </c>
      <c r="J269" s="5" t="e">
        <f t="shared" ca="1" si="92"/>
        <v>#N/A</v>
      </c>
      <c r="K269" s="5" t="e">
        <f t="shared" ca="1" si="93"/>
        <v>#N/A</v>
      </c>
      <c r="L269" s="5" t="e">
        <f t="shared" ca="1" si="94"/>
        <v>#N/A</v>
      </c>
      <c r="M269" s="5" t="e">
        <f t="shared" ca="1" si="95"/>
        <v>#N/A</v>
      </c>
      <c r="N269" s="5" t="e">
        <f t="shared" ca="1" si="96"/>
        <v>#N/A</v>
      </c>
      <c r="O269" s="5" t="e">
        <f t="shared" ca="1" si="97"/>
        <v>#N/A</v>
      </c>
      <c r="P269" s="5" t="e">
        <f t="shared" ca="1" si="98"/>
        <v>#N/A</v>
      </c>
      <c r="Q269" s="5" t="e">
        <f t="shared" ca="1" si="99"/>
        <v>#N/A</v>
      </c>
      <c r="R269" s="5" t="e">
        <f t="shared" ca="1" si="104"/>
        <v>#N/A</v>
      </c>
      <c r="S269" s="68" t="e">
        <f t="shared" ca="1" si="105"/>
        <v>#N/A</v>
      </c>
      <c r="T269" s="68" t="e">
        <f t="shared" ca="1" si="106"/>
        <v>#N/A</v>
      </c>
      <c r="U269" s="68" t="e">
        <f t="shared" ca="1" si="107"/>
        <v>#N/A</v>
      </c>
      <c r="V269" s="5" t="e">
        <f t="shared" ca="1" si="86"/>
        <v>#N/A</v>
      </c>
      <c r="W269" s="5" t="e">
        <f t="shared" ca="1" si="100"/>
        <v>#N/A</v>
      </c>
      <c r="X269" s="68">
        <f t="shared" ca="1" si="101"/>
        <v>0</v>
      </c>
      <c r="Y269" s="68" t="e">
        <f t="shared" ca="1" si="108"/>
        <v>#N/A</v>
      </c>
      <c r="Z269" s="68" t="e">
        <f t="shared" ca="1" si="109"/>
        <v>#N/A</v>
      </c>
      <c r="AA269" s="5" t="str">
        <f>IF(Setup!$I$15="Yes",'Demand background (hide)'!AJ257+'SPC background (hide)'!C269,"")</f>
        <v/>
      </c>
      <c r="AC269" s="5" t="e">
        <f t="shared" ca="1" si="102"/>
        <v>#N/A</v>
      </c>
      <c r="AD269" s="5" t="e">
        <f t="shared" ca="1" si="103"/>
        <v>#N/A</v>
      </c>
    </row>
    <row r="270" spans="1:30" x14ac:dyDescent="0.2">
      <c r="A270" s="68" t="str">
        <f ca="1">Demand!C267</f>
        <v/>
      </c>
      <c r="B270" s="68">
        <v>255</v>
      </c>
      <c r="C270" s="5">
        <f ca="1">'Demand background (hide)'!Y258</f>
        <v>0</v>
      </c>
      <c r="D270" s="68">
        <f t="shared" si="87"/>
        <v>0</v>
      </c>
      <c r="E270" s="68" t="e">
        <f t="shared" ca="1" si="88"/>
        <v>#N/A</v>
      </c>
      <c r="F270" s="68" t="e">
        <f t="shared" ca="1" si="89"/>
        <v>#N/A</v>
      </c>
      <c r="G270" s="68" t="e">
        <f t="shared" ca="1" si="90"/>
        <v>#N/A</v>
      </c>
      <c r="H270" s="68" t="e">
        <f>IF('Demand background (hide)'!AN258&lt;&gt;"",'SPC background (hide)'!C270,NA())</f>
        <v>#N/A</v>
      </c>
      <c r="I270" s="68" t="e">
        <f t="shared" ca="1" si="91"/>
        <v>#N/A</v>
      </c>
      <c r="J270" s="5" t="e">
        <f t="shared" ca="1" si="92"/>
        <v>#N/A</v>
      </c>
      <c r="K270" s="5" t="e">
        <f t="shared" ca="1" si="93"/>
        <v>#N/A</v>
      </c>
      <c r="L270" s="5" t="e">
        <f t="shared" ca="1" si="94"/>
        <v>#N/A</v>
      </c>
      <c r="M270" s="5" t="e">
        <f t="shared" ca="1" si="95"/>
        <v>#N/A</v>
      </c>
      <c r="N270" s="5" t="e">
        <f t="shared" ca="1" si="96"/>
        <v>#N/A</v>
      </c>
      <c r="O270" s="5" t="e">
        <f t="shared" ca="1" si="97"/>
        <v>#N/A</v>
      </c>
      <c r="P270" s="5" t="e">
        <f t="shared" ca="1" si="98"/>
        <v>#N/A</v>
      </c>
      <c r="Q270" s="5" t="e">
        <f t="shared" ca="1" si="99"/>
        <v>#N/A</v>
      </c>
      <c r="R270" s="5" t="e">
        <f t="shared" ca="1" si="104"/>
        <v>#N/A</v>
      </c>
      <c r="S270" s="68" t="e">
        <f t="shared" ca="1" si="105"/>
        <v>#N/A</v>
      </c>
      <c r="T270" s="68" t="e">
        <f t="shared" ca="1" si="106"/>
        <v>#N/A</v>
      </c>
      <c r="U270" s="68" t="e">
        <f t="shared" ca="1" si="107"/>
        <v>#N/A</v>
      </c>
      <c r="V270" s="5" t="e">
        <f t="shared" ca="1" si="86"/>
        <v>#N/A</v>
      </c>
      <c r="W270" s="5" t="e">
        <f t="shared" ca="1" si="100"/>
        <v>#N/A</v>
      </c>
      <c r="X270" s="68">
        <f t="shared" ca="1" si="101"/>
        <v>0</v>
      </c>
      <c r="Y270" s="68" t="e">
        <f t="shared" ca="1" si="108"/>
        <v>#N/A</v>
      </c>
      <c r="Z270" s="68" t="e">
        <f t="shared" ca="1" si="109"/>
        <v>#N/A</v>
      </c>
      <c r="AA270" s="5" t="str">
        <f>IF(Setup!$I$15="Yes",'Demand background (hide)'!AJ258+'SPC background (hide)'!C270,"")</f>
        <v/>
      </c>
      <c r="AC270" s="5" t="e">
        <f t="shared" ca="1" si="102"/>
        <v>#N/A</v>
      </c>
      <c r="AD270" s="5" t="e">
        <f t="shared" ca="1" si="103"/>
        <v>#N/A</v>
      </c>
    </row>
    <row r="271" spans="1:30" x14ac:dyDescent="0.2">
      <c r="A271" s="68" t="str">
        <f ca="1">Demand!C268</f>
        <v/>
      </c>
      <c r="B271" s="68">
        <v>256</v>
      </c>
      <c r="C271" s="5">
        <f ca="1">'Demand background (hide)'!Y259</f>
        <v>0</v>
      </c>
      <c r="D271" s="68">
        <f t="shared" si="87"/>
        <v>0</v>
      </c>
      <c r="E271" s="68" t="e">
        <f t="shared" ca="1" si="88"/>
        <v>#N/A</v>
      </c>
      <c r="F271" s="68" t="e">
        <f t="shared" ca="1" si="89"/>
        <v>#N/A</v>
      </c>
      <c r="G271" s="68" t="e">
        <f t="shared" ca="1" si="90"/>
        <v>#N/A</v>
      </c>
      <c r="H271" s="68" t="e">
        <f>IF('Demand background (hide)'!AN259&lt;&gt;"",'SPC background (hide)'!C271,NA())</f>
        <v>#N/A</v>
      </c>
      <c r="I271" s="68" t="e">
        <f t="shared" ca="1" si="91"/>
        <v>#N/A</v>
      </c>
      <c r="J271" s="5" t="e">
        <f t="shared" ca="1" si="92"/>
        <v>#N/A</v>
      </c>
      <c r="K271" s="5" t="e">
        <f t="shared" ca="1" si="93"/>
        <v>#N/A</v>
      </c>
      <c r="L271" s="5" t="e">
        <f t="shared" ca="1" si="94"/>
        <v>#N/A</v>
      </c>
      <c r="M271" s="5" t="e">
        <f t="shared" ca="1" si="95"/>
        <v>#N/A</v>
      </c>
      <c r="N271" s="5" t="e">
        <f t="shared" ca="1" si="96"/>
        <v>#N/A</v>
      </c>
      <c r="O271" s="5" t="e">
        <f t="shared" ca="1" si="97"/>
        <v>#N/A</v>
      </c>
      <c r="P271" s="5" t="e">
        <f t="shared" ca="1" si="98"/>
        <v>#N/A</v>
      </c>
      <c r="Q271" s="5" t="e">
        <f t="shared" ca="1" si="99"/>
        <v>#N/A</v>
      </c>
      <c r="R271" s="5" t="e">
        <f t="shared" ca="1" si="104"/>
        <v>#N/A</v>
      </c>
      <c r="S271" s="68" t="e">
        <f t="shared" ca="1" si="105"/>
        <v>#N/A</v>
      </c>
      <c r="T271" s="68" t="e">
        <f t="shared" ca="1" si="106"/>
        <v>#N/A</v>
      </c>
      <c r="U271" s="68" t="e">
        <f t="shared" ca="1" si="107"/>
        <v>#N/A</v>
      </c>
      <c r="V271" s="5" t="e">
        <f t="shared" ca="1" si="86"/>
        <v>#N/A</v>
      </c>
      <c r="W271" s="5" t="e">
        <f t="shared" ca="1" si="100"/>
        <v>#N/A</v>
      </c>
      <c r="X271" s="68">
        <f t="shared" ca="1" si="101"/>
        <v>0</v>
      </c>
      <c r="Y271" s="68" t="e">
        <f t="shared" ca="1" si="108"/>
        <v>#N/A</v>
      </c>
      <c r="Z271" s="68" t="e">
        <f t="shared" ca="1" si="109"/>
        <v>#N/A</v>
      </c>
      <c r="AA271" s="5" t="str">
        <f>IF(Setup!$I$15="Yes",'Demand background (hide)'!AJ259+'SPC background (hide)'!C271,"")</f>
        <v/>
      </c>
      <c r="AC271" s="5" t="e">
        <f t="shared" ca="1" si="102"/>
        <v>#N/A</v>
      </c>
      <c r="AD271" s="5" t="e">
        <f t="shared" ca="1" si="103"/>
        <v>#N/A</v>
      </c>
    </row>
    <row r="272" spans="1:30" x14ac:dyDescent="0.2">
      <c r="A272" s="68" t="str">
        <f ca="1">Demand!C269</f>
        <v/>
      </c>
      <c r="B272" s="68">
        <v>257</v>
      </c>
      <c r="C272" s="5">
        <f ca="1">'Demand background (hide)'!Y260</f>
        <v>0</v>
      </c>
      <c r="D272" s="68">
        <f t="shared" si="87"/>
        <v>0</v>
      </c>
      <c r="E272" s="68" t="e">
        <f t="shared" ca="1" si="88"/>
        <v>#N/A</v>
      </c>
      <c r="F272" s="68" t="e">
        <f t="shared" ca="1" si="89"/>
        <v>#N/A</v>
      </c>
      <c r="G272" s="68" t="e">
        <f t="shared" ca="1" si="90"/>
        <v>#N/A</v>
      </c>
      <c r="H272" s="68" t="e">
        <f>IF('Demand background (hide)'!AN260&lt;&gt;"",'SPC background (hide)'!C272,NA())</f>
        <v>#N/A</v>
      </c>
      <c r="I272" s="68" t="e">
        <f t="shared" ca="1" si="91"/>
        <v>#N/A</v>
      </c>
      <c r="J272" s="5" t="e">
        <f t="shared" ca="1" si="92"/>
        <v>#N/A</v>
      </c>
      <c r="K272" s="5" t="e">
        <f t="shared" ca="1" si="93"/>
        <v>#N/A</v>
      </c>
      <c r="L272" s="5" t="e">
        <f t="shared" ca="1" si="94"/>
        <v>#N/A</v>
      </c>
      <c r="M272" s="5" t="e">
        <f t="shared" ca="1" si="95"/>
        <v>#N/A</v>
      </c>
      <c r="N272" s="5" t="e">
        <f t="shared" ca="1" si="96"/>
        <v>#N/A</v>
      </c>
      <c r="O272" s="5" t="e">
        <f t="shared" ca="1" si="97"/>
        <v>#N/A</v>
      </c>
      <c r="P272" s="5" t="e">
        <f t="shared" ca="1" si="98"/>
        <v>#N/A</v>
      </c>
      <c r="Q272" s="5" t="e">
        <f t="shared" ca="1" si="99"/>
        <v>#N/A</v>
      </c>
      <c r="R272" s="5" t="e">
        <f t="shared" ca="1" si="104"/>
        <v>#N/A</v>
      </c>
      <c r="S272" s="68" t="e">
        <f t="shared" ca="1" si="105"/>
        <v>#N/A</v>
      </c>
      <c r="T272" s="68" t="e">
        <f t="shared" ca="1" si="106"/>
        <v>#N/A</v>
      </c>
      <c r="U272" s="68" t="e">
        <f t="shared" ca="1" si="107"/>
        <v>#N/A</v>
      </c>
      <c r="V272" s="5" t="e">
        <f t="shared" ca="1" si="86"/>
        <v>#N/A</v>
      </c>
      <c r="W272" s="5" t="e">
        <f t="shared" ca="1" si="100"/>
        <v>#N/A</v>
      </c>
      <c r="X272" s="68">
        <f t="shared" ca="1" si="101"/>
        <v>0</v>
      </c>
      <c r="Y272" s="68" t="e">
        <f t="shared" ca="1" si="108"/>
        <v>#N/A</v>
      </c>
      <c r="Z272" s="68" t="e">
        <f t="shared" ca="1" si="109"/>
        <v>#N/A</v>
      </c>
      <c r="AA272" s="5" t="str">
        <f>IF(Setup!$I$15="Yes",'Demand background (hide)'!AJ260+'SPC background (hide)'!C272,"")</f>
        <v/>
      </c>
      <c r="AC272" s="5" t="e">
        <f t="shared" ca="1" si="102"/>
        <v>#N/A</v>
      </c>
      <c r="AD272" s="5" t="e">
        <f t="shared" ca="1" si="103"/>
        <v>#N/A</v>
      </c>
    </row>
    <row r="273" spans="1:30" x14ac:dyDescent="0.2">
      <c r="A273" s="68" t="str">
        <f ca="1">Demand!C270</f>
        <v/>
      </c>
      <c r="B273" s="68">
        <v>258</v>
      </c>
      <c r="C273" s="5">
        <f ca="1">'Demand background (hide)'!Y261</f>
        <v>0</v>
      </c>
      <c r="D273" s="68">
        <f t="shared" ref="D273:D275" si="110">IF(AND($B273&gt;=$C$4,$B273&lt;=$D$5+$C$5-1),1,0)</f>
        <v>0</v>
      </c>
      <c r="E273" s="68" t="e">
        <f t="shared" ref="E273:E275" ca="1" si="111">IF(AND($B273&gt;=$D$6,$B273&lt;=$D$7+$C$7-1),1,0)</f>
        <v>#N/A</v>
      </c>
      <c r="F273" s="68" t="e">
        <f t="shared" ref="F273:F275" ca="1" si="112">IF(AND($B273&gt;=$D$8,$B273&lt;=$D$9+$C$9-1),1,0)</f>
        <v>#N/A</v>
      </c>
      <c r="G273" s="68" t="e">
        <f t="shared" ref="G273:G275" ca="1" si="113">IF(AND($B273&gt;=$D$10,$B273&lt;=$D$11+$C$11-1),1,0)</f>
        <v>#N/A</v>
      </c>
      <c r="H273" s="68" t="e">
        <f>IF('Demand background (hide)'!AN261&lt;&gt;"",'SPC background (hide)'!C273,NA())</f>
        <v>#N/A</v>
      </c>
      <c r="I273" s="68" t="e">
        <f t="shared" ref="I273:I275" ca="1" si="114">VLOOKUP(A273,$AG$2:$AI$54,3,0)</f>
        <v>#N/A</v>
      </c>
      <c r="J273" s="5" t="e">
        <f t="shared" ref="J273:J275" ca="1" si="115">VLOOKUP($A273,$AG$2:$AQ$54,COLUMN(E$1),0)</f>
        <v>#N/A</v>
      </c>
      <c r="K273" s="5" t="e">
        <f t="shared" ref="K273:K275" ca="1" si="116">VLOOKUP($A273,$AG$2:$AQ$54,COLUMN(F$1),0)</f>
        <v>#N/A</v>
      </c>
      <c r="L273" s="5" t="e">
        <f t="shared" ref="L273:L275" ca="1" si="117">VLOOKUP($A273,$AG$2:$AQ$54,COLUMN(G$1),0)</f>
        <v>#N/A</v>
      </c>
      <c r="M273" s="5" t="e">
        <f t="shared" ref="M273:M275" ca="1" si="118">VLOOKUP($A273,$AG$2:$AQ$54,COLUMN(H$1),0)</f>
        <v>#N/A</v>
      </c>
      <c r="N273" s="5" t="e">
        <f t="shared" ref="N273:N275" ca="1" si="119">VLOOKUP($A273,$AG$2:$AQ$54,COLUMN(I$1),0)</f>
        <v>#N/A</v>
      </c>
      <c r="O273" s="5" t="e">
        <f t="shared" ref="O273:O275" ca="1" si="120">VLOOKUP($A273,$AG$2:$AQ$54,COLUMN(J$1),0)</f>
        <v>#N/A</v>
      </c>
      <c r="P273" s="5" t="e">
        <f t="shared" ref="P273:P275" ca="1" si="121">VLOOKUP($A273,$AG$2:$AQ$54,COLUMN(K$1),0)</f>
        <v>#N/A</v>
      </c>
      <c r="Q273" s="5" t="e">
        <f t="shared" ref="Q273:Q275" ca="1" si="122">IF(ISNA(H273)=TRUE,IF(OR(C273&gt;P273,C273&lt;J273),C273,NA()),NA())</f>
        <v>#N/A</v>
      </c>
      <c r="R273" s="5" t="e">
        <f t="shared" ca="1" si="104"/>
        <v>#N/A</v>
      </c>
      <c r="S273" s="68" t="e">
        <f t="shared" ca="1" si="105"/>
        <v>#N/A</v>
      </c>
      <c r="T273" s="68" t="e">
        <f t="shared" ca="1" si="106"/>
        <v>#N/A</v>
      </c>
      <c r="U273" s="68" t="e">
        <f t="shared" ca="1" si="107"/>
        <v>#N/A</v>
      </c>
      <c r="V273" s="5" t="e">
        <f t="shared" ca="1" si="86"/>
        <v>#N/A</v>
      </c>
      <c r="W273" s="5" t="e">
        <f t="shared" ref="W273:W275" ca="1" si="123">IF(ISNA(H273)=TRUE,IF(ABS(SUM(V273:V281))=9,C273,NA()),NA())</f>
        <v>#N/A</v>
      </c>
      <c r="X273" s="68">
        <f t="shared" ca="1" si="101"/>
        <v>0</v>
      </c>
      <c r="Y273" s="68" t="e">
        <f t="shared" ca="1" si="108"/>
        <v>#N/A</v>
      </c>
      <c r="Z273" s="68" t="e">
        <f t="shared" ca="1" si="109"/>
        <v>#N/A</v>
      </c>
      <c r="AA273" s="5" t="str">
        <f>IF(Setup!$I$15="Yes",'Demand background (hide)'!AJ261+'SPC background (hide)'!C273,"")</f>
        <v/>
      </c>
      <c r="AC273" s="5" t="e">
        <f t="shared" ref="AC273:AC275" ca="1" si="124">VLOOKUP($A273,$AG$2:$AS$54,12,0)</f>
        <v>#N/A</v>
      </c>
      <c r="AD273" s="5" t="e">
        <f t="shared" ref="AD273:AD275" ca="1" si="125">VLOOKUP($A273,$AG$2:$AS$54,13,0)</f>
        <v>#N/A</v>
      </c>
    </row>
    <row r="274" spans="1:30" x14ac:dyDescent="0.2">
      <c r="A274" s="68" t="str">
        <f ca="1">Demand!C271</f>
        <v/>
      </c>
      <c r="B274" s="68">
        <v>259</v>
      </c>
      <c r="C274" s="5">
        <f ca="1">'Demand background (hide)'!Y262</f>
        <v>0</v>
      </c>
      <c r="D274" s="68">
        <f t="shared" si="110"/>
        <v>0</v>
      </c>
      <c r="E274" s="68" t="e">
        <f t="shared" ca="1" si="111"/>
        <v>#N/A</v>
      </c>
      <c r="F274" s="68" t="e">
        <f t="shared" ca="1" si="112"/>
        <v>#N/A</v>
      </c>
      <c r="G274" s="68" t="e">
        <f t="shared" ca="1" si="113"/>
        <v>#N/A</v>
      </c>
      <c r="H274" s="68" t="e">
        <f>IF('Demand background (hide)'!AN262&lt;&gt;"",'SPC background (hide)'!C274,NA())</f>
        <v>#N/A</v>
      </c>
      <c r="I274" s="68" t="e">
        <f t="shared" ca="1" si="114"/>
        <v>#N/A</v>
      </c>
      <c r="J274" s="5" t="e">
        <f t="shared" ca="1" si="115"/>
        <v>#N/A</v>
      </c>
      <c r="K274" s="5" t="e">
        <f t="shared" ca="1" si="116"/>
        <v>#N/A</v>
      </c>
      <c r="L274" s="5" t="e">
        <f t="shared" ca="1" si="117"/>
        <v>#N/A</v>
      </c>
      <c r="M274" s="5" t="e">
        <f t="shared" ca="1" si="118"/>
        <v>#N/A</v>
      </c>
      <c r="N274" s="5" t="e">
        <f t="shared" ca="1" si="119"/>
        <v>#N/A</v>
      </c>
      <c r="O274" s="5" t="e">
        <f t="shared" ca="1" si="120"/>
        <v>#N/A</v>
      </c>
      <c r="P274" s="5" t="e">
        <f t="shared" ca="1" si="121"/>
        <v>#N/A</v>
      </c>
      <c r="Q274" s="5" t="e">
        <f t="shared" ca="1" si="122"/>
        <v>#N/A</v>
      </c>
      <c r="R274" s="5" t="e">
        <f t="shared" ref="R274:R275" ca="1" si="126">IF(C274&gt;O274,2,IF(C274&lt;K274,-2,IF(C274&gt;M274,1,IF(C274&lt;M274,-1,0))))</f>
        <v>#N/A</v>
      </c>
      <c r="S274" s="68" t="e">
        <f t="shared" ref="S274:S275" ca="1" si="127">IF(ISNA(H274),IF(ABS(SUM(R274:R276))&gt;=5,C274,NA()),NA())</f>
        <v>#N/A</v>
      </c>
      <c r="T274" s="68" t="e">
        <f t="shared" ref="T274:T275" ca="1" si="128">IF(C274&gt;N274,2,IF(C274&lt;L274,-2,IF(C274&gt;M274,1,IF(C274&lt;M274,-1,0))))</f>
        <v>#N/A</v>
      </c>
      <c r="U274" s="68" t="e">
        <f t="shared" ref="U274:U275" ca="1" si="129">IF(ISNA(H274)=TRUE,IF(ABS(SUM(T274:T278))&gt;=9,C274,NA()),NA())</f>
        <v>#N/A</v>
      </c>
      <c r="V274" s="5" t="e">
        <f t="shared" ca="1" si="86"/>
        <v>#N/A</v>
      </c>
      <c r="W274" s="5" t="e">
        <f t="shared" ca="1" si="123"/>
        <v>#N/A</v>
      </c>
      <c r="X274" s="68">
        <f t="shared" ca="1" si="101"/>
        <v>0</v>
      </c>
      <c r="Y274" s="68" t="e">
        <f t="shared" ref="Y274:Y275" ca="1" si="130">IF(ISNA(H274)=TRUE,IF(ABS(SUM(X274:X279))=6,C274,NA()),NA())</f>
        <v>#N/A</v>
      </c>
      <c r="Z274" s="68" t="e">
        <f t="shared" ref="Z274:Z275" ca="1" si="131">IF(ISNA(H274)=TRUE,IF(AND(ABS(SUM(T274:T281))=8,SUM(T274:T281)&lt;ABS(SUM(T274:T281))),C274,NA()),NA())</f>
        <v>#N/A</v>
      </c>
      <c r="AA274" s="5" t="str">
        <f>IF(Setup!$I$15="Yes",'Demand background (hide)'!AJ262+'SPC background (hide)'!C274,"")</f>
        <v/>
      </c>
      <c r="AC274" s="5" t="e">
        <f t="shared" ca="1" si="124"/>
        <v>#N/A</v>
      </c>
      <c r="AD274" s="5" t="e">
        <f t="shared" ca="1" si="125"/>
        <v>#N/A</v>
      </c>
    </row>
    <row r="275" spans="1:30" x14ac:dyDescent="0.2">
      <c r="A275" s="68" t="str">
        <f ca="1">Demand!C272</f>
        <v/>
      </c>
      <c r="B275" s="68">
        <v>260</v>
      </c>
      <c r="C275" s="5">
        <f ca="1">'Demand background (hide)'!Y263</f>
        <v>0</v>
      </c>
      <c r="D275" s="68">
        <f t="shared" si="110"/>
        <v>0</v>
      </c>
      <c r="E275" s="68" t="e">
        <f t="shared" ca="1" si="111"/>
        <v>#N/A</v>
      </c>
      <c r="F275" s="68" t="e">
        <f t="shared" ca="1" si="112"/>
        <v>#N/A</v>
      </c>
      <c r="G275" s="68" t="e">
        <f t="shared" ca="1" si="113"/>
        <v>#N/A</v>
      </c>
      <c r="H275" s="68" t="e">
        <f>IF('Demand background (hide)'!AN263&lt;&gt;"",'SPC background (hide)'!C275,NA())</f>
        <v>#N/A</v>
      </c>
      <c r="I275" s="68" t="e">
        <f t="shared" ca="1" si="114"/>
        <v>#N/A</v>
      </c>
      <c r="J275" s="5" t="e">
        <f t="shared" ca="1" si="115"/>
        <v>#N/A</v>
      </c>
      <c r="K275" s="5" t="e">
        <f t="shared" ca="1" si="116"/>
        <v>#N/A</v>
      </c>
      <c r="L275" s="5" t="e">
        <f t="shared" ca="1" si="117"/>
        <v>#N/A</v>
      </c>
      <c r="M275" s="5" t="e">
        <f t="shared" ca="1" si="118"/>
        <v>#N/A</v>
      </c>
      <c r="N275" s="5" t="e">
        <f t="shared" ca="1" si="119"/>
        <v>#N/A</v>
      </c>
      <c r="O275" s="5" t="e">
        <f t="shared" ca="1" si="120"/>
        <v>#N/A</v>
      </c>
      <c r="P275" s="5" t="e">
        <f t="shared" ca="1" si="121"/>
        <v>#N/A</v>
      </c>
      <c r="Q275" s="5" t="e">
        <f t="shared" ca="1" si="122"/>
        <v>#N/A</v>
      </c>
      <c r="R275" s="5" t="e">
        <f t="shared" ca="1" si="126"/>
        <v>#N/A</v>
      </c>
      <c r="S275" s="68" t="e">
        <f t="shared" ca="1" si="127"/>
        <v>#N/A</v>
      </c>
      <c r="T275" s="68" t="e">
        <f t="shared" ca="1" si="128"/>
        <v>#N/A</v>
      </c>
      <c r="U275" s="68" t="e">
        <f t="shared" ca="1" si="129"/>
        <v>#N/A</v>
      </c>
      <c r="V275" s="5" t="e">
        <f t="shared" ca="1" si="86"/>
        <v>#N/A</v>
      </c>
      <c r="W275" s="5" t="e">
        <f t="shared" ca="1" si="123"/>
        <v>#N/A</v>
      </c>
      <c r="X275" s="68">
        <f t="shared" ca="1" si="101"/>
        <v>0</v>
      </c>
      <c r="Y275" s="68" t="e">
        <f t="shared" ca="1" si="130"/>
        <v>#N/A</v>
      </c>
      <c r="Z275" s="68" t="e">
        <f t="shared" ca="1" si="131"/>
        <v>#N/A</v>
      </c>
      <c r="AA275" s="5" t="str">
        <f>IF(Setup!$I$15="Yes",'Demand background (hide)'!AJ263+'SPC background (hide)'!C275,"")</f>
        <v/>
      </c>
      <c r="AC275" s="5" t="e">
        <f t="shared" ca="1" si="124"/>
        <v>#N/A</v>
      </c>
      <c r="AD275" s="5" t="e">
        <f t="shared" ca="1" si="125"/>
        <v>#N/A</v>
      </c>
    </row>
  </sheetData>
  <pageMargins left="0.7" right="0.7" top="0.75" bottom="0.75" header="0.3" footer="0.3"/>
  <pageSetup paperSize="9" orientation="portrait" horizontalDpi="90" verticalDpi="9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A1:T272"/>
  <sheetViews>
    <sheetView showGridLines="0" showRowColHeaders="0" topLeftCell="B1" workbookViewId="0">
      <selection activeCell="I24" sqref="I24"/>
    </sheetView>
  </sheetViews>
  <sheetFormatPr defaultRowHeight="14.25" x14ac:dyDescent="0.2"/>
  <cols>
    <col min="1" max="1" width="9" hidden="1" customWidth="1"/>
    <col min="2" max="2" width="12.625" bestFit="1" customWidth="1"/>
    <col min="3" max="3" width="20.75" customWidth="1"/>
    <col min="4" max="5" width="20.75" hidden="1" customWidth="1"/>
    <col min="6" max="14" width="13.125" hidden="1" customWidth="1"/>
    <col min="15" max="15" width="18.875" customWidth="1"/>
    <col min="17" max="18" width="9" customWidth="1"/>
    <col min="20" max="20" width="9.875" bestFit="1" customWidth="1"/>
  </cols>
  <sheetData>
    <row r="1" spans="1:20" x14ac:dyDescent="0.2">
      <c r="A1" t="s">
        <v>53</v>
      </c>
    </row>
    <row r="2" spans="1:20" x14ac:dyDescent="0.2">
      <c r="B2" t="s">
        <v>226</v>
      </c>
    </row>
    <row r="3" spans="1:20" x14ac:dyDescent="0.2">
      <c r="A3" t="s">
        <v>55</v>
      </c>
      <c r="B3" t="s">
        <v>227</v>
      </c>
    </row>
    <row r="5" spans="1:20" x14ac:dyDescent="0.2">
      <c r="A5" t="s">
        <v>54</v>
      </c>
    </row>
    <row r="6" spans="1:20" x14ac:dyDescent="0.2">
      <c r="A6">
        <f ca="1">MAX(A13:A272)</f>
        <v>7</v>
      </c>
      <c r="B6" t="s">
        <v>219</v>
      </c>
      <c r="C6" s="340" t="s">
        <v>24</v>
      </c>
      <c r="D6" s="68"/>
    </row>
    <row r="8" spans="1:20" x14ac:dyDescent="0.2">
      <c r="B8" t="s">
        <v>220</v>
      </c>
      <c r="C8" s="213"/>
    </row>
    <row r="10" spans="1:20" x14ac:dyDescent="0.2">
      <c r="B10" s="355" t="s">
        <v>130</v>
      </c>
      <c r="C10" s="355" t="s">
        <v>57</v>
      </c>
      <c r="D10" s="355" t="s">
        <v>1</v>
      </c>
      <c r="E10" s="271" t="str">
        <f ca="1">OFFSET('Control sheet (hide)'!$AA$3,COLUMN(A1)-1,0,1,1)</f>
        <v>Test name 1</v>
      </c>
      <c r="F10" s="271" t="str">
        <f ca="1">OFFSET('Control sheet (hide)'!$AA$3,COLUMN(B1)-1,0,1,1)</f>
        <v>Test name 2</v>
      </c>
      <c r="G10" s="271" t="str">
        <f ca="1">OFFSET('Control sheet (hide)'!$AA$3,COLUMN(C1)-1,0,1,1)</f>
        <v>Another modality</v>
      </c>
      <c r="H10" s="271" t="str">
        <f ca="1">OFFSET('Control sheet (hide)'!$AA$3,COLUMN(D1)-1,0,1,1)</f>
        <v>Modality 4</v>
      </c>
      <c r="I10" s="271" t="str">
        <f ca="1">OFFSET('Control sheet (hide)'!$AA$3,COLUMN(E1)-1,0,1,1)</f>
        <v>Modality 5</v>
      </c>
      <c r="J10" s="271" t="str">
        <f ca="1">OFFSET('Control sheet (hide)'!$AA$3,COLUMN(F1)-1,0,1,1)</f>
        <v>Modality 6</v>
      </c>
      <c r="K10" s="271" t="str">
        <f ca="1">OFFSET('Control sheet (hide)'!$AA$3,COLUMN(G1)-1,0,1,1)</f>
        <v>Modality 7</v>
      </c>
      <c r="L10" s="271" t="str">
        <f ca="1">OFFSET('Control sheet (hide)'!$AA$3,COLUMN(H1)-1,0,1,1)</f>
        <v>Modality 8</v>
      </c>
      <c r="M10" s="271" t="str">
        <f ca="1">OFFSET('Control sheet (hide)'!$AA$3,COLUMN(I1)-1,0,1,1)</f>
        <v>Modality 9</v>
      </c>
      <c r="N10" s="271" t="str">
        <f ca="1">OFFSET('Control sheet (hide)'!$AA$3,COLUMN(J1)-1,0,1,1)</f>
        <v>Modality 10</v>
      </c>
      <c r="O10" s="7" t="s">
        <v>221</v>
      </c>
      <c r="P10" s="354" t="s">
        <v>224</v>
      </c>
      <c r="Q10" s="354" t="str">
        <f>"Total "&amp;"("&amp;Setup!$I$17&amp;")"</f>
        <v>Total (Minutes)</v>
      </c>
      <c r="R10" s="354" t="s">
        <v>113</v>
      </c>
    </row>
    <row r="11" spans="1:20" x14ac:dyDescent="0.2">
      <c r="B11" s="355"/>
      <c r="C11" s="355"/>
      <c r="D11" s="355"/>
      <c r="E11" s="271" t="str">
        <f ca="1">IF(Setup!$I$17&lt;&gt;"Patients",Setup!$I$17&amp;": "&amp;OFFSET('Demand background (hide)'!$BN$6,COLUMN(A1)-1,0,1,1),"")</f>
        <v>Minutes: 30</v>
      </c>
      <c r="F11" s="271" t="str">
        <f ca="1">IF(Setup!$I$17&lt;&gt;"Patients",Setup!$I$17&amp;": "&amp;OFFSET('Demand background (hide)'!$BN$6,COLUMN(B1)-1,0,1,1),"")</f>
        <v>Minutes: 40</v>
      </c>
      <c r="G11" s="271" t="str">
        <f ca="1">IF(Setup!$I$17&lt;&gt;"Patients",Setup!$I$17&amp;": "&amp;OFFSET('Demand background (hide)'!$BN$6,COLUMN(C1)-1,0,1,1),"")</f>
        <v>Minutes: 1</v>
      </c>
      <c r="H11" s="271" t="str">
        <f ca="1">IF(Setup!$I$17&lt;&gt;"Patients",Setup!$I$17&amp;": "&amp;OFFSET('Demand background (hide)'!$BN$6,COLUMN(D1)-1,0,1,1),"")</f>
        <v>Minutes: 1</v>
      </c>
      <c r="I11" s="271" t="str">
        <f ca="1">IF(Setup!$I$17&lt;&gt;"Patients",Setup!$I$17&amp;": "&amp;OFFSET('Demand background (hide)'!$BN$6,COLUMN(E1)-1,0,1,1),"")</f>
        <v>Minutes: 1</v>
      </c>
      <c r="J11" s="271" t="str">
        <f ca="1">IF(Setup!$I$17&lt;&gt;"Patients",Setup!$I$17&amp;": "&amp;OFFSET('Demand background (hide)'!$BN$6,COLUMN(F1)-1,0,1,1),"")</f>
        <v>Minutes: 1</v>
      </c>
      <c r="K11" s="271" t="str">
        <f ca="1">IF(Setup!$I$17&lt;&gt;"Patients",Setup!$I$17&amp;": "&amp;OFFSET('Demand background (hide)'!$BN$6,COLUMN(G1)-1,0,1,1),"")</f>
        <v>Minutes: 1</v>
      </c>
      <c r="L11" s="271" t="str">
        <f ca="1">IF(Setup!$I$17&lt;&gt;"Patients",Setup!$I$17&amp;": "&amp;OFFSET('Demand background (hide)'!$BN$6,COLUMN(H1)-1,0,1,1),"")</f>
        <v>Minutes: 1</v>
      </c>
      <c r="M11" s="271" t="str">
        <f ca="1">IF(Setup!$I$17&lt;&gt;"Patients",Setup!$I$17&amp;": "&amp;OFFSET('Demand background (hide)'!$BN$6,COLUMN(I1)-1,0,1,1),"")</f>
        <v>Minutes: 1</v>
      </c>
      <c r="N11" s="271" t="str">
        <f ca="1">IF(Setup!$I$17&lt;&gt;"Patients",Setup!$I$17&amp;": "&amp;OFFSET('Demand background (hide)'!$BN$6,COLUMN(J1)-1,0,1,1),"")</f>
        <v>Minutes: 1</v>
      </c>
      <c r="O11" s="7" t="str">
        <f ca="1">IF(Setup!$I$17&lt;&gt;"Patients",Setup!$I$17&amp;": "&amp;TEXT(OFFSET('Demand background (hide)'!$BN$6,COLUMN(K1)-1,0,1,1),"#"),"")</f>
        <v>Minutes: 37</v>
      </c>
      <c r="P11" s="354"/>
      <c r="Q11" s="354"/>
      <c r="R11" s="354"/>
    </row>
    <row r="12" spans="1:20" x14ac:dyDescent="0.2">
      <c r="B12" s="355"/>
      <c r="C12" s="355"/>
      <c r="D12" s="355"/>
      <c r="E12" s="7"/>
      <c r="F12" s="7"/>
      <c r="G12" s="7"/>
      <c r="H12" s="7"/>
      <c r="I12" s="7"/>
      <c r="J12" s="7"/>
      <c r="K12" s="7"/>
      <c r="L12" s="7"/>
      <c r="M12" s="7"/>
      <c r="N12" s="7"/>
      <c r="O12" s="7"/>
      <c r="P12" s="354"/>
      <c r="Q12" s="354"/>
      <c r="R12" s="354"/>
    </row>
    <row r="13" spans="1:20" x14ac:dyDescent="0.2">
      <c r="A13">
        <f>1</f>
        <v>1</v>
      </c>
      <c r="B13" s="273">
        <f>IF(C8&lt;&gt;"",YEAR(C8),1)</f>
        <v>1</v>
      </c>
      <c r="C13" s="274">
        <f>IF($C$8&lt;&gt;"",WEEKNUM($C$8,21),1)</f>
        <v>1</v>
      </c>
      <c r="D13" s="336" t="str">
        <f>IF($C$8&lt;&gt;"",C8,"")</f>
        <v/>
      </c>
      <c r="E13" s="154"/>
      <c r="F13" s="154"/>
      <c r="G13" s="154"/>
      <c r="H13" s="154"/>
      <c r="I13" s="154"/>
      <c r="J13" s="154"/>
      <c r="K13" s="154"/>
      <c r="L13" s="154"/>
      <c r="M13" s="154"/>
      <c r="N13" s="154"/>
      <c r="O13" s="154">
        <v>4</v>
      </c>
      <c r="P13" s="274">
        <f ca="1">IF('Planned background (hide)'!B2&lt;Num_Modalities,IF($C$6="Overall",O13,SUM(OFFSET($E13,0,0,1,Num_Modalities))),"")</f>
        <v>4</v>
      </c>
      <c r="Q13" s="278">
        <f ca="1">IF(AND('Planned background (hide)'!B2&lt;Num_Modalities,R13&lt;&gt;"Yes"),'Planned background (hide)'!S3,"")</f>
        <v>147.93103448275863</v>
      </c>
      <c r="R13" s="154"/>
      <c r="T13" s="37"/>
    </row>
    <row r="14" spans="1:20" x14ac:dyDescent="0.2">
      <c r="A14">
        <f ca="1">IF(P14&lt;&gt;"",ROW(A2),"")</f>
        <v>2</v>
      </c>
      <c r="B14" s="273" t="str">
        <f t="shared" ref="B14:B45" ca="1" si="0">IF(A14&lt;=PMaxRows,IF($C$8&lt;&gt;"",IF(YEAR(D14)&lt;&gt;YEAR(D13),YEAR(D14)," "),IF(C14&lt;&gt;1,"",OFFSET(B14,-C13,0,1,1)+1))," ")</f>
        <v/>
      </c>
      <c r="C14" s="274">
        <f t="shared" ref="C14:C45" ca="1" si="1">IF(ROW(A2)&lt;=PMaxRows,IF($C$8&lt;&gt;"",WEEKNUM(D14,21),IF(MOD((C13+1),53)&gt;0,MOD((C13+1),53),53)),"")</f>
        <v>2</v>
      </c>
      <c r="D14" s="336" t="str">
        <f t="shared" ref="D14:D45" ca="1" si="2">IF(ROW(A2)&lt;=PMaxRows,IF($C$8&lt;&gt;"",D13+7,""),"")</f>
        <v/>
      </c>
      <c r="E14" s="154"/>
      <c r="F14" s="154"/>
      <c r="G14" s="154"/>
      <c r="H14" s="154"/>
      <c r="I14" s="154"/>
      <c r="J14" s="154"/>
      <c r="K14" s="154"/>
      <c r="L14" s="154"/>
      <c r="M14" s="154"/>
      <c r="N14" s="154"/>
      <c r="O14" s="154">
        <v>5</v>
      </c>
      <c r="P14" s="274">
        <f ca="1">IF('Planned background (hide)'!B3&lt;Num_Modalities,IF($C$6="Overall",O14,SUM(OFFSET($E14,0,0,1,Num_Modalities))),"")</f>
        <v>5</v>
      </c>
      <c r="Q14" s="278">
        <f ca="1">IF(AND('Planned background (hide)'!B3&lt;Num_Modalities,R14&lt;&gt;"Yes"),'Planned background (hide)'!S4,"")</f>
        <v>184.91379310344828</v>
      </c>
      <c r="R14" s="154"/>
      <c r="T14" s="37"/>
    </row>
    <row r="15" spans="1:20" x14ac:dyDescent="0.2">
      <c r="A15" s="68">
        <f t="shared" ref="A15:A64" ca="1" si="3">IF(P15&lt;&gt;"",ROW(A3),"")</f>
        <v>3</v>
      </c>
      <c r="B15" s="273" t="str">
        <f t="shared" ca="1" si="0"/>
        <v/>
      </c>
      <c r="C15" s="274">
        <f t="shared" ca="1" si="1"/>
        <v>3</v>
      </c>
      <c r="D15" s="336" t="str">
        <f t="shared" ca="1" si="2"/>
        <v/>
      </c>
      <c r="E15" s="154"/>
      <c r="F15" s="154"/>
      <c r="G15" s="154"/>
      <c r="H15" s="154"/>
      <c r="I15" s="154"/>
      <c r="J15" s="154"/>
      <c r="K15" s="154"/>
      <c r="L15" s="154"/>
      <c r="M15" s="154"/>
      <c r="N15" s="154"/>
      <c r="O15" s="154">
        <v>2</v>
      </c>
      <c r="P15" s="274">
        <f ca="1">IF('Planned background (hide)'!B4&lt;Num_Modalities,IF($C$6="Overall",O15,SUM(OFFSET($E15,0,0,1,Num_Modalities))),"")</f>
        <v>2</v>
      </c>
      <c r="Q15" s="278">
        <f ca="1">IF(AND('Planned background (hide)'!B4&lt;Num_Modalities,R15&lt;&gt;"Yes"),'Planned background (hide)'!S5,"")</f>
        <v>73.965517241379317</v>
      </c>
      <c r="R15" s="154"/>
      <c r="T15" s="37"/>
    </row>
    <row r="16" spans="1:20" x14ac:dyDescent="0.2">
      <c r="A16" s="68">
        <f t="shared" ca="1" si="3"/>
        <v>4</v>
      </c>
      <c r="B16" s="273" t="str">
        <f t="shared" ca="1" si="0"/>
        <v/>
      </c>
      <c r="C16" s="274">
        <f t="shared" ca="1" si="1"/>
        <v>4</v>
      </c>
      <c r="D16" s="336" t="str">
        <f t="shared" ca="1" si="2"/>
        <v/>
      </c>
      <c r="E16" s="154"/>
      <c r="F16" s="154"/>
      <c r="G16" s="154"/>
      <c r="H16" s="154"/>
      <c r="I16" s="154"/>
      <c r="J16" s="154"/>
      <c r="K16" s="154"/>
      <c r="L16" s="154"/>
      <c r="M16" s="154"/>
      <c r="N16" s="154"/>
      <c r="O16" s="154">
        <v>3</v>
      </c>
      <c r="P16" s="274">
        <f ca="1">IF('Planned background (hide)'!B5&lt;Num_Modalities,IF($C$6="Overall",O16,SUM(OFFSET($E16,0,0,1,Num_Modalities))),"")</f>
        <v>3</v>
      </c>
      <c r="Q16" s="278">
        <f ca="1">IF(AND('Planned background (hide)'!B5&lt;Num_Modalities,R16&lt;&gt;"Yes"),'Planned background (hide)'!S6,"")</f>
        <v>110.94827586206898</v>
      </c>
      <c r="R16" s="154"/>
      <c r="T16" s="37"/>
    </row>
    <row r="17" spans="1:20" x14ac:dyDescent="0.2">
      <c r="A17" s="68">
        <f t="shared" ca="1" si="3"/>
        <v>5</v>
      </c>
      <c r="B17" s="273" t="str">
        <f t="shared" ca="1" si="0"/>
        <v/>
      </c>
      <c r="C17" s="274">
        <f t="shared" ca="1" si="1"/>
        <v>5</v>
      </c>
      <c r="D17" s="336" t="str">
        <f t="shared" ca="1" si="2"/>
        <v/>
      </c>
      <c r="E17" s="154"/>
      <c r="F17" s="154"/>
      <c r="G17" s="154"/>
      <c r="H17" s="154"/>
      <c r="I17" s="154"/>
      <c r="J17" s="154"/>
      <c r="K17" s="154"/>
      <c r="L17" s="154"/>
      <c r="M17" s="154"/>
      <c r="N17" s="154"/>
      <c r="O17" s="154">
        <v>5</v>
      </c>
      <c r="P17" s="274">
        <f ca="1">IF('Planned background (hide)'!B6&lt;Num_Modalities,IF($C$6="Overall",O17,SUM(OFFSET($E17,0,0,1,Num_Modalities))),"")</f>
        <v>5</v>
      </c>
      <c r="Q17" s="278">
        <f ca="1">IF(AND('Planned background (hide)'!B6&lt;Num_Modalities,R17&lt;&gt;"Yes"),'Planned background (hide)'!S7,"")</f>
        <v>184.91379310344828</v>
      </c>
      <c r="R17" s="154"/>
      <c r="T17" s="37"/>
    </row>
    <row r="18" spans="1:20" x14ac:dyDescent="0.2">
      <c r="A18" s="68">
        <f t="shared" ca="1" si="3"/>
        <v>6</v>
      </c>
      <c r="B18" s="273" t="str">
        <f t="shared" ca="1" si="0"/>
        <v/>
      </c>
      <c r="C18" s="274">
        <f t="shared" ca="1" si="1"/>
        <v>6</v>
      </c>
      <c r="D18" s="336" t="str">
        <f t="shared" ca="1" si="2"/>
        <v/>
      </c>
      <c r="E18" s="154"/>
      <c r="F18" s="154"/>
      <c r="G18" s="154"/>
      <c r="H18" s="154"/>
      <c r="I18" s="154"/>
      <c r="J18" s="154"/>
      <c r="K18" s="154"/>
      <c r="L18" s="154"/>
      <c r="M18" s="154"/>
      <c r="N18" s="154"/>
      <c r="O18" s="154">
        <v>3</v>
      </c>
      <c r="P18" s="274">
        <f ca="1">IF('Planned background (hide)'!B7&lt;Num_Modalities,IF($C$6="Overall",O18,SUM(OFFSET($E18,0,0,1,Num_Modalities))),"")</f>
        <v>3</v>
      </c>
      <c r="Q18" s="278">
        <f ca="1">IF(AND('Planned background (hide)'!B7&lt;Num_Modalities,R18&lt;&gt;"Yes"),'Planned background (hide)'!S8,"")</f>
        <v>110.94827586206898</v>
      </c>
      <c r="R18" s="154"/>
      <c r="T18" s="37"/>
    </row>
    <row r="19" spans="1:20" x14ac:dyDescent="0.2">
      <c r="A19" s="68">
        <f t="shared" ca="1" si="3"/>
        <v>7</v>
      </c>
      <c r="B19" s="273" t="str">
        <f t="shared" ca="1" si="0"/>
        <v/>
      </c>
      <c r="C19" s="274">
        <f t="shared" ca="1" si="1"/>
        <v>7</v>
      </c>
      <c r="D19" s="336" t="str">
        <f t="shared" ca="1" si="2"/>
        <v/>
      </c>
      <c r="E19" s="154"/>
      <c r="F19" s="154"/>
      <c r="G19" s="154"/>
      <c r="H19" s="154"/>
      <c r="I19" s="154"/>
      <c r="J19" s="154"/>
      <c r="K19" s="154"/>
      <c r="L19" s="154"/>
      <c r="M19" s="154"/>
      <c r="N19" s="154"/>
      <c r="O19" s="154">
        <v>4</v>
      </c>
      <c r="P19" s="274">
        <f ca="1">IF('Planned background (hide)'!B8&lt;Num_Modalities,IF($C$6="Overall",O19,SUM(OFFSET($E19,0,0,1,Num_Modalities))),"")</f>
        <v>4</v>
      </c>
      <c r="Q19" s="278">
        <f ca="1">IF(AND('Planned background (hide)'!B8&lt;Num_Modalities,R19&lt;&gt;"Yes"),'Planned background (hide)'!S9,"")</f>
        <v>147.93103448275863</v>
      </c>
      <c r="R19" s="154"/>
      <c r="T19" s="37"/>
    </row>
    <row r="20" spans="1:20" x14ac:dyDescent="0.2">
      <c r="A20" s="68" t="str">
        <f t="shared" ca="1" si="3"/>
        <v/>
      </c>
      <c r="B20" s="273" t="str">
        <f t="shared" ca="1" si="0"/>
        <v xml:space="preserve"> </v>
      </c>
      <c r="C20" s="274" t="str">
        <f t="shared" ca="1" si="1"/>
        <v/>
      </c>
      <c r="D20" s="336" t="str">
        <f t="shared" ca="1" si="2"/>
        <v/>
      </c>
      <c r="E20" s="154"/>
      <c r="F20" s="154"/>
      <c r="G20" s="154"/>
      <c r="H20" s="154"/>
      <c r="I20" s="154"/>
      <c r="J20" s="154"/>
      <c r="K20" s="154"/>
      <c r="L20" s="154"/>
      <c r="M20" s="154"/>
      <c r="N20" s="154"/>
      <c r="O20" s="154"/>
      <c r="P20" s="274" t="str">
        <f ca="1">IF('Planned background (hide)'!B9&lt;Num_Modalities,IF($C$6="Overall",O20,SUM(OFFSET($E20,0,0,1,Num_Modalities))),"")</f>
        <v/>
      </c>
      <c r="Q20" s="278" t="str">
        <f ca="1">IF(AND('Planned background (hide)'!B9&lt;Num_Modalities,R20&lt;&gt;"Yes"),'Planned background (hide)'!S10,"")</f>
        <v/>
      </c>
      <c r="R20" s="154"/>
      <c r="T20" s="37"/>
    </row>
    <row r="21" spans="1:20" x14ac:dyDescent="0.2">
      <c r="A21" s="68" t="str">
        <f t="shared" ca="1" si="3"/>
        <v/>
      </c>
      <c r="B21" s="273" t="str">
        <f t="shared" ca="1" si="0"/>
        <v xml:space="preserve"> </v>
      </c>
      <c r="C21" s="274" t="str">
        <f t="shared" ca="1" si="1"/>
        <v/>
      </c>
      <c r="D21" s="336" t="str">
        <f t="shared" ca="1" si="2"/>
        <v/>
      </c>
      <c r="E21" s="154"/>
      <c r="F21" s="154"/>
      <c r="G21" s="154"/>
      <c r="H21" s="154"/>
      <c r="I21" s="154"/>
      <c r="J21" s="154"/>
      <c r="K21" s="154"/>
      <c r="L21" s="154"/>
      <c r="M21" s="154"/>
      <c r="N21" s="154"/>
      <c r="O21" s="154"/>
      <c r="P21" s="274" t="str">
        <f ca="1">IF('Planned background (hide)'!B10&lt;Num_Modalities,IF($C$6="Overall",O21,SUM(OFFSET($E21,0,0,1,Num_Modalities))),"")</f>
        <v/>
      </c>
      <c r="Q21" s="278" t="str">
        <f ca="1">IF(AND('Planned background (hide)'!B10&lt;Num_Modalities,R21&lt;&gt;"Yes"),'Planned background (hide)'!S11,"")</f>
        <v/>
      </c>
      <c r="R21" s="154"/>
      <c r="T21" s="37"/>
    </row>
    <row r="22" spans="1:20" x14ac:dyDescent="0.2">
      <c r="A22" s="68" t="str">
        <f t="shared" ca="1" si="3"/>
        <v/>
      </c>
      <c r="B22" s="273" t="str">
        <f t="shared" ca="1" si="0"/>
        <v xml:space="preserve"> </v>
      </c>
      <c r="C22" s="274" t="str">
        <f t="shared" ca="1" si="1"/>
        <v/>
      </c>
      <c r="D22" s="336" t="str">
        <f t="shared" ca="1" si="2"/>
        <v/>
      </c>
      <c r="E22" s="154"/>
      <c r="F22" s="154"/>
      <c r="G22" s="154"/>
      <c r="H22" s="154"/>
      <c r="I22" s="154"/>
      <c r="J22" s="154"/>
      <c r="K22" s="154"/>
      <c r="L22" s="154"/>
      <c r="M22" s="154"/>
      <c r="N22" s="154"/>
      <c r="O22" s="154"/>
      <c r="P22" s="274" t="str">
        <f ca="1">IF('Planned background (hide)'!B11&lt;Num_Modalities,IF($C$6="Overall",O22,SUM(OFFSET($E22,0,0,1,Num_Modalities))),"")</f>
        <v/>
      </c>
      <c r="Q22" s="278" t="str">
        <f ca="1">IF(AND('Planned background (hide)'!B11&lt;Num_Modalities,R22&lt;&gt;"Yes"),'Planned background (hide)'!S12,"")</f>
        <v/>
      </c>
      <c r="R22" s="154"/>
      <c r="T22" s="37"/>
    </row>
    <row r="23" spans="1:20" x14ac:dyDescent="0.2">
      <c r="A23" s="68" t="str">
        <f t="shared" ca="1" si="3"/>
        <v/>
      </c>
      <c r="B23" s="273" t="str">
        <f t="shared" ca="1" si="0"/>
        <v xml:space="preserve"> </v>
      </c>
      <c r="C23" s="274" t="str">
        <f t="shared" ca="1" si="1"/>
        <v/>
      </c>
      <c r="D23" s="336" t="str">
        <f t="shared" ca="1" si="2"/>
        <v/>
      </c>
      <c r="E23" s="154"/>
      <c r="F23" s="154"/>
      <c r="G23" s="154"/>
      <c r="H23" s="154"/>
      <c r="I23" s="154"/>
      <c r="J23" s="154"/>
      <c r="K23" s="154"/>
      <c r="L23" s="154"/>
      <c r="M23" s="154"/>
      <c r="N23" s="154"/>
      <c r="O23" s="154"/>
      <c r="P23" s="274" t="str">
        <f ca="1">IF('Planned background (hide)'!B12&lt;Num_Modalities,IF($C$6="Overall",O23,SUM(OFFSET($E23,0,0,1,Num_Modalities))),"")</f>
        <v/>
      </c>
      <c r="Q23" s="278" t="str">
        <f ca="1">IF(AND('Planned background (hide)'!B12&lt;Num_Modalities,R23&lt;&gt;"Yes"),'Planned background (hide)'!S13,"")</f>
        <v/>
      </c>
      <c r="R23" s="154"/>
      <c r="T23" s="37"/>
    </row>
    <row r="24" spans="1:20" x14ac:dyDescent="0.2">
      <c r="A24" s="68" t="str">
        <f t="shared" ca="1" si="3"/>
        <v/>
      </c>
      <c r="B24" s="273" t="str">
        <f t="shared" ca="1" si="0"/>
        <v xml:space="preserve"> </v>
      </c>
      <c r="C24" s="274" t="str">
        <f t="shared" ca="1" si="1"/>
        <v/>
      </c>
      <c r="D24" s="336" t="str">
        <f t="shared" ca="1" si="2"/>
        <v/>
      </c>
      <c r="E24" s="154"/>
      <c r="F24" s="154"/>
      <c r="G24" s="154"/>
      <c r="H24" s="154"/>
      <c r="I24" s="154"/>
      <c r="J24" s="154"/>
      <c r="K24" s="154"/>
      <c r="L24" s="154"/>
      <c r="M24" s="154"/>
      <c r="N24" s="154"/>
      <c r="O24" s="154"/>
      <c r="P24" s="274" t="str">
        <f ca="1">IF('Planned background (hide)'!B13&lt;Num_Modalities,IF($C$6="Overall",O24,SUM(OFFSET($E24,0,0,1,Num_Modalities))),"")</f>
        <v/>
      </c>
      <c r="Q24" s="278" t="str">
        <f ca="1">IF(AND('Planned background (hide)'!B13&lt;Num_Modalities,R24&lt;&gt;"Yes"),'Planned background (hide)'!S14,"")</f>
        <v/>
      </c>
      <c r="R24" s="154"/>
      <c r="T24" s="37"/>
    </row>
    <row r="25" spans="1:20" x14ac:dyDescent="0.2">
      <c r="A25" s="68" t="str">
        <f t="shared" ca="1" si="3"/>
        <v/>
      </c>
      <c r="B25" s="273" t="str">
        <f t="shared" ca="1" si="0"/>
        <v xml:space="preserve"> </v>
      </c>
      <c r="C25" s="274" t="str">
        <f t="shared" ca="1" si="1"/>
        <v/>
      </c>
      <c r="D25" s="336" t="str">
        <f t="shared" ca="1" si="2"/>
        <v/>
      </c>
      <c r="E25" s="154"/>
      <c r="F25" s="154"/>
      <c r="G25" s="154"/>
      <c r="H25" s="154"/>
      <c r="I25" s="154"/>
      <c r="J25" s="154"/>
      <c r="K25" s="154"/>
      <c r="L25" s="154"/>
      <c r="M25" s="154"/>
      <c r="N25" s="154"/>
      <c r="O25" s="154"/>
      <c r="P25" s="274" t="str">
        <f ca="1">IF('Planned background (hide)'!B14&lt;Num_Modalities,IF($C$6="Overall",O25,SUM(OFFSET($E25,0,0,1,Num_Modalities))),"")</f>
        <v/>
      </c>
      <c r="Q25" s="278" t="str">
        <f ca="1">IF(AND('Planned background (hide)'!B14&lt;Num_Modalities,R25&lt;&gt;"Yes"),'Planned background (hide)'!S15,"")</f>
        <v/>
      </c>
      <c r="R25" s="154"/>
      <c r="T25" s="37"/>
    </row>
    <row r="26" spans="1:20" x14ac:dyDescent="0.2">
      <c r="A26" s="68" t="str">
        <f t="shared" ca="1" si="3"/>
        <v/>
      </c>
      <c r="B26" s="273" t="str">
        <f t="shared" ca="1" si="0"/>
        <v xml:space="preserve"> </v>
      </c>
      <c r="C26" s="274" t="str">
        <f t="shared" ca="1" si="1"/>
        <v/>
      </c>
      <c r="D26" s="336" t="str">
        <f t="shared" ca="1" si="2"/>
        <v/>
      </c>
      <c r="E26" s="154"/>
      <c r="F26" s="154"/>
      <c r="G26" s="154"/>
      <c r="H26" s="154"/>
      <c r="I26" s="154"/>
      <c r="J26" s="154"/>
      <c r="K26" s="154"/>
      <c r="L26" s="154"/>
      <c r="M26" s="154"/>
      <c r="N26" s="154"/>
      <c r="O26" s="154"/>
      <c r="P26" s="274" t="str">
        <f ca="1">IF('Planned background (hide)'!B15&lt;Num_Modalities,IF($C$6="Overall",O26,SUM(OFFSET($E26,0,0,1,Num_Modalities))),"")</f>
        <v/>
      </c>
      <c r="Q26" s="278" t="str">
        <f ca="1">IF(AND('Planned background (hide)'!B15&lt;Num_Modalities,R26&lt;&gt;"Yes"),'Planned background (hide)'!S16,"")</f>
        <v/>
      </c>
      <c r="R26" s="154"/>
      <c r="T26" s="37"/>
    </row>
    <row r="27" spans="1:20" x14ac:dyDescent="0.2">
      <c r="A27" s="68" t="str">
        <f t="shared" ca="1" si="3"/>
        <v/>
      </c>
      <c r="B27" s="273" t="str">
        <f t="shared" ca="1" si="0"/>
        <v xml:space="preserve"> </v>
      </c>
      <c r="C27" s="274" t="str">
        <f t="shared" ca="1" si="1"/>
        <v/>
      </c>
      <c r="D27" s="336" t="str">
        <f t="shared" ca="1" si="2"/>
        <v/>
      </c>
      <c r="E27" s="154"/>
      <c r="F27" s="154"/>
      <c r="G27" s="154"/>
      <c r="H27" s="154"/>
      <c r="I27" s="154"/>
      <c r="J27" s="154"/>
      <c r="K27" s="154"/>
      <c r="L27" s="154"/>
      <c r="M27" s="154"/>
      <c r="N27" s="154"/>
      <c r="O27" s="154"/>
      <c r="P27" s="274" t="str">
        <f ca="1">IF('Planned background (hide)'!B16&lt;Num_Modalities,IF($C$6="Overall",O27,SUM(OFFSET($E27,0,0,1,Num_Modalities))),"")</f>
        <v/>
      </c>
      <c r="Q27" s="278" t="str">
        <f ca="1">IF(AND('Planned background (hide)'!B16&lt;Num_Modalities,R27&lt;&gt;"Yes"),'Planned background (hide)'!S17,"")</f>
        <v/>
      </c>
      <c r="R27" s="154"/>
      <c r="T27" s="37"/>
    </row>
    <row r="28" spans="1:20" x14ac:dyDescent="0.2">
      <c r="A28" s="68" t="str">
        <f t="shared" ca="1" si="3"/>
        <v/>
      </c>
      <c r="B28" s="273" t="str">
        <f t="shared" ca="1" si="0"/>
        <v xml:space="preserve"> </v>
      </c>
      <c r="C28" s="274" t="str">
        <f t="shared" ca="1" si="1"/>
        <v/>
      </c>
      <c r="D28" s="336" t="str">
        <f t="shared" ca="1" si="2"/>
        <v/>
      </c>
      <c r="E28" s="154"/>
      <c r="F28" s="154"/>
      <c r="G28" s="154"/>
      <c r="H28" s="154"/>
      <c r="I28" s="154"/>
      <c r="J28" s="154"/>
      <c r="K28" s="154"/>
      <c r="L28" s="154"/>
      <c r="M28" s="154"/>
      <c r="N28" s="154"/>
      <c r="O28" s="154"/>
      <c r="P28" s="274" t="str">
        <f ca="1">IF('Planned background (hide)'!B17&lt;Num_Modalities,IF($C$6="Overall",O28,SUM(OFFSET($E28,0,0,1,Num_Modalities))),"")</f>
        <v/>
      </c>
      <c r="Q28" s="278" t="str">
        <f ca="1">IF(AND('Planned background (hide)'!B17&lt;Num_Modalities,R28&lt;&gt;"Yes"),'Planned background (hide)'!S18,"")</f>
        <v/>
      </c>
      <c r="R28" s="154"/>
      <c r="T28" s="37"/>
    </row>
    <row r="29" spans="1:20" x14ac:dyDescent="0.2">
      <c r="A29" s="68" t="str">
        <f t="shared" ca="1" si="3"/>
        <v/>
      </c>
      <c r="B29" s="273" t="str">
        <f t="shared" ca="1" si="0"/>
        <v xml:space="preserve"> </v>
      </c>
      <c r="C29" s="274" t="str">
        <f t="shared" ca="1" si="1"/>
        <v/>
      </c>
      <c r="D29" s="336" t="str">
        <f t="shared" ca="1" si="2"/>
        <v/>
      </c>
      <c r="E29" s="154"/>
      <c r="F29" s="154"/>
      <c r="G29" s="154"/>
      <c r="H29" s="154"/>
      <c r="I29" s="154"/>
      <c r="J29" s="154"/>
      <c r="K29" s="154"/>
      <c r="L29" s="154"/>
      <c r="M29" s="154"/>
      <c r="N29" s="154"/>
      <c r="O29" s="154"/>
      <c r="P29" s="274" t="str">
        <f ca="1">IF('Planned background (hide)'!B18&lt;Num_Modalities,IF($C$6="Overall",O29,SUM(OFFSET($E29,0,0,1,Num_Modalities))),"")</f>
        <v/>
      </c>
      <c r="Q29" s="278" t="str">
        <f ca="1">IF(AND('Planned background (hide)'!B18&lt;Num_Modalities,R29&lt;&gt;"Yes"),'Planned background (hide)'!S19,"")</f>
        <v/>
      </c>
      <c r="R29" s="154"/>
      <c r="T29" s="37"/>
    </row>
    <row r="30" spans="1:20" x14ac:dyDescent="0.2">
      <c r="A30" s="68" t="str">
        <f t="shared" ca="1" si="3"/>
        <v/>
      </c>
      <c r="B30" s="273" t="str">
        <f t="shared" ca="1" si="0"/>
        <v xml:space="preserve"> </v>
      </c>
      <c r="C30" s="274" t="str">
        <f t="shared" ca="1" si="1"/>
        <v/>
      </c>
      <c r="D30" s="336" t="str">
        <f t="shared" ca="1" si="2"/>
        <v/>
      </c>
      <c r="E30" s="154"/>
      <c r="F30" s="154"/>
      <c r="G30" s="154"/>
      <c r="H30" s="154"/>
      <c r="I30" s="154"/>
      <c r="J30" s="154"/>
      <c r="K30" s="154"/>
      <c r="L30" s="154"/>
      <c r="M30" s="154"/>
      <c r="N30" s="154"/>
      <c r="O30" s="154"/>
      <c r="P30" s="274" t="str">
        <f ca="1">IF('Planned background (hide)'!B19&lt;Num_Modalities,IF($C$6="Overall",O30,SUM(OFFSET($E30,0,0,1,Num_Modalities))),"")</f>
        <v/>
      </c>
      <c r="Q30" s="278" t="str">
        <f ca="1">IF(AND('Planned background (hide)'!B19&lt;Num_Modalities,R30&lt;&gt;"Yes"),'Planned background (hide)'!S20,"")</f>
        <v/>
      </c>
      <c r="R30" s="154"/>
      <c r="T30" s="37"/>
    </row>
    <row r="31" spans="1:20" x14ac:dyDescent="0.2">
      <c r="A31" s="68" t="str">
        <f t="shared" ca="1" si="3"/>
        <v/>
      </c>
      <c r="B31" s="273" t="str">
        <f t="shared" ca="1" si="0"/>
        <v xml:space="preserve"> </v>
      </c>
      <c r="C31" s="274" t="str">
        <f t="shared" ca="1" si="1"/>
        <v/>
      </c>
      <c r="D31" s="336" t="str">
        <f t="shared" ca="1" si="2"/>
        <v/>
      </c>
      <c r="E31" s="154"/>
      <c r="F31" s="154"/>
      <c r="G31" s="154"/>
      <c r="H31" s="154"/>
      <c r="I31" s="154"/>
      <c r="J31" s="154"/>
      <c r="K31" s="154"/>
      <c r="L31" s="154"/>
      <c r="M31" s="154"/>
      <c r="N31" s="154"/>
      <c r="O31" s="154"/>
      <c r="P31" s="274" t="str">
        <f ca="1">IF('Planned background (hide)'!B20&lt;Num_Modalities,IF($C$6="Overall",O31,SUM(OFFSET($E31,0,0,1,Num_Modalities))),"")</f>
        <v/>
      </c>
      <c r="Q31" s="278" t="str">
        <f ca="1">IF(AND('Planned background (hide)'!B20&lt;Num_Modalities,R31&lt;&gt;"Yes"),'Planned background (hide)'!S21,"")</f>
        <v/>
      </c>
      <c r="R31" s="154"/>
      <c r="T31" s="37"/>
    </row>
    <row r="32" spans="1:20" x14ac:dyDescent="0.2">
      <c r="A32" s="68" t="str">
        <f t="shared" ca="1" si="3"/>
        <v/>
      </c>
      <c r="B32" s="273" t="str">
        <f t="shared" ca="1" si="0"/>
        <v xml:space="preserve"> </v>
      </c>
      <c r="C32" s="274" t="str">
        <f t="shared" ca="1" si="1"/>
        <v/>
      </c>
      <c r="D32" s="336" t="str">
        <f t="shared" ca="1" si="2"/>
        <v/>
      </c>
      <c r="E32" s="154"/>
      <c r="F32" s="154"/>
      <c r="G32" s="154"/>
      <c r="H32" s="154"/>
      <c r="I32" s="154"/>
      <c r="J32" s="154"/>
      <c r="K32" s="154"/>
      <c r="L32" s="154"/>
      <c r="M32" s="154"/>
      <c r="N32" s="154"/>
      <c r="O32" s="154"/>
      <c r="P32" s="274" t="str">
        <f ca="1">IF('Planned background (hide)'!B21&lt;Num_Modalities,IF($C$6="Overall",O32,SUM(OFFSET($E32,0,0,1,Num_Modalities))),"")</f>
        <v/>
      </c>
      <c r="Q32" s="278" t="str">
        <f ca="1">IF(AND('Planned background (hide)'!B21&lt;Num_Modalities,R32&lt;&gt;"Yes"),'Planned background (hide)'!S22,"")</f>
        <v/>
      </c>
      <c r="R32" s="154"/>
      <c r="T32" s="37"/>
    </row>
    <row r="33" spans="1:20" x14ac:dyDescent="0.2">
      <c r="A33" s="68" t="str">
        <f t="shared" ca="1" si="3"/>
        <v/>
      </c>
      <c r="B33" s="273" t="str">
        <f t="shared" ca="1" si="0"/>
        <v xml:space="preserve"> </v>
      </c>
      <c r="C33" s="274" t="str">
        <f t="shared" ca="1" si="1"/>
        <v/>
      </c>
      <c r="D33" s="336" t="str">
        <f t="shared" ca="1" si="2"/>
        <v/>
      </c>
      <c r="E33" s="154"/>
      <c r="F33" s="154"/>
      <c r="G33" s="154"/>
      <c r="H33" s="154"/>
      <c r="I33" s="154"/>
      <c r="J33" s="154"/>
      <c r="K33" s="154"/>
      <c r="L33" s="154"/>
      <c r="M33" s="154"/>
      <c r="N33" s="154"/>
      <c r="O33" s="154"/>
      <c r="P33" s="274" t="str">
        <f ca="1">IF('Planned background (hide)'!B22&lt;Num_Modalities,IF($C$6="Overall",O33,SUM(OFFSET($E33,0,0,1,Num_Modalities))),"")</f>
        <v/>
      </c>
      <c r="Q33" s="278" t="str">
        <f ca="1">IF(AND('Planned background (hide)'!B22&lt;Num_Modalities,R33&lt;&gt;"Yes"),'Planned background (hide)'!S23,"")</f>
        <v/>
      </c>
      <c r="R33" s="154"/>
      <c r="T33" s="37"/>
    </row>
    <row r="34" spans="1:20" x14ac:dyDescent="0.2">
      <c r="A34" s="68" t="str">
        <f t="shared" ca="1" si="3"/>
        <v/>
      </c>
      <c r="B34" s="273" t="str">
        <f t="shared" ca="1" si="0"/>
        <v xml:space="preserve"> </v>
      </c>
      <c r="C34" s="274" t="str">
        <f t="shared" ca="1" si="1"/>
        <v/>
      </c>
      <c r="D34" s="336" t="str">
        <f t="shared" ca="1" si="2"/>
        <v/>
      </c>
      <c r="E34" s="154"/>
      <c r="F34" s="154"/>
      <c r="G34" s="154"/>
      <c r="H34" s="154"/>
      <c r="I34" s="154"/>
      <c r="J34" s="154"/>
      <c r="K34" s="154"/>
      <c r="L34" s="154"/>
      <c r="M34" s="154"/>
      <c r="N34" s="154"/>
      <c r="O34" s="154"/>
      <c r="P34" s="274" t="str">
        <f ca="1">IF('Planned background (hide)'!B23&lt;Num_Modalities,IF($C$6="Overall",O34,SUM(OFFSET($E34,0,0,1,Num_Modalities))),"")</f>
        <v/>
      </c>
      <c r="Q34" s="278" t="str">
        <f ca="1">IF(AND('Planned background (hide)'!B23&lt;Num_Modalities,R34&lt;&gt;"Yes"),'Planned background (hide)'!S24,"")</f>
        <v/>
      </c>
      <c r="R34" s="154"/>
      <c r="T34" s="37"/>
    </row>
    <row r="35" spans="1:20" x14ac:dyDescent="0.2">
      <c r="A35" s="68" t="str">
        <f t="shared" ca="1" si="3"/>
        <v/>
      </c>
      <c r="B35" s="273" t="str">
        <f t="shared" ca="1" si="0"/>
        <v xml:space="preserve"> </v>
      </c>
      <c r="C35" s="274" t="str">
        <f t="shared" ca="1" si="1"/>
        <v/>
      </c>
      <c r="D35" s="336" t="str">
        <f t="shared" ca="1" si="2"/>
        <v/>
      </c>
      <c r="E35" s="154"/>
      <c r="F35" s="154"/>
      <c r="G35" s="154"/>
      <c r="H35" s="154"/>
      <c r="I35" s="154"/>
      <c r="J35" s="154"/>
      <c r="K35" s="154"/>
      <c r="L35" s="154"/>
      <c r="M35" s="154"/>
      <c r="N35" s="154"/>
      <c r="O35" s="154"/>
      <c r="P35" s="274" t="str">
        <f ca="1">IF('Planned background (hide)'!B24&lt;Num_Modalities,IF($C$6="Overall",O35,SUM(OFFSET($E35,0,0,1,Num_Modalities))),"")</f>
        <v/>
      </c>
      <c r="Q35" s="278" t="str">
        <f ca="1">IF(AND('Planned background (hide)'!B24&lt;Num_Modalities,R35&lt;&gt;"Yes"),'Planned background (hide)'!S25,"")</f>
        <v/>
      </c>
      <c r="R35" s="154"/>
      <c r="T35" s="37"/>
    </row>
    <row r="36" spans="1:20" x14ac:dyDescent="0.2">
      <c r="A36" s="68" t="str">
        <f t="shared" ca="1" si="3"/>
        <v/>
      </c>
      <c r="B36" s="273" t="str">
        <f t="shared" ca="1" si="0"/>
        <v xml:space="preserve"> </v>
      </c>
      <c r="C36" s="274" t="str">
        <f t="shared" ca="1" si="1"/>
        <v/>
      </c>
      <c r="D36" s="336" t="str">
        <f t="shared" ca="1" si="2"/>
        <v/>
      </c>
      <c r="E36" s="154"/>
      <c r="F36" s="154"/>
      <c r="G36" s="154"/>
      <c r="H36" s="154"/>
      <c r="I36" s="154"/>
      <c r="J36" s="154"/>
      <c r="K36" s="154"/>
      <c r="L36" s="154"/>
      <c r="M36" s="154"/>
      <c r="N36" s="154"/>
      <c r="O36" s="154"/>
      <c r="P36" s="274" t="str">
        <f ca="1">IF('Planned background (hide)'!B25&lt;Num_Modalities,IF($C$6="Overall",O36,SUM(OFFSET($E36,0,0,1,Num_Modalities))),"")</f>
        <v/>
      </c>
      <c r="Q36" s="278" t="str">
        <f ca="1">IF(AND('Planned background (hide)'!B25&lt;Num_Modalities,R36&lt;&gt;"Yes"),'Planned background (hide)'!S26,"")</f>
        <v/>
      </c>
      <c r="R36" s="154"/>
      <c r="T36" s="37"/>
    </row>
    <row r="37" spans="1:20" x14ac:dyDescent="0.2">
      <c r="A37" s="68" t="str">
        <f t="shared" ca="1" si="3"/>
        <v/>
      </c>
      <c r="B37" s="273" t="str">
        <f t="shared" ca="1" si="0"/>
        <v xml:space="preserve"> </v>
      </c>
      <c r="C37" s="274" t="str">
        <f t="shared" ca="1" si="1"/>
        <v/>
      </c>
      <c r="D37" s="336" t="str">
        <f t="shared" ca="1" si="2"/>
        <v/>
      </c>
      <c r="E37" s="154"/>
      <c r="F37" s="154"/>
      <c r="G37" s="154"/>
      <c r="H37" s="154"/>
      <c r="I37" s="154"/>
      <c r="J37" s="154"/>
      <c r="K37" s="154"/>
      <c r="L37" s="154"/>
      <c r="M37" s="154"/>
      <c r="N37" s="154"/>
      <c r="O37" s="154"/>
      <c r="P37" s="274" t="str">
        <f ca="1">IF('Planned background (hide)'!B26&lt;Num_Modalities,IF($C$6="Overall",O37,SUM(OFFSET($E37,0,0,1,Num_Modalities))),"")</f>
        <v/>
      </c>
      <c r="Q37" s="278" t="str">
        <f ca="1">IF(AND('Planned background (hide)'!B26&lt;Num_Modalities,R37&lt;&gt;"Yes"),'Planned background (hide)'!S27,"")</f>
        <v/>
      </c>
      <c r="R37" s="154"/>
      <c r="T37" s="37"/>
    </row>
    <row r="38" spans="1:20" x14ac:dyDescent="0.2">
      <c r="A38" s="68" t="str">
        <f t="shared" ca="1" si="3"/>
        <v/>
      </c>
      <c r="B38" s="273" t="str">
        <f t="shared" ca="1" si="0"/>
        <v xml:space="preserve"> </v>
      </c>
      <c r="C38" s="274" t="str">
        <f t="shared" ca="1" si="1"/>
        <v/>
      </c>
      <c r="D38" s="336" t="str">
        <f t="shared" ca="1" si="2"/>
        <v/>
      </c>
      <c r="E38" s="154"/>
      <c r="F38" s="154"/>
      <c r="G38" s="154"/>
      <c r="H38" s="154"/>
      <c r="I38" s="154"/>
      <c r="J38" s="154"/>
      <c r="K38" s="154"/>
      <c r="L38" s="154"/>
      <c r="M38" s="154"/>
      <c r="N38" s="154"/>
      <c r="O38" s="154"/>
      <c r="P38" s="274" t="str">
        <f ca="1">IF('Planned background (hide)'!B27&lt;Num_Modalities,IF($C$6="Overall",O38,SUM(OFFSET($E38,0,0,1,Num_Modalities))),"")</f>
        <v/>
      </c>
      <c r="Q38" s="278" t="str">
        <f ca="1">IF(AND('Planned background (hide)'!B27&lt;Num_Modalities,R38&lt;&gt;"Yes"),'Planned background (hide)'!S28,"")</f>
        <v/>
      </c>
      <c r="R38" s="154"/>
      <c r="T38" s="37"/>
    </row>
    <row r="39" spans="1:20" x14ac:dyDescent="0.2">
      <c r="A39" s="68" t="str">
        <f t="shared" ca="1" si="3"/>
        <v/>
      </c>
      <c r="B39" s="273" t="str">
        <f t="shared" ca="1" si="0"/>
        <v xml:space="preserve"> </v>
      </c>
      <c r="C39" s="274" t="str">
        <f t="shared" ca="1" si="1"/>
        <v/>
      </c>
      <c r="D39" s="336" t="str">
        <f t="shared" ca="1" si="2"/>
        <v/>
      </c>
      <c r="E39" s="154"/>
      <c r="F39" s="154"/>
      <c r="G39" s="154"/>
      <c r="H39" s="154"/>
      <c r="I39" s="154"/>
      <c r="J39" s="154"/>
      <c r="K39" s="154"/>
      <c r="L39" s="154"/>
      <c r="M39" s="154"/>
      <c r="N39" s="154"/>
      <c r="O39" s="154"/>
      <c r="P39" s="274" t="str">
        <f ca="1">IF('Planned background (hide)'!B28&lt;Num_Modalities,IF($C$6="Overall",O39,SUM(OFFSET($E39,0,0,1,Num_Modalities))),"")</f>
        <v/>
      </c>
      <c r="Q39" s="278" t="str">
        <f ca="1">IF(AND('Planned background (hide)'!B28&lt;Num_Modalities,R39&lt;&gt;"Yes"),'Planned background (hide)'!S29,"")</f>
        <v/>
      </c>
      <c r="R39" s="154"/>
      <c r="T39" s="37"/>
    </row>
    <row r="40" spans="1:20" x14ac:dyDescent="0.2">
      <c r="A40" s="68" t="str">
        <f t="shared" ca="1" si="3"/>
        <v/>
      </c>
      <c r="B40" s="273" t="str">
        <f t="shared" ca="1" si="0"/>
        <v xml:space="preserve"> </v>
      </c>
      <c r="C40" s="274" t="str">
        <f t="shared" ca="1" si="1"/>
        <v/>
      </c>
      <c r="D40" s="336" t="str">
        <f t="shared" ca="1" si="2"/>
        <v/>
      </c>
      <c r="E40" s="154"/>
      <c r="F40" s="154"/>
      <c r="G40" s="154"/>
      <c r="H40" s="154"/>
      <c r="I40" s="154"/>
      <c r="J40" s="154"/>
      <c r="K40" s="154"/>
      <c r="L40" s="154"/>
      <c r="M40" s="154"/>
      <c r="N40" s="154"/>
      <c r="O40" s="154"/>
      <c r="P40" s="274" t="str">
        <f ca="1">IF('Planned background (hide)'!B29&lt;Num_Modalities,IF($C$6="Overall",O40,SUM(OFFSET($E40,0,0,1,Num_Modalities))),"")</f>
        <v/>
      </c>
      <c r="Q40" s="278" t="str">
        <f ca="1">IF(AND('Planned background (hide)'!B29&lt;Num_Modalities,R40&lt;&gt;"Yes"),'Planned background (hide)'!S30,"")</f>
        <v/>
      </c>
      <c r="R40" s="154"/>
      <c r="T40" s="37"/>
    </row>
    <row r="41" spans="1:20" x14ac:dyDescent="0.2">
      <c r="A41" s="68" t="str">
        <f t="shared" ca="1" si="3"/>
        <v/>
      </c>
      <c r="B41" s="273" t="str">
        <f t="shared" ca="1" si="0"/>
        <v xml:space="preserve"> </v>
      </c>
      <c r="C41" s="274" t="str">
        <f t="shared" ca="1" si="1"/>
        <v/>
      </c>
      <c r="D41" s="336" t="str">
        <f t="shared" ca="1" si="2"/>
        <v/>
      </c>
      <c r="E41" s="154"/>
      <c r="F41" s="154"/>
      <c r="G41" s="154"/>
      <c r="H41" s="154"/>
      <c r="I41" s="154"/>
      <c r="J41" s="154"/>
      <c r="K41" s="154"/>
      <c r="L41" s="154"/>
      <c r="M41" s="154"/>
      <c r="N41" s="154"/>
      <c r="O41" s="154"/>
      <c r="P41" s="274" t="str">
        <f ca="1">IF('Planned background (hide)'!B30&lt;Num_Modalities,IF($C$6="Overall",O41,SUM(OFFSET($E41,0,0,1,Num_Modalities))),"")</f>
        <v/>
      </c>
      <c r="Q41" s="278" t="str">
        <f ca="1">IF(AND('Planned background (hide)'!B30&lt;Num_Modalities,R41&lt;&gt;"Yes"),'Planned background (hide)'!S31,"")</f>
        <v/>
      </c>
      <c r="R41" s="154"/>
      <c r="T41" s="37"/>
    </row>
    <row r="42" spans="1:20" x14ac:dyDescent="0.2">
      <c r="A42" s="68" t="str">
        <f t="shared" ca="1" si="3"/>
        <v/>
      </c>
      <c r="B42" s="273" t="str">
        <f t="shared" ca="1" si="0"/>
        <v xml:space="preserve"> </v>
      </c>
      <c r="C42" s="274" t="str">
        <f t="shared" ca="1" si="1"/>
        <v/>
      </c>
      <c r="D42" s="336" t="str">
        <f t="shared" ca="1" si="2"/>
        <v/>
      </c>
      <c r="E42" s="154"/>
      <c r="F42" s="154"/>
      <c r="G42" s="154"/>
      <c r="H42" s="154"/>
      <c r="I42" s="154"/>
      <c r="J42" s="154"/>
      <c r="K42" s="154"/>
      <c r="L42" s="154"/>
      <c r="M42" s="154"/>
      <c r="N42" s="154"/>
      <c r="O42" s="154"/>
      <c r="P42" s="274" t="str">
        <f ca="1">IF('Planned background (hide)'!B31&lt;Num_Modalities,IF($C$6="Overall",O42,SUM(OFFSET($E42,0,0,1,Num_Modalities))),"")</f>
        <v/>
      </c>
      <c r="Q42" s="278" t="str">
        <f ca="1">IF(AND('Planned background (hide)'!B31&lt;Num_Modalities,R42&lt;&gt;"Yes"),'Planned background (hide)'!S32,"")</f>
        <v/>
      </c>
      <c r="R42" s="154"/>
      <c r="T42" s="37"/>
    </row>
    <row r="43" spans="1:20" x14ac:dyDescent="0.2">
      <c r="A43" s="68" t="str">
        <f t="shared" ca="1" si="3"/>
        <v/>
      </c>
      <c r="B43" s="273" t="str">
        <f t="shared" ca="1" si="0"/>
        <v xml:space="preserve"> </v>
      </c>
      <c r="C43" s="274" t="str">
        <f t="shared" ca="1" si="1"/>
        <v/>
      </c>
      <c r="D43" s="336" t="str">
        <f t="shared" ca="1" si="2"/>
        <v/>
      </c>
      <c r="E43" s="154"/>
      <c r="F43" s="154"/>
      <c r="G43" s="154"/>
      <c r="H43" s="154"/>
      <c r="I43" s="154"/>
      <c r="J43" s="154"/>
      <c r="K43" s="154"/>
      <c r="L43" s="154"/>
      <c r="M43" s="154"/>
      <c r="N43" s="154"/>
      <c r="O43" s="154"/>
      <c r="P43" s="274" t="str">
        <f ca="1">IF('Planned background (hide)'!B32&lt;Num_Modalities,IF($C$6="Overall",O43,SUM(OFFSET($E43,0,0,1,Num_Modalities))),"")</f>
        <v/>
      </c>
      <c r="Q43" s="278" t="str">
        <f ca="1">IF(AND('Planned background (hide)'!B32&lt;Num_Modalities,R43&lt;&gt;"Yes"),'Planned background (hide)'!S33,"")</f>
        <v/>
      </c>
      <c r="R43" s="154"/>
      <c r="T43" s="37"/>
    </row>
    <row r="44" spans="1:20" x14ac:dyDescent="0.2">
      <c r="A44" s="68" t="str">
        <f t="shared" ca="1" si="3"/>
        <v/>
      </c>
      <c r="B44" s="273" t="str">
        <f t="shared" ca="1" si="0"/>
        <v xml:space="preserve"> </v>
      </c>
      <c r="C44" s="274" t="str">
        <f t="shared" ca="1" si="1"/>
        <v/>
      </c>
      <c r="D44" s="336" t="str">
        <f t="shared" ca="1" si="2"/>
        <v/>
      </c>
      <c r="E44" s="154"/>
      <c r="F44" s="154"/>
      <c r="G44" s="154"/>
      <c r="H44" s="154"/>
      <c r="I44" s="154"/>
      <c r="J44" s="154"/>
      <c r="K44" s="154"/>
      <c r="L44" s="154"/>
      <c r="M44" s="154"/>
      <c r="N44" s="154"/>
      <c r="O44" s="154"/>
      <c r="P44" s="274" t="str">
        <f ca="1">IF('Planned background (hide)'!B33&lt;Num_Modalities,IF($C$6="Overall",O44,SUM(OFFSET($E44,0,0,1,Num_Modalities))),"")</f>
        <v/>
      </c>
      <c r="Q44" s="278" t="str">
        <f ca="1">IF(AND('Planned background (hide)'!B33&lt;Num_Modalities,R44&lt;&gt;"Yes"),'Planned background (hide)'!S34,"")</f>
        <v/>
      </c>
      <c r="R44" s="154"/>
      <c r="T44" s="37"/>
    </row>
    <row r="45" spans="1:20" x14ac:dyDescent="0.2">
      <c r="A45" s="68" t="str">
        <f t="shared" ca="1" si="3"/>
        <v/>
      </c>
      <c r="B45" s="273" t="str">
        <f t="shared" ca="1" si="0"/>
        <v xml:space="preserve"> </v>
      </c>
      <c r="C45" s="274" t="str">
        <f t="shared" ca="1" si="1"/>
        <v/>
      </c>
      <c r="D45" s="336" t="str">
        <f t="shared" ca="1" si="2"/>
        <v/>
      </c>
      <c r="E45" s="154"/>
      <c r="F45" s="154"/>
      <c r="G45" s="154"/>
      <c r="H45" s="154"/>
      <c r="I45" s="154"/>
      <c r="J45" s="154"/>
      <c r="K45" s="154"/>
      <c r="L45" s="154"/>
      <c r="M45" s="154"/>
      <c r="N45" s="154"/>
      <c r="O45" s="154"/>
      <c r="P45" s="274" t="str">
        <f ca="1">IF('Planned background (hide)'!B34&lt;Num_Modalities,IF($C$6="Overall",O45,SUM(OFFSET($E45,0,0,1,Num_Modalities))),"")</f>
        <v/>
      </c>
      <c r="Q45" s="278" t="str">
        <f ca="1">IF(AND('Planned background (hide)'!B34&lt;Num_Modalities,R45&lt;&gt;"Yes"),'Planned background (hide)'!S35,"")</f>
        <v/>
      </c>
      <c r="R45" s="154"/>
      <c r="T45" s="37"/>
    </row>
    <row r="46" spans="1:20" x14ac:dyDescent="0.2">
      <c r="A46" s="68" t="str">
        <f t="shared" ca="1" si="3"/>
        <v/>
      </c>
      <c r="B46" s="273" t="str">
        <f t="shared" ref="B46:B64" ca="1" si="4">IF(A46&lt;=PMaxRows,IF($C$8&lt;&gt;"",IF(YEAR(D46)&lt;&gt;YEAR(D45),YEAR(D46)," "),IF(C46&lt;&gt;1,"",OFFSET(B46,-C45,0,1,1)+1))," ")</f>
        <v xml:space="preserve"> </v>
      </c>
      <c r="C46" s="274" t="str">
        <f t="shared" ref="C46:C64" ca="1" si="5">IF(ROW(A34)&lt;=PMaxRows,IF($C$8&lt;&gt;"",WEEKNUM(D46,21),IF(MOD((C45+1),53)&gt;0,MOD((C45+1),53),53)),"")</f>
        <v/>
      </c>
      <c r="D46" s="336" t="str">
        <f t="shared" ref="D46:D64" ca="1" si="6">IF(ROW(A34)&lt;=PMaxRows,IF($C$8&lt;&gt;"",D45+7,""),"")</f>
        <v/>
      </c>
      <c r="E46" s="154"/>
      <c r="F46" s="154"/>
      <c r="G46" s="154"/>
      <c r="H46" s="154"/>
      <c r="I46" s="154"/>
      <c r="J46" s="154"/>
      <c r="K46" s="154"/>
      <c r="L46" s="154"/>
      <c r="M46" s="154"/>
      <c r="N46" s="154"/>
      <c r="O46" s="154"/>
      <c r="P46" s="274" t="str">
        <f ca="1">IF('Planned background (hide)'!B35&lt;Num_Modalities,IF($C$6="Overall",O46,SUM(OFFSET($E46,0,0,1,Num_Modalities))),"")</f>
        <v/>
      </c>
      <c r="Q46" s="278" t="str">
        <f ca="1">IF(AND('Planned background (hide)'!B35&lt;Num_Modalities,R46&lt;&gt;"Yes"),'Planned background (hide)'!S36,"")</f>
        <v/>
      </c>
      <c r="R46" s="154"/>
      <c r="T46" s="37"/>
    </row>
    <row r="47" spans="1:20" x14ac:dyDescent="0.2">
      <c r="A47" s="68" t="str">
        <f t="shared" ca="1" si="3"/>
        <v/>
      </c>
      <c r="B47" s="273" t="str">
        <f t="shared" ca="1" si="4"/>
        <v xml:space="preserve"> </v>
      </c>
      <c r="C47" s="274" t="str">
        <f t="shared" ca="1" si="5"/>
        <v/>
      </c>
      <c r="D47" s="336" t="str">
        <f t="shared" ca="1" si="6"/>
        <v/>
      </c>
      <c r="E47" s="154"/>
      <c r="F47" s="154"/>
      <c r="G47" s="154"/>
      <c r="H47" s="154"/>
      <c r="I47" s="154"/>
      <c r="J47" s="154"/>
      <c r="K47" s="154"/>
      <c r="L47" s="154"/>
      <c r="M47" s="154"/>
      <c r="N47" s="154"/>
      <c r="O47" s="154"/>
      <c r="P47" s="274" t="str">
        <f ca="1">IF('Planned background (hide)'!B36&lt;Num_Modalities,IF($C$6="Overall",O47,SUM(OFFSET($E47,0,0,1,Num_Modalities))),"")</f>
        <v/>
      </c>
      <c r="Q47" s="278" t="str">
        <f ca="1">IF(AND('Planned background (hide)'!B36&lt;Num_Modalities,R47&lt;&gt;"Yes"),'Planned background (hide)'!S37,"")</f>
        <v/>
      </c>
      <c r="R47" s="154"/>
      <c r="T47" s="37"/>
    </row>
    <row r="48" spans="1:20" x14ac:dyDescent="0.2">
      <c r="A48" s="68" t="str">
        <f t="shared" ca="1" si="3"/>
        <v/>
      </c>
      <c r="B48" s="273" t="str">
        <f t="shared" ca="1" si="4"/>
        <v xml:space="preserve"> </v>
      </c>
      <c r="C48" s="274" t="str">
        <f t="shared" ca="1" si="5"/>
        <v/>
      </c>
      <c r="D48" s="336" t="str">
        <f t="shared" ca="1" si="6"/>
        <v/>
      </c>
      <c r="E48" s="154"/>
      <c r="F48" s="154"/>
      <c r="G48" s="154"/>
      <c r="H48" s="154"/>
      <c r="I48" s="154"/>
      <c r="J48" s="154"/>
      <c r="K48" s="154"/>
      <c r="L48" s="154"/>
      <c r="M48" s="154"/>
      <c r="N48" s="154"/>
      <c r="O48" s="154"/>
      <c r="P48" s="274" t="str">
        <f ca="1">IF('Planned background (hide)'!B37&lt;Num_Modalities,IF($C$6="Overall",O48,SUM(OFFSET($E48,0,0,1,Num_Modalities))),"")</f>
        <v/>
      </c>
      <c r="Q48" s="278" t="str">
        <f ca="1">IF(AND('Planned background (hide)'!B37&lt;Num_Modalities,R48&lt;&gt;"Yes"),'Planned background (hide)'!S38,"")</f>
        <v/>
      </c>
      <c r="R48" s="154"/>
      <c r="T48" s="37"/>
    </row>
    <row r="49" spans="1:20" x14ac:dyDescent="0.2">
      <c r="A49" s="68" t="str">
        <f t="shared" ca="1" si="3"/>
        <v/>
      </c>
      <c r="B49" s="273" t="str">
        <f t="shared" ca="1" si="4"/>
        <v xml:space="preserve"> </v>
      </c>
      <c r="C49" s="274" t="str">
        <f t="shared" ca="1" si="5"/>
        <v/>
      </c>
      <c r="D49" s="336" t="str">
        <f t="shared" ca="1" si="6"/>
        <v/>
      </c>
      <c r="E49" s="154"/>
      <c r="F49" s="154"/>
      <c r="G49" s="154"/>
      <c r="H49" s="154"/>
      <c r="I49" s="154"/>
      <c r="J49" s="154"/>
      <c r="K49" s="154"/>
      <c r="L49" s="154"/>
      <c r="M49" s="154"/>
      <c r="N49" s="154"/>
      <c r="O49" s="154"/>
      <c r="P49" s="274" t="str">
        <f ca="1">IF('Planned background (hide)'!B38&lt;Num_Modalities,IF($C$6="Overall",O49,SUM(OFFSET($E49,0,0,1,Num_Modalities))),"")</f>
        <v/>
      </c>
      <c r="Q49" s="278" t="str">
        <f ca="1">IF(AND('Planned background (hide)'!B38&lt;Num_Modalities,R49&lt;&gt;"Yes"),'Planned background (hide)'!S39,"")</f>
        <v/>
      </c>
      <c r="R49" s="154"/>
      <c r="T49" s="37"/>
    </row>
    <row r="50" spans="1:20" x14ac:dyDescent="0.2">
      <c r="A50" s="68" t="str">
        <f t="shared" ca="1" si="3"/>
        <v/>
      </c>
      <c r="B50" s="273" t="str">
        <f t="shared" ca="1" si="4"/>
        <v xml:space="preserve"> </v>
      </c>
      <c r="C50" s="274" t="str">
        <f t="shared" ca="1" si="5"/>
        <v/>
      </c>
      <c r="D50" s="336" t="str">
        <f t="shared" ca="1" si="6"/>
        <v/>
      </c>
      <c r="E50" s="154"/>
      <c r="F50" s="154"/>
      <c r="G50" s="154"/>
      <c r="H50" s="154"/>
      <c r="I50" s="154"/>
      <c r="J50" s="154"/>
      <c r="K50" s="154"/>
      <c r="L50" s="154"/>
      <c r="M50" s="154"/>
      <c r="N50" s="154"/>
      <c r="O50" s="154"/>
      <c r="P50" s="274" t="str">
        <f ca="1">IF('Planned background (hide)'!B39&lt;Num_Modalities,IF($C$6="Overall",O50,SUM(OFFSET($E50,0,0,1,Num_Modalities))),"")</f>
        <v/>
      </c>
      <c r="Q50" s="278" t="str">
        <f ca="1">IF(AND('Planned background (hide)'!B39&lt;Num_Modalities,R50&lt;&gt;"Yes"),'Planned background (hide)'!S40,"")</f>
        <v/>
      </c>
      <c r="R50" s="154"/>
      <c r="T50" s="37"/>
    </row>
    <row r="51" spans="1:20" x14ac:dyDescent="0.2">
      <c r="A51" s="68" t="str">
        <f t="shared" ca="1" si="3"/>
        <v/>
      </c>
      <c r="B51" s="273" t="str">
        <f t="shared" ca="1" si="4"/>
        <v xml:space="preserve"> </v>
      </c>
      <c r="C51" s="274" t="str">
        <f t="shared" ca="1" si="5"/>
        <v/>
      </c>
      <c r="D51" s="336" t="str">
        <f t="shared" ca="1" si="6"/>
        <v/>
      </c>
      <c r="E51" s="154"/>
      <c r="F51" s="154"/>
      <c r="G51" s="154"/>
      <c r="H51" s="154"/>
      <c r="I51" s="154"/>
      <c r="J51" s="154"/>
      <c r="K51" s="154"/>
      <c r="L51" s="154"/>
      <c r="M51" s="154"/>
      <c r="N51" s="154"/>
      <c r="O51" s="154"/>
      <c r="P51" s="274" t="str">
        <f ca="1">IF('Planned background (hide)'!B40&lt;Num_Modalities,IF($C$6="Overall",O51,SUM(OFFSET($E51,0,0,1,Num_Modalities))),"")</f>
        <v/>
      </c>
      <c r="Q51" s="278" t="str">
        <f ca="1">IF(AND('Planned background (hide)'!B40&lt;Num_Modalities,R51&lt;&gt;"Yes"),'Planned background (hide)'!S41,"")</f>
        <v/>
      </c>
      <c r="R51" s="154"/>
      <c r="T51" s="37"/>
    </row>
    <row r="52" spans="1:20" x14ac:dyDescent="0.2">
      <c r="A52" s="68" t="str">
        <f t="shared" ca="1" si="3"/>
        <v/>
      </c>
      <c r="B52" s="273" t="str">
        <f t="shared" ca="1" si="4"/>
        <v xml:space="preserve"> </v>
      </c>
      <c r="C52" s="274" t="str">
        <f t="shared" ca="1" si="5"/>
        <v/>
      </c>
      <c r="D52" s="336" t="str">
        <f t="shared" ca="1" si="6"/>
        <v/>
      </c>
      <c r="E52" s="154"/>
      <c r="F52" s="154"/>
      <c r="G52" s="154"/>
      <c r="H52" s="154"/>
      <c r="I52" s="154"/>
      <c r="J52" s="154"/>
      <c r="K52" s="154"/>
      <c r="L52" s="154"/>
      <c r="M52" s="154"/>
      <c r="N52" s="154"/>
      <c r="O52" s="154"/>
      <c r="P52" s="274" t="str">
        <f ca="1">IF('Planned background (hide)'!B41&lt;Num_Modalities,IF($C$6="Overall",O52,SUM(OFFSET($E52,0,0,1,Num_Modalities))),"")</f>
        <v/>
      </c>
      <c r="Q52" s="278" t="str">
        <f ca="1">IF(AND('Planned background (hide)'!B41&lt;Num_Modalities,R52&lt;&gt;"Yes"),'Planned background (hide)'!S42,"")</f>
        <v/>
      </c>
      <c r="R52" s="154"/>
      <c r="T52" s="37"/>
    </row>
    <row r="53" spans="1:20" x14ac:dyDescent="0.2">
      <c r="A53" s="68" t="str">
        <f t="shared" ca="1" si="3"/>
        <v/>
      </c>
      <c r="B53" s="273" t="str">
        <f t="shared" ca="1" si="4"/>
        <v xml:space="preserve"> </v>
      </c>
      <c r="C53" s="274" t="str">
        <f t="shared" ca="1" si="5"/>
        <v/>
      </c>
      <c r="D53" s="336" t="str">
        <f t="shared" ca="1" si="6"/>
        <v/>
      </c>
      <c r="E53" s="154"/>
      <c r="F53" s="154"/>
      <c r="G53" s="154"/>
      <c r="H53" s="154"/>
      <c r="I53" s="154"/>
      <c r="J53" s="154"/>
      <c r="K53" s="154"/>
      <c r="L53" s="154"/>
      <c r="M53" s="154"/>
      <c r="N53" s="154"/>
      <c r="O53" s="154"/>
      <c r="P53" s="274" t="str">
        <f ca="1">IF('Planned background (hide)'!B42&lt;Num_Modalities,IF($C$6="Overall",O53,SUM(OFFSET($E53,0,0,1,Num_Modalities))),"")</f>
        <v/>
      </c>
      <c r="Q53" s="278" t="str">
        <f ca="1">IF(AND('Planned background (hide)'!B42&lt;Num_Modalities,R53&lt;&gt;"Yes"),'Planned background (hide)'!S43,"")</f>
        <v/>
      </c>
      <c r="R53" s="154"/>
      <c r="T53" s="37"/>
    </row>
    <row r="54" spans="1:20" x14ac:dyDescent="0.2">
      <c r="A54" s="68" t="str">
        <f t="shared" ca="1" si="3"/>
        <v/>
      </c>
      <c r="B54" s="273" t="str">
        <f t="shared" ca="1" si="4"/>
        <v xml:space="preserve"> </v>
      </c>
      <c r="C54" s="274" t="str">
        <f t="shared" ca="1" si="5"/>
        <v/>
      </c>
      <c r="D54" s="336" t="str">
        <f t="shared" ca="1" si="6"/>
        <v/>
      </c>
      <c r="E54" s="154"/>
      <c r="F54" s="154"/>
      <c r="G54" s="154"/>
      <c r="H54" s="154"/>
      <c r="I54" s="154"/>
      <c r="J54" s="154"/>
      <c r="K54" s="154"/>
      <c r="L54" s="154"/>
      <c r="M54" s="154"/>
      <c r="N54" s="154"/>
      <c r="O54" s="154"/>
      <c r="P54" s="274" t="str">
        <f ca="1">IF('Planned background (hide)'!B43&lt;Num_Modalities,IF($C$6="Overall",O54,SUM(OFFSET($E54,0,0,1,Num_Modalities))),"")</f>
        <v/>
      </c>
      <c r="Q54" s="278" t="str">
        <f ca="1">IF(AND('Planned background (hide)'!B43&lt;Num_Modalities,R54&lt;&gt;"Yes"),'Planned background (hide)'!S44,"")</f>
        <v/>
      </c>
      <c r="R54" s="154"/>
      <c r="T54" s="37"/>
    </row>
    <row r="55" spans="1:20" x14ac:dyDescent="0.2">
      <c r="A55" s="68" t="str">
        <f t="shared" ca="1" si="3"/>
        <v/>
      </c>
      <c r="B55" s="273" t="str">
        <f t="shared" ca="1" si="4"/>
        <v xml:space="preserve"> </v>
      </c>
      <c r="C55" s="274" t="str">
        <f t="shared" ca="1" si="5"/>
        <v/>
      </c>
      <c r="D55" s="336" t="str">
        <f t="shared" ca="1" si="6"/>
        <v/>
      </c>
      <c r="E55" s="154"/>
      <c r="F55" s="154"/>
      <c r="G55" s="154"/>
      <c r="H55" s="154"/>
      <c r="I55" s="154"/>
      <c r="J55" s="154"/>
      <c r="K55" s="154"/>
      <c r="L55" s="154"/>
      <c r="M55" s="154"/>
      <c r="N55" s="154"/>
      <c r="O55" s="154"/>
      <c r="P55" s="274" t="str">
        <f ca="1">IF('Planned background (hide)'!B44&lt;Num_Modalities,IF($C$6="Overall",O55,SUM(OFFSET($E55,0,0,1,Num_Modalities))),"")</f>
        <v/>
      </c>
      <c r="Q55" s="278" t="str">
        <f ca="1">IF(AND('Planned background (hide)'!B44&lt;Num_Modalities,R55&lt;&gt;"Yes"),'Planned background (hide)'!S45,"")</f>
        <v/>
      </c>
      <c r="R55" s="154"/>
      <c r="T55" s="37"/>
    </row>
    <row r="56" spans="1:20" x14ac:dyDescent="0.2">
      <c r="A56" s="68" t="str">
        <f t="shared" ca="1" si="3"/>
        <v/>
      </c>
      <c r="B56" s="273" t="str">
        <f t="shared" ca="1" si="4"/>
        <v xml:space="preserve"> </v>
      </c>
      <c r="C56" s="274" t="str">
        <f t="shared" ca="1" si="5"/>
        <v/>
      </c>
      <c r="D56" s="336" t="str">
        <f t="shared" ca="1" si="6"/>
        <v/>
      </c>
      <c r="E56" s="154"/>
      <c r="F56" s="154"/>
      <c r="G56" s="154"/>
      <c r="H56" s="154"/>
      <c r="I56" s="154"/>
      <c r="J56" s="154"/>
      <c r="K56" s="154"/>
      <c r="L56" s="154"/>
      <c r="M56" s="154"/>
      <c r="N56" s="154"/>
      <c r="O56" s="154"/>
      <c r="P56" s="274" t="str">
        <f ca="1">IF('Planned background (hide)'!B45&lt;Num_Modalities,IF($C$6="Overall",O56,SUM(OFFSET($E56,0,0,1,Num_Modalities))),"")</f>
        <v/>
      </c>
      <c r="Q56" s="278" t="str">
        <f ca="1">IF(AND('Planned background (hide)'!B45&lt;Num_Modalities,R56&lt;&gt;"Yes"),'Planned background (hide)'!S46,"")</f>
        <v/>
      </c>
      <c r="R56" s="154"/>
      <c r="T56" s="37"/>
    </row>
    <row r="57" spans="1:20" x14ac:dyDescent="0.2">
      <c r="A57" s="68" t="str">
        <f t="shared" ca="1" si="3"/>
        <v/>
      </c>
      <c r="B57" s="273" t="str">
        <f t="shared" ca="1" si="4"/>
        <v xml:space="preserve"> </v>
      </c>
      <c r="C57" s="274" t="str">
        <f t="shared" ca="1" si="5"/>
        <v/>
      </c>
      <c r="D57" s="336" t="str">
        <f t="shared" ca="1" si="6"/>
        <v/>
      </c>
      <c r="E57" s="154"/>
      <c r="F57" s="154"/>
      <c r="G57" s="154"/>
      <c r="H57" s="154"/>
      <c r="I57" s="154"/>
      <c r="J57" s="154"/>
      <c r="K57" s="154"/>
      <c r="L57" s="154"/>
      <c r="M57" s="154"/>
      <c r="N57" s="154"/>
      <c r="O57" s="154"/>
      <c r="P57" s="274" t="str">
        <f ca="1">IF('Planned background (hide)'!B46&lt;Num_Modalities,IF($C$6="Overall",O57,SUM(OFFSET($E57,0,0,1,Num_Modalities))),"")</f>
        <v/>
      </c>
      <c r="Q57" s="278" t="str">
        <f ca="1">IF(AND('Planned background (hide)'!B46&lt;Num_Modalities,R57&lt;&gt;"Yes"),'Planned background (hide)'!S47,"")</f>
        <v/>
      </c>
      <c r="R57" s="154"/>
      <c r="T57" s="37"/>
    </row>
    <row r="58" spans="1:20" x14ac:dyDescent="0.2">
      <c r="A58" s="68" t="str">
        <f t="shared" ca="1" si="3"/>
        <v/>
      </c>
      <c r="B58" s="273" t="str">
        <f t="shared" ca="1" si="4"/>
        <v xml:space="preserve"> </v>
      </c>
      <c r="C58" s="274" t="str">
        <f t="shared" ca="1" si="5"/>
        <v/>
      </c>
      <c r="D58" s="336" t="str">
        <f t="shared" ca="1" si="6"/>
        <v/>
      </c>
      <c r="E58" s="154"/>
      <c r="F58" s="154"/>
      <c r="G58" s="154"/>
      <c r="H58" s="154"/>
      <c r="I58" s="154"/>
      <c r="J58" s="154"/>
      <c r="K58" s="154"/>
      <c r="L58" s="154"/>
      <c r="M58" s="154"/>
      <c r="N58" s="154"/>
      <c r="O58" s="154"/>
      <c r="P58" s="274" t="str">
        <f ca="1">IF('Planned background (hide)'!B47&lt;Num_Modalities,IF($C$6="Overall",O58,SUM(OFFSET($E58,0,0,1,Num_Modalities))),"")</f>
        <v/>
      </c>
      <c r="Q58" s="278" t="str">
        <f ca="1">IF(AND('Planned background (hide)'!B47&lt;Num_Modalities,R58&lt;&gt;"Yes"),'Planned background (hide)'!S48,"")</f>
        <v/>
      </c>
      <c r="R58" s="154"/>
      <c r="T58" s="37"/>
    </row>
    <row r="59" spans="1:20" x14ac:dyDescent="0.2">
      <c r="A59" s="68" t="str">
        <f t="shared" ca="1" si="3"/>
        <v/>
      </c>
      <c r="B59" s="273" t="str">
        <f t="shared" ca="1" si="4"/>
        <v xml:space="preserve"> </v>
      </c>
      <c r="C59" s="274" t="str">
        <f t="shared" ca="1" si="5"/>
        <v/>
      </c>
      <c r="D59" s="336" t="str">
        <f t="shared" ca="1" si="6"/>
        <v/>
      </c>
      <c r="E59" s="154"/>
      <c r="F59" s="154"/>
      <c r="G59" s="154"/>
      <c r="H59" s="154"/>
      <c r="I59" s="154"/>
      <c r="J59" s="154"/>
      <c r="K59" s="154"/>
      <c r="L59" s="154"/>
      <c r="M59" s="154"/>
      <c r="N59" s="154"/>
      <c r="O59" s="154"/>
      <c r="P59" s="274" t="str">
        <f ca="1">IF('Planned background (hide)'!B48&lt;Num_Modalities,IF($C$6="Overall",O59,SUM(OFFSET($E59,0,0,1,Num_Modalities))),"")</f>
        <v/>
      </c>
      <c r="Q59" s="278" t="str">
        <f ca="1">IF(AND('Planned background (hide)'!B48&lt;Num_Modalities,R59&lt;&gt;"Yes"),'Planned background (hide)'!S49,"")</f>
        <v/>
      </c>
      <c r="R59" s="154"/>
      <c r="T59" s="37"/>
    </row>
    <row r="60" spans="1:20" x14ac:dyDescent="0.2">
      <c r="A60" s="68" t="str">
        <f t="shared" ca="1" si="3"/>
        <v/>
      </c>
      <c r="B60" s="273" t="str">
        <f t="shared" ca="1" si="4"/>
        <v xml:space="preserve"> </v>
      </c>
      <c r="C60" s="274" t="str">
        <f t="shared" ca="1" si="5"/>
        <v/>
      </c>
      <c r="D60" s="336" t="str">
        <f t="shared" ca="1" si="6"/>
        <v/>
      </c>
      <c r="E60" s="154"/>
      <c r="F60" s="154"/>
      <c r="G60" s="154"/>
      <c r="H60" s="154"/>
      <c r="I60" s="154"/>
      <c r="J60" s="154"/>
      <c r="K60" s="154"/>
      <c r="L60" s="154"/>
      <c r="M60" s="154"/>
      <c r="N60" s="154"/>
      <c r="O60" s="154"/>
      <c r="P60" s="274" t="str">
        <f ca="1">IF('Planned background (hide)'!B49&lt;Num_Modalities,IF($C$6="Overall",O60,SUM(OFFSET($E60,0,0,1,Num_Modalities))),"")</f>
        <v/>
      </c>
      <c r="Q60" s="278" t="str">
        <f ca="1">IF(AND('Planned background (hide)'!B49&lt;Num_Modalities,R60&lt;&gt;"Yes"),'Planned background (hide)'!S50,"")</f>
        <v/>
      </c>
      <c r="R60" s="154"/>
      <c r="T60" s="37"/>
    </row>
    <row r="61" spans="1:20" x14ac:dyDescent="0.2">
      <c r="A61" s="68" t="str">
        <f t="shared" ca="1" si="3"/>
        <v/>
      </c>
      <c r="B61" s="273" t="str">
        <f t="shared" ca="1" si="4"/>
        <v xml:space="preserve"> </v>
      </c>
      <c r="C61" s="274" t="str">
        <f t="shared" ca="1" si="5"/>
        <v/>
      </c>
      <c r="D61" s="336" t="str">
        <f t="shared" ca="1" si="6"/>
        <v/>
      </c>
      <c r="E61" s="154"/>
      <c r="F61" s="154"/>
      <c r="G61" s="154"/>
      <c r="H61" s="154"/>
      <c r="I61" s="154"/>
      <c r="J61" s="154"/>
      <c r="K61" s="154"/>
      <c r="L61" s="154"/>
      <c r="M61" s="154"/>
      <c r="N61" s="154"/>
      <c r="O61" s="154"/>
      <c r="P61" s="274" t="str">
        <f ca="1">IF('Planned background (hide)'!B50&lt;Num_Modalities,IF($C$6="Overall",O61,SUM(OFFSET($E61,0,0,1,Num_Modalities))),"")</f>
        <v/>
      </c>
      <c r="Q61" s="278" t="str">
        <f ca="1">IF(AND('Planned background (hide)'!B50&lt;Num_Modalities,R61&lt;&gt;"Yes"),'Planned background (hide)'!S51,"")</f>
        <v/>
      </c>
      <c r="R61" s="154"/>
      <c r="T61" s="37"/>
    </row>
    <row r="62" spans="1:20" x14ac:dyDescent="0.2">
      <c r="A62" s="68" t="str">
        <f t="shared" ca="1" si="3"/>
        <v/>
      </c>
      <c r="B62" s="273" t="str">
        <f t="shared" ca="1" si="4"/>
        <v xml:space="preserve"> </v>
      </c>
      <c r="C62" s="274" t="str">
        <f t="shared" ca="1" si="5"/>
        <v/>
      </c>
      <c r="D62" s="336" t="str">
        <f t="shared" ca="1" si="6"/>
        <v/>
      </c>
      <c r="E62" s="154"/>
      <c r="F62" s="154"/>
      <c r="G62" s="154"/>
      <c r="H62" s="154"/>
      <c r="I62" s="154"/>
      <c r="J62" s="154"/>
      <c r="K62" s="154"/>
      <c r="L62" s="154"/>
      <c r="M62" s="154"/>
      <c r="N62" s="154"/>
      <c r="O62" s="154"/>
      <c r="P62" s="274" t="str">
        <f ca="1">IF('Planned background (hide)'!B51&lt;Num_Modalities,IF($C$6="Overall",O62,SUM(OFFSET($E62,0,0,1,Num_Modalities))),"")</f>
        <v/>
      </c>
      <c r="Q62" s="278" t="str">
        <f ca="1">IF(AND('Planned background (hide)'!B51&lt;Num_Modalities,R62&lt;&gt;"Yes"),'Planned background (hide)'!S52,"")</f>
        <v/>
      </c>
      <c r="R62" s="154"/>
      <c r="T62" s="37"/>
    </row>
    <row r="63" spans="1:20" x14ac:dyDescent="0.2">
      <c r="A63" s="68" t="str">
        <f t="shared" ca="1" si="3"/>
        <v/>
      </c>
      <c r="B63" s="273" t="str">
        <f t="shared" ca="1" si="4"/>
        <v xml:space="preserve"> </v>
      </c>
      <c r="C63" s="274" t="str">
        <f t="shared" ca="1" si="5"/>
        <v/>
      </c>
      <c r="D63" s="336" t="str">
        <f t="shared" ca="1" si="6"/>
        <v/>
      </c>
      <c r="E63" s="154"/>
      <c r="F63" s="154"/>
      <c r="G63" s="154"/>
      <c r="H63" s="154"/>
      <c r="I63" s="154"/>
      <c r="J63" s="154"/>
      <c r="K63" s="154"/>
      <c r="L63" s="154"/>
      <c r="M63" s="154"/>
      <c r="N63" s="154"/>
      <c r="O63" s="154"/>
      <c r="P63" s="274" t="str">
        <f ca="1">IF('Planned background (hide)'!B52&lt;Num_Modalities,IF($C$6="Overall",O63,SUM(OFFSET($E63,0,0,1,Num_Modalities))),"")</f>
        <v/>
      </c>
      <c r="Q63" s="278" t="str">
        <f ca="1">IF(AND('Planned background (hide)'!B52&lt;Num_Modalities,R63&lt;&gt;"Yes"),'Planned background (hide)'!S53,"")</f>
        <v/>
      </c>
      <c r="R63" s="154"/>
      <c r="T63" s="37"/>
    </row>
    <row r="64" spans="1:20" x14ac:dyDescent="0.2">
      <c r="A64" s="68" t="str">
        <f t="shared" ca="1" si="3"/>
        <v/>
      </c>
      <c r="B64" s="273" t="str">
        <f t="shared" ca="1" si="4"/>
        <v xml:space="preserve"> </v>
      </c>
      <c r="C64" s="274" t="str">
        <f t="shared" ca="1" si="5"/>
        <v/>
      </c>
      <c r="D64" s="336" t="str">
        <f t="shared" ca="1" si="6"/>
        <v/>
      </c>
      <c r="E64" s="154"/>
      <c r="F64" s="154"/>
      <c r="G64" s="154"/>
      <c r="H64" s="154"/>
      <c r="I64" s="154"/>
      <c r="J64" s="154"/>
      <c r="K64" s="154"/>
      <c r="L64" s="154"/>
      <c r="M64" s="154"/>
      <c r="N64" s="154"/>
      <c r="O64" s="154"/>
      <c r="P64" s="274" t="str">
        <f ca="1">IF('Planned background (hide)'!B53&lt;Num_Modalities,IF($C$6="Overall",O64,SUM(OFFSET($E64,0,0,1,Num_Modalities))),"")</f>
        <v/>
      </c>
      <c r="Q64" s="278" t="str">
        <f ca="1">IF(AND('Planned background (hide)'!B53&lt;Num_Modalities,R64&lt;&gt;"Yes"),'Planned background (hide)'!S54,"")</f>
        <v/>
      </c>
      <c r="R64" s="154"/>
      <c r="T64" s="37"/>
    </row>
    <row r="65" spans="2:4" x14ac:dyDescent="0.2">
      <c r="B65" s="49"/>
      <c r="D65" s="37"/>
    </row>
    <row r="66" spans="2:4" x14ac:dyDescent="0.2">
      <c r="B66" s="49"/>
      <c r="D66" s="37"/>
    </row>
    <row r="67" spans="2:4" x14ac:dyDescent="0.2">
      <c r="B67" s="49"/>
      <c r="D67" s="37"/>
    </row>
    <row r="68" spans="2:4" x14ac:dyDescent="0.2">
      <c r="B68" s="49"/>
      <c r="D68" s="37"/>
    </row>
    <row r="69" spans="2:4" x14ac:dyDescent="0.2">
      <c r="B69" s="49"/>
      <c r="D69" s="37"/>
    </row>
    <row r="70" spans="2:4" x14ac:dyDescent="0.2">
      <c r="B70" s="49"/>
      <c r="D70" s="37"/>
    </row>
    <row r="71" spans="2:4" x14ac:dyDescent="0.2">
      <c r="B71" s="49"/>
      <c r="D71" s="37"/>
    </row>
    <row r="72" spans="2:4" x14ac:dyDescent="0.2">
      <c r="B72" s="49"/>
      <c r="D72" s="37"/>
    </row>
    <row r="73" spans="2:4" x14ac:dyDescent="0.2">
      <c r="B73" s="49"/>
      <c r="D73" s="37"/>
    </row>
    <row r="74" spans="2:4" x14ac:dyDescent="0.2">
      <c r="B74" s="49"/>
      <c r="D74" s="37"/>
    </row>
    <row r="75" spans="2:4" x14ac:dyDescent="0.2">
      <c r="B75" s="49"/>
      <c r="D75" s="37"/>
    </row>
    <row r="76" spans="2:4" x14ac:dyDescent="0.2">
      <c r="B76" s="49"/>
      <c r="D76" s="37"/>
    </row>
    <row r="77" spans="2:4" x14ac:dyDescent="0.2">
      <c r="B77" s="49"/>
      <c r="D77" s="37"/>
    </row>
    <row r="78" spans="2:4" x14ac:dyDescent="0.2">
      <c r="B78" s="49"/>
      <c r="D78" s="37"/>
    </row>
    <row r="79" spans="2:4" x14ac:dyDescent="0.2">
      <c r="B79" s="49"/>
      <c r="D79" s="37"/>
    </row>
    <row r="80" spans="2:4" x14ac:dyDescent="0.2">
      <c r="B80" s="49"/>
      <c r="D80" s="37"/>
    </row>
    <row r="81" spans="2:4" x14ac:dyDescent="0.2">
      <c r="B81" s="49"/>
      <c r="D81" s="37"/>
    </row>
    <row r="82" spans="2:4" x14ac:dyDescent="0.2">
      <c r="B82" s="49"/>
      <c r="D82" s="37"/>
    </row>
    <row r="83" spans="2:4" x14ac:dyDescent="0.2">
      <c r="B83" s="49"/>
      <c r="D83" s="37"/>
    </row>
    <row r="84" spans="2:4" x14ac:dyDescent="0.2">
      <c r="B84" s="49"/>
      <c r="D84" s="37"/>
    </row>
    <row r="85" spans="2:4" x14ac:dyDescent="0.2">
      <c r="B85" s="49"/>
      <c r="D85" s="37"/>
    </row>
    <row r="86" spans="2:4" x14ac:dyDescent="0.2">
      <c r="B86" s="49"/>
      <c r="D86" s="37"/>
    </row>
    <row r="87" spans="2:4" x14ac:dyDescent="0.2">
      <c r="B87" s="49"/>
      <c r="D87" s="37"/>
    </row>
    <row r="88" spans="2:4" x14ac:dyDescent="0.2">
      <c r="B88" s="49"/>
      <c r="D88" s="37"/>
    </row>
    <row r="89" spans="2:4" x14ac:dyDescent="0.2">
      <c r="B89" s="49"/>
      <c r="D89" s="37"/>
    </row>
    <row r="90" spans="2:4" x14ac:dyDescent="0.2">
      <c r="B90" s="49"/>
      <c r="D90" s="37"/>
    </row>
    <row r="91" spans="2:4" x14ac:dyDescent="0.2">
      <c r="B91" s="49"/>
      <c r="D91" s="37"/>
    </row>
    <row r="92" spans="2:4" x14ac:dyDescent="0.2">
      <c r="B92" s="49"/>
      <c r="D92" s="37"/>
    </row>
    <row r="93" spans="2:4" x14ac:dyDescent="0.2">
      <c r="B93" s="49"/>
      <c r="D93" s="37"/>
    </row>
    <row r="94" spans="2:4" x14ac:dyDescent="0.2">
      <c r="B94" s="49"/>
      <c r="D94" s="37"/>
    </row>
    <row r="95" spans="2:4" x14ac:dyDescent="0.2">
      <c r="B95" s="49"/>
      <c r="D95" s="37"/>
    </row>
    <row r="96" spans="2:4" x14ac:dyDescent="0.2">
      <c r="B96" s="49"/>
      <c r="D96" s="37"/>
    </row>
    <row r="97" spans="2:4" x14ac:dyDescent="0.2">
      <c r="B97" s="49"/>
      <c r="D97" s="37"/>
    </row>
    <row r="98" spans="2:4" x14ac:dyDescent="0.2">
      <c r="B98" s="49"/>
      <c r="D98" s="37"/>
    </row>
    <row r="99" spans="2:4" x14ac:dyDescent="0.2">
      <c r="B99" s="49"/>
      <c r="D99" s="37"/>
    </row>
    <row r="100" spans="2:4" x14ac:dyDescent="0.2">
      <c r="B100" s="49"/>
      <c r="D100" s="37"/>
    </row>
    <row r="101" spans="2:4" x14ac:dyDescent="0.2">
      <c r="B101" s="49"/>
      <c r="D101" s="37"/>
    </row>
    <row r="102" spans="2:4" x14ac:dyDescent="0.2">
      <c r="B102" s="49"/>
      <c r="D102" s="37"/>
    </row>
    <row r="103" spans="2:4" x14ac:dyDescent="0.2">
      <c r="B103" s="49"/>
      <c r="D103" s="37"/>
    </row>
    <row r="104" spans="2:4" x14ac:dyDescent="0.2">
      <c r="B104" s="49"/>
      <c r="D104" s="37"/>
    </row>
    <row r="105" spans="2:4" x14ac:dyDescent="0.2">
      <c r="B105" s="49"/>
      <c r="D105" s="37"/>
    </row>
    <row r="106" spans="2:4" x14ac:dyDescent="0.2">
      <c r="B106" s="49"/>
      <c r="D106" s="37"/>
    </row>
    <row r="107" spans="2:4" x14ac:dyDescent="0.2">
      <c r="B107" s="49"/>
      <c r="D107" s="37"/>
    </row>
    <row r="108" spans="2:4" x14ac:dyDescent="0.2">
      <c r="B108" s="49"/>
      <c r="D108" s="37"/>
    </row>
    <row r="109" spans="2:4" x14ac:dyDescent="0.2">
      <c r="B109" s="49"/>
      <c r="D109" s="37"/>
    </row>
    <row r="110" spans="2:4" x14ac:dyDescent="0.2">
      <c r="B110" s="49"/>
      <c r="D110" s="37"/>
    </row>
    <row r="111" spans="2:4" x14ac:dyDescent="0.2">
      <c r="B111" s="49"/>
      <c r="D111" s="37"/>
    </row>
    <row r="112" spans="2:4" x14ac:dyDescent="0.2">
      <c r="B112" s="49"/>
      <c r="D112" s="37"/>
    </row>
    <row r="113" spans="2:4" x14ac:dyDescent="0.2">
      <c r="B113" s="49"/>
      <c r="D113" s="37"/>
    </row>
    <row r="114" spans="2:4" x14ac:dyDescent="0.2">
      <c r="B114" s="49"/>
      <c r="D114" s="37"/>
    </row>
    <row r="115" spans="2:4" x14ac:dyDescent="0.2">
      <c r="B115" s="49"/>
      <c r="D115" s="37"/>
    </row>
    <row r="116" spans="2:4" x14ac:dyDescent="0.2">
      <c r="B116" s="49"/>
      <c r="D116" s="37"/>
    </row>
    <row r="117" spans="2:4" x14ac:dyDescent="0.2">
      <c r="B117" s="49"/>
      <c r="D117" s="37"/>
    </row>
    <row r="118" spans="2:4" x14ac:dyDescent="0.2">
      <c r="B118" s="49"/>
      <c r="D118" s="37"/>
    </row>
    <row r="119" spans="2:4" x14ac:dyDescent="0.2">
      <c r="B119" s="49"/>
      <c r="D119" s="37"/>
    </row>
    <row r="120" spans="2:4" x14ac:dyDescent="0.2">
      <c r="B120" s="49"/>
      <c r="D120" s="37"/>
    </row>
    <row r="121" spans="2:4" x14ac:dyDescent="0.2">
      <c r="B121" s="49"/>
      <c r="D121" s="37"/>
    </row>
    <row r="122" spans="2:4" x14ac:dyDescent="0.2">
      <c r="B122" s="49"/>
      <c r="D122" s="37"/>
    </row>
    <row r="123" spans="2:4" x14ac:dyDescent="0.2">
      <c r="B123" s="49"/>
      <c r="D123" s="37"/>
    </row>
    <row r="124" spans="2:4" x14ac:dyDescent="0.2">
      <c r="B124" s="49"/>
      <c r="D124" s="37"/>
    </row>
    <row r="125" spans="2:4" x14ac:dyDescent="0.2">
      <c r="B125" s="49"/>
      <c r="D125" s="37"/>
    </row>
    <row r="126" spans="2:4" x14ac:dyDescent="0.2">
      <c r="B126" s="49"/>
      <c r="D126" s="37"/>
    </row>
    <row r="127" spans="2:4" x14ac:dyDescent="0.2">
      <c r="B127" s="49"/>
      <c r="D127" s="37"/>
    </row>
    <row r="128" spans="2:4" x14ac:dyDescent="0.2">
      <c r="B128" s="49"/>
      <c r="D128" s="37"/>
    </row>
    <row r="129" spans="2:4" x14ac:dyDescent="0.2">
      <c r="B129" s="49"/>
      <c r="D129" s="37"/>
    </row>
    <row r="130" spans="2:4" x14ac:dyDescent="0.2">
      <c r="B130" s="49"/>
      <c r="D130" s="37"/>
    </row>
    <row r="131" spans="2:4" x14ac:dyDescent="0.2">
      <c r="B131" s="49"/>
      <c r="D131" s="37"/>
    </row>
    <row r="132" spans="2:4" x14ac:dyDescent="0.2">
      <c r="B132" s="49"/>
      <c r="D132" s="37"/>
    </row>
    <row r="133" spans="2:4" x14ac:dyDescent="0.2">
      <c r="B133" s="49"/>
      <c r="D133" s="37"/>
    </row>
    <row r="134" spans="2:4" x14ac:dyDescent="0.2">
      <c r="B134" s="49"/>
      <c r="D134" s="37"/>
    </row>
    <row r="135" spans="2:4" x14ac:dyDescent="0.2">
      <c r="B135" s="49"/>
      <c r="D135" s="37"/>
    </row>
    <row r="136" spans="2:4" x14ac:dyDescent="0.2">
      <c r="B136" s="49"/>
      <c r="D136" s="37"/>
    </row>
    <row r="137" spans="2:4" x14ac:dyDescent="0.2">
      <c r="B137" s="49"/>
      <c r="D137" s="37"/>
    </row>
    <row r="138" spans="2:4" x14ac:dyDescent="0.2">
      <c r="B138" s="49"/>
      <c r="D138" s="37"/>
    </row>
    <row r="139" spans="2:4" x14ac:dyDescent="0.2">
      <c r="B139" s="49"/>
      <c r="D139" s="37"/>
    </row>
    <row r="140" spans="2:4" x14ac:dyDescent="0.2">
      <c r="B140" s="49"/>
      <c r="D140" s="37"/>
    </row>
    <row r="141" spans="2:4" x14ac:dyDescent="0.2">
      <c r="B141" s="49"/>
      <c r="D141" s="37"/>
    </row>
    <row r="142" spans="2:4" x14ac:dyDescent="0.2">
      <c r="B142" s="49"/>
      <c r="D142" s="37"/>
    </row>
    <row r="143" spans="2:4" x14ac:dyDescent="0.2">
      <c r="B143" s="49"/>
      <c r="D143" s="37"/>
    </row>
    <row r="144" spans="2:4" x14ac:dyDescent="0.2">
      <c r="B144" s="49"/>
      <c r="D144" s="37"/>
    </row>
    <row r="145" spans="2:4" x14ac:dyDescent="0.2">
      <c r="B145" s="49"/>
      <c r="D145" s="37"/>
    </row>
    <row r="146" spans="2:4" x14ac:dyDescent="0.2">
      <c r="B146" s="49"/>
      <c r="D146" s="37"/>
    </row>
    <row r="147" spans="2:4" x14ac:dyDescent="0.2">
      <c r="B147" s="49"/>
      <c r="D147" s="37"/>
    </row>
    <row r="148" spans="2:4" x14ac:dyDescent="0.2">
      <c r="B148" s="49"/>
      <c r="D148" s="37"/>
    </row>
    <row r="149" spans="2:4" x14ac:dyDescent="0.2">
      <c r="B149" s="49"/>
      <c r="D149" s="37"/>
    </row>
    <row r="150" spans="2:4" x14ac:dyDescent="0.2">
      <c r="B150" s="49"/>
      <c r="D150" s="37"/>
    </row>
    <row r="151" spans="2:4" x14ac:dyDescent="0.2">
      <c r="B151" s="49"/>
      <c r="D151" s="37"/>
    </row>
    <row r="152" spans="2:4" x14ac:dyDescent="0.2">
      <c r="B152" s="49"/>
      <c r="D152" s="37"/>
    </row>
    <row r="153" spans="2:4" x14ac:dyDescent="0.2">
      <c r="B153" s="49"/>
      <c r="D153" s="37"/>
    </row>
    <row r="154" spans="2:4" x14ac:dyDescent="0.2">
      <c r="B154" s="49"/>
      <c r="D154" s="37"/>
    </row>
    <row r="155" spans="2:4" x14ac:dyDescent="0.2">
      <c r="B155" s="49"/>
      <c r="D155" s="37"/>
    </row>
    <row r="156" spans="2:4" x14ac:dyDescent="0.2">
      <c r="B156" s="49"/>
      <c r="D156" s="37"/>
    </row>
    <row r="157" spans="2:4" x14ac:dyDescent="0.2">
      <c r="B157" s="49"/>
      <c r="D157" s="37"/>
    </row>
    <row r="158" spans="2:4" x14ac:dyDescent="0.2">
      <c r="B158" s="49"/>
      <c r="D158" s="37"/>
    </row>
    <row r="159" spans="2:4" x14ac:dyDescent="0.2">
      <c r="B159" s="49"/>
      <c r="D159" s="37"/>
    </row>
    <row r="160" spans="2:4" x14ac:dyDescent="0.2">
      <c r="B160" s="49"/>
      <c r="D160" s="37"/>
    </row>
    <row r="161" spans="2:4" x14ac:dyDescent="0.2">
      <c r="B161" s="49"/>
      <c r="D161" s="37"/>
    </row>
    <row r="162" spans="2:4" x14ac:dyDescent="0.2">
      <c r="B162" s="49"/>
      <c r="D162" s="37"/>
    </row>
    <row r="163" spans="2:4" x14ac:dyDescent="0.2">
      <c r="B163" s="49"/>
      <c r="D163" s="37"/>
    </row>
    <row r="164" spans="2:4" x14ac:dyDescent="0.2">
      <c r="B164" s="49"/>
      <c r="D164" s="37"/>
    </row>
    <row r="165" spans="2:4" x14ac:dyDescent="0.2">
      <c r="B165" s="49"/>
      <c r="D165" s="37"/>
    </row>
    <row r="166" spans="2:4" x14ac:dyDescent="0.2">
      <c r="B166" s="49"/>
      <c r="D166" s="37"/>
    </row>
    <row r="167" spans="2:4" x14ac:dyDescent="0.2">
      <c r="B167" s="49"/>
      <c r="D167" s="37"/>
    </row>
    <row r="168" spans="2:4" x14ac:dyDescent="0.2">
      <c r="B168" s="49"/>
      <c r="D168" s="37"/>
    </row>
    <row r="169" spans="2:4" x14ac:dyDescent="0.2">
      <c r="B169" s="49"/>
      <c r="D169" s="37"/>
    </row>
    <row r="170" spans="2:4" x14ac:dyDescent="0.2">
      <c r="B170" s="49"/>
      <c r="D170" s="37"/>
    </row>
    <row r="171" spans="2:4" x14ac:dyDescent="0.2">
      <c r="B171" s="49"/>
      <c r="D171" s="37"/>
    </row>
    <row r="172" spans="2:4" x14ac:dyDescent="0.2">
      <c r="B172" s="49"/>
      <c r="D172" s="37"/>
    </row>
    <row r="173" spans="2:4" x14ac:dyDescent="0.2">
      <c r="B173" s="49"/>
      <c r="D173" s="37"/>
    </row>
    <row r="174" spans="2:4" x14ac:dyDescent="0.2">
      <c r="B174" s="49"/>
      <c r="D174" s="37"/>
    </row>
    <row r="175" spans="2:4" x14ac:dyDescent="0.2">
      <c r="B175" s="49"/>
      <c r="D175" s="37"/>
    </row>
    <row r="176" spans="2:4" x14ac:dyDescent="0.2">
      <c r="B176" s="49"/>
      <c r="D176" s="37"/>
    </row>
    <row r="177" spans="2:4" x14ac:dyDescent="0.2">
      <c r="B177" s="49"/>
      <c r="D177" s="37"/>
    </row>
    <row r="178" spans="2:4" x14ac:dyDescent="0.2">
      <c r="B178" s="49"/>
      <c r="D178" s="37"/>
    </row>
    <row r="179" spans="2:4" x14ac:dyDescent="0.2">
      <c r="B179" s="49"/>
      <c r="D179" s="37"/>
    </row>
    <row r="180" spans="2:4" x14ac:dyDescent="0.2">
      <c r="B180" s="49"/>
      <c r="D180" s="37"/>
    </row>
    <row r="181" spans="2:4" x14ac:dyDescent="0.2">
      <c r="B181" s="49"/>
      <c r="D181" s="37"/>
    </row>
    <row r="182" spans="2:4" x14ac:dyDescent="0.2">
      <c r="B182" s="49"/>
      <c r="D182" s="37"/>
    </row>
    <row r="183" spans="2:4" x14ac:dyDescent="0.2">
      <c r="B183" s="49"/>
      <c r="D183" s="37"/>
    </row>
    <row r="184" spans="2:4" x14ac:dyDescent="0.2">
      <c r="B184" s="49"/>
      <c r="D184" s="37"/>
    </row>
    <row r="185" spans="2:4" x14ac:dyDescent="0.2">
      <c r="B185" s="49"/>
      <c r="D185" s="37"/>
    </row>
    <row r="186" spans="2:4" x14ac:dyDescent="0.2">
      <c r="B186" s="49"/>
      <c r="D186" s="37"/>
    </row>
    <row r="187" spans="2:4" x14ac:dyDescent="0.2">
      <c r="B187" s="49"/>
      <c r="D187" s="37"/>
    </row>
    <row r="188" spans="2:4" x14ac:dyDescent="0.2">
      <c r="B188" s="49"/>
      <c r="D188" s="37"/>
    </row>
    <row r="189" spans="2:4" x14ac:dyDescent="0.2">
      <c r="B189" s="49"/>
      <c r="D189" s="37"/>
    </row>
    <row r="190" spans="2:4" x14ac:dyDescent="0.2">
      <c r="B190" s="49"/>
      <c r="D190" s="37"/>
    </row>
    <row r="191" spans="2:4" x14ac:dyDescent="0.2">
      <c r="B191" s="49"/>
      <c r="D191" s="37"/>
    </row>
    <row r="192" spans="2:4" x14ac:dyDescent="0.2">
      <c r="B192" s="49"/>
      <c r="D192" s="37"/>
    </row>
    <row r="193" spans="2:4" x14ac:dyDescent="0.2">
      <c r="B193" s="49"/>
      <c r="D193" s="37"/>
    </row>
    <row r="194" spans="2:4" x14ac:dyDescent="0.2">
      <c r="B194" s="49"/>
      <c r="D194" s="37"/>
    </row>
    <row r="195" spans="2:4" x14ac:dyDescent="0.2">
      <c r="B195" s="49"/>
      <c r="D195" s="37"/>
    </row>
    <row r="196" spans="2:4" x14ac:dyDescent="0.2">
      <c r="B196" s="49"/>
      <c r="D196" s="37"/>
    </row>
    <row r="197" spans="2:4" x14ac:dyDescent="0.2">
      <c r="B197" s="49"/>
      <c r="D197" s="37"/>
    </row>
    <row r="198" spans="2:4" x14ac:dyDescent="0.2">
      <c r="B198" s="49"/>
      <c r="D198" s="37"/>
    </row>
    <row r="199" spans="2:4" x14ac:dyDescent="0.2">
      <c r="B199" s="49"/>
      <c r="D199" s="37"/>
    </row>
    <row r="200" spans="2:4" x14ac:dyDescent="0.2">
      <c r="B200" s="49"/>
      <c r="D200" s="37"/>
    </row>
    <row r="201" spans="2:4" x14ac:dyDescent="0.2">
      <c r="B201" s="49"/>
      <c r="D201" s="37"/>
    </row>
    <row r="202" spans="2:4" x14ac:dyDescent="0.2">
      <c r="B202" s="49"/>
      <c r="D202" s="37"/>
    </row>
    <row r="203" spans="2:4" x14ac:dyDescent="0.2">
      <c r="B203" s="49"/>
      <c r="D203" s="37"/>
    </row>
    <row r="204" spans="2:4" x14ac:dyDescent="0.2">
      <c r="B204" s="49"/>
      <c r="D204" s="37"/>
    </row>
    <row r="205" spans="2:4" x14ac:dyDescent="0.2">
      <c r="B205" s="49"/>
      <c r="D205" s="37"/>
    </row>
    <row r="206" spans="2:4" x14ac:dyDescent="0.2">
      <c r="B206" s="49"/>
      <c r="D206" s="37"/>
    </row>
    <row r="207" spans="2:4" x14ac:dyDescent="0.2">
      <c r="B207" s="49"/>
      <c r="D207" s="37"/>
    </row>
    <row r="208" spans="2:4" x14ac:dyDescent="0.2">
      <c r="B208" s="49"/>
      <c r="D208" s="37"/>
    </row>
    <row r="209" spans="2:4" x14ac:dyDescent="0.2">
      <c r="B209" s="49"/>
      <c r="D209" s="37"/>
    </row>
    <row r="210" spans="2:4" x14ac:dyDescent="0.2">
      <c r="B210" s="49"/>
      <c r="D210" s="37"/>
    </row>
    <row r="211" spans="2:4" x14ac:dyDescent="0.2">
      <c r="B211" s="49"/>
      <c r="D211" s="37"/>
    </row>
    <row r="212" spans="2:4" x14ac:dyDescent="0.2">
      <c r="B212" s="49"/>
      <c r="D212" s="37"/>
    </row>
    <row r="213" spans="2:4" x14ac:dyDescent="0.2">
      <c r="B213" s="49"/>
      <c r="D213" s="37"/>
    </row>
    <row r="214" spans="2:4" x14ac:dyDescent="0.2">
      <c r="B214" s="49"/>
      <c r="D214" s="37"/>
    </row>
    <row r="215" spans="2:4" x14ac:dyDescent="0.2">
      <c r="B215" s="49"/>
      <c r="D215" s="37"/>
    </row>
    <row r="216" spans="2:4" x14ac:dyDescent="0.2">
      <c r="B216" s="49"/>
      <c r="D216" s="37"/>
    </row>
    <row r="217" spans="2:4" x14ac:dyDescent="0.2">
      <c r="B217" s="49"/>
      <c r="D217" s="37"/>
    </row>
    <row r="218" spans="2:4" x14ac:dyDescent="0.2">
      <c r="B218" s="49"/>
      <c r="D218" s="37"/>
    </row>
    <row r="219" spans="2:4" x14ac:dyDescent="0.2">
      <c r="B219" s="49"/>
      <c r="D219" s="37"/>
    </row>
    <row r="220" spans="2:4" x14ac:dyDescent="0.2">
      <c r="B220" s="49"/>
      <c r="D220" s="37"/>
    </row>
    <row r="221" spans="2:4" x14ac:dyDescent="0.2">
      <c r="B221" s="49"/>
      <c r="D221" s="37"/>
    </row>
    <row r="222" spans="2:4" x14ac:dyDescent="0.2">
      <c r="B222" s="49"/>
      <c r="D222" s="37"/>
    </row>
    <row r="223" spans="2:4" x14ac:dyDescent="0.2">
      <c r="B223" s="49"/>
      <c r="D223" s="37"/>
    </row>
    <row r="224" spans="2:4" x14ac:dyDescent="0.2">
      <c r="B224" s="49"/>
      <c r="D224" s="37"/>
    </row>
    <row r="225" spans="2:4" x14ac:dyDescent="0.2">
      <c r="B225" s="49"/>
      <c r="D225" s="37"/>
    </row>
    <row r="226" spans="2:4" x14ac:dyDescent="0.2">
      <c r="B226" s="49"/>
      <c r="D226" s="37"/>
    </row>
    <row r="227" spans="2:4" x14ac:dyDescent="0.2">
      <c r="B227" s="49"/>
      <c r="D227" s="37"/>
    </row>
    <row r="228" spans="2:4" x14ac:dyDescent="0.2">
      <c r="B228" s="49"/>
      <c r="D228" s="37"/>
    </row>
    <row r="229" spans="2:4" x14ac:dyDescent="0.2">
      <c r="B229" s="49"/>
      <c r="D229" s="37"/>
    </row>
    <row r="230" spans="2:4" x14ac:dyDescent="0.2">
      <c r="B230" s="49"/>
      <c r="D230" s="37"/>
    </row>
    <row r="231" spans="2:4" x14ac:dyDescent="0.2">
      <c r="B231" s="49"/>
      <c r="D231" s="37"/>
    </row>
    <row r="232" spans="2:4" x14ac:dyDescent="0.2">
      <c r="B232" s="49"/>
      <c r="D232" s="37"/>
    </row>
    <row r="233" spans="2:4" x14ac:dyDescent="0.2">
      <c r="B233" s="49"/>
      <c r="D233" s="37"/>
    </row>
    <row r="234" spans="2:4" x14ac:dyDescent="0.2">
      <c r="B234" s="49"/>
      <c r="D234" s="37"/>
    </row>
    <row r="235" spans="2:4" x14ac:dyDescent="0.2">
      <c r="B235" s="49"/>
      <c r="D235" s="37"/>
    </row>
    <row r="236" spans="2:4" x14ac:dyDescent="0.2">
      <c r="B236" s="49"/>
      <c r="D236" s="37"/>
    </row>
    <row r="237" spans="2:4" x14ac:dyDescent="0.2">
      <c r="B237" s="49"/>
      <c r="D237" s="37"/>
    </row>
    <row r="238" spans="2:4" x14ac:dyDescent="0.2">
      <c r="B238" s="49"/>
      <c r="D238" s="37"/>
    </row>
    <row r="239" spans="2:4" x14ac:dyDescent="0.2">
      <c r="B239" s="49"/>
      <c r="D239" s="37"/>
    </row>
    <row r="240" spans="2:4" x14ac:dyDescent="0.2">
      <c r="B240" s="49"/>
      <c r="D240" s="37"/>
    </row>
    <row r="241" spans="2:4" x14ac:dyDescent="0.2">
      <c r="B241" s="49"/>
      <c r="D241" s="37"/>
    </row>
    <row r="242" spans="2:4" x14ac:dyDescent="0.2">
      <c r="B242" s="49"/>
      <c r="D242" s="37"/>
    </row>
    <row r="243" spans="2:4" x14ac:dyDescent="0.2">
      <c r="B243" s="49"/>
      <c r="D243" s="37"/>
    </row>
    <row r="244" spans="2:4" x14ac:dyDescent="0.2">
      <c r="B244" s="49"/>
      <c r="D244" s="37"/>
    </row>
    <row r="245" spans="2:4" x14ac:dyDescent="0.2">
      <c r="B245" s="49"/>
      <c r="D245" s="37"/>
    </row>
    <row r="246" spans="2:4" x14ac:dyDescent="0.2">
      <c r="B246" s="49"/>
      <c r="D246" s="37"/>
    </row>
    <row r="247" spans="2:4" x14ac:dyDescent="0.2">
      <c r="B247" s="49"/>
      <c r="D247" s="37"/>
    </row>
    <row r="248" spans="2:4" x14ac:dyDescent="0.2">
      <c r="B248" s="49"/>
      <c r="D248" s="37"/>
    </row>
    <row r="249" spans="2:4" x14ac:dyDescent="0.2">
      <c r="B249" s="49"/>
      <c r="D249" s="37"/>
    </row>
    <row r="250" spans="2:4" x14ac:dyDescent="0.2">
      <c r="B250" s="49"/>
      <c r="D250" s="37"/>
    </row>
    <row r="251" spans="2:4" x14ac:dyDescent="0.2">
      <c r="B251" s="49"/>
      <c r="D251" s="37"/>
    </row>
    <row r="252" spans="2:4" x14ac:dyDescent="0.2">
      <c r="B252" s="49"/>
      <c r="D252" s="37"/>
    </row>
    <row r="253" spans="2:4" x14ac:dyDescent="0.2">
      <c r="B253" s="49"/>
      <c r="D253" s="37"/>
    </row>
    <row r="254" spans="2:4" x14ac:dyDescent="0.2">
      <c r="B254" s="49"/>
      <c r="D254" s="37"/>
    </row>
    <row r="255" spans="2:4" x14ac:dyDescent="0.2">
      <c r="B255" s="49"/>
      <c r="D255" s="37"/>
    </row>
    <row r="256" spans="2:4" x14ac:dyDescent="0.2">
      <c r="B256" s="49"/>
      <c r="D256" s="37"/>
    </row>
    <row r="257" spans="2:4" x14ac:dyDescent="0.2">
      <c r="B257" s="49"/>
      <c r="D257" s="37"/>
    </row>
    <row r="258" spans="2:4" x14ac:dyDescent="0.2">
      <c r="B258" s="49"/>
      <c r="D258" s="37"/>
    </row>
    <row r="259" spans="2:4" x14ac:dyDescent="0.2">
      <c r="B259" s="49"/>
      <c r="D259" s="37"/>
    </row>
    <row r="260" spans="2:4" x14ac:dyDescent="0.2">
      <c r="B260" s="49"/>
      <c r="D260" s="37"/>
    </row>
    <row r="261" spans="2:4" x14ac:dyDescent="0.2">
      <c r="B261" s="49"/>
      <c r="D261" s="37"/>
    </row>
    <row r="262" spans="2:4" x14ac:dyDescent="0.2">
      <c r="B262" s="49"/>
      <c r="D262" s="37"/>
    </row>
    <row r="263" spans="2:4" x14ac:dyDescent="0.2">
      <c r="B263" s="49"/>
      <c r="D263" s="37"/>
    </row>
    <row r="264" spans="2:4" x14ac:dyDescent="0.2">
      <c r="B264" s="49"/>
      <c r="D264" s="37"/>
    </row>
    <row r="265" spans="2:4" x14ac:dyDescent="0.2">
      <c r="B265" s="49"/>
      <c r="D265" s="37"/>
    </row>
    <row r="266" spans="2:4" x14ac:dyDescent="0.2">
      <c r="B266" s="49"/>
      <c r="D266" s="37"/>
    </row>
    <row r="267" spans="2:4" x14ac:dyDescent="0.2">
      <c r="B267" s="49"/>
      <c r="D267" s="37"/>
    </row>
    <row r="268" spans="2:4" x14ac:dyDescent="0.2">
      <c r="B268" s="49"/>
      <c r="D268" s="37"/>
    </row>
    <row r="269" spans="2:4" x14ac:dyDescent="0.2">
      <c r="B269" s="49"/>
      <c r="D269" s="37"/>
    </row>
    <row r="270" spans="2:4" x14ac:dyDescent="0.2">
      <c r="B270" s="49"/>
      <c r="D270" s="37"/>
    </row>
    <row r="271" spans="2:4" x14ac:dyDescent="0.2">
      <c r="B271" s="49"/>
      <c r="D271" s="37"/>
    </row>
    <row r="272" spans="2:4" x14ac:dyDescent="0.2">
      <c r="B272" s="49"/>
      <c r="D272" s="37"/>
    </row>
  </sheetData>
  <sheetProtection algorithmName="SHA-512" hashValue="EB6TqoD7as18vOCTPYia485h2R61tOyjw0oESIIQ8gr+ZVzlThflCOscUXSnoqsroxAfmR1/7ykY084zh5VEiA==" saltValue="6n9+nfwPY50mT6rpCE+d2A==" spinCount="100000" sheet="1" objects="1" scenarios="1"/>
  <mergeCells count="6">
    <mergeCell ref="R10:R12"/>
    <mergeCell ref="B10:B12"/>
    <mergeCell ref="C10:C12"/>
    <mergeCell ref="D10:D12"/>
    <mergeCell ref="P10:P12"/>
    <mergeCell ref="Q10:Q12"/>
  </mergeCells>
  <conditionalFormatting sqref="B13:R64">
    <cfRule type="expression" dxfId="27" priority="1">
      <formula>IF(ROW($A13)-12&lt;=$A$6,TRUE,FALSE)</formula>
    </cfRule>
  </conditionalFormatting>
  <dataValidations count="1">
    <dataValidation type="date" allowBlank="1" showInputMessage="1" showErrorMessage="1" sqref="C8" xr:uid="{00000000-0002-0000-0900-000000000000}">
      <formula1>36526</formula1>
      <formula2>55153</formula2>
    </dataValidation>
  </dataValidations>
  <pageMargins left="0.7" right="0.7" top="0.75" bottom="0.75" header="0.3" footer="0.3"/>
  <pageSetup paperSize="9" orientation="portrait" horizontalDpi="90" verticalDpi="9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900-000001000000}">
          <x14:formula1>
            <xm:f>'Control sheet (hide)'!$C$2:$C$3</xm:f>
          </x14:formula1>
          <xm:sqref>R13:R272</xm:sqref>
        </x14:dataValidation>
        <x14:dataValidation type="list" allowBlank="1" showInputMessage="1" showErrorMessage="1" xr:uid="{00000000-0002-0000-0900-000002000000}">
          <x14:formula1>
            <xm:f>'Control sheet (hide)'!$E$13:$E$14</xm:f>
          </x14:formula1>
          <xm:sqref>C6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B1:BK55"/>
  <sheetViews>
    <sheetView topLeftCell="B1" workbookViewId="0">
      <selection activeCell="V19" sqref="V19"/>
    </sheetView>
  </sheetViews>
  <sheetFormatPr defaultRowHeight="14.25" x14ac:dyDescent="0.2"/>
  <cols>
    <col min="2" max="2" width="17.375" bestFit="1" customWidth="1"/>
    <col min="3" max="3" width="12.5" bestFit="1" customWidth="1"/>
    <col min="5" max="5" width="13" bestFit="1" customWidth="1"/>
    <col min="6" max="7" width="13" customWidth="1"/>
    <col min="8" max="9" width="11.125" bestFit="1" customWidth="1"/>
    <col min="10" max="10" width="14.5" bestFit="1" customWidth="1"/>
    <col min="11" max="12" width="8.875" bestFit="1" customWidth="1"/>
    <col min="13" max="14" width="8.875" customWidth="1"/>
    <col min="15" max="17" width="8.875" bestFit="1" customWidth="1"/>
    <col min="18" max="18" width="6.625" bestFit="1" customWidth="1"/>
    <col min="19" max="19" width="5.375" bestFit="1" customWidth="1"/>
    <col min="21" max="21" width="15.5" bestFit="1" customWidth="1"/>
    <col min="23" max="23" width="9.875" bestFit="1" customWidth="1"/>
    <col min="29" max="29" width="14.625" customWidth="1"/>
    <col min="30" max="30" width="9.875" style="37" customWidth="1"/>
    <col min="31" max="39" width="9" customWidth="1"/>
    <col min="40" max="41" width="9" hidden="1" customWidth="1"/>
    <col min="42" max="50" width="9" customWidth="1"/>
  </cols>
  <sheetData>
    <row r="1" spans="2:63" x14ac:dyDescent="0.2">
      <c r="B1" t="s">
        <v>222</v>
      </c>
      <c r="C1" t="s">
        <v>223</v>
      </c>
      <c r="E1" t="s">
        <v>225</v>
      </c>
      <c r="H1">
        <f ca="1">OFFSET('Demand background (hide)'!$BN$6,COLUMN(A1)-1,0,1,1)</f>
        <v>30</v>
      </c>
      <c r="I1">
        <f ca="1">OFFSET('Demand background (hide)'!$BN$6,COLUMN(B1)-1,0,1,1)</f>
        <v>40</v>
      </c>
      <c r="J1">
        <f ca="1">OFFSET('Demand background (hide)'!$BN$6,COLUMN(C1)-1,0,1,1)</f>
        <v>1</v>
      </c>
      <c r="K1">
        <f ca="1">OFFSET('Demand background (hide)'!$BN$6,COLUMN(D1)-1,0,1,1)</f>
        <v>1</v>
      </c>
      <c r="L1">
        <f ca="1">OFFSET('Demand background (hide)'!$BN$6,COLUMN(E1)-1,0,1,1)</f>
        <v>1</v>
      </c>
      <c r="M1">
        <f ca="1">OFFSET('Demand background (hide)'!$BN$6,COLUMN(F1)-1,0,1,1)</f>
        <v>1</v>
      </c>
      <c r="N1">
        <f ca="1">OFFSET('Demand background (hide)'!$BN$6,COLUMN(G1)-1,0,1,1)</f>
        <v>1</v>
      </c>
      <c r="O1">
        <f ca="1">OFFSET('Demand background (hide)'!$BN$6,COLUMN(H1)-1,0,1,1)</f>
        <v>1</v>
      </c>
      <c r="P1">
        <f ca="1">OFFSET('Demand background (hide)'!$BN$6,COLUMN(I1)-1,0,1,1)</f>
        <v>1</v>
      </c>
      <c r="Q1">
        <f ca="1">OFFSET('Demand background (hide)'!$BN$6,COLUMN(J1)-1,0,1,1)</f>
        <v>1</v>
      </c>
      <c r="R1">
        <f ca="1">OFFSET('Demand background (hide)'!$BN$6,COLUMN(K1)-1,0,1,1)</f>
        <v>36.982758620689658</v>
      </c>
      <c r="S1">
        <f ca="1">OFFSET('Demand background (hide)'!$BN$6,COLUMN(L1)-1,0,1,1)</f>
        <v>0</v>
      </c>
      <c r="AB1" t="s">
        <v>258</v>
      </c>
      <c r="AP1" t="s">
        <v>273</v>
      </c>
    </row>
    <row r="2" spans="2:63" x14ac:dyDescent="0.2">
      <c r="B2">
        <f ca="1">IF(Planned!$C$6&lt;&gt;"Overall",COUNTBLANK(OFFSET(Planned!E13,0,0,1,Num_Modalities)),IF(COUNTBLANK(Planned!O13)=1,Num_Modalities,0))</f>
        <v>0</v>
      </c>
      <c r="C2">
        <f ca="1">SUM(OFFSET(Planned!$E13,0,0,1,Num_Modalities))</f>
        <v>0</v>
      </c>
      <c r="E2" t="s">
        <v>152</v>
      </c>
      <c r="F2" t="s">
        <v>57</v>
      </c>
      <c r="G2" t="s">
        <v>1</v>
      </c>
      <c r="H2" t="str">
        <f ca="1">OFFSET('Control sheet (hide)'!$AA$3,COLUMN(A1)-1,0,1,1)</f>
        <v>Test name 1</v>
      </c>
      <c r="I2" t="str">
        <f ca="1">OFFSET('Control sheet (hide)'!$AA$3,COLUMN(B1)-1,0,1,1)</f>
        <v>Test name 2</v>
      </c>
      <c r="J2" t="str">
        <f ca="1">OFFSET('Control sheet (hide)'!$AA$3,COLUMN(C1)-1,0,1,1)</f>
        <v>Another modality</v>
      </c>
      <c r="K2" t="str">
        <f ca="1">OFFSET('Control sheet (hide)'!$AA$3,COLUMN(D1)-1,0,1,1)</f>
        <v>Modality 4</v>
      </c>
      <c r="L2" t="str">
        <f ca="1">OFFSET('Control sheet (hide)'!$AA$3,COLUMN(E1)-1,0,1,1)</f>
        <v>Modality 5</v>
      </c>
      <c r="M2" t="str">
        <f ca="1">OFFSET('Control sheet (hide)'!$AA$3,COLUMN(F1)-1,0,1,1)</f>
        <v>Modality 6</v>
      </c>
      <c r="N2" t="str">
        <f ca="1">OFFSET('Control sheet (hide)'!$AA$3,COLUMN(G1)-1,0,1,1)</f>
        <v>Modality 7</v>
      </c>
      <c r="O2" t="str">
        <f ca="1">OFFSET('Control sheet (hide)'!$AA$3,COLUMN(H1)-1,0,1,1)</f>
        <v>Modality 8</v>
      </c>
      <c r="P2" t="str">
        <f ca="1">OFFSET('Control sheet (hide)'!$AA$3,COLUMN(I1)-1,0,1,1)</f>
        <v>Modality 9</v>
      </c>
      <c r="Q2" t="str">
        <f ca="1">OFFSET('Control sheet (hide)'!$AA$3,COLUMN(J1)-1,0,1,1)</f>
        <v>Modality 10</v>
      </c>
      <c r="R2" s="5" t="s">
        <v>24</v>
      </c>
      <c r="S2" t="s">
        <v>69</v>
      </c>
      <c r="AB2" t="str">
        <f t="shared" ref="AB2:AB33" si="0">E2</f>
        <v>Index</v>
      </c>
      <c r="AC2" t="s">
        <v>264</v>
      </c>
      <c r="AD2" s="37" t="s">
        <v>272</v>
      </c>
      <c r="AE2" t="s">
        <v>269</v>
      </c>
      <c r="AF2" t="s">
        <v>158</v>
      </c>
      <c r="AG2" t="s">
        <v>259</v>
      </c>
      <c r="AH2" t="s">
        <v>265</v>
      </c>
      <c r="AI2" s="52" t="s">
        <v>260</v>
      </c>
      <c r="AJ2" s="52" t="s">
        <v>261</v>
      </c>
      <c r="AK2" s="52" t="s">
        <v>262</v>
      </c>
      <c r="AL2" s="52" t="s">
        <v>263</v>
      </c>
      <c r="AM2" s="52" t="s">
        <v>266</v>
      </c>
      <c r="AN2" t="s">
        <v>267</v>
      </c>
      <c r="AO2" t="s">
        <v>268</v>
      </c>
      <c r="AP2">
        <v>1</v>
      </c>
      <c r="AQ2" t="s">
        <v>274</v>
      </c>
      <c r="AR2">
        <v>2</v>
      </c>
      <c r="AS2" t="s">
        <v>275</v>
      </c>
      <c r="AT2">
        <v>3</v>
      </c>
      <c r="AU2" t="s">
        <v>276</v>
      </c>
      <c r="AV2">
        <v>4</v>
      </c>
      <c r="AW2" t="s">
        <v>76</v>
      </c>
      <c r="AZ2" s="3"/>
      <c r="BA2" s="3"/>
    </row>
    <row r="3" spans="2:63" x14ac:dyDescent="0.2">
      <c r="B3" s="68">
        <f ca="1">IF(Planned!$C$6&lt;&gt;"Overall",COUNTBLANK(OFFSET(Planned!E14,0,0,1,Num_Modalities)),IF(COUNTBLANK(Planned!O14)=1,Num_Modalities,0))</f>
        <v>0</v>
      </c>
      <c r="C3">
        <f ca="1">SUM(OFFSET(Planned!$E14,0,0,1,Num_Modalities))</f>
        <v>0</v>
      </c>
      <c r="E3">
        <f>Planned!A13</f>
        <v>1</v>
      </c>
      <c r="F3" s="37">
        <f>Planned!C13</f>
        <v>1</v>
      </c>
      <c r="G3" s="50" t="str">
        <f>Planned!D13</f>
        <v/>
      </c>
      <c r="H3">
        <f ca="1">Planned!E13*'Planned background (hide)'!H$1</f>
        <v>0</v>
      </c>
      <c r="I3">
        <f ca="1">Planned!F13*'Planned background (hide)'!I$1</f>
        <v>0</v>
      </c>
      <c r="J3">
        <f ca="1">Planned!G13*'Planned background (hide)'!J$1</f>
        <v>0</v>
      </c>
      <c r="K3">
        <f ca="1">Planned!H13*'Planned background (hide)'!K$1</f>
        <v>0</v>
      </c>
      <c r="L3">
        <f ca="1">Planned!I13*'Planned background (hide)'!L$1</f>
        <v>0</v>
      </c>
      <c r="M3">
        <f ca="1">Planned!J13*'Planned background (hide)'!M$1</f>
        <v>0</v>
      </c>
      <c r="N3">
        <f ca="1">Planned!K13*'Planned background (hide)'!N$1</f>
        <v>0</v>
      </c>
      <c r="O3">
        <f ca="1">Planned!L13*'Planned background (hide)'!O$1</f>
        <v>0</v>
      </c>
      <c r="P3">
        <f ca="1">Planned!K13*'Planned background (hide)'!P$1</f>
        <v>0</v>
      </c>
      <c r="Q3">
        <f ca="1">Planned!L13*'Planned background (hide)'!Q$1</f>
        <v>0</v>
      </c>
      <c r="R3" s="5">
        <f ca="1">IF(Planned!$C$6="Overall",Planned!O13*'Planned background (hide)'!R$1,"")</f>
        <v>147.93103448275863</v>
      </c>
      <c r="S3" s="5">
        <f ca="1">IF(Planned!R13&lt;&gt;"Yes",IF(Planned!$C$6&lt;&gt;"Overall",SUM(OFFSET('Planned background (hide)'!H3,0,0,1,Num_Modalities)),'Planned background (hide)'!R3),"")</f>
        <v>147.93103448275863</v>
      </c>
      <c r="V3" s="5"/>
      <c r="AB3">
        <f t="shared" si="0"/>
        <v>1</v>
      </c>
      <c r="AC3" s="37">
        <f>IF(Planned!$C$8=0,'Planned background (hide)'!F3,'Planned background (hide)'!G3)</f>
        <v>1</v>
      </c>
      <c r="AD3" s="37">
        <f>IF(AND(AB3&gt;=$U$18,AB3&lt;($U$18+$AA$19)),1,0)</f>
        <v>1</v>
      </c>
      <c r="AE3" s="5">
        <f t="shared" ref="AE3:AE34" ca="1" si="1">S3</f>
        <v>147.93103448275863</v>
      </c>
      <c r="AF3" s="5">
        <f ca="1">$V$23</f>
        <v>140.5344827586207</v>
      </c>
      <c r="AG3">
        <f ca="1">$V$25</f>
        <v>57.375733675715331</v>
      </c>
      <c r="AH3">
        <f ca="1">IF(AF3-(3*AG3)&lt;=0,0,AF3-(3*AG3))</f>
        <v>0</v>
      </c>
      <c r="AI3">
        <f ca="1">IF(AF3-(2*AG3)&lt;=0,0,AF3-(2*AG3))</f>
        <v>25.783015407190035</v>
      </c>
      <c r="AJ3">
        <f ca="1">IF(AF3-(1*AG3)&lt;=0,0,AF3-(1*AG3))</f>
        <v>83.158749082905359</v>
      </c>
      <c r="AK3">
        <f ca="1">AF3+(1*AG3)</f>
        <v>197.91021643433604</v>
      </c>
      <c r="AL3">
        <f ca="1">AF3+(2*AG3)</f>
        <v>255.28595011005137</v>
      </c>
      <c r="AM3">
        <f ca="1">AF3+(3*AG3)</f>
        <v>312.66168378576668</v>
      </c>
      <c r="AN3">
        <f ca="1">$V$26</f>
        <v>170.12068965517244</v>
      </c>
      <c r="AO3">
        <f ca="1">$V$27</f>
        <v>184.91379310344828</v>
      </c>
      <c r="AP3" t="e">
        <f ca="1">IF(OR(AE3&gt;AM3,AE3&lt;AH3),AE3,NA())</f>
        <v>#N/A</v>
      </c>
      <c r="AQ3">
        <f ca="1">IF(AE3&gt;AL3,1,IF(AE3&lt;AI3,-1,0))</f>
        <v>0</v>
      </c>
      <c r="AU3">
        <f ca="1">IF(AE3&gt;AF3,1,IF(AE3&lt;AF3,-1,0))</f>
        <v>1</v>
      </c>
      <c r="AZ3" s="3"/>
      <c r="BA3" s="3"/>
      <c r="BH3" s="49">
        <f>IF(OR(Planned!B13=1,Planned!B13=""),AC3,Planned!B13)</f>
        <v>1</v>
      </c>
      <c r="BI3" t="str">
        <f>TEXT(Planned!D13,"mmm")</f>
        <v/>
      </c>
    </row>
    <row r="4" spans="2:63" x14ac:dyDescent="0.2">
      <c r="B4" s="68">
        <f ca="1">IF(Planned!$C$6&lt;&gt;"Overall",COUNTBLANK(OFFSET(Planned!E15,0,0,1,Num_Modalities)),IF(COUNTBLANK(Planned!O15)=1,Num_Modalities,0))</f>
        <v>0</v>
      </c>
      <c r="C4">
        <f ca="1">SUM(OFFSET(Planned!$E15,0,0,1,Num_Modalities))</f>
        <v>0</v>
      </c>
      <c r="E4">
        <f>E3+1</f>
        <v>2</v>
      </c>
      <c r="F4" s="37">
        <f>IF(G4&lt;&gt;"",WEEKNUM(G4,21),IF(MOD(F3+1,52)=0,52,MOD(F3+1,52)))</f>
        <v>2</v>
      </c>
      <c r="G4" s="50" t="str">
        <f>IF(G3="","",G3+7)</f>
        <v/>
      </c>
      <c r="H4">
        <f ca="1">Planned!E14*'Planned background (hide)'!H$1</f>
        <v>0</v>
      </c>
      <c r="I4">
        <f ca="1">Planned!F14*'Planned background (hide)'!I$1</f>
        <v>0</v>
      </c>
      <c r="J4">
        <f ca="1">Planned!G14*'Planned background (hide)'!J$1</f>
        <v>0</v>
      </c>
      <c r="K4">
        <f ca="1">Planned!H14*'Planned background (hide)'!K$1</f>
        <v>0</v>
      </c>
      <c r="L4">
        <f ca="1">Planned!I14*'Planned background (hide)'!L$1</f>
        <v>0</v>
      </c>
      <c r="M4">
        <f ca="1">Planned!J14*'Planned background (hide)'!M$1</f>
        <v>0</v>
      </c>
      <c r="N4">
        <f ca="1">Planned!K14*'Planned background (hide)'!N$1</f>
        <v>0</v>
      </c>
      <c r="O4">
        <f ca="1">Planned!J14*'Planned background (hide)'!O$1</f>
        <v>0</v>
      </c>
      <c r="P4">
        <f ca="1">Planned!K14*'Planned background (hide)'!P$1</f>
        <v>0</v>
      </c>
      <c r="Q4">
        <f ca="1">Planned!L14*'Planned background (hide)'!Q$1</f>
        <v>0</v>
      </c>
      <c r="R4" s="5">
        <f ca="1">IF(Planned!$C$6="Overall",Planned!O14*'Planned background (hide)'!R$1,"")</f>
        <v>184.91379310344828</v>
      </c>
      <c r="S4" s="5">
        <f ca="1">IF(Planned!R14&lt;&gt;"Yes",IF(Planned!$C$6&lt;&gt;"Overall",SUM(OFFSET('Planned background (hide)'!H4,0,0,1,Num_Modalities)),'Planned background (hide)'!R4),"")</f>
        <v>184.91379310344828</v>
      </c>
      <c r="AB4">
        <f t="shared" si="0"/>
        <v>2</v>
      </c>
      <c r="AC4" s="37">
        <f>IF(Planned!$C$8=0,'Planned background (hide)'!F4,'Planned background (hide)'!G4)</f>
        <v>2</v>
      </c>
      <c r="AD4" s="37">
        <f t="shared" ref="AD4:AD54" si="2">IF(AND(AB4&gt;$U$18,AB4&lt;($U$18+$AA$19)),1,0)</f>
        <v>1</v>
      </c>
      <c r="AE4" s="5">
        <f t="shared" ca="1" si="1"/>
        <v>184.91379310344828</v>
      </c>
      <c r="AF4" s="5">
        <f t="shared" ref="AF4:AF55" ca="1" si="3">$V$23</f>
        <v>140.5344827586207</v>
      </c>
      <c r="AG4">
        <f t="shared" ref="AG4:AG55" ca="1" si="4">$V$25</f>
        <v>57.375733675715331</v>
      </c>
      <c r="AH4" s="68">
        <f t="shared" ref="AH4:AH54" ca="1" si="5">IF(AF4-(3*AG4)&lt;=0,0,AF4-(3*AG4))</f>
        <v>0</v>
      </c>
      <c r="AI4" s="68">
        <f t="shared" ref="AI4:AI54" ca="1" si="6">IF(AF4-(2*AG4)&lt;=0,0,AF4-(2*AG4))</f>
        <v>25.783015407190035</v>
      </c>
      <c r="AJ4" s="68">
        <f t="shared" ref="AJ4:AJ54" ca="1" si="7">IF(AF4-(1*AG4)&lt;=0,0,AF4-(1*AG4))</f>
        <v>83.158749082905359</v>
      </c>
      <c r="AK4">
        <f t="shared" ref="AK4:AK54" ca="1" si="8">AF4+(1*AG4)</f>
        <v>197.91021643433604</v>
      </c>
      <c r="AL4">
        <f t="shared" ref="AL4:AL54" ca="1" si="9">AF4+(2*AG4)</f>
        <v>255.28595011005137</v>
      </c>
      <c r="AM4">
        <f t="shared" ref="AM4:AM54" ca="1" si="10">AF4+(3*AG4)</f>
        <v>312.66168378576668</v>
      </c>
      <c r="AN4">
        <f t="shared" ref="AN4:AN55" ca="1" si="11">$V$26</f>
        <v>170.12068965517244</v>
      </c>
      <c r="AO4">
        <f t="shared" ref="AO4:AO55" ca="1" si="12">$V$27</f>
        <v>184.91379310344828</v>
      </c>
      <c r="AP4" t="e">
        <f t="shared" ref="AP4:AP54" ca="1" si="13">IF(OR(AE4&gt;AM4,AE4&lt;AH4),AE4,NA())</f>
        <v>#N/A</v>
      </c>
      <c r="AQ4">
        <f ca="1">IF(AE4&gt;AL4,1,IF(AE4&lt;AI4,-1,0))</f>
        <v>0</v>
      </c>
      <c r="AS4">
        <f ca="1">IF(AE4&gt;AE3,1,IF(AE4&lt;AE3,-1,0))</f>
        <v>1</v>
      </c>
      <c r="AU4">
        <f t="shared" ref="AU4:AU54" ca="1" si="14">IF(AE4&gt;AF4,1,IF(AE4&lt;AF4,-1,0))</f>
        <v>1</v>
      </c>
      <c r="AW4" s="5">
        <f ca="1">ABS(AE4-AE3)</f>
        <v>36.982758620689651</v>
      </c>
      <c r="AZ4" s="3"/>
      <c r="BA4" s="3"/>
      <c r="BH4" s="49">
        <f ca="1">IF(OR(Planned!B14=1,Planned!B14=""),AC4,Planned!B14)</f>
        <v>2</v>
      </c>
      <c r="BI4" t="str">
        <f ca="1">IF(TEXT(Planned!D14,"mmm")&lt;&gt;TEXT(Planned!D13,"mmm"),TEXT(Planned!D14,"mmm"),"")</f>
        <v/>
      </c>
      <c r="BK4" s="68"/>
    </row>
    <row r="5" spans="2:63" x14ac:dyDescent="0.2">
      <c r="B5" s="68">
        <f ca="1">IF(Planned!$C$6&lt;&gt;"Overall",COUNTBLANK(OFFSET(Planned!E16,0,0,1,Num_Modalities)),IF(COUNTBLANK(Planned!O16)=1,Num_Modalities,0))</f>
        <v>0</v>
      </c>
      <c r="C5">
        <f ca="1">SUM(OFFSET(Planned!$E16,0,0,1,Num_Modalities))</f>
        <v>0</v>
      </c>
      <c r="E5" s="68">
        <f t="shared" ref="E5:E55" si="15">E4+1</f>
        <v>3</v>
      </c>
      <c r="F5" s="37">
        <f t="shared" ref="F5:F54" si="16">IF(G5&lt;&gt;"",WEEKNUM(G5,21),IF(MOD(F4+1,52)=0,52,MOD(F4+1,52)))</f>
        <v>3</v>
      </c>
      <c r="G5" s="69" t="str">
        <f t="shared" ref="G5:G55" si="17">IF(G4="","",G4+7)</f>
        <v/>
      </c>
      <c r="H5">
        <f ca="1">Planned!E15*'Planned background (hide)'!H$1</f>
        <v>0</v>
      </c>
      <c r="I5">
        <f ca="1">Planned!F15*'Planned background (hide)'!I$1</f>
        <v>0</v>
      </c>
      <c r="J5">
        <f ca="1">Planned!G15*'Planned background (hide)'!J$1</f>
        <v>0</v>
      </c>
      <c r="K5">
        <f ca="1">Planned!H15*'Planned background (hide)'!K$1</f>
        <v>0</v>
      </c>
      <c r="L5">
        <f ca="1">Planned!I15*'Planned background (hide)'!L$1</f>
        <v>0</v>
      </c>
      <c r="M5">
        <f ca="1">Planned!J15*'Planned background (hide)'!M$1</f>
        <v>0</v>
      </c>
      <c r="N5">
        <f ca="1">Planned!K15*'Planned background (hide)'!N$1</f>
        <v>0</v>
      </c>
      <c r="O5">
        <f ca="1">Planned!J15*'Planned background (hide)'!O$1</f>
        <v>0</v>
      </c>
      <c r="P5">
        <f ca="1">Planned!K15*'Planned background (hide)'!P$1</f>
        <v>0</v>
      </c>
      <c r="Q5">
        <f ca="1">Planned!L15*'Planned background (hide)'!Q$1</f>
        <v>0</v>
      </c>
      <c r="R5" s="5">
        <f ca="1">IF(Planned!$C$6="Overall",Planned!O15*'Planned background (hide)'!R$1,"")</f>
        <v>73.965517241379317</v>
      </c>
      <c r="S5" s="5">
        <f ca="1">IF(Planned!R15&lt;&gt;"Yes",IF(Planned!$C$6&lt;&gt;"Overall",SUM(OFFSET('Planned background (hide)'!H5,0,0,1,Num_Modalities)),'Planned background (hide)'!R5),"")</f>
        <v>73.965517241379317</v>
      </c>
      <c r="AB5">
        <f t="shared" si="0"/>
        <v>3</v>
      </c>
      <c r="AC5" s="37">
        <f>IF(Planned!$C$8=0,'Planned background (hide)'!F5,'Planned background (hide)'!G5)</f>
        <v>3</v>
      </c>
      <c r="AD5" s="37">
        <f t="shared" si="2"/>
        <v>1</v>
      </c>
      <c r="AE5" s="5">
        <f t="shared" ca="1" si="1"/>
        <v>73.965517241379317</v>
      </c>
      <c r="AF5" s="5">
        <f t="shared" ca="1" si="3"/>
        <v>140.5344827586207</v>
      </c>
      <c r="AG5">
        <f t="shared" ca="1" si="4"/>
        <v>57.375733675715331</v>
      </c>
      <c r="AH5" s="68">
        <f t="shared" ca="1" si="5"/>
        <v>0</v>
      </c>
      <c r="AI5" s="68">
        <f t="shared" ca="1" si="6"/>
        <v>25.783015407190035</v>
      </c>
      <c r="AJ5" s="68">
        <f t="shared" ca="1" si="7"/>
        <v>83.158749082905359</v>
      </c>
      <c r="AK5">
        <f t="shared" ca="1" si="8"/>
        <v>197.91021643433604</v>
      </c>
      <c r="AL5">
        <f t="shared" ca="1" si="9"/>
        <v>255.28595011005137</v>
      </c>
      <c r="AM5">
        <f t="shared" ca="1" si="10"/>
        <v>312.66168378576668</v>
      </c>
      <c r="AN5">
        <f t="shared" ca="1" si="11"/>
        <v>170.12068965517244</v>
      </c>
      <c r="AO5">
        <f t="shared" ca="1" si="12"/>
        <v>184.91379310344828</v>
      </c>
      <c r="AP5" t="e">
        <f t="shared" ca="1" si="13"/>
        <v>#N/A</v>
      </c>
      <c r="AQ5">
        <f t="shared" ref="AQ5:AQ54" ca="1" si="18">IF(AE5&gt;AL5,1,IF(AE5&lt;AI5,-1,0))</f>
        <v>0</v>
      </c>
      <c r="AR5" t="e">
        <f ca="1">IF(ABS(SUM(AQ3:AQ5))&gt;=2,AE5,NA())</f>
        <v>#N/A</v>
      </c>
      <c r="AS5">
        <f t="shared" ref="AS5:AS54" ca="1" si="19">IF(AE5&gt;AE4,1,IF(AE5&lt;AE4,-1,0))</f>
        <v>-1</v>
      </c>
      <c r="AU5">
        <f t="shared" ca="1" si="14"/>
        <v>-1</v>
      </c>
      <c r="AW5" s="5">
        <f t="shared" ref="AW5:AW54" ca="1" si="20">ABS(AE5-AE4)</f>
        <v>110.94827586206897</v>
      </c>
      <c r="AZ5" s="3"/>
      <c r="BA5" s="3"/>
      <c r="BH5" s="49">
        <f ca="1">IF(OR(Planned!B15=1,Planned!B15=""),AC5,Planned!B15)</f>
        <v>3</v>
      </c>
      <c r="BI5" t="str">
        <f ca="1">IF(TEXT(Planned!D15,"mmm")&lt;&gt;TEXT(Planned!D14,"mmm"),TEXT(Planned!D15,"mmm"),"")</f>
        <v/>
      </c>
      <c r="BK5" s="68"/>
    </row>
    <row r="6" spans="2:63" x14ac:dyDescent="0.2">
      <c r="B6" s="68">
        <f ca="1">IF(Planned!$C$6&lt;&gt;"Overall",COUNTBLANK(OFFSET(Planned!E17,0,0,1,Num_Modalities)),IF(COUNTBLANK(Planned!O17)=1,Num_Modalities,0))</f>
        <v>0</v>
      </c>
      <c r="C6">
        <f ca="1">SUM(OFFSET(Planned!$E17,0,0,1,Num_Modalities))</f>
        <v>0</v>
      </c>
      <c r="E6" s="68">
        <f t="shared" si="15"/>
        <v>4</v>
      </c>
      <c r="F6" s="37">
        <f t="shared" si="16"/>
        <v>4</v>
      </c>
      <c r="G6" s="69" t="str">
        <f t="shared" si="17"/>
        <v/>
      </c>
      <c r="H6">
        <f ca="1">Planned!E16*'Planned background (hide)'!H$1</f>
        <v>0</v>
      </c>
      <c r="I6">
        <f ca="1">Planned!F16*'Planned background (hide)'!I$1</f>
        <v>0</v>
      </c>
      <c r="J6">
        <f ca="1">Planned!G16*'Planned background (hide)'!J$1</f>
        <v>0</v>
      </c>
      <c r="K6">
        <f ca="1">Planned!H16*'Planned background (hide)'!K$1</f>
        <v>0</v>
      </c>
      <c r="L6">
        <f ca="1">Planned!I16*'Planned background (hide)'!L$1</f>
        <v>0</v>
      </c>
      <c r="M6">
        <f ca="1">Planned!J16*'Planned background (hide)'!M$1</f>
        <v>0</v>
      </c>
      <c r="N6">
        <f ca="1">Planned!K16*'Planned background (hide)'!N$1</f>
        <v>0</v>
      </c>
      <c r="O6">
        <f ca="1">Planned!J16*'Planned background (hide)'!O$1</f>
        <v>0</v>
      </c>
      <c r="P6">
        <f ca="1">Planned!K16*'Planned background (hide)'!P$1</f>
        <v>0</v>
      </c>
      <c r="Q6">
        <f ca="1">Planned!L16*'Planned background (hide)'!Q$1</f>
        <v>0</v>
      </c>
      <c r="R6" s="5">
        <f ca="1">IF(Planned!$C$6="Overall",Planned!O16*'Planned background (hide)'!R$1,"")</f>
        <v>110.94827586206898</v>
      </c>
      <c r="S6" s="5">
        <f ca="1">IF(Planned!R16&lt;&gt;"Yes",IF(Planned!$C$6&lt;&gt;"Overall",SUM(OFFSET('Planned background (hide)'!H6,0,0,1,Num_Modalities)),'Planned background (hide)'!R6),"")</f>
        <v>110.94827586206898</v>
      </c>
      <c r="AB6">
        <f t="shared" si="0"/>
        <v>4</v>
      </c>
      <c r="AC6" s="37">
        <f>IF(Planned!$C$8=0,'Planned background (hide)'!F6,'Planned background (hide)'!G6)</f>
        <v>4</v>
      </c>
      <c r="AD6" s="37">
        <f t="shared" si="2"/>
        <v>1</v>
      </c>
      <c r="AE6" s="5">
        <f t="shared" ca="1" si="1"/>
        <v>110.94827586206898</v>
      </c>
      <c r="AF6" s="5">
        <f t="shared" ca="1" si="3"/>
        <v>140.5344827586207</v>
      </c>
      <c r="AG6">
        <f t="shared" ca="1" si="4"/>
        <v>57.375733675715331</v>
      </c>
      <c r="AH6" s="68">
        <f t="shared" ca="1" si="5"/>
        <v>0</v>
      </c>
      <c r="AI6" s="68">
        <f t="shared" ca="1" si="6"/>
        <v>25.783015407190035</v>
      </c>
      <c r="AJ6" s="68">
        <f t="shared" ca="1" si="7"/>
        <v>83.158749082905359</v>
      </c>
      <c r="AK6">
        <f t="shared" ca="1" si="8"/>
        <v>197.91021643433604</v>
      </c>
      <c r="AL6">
        <f t="shared" ca="1" si="9"/>
        <v>255.28595011005137</v>
      </c>
      <c r="AM6">
        <f t="shared" ca="1" si="10"/>
        <v>312.66168378576668</v>
      </c>
      <c r="AN6">
        <f t="shared" ca="1" si="11"/>
        <v>170.12068965517244</v>
      </c>
      <c r="AO6">
        <f t="shared" ca="1" si="12"/>
        <v>184.91379310344828</v>
      </c>
      <c r="AP6" t="e">
        <f t="shared" ca="1" si="13"/>
        <v>#N/A</v>
      </c>
      <c r="AQ6">
        <f t="shared" ca="1" si="18"/>
        <v>0</v>
      </c>
      <c r="AR6" t="e">
        <f t="shared" ref="AR6:AR54" ca="1" si="21">IF(ABS(SUM(AQ4:AQ6))&gt;=2,AE6,NA())</f>
        <v>#N/A</v>
      </c>
      <c r="AS6">
        <f t="shared" ca="1" si="19"/>
        <v>1</v>
      </c>
      <c r="AU6">
        <f t="shared" ca="1" si="14"/>
        <v>-1</v>
      </c>
      <c r="AW6" s="5">
        <f t="shared" ca="1" si="20"/>
        <v>36.982758620689665</v>
      </c>
      <c r="AZ6" s="3"/>
      <c r="BA6" s="3"/>
      <c r="BH6" s="49">
        <f ca="1">IF(OR(Planned!B16=1,Planned!B16=""),AC6,Planned!B16)</f>
        <v>4</v>
      </c>
      <c r="BI6" t="str">
        <f ca="1">IF(TEXT(Planned!D16,"mmm")&lt;&gt;TEXT(Planned!D15,"mmm"),TEXT(Planned!D16,"mmm"),"")</f>
        <v/>
      </c>
      <c r="BK6" s="68"/>
    </row>
    <row r="7" spans="2:63" x14ac:dyDescent="0.2">
      <c r="B7" s="68">
        <f ca="1">IF(Planned!$C$6&lt;&gt;"Overall",COUNTBLANK(OFFSET(Planned!E18,0,0,1,Num_Modalities)),IF(COUNTBLANK(Planned!O18)=1,Num_Modalities,0))</f>
        <v>0</v>
      </c>
      <c r="C7">
        <f ca="1">SUM(OFFSET(Planned!$E18,0,0,1,Num_Modalities))</f>
        <v>0</v>
      </c>
      <c r="E7" s="68">
        <f t="shared" si="15"/>
        <v>5</v>
      </c>
      <c r="F7" s="37">
        <f t="shared" si="16"/>
        <v>5</v>
      </c>
      <c r="G7" s="69" t="str">
        <f t="shared" si="17"/>
        <v/>
      </c>
      <c r="H7">
        <f ca="1">Planned!E17*'Planned background (hide)'!H$1</f>
        <v>0</v>
      </c>
      <c r="I7">
        <f ca="1">Planned!F17*'Planned background (hide)'!I$1</f>
        <v>0</v>
      </c>
      <c r="J7">
        <f ca="1">Planned!G17*'Planned background (hide)'!J$1</f>
        <v>0</v>
      </c>
      <c r="K7">
        <f ca="1">Planned!H17*'Planned background (hide)'!K$1</f>
        <v>0</v>
      </c>
      <c r="L7">
        <f ca="1">Planned!I17*'Planned background (hide)'!L$1</f>
        <v>0</v>
      </c>
      <c r="M7">
        <f ca="1">Planned!J17*'Planned background (hide)'!M$1</f>
        <v>0</v>
      </c>
      <c r="N7">
        <f ca="1">Planned!K17*'Planned background (hide)'!N$1</f>
        <v>0</v>
      </c>
      <c r="O7">
        <f ca="1">Planned!J17*'Planned background (hide)'!O$1</f>
        <v>0</v>
      </c>
      <c r="P7">
        <f ca="1">Planned!K17*'Planned background (hide)'!P$1</f>
        <v>0</v>
      </c>
      <c r="Q7">
        <f ca="1">Planned!L17*'Planned background (hide)'!Q$1</f>
        <v>0</v>
      </c>
      <c r="R7" s="5">
        <f ca="1">IF(Planned!$C$6="Overall",Planned!O17*'Planned background (hide)'!R$1,"")</f>
        <v>184.91379310344828</v>
      </c>
      <c r="S7" s="5">
        <f ca="1">IF(Planned!R17&lt;&gt;"Yes",IF(Planned!$C$6&lt;&gt;"Overall",SUM(OFFSET('Planned background (hide)'!H7,0,0,1,Num_Modalities)),'Planned background (hide)'!R7),"")</f>
        <v>184.91379310344828</v>
      </c>
      <c r="U7" s="55"/>
      <c r="AB7">
        <f t="shared" si="0"/>
        <v>5</v>
      </c>
      <c r="AC7" s="37">
        <f>IF(Planned!$C$8=0,'Planned background (hide)'!F7,'Planned background (hide)'!G7)</f>
        <v>5</v>
      </c>
      <c r="AD7" s="37">
        <f t="shared" si="2"/>
        <v>1</v>
      </c>
      <c r="AE7" s="5">
        <f t="shared" ca="1" si="1"/>
        <v>184.91379310344828</v>
      </c>
      <c r="AF7" s="5">
        <f t="shared" ca="1" si="3"/>
        <v>140.5344827586207</v>
      </c>
      <c r="AG7">
        <f t="shared" ca="1" si="4"/>
        <v>57.375733675715331</v>
      </c>
      <c r="AH7" s="68">
        <f t="shared" ca="1" si="5"/>
        <v>0</v>
      </c>
      <c r="AI7" s="68">
        <f t="shared" ca="1" si="6"/>
        <v>25.783015407190035</v>
      </c>
      <c r="AJ7" s="68">
        <f t="shared" ca="1" si="7"/>
        <v>83.158749082905359</v>
      </c>
      <c r="AK7">
        <f t="shared" ca="1" si="8"/>
        <v>197.91021643433604</v>
      </c>
      <c r="AL7">
        <f t="shared" ca="1" si="9"/>
        <v>255.28595011005137</v>
      </c>
      <c r="AM7">
        <f t="shared" ca="1" si="10"/>
        <v>312.66168378576668</v>
      </c>
      <c r="AN7">
        <f t="shared" ca="1" si="11"/>
        <v>170.12068965517244</v>
      </c>
      <c r="AO7">
        <f t="shared" ca="1" si="12"/>
        <v>184.91379310344828</v>
      </c>
      <c r="AP7" t="e">
        <f t="shared" ca="1" si="13"/>
        <v>#N/A</v>
      </c>
      <c r="AQ7">
        <f t="shared" ca="1" si="18"/>
        <v>0</v>
      </c>
      <c r="AR7" t="e">
        <f t="shared" ca="1" si="21"/>
        <v>#N/A</v>
      </c>
      <c r="AS7">
        <f t="shared" ca="1" si="19"/>
        <v>1</v>
      </c>
      <c r="AU7">
        <f t="shared" ca="1" si="14"/>
        <v>1</v>
      </c>
      <c r="AW7" s="5">
        <f t="shared" ca="1" si="20"/>
        <v>73.965517241379303</v>
      </c>
      <c r="AZ7" s="3"/>
      <c r="BA7" s="3"/>
      <c r="BH7" s="49">
        <f ca="1">IF(OR(Planned!B17=1,Planned!B17=""),AC7,Planned!B17)</f>
        <v>5</v>
      </c>
      <c r="BI7" t="str">
        <f ca="1">IF(TEXT(Planned!D17,"mmm")&lt;&gt;TEXT(Planned!D16,"mmm"),TEXT(Planned!D17,"mmm"),"")</f>
        <v/>
      </c>
      <c r="BK7" s="68"/>
    </row>
    <row r="8" spans="2:63" x14ac:dyDescent="0.2">
      <c r="B8" s="68">
        <f ca="1">IF(Planned!$C$6&lt;&gt;"Overall",COUNTBLANK(OFFSET(Planned!E19,0,0,1,Num_Modalities)),IF(COUNTBLANK(Planned!O19)=1,Num_Modalities,0))</f>
        <v>0</v>
      </c>
      <c r="C8">
        <f ca="1">SUM(OFFSET(Planned!$E19,0,0,1,Num_Modalities))</f>
        <v>0</v>
      </c>
      <c r="E8" s="68">
        <f t="shared" si="15"/>
        <v>6</v>
      </c>
      <c r="F8" s="37">
        <f t="shared" si="16"/>
        <v>6</v>
      </c>
      <c r="G8" s="69" t="str">
        <f t="shared" si="17"/>
        <v/>
      </c>
      <c r="H8">
        <f ca="1">Planned!E18*'Planned background (hide)'!H$1</f>
        <v>0</v>
      </c>
      <c r="I8">
        <f ca="1">Planned!F18*'Planned background (hide)'!I$1</f>
        <v>0</v>
      </c>
      <c r="J8">
        <f ca="1">Planned!G18*'Planned background (hide)'!J$1</f>
        <v>0</v>
      </c>
      <c r="K8">
        <f ca="1">Planned!H18*'Planned background (hide)'!K$1</f>
        <v>0</v>
      </c>
      <c r="L8">
        <f ca="1">Planned!I18*'Planned background (hide)'!L$1</f>
        <v>0</v>
      </c>
      <c r="M8">
        <f ca="1">Planned!J18*'Planned background (hide)'!M$1</f>
        <v>0</v>
      </c>
      <c r="N8">
        <f ca="1">Planned!K18*'Planned background (hide)'!N$1</f>
        <v>0</v>
      </c>
      <c r="O8">
        <f ca="1">Planned!J18*'Planned background (hide)'!O$1</f>
        <v>0</v>
      </c>
      <c r="P8">
        <f ca="1">Planned!K18*'Planned background (hide)'!P$1</f>
        <v>0</v>
      </c>
      <c r="Q8">
        <f ca="1">Planned!L18*'Planned background (hide)'!Q$1</f>
        <v>0</v>
      </c>
      <c r="R8" s="5">
        <f ca="1">IF(Planned!$C$6="Overall",Planned!O18*'Planned background (hide)'!R$1,"")</f>
        <v>110.94827586206898</v>
      </c>
      <c r="S8" s="5">
        <f ca="1">IF(Planned!R18&lt;&gt;"Yes",IF(Planned!$C$6&lt;&gt;"Overall",SUM(OFFSET('Planned background (hide)'!H8,0,0,1,Num_Modalities)),'Planned background (hide)'!R8),"")</f>
        <v>110.94827586206898</v>
      </c>
      <c r="U8" s="55"/>
      <c r="AB8">
        <f t="shared" si="0"/>
        <v>6</v>
      </c>
      <c r="AC8" s="37">
        <f>IF(Planned!$C$8=0,'Planned background (hide)'!F8,'Planned background (hide)'!G8)</f>
        <v>6</v>
      </c>
      <c r="AD8" s="37">
        <f t="shared" si="2"/>
        <v>0</v>
      </c>
      <c r="AE8" s="5">
        <f t="shared" ca="1" si="1"/>
        <v>110.94827586206898</v>
      </c>
      <c r="AF8" s="5">
        <f t="shared" ca="1" si="3"/>
        <v>140.5344827586207</v>
      </c>
      <c r="AG8">
        <f t="shared" ca="1" si="4"/>
        <v>57.375733675715331</v>
      </c>
      <c r="AH8" s="68">
        <f t="shared" ca="1" si="5"/>
        <v>0</v>
      </c>
      <c r="AI8" s="68">
        <f t="shared" ca="1" si="6"/>
        <v>25.783015407190035</v>
      </c>
      <c r="AJ8" s="68">
        <f t="shared" ca="1" si="7"/>
        <v>83.158749082905359</v>
      </c>
      <c r="AK8">
        <f t="shared" ca="1" si="8"/>
        <v>197.91021643433604</v>
      </c>
      <c r="AL8">
        <f t="shared" ca="1" si="9"/>
        <v>255.28595011005137</v>
      </c>
      <c r="AM8">
        <f t="shared" ca="1" si="10"/>
        <v>312.66168378576668</v>
      </c>
      <c r="AN8">
        <f t="shared" ca="1" si="11"/>
        <v>170.12068965517244</v>
      </c>
      <c r="AO8">
        <f t="shared" ca="1" si="12"/>
        <v>184.91379310344828</v>
      </c>
      <c r="AP8" t="e">
        <f t="shared" ca="1" si="13"/>
        <v>#N/A</v>
      </c>
      <c r="AQ8">
        <f t="shared" ca="1" si="18"/>
        <v>0</v>
      </c>
      <c r="AR8" t="e">
        <f t="shared" ca="1" si="21"/>
        <v>#N/A</v>
      </c>
      <c r="AS8">
        <f t="shared" ca="1" si="19"/>
        <v>-1</v>
      </c>
      <c r="AU8">
        <f t="shared" ca="1" si="14"/>
        <v>-1</v>
      </c>
      <c r="AW8" s="5">
        <f t="shared" ca="1" si="20"/>
        <v>73.965517241379303</v>
      </c>
      <c r="AZ8" s="3"/>
      <c r="BA8" s="3"/>
      <c r="BH8" s="49">
        <f ca="1">IF(OR(Planned!B18=1,Planned!B18=""),AC8,Planned!B18)</f>
        <v>6</v>
      </c>
      <c r="BI8" t="str">
        <f ca="1">IF(TEXT(Planned!D18,"mmm")&lt;&gt;TEXT(Planned!D17,"mmm"),TEXT(Planned!D18,"mmm"),"")</f>
        <v/>
      </c>
      <c r="BK8" s="68"/>
    </row>
    <row r="9" spans="2:63" x14ac:dyDescent="0.2">
      <c r="B9" s="68">
        <f ca="1">IF(Planned!$C$6&lt;&gt;"Overall",COUNTBLANK(OFFSET(Planned!E20,0,0,1,Num_Modalities)),IF(COUNTBLANK(Planned!O20)=1,Num_Modalities,0))</f>
        <v>2</v>
      </c>
      <c r="C9">
        <f ca="1">SUM(OFFSET(Planned!$E20,0,0,1,Num_Modalities))</f>
        <v>0</v>
      </c>
      <c r="E9" s="68">
        <f t="shared" si="15"/>
        <v>7</v>
      </c>
      <c r="F9" s="37">
        <f t="shared" si="16"/>
        <v>7</v>
      </c>
      <c r="G9" s="69" t="str">
        <f t="shared" si="17"/>
        <v/>
      </c>
      <c r="H9">
        <f ca="1">Planned!E19*'Planned background (hide)'!H$1</f>
        <v>0</v>
      </c>
      <c r="I9">
        <f ca="1">Planned!F19*'Planned background (hide)'!I$1</f>
        <v>0</v>
      </c>
      <c r="J9">
        <f ca="1">Planned!G19*'Planned background (hide)'!J$1</f>
        <v>0</v>
      </c>
      <c r="K9">
        <f ca="1">Planned!H19*'Planned background (hide)'!K$1</f>
        <v>0</v>
      </c>
      <c r="L9">
        <f ca="1">Planned!I19*'Planned background (hide)'!L$1</f>
        <v>0</v>
      </c>
      <c r="M9">
        <f ca="1">Planned!J19*'Planned background (hide)'!M$1</f>
        <v>0</v>
      </c>
      <c r="N9">
        <f ca="1">Planned!K19*'Planned background (hide)'!N$1</f>
        <v>0</v>
      </c>
      <c r="O9">
        <f ca="1">Planned!J19*'Planned background (hide)'!O$1</f>
        <v>0</v>
      </c>
      <c r="P9">
        <f ca="1">Planned!K19*'Planned background (hide)'!P$1</f>
        <v>0</v>
      </c>
      <c r="Q9">
        <f ca="1">Planned!L19*'Planned background (hide)'!Q$1</f>
        <v>0</v>
      </c>
      <c r="R9" s="5">
        <f ca="1">IF(Planned!$C$6="Overall",Planned!O19*'Planned background (hide)'!R$1,"")</f>
        <v>147.93103448275863</v>
      </c>
      <c r="S9" s="5">
        <f ca="1">IF(Planned!R19&lt;&gt;"Yes",IF(Planned!$C$6&lt;&gt;"Overall",SUM(OFFSET('Planned background (hide)'!H9,0,0,1,Num_Modalities)),'Planned background (hide)'!R9),"")</f>
        <v>147.93103448275863</v>
      </c>
      <c r="AB9">
        <f t="shared" si="0"/>
        <v>7</v>
      </c>
      <c r="AC9" s="37">
        <f>IF(Planned!$C$8=0,'Planned background (hide)'!F9,'Planned background (hide)'!G9)</f>
        <v>7</v>
      </c>
      <c r="AD9" s="37">
        <f t="shared" si="2"/>
        <v>0</v>
      </c>
      <c r="AE9" s="5">
        <f t="shared" ca="1" si="1"/>
        <v>147.93103448275863</v>
      </c>
      <c r="AF9" s="5">
        <f t="shared" ca="1" si="3"/>
        <v>140.5344827586207</v>
      </c>
      <c r="AG9">
        <f t="shared" ca="1" si="4"/>
        <v>57.375733675715331</v>
      </c>
      <c r="AH9" s="68">
        <f t="shared" ca="1" si="5"/>
        <v>0</v>
      </c>
      <c r="AI9" s="68">
        <f t="shared" ca="1" si="6"/>
        <v>25.783015407190035</v>
      </c>
      <c r="AJ9" s="68">
        <f t="shared" ca="1" si="7"/>
        <v>83.158749082905359</v>
      </c>
      <c r="AK9">
        <f t="shared" ca="1" si="8"/>
        <v>197.91021643433604</v>
      </c>
      <c r="AL9">
        <f t="shared" ca="1" si="9"/>
        <v>255.28595011005137</v>
      </c>
      <c r="AM9">
        <f t="shared" ca="1" si="10"/>
        <v>312.66168378576668</v>
      </c>
      <c r="AN9">
        <f t="shared" ca="1" si="11"/>
        <v>170.12068965517244</v>
      </c>
      <c r="AO9">
        <f t="shared" ca="1" si="12"/>
        <v>184.91379310344828</v>
      </c>
      <c r="AP9" t="e">
        <f t="shared" ca="1" si="13"/>
        <v>#N/A</v>
      </c>
      <c r="AQ9">
        <f t="shared" ca="1" si="18"/>
        <v>0</v>
      </c>
      <c r="AR9" t="e">
        <f t="shared" ca="1" si="21"/>
        <v>#N/A</v>
      </c>
      <c r="AS9">
        <f t="shared" ca="1" si="19"/>
        <v>1</v>
      </c>
      <c r="AT9" t="e">
        <f ca="1">IF(ABS(SUM(AS4:AS9))=6,AE9,NA())</f>
        <v>#N/A</v>
      </c>
      <c r="AU9">
        <f t="shared" ca="1" si="14"/>
        <v>1</v>
      </c>
      <c r="AW9" s="5">
        <f t="shared" ca="1" si="20"/>
        <v>36.982758620689651</v>
      </c>
      <c r="BH9" s="49">
        <f ca="1">IF(OR(Planned!B19=1,Planned!B19=""),AC9,Planned!B19)</f>
        <v>7</v>
      </c>
      <c r="BI9" t="str">
        <f ca="1">IF(TEXT(Planned!D19,"mmm")&lt;&gt;TEXT(Planned!D18,"mmm"),TEXT(Planned!D19,"mmm"),"")</f>
        <v/>
      </c>
      <c r="BK9" s="68"/>
    </row>
    <row r="10" spans="2:63" x14ac:dyDescent="0.2">
      <c r="B10" s="68">
        <f ca="1">IF(Planned!$C$6&lt;&gt;"Overall",COUNTBLANK(OFFSET(Planned!E21,0,0,1,Num_Modalities)),IF(COUNTBLANK(Planned!O21)=1,Num_Modalities,0))</f>
        <v>2</v>
      </c>
      <c r="C10">
        <f ca="1">SUM(OFFSET(Planned!$E21,0,0,1,Num_Modalities))</f>
        <v>0</v>
      </c>
      <c r="E10" s="68">
        <f t="shared" si="15"/>
        <v>8</v>
      </c>
      <c r="F10" s="37">
        <f t="shared" si="16"/>
        <v>8</v>
      </c>
      <c r="G10" s="69" t="str">
        <f t="shared" si="17"/>
        <v/>
      </c>
      <c r="H10">
        <f ca="1">Planned!E20*'Planned background (hide)'!H$1</f>
        <v>0</v>
      </c>
      <c r="I10">
        <f ca="1">Planned!F20*'Planned background (hide)'!I$1</f>
        <v>0</v>
      </c>
      <c r="J10">
        <f ca="1">Planned!G20*'Planned background (hide)'!J$1</f>
        <v>0</v>
      </c>
      <c r="K10">
        <f ca="1">Planned!H20*'Planned background (hide)'!K$1</f>
        <v>0</v>
      </c>
      <c r="L10">
        <f ca="1">Planned!I20*'Planned background (hide)'!L$1</f>
        <v>0</v>
      </c>
      <c r="M10">
        <f ca="1">Planned!J20*'Planned background (hide)'!M$1</f>
        <v>0</v>
      </c>
      <c r="N10">
        <f ca="1">Planned!K20*'Planned background (hide)'!N$1</f>
        <v>0</v>
      </c>
      <c r="O10">
        <f ca="1">Planned!J20*'Planned background (hide)'!O$1</f>
        <v>0</v>
      </c>
      <c r="P10">
        <f ca="1">Planned!K20*'Planned background (hide)'!P$1</f>
        <v>0</v>
      </c>
      <c r="Q10">
        <f ca="1">Planned!L20*'Planned background (hide)'!Q$1</f>
        <v>0</v>
      </c>
      <c r="R10" s="5">
        <f ca="1">IF(Planned!$C$6="Overall",Planned!O20*'Planned background (hide)'!R$1,"")</f>
        <v>0</v>
      </c>
      <c r="S10" s="5">
        <f ca="1">IF(Planned!R20&lt;&gt;"Yes",IF(Planned!$C$6&lt;&gt;"Overall",SUM(OFFSET('Planned background (hide)'!H10,0,0,1,Num_Modalities)),'Planned background (hide)'!R10),"")</f>
        <v>0</v>
      </c>
      <c r="AB10">
        <f t="shared" si="0"/>
        <v>8</v>
      </c>
      <c r="AC10" s="37">
        <f>IF(Planned!$C$8=0,'Planned background (hide)'!F10,'Planned background (hide)'!G10)</f>
        <v>8</v>
      </c>
      <c r="AD10" s="37">
        <f t="shared" si="2"/>
        <v>0</v>
      </c>
      <c r="AE10" s="5">
        <f t="shared" ca="1" si="1"/>
        <v>0</v>
      </c>
      <c r="AF10" s="5">
        <f t="shared" ca="1" si="3"/>
        <v>140.5344827586207</v>
      </c>
      <c r="AG10">
        <f t="shared" ca="1" si="4"/>
        <v>57.375733675715331</v>
      </c>
      <c r="AH10" s="68">
        <f t="shared" ca="1" si="5"/>
        <v>0</v>
      </c>
      <c r="AI10" s="68">
        <f t="shared" ca="1" si="6"/>
        <v>25.783015407190035</v>
      </c>
      <c r="AJ10" s="68">
        <f t="shared" ca="1" si="7"/>
        <v>83.158749082905359</v>
      </c>
      <c r="AK10">
        <f t="shared" ca="1" si="8"/>
        <v>197.91021643433604</v>
      </c>
      <c r="AL10">
        <f t="shared" ca="1" si="9"/>
        <v>255.28595011005137</v>
      </c>
      <c r="AM10">
        <f t="shared" ca="1" si="10"/>
        <v>312.66168378576668</v>
      </c>
      <c r="AN10">
        <f t="shared" ca="1" si="11"/>
        <v>170.12068965517244</v>
      </c>
      <c r="AO10">
        <f t="shared" ca="1" si="12"/>
        <v>184.91379310344828</v>
      </c>
      <c r="AP10" t="e">
        <f t="shared" ca="1" si="13"/>
        <v>#N/A</v>
      </c>
      <c r="AQ10">
        <f t="shared" ca="1" si="18"/>
        <v>-1</v>
      </c>
      <c r="AR10" t="e">
        <f t="shared" ca="1" si="21"/>
        <v>#N/A</v>
      </c>
      <c r="AS10">
        <f t="shared" ca="1" si="19"/>
        <v>-1</v>
      </c>
      <c r="AT10" t="e">
        <f t="shared" ref="AT10:AT54" ca="1" si="22">IF(ABS(SUM(AS5:AS10))=6,AE10,NA())</f>
        <v>#N/A</v>
      </c>
      <c r="AU10">
        <f t="shared" ca="1" si="14"/>
        <v>-1</v>
      </c>
      <c r="AW10" s="5">
        <f t="shared" ca="1" si="20"/>
        <v>147.93103448275863</v>
      </c>
      <c r="BH10" s="49" t="str">
        <f ca="1">IF(OR(Planned!B20=1,Planned!B20=""),AC10,Planned!B20)</f>
        <v xml:space="preserve"> </v>
      </c>
      <c r="BI10" t="str">
        <f ca="1">IF(TEXT(Planned!D20,"mmm")&lt;&gt;TEXT(Planned!D19,"mmm"),TEXT(Planned!D20,"mmm"),"")</f>
        <v/>
      </c>
      <c r="BK10" s="68"/>
    </row>
    <row r="11" spans="2:63" x14ac:dyDescent="0.2">
      <c r="B11" s="68">
        <f ca="1">IF(Planned!$C$6&lt;&gt;"Overall",COUNTBLANK(OFFSET(Planned!E22,0,0,1,Num_Modalities)),IF(COUNTBLANK(Planned!O22)=1,Num_Modalities,0))</f>
        <v>2</v>
      </c>
      <c r="C11">
        <f ca="1">SUM(OFFSET(Planned!$E22,0,0,1,Num_Modalities))</f>
        <v>0</v>
      </c>
      <c r="E11" s="68">
        <f t="shared" si="15"/>
        <v>9</v>
      </c>
      <c r="F11" s="37">
        <f t="shared" si="16"/>
        <v>9</v>
      </c>
      <c r="G11" s="69" t="str">
        <f t="shared" si="17"/>
        <v/>
      </c>
      <c r="H11">
        <f ca="1">Planned!E21*'Planned background (hide)'!H$1</f>
        <v>0</v>
      </c>
      <c r="I11">
        <f ca="1">Planned!F21*'Planned background (hide)'!I$1</f>
        <v>0</v>
      </c>
      <c r="J11">
        <f ca="1">Planned!G21*'Planned background (hide)'!J$1</f>
        <v>0</v>
      </c>
      <c r="K11">
        <f ca="1">Planned!H21*'Planned background (hide)'!K$1</f>
        <v>0</v>
      </c>
      <c r="L11">
        <f ca="1">Planned!I21*'Planned background (hide)'!L$1</f>
        <v>0</v>
      </c>
      <c r="M11">
        <f ca="1">Planned!J21*'Planned background (hide)'!M$1</f>
        <v>0</v>
      </c>
      <c r="N11">
        <f ca="1">Planned!K21*'Planned background (hide)'!N$1</f>
        <v>0</v>
      </c>
      <c r="O11">
        <f ca="1">Planned!J21*'Planned background (hide)'!O$1</f>
        <v>0</v>
      </c>
      <c r="P11">
        <f ca="1">Planned!K21*'Planned background (hide)'!P$1</f>
        <v>0</v>
      </c>
      <c r="Q11">
        <f ca="1">Planned!L21*'Planned background (hide)'!Q$1</f>
        <v>0</v>
      </c>
      <c r="R11" s="5">
        <f ca="1">IF(Planned!$C$6="Overall",Planned!O21*'Planned background (hide)'!R$1,"")</f>
        <v>0</v>
      </c>
      <c r="S11" s="5">
        <f ca="1">IF(Planned!R21&lt;&gt;"Yes",IF(Planned!$C$6&lt;&gt;"Overall",SUM(OFFSET('Planned background (hide)'!H11,0,0,1,Num_Modalities)),'Planned background (hide)'!R11),"")</f>
        <v>0</v>
      </c>
      <c r="AB11">
        <f t="shared" si="0"/>
        <v>9</v>
      </c>
      <c r="AC11" s="37">
        <f>IF(Planned!$C$8=0,'Planned background (hide)'!F11,'Planned background (hide)'!G11)</f>
        <v>9</v>
      </c>
      <c r="AD11" s="37">
        <f t="shared" si="2"/>
        <v>0</v>
      </c>
      <c r="AE11" s="5">
        <f t="shared" ca="1" si="1"/>
        <v>0</v>
      </c>
      <c r="AF11" s="5">
        <f t="shared" ca="1" si="3"/>
        <v>140.5344827586207</v>
      </c>
      <c r="AG11">
        <f t="shared" ca="1" si="4"/>
        <v>57.375733675715331</v>
      </c>
      <c r="AH11" s="68">
        <f t="shared" ca="1" si="5"/>
        <v>0</v>
      </c>
      <c r="AI11" s="68">
        <f t="shared" ca="1" si="6"/>
        <v>25.783015407190035</v>
      </c>
      <c r="AJ11" s="68">
        <f t="shared" ca="1" si="7"/>
        <v>83.158749082905359</v>
      </c>
      <c r="AK11">
        <f t="shared" ca="1" si="8"/>
        <v>197.91021643433604</v>
      </c>
      <c r="AL11">
        <f t="shared" ca="1" si="9"/>
        <v>255.28595011005137</v>
      </c>
      <c r="AM11">
        <f t="shared" ca="1" si="10"/>
        <v>312.66168378576668</v>
      </c>
      <c r="AN11">
        <f t="shared" ca="1" si="11"/>
        <v>170.12068965517244</v>
      </c>
      <c r="AO11">
        <f t="shared" ca="1" si="12"/>
        <v>184.91379310344828</v>
      </c>
      <c r="AP11" t="e">
        <f t="shared" ca="1" si="13"/>
        <v>#N/A</v>
      </c>
      <c r="AQ11">
        <f t="shared" ca="1" si="18"/>
        <v>-1</v>
      </c>
      <c r="AR11">
        <f t="shared" ca="1" si="21"/>
        <v>0</v>
      </c>
      <c r="AS11">
        <f t="shared" ca="1" si="19"/>
        <v>0</v>
      </c>
      <c r="AT11" t="e">
        <f t="shared" ca="1" si="22"/>
        <v>#N/A</v>
      </c>
      <c r="AU11">
        <f t="shared" ca="1" si="14"/>
        <v>-1</v>
      </c>
      <c r="AV11" t="e">
        <f ca="1">IF(ABS(SUM(AU3:AU11))=9,AE11,NA())</f>
        <v>#N/A</v>
      </c>
      <c r="AW11" s="5">
        <f t="shared" ca="1" si="20"/>
        <v>0</v>
      </c>
      <c r="BH11" s="49" t="str">
        <f ca="1">IF(OR(Planned!B21=1,Planned!B21=""),AC11,Planned!B21)</f>
        <v xml:space="preserve"> </v>
      </c>
      <c r="BI11" t="str">
        <f ca="1">IF(TEXT(Planned!D21,"mmm")&lt;&gt;TEXT(Planned!D20,"mmm"),TEXT(Planned!D21,"mmm"),"")</f>
        <v/>
      </c>
      <c r="BK11" s="68"/>
    </row>
    <row r="12" spans="2:63" x14ac:dyDescent="0.2">
      <c r="B12" s="68">
        <f ca="1">IF(Planned!$C$6&lt;&gt;"Overall",COUNTBLANK(OFFSET(Planned!E23,0,0,1,Num_Modalities)),IF(COUNTBLANK(Planned!O23)=1,Num_Modalities,0))</f>
        <v>2</v>
      </c>
      <c r="C12">
        <f ca="1">SUM(OFFSET(Planned!$E23,0,0,1,Num_Modalities))</f>
        <v>0</v>
      </c>
      <c r="E12" s="68">
        <f t="shared" si="15"/>
        <v>10</v>
      </c>
      <c r="F12" s="37">
        <f t="shared" si="16"/>
        <v>10</v>
      </c>
      <c r="G12" s="69" t="str">
        <f t="shared" si="17"/>
        <v/>
      </c>
      <c r="H12">
        <f ca="1">Planned!E22*'Planned background (hide)'!H$1</f>
        <v>0</v>
      </c>
      <c r="I12">
        <f ca="1">Planned!F22*'Planned background (hide)'!I$1</f>
        <v>0</v>
      </c>
      <c r="J12">
        <f ca="1">Planned!G22*'Planned background (hide)'!J$1</f>
        <v>0</v>
      </c>
      <c r="K12">
        <f ca="1">Planned!H22*'Planned background (hide)'!K$1</f>
        <v>0</v>
      </c>
      <c r="L12">
        <f ca="1">Planned!I22*'Planned background (hide)'!L$1</f>
        <v>0</v>
      </c>
      <c r="M12">
        <f ca="1">Planned!J22*'Planned background (hide)'!M$1</f>
        <v>0</v>
      </c>
      <c r="N12">
        <f ca="1">Planned!K22*'Planned background (hide)'!N$1</f>
        <v>0</v>
      </c>
      <c r="O12">
        <f ca="1">Planned!J22*'Planned background (hide)'!O$1</f>
        <v>0</v>
      </c>
      <c r="P12">
        <f ca="1">Planned!K22*'Planned background (hide)'!P$1</f>
        <v>0</v>
      </c>
      <c r="Q12">
        <f ca="1">Planned!L22*'Planned background (hide)'!Q$1</f>
        <v>0</v>
      </c>
      <c r="R12" s="5">
        <f ca="1">IF(Planned!$C$6="Overall",Planned!O22*'Planned background (hide)'!R$1,"")</f>
        <v>0</v>
      </c>
      <c r="S12" s="5">
        <f ca="1">IF(Planned!R22&lt;&gt;"Yes",IF(Planned!$C$6&lt;&gt;"Overall",SUM(OFFSET('Planned background (hide)'!H12,0,0,1,Num_Modalities)),'Planned background (hide)'!R12),"")</f>
        <v>0</v>
      </c>
      <c r="W12" s="50"/>
      <c r="AB12">
        <f t="shared" si="0"/>
        <v>10</v>
      </c>
      <c r="AC12" s="37">
        <f>IF(Planned!$C$8=0,'Planned background (hide)'!F12,'Planned background (hide)'!G12)</f>
        <v>10</v>
      </c>
      <c r="AD12" s="37">
        <f t="shared" si="2"/>
        <v>0</v>
      </c>
      <c r="AE12" s="5">
        <f t="shared" ca="1" si="1"/>
        <v>0</v>
      </c>
      <c r="AF12" s="5">
        <f t="shared" ca="1" si="3"/>
        <v>140.5344827586207</v>
      </c>
      <c r="AG12">
        <f t="shared" ca="1" si="4"/>
        <v>57.375733675715331</v>
      </c>
      <c r="AH12" s="68">
        <f t="shared" ca="1" si="5"/>
        <v>0</v>
      </c>
      <c r="AI12" s="68">
        <f t="shared" ca="1" si="6"/>
        <v>25.783015407190035</v>
      </c>
      <c r="AJ12" s="68">
        <f t="shared" ca="1" si="7"/>
        <v>83.158749082905359</v>
      </c>
      <c r="AK12">
        <f t="shared" ca="1" si="8"/>
        <v>197.91021643433604</v>
      </c>
      <c r="AL12">
        <f t="shared" ca="1" si="9"/>
        <v>255.28595011005137</v>
      </c>
      <c r="AM12">
        <f t="shared" ca="1" si="10"/>
        <v>312.66168378576668</v>
      </c>
      <c r="AN12">
        <f t="shared" ca="1" si="11"/>
        <v>170.12068965517244</v>
      </c>
      <c r="AO12">
        <f t="shared" ca="1" si="12"/>
        <v>184.91379310344828</v>
      </c>
      <c r="AP12" t="e">
        <f t="shared" ca="1" si="13"/>
        <v>#N/A</v>
      </c>
      <c r="AQ12">
        <f t="shared" ca="1" si="18"/>
        <v>-1</v>
      </c>
      <c r="AR12">
        <f t="shared" ca="1" si="21"/>
        <v>0</v>
      </c>
      <c r="AS12">
        <f t="shared" ca="1" si="19"/>
        <v>0</v>
      </c>
      <c r="AT12" t="e">
        <f t="shared" ca="1" si="22"/>
        <v>#N/A</v>
      </c>
      <c r="AU12">
        <f t="shared" ca="1" si="14"/>
        <v>-1</v>
      </c>
      <c r="AV12" t="e">
        <f t="shared" ref="AV12:AV54" ca="1" si="23">IF(ABS(SUM(AU4:AU12))=9,AE12,NA())</f>
        <v>#N/A</v>
      </c>
      <c r="AW12" s="5">
        <f t="shared" ca="1" si="20"/>
        <v>0</v>
      </c>
      <c r="BH12" s="49" t="str">
        <f ca="1">IF(OR(Planned!B22=1,Planned!B22=""),AC12,Planned!B22)</f>
        <v xml:space="preserve"> </v>
      </c>
      <c r="BI12" t="str">
        <f ca="1">IF(TEXT(Planned!D22,"mmm")&lt;&gt;TEXT(Planned!D21,"mmm"),TEXT(Planned!D22,"mmm"),"")</f>
        <v/>
      </c>
      <c r="BK12" s="68"/>
    </row>
    <row r="13" spans="2:63" x14ac:dyDescent="0.2">
      <c r="B13" s="68">
        <f ca="1">IF(Planned!$C$6&lt;&gt;"Overall",COUNTBLANK(OFFSET(Planned!E24,0,0,1,Num_Modalities)),IF(COUNTBLANK(Planned!O24)=1,Num_Modalities,0))</f>
        <v>2</v>
      </c>
      <c r="C13">
        <f ca="1">SUM(OFFSET(Planned!$E24,0,0,1,Num_Modalities))</f>
        <v>0</v>
      </c>
      <c r="E13" s="68">
        <f t="shared" si="15"/>
        <v>11</v>
      </c>
      <c r="F13" s="37">
        <f t="shared" si="16"/>
        <v>11</v>
      </c>
      <c r="G13" s="69" t="str">
        <f t="shared" si="17"/>
        <v/>
      </c>
      <c r="H13">
        <f ca="1">Planned!E23*'Planned background (hide)'!H$1</f>
        <v>0</v>
      </c>
      <c r="I13">
        <f ca="1">Planned!F23*'Planned background (hide)'!I$1</f>
        <v>0</v>
      </c>
      <c r="J13">
        <f ca="1">Planned!G23*'Planned background (hide)'!J$1</f>
        <v>0</v>
      </c>
      <c r="K13">
        <f ca="1">Planned!H23*'Planned background (hide)'!K$1</f>
        <v>0</v>
      </c>
      <c r="L13">
        <f ca="1">Planned!I23*'Planned background (hide)'!L$1</f>
        <v>0</v>
      </c>
      <c r="M13">
        <f ca="1">Planned!J23*'Planned background (hide)'!M$1</f>
        <v>0</v>
      </c>
      <c r="N13">
        <f ca="1">Planned!K23*'Planned background (hide)'!N$1</f>
        <v>0</v>
      </c>
      <c r="O13">
        <f ca="1">Planned!J23*'Planned background (hide)'!O$1</f>
        <v>0</v>
      </c>
      <c r="P13">
        <f ca="1">Planned!K23*'Planned background (hide)'!P$1</f>
        <v>0</v>
      </c>
      <c r="Q13">
        <f ca="1">Planned!L23*'Planned background (hide)'!Q$1</f>
        <v>0</v>
      </c>
      <c r="R13" s="5">
        <f ca="1">IF(Planned!$C$6="Overall",Planned!O23*'Planned background (hide)'!R$1,"")</f>
        <v>0</v>
      </c>
      <c r="S13" s="5">
        <f ca="1">IF(Planned!R23&lt;&gt;"Yes",IF(Planned!$C$6&lt;&gt;"Overall",SUM(OFFSET('Planned background (hide)'!H13,0,0,1,Num_Modalities)),'Planned background (hide)'!R13),"")</f>
        <v>0</v>
      </c>
      <c r="W13" s="50"/>
      <c r="AB13">
        <f t="shared" si="0"/>
        <v>11</v>
      </c>
      <c r="AC13" s="37">
        <f>IF(Planned!$C$8=0,'Planned background (hide)'!F13,'Planned background (hide)'!G13)</f>
        <v>11</v>
      </c>
      <c r="AD13" s="37">
        <f t="shared" si="2"/>
        <v>0</v>
      </c>
      <c r="AE13" s="5">
        <f t="shared" ca="1" si="1"/>
        <v>0</v>
      </c>
      <c r="AF13" s="5">
        <f t="shared" ca="1" si="3"/>
        <v>140.5344827586207</v>
      </c>
      <c r="AG13">
        <f t="shared" ca="1" si="4"/>
        <v>57.375733675715331</v>
      </c>
      <c r="AH13" s="68">
        <f t="shared" ca="1" si="5"/>
        <v>0</v>
      </c>
      <c r="AI13" s="68">
        <f t="shared" ca="1" si="6"/>
        <v>25.783015407190035</v>
      </c>
      <c r="AJ13" s="68">
        <f t="shared" ca="1" si="7"/>
        <v>83.158749082905359</v>
      </c>
      <c r="AK13">
        <f t="shared" ca="1" si="8"/>
        <v>197.91021643433604</v>
      </c>
      <c r="AL13">
        <f t="shared" ca="1" si="9"/>
        <v>255.28595011005137</v>
      </c>
      <c r="AM13">
        <f t="shared" ca="1" si="10"/>
        <v>312.66168378576668</v>
      </c>
      <c r="AN13">
        <f t="shared" ca="1" si="11"/>
        <v>170.12068965517244</v>
      </c>
      <c r="AO13">
        <f t="shared" ca="1" si="12"/>
        <v>184.91379310344828</v>
      </c>
      <c r="AP13" t="e">
        <f t="shared" ca="1" si="13"/>
        <v>#N/A</v>
      </c>
      <c r="AQ13">
        <f t="shared" ca="1" si="18"/>
        <v>-1</v>
      </c>
      <c r="AR13">
        <f t="shared" ca="1" si="21"/>
        <v>0</v>
      </c>
      <c r="AS13">
        <f t="shared" ca="1" si="19"/>
        <v>0</v>
      </c>
      <c r="AT13" t="e">
        <f t="shared" ca="1" si="22"/>
        <v>#N/A</v>
      </c>
      <c r="AU13">
        <f t="shared" ca="1" si="14"/>
        <v>-1</v>
      </c>
      <c r="AV13" t="e">
        <f t="shared" ca="1" si="23"/>
        <v>#N/A</v>
      </c>
      <c r="AW13" s="5">
        <f t="shared" ca="1" si="20"/>
        <v>0</v>
      </c>
      <c r="BH13" s="49" t="str">
        <f ca="1">IF(OR(Planned!B23=1,Planned!B23=""),AC13,Planned!B23)</f>
        <v xml:space="preserve"> </v>
      </c>
      <c r="BI13" t="str">
        <f ca="1">IF(TEXT(Planned!D23,"mmm")&lt;&gt;TEXT(Planned!D22,"mmm"),TEXT(Planned!D23,"mmm"),"")</f>
        <v/>
      </c>
      <c r="BK13" s="68"/>
    </row>
    <row r="14" spans="2:63" x14ac:dyDescent="0.2">
      <c r="B14" s="68">
        <f ca="1">IF(Planned!$C$6&lt;&gt;"Overall",COUNTBLANK(OFFSET(Planned!E25,0,0,1,Num_Modalities)),IF(COUNTBLANK(Planned!O25)=1,Num_Modalities,0))</f>
        <v>2</v>
      </c>
      <c r="C14">
        <f ca="1">SUM(OFFSET(Planned!$E25,0,0,1,Num_Modalities))</f>
        <v>0</v>
      </c>
      <c r="E14" s="68">
        <f t="shared" si="15"/>
        <v>12</v>
      </c>
      <c r="F14" s="37">
        <f t="shared" si="16"/>
        <v>12</v>
      </c>
      <c r="G14" s="69" t="str">
        <f t="shared" si="17"/>
        <v/>
      </c>
      <c r="H14">
        <f ca="1">Planned!E24*'Planned background (hide)'!H$1</f>
        <v>0</v>
      </c>
      <c r="I14">
        <f ca="1">Planned!F24*'Planned background (hide)'!I$1</f>
        <v>0</v>
      </c>
      <c r="J14">
        <f ca="1">Planned!G24*'Planned background (hide)'!J$1</f>
        <v>0</v>
      </c>
      <c r="K14">
        <f ca="1">Planned!H24*'Planned background (hide)'!K$1</f>
        <v>0</v>
      </c>
      <c r="L14">
        <f ca="1">Planned!I24*'Planned background (hide)'!L$1</f>
        <v>0</v>
      </c>
      <c r="M14">
        <f ca="1">Planned!J24*'Planned background (hide)'!M$1</f>
        <v>0</v>
      </c>
      <c r="N14">
        <f ca="1">Planned!K24*'Planned background (hide)'!N$1</f>
        <v>0</v>
      </c>
      <c r="O14">
        <f ca="1">Planned!J24*'Planned background (hide)'!O$1</f>
        <v>0</v>
      </c>
      <c r="P14">
        <f ca="1">Planned!K24*'Planned background (hide)'!P$1</f>
        <v>0</v>
      </c>
      <c r="Q14">
        <f ca="1">Planned!L24*'Planned background (hide)'!Q$1</f>
        <v>0</v>
      </c>
      <c r="R14" s="5">
        <f ca="1">IF(Planned!$C$6="Overall",Planned!O24*'Planned background (hide)'!R$1,"")</f>
        <v>0</v>
      </c>
      <c r="S14" s="5">
        <f ca="1">IF(Planned!R24&lt;&gt;"Yes",IF(Planned!$C$6&lt;&gt;"Overall",SUM(OFFSET('Planned background (hide)'!H14,0,0,1,Num_Modalities)),'Planned background (hide)'!R14),"")</f>
        <v>0</v>
      </c>
      <c r="W14" s="50"/>
      <c r="AB14">
        <f t="shared" si="0"/>
        <v>12</v>
      </c>
      <c r="AC14" s="37">
        <f>IF(Planned!$C$8=0,'Planned background (hide)'!F14,'Planned background (hide)'!G14)</f>
        <v>12</v>
      </c>
      <c r="AD14" s="37">
        <f t="shared" si="2"/>
        <v>0</v>
      </c>
      <c r="AE14" s="5">
        <f t="shared" ca="1" si="1"/>
        <v>0</v>
      </c>
      <c r="AF14" s="5">
        <f t="shared" ca="1" si="3"/>
        <v>140.5344827586207</v>
      </c>
      <c r="AG14">
        <f t="shared" ca="1" si="4"/>
        <v>57.375733675715331</v>
      </c>
      <c r="AH14" s="68">
        <f t="shared" ca="1" si="5"/>
        <v>0</v>
      </c>
      <c r="AI14" s="68">
        <f t="shared" ca="1" si="6"/>
        <v>25.783015407190035</v>
      </c>
      <c r="AJ14" s="68">
        <f t="shared" ca="1" si="7"/>
        <v>83.158749082905359</v>
      </c>
      <c r="AK14">
        <f t="shared" ca="1" si="8"/>
        <v>197.91021643433604</v>
      </c>
      <c r="AL14">
        <f t="shared" ca="1" si="9"/>
        <v>255.28595011005137</v>
      </c>
      <c r="AM14">
        <f t="shared" ca="1" si="10"/>
        <v>312.66168378576668</v>
      </c>
      <c r="AN14">
        <f t="shared" ca="1" si="11"/>
        <v>170.12068965517244</v>
      </c>
      <c r="AO14">
        <f t="shared" ca="1" si="12"/>
        <v>184.91379310344828</v>
      </c>
      <c r="AP14" t="e">
        <f t="shared" ca="1" si="13"/>
        <v>#N/A</v>
      </c>
      <c r="AQ14">
        <f t="shared" ca="1" si="18"/>
        <v>-1</v>
      </c>
      <c r="AR14">
        <f t="shared" ca="1" si="21"/>
        <v>0</v>
      </c>
      <c r="AS14">
        <f t="shared" ca="1" si="19"/>
        <v>0</v>
      </c>
      <c r="AT14" t="e">
        <f t="shared" ca="1" si="22"/>
        <v>#N/A</v>
      </c>
      <c r="AU14">
        <f t="shared" ca="1" si="14"/>
        <v>-1</v>
      </c>
      <c r="AV14" t="e">
        <f t="shared" ca="1" si="23"/>
        <v>#N/A</v>
      </c>
      <c r="AW14" s="5">
        <f t="shared" ca="1" si="20"/>
        <v>0</v>
      </c>
      <c r="BH14" s="49" t="str">
        <f ca="1">IF(OR(Planned!B24=1,Planned!B24=""),AC14,Planned!B24)</f>
        <v xml:space="preserve"> </v>
      </c>
      <c r="BI14" t="str">
        <f ca="1">IF(TEXT(Planned!D24,"mmm")&lt;&gt;TEXT(Planned!D23,"mmm"),TEXT(Planned!D24,"mmm"),"")</f>
        <v/>
      </c>
      <c r="BK14" s="68"/>
    </row>
    <row r="15" spans="2:63" x14ac:dyDescent="0.2">
      <c r="B15" s="68">
        <f ca="1">IF(Planned!$C$6&lt;&gt;"Overall",COUNTBLANK(OFFSET(Planned!E26,0,0,1,Num_Modalities)),IF(COUNTBLANK(Planned!O26)=1,Num_Modalities,0))</f>
        <v>2</v>
      </c>
      <c r="C15">
        <f ca="1">SUM(OFFSET(Planned!$E26,0,0,1,Num_Modalities))</f>
        <v>0</v>
      </c>
      <c r="E15" s="68">
        <f t="shared" si="15"/>
        <v>13</v>
      </c>
      <c r="F15" s="37">
        <f t="shared" si="16"/>
        <v>13</v>
      </c>
      <c r="G15" s="69" t="str">
        <f t="shared" si="17"/>
        <v/>
      </c>
      <c r="H15">
        <f ca="1">Planned!E25*'Planned background (hide)'!H$1</f>
        <v>0</v>
      </c>
      <c r="I15">
        <f ca="1">Planned!F25*'Planned background (hide)'!I$1</f>
        <v>0</v>
      </c>
      <c r="J15">
        <f ca="1">Planned!G25*'Planned background (hide)'!J$1</f>
        <v>0</v>
      </c>
      <c r="K15">
        <f ca="1">Planned!H25*'Planned background (hide)'!K$1</f>
        <v>0</v>
      </c>
      <c r="L15">
        <f ca="1">Planned!I25*'Planned background (hide)'!L$1</f>
        <v>0</v>
      </c>
      <c r="M15">
        <f ca="1">Planned!J25*'Planned background (hide)'!M$1</f>
        <v>0</v>
      </c>
      <c r="N15">
        <f ca="1">Planned!K25*'Planned background (hide)'!N$1</f>
        <v>0</v>
      </c>
      <c r="O15">
        <f ca="1">Planned!J25*'Planned background (hide)'!O$1</f>
        <v>0</v>
      </c>
      <c r="P15">
        <f ca="1">Planned!K25*'Planned background (hide)'!P$1</f>
        <v>0</v>
      </c>
      <c r="Q15">
        <f ca="1">Planned!L25*'Planned background (hide)'!Q$1</f>
        <v>0</v>
      </c>
      <c r="R15" s="5">
        <f ca="1">IF(Planned!$C$6="Overall",Planned!O25*'Planned background (hide)'!R$1,"")</f>
        <v>0</v>
      </c>
      <c r="S15" s="5">
        <f ca="1">IF(Planned!R25&lt;&gt;"Yes",IF(Planned!$C$6&lt;&gt;"Overall",SUM(OFFSET('Planned background (hide)'!H15,0,0,1,Num_Modalities)),'Planned background (hide)'!R15),"")</f>
        <v>0</v>
      </c>
      <c r="W15" s="50"/>
      <c r="AB15">
        <f t="shared" si="0"/>
        <v>13</v>
      </c>
      <c r="AC15" s="37">
        <f>IF(Planned!$C$8=0,'Planned background (hide)'!F15,'Planned background (hide)'!G15)</f>
        <v>13</v>
      </c>
      <c r="AD15" s="37">
        <f t="shared" si="2"/>
        <v>0</v>
      </c>
      <c r="AE15" s="5">
        <f t="shared" ca="1" si="1"/>
        <v>0</v>
      </c>
      <c r="AF15" s="5">
        <f t="shared" ca="1" si="3"/>
        <v>140.5344827586207</v>
      </c>
      <c r="AG15">
        <f t="shared" ca="1" si="4"/>
        <v>57.375733675715331</v>
      </c>
      <c r="AH15" s="68">
        <f t="shared" ca="1" si="5"/>
        <v>0</v>
      </c>
      <c r="AI15" s="68">
        <f t="shared" ca="1" si="6"/>
        <v>25.783015407190035</v>
      </c>
      <c r="AJ15" s="68">
        <f t="shared" ca="1" si="7"/>
        <v>83.158749082905359</v>
      </c>
      <c r="AK15">
        <f t="shared" ca="1" si="8"/>
        <v>197.91021643433604</v>
      </c>
      <c r="AL15">
        <f t="shared" ca="1" si="9"/>
        <v>255.28595011005137</v>
      </c>
      <c r="AM15">
        <f t="shared" ca="1" si="10"/>
        <v>312.66168378576668</v>
      </c>
      <c r="AN15">
        <f t="shared" ca="1" si="11"/>
        <v>170.12068965517244</v>
      </c>
      <c r="AO15">
        <f t="shared" ca="1" si="12"/>
        <v>184.91379310344828</v>
      </c>
      <c r="AP15" t="e">
        <f t="shared" ca="1" si="13"/>
        <v>#N/A</v>
      </c>
      <c r="AQ15">
        <f t="shared" ca="1" si="18"/>
        <v>-1</v>
      </c>
      <c r="AR15">
        <f t="shared" ca="1" si="21"/>
        <v>0</v>
      </c>
      <c r="AS15">
        <f t="shared" ca="1" si="19"/>
        <v>0</v>
      </c>
      <c r="AT15" t="e">
        <f t="shared" ca="1" si="22"/>
        <v>#N/A</v>
      </c>
      <c r="AU15">
        <f t="shared" ca="1" si="14"/>
        <v>-1</v>
      </c>
      <c r="AV15" t="e">
        <f t="shared" ca="1" si="23"/>
        <v>#N/A</v>
      </c>
      <c r="AW15" s="5">
        <f t="shared" ca="1" si="20"/>
        <v>0</v>
      </c>
      <c r="BH15" s="49" t="str">
        <f ca="1">IF(OR(Planned!B25=1,Planned!B25=""),AC15,Planned!B25)</f>
        <v xml:space="preserve"> </v>
      </c>
      <c r="BI15" t="str">
        <f ca="1">IF(TEXT(Planned!D25,"mmm")&lt;&gt;TEXT(Planned!D24,"mmm"),TEXT(Planned!D25,"mmm"),"")</f>
        <v/>
      </c>
      <c r="BK15" s="68"/>
    </row>
    <row r="16" spans="2:63" x14ac:dyDescent="0.2">
      <c r="B16" s="68">
        <f ca="1">IF(Planned!$C$6&lt;&gt;"Overall",COUNTBLANK(OFFSET(Planned!E27,0,0,1,Num_Modalities)),IF(COUNTBLANK(Planned!O27)=1,Num_Modalities,0))</f>
        <v>2</v>
      </c>
      <c r="C16">
        <f ca="1">SUM(OFFSET(Planned!$E27,0,0,1,Num_Modalities))</f>
        <v>0</v>
      </c>
      <c r="E16" s="68">
        <f t="shared" si="15"/>
        <v>14</v>
      </c>
      <c r="F16" s="37">
        <f t="shared" si="16"/>
        <v>14</v>
      </c>
      <c r="G16" s="69" t="str">
        <f t="shared" si="17"/>
        <v/>
      </c>
      <c r="H16">
        <f ca="1">Planned!E26*'Planned background (hide)'!H$1</f>
        <v>0</v>
      </c>
      <c r="I16">
        <f ca="1">Planned!F26*'Planned background (hide)'!I$1</f>
        <v>0</v>
      </c>
      <c r="J16">
        <f ca="1">Planned!G26*'Planned background (hide)'!J$1</f>
        <v>0</v>
      </c>
      <c r="K16">
        <f ca="1">Planned!H26*'Planned background (hide)'!K$1</f>
        <v>0</v>
      </c>
      <c r="L16">
        <f ca="1">Planned!I26*'Planned background (hide)'!L$1</f>
        <v>0</v>
      </c>
      <c r="M16">
        <f ca="1">Planned!J26*'Planned background (hide)'!M$1</f>
        <v>0</v>
      </c>
      <c r="N16">
        <f ca="1">Planned!K26*'Planned background (hide)'!N$1</f>
        <v>0</v>
      </c>
      <c r="O16">
        <f ca="1">Planned!J26*'Planned background (hide)'!O$1</f>
        <v>0</v>
      </c>
      <c r="P16">
        <f ca="1">Planned!K26*'Planned background (hide)'!P$1</f>
        <v>0</v>
      </c>
      <c r="Q16">
        <f ca="1">Planned!L26*'Planned background (hide)'!Q$1</f>
        <v>0</v>
      </c>
      <c r="R16" s="5">
        <f ca="1">IF(Planned!$C$6="Overall",Planned!O26*'Planned background (hide)'!R$1,"")</f>
        <v>0</v>
      </c>
      <c r="S16" s="5">
        <f ca="1">IF(Planned!R26&lt;&gt;"Yes",IF(Planned!$C$6&lt;&gt;"Overall",SUM(OFFSET('Planned background (hide)'!H16,0,0,1,Num_Modalities)),'Planned background (hide)'!R16),"")</f>
        <v>0</v>
      </c>
      <c r="W16" s="50"/>
      <c r="AB16">
        <f t="shared" si="0"/>
        <v>14</v>
      </c>
      <c r="AC16" s="37">
        <f>IF(Planned!$C$8=0,'Planned background (hide)'!F16,'Planned background (hide)'!G16)</f>
        <v>14</v>
      </c>
      <c r="AD16" s="37">
        <f t="shared" si="2"/>
        <v>0</v>
      </c>
      <c r="AE16" s="5">
        <f t="shared" ca="1" si="1"/>
        <v>0</v>
      </c>
      <c r="AF16" s="5">
        <f t="shared" ca="1" si="3"/>
        <v>140.5344827586207</v>
      </c>
      <c r="AG16">
        <f t="shared" ca="1" si="4"/>
        <v>57.375733675715331</v>
      </c>
      <c r="AH16" s="68">
        <f t="shared" ca="1" si="5"/>
        <v>0</v>
      </c>
      <c r="AI16" s="68">
        <f t="shared" ca="1" si="6"/>
        <v>25.783015407190035</v>
      </c>
      <c r="AJ16" s="68">
        <f t="shared" ca="1" si="7"/>
        <v>83.158749082905359</v>
      </c>
      <c r="AK16">
        <f t="shared" ca="1" si="8"/>
        <v>197.91021643433604</v>
      </c>
      <c r="AL16">
        <f t="shared" ca="1" si="9"/>
        <v>255.28595011005137</v>
      </c>
      <c r="AM16">
        <f t="shared" ca="1" si="10"/>
        <v>312.66168378576668</v>
      </c>
      <c r="AN16">
        <f t="shared" ca="1" si="11"/>
        <v>170.12068965517244</v>
      </c>
      <c r="AO16">
        <f t="shared" ca="1" si="12"/>
        <v>184.91379310344828</v>
      </c>
      <c r="AP16" t="e">
        <f t="shared" ca="1" si="13"/>
        <v>#N/A</v>
      </c>
      <c r="AQ16">
        <f t="shared" ca="1" si="18"/>
        <v>-1</v>
      </c>
      <c r="AR16">
        <f t="shared" ca="1" si="21"/>
        <v>0</v>
      </c>
      <c r="AS16">
        <f t="shared" ca="1" si="19"/>
        <v>0</v>
      </c>
      <c r="AT16" t="e">
        <f t="shared" ca="1" si="22"/>
        <v>#N/A</v>
      </c>
      <c r="AU16">
        <f t="shared" ca="1" si="14"/>
        <v>-1</v>
      </c>
      <c r="AV16" t="e">
        <f t="shared" ca="1" si="23"/>
        <v>#N/A</v>
      </c>
      <c r="AW16" s="5">
        <f t="shared" ca="1" si="20"/>
        <v>0</v>
      </c>
      <c r="BH16" s="49" t="str">
        <f ca="1">IF(OR(Planned!B26=1,Planned!B26=""),AC16,Planned!B26)</f>
        <v xml:space="preserve"> </v>
      </c>
      <c r="BI16" t="str">
        <f ca="1">IF(TEXT(Planned!D26,"mmm")&lt;&gt;TEXT(Planned!D25,"mmm"),TEXT(Planned!D26,"mmm"),"")</f>
        <v/>
      </c>
      <c r="BK16" s="68"/>
    </row>
    <row r="17" spans="2:63" x14ac:dyDescent="0.2">
      <c r="B17" s="68">
        <f ca="1">IF(Planned!$C$6&lt;&gt;"Overall",COUNTBLANK(OFFSET(Planned!E28,0,0,1,Num_Modalities)),IF(COUNTBLANK(Planned!O28)=1,Num_Modalities,0))</f>
        <v>2</v>
      </c>
      <c r="C17">
        <f ca="1">SUM(OFFSET(Planned!$E28,0,0,1,Num_Modalities))</f>
        <v>0</v>
      </c>
      <c r="E17" s="68">
        <f t="shared" si="15"/>
        <v>15</v>
      </c>
      <c r="F17" s="37">
        <f t="shared" si="16"/>
        <v>15</v>
      </c>
      <c r="G17" s="69" t="str">
        <f t="shared" si="17"/>
        <v/>
      </c>
      <c r="H17">
        <f ca="1">Planned!E27*'Planned background (hide)'!H$1</f>
        <v>0</v>
      </c>
      <c r="I17">
        <f ca="1">Planned!F27*'Planned background (hide)'!I$1</f>
        <v>0</v>
      </c>
      <c r="J17">
        <f ca="1">Planned!G27*'Planned background (hide)'!J$1</f>
        <v>0</v>
      </c>
      <c r="K17">
        <f ca="1">Planned!H27*'Planned background (hide)'!K$1</f>
        <v>0</v>
      </c>
      <c r="L17">
        <f ca="1">Planned!I27*'Planned background (hide)'!L$1</f>
        <v>0</v>
      </c>
      <c r="M17">
        <f ca="1">Planned!J27*'Planned background (hide)'!M$1</f>
        <v>0</v>
      </c>
      <c r="N17">
        <f ca="1">Planned!K27*'Planned background (hide)'!N$1</f>
        <v>0</v>
      </c>
      <c r="O17">
        <f ca="1">Planned!J27*'Planned background (hide)'!O$1</f>
        <v>0</v>
      </c>
      <c r="P17">
        <f ca="1">Planned!K27*'Planned background (hide)'!P$1</f>
        <v>0</v>
      </c>
      <c r="Q17">
        <f ca="1">Planned!L27*'Planned background (hide)'!Q$1</f>
        <v>0</v>
      </c>
      <c r="R17" s="5">
        <f ca="1">IF(Planned!$C$6="Overall",Planned!O27*'Planned background (hide)'!R$1,"")</f>
        <v>0</v>
      </c>
      <c r="S17" s="5">
        <f ca="1">IF(Planned!R27&lt;&gt;"Yes",IF(Planned!$C$6&lt;&gt;"Overall",SUM(OFFSET('Planned background (hide)'!H17,0,0,1,Num_Modalities)),'Planned background (hide)'!R17),"")</f>
        <v>0</v>
      </c>
      <c r="U17" t="s">
        <v>134</v>
      </c>
      <c r="V17" t="s">
        <v>136</v>
      </c>
      <c r="W17" t="s">
        <v>133</v>
      </c>
      <c r="X17" t="s">
        <v>137</v>
      </c>
      <c r="Y17" t="s">
        <v>138</v>
      </c>
      <c r="Z17" t="s">
        <v>135</v>
      </c>
      <c r="AA17" t="s">
        <v>200</v>
      </c>
      <c r="AB17">
        <f t="shared" si="0"/>
        <v>15</v>
      </c>
      <c r="AC17" s="37">
        <f>IF(Planned!$C$8=0,'Planned background (hide)'!F17,'Planned background (hide)'!G17)</f>
        <v>15</v>
      </c>
      <c r="AD17" s="37">
        <f t="shared" si="2"/>
        <v>0</v>
      </c>
      <c r="AE17" s="5">
        <f t="shared" ca="1" si="1"/>
        <v>0</v>
      </c>
      <c r="AF17" s="5">
        <f t="shared" ca="1" si="3"/>
        <v>140.5344827586207</v>
      </c>
      <c r="AG17">
        <f t="shared" ca="1" si="4"/>
        <v>57.375733675715331</v>
      </c>
      <c r="AH17" s="68">
        <f t="shared" ca="1" si="5"/>
        <v>0</v>
      </c>
      <c r="AI17" s="68">
        <f t="shared" ca="1" si="6"/>
        <v>25.783015407190035</v>
      </c>
      <c r="AJ17" s="68">
        <f t="shared" ca="1" si="7"/>
        <v>83.158749082905359</v>
      </c>
      <c r="AK17">
        <f t="shared" ca="1" si="8"/>
        <v>197.91021643433604</v>
      </c>
      <c r="AL17">
        <f t="shared" ca="1" si="9"/>
        <v>255.28595011005137</v>
      </c>
      <c r="AM17">
        <f t="shared" ca="1" si="10"/>
        <v>312.66168378576668</v>
      </c>
      <c r="AN17">
        <f t="shared" ca="1" si="11"/>
        <v>170.12068965517244</v>
      </c>
      <c r="AO17">
        <f t="shared" ca="1" si="12"/>
        <v>184.91379310344828</v>
      </c>
      <c r="AP17" t="e">
        <f t="shared" ca="1" si="13"/>
        <v>#N/A</v>
      </c>
      <c r="AQ17">
        <f t="shared" ca="1" si="18"/>
        <v>-1</v>
      </c>
      <c r="AR17">
        <f t="shared" ca="1" si="21"/>
        <v>0</v>
      </c>
      <c r="AS17">
        <f t="shared" ca="1" si="19"/>
        <v>0</v>
      </c>
      <c r="AT17" t="e">
        <f t="shared" ca="1" si="22"/>
        <v>#N/A</v>
      </c>
      <c r="AU17">
        <f t="shared" ca="1" si="14"/>
        <v>-1</v>
      </c>
      <c r="AV17" t="e">
        <f t="shared" ca="1" si="23"/>
        <v>#N/A</v>
      </c>
      <c r="AW17" s="5">
        <f t="shared" ca="1" si="20"/>
        <v>0</v>
      </c>
      <c r="BH17" s="49" t="str">
        <f ca="1">IF(OR(Planned!B27=1,Planned!B27=""),AC17,Planned!B27)</f>
        <v xml:space="preserve"> </v>
      </c>
      <c r="BI17" t="str">
        <f ca="1">IF(TEXT(Planned!D27,"mmm")&lt;&gt;TEXT(Planned!D26,"mmm"),TEXT(Planned!D27,"mmm"),"")</f>
        <v/>
      </c>
      <c r="BK17" s="68"/>
    </row>
    <row r="18" spans="2:63" x14ac:dyDescent="0.2">
      <c r="B18" s="68">
        <f ca="1">IF(Planned!$C$6&lt;&gt;"Overall",COUNTBLANK(OFFSET(Planned!E29,0,0,1,Num_Modalities)),IF(COUNTBLANK(Planned!O29)=1,Num_Modalities,0))</f>
        <v>2</v>
      </c>
      <c r="C18">
        <f ca="1">SUM(OFFSET(Planned!$E29,0,0,1,Num_Modalities))</f>
        <v>0</v>
      </c>
      <c r="E18" s="68">
        <f t="shared" si="15"/>
        <v>16</v>
      </c>
      <c r="F18" s="37">
        <f t="shared" si="16"/>
        <v>16</v>
      </c>
      <c r="G18" s="69" t="str">
        <f t="shared" si="17"/>
        <v/>
      </c>
      <c r="H18">
        <f ca="1">Planned!E28*'Planned background (hide)'!H$1</f>
        <v>0</v>
      </c>
      <c r="I18">
        <f ca="1">Planned!F28*'Planned background (hide)'!I$1</f>
        <v>0</v>
      </c>
      <c r="J18">
        <f ca="1">Planned!G28*'Planned background (hide)'!J$1</f>
        <v>0</v>
      </c>
      <c r="K18">
        <f ca="1">Planned!H28*'Planned background (hide)'!K$1</f>
        <v>0</v>
      </c>
      <c r="L18">
        <f ca="1">Planned!I28*'Planned background (hide)'!L$1</f>
        <v>0</v>
      </c>
      <c r="M18">
        <f ca="1">Planned!J28*'Planned background (hide)'!M$1</f>
        <v>0</v>
      </c>
      <c r="N18">
        <f ca="1">Planned!K28*'Planned background (hide)'!N$1</f>
        <v>0</v>
      </c>
      <c r="O18">
        <f ca="1">Planned!J28*'Planned background (hide)'!O$1</f>
        <v>0</v>
      </c>
      <c r="P18">
        <f ca="1">Planned!K28*'Planned background (hide)'!P$1</f>
        <v>0</v>
      </c>
      <c r="Q18">
        <f ca="1">Planned!L28*'Planned background (hide)'!Q$1</f>
        <v>0</v>
      </c>
      <c r="R18" s="5">
        <f ca="1">IF(Planned!$C$6="Overall",Planned!O28*'Planned background (hide)'!R$1,"")</f>
        <v>0</v>
      </c>
      <c r="S18" s="5">
        <f ca="1">IF(Planned!R28&lt;&gt;"Yes",IF(Planned!$C$6&lt;&gt;"Overall",SUM(OFFSET('Planned background (hide)'!H18,0,0,1,Num_Modalities)),'Planned background (hide)'!R18),"")</f>
        <v>0</v>
      </c>
      <c r="U18">
        <v>1</v>
      </c>
      <c r="V18">
        <v>1</v>
      </c>
      <c r="W18">
        <f ca="1">MAX(0,PMaxRows-4)</f>
        <v>3</v>
      </c>
      <c r="X18">
        <f ca="1">W18-V18</f>
        <v>2</v>
      </c>
      <c r="AB18">
        <f t="shared" si="0"/>
        <v>16</v>
      </c>
      <c r="AC18" s="37">
        <f>IF(Planned!$C$8=0,'Planned background (hide)'!F18,'Planned background (hide)'!G18)</f>
        <v>16</v>
      </c>
      <c r="AD18" s="37">
        <f t="shared" si="2"/>
        <v>0</v>
      </c>
      <c r="AE18" s="5">
        <f t="shared" ca="1" si="1"/>
        <v>0</v>
      </c>
      <c r="AF18" s="5">
        <f t="shared" ca="1" si="3"/>
        <v>140.5344827586207</v>
      </c>
      <c r="AG18">
        <f t="shared" ca="1" si="4"/>
        <v>57.375733675715331</v>
      </c>
      <c r="AH18" s="68">
        <f t="shared" ca="1" si="5"/>
        <v>0</v>
      </c>
      <c r="AI18" s="68">
        <f t="shared" ca="1" si="6"/>
        <v>25.783015407190035</v>
      </c>
      <c r="AJ18" s="68">
        <f t="shared" ca="1" si="7"/>
        <v>83.158749082905359</v>
      </c>
      <c r="AK18">
        <f t="shared" ca="1" si="8"/>
        <v>197.91021643433604</v>
      </c>
      <c r="AL18">
        <f t="shared" ca="1" si="9"/>
        <v>255.28595011005137</v>
      </c>
      <c r="AM18">
        <f t="shared" ca="1" si="10"/>
        <v>312.66168378576668</v>
      </c>
      <c r="AN18">
        <f t="shared" ca="1" si="11"/>
        <v>170.12068965517244</v>
      </c>
      <c r="AO18">
        <f t="shared" ca="1" si="12"/>
        <v>184.91379310344828</v>
      </c>
      <c r="AP18" t="e">
        <f t="shared" ca="1" si="13"/>
        <v>#N/A</v>
      </c>
      <c r="AQ18">
        <f t="shared" ca="1" si="18"/>
        <v>-1</v>
      </c>
      <c r="AR18">
        <f t="shared" ca="1" si="21"/>
        <v>0</v>
      </c>
      <c r="AS18">
        <f t="shared" ca="1" si="19"/>
        <v>0</v>
      </c>
      <c r="AT18" t="e">
        <f t="shared" ca="1" si="22"/>
        <v>#N/A</v>
      </c>
      <c r="AU18">
        <f t="shared" ca="1" si="14"/>
        <v>-1</v>
      </c>
      <c r="AV18">
        <f t="shared" ca="1" si="23"/>
        <v>0</v>
      </c>
      <c r="AW18" s="5">
        <f t="shared" ca="1" si="20"/>
        <v>0</v>
      </c>
      <c r="BH18" s="49" t="str">
        <f ca="1">IF(OR(Planned!B28=1,Planned!B28=""),AC18,Planned!B28)</f>
        <v xml:space="preserve"> </v>
      </c>
      <c r="BI18" t="str">
        <f ca="1">IF(TEXT(Planned!D28,"mmm")&lt;&gt;TEXT(Planned!D27,"mmm"),TEXT(Planned!D28,"mmm"),"")</f>
        <v/>
      </c>
      <c r="BK18" s="68"/>
    </row>
    <row r="19" spans="2:63" x14ac:dyDescent="0.2">
      <c r="B19" s="68">
        <f ca="1">IF(Planned!$C$6&lt;&gt;"Overall",COUNTBLANK(OFFSET(Planned!E30,0,0,1,Num_Modalities)),IF(COUNTBLANK(Planned!O30)=1,Num_Modalities,0))</f>
        <v>2</v>
      </c>
      <c r="C19">
        <f ca="1">SUM(OFFSET(Planned!$E30,0,0,1,Num_Modalities))</f>
        <v>0</v>
      </c>
      <c r="E19" s="68">
        <f t="shared" si="15"/>
        <v>17</v>
      </c>
      <c r="F19" s="37">
        <f t="shared" si="16"/>
        <v>17</v>
      </c>
      <c r="G19" s="69" t="str">
        <f t="shared" si="17"/>
        <v/>
      </c>
      <c r="H19">
        <f ca="1">Planned!E29*'Planned background (hide)'!H$1</f>
        <v>0</v>
      </c>
      <c r="I19">
        <f ca="1">Planned!F29*'Planned background (hide)'!I$1</f>
        <v>0</v>
      </c>
      <c r="J19">
        <f ca="1">Planned!G29*'Planned background (hide)'!J$1</f>
        <v>0</v>
      </c>
      <c r="K19">
        <f ca="1">Planned!H29*'Planned background (hide)'!K$1</f>
        <v>0</v>
      </c>
      <c r="L19">
        <f ca="1">Planned!I29*'Planned background (hide)'!L$1</f>
        <v>0</v>
      </c>
      <c r="M19">
        <f ca="1">Planned!J29*'Planned background (hide)'!M$1</f>
        <v>0</v>
      </c>
      <c r="N19">
        <f ca="1">Planned!K29*'Planned background (hide)'!N$1</f>
        <v>0</v>
      </c>
      <c r="O19">
        <f ca="1">Planned!J29*'Planned background (hide)'!O$1</f>
        <v>0</v>
      </c>
      <c r="P19">
        <f ca="1">Planned!K29*'Planned background (hide)'!P$1</f>
        <v>0</v>
      </c>
      <c r="Q19">
        <f ca="1">Planned!L29*'Planned background (hide)'!Q$1</f>
        <v>0</v>
      </c>
      <c r="R19" s="5">
        <f ca="1">IF(Planned!$C$6="Overall",Planned!O29*'Planned background (hide)'!R$1,"")</f>
        <v>0</v>
      </c>
      <c r="S19" s="5">
        <f ca="1">IF(Planned!R29&lt;&gt;"Yes",IF(Planned!$C$6&lt;&gt;"Overall",SUM(OFFSET('Planned background (hide)'!H19,0,0,1,Num_Modalities)),'Planned background (hide)'!R19),"")</f>
        <v>0</v>
      </c>
      <c r="U19">
        <v>1</v>
      </c>
      <c r="V19">
        <f>U18+4</f>
        <v>5</v>
      </c>
      <c r="W19">
        <f ca="1">MIN(U18+52,PMaxRows+1)</f>
        <v>8</v>
      </c>
      <c r="X19">
        <f ca="1">W19-V19</f>
        <v>3</v>
      </c>
      <c r="Y19">
        <f>U19+V19-U18</f>
        <v>5</v>
      </c>
      <c r="Z19">
        <f>V19+U19-U18</f>
        <v>5</v>
      </c>
      <c r="AA19">
        <f>Y19</f>
        <v>5</v>
      </c>
      <c r="AB19">
        <f t="shared" si="0"/>
        <v>17</v>
      </c>
      <c r="AC19" s="37">
        <f>IF(Planned!$C$8=0,'Planned background (hide)'!F19,'Planned background (hide)'!G19)</f>
        <v>17</v>
      </c>
      <c r="AD19" s="37">
        <f t="shared" si="2"/>
        <v>0</v>
      </c>
      <c r="AE19" s="5">
        <f t="shared" ca="1" si="1"/>
        <v>0</v>
      </c>
      <c r="AF19" s="5">
        <f t="shared" ca="1" si="3"/>
        <v>140.5344827586207</v>
      </c>
      <c r="AG19">
        <f t="shared" ca="1" si="4"/>
        <v>57.375733675715331</v>
      </c>
      <c r="AH19" s="68">
        <f t="shared" ca="1" si="5"/>
        <v>0</v>
      </c>
      <c r="AI19" s="68">
        <f t="shared" ca="1" si="6"/>
        <v>25.783015407190035</v>
      </c>
      <c r="AJ19" s="68">
        <f t="shared" ca="1" si="7"/>
        <v>83.158749082905359</v>
      </c>
      <c r="AK19">
        <f t="shared" ca="1" si="8"/>
        <v>197.91021643433604</v>
      </c>
      <c r="AL19">
        <f t="shared" ca="1" si="9"/>
        <v>255.28595011005137</v>
      </c>
      <c r="AM19">
        <f t="shared" ca="1" si="10"/>
        <v>312.66168378576668</v>
      </c>
      <c r="AN19">
        <f t="shared" ca="1" si="11"/>
        <v>170.12068965517244</v>
      </c>
      <c r="AO19">
        <f t="shared" ca="1" si="12"/>
        <v>184.91379310344828</v>
      </c>
      <c r="AP19" t="e">
        <f t="shared" ca="1" si="13"/>
        <v>#N/A</v>
      </c>
      <c r="AQ19">
        <f t="shared" ca="1" si="18"/>
        <v>-1</v>
      </c>
      <c r="AR19">
        <f t="shared" ca="1" si="21"/>
        <v>0</v>
      </c>
      <c r="AS19">
        <f t="shared" ca="1" si="19"/>
        <v>0</v>
      </c>
      <c r="AT19" t="e">
        <f t="shared" ca="1" si="22"/>
        <v>#N/A</v>
      </c>
      <c r="AU19">
        <f t="shared" ca="1" si="14"/>
        <v>-1</v>
      </c>
      <c r="AV19">
        <f t="shared" ca="1" si="23"/>
        <v>0</v>
      </c>
      <c r="AW19" s="5">
        <f t="shared" ca="1" si="20"/>
        <v>0</v>
      </c>
      <c r="BH19" s="49" t="str">
        <f ca="1">IF(OR(Planned!B29=1,Planned!B29=""),AC19,Planned!B29)</f>
        <v xml:space="preserve"> </v>
      </c>
      <c r="BI19" t="str">
        <f ca="1">IF(TEXT(Planned!D29,"mmm")&lt;&gt;TEXT(Planned!D28,"mmm"),TEXT(Planned!D29,"mmm"),"")</f>
        <v/>
      </c>
      <c r="BK19" s="68"/>
    </row>
    <row r="20" spans="2:63" x14ac:dyDescent="0.2">
      <c r="B20" s="68">
        <f ca="1">IF(Planned!$C$6&lt;&gt;"Overall",COUNTBLANK(OFFSET(Planned!E31,0,0,1,Num_Modalities)),IF(COUNTBLANK(Planned!O31)=1,Num_Modalities,0))</f>
        <v>2</v>
      </c>
      <c r="C20">
        <f ca="1">SUM(OFFSET(Planned!$E31,0,0,1,Num_Modalities))</f>
        <v>0</v>
      </c>
      <c r="E20" s="68">
        <f t="shared" si="15"/>
        <v>18</v>
      </c>
      <c r="F20" s="37">
        <f t="shared" si="16"/>
        <v>18</v>
      </c>
      <c r="G20" s="69" t="str">
        <f t="shared" si="17"/>
        <v/>
      </c>
      <c r="H20">
        <f ca="1">Planned!E30*'Planned background (hide)'!H$1</f>
        <v>0</v>
      </c>
      <c r="I20">
        <f ca="1">Planned!F30*'Planned background (hide)'!I$1</f>
        <v>0</v>
      </c>
      <c r="J20">
        <f ca="1">Planned!G30*'Planned background (hide)'!J$1</f>
        <v>0</v>
      </c>
      <c r="K20">
        <f ca="1">Planned!H30*'Planned background (hide)'!K$1</f>
        <v>0</v>
      </c>
      <c r="L20">
        <f ca="1">Planned!I30*'Planned background (hide)'!L$1</f>
        <v>0</v>
      </c>
      <c r="M20">
        <f ca="1">Planned!J30*'Planned background (hide)'!M$1</f>
        <v>0</v>
      </c>
      <c r="N20">
        <f ca="1">Planned!K30*'Planned background (hide)'!N$1</f>
        <v>0</v>
      </c>
      <c r="O20">
        <f ca="1">Planned!J30*'Planned background (hide)'!O$1</f>
        <v>0</v>
      </c>
      <c r="P20">
        <f ca="1">Planned!K30*'Planned background (hide)'!P$1</f>
        <v>0</v>
      </c>
      <c r="Q20">
        <f ca="1">Planned!L30*'Planned background (hide)'!Q$1</f>
        <v>0</v>
      </c>
      <c r="R20" s="5">
        <f ca="1">IF(Planned!$C$6="Overall",Planned!O30*'Planned background (hide)'!R$1,"")</f>
        <v>0</v>
      </c>
      <c r="S20" s="5">
        <f ca="1">IF(Planned!R30&lt;&gt;"Yes",IF(Planned!$C$6&lt;&gt;"Overall",SUM(OFFSET('Planned background (hide)'!H20,0,0,1,Num_Modalities)),'Planned background (hide)'!R20),"")</f>
        <v>0</v>
      </c>
      <c r="W20" s="50"/>
      <c r="AB20">
        <f t="shared" si="0"/>
        <v>18</v>
      </c>
      <c r="AC20" s="37">
        <f>IF(Planned!$C$8=0,'Planned background (hide)'!F20,'Planned background (hide)'!G20)</f>
        <v>18</v>
      </c>
      <c r="AD20" s="37">
        <f t="shared" si="2"/>
        <v>0</v>
      </c>
      <c r="AE20" s="5">
        <f t="shared" ca="1" si="1"/>
        <v>0</v>
      </c>
      <c r="AF20" s="5">
        <f t="shared" ca="1" si="3"/>
        <v>140.5344827586207</v>
      </c>
      <c r="AG20">
        <f t="shared" ca="1" si="4"/>
        <v>57.375733675715331</v>
      </c>
      <c r="AH20" s="68">
        <f t="shared" ca="1" si="5"/>
        <v>0</v>
      </c>
      <c r="AI20" s="68">
        <f t="shared" ca="1" si="6"/>
        <v>25.783015407190035</v>
      </c>
      <c r="AJ20" s="68">
        <f t="shared" ca="1" si="7"/>
        <v>83.158749082905359</v>
      </c>
      <c r="AK20">
        <f t="shared" ca="1" si="8"/>
        <v>197.91021643433604</v>
      </c>
      <c r="AL20">
        <f t="shared" ca="1" si="9"/>
        <v>255.28595011005137</v>
      </c>
      <c r="AM20">
        <f t="shared" ca="1" si="10"/>
        <v>312.66168378576668</v>
      </c>
      <c r="AN20">
        <f t="shared" ca="1" si="11"/>
        <v>170.12068965517244</v>
      </c>
      <c r="AO20">
        <f t="shared" ca="1" si="12"/>
        <v>184.91379310344828</v>
      </c>
      <c r="AP20" t="e">
        <f t="shared" ca="1" si="13"/>
        <v>#N/A</v>
      </c>
      <c r="AQ20">
        <f t="shared" ca="1" si="18"/>
        <v>-1</v>
      </c>
      <c r="AR20">
        <f t="shared" ca="1" si="21"/>
        <v>0</v>
      </c>
      <c r="AS20">
        <f t="shared" ca="1" si="19"/>
        <v>0</v>
      </c>
      <c r="AT20" t="e">
        <f t="shared" ca="1" si="22"/>
        <v>#N/A</v>
      </c>
      <c r="AU20">
        <f t="shared" ca="1" si="14"/>
        <v>-1</v>
      </c>
      <c r="AV20">
        <f t="shared" ca="1" si="23"/>
        <v>0</v>
      </c>
      <c r="AW20" s="5">
        <f t="shared" ca="1" si="20"/>
        <v>0</v>
      </c>
      <c r="BH20" s="49" t="str">
        <f ca="1">IF(OR(Planned!B30=1,Planned!B30=""),AC20,Planned!B30)</f>
        <v xml:space="preserve"> </v>
      </c>
      <c r="BI20" t="str">
        <f ca="1">IF(TEXT(Planned!D30,"mmm")&lt;&gt;TEXT(Planned!D29,"mmm"),TEXT(Planned!D30,"mmm"),"")</f>
        <v/>
      </c>
      <c r="BK20" s="68"/>
    </row>
    <row r="21" spans="2:63" x14ac:dyDescent="0.2">
      <c r="B21" s="68">
        <f ca="1">IF(Planned!$C$6&lt;&gt;"Overall",COUNTBLANK(OFFSET(Planned!E32,0,0,1,Num_Modalities)),IF(COUNTBLANK(Planned!O32)=1,Num_Modalities,0))</f>
        <v>2</v>
      </c>
      <c r="C21">
        <f ca="1">SUM(OFFSET(Planned!$E32,0,0,1,Num_Modalities))</f>
        <v>0</v>
      </c>
      <c r="E21" s="68">
        <f t="shared" si="15"/>
        <v>19</v>
      </c>
      <c r="F21" s="37">
        <f t="shared" si="16"/>
        <v>19</v>
      </c>
      <c r="G21" s="69" t="str">
        <f t="shared" si="17"/>
        <v/>
      </c>
      <c r="H21">
        <f ca="1">Planned!E31*'Planned background (hide)'!H$1</f>
        <v>0</v>
      </c>
      <c r="I21">
        <f ca="1">Planned!F31*'Planned background (hide)'!I$1</f>
        <v>0</v>
      </c>
      <c r="J21">
        <f ca="1">Planned!G31*'Planned background (hide)'!J$1</f>
        <v>0</v>
      </c>
      <c r="K21">
        <f ca="1">Planned!H31*'Planned background (hide)'!K$1</f>
        <v>0</v>
      </c>
      <c r="L21">
        <f ca="1">Planned!I31*'Planned background (hide)'!L$1</f>
        <v>0</v>
      </c>
      <c r="M21">
        <f ca="1">Planned!J31*'Planned background (hide)'!M$1</f>
        <v>0</v>
      </c>
      <c r="N21">
        <f ca="1">Planned!K31*'Planned background (hide)'!N$1</f>
        <v>0</v>
      </c>
      <c r="O21">
        <f ca="1">Planned!J31*'Planned background (hide)'!O$1</f>
        <v>0</v>
      </c>
      <c r="P21">
        <f ca="1">Planned!K31*'Planned background (hide)'!P$1</f>
        <v>0</v>
      </c>
      <c r="Q21">
        <f ca="1">Planned!L31*'Planned background (hide)'!Q$1</f>
        <v>0</v>
      </c>
      <c r="R21" s="5">
        <f ca="1">IF(Planned!$C$6="Overall",Planned!O31*'Planned background (hide)'!R$1,"")</f>
        <v>0</v>
      </c>
      <c r="S21" s="5">
        <f ca="1">IF(Planned!R31&lt;&gt;"Yes",IF(Planned!$C$6&lt;&gt;"Overall",SUM(OFFSET('Planned background (hide)'!H21,0,0,1,Num_Modalities)),'Planned background (hide)'!R21),"")</f>
        <v>0</v>
      </c>
      <c r="W21" s="50"/>
      <c r="AB21">
        <f t="shared" si="0"/>
        <v>19</v>
      </c>
      <c r="AC21" s="37">
        <f>IF(Planned!$C$8=0,'Planned background (hide)'!F21,'Planned background (hide)'!G21)</f>
        <v>19</v>
      </c>
      <c r="AD21" s="37">
        <f t="shared" si="2"/>
        <v>0</v>
      </c>
      <c r="AE21" s="5">
        <f t="shared" ca="1" si="1"/>
        <v>0</v>
      </c>
      <c r="AF21" s="5">
        <f t="shared" ca="1" si="3"/>
        <v>140.5344827586207</v>
      </c>
      <c r="AG21">
        <f t="shared" ca="1" si="4"/>
        <v>57.375733675715331</v>
      </c>
      <c r="AH21" s="68">
        <f t="shared" ca="1" si="5"/>
        <v>0</v>
      </c>
      <c r="AI21" s="68">
        <f t="shared" ca="1" si="6"/>
        <v>25.783015407190035</v>
      </c>
      <c r="AJ21" s="68">
        <f t="shared" ca="1" si="7"/>
        <v>83.158749082905359</v>
      </c>
      <c r="AK21">
        <f t="shared" ca="1" si="8"/>
        <v>197.91021643433604</v>
      </c>
      <c r="AL21">
        <f t="shared" ca="1" si="9"/>
        <v>255.28595011005137</v>
      </c>
      <c r="AM21">
        <f t="shared" ca="1" si="10"/>
        <v>312.66168378576668</v>
      </c>
      <c r="AN21">
        <f t="shared" ca="1" si="11"/>
        <v>170.12068965517244</v>
      </c>
      <c r="AO21">
        <f t="shared" ca="1" si="12"/>
        <v>184.91379310344828</v>
      </c>
      <c r="AP21" t="e">
        <f t="shared" ca="1" si="13"/>
        <v>#N/A</v>
      </c>
      <c r="AQ21">
        <f t="shared" ca="1" si="18"/>
        <v>-1</v>
      </c>
      <c r="AR21">
        <f t="shared" ca="1" si="21"/>
        <v>0</v>
      </c>
      <c r="AS21">
        <f t="shared" ca="1" si="19"/>
        <v>0</v>
      </c>
      <c r="AT21" t="e">
        <f t="shared" ca="1" si="22"/>
        <v>#N/A</v>
      </c>
      <c r="AU21">
        <f t="shared" ca="1" si="14"/>
        <v>-1</v>
      </c>
      <c r="AV21">
        <f t="shared" ca="1" si="23"/>
        <v>0</v>
      </c>
      <c r="AW21" s="5">
        <f t="shared" ca="1" si="20"/>
        <v>0</v>
      </c>
      <c r="BH21" s="49" t="str">
        <f ca="1">IF(OR(Planned!B31=1,Planned!B31=""),AC21,Planned!B31)</f>
        <v xml:space="preserve"> </v>
      </c>
      <c r="BI21" t="str">
        <f ca="1">IF(TEXT(Planned!D31,"mmm")&lt;&gt;TEXT(Planned!D30,"mmm"),TEXT(Planned!D31,"mmm"),"")</f>
        <v/>
      </c>
      <c r="BK21" s="68"/>
    </row>
    <row r="22" spans="2:63" x14ac:dyDescent="0.2">
      <c r="B22" s="68">
        <f ca="1">IF(Planned!$C$6&lt;&gt;"Overall",COUNTBLANK(OFFSET(Planned!E33,0,0,1,Num_Modalities)),IF(COUNTBLANK(Planned!O33)=1,Num_Modalities,0))</f>
        <v>2</v>
      </c>
      <c r="C22">
        <f ca="1">SUM(OFFSET(Planned!$E33,0,0,1,Num_Modalities))</f>
        <v>0</v>
      </c>
      <c r="E22" s="68">
        <f t="shared" si="15"/>
        <v>20</v>
      </c>
      <c r="F22" s="37">
        <f t="shared" si="16"/>
        <v>20</v>
      </c>
      <c r="G22" s="69" t="str">
        <f t="shared" si="17"/>
        <v/>
      </c>
      <c r="H22">
        <f ca="1">Planned!E32*'Planned background (hide)'!H$1</f>
        <v>0</v>
      </c>
      <c r="I22">
        <f ca="1">Planned!F32*'Planned background (hide)'!I$1</f>
        <v>0</v>
      </c>
      <c r="J22">
        <f ca="1">Planned!G32*'Planned background (hide)'!J$1</f>
        <v>0</v>
      </c>
      <c r="K22">
        <f ca="1">Planned!H32*'Planned background (hide)'!K$1</f>
        <v>0</v>
      </c>
      <c r="L22">
        <f ca="1">Planned!I32*'Planned background (hide)'!L$1</f>
        <v>0</v>
      </c>
      <c r="M22">
        <f ca="1">Planned!J32*'Planned background (hide)'!M$1</f>
        <v>0</v>
      </c>
      <c r="N22">
        <f ca="1">Planned!K32*'Planned background (hide)'!N$1</f>
        <v>0</v>
      </c>
      <c r="O22">
        <f ca="1">Planned!J32*'Planned background (hide)'!O$1</f>
        <v>0</v>
      </c>
      <c r="P22">
        <f ca="1">Planned!K32*'Planned background (hide)'!P$1</f>
        <v>0</v>
      </c>
      <c r="Q22">
        <f ca="1">Planned!L32*'Planned background (hide)'!Q$1</f>
        <v>0</v>
      </c>
      <c r="R22" s="5">
        <f ca="1">IF(Planned!$C$6="Overall",Planned!O32*'Planned background (hide)'!R$1,"")</f>
        <v>0</v>
      </c>
      <c r="S22" s="5">
        <f ca="1">IF(Planned!R32&lt;&gt;"Yes",IF(Planned!$C$6&lt;&gt;"Overall",SUM(OFFSET('Planned background (hide)'!H22,0,0,1,Num_Modalities)),'Planned background (hide)'!R22),"")</f>
        <v>0</v>
      </c>
      <c r="U22" t="s">
        <v>283</v>
      </c>
      <c r="W22" s="50"/>
      <c r="AB22">
        <f t="shared" si="0"/>
        <v>20</v>
      </c>
      <c r="AC22" s="37">
        <f>IF(Planned!$C$8=0,'Planned background (hide)'!F22,'Planned background (hide)'!G22)</f>
        <v>20</v>
      </c>
      <c r="AD22" s="37">
        <f t="shared" si="2"/>
        <v>0</v>
      </c>
      <c r="AE22" s="5">
        <f t="shared" ca="1" si="1"/>
        <v>0</v>
      </c>
      <c r="AF22" s="5">
        <f t="shared" ca="1" si="3"/>
        <v>140.5344827586207</v>
      </c>
      <c r="AG22">
        <f t="shared" ca="1" si="4"/>
        <v>57.375733675715331</v>
      </c>
      <c r="AH22" s="68">
        <f t="shared" ca="1" si="5"/>
        <v>0</v>
      </c>
      <c r="AI22" s="68">
        <f t="shared" ca="1" si="6"/>
        <v>25.783015407190035</v>
      </c>
      <c r="AJ22" s="68">
        <f t="shared" ca="1" si="7"/>
        <v>83.158749082905359</v>
      </c>
      <c r="AK22">
        <f t="shared" ca="1" si="8"/>
        <v>197.91021643433604</v>
      </c>
      <c r="AL22">
        <f t="shared" ca="1" si="9"/>
        <v>255.28595011005137</v>
      </c>
      <c r="AM22">
        <f t="shared" ca="1" si="10"/>
        <v>312.66168378576668</v>
      </c>
      <c r="AN22">
        <f t="shared" ca="1" si="11"/>
        <v>170.12068965517244</v>
      </c>
      <c r="AO22">
        <f t="shared" ca="1" si="12"/>
        <v>184.91379310344828</v>
      </c>
      <c r="AP22" t="e">
        <f t="shared" ca="1" si="13"/>
        <v>#N/A</v>
      </c>
      <c r="AQ22">
        <f t="shared" ca="1" si="18"/>
        <v>-1</v>
      </c>
      <c r="AR22">
        <f t="shared" ca="1" si="21"/>
        <v>0</v>
      </c>
      <c r="AS22">
        <f t="shared" ca="1" si="19"/>
        <v>0</v>
      </c>
      <c r="AT22" t="e">
        <f t="shared" ca="1" si="22"/>
        <v>#N/A</v>
      </c>
      <c r="AU22">
        <f t="shared" ca="1" si="14"/>
        <v>-1</v>
      </c>
      <c r="AV22">
        <f t="shared" ca="1" si="23"/>
        <v>0</v>
      </c>
      <c r="AW22" s="5">
        <f t="shared" ca="1" si="20"/>
        <v>0</v>
      </c>
      <c r="BH22" s="49" t="str">
        <f ca="1">IF(OR(Planned!B32=1,Planned!B32=""),AC22,Planned!B32)</f>
        <v xml:space="preserve"> </v>
      </c>
      <c r="BI22" t="str">
        <f ca="1">IF(TEXT(Planned!D32,"mmm")&lt;&gt;TEXT(Planned!D31,"mmm"),TEXT(Planned!D32,"mmm"),"")</f>
        <v/>
      </c>
      <c r="BK22" s="68"/>
    </row>
    <row r="23" spans="2:63" x14ac:dyDescent="0.2">
      <c r="B23" s="68">
        <f ca="1">IF(Planned!$C$6&lt;&gt;"Overall",COUNTBLANK(OFFSET(Planned!E34,0,0,1,Num_Modalities)),IF(COUNTBLANK(Planned!O34)=1,Num_Modalities,0))</f>
        <v>2</v>
      </c>
      <c r="C23">
        <f ca="1">SUM(OFFSET(Planned!$E34,0,0,1,Num_Modalities))</f>
        <v>0</v>
      </c>
      <c r="E23" s="68">
        <f t="shared" si="15"/>
        <v>21</v>
      </c>
      <c r="F23" s="37">
        <f t="shared" si="16"/>
        <v>21</v>
      </c>
      <c r="G23" s="69" t="str">
        <f t="shared" si="17"/>
        <v/>
      </c>
      <c r="H23">
        <f ca="1">Planned!E33*'Planned background (hide)'!H$1</f>
        <v>0</v>
      </c>
      <c r="I23">
        <f ca="1">Planned!F33*'Planned background (hide)'!I$1</f>
        <v>0</v>
      </c>
      <c r="J23">
        <f ca="1">Planned!G33*'Planned background (hide)'!J$1</f>
        <v>0</v>
      </c>
      <c r="K23">
        <f ca="1">Planned!H33*'Planned background (hide)'!K$1</f>
        <v>0</v>
      </c>
      <c r="L23">
        <f ca="1">Planned!I33*'Planned background (hide)'!L$1</f>
        <v>0</v>
      </c>
      <c r="M23">
        <f ca="1">Planned!J33*'Planned background (hide)'!M$1</f>
        <v>0</v>
      </c>
      <c r="N23">
        <f ca="1">Planned!K33*'Planned background (hide)'!N$1</f>
        <v>0</v>
      </c>
      <c r="O23">
        <f ca="1">Planned!J33*'Planned background (hide)'!O$1</f>
        <v>0</v>
      </c>
      <c r="P23">
        <f ca="1">Planned!K33*'Planned background (hide)'!P$1</f>
        <v>0</v>
      </c>
      <c r="Q23">
        <f ca="1">Planned!L33*'Planned background (hide)'!Q$1</f>
        <v>0</v>
      </c>
      <c r="R23" s="5">
        <f ca="1">IF(Planned!$C$6="Overall",Planned!O33*'Planned background (hide)'!R$1,"")</f>
        <v>0</v>
      </c>
      <c r="S23" s="5">
        <f ca="1">IF(Planned!R33&lt;&gt;"Yes",IF(Planned!$C$6&lt;&gt;"Overall",SUM(OFFSET('Planned background (hide)'!H23,0,0,1,Num_Modalities)),'Planned background (hide)'!R23),"")</f>
        <v>0</v>
      </c>
      <c r="U23" t="s">
        <v>158</v>
      </c>
      <c r="V23" s="60">
        <f ca="1">AVERAGEIF(AD3:AD55,1,AE3:AE55)</f>
        <v>140.5344827586207</v>
      </c>
      <c r="W23" s="50"/>
      <c r="AB23">
        <f t="shared" si="0"/>
        <v>21</v>
      </c>
      <c r="AC23" s="37">
        <f>IF(Planned!$C$8=0,'Planned background (hide)'!F23,'Planned background (hide)'!G23)</f>
        <v>21</v>
      </c>
      <c r="AD23" s="37">
        <f t="shared" si="2"/>
        <v>0</v>
      </c>
      <c r="AE23" s="5">
        <f t="shared" ca="1" si="1"/>
        <v>0</v>
      </c>
      <c r="AF23" s="5">
        <f t="shared" ca="1" si="3"/>
        <v>140.5344827586207</v>
      </c>
      <c r="AG23">
        <f t="shared" ca="1" si="4"/>
        <v>57.375733675715331</v>
      </c>
      <c r="AH23" s="68">
        <f t="shared" ca="1" si="5"/>
        <v>0</v>
      </c>
      <c r="AI23" s="68">
        <f t="shared" ca="1" si="6"/>
        <v>25.783015407190035</v>
      </c>
      <c r="AJ23" s="68">
        <f t="shared" ca="1" si="7"/>
        <v>83.158749082905359</v>
      </c>
      <c r="AK23">
        <f t="shared" ca="1" si="8"/>
        <v>197.91021643433604</v>
      </c>
      <c r="AL23">
        <f t="shared" ca="1" si="9"/>
        <v>255.28595011005137</v>
      </c>
      <c r="AM23">
        <f t="shared" ca="1" si="10"/>
        <v>312.66168378576668</v>
      </c>
      <c r="AN23">
        <f t="shared" ca="1" si="11"/>
        <v>170.12068965517244</v>
      </c>
      <c r="AO23">
        <f t="shared" ca="1" si="12"/>
        <v>184.91379310344828</v>
      </c>
      <c r="AP23" t="e">
        <f t="shared" ca="1" si="13"/>
        <v>#N/A</v>
      </c>
      <c r="AQ23">
        <f t="shared" ca="1" si="18"/>
        <v>-1</v>
      </c>
      <c r="AR23">
        <f t="shared" ca="1" si="21"/>
        <v>0</v>
      </c>
      <c r="AS23">
        <f t="shared" ca="1" si="19"/>
        <v>0</v>
      </c>
      <c r="AT23" t="e">
        <f t="shared" ca="1" si="22"/>
        <v>#N/A</v>
      </c>
      <c r="AU23">
        <f t="shared" ca="1" si="14"/>
        <v>-1</v>
      </c>
      <c r="AV23">
        <f t="shared" ca="1" si="23"/>
        <v>0</v>
      </c>
      <c r="AW23" s="5">
        <f t="shared" ca="1" si="20"/>
        <v>0</v>
      </c>
      <c r="BH23" s="49" t="str">
        <f ca="1">IF(OR(Planned!B33=1,Planned!B33=""),AC23,Planned!B33)</f>
        <v xml:space="preserve"> </v>
      </c>
      <c r="BI23" t="str">
        <f ca="1">IF(TEXT(Planned!D33,"mmm")&lt;&gt;TEXT(Planned!D32,"mmm"),TEXT(Planned!D33,"mmm"),"")</f>
        <v/>
      </c>
      <c r="BK23" s="68"/>
    </row>
    <row r="24" spans="2:63" x14ac:dyDescent="0.2">
      <c r="B24" s="68">
        <f ca="1">IF(Planned!$C$6&lt;&gt;"Overall",COUNTBLANK(OFFSET(Planned!E35,0,0,1,Num_Modalities)),IF(COUNTBLANK(Planned!O35)=1,Num_Modalities,0))</f>
        <v>2</v>
      </c>
      <c r="C24">
        <f ca="1">SUM(OFFSET(Planned!$E35,0,0,1,Num_Modalities))</f>
        <v>0</v>
      </c>
      <c r="E24" s="68">
        <f t="shared" si="15"/>
        <v>22</v>
      </c>
      <c r="F24" s="37">
        <f t="shared" si="16"/>
        <v>22</v>
      </c>
      <c r="G24" s="69" t="str">
        <f t="shared" si="17"/>
        <v/>
      </c>
      <c r="H24">
        <f ca="1">Planned!E34*'Planned background (hide)'!H$1</f>
        <v>0</v>
      </c>
      <c r="I24">
        <f ca="1">Planned!F34*'Planned background (hide)'!I$1</f>
        <v>0</v>
      </c>
      <c r="J24">
        <f ca="1">Planned!G34*'Planned background (hide)'!J$1</f>
        <v>0</v>
      </c>
      <c r="K24">
        <f ca="1">Planned!H34*'Planned background (hide)'!K$1</f>
        <v>0</v>
      </c>
      <c r="L24">
        <f ca="1">Planned!I34*'Planned background (hide)'!L$1</f>
        <v>0</v>
      </c>
      <c r="M24">
        <f ca="1">Planned!J34*'Planned background (hide)'!M$1</f>
        <v>0</v>
      </c>
      <c r="N24">
        <f ca="1">Planned!K34*'Planned background (hide)'!N$1</f>
        <v>0</v>
      </c>
      <c r="O24">
        <f ca="1">Planned!J34*'Planned background (hide)'!O$1</f>
        <v>0</v>
      </c>
      <c r="P24">
        <f ca="1">Planned!K34*'Planned background (hide)'!P$1</f>
        <v>0</v>
      </c>
      <c r="Q24">
        <f ca="1">Planned!L34*'Planned background (hide)'!Q$1</f>
        <v>0</v>
      </c>
      <c r="R24" s="5">
        <f ca="1">IF(Planned!$C$6="Overall",Planned!O34*'Planned background (hide)'!R$1,"")</f>
        <v>0</v>
      </c>
      <c r="S24" s="5">
        <f ca="1">IF(Planned!R34&lt;&gt;"Yes",IF(Planned!$C$6&lt;&gt;"Overall",SUM(OFFSET('Planned background (hide)'!H24,0,0,1,Num_Modalities)),'Planned background (hide)'!R24),"")</f>
        <v>0</v>
      </c>
      <c r="U24" t="s">
        <v>280</v>
      </c>
      <c r="V24" s="60">
        <f ca="1">AVERAGEIF(AD3:AD55,1,AW3:AW55)</f>
        <v>64.71982758620689</v>
      </c>
      <c r="W24" s="50"/>
      <c r="AB24">
        <f t="shared" si="0"/>
        <v>22</v>
      </c>
      <c r="AC24" s="37">
        <f>IF(Planned!$C$8=0,'Planned background (hide)'!F24,'Planned background (hide)'!G24)</f>
        <v>22</v>
      </c>
      <c r="AD24" s="37">
        <f t="shared" si="2"/>
        <v>0</v>
      </c>
      <c r="AE24" s="5">
        <f t="shared" ca="1" si="1"/>
        <v>0</v>
      </c>
      <c r="AF24" s="5">
        <f t="shared" ca="1" si="3"/>
        <v>140.5344827586207</v>
      </c>
      <c r="AG24">
        <f t="shared" ca="1" si="4"/>
        <v>57.375733675715331</v>
      </c>
      <c r="AH24" s="68">
        <f t="shared" ca="1" si="5"/>
        <v>0</v>
      </c>
      <c r="AI24" s="68">
        <f t="shared" ca="1" si="6"/>
        <v>25.783015407190035</v>
      </c>
      <c r="AJ24" s="68">
        <f t="shared" ca="1" si="7"/>
        <v>83.158749082905359</v>
      </c>
      <c r="AK24">
        <f t="shared" ca="1" si="8"/>
        <v>197.91021643433604</v>
      </c>
      <c r="AL24">
        <f t="shared" ca="1" si="9"/>
        <v>255.28595011005137</v>
      </c>
      <c r="AM24">
        <f t="shared" ca="1" si="10"/>
        <v>312.66168378576668</v>
      </c>
      <c r="AN24">
        <f t="shared" ca="1" si="11"/>
        <v>170.12068965517244</v>
      </c>
      <c r="AO24">
        <f t="shared" ca="1" si="12"/>
        <v>184.91379310344828</v>
      </c>
      <c r="AP24" t="e">
        <f t="shared" ca="1" si="13"/>
        <v>#N/A</v>
      </c>
      <c r="AQ24">
        <f t="shared" ca="1" si="18"/>
        <v>-1</v>
      </c>
      <c r="AR24">
        <f t="shared" ca="1" si="21"/>
        <v>0</v>
      </c>
      <c r="AS24">
        <f t="shared" ca="1" si="19"/>
        <v>0</v>
      </c>
      <c r="AT24" t="e">
        <f t="shared" ca="1" si="22"/>
        <v>#N/A</v>
      </c>
      <c r="AU24">
        <f t="shared" ca="1" si="14"/>
        <v>-1</v>
      </c>
      <c r="AV24">
        <f t="shared" ca="1" si="23"/>
        <v>0</v>
      </c>
      <c r="AW24" s="5">
        <f t="shared" ca="1" si="20"/>
        <v>0</v>
      </c>
      <c r="BH24" s="49" t="str">
        <f ca="1">IF(OR(Planned!B34=1,Planned!B34=""),AC24,Planned!B34)</f>
        <v xml:space="preserve"> </v>
      </c>
      <c r="BI24" t="str">
        <f ca="1">IF(TEXT(Planned!D34,"mmm")&lt;&gt;TEXT(Planned!D33,"mmm"),TEXT(Planned!D34,"mmm"),"")</f>
        <v/>
      </c>
      <c r="BK24" s="68"/>
    </row>
    <row r="25" spans="2:63" x14ac:dyDescent="0.2">
      <c r="B25" s="68">
        <f ca="1">IF(Planned!$C$6&lt;&gt;"Overall",COUNTBLANK(OFFSET(Planned!E36,0,0,1,Num_Modalities)),IF(COUNTBLANK(Planned!O36)=1,Num_Modalities,0))</f>
        <v>2</v>
      </c>
      <c r="C25">
        <f ca="1">SUM(OFFSET(Planned!$E36,0,0,1,Num_Modalities))</f>
        <v>0</v>
      </c>
      <c r="E25" s="68">
        <f t="shared" si="15"/>
        <v>23</v>
      </c>
      <c r="F25" s="37">
        <f t="shared" si="16"/>
        <v>23</v>
      </c>
      <c r="G25" s="69" t="str">
        <f t="shared" si="17"/>
        <v/>
      </c>
      <c r="H25">
        <f ca="1">Planned!E35*'Planned background (hide)'!H$1</f>
        <v>0</v>
      </c>
      <c r="I25">
        <f ca="1">Planned!F35*'Planned background (hide)'!I$1</f>
        <v>0</v>
      </c>
      <c r="J25">
        <f ca="1">Planned!G35*'Planned background (hide)'!J$1</f>
        <v>0</v>
      </c>
      <c r="K25">
        <f ca="1">Planned!H35*'Planned background (hide)'!K$1</f>
        <v>0</v>
      </c>
      <c r="L25">
        <f ca="1">Planned!I35*'Planned background (hide)'!L$1</f>
        <v>0</v>
      </c>
      <c r="M25">
        <f ca="1">Planned!J35*'Planned background (hide)'!M$1</f>
        <v>0</v>
      </c>
      <c r="N25">
        <f ca="1">Planned!K35*'Planned background (hide)'!N$1</f>
        <v>0</v>
      </c>
      <c r="O25">
        <f ca="1">Planned!J35*'Planned background (hide)'!O$1</f>
        <v>0</v>
      </c>
      <c r="P25">
        <f ca="1">Planned!K35*'Planned background (hide)'!P$1</f>
        <v>0</v>
      </c>
      <c r="Q25">
        <f ca="1">Planned!L35*'Planned background (hide)'!Q$1</f>
        <v>0</v>
      </c>
      <c r="R25" s="5">
        <f ca="1">IF(Planned!$C$6="Overall",Planned!O35*'Planned background (hide)'!R$1,"")</f>
        <v>0</v>
      </c>
      <c r="S25" s="5">
        <f ca="1">IF(Planned!R35&lt;&gt;"Yes",IF(Planned!$C$6&lt;&gt;"Overall",SUM(OFFSET('Planned background (hide)'!H25,0,0,1,Num_Modalities)),'Planned background (hide)'!R25),"")</f>
        <v>0</v>
      </c>
      <c r="U25" t="s">
        <v>259</v>
      </c>
      <c r="V25" s="60">
        <f ca="1">V24/1.128</f>
        <v>57.375733675715331</v>
      </c>
      <c r="AB25">
        <f t="shared" si="0"/>
        <v>23</v>
      </c>
      <c r="AC25" s="37">
        <f>IF(Planned!$C$8=0,'Planned background (hide)'!F25,'Planned background (hide)'!G25)</f>
        <v>23</v>
      </c>
      <c r="AD25" s="37">
        <f t="shared" si="2"/>
        <v>0</v>
      </c>
      <c r="AE25" s="5">
        <f t="shared" ca="1" si="1"/>
        <v>0</v>
      </c>
      <c r="AF25" s="5">
        <f t="shared" ca="1" si="3"/>
        <v>140.5344827586207</v>
      </c>
      <c r="AG25">
        <f t="shared" ca="1" si="4"/>
        <v>57.375733675715331</v>
      </c>
      <c r="AH25" s="68">
        <f t="shared" ca="1" si="5"/>
        <v>0</v>
      </c>
      <c r="AI25" s="68">
        <f t="shared" ca="1" si="6"/>
        <v>25.783015407190035</v>
      </c>
      <c r="AJ25" s="68">
        <f t="shared" ca="1" si="7"/>
        <v>83.158749082905359</v>
      </c>
      <c r="AK25">
        <f t="shared" ca="1" si="8"/>
        <v>197.91021643433604</v>
      </c>
      <c r="AL25">
        <f t="shared" ca="1" si="9"/>
        <v>255.28595011005137</v>
      </c>
      <c r="AM25">
        <f t="shared" ca="1" si="10"/>
        <v>312.66168378576668</v>
      </c>
      <c r="AN25">
        <f t="shared" ca="1" si="11"/>
        <v>170.12068965517244</v>
      </c>
      <c r="AO25">
        <f t="shared" ca="1" si="12"/>
        <v>184.91379310344828</v>
      </c>
      <c r="AP25" t="e">
        <f t="shared" ca="1" si="13"/>
        <v>#N/A</v>
      </c>
      <c r="AQ25">
        <f t="shared" ca="1" si="18"/>
        <v>-1</v>
      </c>
      <c r="AR25">
        <f t="shared" ca="1" si="21"/>
        <v>0</v>
      </c>
      <c r="AS25">
        <f t="shared" ca="1" si="19"/>
        <v>0</v>
      </c>
      <c r="AT25" t="e">
        <f t="shared" ca="1" si="22"/>
        <v>#N/A</v>
      </c>
      <c r="AU25">
        <f t="shared" ca="1" si="14"/>
        <v>-1</v>
      </c>
      <c r="AV25">
        <f t="shared" ca="1" si="23"/>
        <v>0</v>
      </c>
      <c r="AW25" s="5">
        <f t="shared" ca="1" si="20"/>
        <v>0</v>
      </c>
      <c r="BH25" s="49" t="str">
        <f ca="1">IF(OR(Planned!B35=1,Planned!B35=""),AC25,Planned!B35)</f>
        <v xml:space="preserve"> </v>
      </c>
      <c r="BI25" t="str">
        <f ca="1">IF(TEXT(Planned!D35,"mmm")&lt;&gt;TEXT(Planned!D34,"mmm"),TEXT(Planned!D35,"mmm"),"")</f>
        <v/>
      </c>
      <c r="BK25" s="68"/>
    </row>
    <row r="26" spans="2:63" x14ac:dyDescent="0.2">
      <c r="B26" s="68">
        <f ca="1">IF(Planned!$C$6&lt;&gt;"Overall",COUNTBLANK(OFFSET(Planned!E37,0,0,1,Num_Modalities)),IF(COUNTBLANK(Planned!O37)=1,Num_Modalities,0))</f>
        <v>2</v>
      </c>
      <c r="C26">
        <f ca="1">SUM(OFFSET(Planned!$E37,0,0,1,Num_Modalities))</f>
        <v>0</v>
      </c>
      <c r="E26" s="68">
        <f t="shared" si="15"/>
        <v>24</v>
      </c>
      <c r="F26" s="37">
        <f t="shared" si="16"/>
        <v>24</v>
      </c>
      <c r="G26" s="69" t="str">
        <f t="shared" si="17"/>
        <v/>
      </c>
      <c r="H26">
        <f ca="1">Planned!E36*'Planned background (hide)'!H$1</f>
        <v>0</v>
      </c>
      <c r="I26">
        <f ca="1">Planned!F36*'Planned background (hide)'!I$1</f>
        <v>0</v>
      </c>
      <c r="J26">
        <f ca="1">Planned!G36*'Planned background (hide)'!J$1</f>
        <v>0</v>
      </c>
      <c r="K26">
        <f ca="1">Planned!H36*'Planned background (hide)'!K$1</f>
        <v>0</v>
      </c>
      <c r="L26">
        <f ca="1">Planned!I36*'Planned background (hide)'!L$1</f>
        <v>0</v>
      </c>
      <c r="M26">
        <f ca="1">Planned!J36*'Planned background (hide)'!M$1</f>
        <v>0</v>
      </c>
      <c r="N26">
        <f ca="1">Planned!K36*'Planned background (hide)'!N$1</f>
        <v>0</v>
      </c>
      <c r="O26">
        <f ca="1">Planned!J36*'Planned background (hide)'!O$1</f>
        <v>0</v>
      </c>
      <c r="P26">
        <f ca="1">Planned!K36*'Planned background (hide)'!P$1</f>
        <v>0</v>
      </c>
      <c r="Q26">
        <f ca="1">Planned!L36*'Planned background (hide)'!Q$1</f>
        <v>0</v>
      </c>
      <c r="R26" s="5">
        <f ca="1">IF(Planned!$C$6="Overall",Planned!O36*'Planned background (hide)'!R$1,"")</f>
        <v>0</v>
      </c>
      <c r="S26" s="5">
        <f ca="1">IF(Planned!R36&lt;&gt;"Yes",IF(Planned!$C$6&lt;&gt;"Overall",SUM(OFFSET('Planned background (hide)'!H26,0,0,1,Num_Modalities)),'Planned background (hide)'!R26),"")</f>
        <v>0</v>
      </c>
      <c r="U26" t="s">
        <v>281</v>
      </c>
      <c r="V26" s="60">
        <f t="array" aca="1" ref="V26" ca="1">PERCENTILE(IF(AD3:AD55=1,AE3:AE55,""),'Control sheet (hide)'!$I$9)</f>
        <v>170.12068965517244</v>
      </c>
      <c r="AB26">
        <f t="shared" si="0"/>
        <v>24</v>
      </c>
      <c r="AC26" s="37">
        <f>IF(Planned!$C$8=0,'Planned background (hide)'!F26,'Planned background (hide)'!G26)</f>
        <v>24</v>
      </c>
      <c r="AD26" s="37">
        <f t="shared" si="2"/>
        <v>0</v>
      </c>
      <c r="AE26" s="5">
        <f t="shared" ca="1" si="1"/>
        <v>0</v>
      </c>
      <c r="AF26" s="5">
        <f t="shared" ca="1" si="3"/>
        <v>140.5344827586207</v>
      </c>
      <c r="AG26">
        <f t="shared" ca="1" si="4"/>
        <v>57.375733675715331</v>
      </c>
      <c r="AH26" s="68">
        <f t="shared" ca="1" si="5"/>
        <v>0</v>
      </c>
      <c r="AI26" s="68">
        <f t="shared" ca="1" si="6"/>
        <v>25.783015407190035</v>
      </c>
      <c r="AJ26" s="68">
        <f t="shared" ca="1" si="7"/>
        <v>83.158749082905359</v>
      </c>
      <c r="AK26">
        <f t="shared" ca="1" si="8"/>
        <v>197.91021643433604</v>
      </c>
      <c r="AL26">
        <f t="shared" ca="1" si="9"/>
        <v>255.28595011005137</v>
      </c>
      <c r="AM26">
        <f t="shared" ca="1" si="10"/>
        <v>312.66168378576668</v>
      </c>
      <c r="AN26">
        <f t="shared" ca="1" si="11"/>
        <v>170.12068965517244</v>
      </c>
      <c r="AO26">
        <f t="shared" ca="1" si="12"/>
        <v>184.91379310344828</v>
      </c>
      <c r="AP26" t="e">
        <f t="shared" ca="1" si="13"/>
        <v>#N/A</v>
      </c>
      <c r="AQ26">
        <f t="shared" ca="1" si="18"/>
        <v>-1</v>
      </c>
      <c r="AR26">
        <f t="shared" ca="1" si="21"/>
        <v>0</v>
      </c>
      <c r="AS26">
        <f t="shared" ca="1" si="19"/>
        <v>0</v>
      </c>
      <c r="AT26" t="e">
        <f t="shared" ca="1" si="22"/>
        <v>#N/A</v>
      </c>
      <c r="AU26">
        <f t="shared" ca="1" si="14"/>
        <v>-1</v>
      </c>
      <c r="AV26">
        <f t="shared" ca="1" si="23"/>
        <v>0</v>
      </c>
      <c r="AW26" s="5">
        <f t="shared" ca="1" si="20"/>
        <v>0</v>
      </c>
      <c r="BH26" s="49" t="str">
        <f ca="1">IF(OR(Planned!B36=1,Planned!B36=""),AC26,Planned!B36)</f>
        <v xml:space="preserve"> </v>
      </c>
      <c r="BI26" t="str">
        <f ca="1">IF(TEXT(Planned!D36,"mmm")&lt;&gt;TEXT(Planned!D35,"mmm"),TEXT(Planned!D36,"mmm"),"")</f>
        <v/>
      </c>
      <c r="BK26" s="68"/>
    </row>
    <row r="27" spans="2:63" x14ac:dyDescent="0.2">
      <c r="B27" s="68">
        <f ca="1">IF(Planned!$C$6&lt;&gt;"Overall",COUNTBLANK(OFFSET(Planned!E38,0,0,1,Num_Modalities)),IF(COUNTBLANK(Planned!O38)=1,Num_Modalities,0))</f>
        <v>2</v>
      </c>
      <c r="C27">
        <f ca="1">SUM(OFFSET(Planned!$E38,0,0,1,Num_Modalities))</f>
        <v>0</v>
      </c>
      <c r="E27" s="68">
        <f t="shared" si="15"/>
        <v>25</v>
      </c>
      <c r="F27" s="37">
        <f t="shared" si="16"/>
        <v>25</v>
      </c>
      <c r="G27" s="69" t="str">
        <f t="shared" si="17"/>
        <v/>
      </c>
      <c r="H27">
        <f ca="1">Planned!E37*'Planned background (hide)'!H$1</f>
        <v>0</v>
      </c>
      <c r="I27">
        <f ca="1">Planned!F37*'Planned background (hide)'!I$1</f>
        <v>0</v>
      </c>
      <c r="J27">
        <f ca="1">Planned!G37*'Planned background (hide)'!J$1</f>
        <v>0</v>
      </c>
      <c r="K27">
        <f ca="1">Planned!H37*'Planned background (hide)'!K$1</f>
        <v>0</v>
      </c>
      <c r="L27">
        <f ca="1">Planned!I37*'Planned background (hide)'!L$1</f>
        <v>0</v>
      </c>
      <c r="M27">
        <f ca="1">Planned!J37*'Planned background (hide)'!M$1</f>
        <v>0</v>
      </c>
      <c r="N27">
        <f ca="1">Planned!K37*'Planned background (hide)'!N$1</f>
        <v>0</v>
      </c>
      <c r="O27">
        <f ca="1">Planned!J37*'Planned background (hide)'!O$1</f>
        <v>0</v>
      </c>
      <c r="P27">
        <f ca="1">Planned!K37*'Planned background (hide)'!P$1</f>
        <v>0</v>
      </c>
      <c r="Q27">
        <f ca="1">Planned!L37*'Planned background (hide)'!Q$1</f>
        <v>0</v>
      </c>
      <c r="R27" s="5">
        <f ca="1">IF(Planned!$C$6="Overall",Planned!O37*'Planned background (hide)'!R$1,"")</f>
        <v>0</v>
      </c>
      <c r="S27" s="5">
        <f ca="1">IF(Planned!R37&lt;&gt;"Yes",IF(Planned!$C$6&lt;&gt;"Overall",SUM(OFFSET('Planned background (hide)'!H27,0,0,1,Num_Modalities)),'Planned background (hide)'!R27),"")</f>
        <v>0</v>
      </c>
      <c r="U27" t="s">
        <v>282</v>
      </c>
      <c r="V27" s="60">
        <f t="array" aca="1" ref="V27" ca="1">PERCENTILE(IF(AD3:AD55=1,AE3:AE55,""),0.85)</f>
        <v>184.91379310344828</v>
      </c>
      <c r="AB27">
        <f t="shared" si="0"/>
        <v>25</v>
      </c>
      <c r="AC27" s="37">
        <f>IF(Planned!$C$8=0,'Planned background (hide)'!F27,'Planned background (hide)'!G27)</f>
        <v>25</v>
      </c>
      <c r="AD27" s="37">
        <f t="shared" si="2"/>
        <v>0</v>
      </c>
      <c r="AE27" s="5">
        <f t="shared" ca="1" si="1"/>
        <v>0</v>
      </c>
      <c r="AF27" s="5">
        <f t="shared" ca="1" si="3"/>
        <v>140.5344827586207</v>
      </c>
      <c r="AG27">
        <f t="shared" ca="1" si="4"/>
        <v>57.375733675715331</v>
      </c>
      <c r="AH27" s="68">
        <f t="shared" ca="1" si="5"/>
        <v>0</v>
      </c>
      <c r="AI27" s="68">
        <f t="shared" ca="1" si="6"/>
        <v>25.783015407190035</v>
      </c>
      <c r="AJ27" s="68">
        <f t="shared" ca="1" si="7"/>
        <v>83.158749082905359</v>
      </c>
      <c r="AK27">
        <f t="shared" ca="1" si="8"/>
        <v>197.91021643433604</v>
      </c>
      <c r="AL27">
        <f t="shared" ca="1" si="9"/>
        <v>255.28595011005137</v>
      </c>
      <c r="AM27">
        <f t="shared" ca="1" si="10"/>
        <v>312.66168378576668</v>
      </c>
      <c r="AN27">
        <f t="shared" ca="1" si="11"/>
        <v>170.12068965517244</v>
      </c>
      <c r="AO27">
        <f t="shared" ca="1" si="12"/>
        <v>184.91379310344828</v>
      </c>
      <c r="AP27" t="e">
        <f t="shared" ca="1" si="13"/>
        <v>#N/A</v>
      </c>
      <c r="AQ27">
        <f t="shared" ca="1" si="18"/>
        <v>-1</v>
      </c>
      <c r="AR27">
        <f t="shared" ca="1" si="21"/>
        <v>0</v>
      </c>
      <c r="AS27">
        <f t="shared" ca="1" si="19"/>
        <v>0</v>
      </c>
      <c r="AT27" t="e">
        <f t="shared" ca="1" si="22"/>
        <v>#N/A</v>
      </c>
      <c r="AU27">
        <f t="shared" ca="1" si="14"/>
        <v>-1</v>
      </c>
      <c r="AV27">
        <f t="shared" ca="1" si="23"/>
        <v>0</v>
      </c>
      <c r="AW27" s="5">
        <f t="shared" ca="1" si="20"/>
        <v>0</v>
      </c>
      <c r="BH27" s="49" t="str">
        <f ca="1">IF(OR(Planned!B37=1,Planned!B37=""),AC27,Planned!B37)</f>
        <v xml:space="preserve"> </v>
      </c>
      <c r="BI27" t="str">
        <f ca="1">IF(TEXT(Planned!D37,"mmm")&lt;&gt;TEXT(Planned!D36,"mmm"),TEXT(Planned!D37,"mmm"),"")</f>
        <v/>
      </c>
      <c r="BK27" s="68"/>
    </row>
    <row r="28" spans="2:63" x14ac:dyDescent="0.2">
      <c r="B28" s="68">
        <f ca="1">IF(Planned!$C$6&lt;&gt;"Overall",COUNTBLANK(OFFSET(Planned!E39,0,0,1,Num_Modalities)),IF(COUNTBLANK(Planned!O39)=1,Num_Modalities,0))</f>
        <v>2</v>
      </c>
      <c r="C28">
        <f ca="1">SUM(OFFSET(Planned!$E39,0,0,1,Num_Modalities))</f>
        <v>0</v>
      </c>
      <c r="E28" s="68">
        <f t="shared" si="15"/>
        <v>26</v>
      </c>
      <c r="F28" s="37">
        <f t="shared" si="16"/>
        <v>26</v>
      </c>
      <c r="G28" s="69" t="str">
        <f t="shared" si="17"/>
        <v/>
      </c>
      <c r="H28">
        <f ca="1">Planned!E38*'Planned background (hide)'!H$1</f>
        <v>0</v>
      </c>
      <c r="I28">
        <f ca="1">Planned!F38*'Planned background (hide)'!I$1</f>
        <v>0</v>
      </c>
      <c r="J28">
        <f ca="1">Planned!G38*'Planned background (hide)'!J$1</f>
        <v>0</v>
      </c>
      <c r="K28">
        <f ca="1">Planned!H38*'Planned background (hide)'!K$1</f>
        <v>0</v>
      </c>
      <c r="L28">
        <f ca="1">Planned!I38*'Planned background (hide)'!L$1</f>
        <v>0</v>
      </c>
      <c r="M28">
        <f ca="1">Planned!J38*'Planned background (hide)'!M$1</f>
        <v>0</v>
      </c>
      <c r="N28">
        <f ca="1">Planned!K38*'Planned background (hide)'!N$1</f>
        <v>0</v>
      </c>
      <c r="O28">
        <f ca="1">Planned!J38*'Planned background (hide)'!O$1</f>
        <v>0</v>
      </c>
      <c r="P28">
        <f ca="1">Planned!K38*'Planned background (hide)'!P$1</f>
        <v>0</v>
      </c>
      <c r="Q28">
        <f ca="1">Planned!L38*'Planned background (hide)'!Q$1</f>
        <v>0</v>
      </c>
      <c r="R28" s="5">
        <f ca="1">IF(Planned!$C$6="Overall",Planned!O38*'Planned background (hide)'!R$1,"")</f>
        <v>0</v>
      </c>
      <c r="S28" s="5">
        <f ca="1">IF(Planned!R38&lt;&gt;"Yes",IF(Planned!$C$6&lt;&gt;"Overall",SUM(OFFSET('Planned background (hide)'!H28,0,0,1,Num_Modalities)),'Planned background (hide)'!R28),"")</f>
        <v>0</v>
      </c>
      <c r="AB28">
        <f t="shared" si="0"/>
        <v>26</v>
      </c>
      <c r="AC28" s="37">
        <f>IF(Planned!$C$8=0,'Planned background (hide)'!F28,'Planned background (hide)'!G28)</f>
        <v>26</v>
      </c>
      <c r="AD28" s="37">
        <f t="shared" si="2"/>
        <v>0</v>
      </c>
      <c r="AE28" s="5">
        <f t="shared" ca="1" si="1"/>
        <v>0</v>
      </c>
      <c r="AF28" s="5">
        <f t="shared" ca="1" si="3"/>
        <v>140.5344827586207</v>
      </c>
      <c r="AG28">
        <f t="shared" ca="1" si="4"/>
        <v>57.375733675715331</v>
      </c>
      <c r="AH28" s="68">
        <f t="shared" ca="1" si="5"/>
        <v>0</v>
      </c>
      <c r="AI28" s="68">
        <f t="shared" ca="1" si="6"/>
        <v>25.783015407190035</v>
      </c>
      <c r="AJ28" s="68">
        <f t="shared" ca="1" si="7"/>
        <v>83.158749082905359</v>
      </c>
      <c r="AK28">
        <f t="shared" ca="1" si="8"/>
        <v>197.91021643433604</v>
      </c>
      <c r="AL28">
        <f t="shared" ca="1" si="9"/>
        <v>255.28595011005137</v>
      </c>
      <c r="AM28">
        <f t="shared" ca="1" si="10"/>
        <v>312.66168378576668</v>
      </c>
      <c r="AN28">
        <f t="shared" ca="1" si="11"/>
        <v>170.12068965517244</v>
      </c>
      <c r="AO28">
        <f t="shared" ca="1" si="12"/>
        <v>184.91379310344828</v>
      </c>
      <c r="AP28" t="e">
        <f t="shared" ca="1" si="13"/>
        <v>#N/A</v>
      </c>
      <c r="AQ28">
        <f t="shared" ca="1" si="18"/>
        <v>-1</v>
      </c>
      <c r="AR28">
        <f t="shared" ca="1" si="21"/>
        <v>0</v>
      </c>
      <c r="AS28">
        <f t="shared" ca="1" si="19"/>
        <v>0</v>
      </c>
      <c r="AT28" t="e">
        <f t="shared" ca="1" si="22"/>
        <v>#N/A</v>
      </c>
      <c r="AU28">
        <f t="shared" ca="1" si="14"/>
        <v>-1</v>
      </c>
      <c r="AV28">
        <f t="shared" ca="1" si="23"/>
        <v>0</v>
      </c>
      <c r="AW28" s="5">
        <f t="shared" ca="1" si="20"/>
        <v>0</v>
      </c>
      <c r="BH28" s="49" t="str">
        <f ca="1">IF(OR(Planned!B38=1,Planned!B38=""),AC28,Planned!B38)</f>
        <v xml:space="preserve"> </v>
      </c>
      <c r="BI28" t="str">
        <f ca="1">IF(TEXT(Planned!D38,"mmm")&lt;&gt;TEXT(Planned!D37,"mmm"),TEXT(Planned!D38,"mmm"),"")</f>
        <v/>
      </c>
      <c r="BK28" s="68"/>
    </row>
    <row r="29" spans="2:63" x14ac:dyDescent="0.2">
      <c r="B29" s="68">
        <f ca="1">IF(Planned!$C$6&lt;&gt;"Overall",COUNTBLANK(OFFSET(Planned!E40,0,0,1,Num_Modalities)),IF(COUNTBLANK(Planned!O40)=1,Num_Modalities,0))</f>
        <v>2</v>
      </c>
      <c r="C29">
        <f ca="1">SUM(OFFSET(Planned!$E40,0,0,1,Num_Modalities))</f>
        <v>0</v>
      </c>
      <c r="E29" s="68">
        <f t="shared" si="15"/>
        <v>27</v>
      </c>
      <c r="F29" s="37">
        <f t="shared" si="16"/>
        <v>27</v>
      </c>
      <c r="G29" s="69" t="str">
        <f t="shared" si="17"/>
        <v/>
      </c>
      <c r="H29">
        <f ca="1">Planned!E39*'Planned background (hide)'!H$1</f>
        <v>0</v>
      </c>
      <c r="I29">
        <f ca="1">Planned!F39*'Planned background (hide)'!I$1</f>
        <v>0</v>
      </c>
      <c r="J29">
        <f ca="1">Planned!G39*'Planned background (hide)'!J$1</f>
        <v>0</v>
      </c>
      <c r="K29">
        <f ca="1">Planned!H39*'Planned background (hide)'!K$1</f>
        <v>0</v>
      </c>
      <c r="L29">
        <f ca="1">Planned!I39*'Planned background (hide)'!L$1</f>
        <v>0</v>
      </c>
      <c r="M29">
        <f ca="1">Planned!J39*'Planned background (hide)'!M$1</f>
        <v>0</v>
      </c>
      <c r="N29">
        <f ca="1">Planned!K39*'Planned background (hide)'!N$1</f>
        <v>0</v>
      </c>
      <c r="O29">
        <f ca="1">Planned!J39*'Planned background (hide)'!O$1</f>
        <v>0</v>
      </c>
      <c r="P29">
        <f ca="1">Planned!K39*'Planned background (hide)'!P$1</f>
        <v>0</v>
      </c>
      <c r="Q29">
        <f ca="1">Planned!L39*'Planned background (hide)'!Q$1</f>
        <v>0</v>
      </c>
      <c r="R29" s="5">
        <f ca="1">IF(Planned!$C$6="Overall",Planned!O39*'Planned background (hide)'!R$1,"")</f>
        <v>0</v>
      </c>
      <c r="S29" s="5">
        <f ca="1">IF(Planned!R39&lt;&gt;"Yes",IF(Planned!$C$6&lt;&gt;"Overall",SUM(OFFSET('Planned background (hide)'!H29,0,0,1,Num_Modalities)),'Planned background (hide)'!R29),"")</f>
        <v>0</v>
      </c>
      <c r="AB29">
        <f t="shared" si="0"/>
        <v>27</v>
      </c>
      <c r="AC29" s="37">
        <f>IF(Planned!$C$8=0,'Planned background (hide)'!F29,'Planned background (hide)'!G29)</f>
        <v>27</v>
      </c>
      <c r="AD29" s="37">
        <f t="shared" si="2"/>
        <v>0</v>
      </c>
      <c r="AE29" s="5">
        <f t="shared" ca="1" si="1"/>
        <v>0</v>
      </c>
      <c r="AF29" s="5">
        <f t="shared" ca="1" si="3"/>
        <v>140.5344827586207</v>
      </c>
      <c r="AG29">
        <f t="shared" ca="1" si="4"/>
        <v>57.375733675715331</v>
      </c>
      <c r="AH29" s="68">
        <f t="shared" ca="1" si="5"/>
        <v>0</v>
      </c>
      <c r="AI29" s="68">
        <f t="shared" ca="1" si="6"/>
        <v>25.783015407190035</v>
      </c>
      <c r="AJ29" s="68">
        <f t="shared" ca="1" si="7"/>
        <v>83.158749082905359</v>
      </c>
      <c r="AK29">
        <f t="shared" ca="1" si="8"/>
        <v>197.91021643433604</v>
      </c>
      <c r="AL29">
        <f t="shared" ca="1" si="9"/>
        <v>255.28595011005137</v>
      </c>
      <c r="AM29">
        <f t="shared" ca="1" si="10"/>
        <v>312.66168378576668</v>
      </c>
      <c r="AN29">
        <f t="shared" ca="1" si="11"/>
        <v>170.12068965517244</v>
      </c>
      <c r="AO29">
        <f t="shared" ca="1" si="12"/>
        <v>184.91379310344828</v>
      </c>
      <c r="AP29" t="e">
        <f t="shared" ca="1" si="13"/>
        <v>#N/A</v>
      </c>
      <c r="AQ29">
        <f t="shared" ca="1" si="18"/>
        <v>-1</v>
      </c>
      <c r="AR29">
        <f t="shared" ca="1" si="21"/>
        <v>0</v>
      </c>
      <c r="AS29">
        <f t="shared" ca="1" si="19"/>
        <v>0</v>
      </c>
      <c r="AT29" t="e">
        <f t="shared" ca="1" si="22"/>
        <v>#N/A</v>
      </c>
      <c r="AU29">
        <f t="shared" ca="1" si="14"/>
        <v>-1</v>
      </c>
      <c r="AV29">
        <f t="shared" ca="1" si="23"/>
        <v>0</v>
      </c>
      <c r="AW29" s="5">
        <f t="shared" ca="1" si="20"/>
        <v>0</v>
      </c>
      <c r="BH29" s="49" t="str">
        <f ca="1">IF(OR(Planned!B39=1,Planned!B39=""),AC29,Planned!B39)</f>
        <v xml:space="preserve"> </v>
      </c>
      <c r="BI29" t="str">
        <f ca="1">IF(TEXT(Planned!D39,"mmm")&lt;&gt;TEXT(Planned!D38,"mmm"),TEXT(Planned!D39,"mmm"),"")</f>
        <v/>
      </c>
      <c r="BK29" s="68"/>
    </row>
    <row r="30" spans="2:63" x14ac:dyDescent="0.2">
      <c r="B30" s="68">
        <f ca="1">IF(Planned!$C$6&lt;&gt;"Overall",COUNTBLANK(OFFSET(Planned!E41,0,0,1,Num_Modalities)),IF(COUNTBLANK(Planned!O41)=1,Num_Modalities,0))</f>
        <v>2</v>
      </c>
      <c r="C30">
        <f ca="1">SUM(OFFSET(Planned!$E41,0,0,1,Num_Modalities))</f>
        <v>0</v>
      </c>
      <c r="E30" s="68">
        <f t="shared" si="15"/>
        <v>28</v>
      </c>
      <c r="F30" s="37">
        <f t="shared" si="16"/>
        <v>28</v>
      </c>
      <c r="G30" s="69" t="str">
        <f t="shared" si="17"/>
        <v/>
      </c>
      <c r="H30">
        <f ca="1">Planned!E40*'Planned background (hide)'!H$1</f>
        <v>0</v>
      </c>
      <c r="I30">
        <f ca="1">Planned!F40*'Planned background (hide)'!I$1</f>
        <v>0</v>
      </c>
      <c r="J30">
        <f ca="1">Planned!G40*'Planned background (hide)'!J$1</f>
        <v>0</v>
      </c>
      <c r="K30">
        <f ca="1">Planned!H40*'Planned background (hide)'!K$1</f>
        <v>0</v>
      </c>
      <c r="L30">
        <f ca="1">Planned!I40*'Planned background (hide)'!L$1</f>
        <v>0</v>
      </c>
      <c r="M30">
        <f ca="1">Planned!J40*'Planned background (hide)'!M$1</f>
        <v>0</v>
      </c>
      <c r="N30">
        <f ca="1">Planned!K40*'Planned background (hide)'!N$1</f>
        <v>0</v>
      </c>
      <c r="O30">
        <f ca="1">Planned!J40*'Planned background (hide)'!O$1</f>
        <v>0</v>
      </c>
      <c r="P30">
        <f ca="1">Planned!K40*'Planned background (hide)'!P$1</f>
        <v>0</v>
      </c>
      <c r="Q30">
        <f ca="1">Planned!L40*'Planned background (hide)'!Q$1</f>
        <v>0</v>
      </c>
      <c r="R30" s="5">
        <f ca="1">IF(Planned!$C$6="Overall",Planned!O40*'Planned background (hide)'!R$1,"")</f>
        <v>0</v>
      </c>
      <c r="S30" s="5">
        <f ca="1">IF(Planned!R40&lt;&gt;"Yes",IF(Planned!$C$6&lt;&gt;"Overall",SUM(OFFSET('Planned background (hide)'!H30,0,0,1,Num_Modalities)),'Planned background (hide)'!R30),"")</f>
        <v>0</v>
      </c>
      <c r="AB30">
        <f t="shared" si="0"/>
        <v>28</v>
      </c>
      <c r="AC30" s="37">
        <f>IF(Planned!$C$8=0,'Planned background (hide)'!F30,'Planned background (hide)'!G30)</f>
        <v>28</v>
      </c>
      <c r="AD30" s="37">
        <f t="shared" si="2"/>
        <v>0</v>
      </c>
      <c r="AE30" s="5">
        <f t="shared" ca="1" si="1"/>
        <v>0</v>
      </c>
      <c r="AF30" s="5">
        <f t="shared" ca="1" si="3"/>
        <v>140.5344827586207</v>
      </c>
      <c r="AG30">
        <f t="shared" ca="1" si="4"/>
        <v>57.375733675715331</v>
      </c>
      <c r="AH30" s="68">
        <f t="shared" ca="1" si="5"/>
        <v>0</v>
      </c>
      <c r="AI30" s="68">
        <f t="shared" ca="1" si="6"/>
        <v>25.783015407190035</v>
      </c>
      <c r="AJ30" s="68">
        <f t="shared" ca="1" si="7"/>
        <v>83.158749082905359</v>
      </c>
      <c r="AK30">
        <f t="shared" ca="1" si="8"/>
        <v>197.91021643433604</v>
      </c>
      <c r="AL30">
        <f t="shared" ca="1" si="9"/>
        <v>255.28595011005137</v>
      </c>
      <c r="AM30">
        <f t="shared" ca="1" si="10"/>
        <v>312.66168378576668</v>
      </c>
      <c r="AN30">
        <f t="shared" ca="1" si="11"/>
        <v>170.12068965517244</v>
      </c>
      <c r="AO30">
        <f t="shared" ca="1" si="12"/>
        <v>184.91379310344828</v>
      </c>
      <c r="AP30" t="e">
        <f t="shared" ca="1" si="13"/>
        <v>#N/A</v>
      </c>
      <c r="AQ30">
        <f t="shared" ca="1" si="18"/>
        <v>-1</v>
      </c>
      <c r="AR30">
        <f t="shared" ca="1" si="21"/>
        <v>0</v>
      </c>
      <c r="AS30">
        <f t="shared" ca="1" si="19"/>
        <v>0</v>
      </c>
      <c r="AT30" t="e">
        <f t="shared" ca="1" si="22"/>
        <v>#N/A</v>
      </c>
      <c r="AU30">
        <f t="shared" ca="1" si="14"/>
        <v>-1</v>
      </c>
      <c r="AV30">
        <f t="shared" ca="1" si="23"/>
        <v>0</v>
      </c>
      <c r="AW30" s="5">
        <f t="shared" ca="1" si="20"/>
        <v>0</v>
      </c>
      <c r="BH30" s="49" t="str">
        <f ca="1">IF(OR(Planned!B40=1,Planned!B40=""),AC30,Planned!B40)</f>
        <v xml:space="preserve"> </v>
      </c>
      <c r="BI30" t="str">
        <f ca="1">IF(TEXT(Planned!D40,"mmm")&lt;&gt;TEXT(Planned!D39,"mmm"),TEXT(Planned!D40,"mmm"),"")</f>
        <v/>
      </c>
      <c r="BK30" s="68"/>
    </row>
    <row r="31" spans="2:63" x14ac:dyDescent="0.2">
      <c r="B31" s="68">
        <f ca="1">IF(Planned!$C$6&lt;&gt;"Overall",COUNTBLANK(OFFSET(Planned!E42,0,0,1,Num_Modalities)),IF(COUNTBLANK(Planned!O42)=1,Num_Modalities,0))</f>
        <v>2</v>
      </c>
      <c r="C31">
        <f ca="1">SUM(OFFSET(Planned!$E42,0,0,1,Num_Modalities))</f>
        <v>0</v>
      </c>
      <c r="E31" s="68">
        <f t="shared" si="15"/>
        <v>29</v>
      </c>
      <c r="F31" s="37">
        <f t="shared" si="16"/>
        <v>29</v>
      </c>
      <c r="G31" s="69" t="str">
        <f t="shared" si="17"/>
        <v/>
      </c>
      <c r="H31">
        <f ca="1">Planned!E41*'Planned background (hide)'!H$1</f>
        <v>0</v>
      </c>
      <c r="I31">
        <f ca="1">Planned!F41*'Planned background (hide)'!I$1</f>
        <v>0</v>
      </c>
      <c r="J31">
        <f ca="1">Planned!G41*'Planned background (hide)'!J$1</f>
        <v>0</v>
      </c>
      <c r="K31">
        <f ca="1">Planned!H41*'Planned background (hide)'!K$1</f>
        <v>0</v>
      </c>
      <c r="L31">
        <f ca="1">Planned!I41*'Planned background (hide)'!L$1</f>
        <v>0</v>
      </c>
      <c r="M31">
        <f ca="1">Planned!J41*'Planned background (hide)'!M$1</f>
        <v>0</v>
      </c>
      <c r="N31">
        <f ca="1">Planned!K41*'Planned background (hide)'!N$1</f>
        <v>0</v>
      </c>
      <c r="O31">
        <f ca="1">Planned!J41*'Planned background (hide)'!O$1</f>
        <v>0</v>
      </c>
      <c r="P31">
        <f ca="1">Planned!K41*'Planned background (hide)'!P$1</f>
        <v>0</v>
      </c>
      <c r="Q31">
        <f ca="1">Planned!L41*'Planned background (hide)'!Q$1</f>
        <v>0</v>
      </c>
      <c r="R31" s="5">
        <f ca="1">IF(Planned!$C$6="Overall",Planned!O41*'Planned background (hide)'!R$1,"")</f>
        <v>0</v>
      </c>
      <c r="S31" s="5">
        <f ca="1">IF(Planned!R41&lt;&gt;"Yes",IF(Planned!$C$6&lt;&gt;"Overall",SUM(OFFSET('Planned background (hide)'!H31,0,0,1,Num_Modalities)),'Planned background (hide)'!R31),"")</f>
        <v>0</v>
      </c>
      <c r="AB31">
        <f t="shared" si="0"/>
        <v>29</v>
      </c>
      <c r="AC31" s="37">
        <f>IF(Planned!$C$8=0,'Planned background (hide)'!F31,'Planned background (hide)'!G31)</f>
        <v>29</v>
      </c>
      <c r="AD31" s="37">
        <f t="shared" si="2"/>
        <v>0</v>
      </c>
      <c r="AE31" s="5">
        <f t="shared" ca="1" si="1"/>
        <v>0</v>
      </c>
      <c r="AF31" s="5">
        <f t="shared" ca="1" si="3"/>
        <v>140.5344827586207</v>
      </c>
      <c r="AG31">
        <f t="shared" ca="1" si="4"/>
        <v>57.375733675715331</v>
      </c>
      <c r="AH31" s="68">
        <f t="shared" ca="1" si="5"/>
        <v>0</v>
      </c>
      <c r="AI31" s="68">
        <f t="shared" ca="1" si="6"/>
        <v>25.783015407190035</v>
      </c>
      <c r="AJ31" s="68">
        <f t="shared" ca="1" si="7"/>
        <v>83.158749082905359</v>
      </c>
      <c r="AK31">
        <f t="shared" ca="1" si="8"/>
        <v>197.91021643433604</v>
      </c>
      <c r="AL31">
        <f t="shared" ca="1" si="9"/>
        <v>255.28595011005137</v>
      </c>
      <c r="AM31">
        <f t="shared" ca="1" si="10"/>
        <v>312.66168378576668</v>
      </c>
      <c r="AN31">
        <f t="shared" ca="1" si="11"/>
        <v>170.12068965517244</v>
      </c>
      <c r="AO31">
        <f t="shared" ca="1" si="12"/>
        <v>184.91379310344828</v>
      </c>
      <c r="AP31" t="e">
        <f t="shared" ca="1" si="13"/>
        <v>#N/A</v>
      </c>
      <c r="AQ31">
        <f t="shared" ca="1" si="18"/>
        <v>-1</v>
      </c>
      <c r="AR31">
        <f t="shared" ca="1" si="21"/>
        <v>0</v>
      </c>
      <c r="AS31">
        <f t="shared" ca="1" si="19"/>
        <v>0</v>
      </c>
      <c r="AT31" t="e">
        <f t="shared" ca="1" si="22"/>
        <v>#N/A</v>
      </c>
      <c r="AU31">
        <f t="shared" ca="1" si="14"/>
        <v>-1</v>
      </c>
      <c r="AV31">
        <f t="shared" ca="1" si="23"/>
        <v>0</v>
      </c>
      <c r="AW31" s="5">
        <f t="shared" ca="1" si="20"/>
        <v>0</v>
      </c>
      <c r="BH31" s="49" t="str">
        <f ca="1">IF(OR(Planned!B41=1,Planned!B41=""),AC31,Planned!B41)</f>
        <v xml:space="preserve"> </v>
      </c>
      <c r="BI31" t="str">
        <f ca="1">IF(TEXT(Planned!D41,"mmm")&lt;&gt;TEXT(Planned!D40,"mmm"),TEXT(Planned!D41,"mmm"),"")</f>
        <v/>
      </c>
      <c r="BK31" s="68"/>
    </row>
    <row r="32" spans="2:63" x14ac:dyDescent="0.2">
      <c r="B32" s="68">
        <f ca="1">IF(Planned!$C$6&lt;&gt;"Overall",COUNTBLANK(OFFSET(Planned!E43,0,0,1,Num_Modalities)),IF(COUNTBLANK(Planned!O43)=1,Num_Modalities,0))</f>
        <v>2</v>
      </c>
      <c r="C32">
        <f ca="1">SUM(OFFSET(Planned!$E43,0,0,1,Num_Modalities))</f>
        <v>0</v>
      </c>
      <c r="E32" s="68">
        <f t="shared" si="15"/>
        <v>30</v>
      </c>
      <c r="F32" s="37">
        <f t="shared" si="16"/>
        <v>30</v>
      </c>
      <c r="G32" s="69" t="str">
        <f t="shared" si="17"/>
        <v/>
      </c>
      <c r="H32">
        <f ca="1">Planned!E42*'Planned background (hide)'!H$1</f>
        <v>0</v>
      </c>
      <c r="I32">
        <f ca="1">Planned!F42*'Planned background (hide)'!I$1</f>
        <v>0</v>
      </c>
      <c r="J32">
        <f ca="1">Planned!G42*'Planned background (hide)'!J$1</f>
        <v>0</v>
      </c>
      <c r="K32">
        <f ca="1">Planned!H42*'Planned background (hide)'!K$1</f>
        <v>0</v>
      </c>
      <c r="L32">
        <f ca="1">Planned!I42*'Planned background (hide)'!L$1</f>
        <v>0</v>
      </c>
      <c r="M32">
        <f ca="1">Planned!J42*'Planned background (hide)'!M$1</f>
        <v>0</v>
      </c>
      <c r="N32">
        <f ca="1">Planned!K42*'Planned background (hide)'!N$1</f>
        <v>0</v>
      </c>
      <c r="O32">
        <f ca="1">Planned!J42*'Planned background (hide)'!O$1</f>
        <v>0</v>
      </c>
      <c r="P32">
        <f ca="1">Planned!K42*'Planned background (hide)'!P$1</f>
        <v>0</v>
      </c>
      <c r="Q32">
        <f ca="1">Planned!L42*'Planned background (hide)'!Q$1</f>
        <v>0</v>
      </c>
      <c r="R32" s="5">
        <f ca="1">IF(Planned!$C$6="Overall",Planned!O42*'Planned background (hide)'!R$1,"")</f>
        <v>0</v>
      </c>
      <c r="S32" s="5">
        <f ca="1">IF(Planned!R42&lt;&gt;"Yes",IF(Planned!$C$6&lt;&gt;"Overall",SUM(OFFSET('Planned background (hide)'!H32,0,0,1,Num_Modalities)),'Planned background (hide)'!R32),"")</f>
        <v>0</v>
      </c>
      <c r="AB32">
        <f t="shared" si="0"/>
        <v>30</v>
      </c>
      <c r="AC32" s="37">
        <f>IF(Planned!$C$8=0,'Planned background (hide)'!F32,'Planned background (hide)'!G32)</f>
        <v>30</v>
      </c>
      <c r="AD32" s="37">
        <f t="shared" si="2"/>
        <v>0</v>
      </c>
      <c r="AE32" s="5">
        <f t="shared" ca="1" si="1"/>
        <v>0</v>
      </c>
      <c r="AF32" s="5">
        <f t="shared" ca="1" si="3"/>
        <v>140.5344827586207</v>
      </c>
      <c r="AG32">
        <f t="shared" ca="1" si="4"/>
        <v>57.375733675715331</v>
      </c>
      <c r="AH32" s="68">
        <f t="shared" ca="1" si="5"/>
        <v>0</v>
      </c>
      <c r="AI32" s="68">
        <f t="shared" ca="1" si="6"/>
        <v>25.783015407190035</v>
      </c>
      <c r="AJ32" s="68">
        <f t="shared" ca="1" si="7"/>
        <v>83.158749082905359</v>
      </c>
      <c r="AK32">
        <f t="shared" ca="1" si="8"/>
        <v>197.91021643433604</v>
      </c>
      <c r="AL32">
        <f t="shared" ca="1" si="9"/>
        <v>255.28595011005137</v>
      </c>
      <c r="AM32">
        <f t="shared" ca="1" si="10"/>
        <v>312.66168378576668</v>
      </c>
      <c r="AN32">
        <f t="shared" ca="1" si="11"/>
        <v>170.12068965517244</v>
      </c>
      <c r="AO32">
        <f t="shared" ca="1" si="12"/>
        <v>184.91379310344828</v>
      </c>
      <c r="AP32" t="e">
        <f t="shared" ca="1" si="13"/>
        <v>#N/A</v>
      </c>
      <c r="AQ32">
        <f t="shared" ca="1" si="18"/>
        <v>-1</v>
      </c>
      <c r="AR32">
        <f t="shared" ca="1" si="21"/>
        <v>0</v>
      </c>
      <c r="AS32">
        <f t="shared" ca="1" si="19"/>
        <v>0</v>
      </c>
      <c r="AT32" t="e">
        <f t="shared" ca="1" si="22"/>
        <v>#N/A</v>
      </c>
      <c r="AU32">
        <f t="shared" ca="1" si="14"/>
        <v>-1</v>
      </c>
      <c r="AV32">
        <f t="shared" ca="1" si="23"/>
        <v>0</v>
      </c>
      <c r="AW32" s="5">
        <f t="shared" ca="1" si="20"/>
        <v>0</v>
      </c>
      <c r="BH32" s="49" t="str">
        <f ca="1">IF(OR(Planned!B42=1,Planned!B42=""),AC32,Planned!B42)</f>
        <v xml:space="preserve"> </v>
      </c>
      <c r="BI32" t="str">
        <f ca="1">IF(TEXT(Planned!D42,"mmm")&lt;&gt;TEXT(Planned!D41,"mmm"),TEXT(Planned!D42,"mmm"),"")</f>
        <v/>
      </c>
      <c r="BK32" s="68"/>
    </row>
    <row r="33" spans="2:63" x14ac:dyDescent="0.2">
      <c r="B33" s="68">
        <f ca="1">IF(Planned!$C$6&lt;&gt;"Overall",COUNTBLANK(OFFSET(Planned!E44,0,0,1,Num_Modalities)),IF(COUNTBLANK(Planned!O44)=1,Num_Modalities,0))</f>
        <v>2</v>
      </c>
      <c r="C33">
        <f ca="1">SUM(OFFSET(Planned!$E44,0,0,1,Num_Modalities))</f>
        <v>0</v>
      </c>
      <c r="E33" s="68">
        <f t="shared" si="15"/>
        <v>31</v>
      </c>
      <c r="F33" s="37">
        <f t="shared" si="16"/>
        <v>31</v>
      </c>
      <c r="G33" s="69" t="str">
        <f t="shared" si="17"/>
        <v/>
      </c>
      <c r="H33">
        <f ca="1">Planned!E43*'Planned background (hide)'!H$1</f>
        <v>0</v>
      </c>
      <c r="I33">
        <f ca="1">Planned!F43*'Planned background (hide)'!I$1</f>
        <v>0</v>
      </c>
      <c r="J33">
        <f ca="1">Planned!G43*'Planned background (hide)'!J$1</f>
        <v>0</v>
      </c>
      <c r="K33">
        <f ca="1">Planned!H43*'Planned background (hide)'!K$1</f>
        <v>0</v>
      </c>
      <c r="L33">
        <f ca="1">Planned!I43*'Planned background (hide)'!L$1</f>
        <v>0</v>
      </c>
      <c r="M33">
        <f ca="1">Planned!J43*'Planned background (hide)'!M$1</f>
        <v>0</v>
      </c>
      <c r="N33">
        <f ca="1">Planned!K43*'Planned background (hide)'!N$1</f>
        <v>0</v>
      </c>
      <c r="O33">
        <f ca="1">Planned!J43*'Planned background (hide)'!O$1</f>
        <v>0</v>
      </c>
      <c r="P33">
        <f ca="1">Planned!K43*'Planned background (hide)'!P$1</f>
        <v>0</v>
      </c>
      <c r="Q33">
        <f ca="1">Planned!L43*'Planned background (hide)'!Q$1</f>
        <v>0</v>
      </c>
      <c r="R33" s="5">
        <f ca="1">IF(Planned!$C$6="Overall",Planned!O43*'Planned background (hide)'!R$1,"")</f>
        <v>0</v>
      </c>
      <c r="S33" s="5">
        <f ca="1">IF(Planned!R43&lt;&gt;"Yes",IF(Planned!$C$6&lt;&gt;"Overall",SUM(OFFSET('Planned background (hide)'!H33,0,0,1,Num_Modalities)),'Planned background (hide)'!R33),"")</f>
        <v>0</v>
      </c>
      <c r="AB33">
        <f t="shared" si="0"/>
        <v>31</v>
      </c>
      <c r="AC33" s="37">
        <f>IF(Planned!$C$8=0,'Planned background (hide)'!F33,'Planned background (hide)'!G33)</f>
        <v>31</v>
      </c>
      <c r="AD33" s="37">
        <f t="shared" si="2"/>
        <v>0</v>
      </c>
      <c r="AE33" s="5">
        <f t="shared" ca="1" si="1"/>
        <v>0</v>
      </c>
      <c r="AF33" s="5">
        <f t="shared" ca="1" si="3"/>
        <v>140.5344827586207</v>
      </c>
      <c r="AG33">
        <f t="shared" ca="1" si="4"/>
        <v>57.375733675715331</v>
      </c>
      <c r="AH33" s="68">
        <f t="shared" ca="1" si="5"/>
        <v>0</v>
      </c>
      <c r="AI33" s="68">
        <f t="shared" ca="1" si="6"/>
        <v>25.783015407190035</v>
      </c>
      <c r="AJ33" s="68">
        <f t="shared" ca="1" si="7"/>
        <v>83.158749082905359</v>
      </c>
      <c r="AK33">
        <f t="shared" ca="1" si="8"/>
        <v>197.91021643433604</v>
      </c>
      <c r="AL33">
        <f t="shared" ca="1" si="9"/>
        <v>255.28595011005137</v>
      </c>
      <c r="AM33">
        <f t="shared" ca="1" si="10"/>
        <v>312.66168378576668</v>
      </c>
      <c r="AN33">
        <f t="shared" ca="1" si="11"/>
        <v>170.12068965517244</v>
      </c>
      <c r="AO33">
        <f t="shared" ca="1" si="12"/>
        <v>184.91379310344828</v>
      </c>
      <c r="AP33" t="e">
        <f t="shared" ca="1" si="13"/>
        <v>#N/A</v>
      </c>
      <c r="AQ33">
        <f t="shared" ca="1" si="18"/>
        <v>-1</v>
      </c>
      <c r="AR33">
        <f t="shared" ca="1" si="21"/>
        <v>0</v>
      </c>
      <c r="AS33">
        <f t="shared" ca="1" si="19"/>
        <v>0</v>
      </c>
      <c r="AT33" t="e">
        <f t="shared" ca="1" si="22"/>
        <v>#N/A</v>
      </c>
      <c r="AU33">
        <f t="shared" ca="1" si="14"/>
        <v>-1</v>
      </c>
      <c r="AV33">
        <f t="shared" ca="1" si="23"/>
        <v>0</v>
      </c>
      <c r="AW33" s="5">
        <f t="shared" ca="1" si="20"/>
        <v>0</v>
      </c>
      <c r="BH33" s="49" t="str">
        <f ca="1">IF(OR(Planned!B43=1,Planned!B43=""),AC33,Planned!B43)</f>
        <v xml:space="preserve"> </v>
      </c>
      <c r="BI33" t="str">
        <f ca="1">IF(TEXT(Planned!D43,"mmm")&lt;&gt;TEXT(Planned!D42,"mmm"),TEXT(Planned!D43,"mmm"),"")</f>
        <v/>
      </c>
      <c r="BK33" s="68"/>
    </row>
    <row r="34" spans="2:63" x14ac:dyDescent="0.2">
      <c r="B34" s="68">
        <f ca="1">IF(Planned!$C$6&lt;&gt;"Overall",COUNTBLANK(OFFSET(Planned!E45,0,0,1,Num_Modalities)),IF(COUNTBLANK(Planned!O45)=1,Num_Modalities,0))</f>
        <v>2</v>
      </c>
      <c r="C34">
        <f ca="1">SUM(OFFSET(Planned!$E45,0,0,1,Num_Modalities))</f>
        <v>0</v>
      </c>
      <c r="E34" s="68">
        <f t="shared" si="15"/>
        <v>32</v>
      </c>
      <c r="F34" s="37">
        <f t="shared" si="16"/>
        <v>32</v>
      </c>
      <c r="G34" s="69" t="str">
        <f t="shared" si="17"/>
        <v/>
      </c>
      <c r="H34">
        <f ca="1">Planned!E44*'Planned background (hide)'!H$1</f>
        <v>0</v>
      </c>
      <c r="I34">
        <f ca="1">Planned!F44*'Planned background (hide)'!I$1</f>
        <v>0</v>
      </c>
      <c r="J34">
        <f ca="1">Planned!G44*'Planned background (hide)'!J$1</f>
        <v>0</v>
      </c>
      <c r="K34">
        <f ca="1">Planned!H44*'Planned background (hide)'!K$1</f>
        <v>0</v>
      </c>
      <c r="L34">
        <f ca="1">Planned!I44*'Planned background (hide)'!L$1</f>
        <v>0</v>
      </c>
      <c r="M34">
        <f ca="1">Planned!J44*'Planned background (hide)'!M$1</f>
        <v>0</v>
      </c>
      <c r="N34">
        <f ca="1">Planned!K44*'Planned background (hide)'!N$1</f>
        <v>0</v>
      </c>
      <c r="O34">
        <f ca="1">Planned!J44*'Planned background (hide)'!O$1</f>
        <v>0</v>
      </c>
      <c r="P34">
        <f ca="1">Planned!K44*'Planned background (hide)'!P$1</f>
        <v>0</v>
      </c>
      <c r="Q34">
        <f ca="1">Planned!L44*'Planned background (hide)'!Q$1</f>
        <v>0</v>
      </c>
      <c r="R34" s="5">
        <f ca="1">IF(Planned!$C$6="Overall",Planned!O44*'Planned background (hide)'!R$1,"")</f>
        <v>0</v>
      </c>
      <c r="S34" s="5">
        <f ca="1">IF(Planned!R44&lt;&gt;"Yes",IF(Planned!$C$6&lt;&gt;"Overall",SUM(OFFSET('Planned background (hide)'!H34,0,0,1,Num_Modalities)),'Planned background (hide)'!R34),"")</f>
        <v>0</v>
      </c>
      <c r="AB34">
        <f t="shared" ref="AB34:AB52" si="24">E34</f>
        <v>32</v>
      </c>
      <c r="AC34" s="37">
        <f>IF(Planned!$C$8=0,'Planned background (hide)'!F34,'Planned background (hide)'!G34)</f>
        <v>32</v>
      </c>
      <c r="AD34" s="37">
        <f t="shared" si="2"/>
        <v>0</v>
      </c>
      <c r="AE34" s="5">
        <f t="shared" ca="1" si="1"/>
        <v>0</v>
      </c>
      <c r="AF34" s="5">
        <f t="shared" ca="1" si="3"/>
        <v>140.5344827586207</v>
      </c>
      <c r="AG34">
        <f t="shared" ca="1" si="4"/>
        <v>57.375733675715331</v>
      </c>
      <c r="AH34" s="68">
        <f t="shared" ca="1" si="5"/>
        <v>0</v>
      </c>
      <c r="AI34" s="68">
        <f t="shared" ca="1" si="6"/>
        <v>25.783015407190035</v>
      </c>
      <c r="AJ34" s="68">
        <f t="shared" ca="1" si="7"/>
        <v>83.158749082905359</v>
      </c>
      <c r="AK34">
        <f t="shared" ca="1" si="8"/>
        <v>197.91021643433604</v>
      </c>
      <c r="AL34">
        <f t="shared" ca="1" si="9"/>
        <v>255.28595011005137</v>
      </c>
      <c r="AM34">
        <f t="shared" ca="1" si="10"/>
        <v>312.66168378576668</v>
      </c>
      <c r="AN34">
        <f t="shared" ca="1" si="11"/>
        <v>170.12068965517244</v>
      </c>
      <c r="AO34">
        <f t="shared" ca="1" si="12"/>
        <v>184.91379310344828</v>
      </c>
      <c r="AP34" t="e">
        <f t="shared" ca="1" si="13"/>
        <v>#N/A</v>
      </c>
      <c r="AQ34">
        <f t="shared" ca="1" si="18"/>
        <v>-1</v>
      </c>
      <c r="AR34">
        <f t="shared" ca="1" si="21"/>
        <v>0</v>
      </c>
      <c r="AS34">
        <f t="shared" ca="1" si="19"/>
        <v>0</v>
      </c>
      <c r="AT34" t="e">
        <f t="shared" ca="1" si="22"/>
        <v>#N/A</v>
      </c>
      <c r="AU34">
        <f t="shared" ca="1" si="14"/>
        <v>-1</v>
      </c>
      <c r="AV34">
        <f t="shared" ca="1" si="23"/>
        <v>0</v>
      </c>
      <c r="AW34" s="5">
        <f t="shared" ca="1" si="20"/>
        <v>0</v>
      </c>
      <c r="BH34" s="49" t="str">
        <f ca="1">IF(OR(Planned!B44=1,Planned!B44=""),AC34,Planned!B44)</f>
        <v xml:space="preserve"> </v>
      </c>
      <c r="BI34" t="str">
        <f ca="1">IF(TEXT(Planned!D44,"mmm")&lt;&gt;TEXT(Planned!D43,"mmm"),TEXT(Planned!D44,"mmm"),"")</f>
        <v/>
      </c>
      <c r="BK34" s="68"/>
    </row>
    <row r="35" spans="2:63" x14ac:dyDescent="0.2">
      <c r="B35" s="68">
        <f ca="1">IF(Planned!$C$6&lt;&gt;"Overall",COUNTBLANK(OFFSET(Planned!E46,0,0,1,Num_Modalities)),IF(COUNTBLANK(Planned!O46)=1,Num_Modalities,0))</f>
        <v>2</v>
      </c>
      <c r="C35">
        <f ca="1">SUM(OFFSET(Planned!$E46,0,0,1,Num_Modalities))</f>
        <v>0</v>
      </c>
      <c r="E35" s="68">
        <f t="shared" si="15"/>
        <v>33</v>
      </c>
      <c r="F35" s="37">
        <f t="shared" si="16"/>
        <v>33</v>
      </c>
      <c r="G35" s="69" t="str">
        <f t="shared" si="17"/>
        <v/>
      </c>
      <c r="H35">
        <f ca="1">Planned!E45*'Planned background (hide)'!H$1</f>
        <v>0</v>
      </c>
      <c r="I35">
        <f ca="1">Planned!F45*'Planned background (hide)'!I$1</f>
        <v>0</v>
      </c>
      <c r="J35">
        <f ca="1">Planned!G45*'Planned background (hide)'!J$1</f>
        <v>0</v>
      </c>
      <c r="K35">
        <f ca="1">Planned!H45*'Planned background (hide)'!K$1</f>
        <v>0</v>
      </c>
      <c r="L35">
        <f ca="1">Planned!I45*'Planned background (hide)'!L$1</f>
        <v>0</v>
      </c>
      <c r="M35">
        <f ca="1">Planned!J45*'Planned background (hide)'!M$1</f>
        <v>0</v>
      </c>
      <c r="N35">
        <f ca="1">Planned!K45*'Planned background (hide)'!N$1</f>
        <v>0</v>
      </c>
      <c r="O35">
        <f ca="1">Planned!J45*'Planned background (hide)'!O$1</f>
        <v>0</v>
      </c>
      <c r="P35">
        <f ca="1">Planned!K45*'Planned background (hide)'!P$1</f>
        <v>0</v>
      </c>
      <c r="Q35">
        <f ca="1">Planned!L45*'Planned background (hide)'!Q$1</f>
        <v>0</v>
      </c>
      <c r="R35" s="5">
        <f ca="1">IF(Planned!$C$6="Overall",Planned!O45*'Planned background (hide)'!R$1,"")</f>
        <v>0</v>
      </c>
      <c r="S35" s="5">
        <f ca="1">IF(Planned!R45&lt;&gt;"Yes",IF(Planned!$C$6&lt;&gt;"Overall",SUM(OFFSET('Planned background (hide)'!H35,0,0,1,Num_Modalities)),'Planned background (hide)'!R35),"")</f>
        <v>0</v>
      </c>
      <c r="AB35">
        <f t="shared" si="24"/>
        <v>33</v>
      </c>
      <c r="AC35" s="37">
        <f>IF(Planned!$C$8=0,'Planned background (hide)'!F35,'Planned background (hide)'!G35)</f>
        <v>33</v>
      </c>
      <c r="AD35" s="37">
        <f t="shared" si="2"/>
        <v>0</v>
      </c>
      <c r="AE35" s="5">
        <f t="shared" ref="AE35:AE54" ca="1" si="25">S35</f>
        <v>0</v>
      </c>
      <c r="AF35" s="5">
        <f t="shared" ca="1" si="3"/>
        <v>140.5344827586207</v>
      </c>
      <c r="AG35">
        <f t="shared" ca="1" si="4"/>
        <v>57.375733675715331</v>
      </c>
      <c r="AH35" s="68">
        <f t="shared" ca="1" si="5"/>
        <v>0</v>
      </c>
      <c r="AI35" s="68">
        <f t="shared" ca="1" si="6"/>
        <v>25.783015407190035</v>
      </c>
      <c r="AJ35" s="68">
        <f t="shared" ca="1" si="7"/>
        <v>83.158749082905359</v>
      </c>
      <c r="AK35">
        <f t="shared" ca="1" si="8"/>
        <v>197.91021643433604</v>
      </c>
      <c r="AL35">
        <f t="shared" ca="1" si="9"/>
        <v>255.28595011005137</v>
      </c>
      <c r="AM35">
        <f t="shared" ca="1" si="10"/>
        <v>312.66168378576668</v>
      </c>
      <c r="AN35">
        <f t="shared" ca="1" si="11"/>
        <v>170.12068965517244</v>
      </c>
      <c r="AO35">
        <f t="shared" ca="1" si="12"/>
        <v>184.91379310344828</v>
      </c>
      <c r="AP35" t="e">
        <f t="shared" ca="1" si="13"/>
        <v>#N/A</v>
      </c>
      <c r="AQ35">
        <f t="shared" ca="1" si="18"/>
        <v>-1</v>
      </c>
      <c r="AR35">
        <f t="shared" ca="1" si="21"/>
        <v>0</v>
      </c>
      <c r="AS35">
        <f t="shared" ca="1" si="19"/>
        <v>0</v>
      </c>
      <c r="AT35" t="e">
        <f t="shared" ca="1" si="22"/>
        <v>#N/A</v>
      </c>
      <c r="AU35">
        <f t="shared" ca="1" si="14"/>
        <v>-1</v>
      </c>
      <c r="AV35">
        <f t="shared" ca="1" si="23"/>
        <v>0</v>
      </c>
      <c r="AW35" s="5">
        <f t="shared" ca="1" si="20"/>
        <v>0</v>
      </c>
      <c r="BH35" s="49" t="str">
        <f ca="1">IF(OR(Planned!B45=1,Planned!B45=""),AC35,Planned!B45)</f>
        <v xml:space="preserve"> </v>
      </c>
      <c r="BI35" t="str">
        <f ca="1">IF(TEXT(Planned!D45,"mmm")&lt;&gt;TEXT(Planned!D44,"mmm"),TEXT(Planned!D45,"mmm"),"")</f>
        <v/>
      </c>
      <c r="BK35" s="68"/>
    </row>
    <row r="36" spans="2:63" x14ac:dyDescent="0.2">
      <c r="B36" s="68">
        <f ca="1">IF(Planned!$C$6&lt;&gt;"Overall",COUNTBLANK(OFFSET(Planned!E47,0,0,1,Num_Modalities)),IF(COUNTBLANK(Planned!O47)=1,Num_Modalities,0))</f>
        <v>2</v>
      </c>
      <c r="C36">
        <f ca="1">SUM(OFFSET(Planned!$E47,0,0,1,Num_Modalities))</f>
        <v>0</v>
      </c>
      <c r="E36" s="68">
        <f t="shared" si="15"/>
        <v>34</v>
      </c>
      <c r="F36" s="37">
        <f t="shared" si="16"/>
        <v>34</v>
      </c>
      <c r="G36" s="69" t="str">
        <f t="shared" si="17"/>
        <v/>
      </c>
      <c r="H36">
        <f ca="1">Planned!E46*'Planned background (hide)'!H$1</f>
        <v>0</v>
      </c>
      <c r="I36">
        <f ca="1">Planned!F46*'Planned background (hide)'!I$1</f>
        <v>0</v>
      </c>
      <c r="J36">
        <f ca="1">Planned!G46*'Planned background (hide)'!J$1</f>
        <v>0</v>
      </c>
      <c r="K36">
        <f ca="1">Planned!H46*'Planned background (hide)'!K$1</f>
        <v>0</v>
      </c>
      <c r="L36">
        <f ca="1">Planned!I46*'Planned background (hide)'!L$1</f>
        <v>0</v>
      </c>
      <c r="M36">
        <f ca="1">Planned!J46*'Planned background (hide)'!M$1</f>
        <v>0</v>
      </c>
      <c r="N36">
        <f ca="1">Planned!K46*'Planned background (hide)'!N$1</f>
        <v>0</v>
      </c>
      <c r="O36">
        <f ca="1">Planned!J46*'Planned background (hide)'!O$1</f>
        <v>0</v>
      </c>
      <c r="P36">
        <f ca="1">Planned!K46*'Planned background (hide)'!P$1</f>
        <v>0</v>
      </c>
      <c r="Q36">
        <f ca="1">Planned!L46*'Planned background (hide)'!Q$1</f>
        <v>0</v>
      </c>
      <c r="R36" s="5">
        <f ca="1">IF(Planned!$C$6="Overall",Planned!O46*'Planned background (hide)'!R$1,"")</f>
        <v>0</v>
      </c>
      <c r="S36" s="5">
        <f ca="1">IF(Planned!R46&lt;&gt;"Yes",IF(Planned!$C$6&lt;&gt;"Overall",SUM(OFFSET('Planned background (hide)'!H36,0,0,1,Num_Modalities)),'Planned background (hide)'!R36),"")</f>
        <v>0</v>
      </c>
      <c r="AB36">
        <f t="shared" si="24"/>
        <v>34</v>
      </c>
      <c r="AC36" s="37">
        <f>IF(Planned!$C$8=0,'Planned background (hide)'!F36,'Planned background (hide)'!G36)</f>
        <v>34</v>
      </c>
      <c r="AD36" s="37">
        <f t="shared" si="2"/>
        <v>0</v>
      </c>
      <c r="AE36" s="5">
        <f t="shared" ca="1" si="25"/>
        <v>0</v>
      </c>
      <c r="AF36" s="5">
        <f t="shared" ca="1" si="3"/>
        <v>140.5344827586207</v>
      </c>
      <c r="AG36">
        <f t="shared" ca="1" si="4"/>
        <v>57.375733675715331</v>
      </c>
      <c r="AH36" s="68">
        <f t="shared" ca="1" si="5"/>
        <v>0</v>
      </c>
      <c r="AI36" s="68">
        <f t="shared" ca="1" si="6"/>
        <v>25.783015407190035</v>
      </c>
      <c r="AJ36" s="68">
        <f t="shared" ca="1" si="7"/>
        <v>83.158749082905359</v>
      </c>
      <c r="AK36">
        <f t="shared" ca="1" si="8"/>
        <v>197.91021643433604</v>
      </c>
      <c r="AL36">
        <f t="shared" ca="1" si="9"/>
        <v>255.28595011005137</v>
      </c>
      <c r="AM36">
        <f t="shared" ca="1" si="10"/>
        <v>312.66168378576668</v>
      </c>
      <c r="AN36">
        <f t="shared" ca="1" si="11"/>
        <v>170.12068965517244</v>
      </c>
      <c r="AO36">
        <f t="shared" ca="1" si="12"/>
        <v>184.91379310344828</v>
      </c>
      <c r="AP36" t="e">
        <f t="shared" ca="1" si="13"/>
        <v>#N/A</v>
      </c>
      <c r="AQ36">
        <f t="shared" ca="1" si="18"/>
        <v>-1</v>
      </c>
      <c r="AR36">
        <f t="shared" ca="1" si="21"/>
        <v>0</v>
      </c>
      <c r="AS36">
        <f t="shared" ca="1" si="19"/>
        <v>0</v>
      </c>
      <c r="AT36" t="e">
        <f t="shared" ca="1" si="22"/>
        <v>#N/A</v>
      </c>
      <c r="AU36">
        <f t="shared" ca="1" si="14"/>
        <v>-1</v>
      </c>
      <c r="AV36">
        <f t="shared" ca="1" si="23"/>
        <v>0</v>
      </c>
      <c r="AW36" s="5">
        <f t="shared" ca="1" si="20"/>
        <v>0</v>
      </c>
      <c r="BH36" s="49" t="str">
        <f ca="1">IF(OR(Planned!B46=1,Planned!B46=""),AC36,Planned!B46)</f>
        <v xml:space="preserve"> </v>
      </c>
      <c r="BI36" t="str">
        <f ca="1">IF(TEXT(Planned!D46,"mmm")&lt;&gt;TEXT(Planned!D45,"mmm"),TEXT(Planned!D46,"mmm"),"")</f>
        <v/>
      </c>
      <c r="BK36" s="68"/>
    </row>
    <row r="37" spans="2:63" x14ac:dyDescent="0.2">
      <c r="B37" s="68">
        <f ca="1">IF(Planned!$C$6&lt;&gt;"Overall",COUNTBLANK(OFFSET(Planned!E48,0,0,1,Num_Modalities)),IF(COUNTBLANK(Planned!O48)=1,Num_Modalities,0))</f>
        <v>2</v>
      </c>
      <c r="C37">
        <f ca="1">SUM(OFFSET(Planned!$E48,0,0,1,Num_Modalities))</f>
        <v>0</v>
      </c>
      <c r="E37" s="68">
        <f t="shared" si="15"/>
        <v>35</v>
      </c>
      <c r="F37" s="37">
        <f t="shared" si="16"/>
        <v>35</v>
      </c>
      <c r="G37" s="69" t="str">
        <f t="shared" si="17"/>
        <v/>
      </c>
      <c r="H37">
        <f ca="1">Planned!E47*'Planned background (hide)'!H$1</f>
        <v>0</v>
      </c>
      <c r="I37">
        <f ca="1">Planned!F47*'Planned background (hide)'!I$1</f>
        <v>0</v>
      </c>
      <c r="J37">
        <f ca="1">Planned!G47*'Planned background (hide)'!J$1</f>
        <v>0</v>
      </c>
      <c r="K37">
        <f ca="1">Planned!H47*'Planned background (hide)'!K$1</f>
        <v>0</v>
      </c>
      <c r="L37">
        <f ca="1">Planned!I47*'Planned background (hide)'!L$1</f>
        <v>0</v>
      </c>
      <c r="M37">
        <f ca="1">Planned!J47*'Planned background (hide)'!M$1</f>
        <v>0</v>
      </c>
      <c r="N37">
        <f ca="1">Planned!K47*'Planned background (hide)'!N$1</f>
        <v>0</v>
      </c>
      <c r="O37">
        <f ca="1">Planned!J47*'Planned background (hide)'!O$1</f>
        <v>0</v>
      </c>
      <c r="P37">
        <f ca="1">Planned!K47*'Planned background (hide)'!P$1</f>
        <v>0</v>
      </c>
      <c r="Q37">
        <f ca="1">Planned!L47*'Planned background (hide)'!Q$1</f>
        <v>0</v>
      </c>
      <c r="R37" s="5">
        <f ca="1">IF(Planned!$C$6="Overall",Planned!O47*'Planned background (hide)'!R$1,"")</f>
        <v>0</v>
      </c>
      <c r="S37" s="5">
        <f ca="1">IF(Planned!R47&lt;&gt;"Yes",IF(Planned!$C$6&lt;&gt;"Overall",SUM(OFFSET('Planned background (hide)'!H37,0,0,1,Num_Modalities)),'Planned background (hide)'!R37),"")</f>
        <v>0</v>
      </c>
      <c r="AB37">
        <f t="shared" si="24"/>
        <v>35</v>
      </c>
      <c r="AC37" s="37">
        <f>IF(Planned!$C$8=0,'Planned background (hide)'!F37,'Planned background (hide)'!G37)</f>
        <v>35</v>
      </c>
      <c r="AD37" s="37">
        <f t="shared" si="2"/>
        <v>0</v>
      </c>
      <c r="AE37" s="5">
        <f t="shared" ca="1" si="25"/>
        <v>0</v>
      </c>
      <c r="AF37" s="5">
        <f t="shared" ca="1" si="3"/>
        <v>140.5344827586207</v>
      </c>
      <c r="AG37">
        <f t="shared" ca="1" si="4"/>
        <v>57.375733675715331</v>
      </c>
      <c r="AH37" s="68">
        <f t="shared" ca="1" si="5"/>
        <v>0</v>
      </c>
      <c r="AI37" s="68">
        <f t="shared" ca="1" si="6"/>
        <v>25.783015407190035</v>
      </c>
      <c r="AJ37" s="68">
        <f t="shared" ca="1" si="7"/>
        <v>83.158749082905359</v>
      </c>
      <c r="AK37">
        <f t="shared" ca="1" si="8"/>
        <v>197.91021643433604</v>
      </c>
      <c r="AL37">
        <f t="shared" ca="1" si="9"/>
        <v>255.28595011005137</v>
      </c>
      <c r="AM37">
        <f t="shared" ca="1" si="10"/>
        <v>312.66168378576668</v>
      </c>
      <c r="AN37">
        <f t="shared" ca="1" si="11"/>
        <v>170.12068965517244</v>
      </c>
      <c r="AO37">
        <f t="shared" ca="1" si="12"/>
        <v>184.91379310344828</v>
      </c>
      <c r="AP37" t="e">
        <f t="shared" ca="1" si="13"/>
        <v>#N/A</v>
      </c>
      <c r="AQ37">
        <f t="shared" ca="1" si="18"/>
        <v>-1</v>
      </c>
      <c r="AR37">
        <f t="shared" ca="1" si="21"/>
        <v>0</v>
      </c>
      <c r="AS37">
        <f t="shared" ca="1" si="19"/>
        <v>0</v>
      </c>
      <c r="AT37" t="e">
        <f t="shared" ca="1" si="22"/>
        <v>#N/A</v>
      </c>
      <c r="AU37">
        <f t="shared" ca="1" si="14"/>
        <v>-1</v>
      </c>
      <c r="AV37">
        <f t="shared" ca="1" si="23"/>
        <v>0</v>
      </c>
      <c r="AW37" s="5">
        <f t="shared" ca="1" si="20"/>
        <v>0</v>
      </c>
      <c r="BH37" s="49" t="str">
        <f ca="1">IF(OR(Planned!B47=1,Planned!B47=""),AC37,Planned!B47)</f>
        <v xml:space="preserve"> </v>
      </c>
      <c r="BI37" t="str">
        <f ca="1">IF(TEXT(Planned!D47,"mmm")&lt;&gt;TEXT(Planned!D46,"mmm"),TEXT(Planned!D47,"mmm"),"")</f>
        <v/>
      </c>
      <c r="BK37" s="68"/>
    </row>
    <row r="38" spans="2:63" x14ac:dyDescent="0.2">
      <c r="B38" s="68">
        <f ca="1">IF(Planned!$C$6&lt;&gt;"Overall",COUNTBLANK(OFFSET(Planned!E49,0,0,1,Num_Modalities)),IF(COUNTBLANK(Planned!O49)=1,Num_Modalities,0))</f>
        <v>2</v>
      </c>
      <c r="C38">
        <f ca="1">SUM(OFFSET(Planned!$E49,0,0,1,Num_Modalities))</f>
        <v>0</v>
      </c>
      <c r="E38" s="68">
        <f t="shared" si="15"/>
        <v>36</v>
      </c>
      <c r="F38" s="37">
        <f t="shared" si="16"/>
        <v>36</v>
      </c>
      <c r="G38" s="69" t="str">
        <f t="shared" si="17"/>
        <v/>
      </c>
      <c r="H38">
        <f ca="1">Planned!E48*'Planned background (hide)'!H$1</f>
        <v>0</v>
      </c>
      <c r="I38">
        <f ca="1">Planned!F48*'Planned background (hide)'!I$1</f>
        <v>0</v>
      </c>
      <c r="J38">
        <f ca="1">Planned!G48*'Planned background (hide)'!J$1</f>
        <v>0</v>
      </c>
      <c r="K38">
        <f ca="1">Planned!H48*'Planned background (hide)'!K$1</f>
        <v>0</v>
      </c>
      <c r="L38">
        <f ca="1">Planned!I48*'Planned background (hide)'!L$1</f>
        <v>0</v>
      </c>
      <c r="M38">
        <f ca="1">Planned!J48*'Planned background (hide)'!M$1</f>
        <v>0</v>
      </c>
      <c r="N38">
        <f ca="1">Planned!K48*'Planned background (hide)'!N$1</f>
        <v>0</v>
      </c>
      <c r="O38">
        <f ca="1">Planned!J48*'Planned background (hide)'!O$1</f>
        <v>0</v>
      </c>
      <c r="P38">
        <f ca="1">Planned!K48*'Planned background (hide)'!P$1</f>
        <v>0</v>
      </c>
      <c r="Q38">
        <f ca="1">Planned!L48*'Planned background (hide)'!Q$1</f>
        <v>0</v>
      </c>
      <c r="R38" s="5">
        <f ca="1">IF(Planned!$C$6="Overall",Planned!O48*'Planned background (hide)'!R$1,"")</f>
        <v>0</v>
      </c>
      <c r="S38" s="5">
        <f ca="1">IF(Planned!R48&lt;&gt;"Yes",IF(Planned!$C$6&lt;&gt;"Overall",SUM(OFFSET('Planned background (hide)'!H38,0,0,1,Num_Modalities)),'Planned background (hide)'!R38),"")</f>
        <v>0</v>
      </c>
      <c r="AB38">
        <f t="shared" si="24"/>
        <v>36</v>
      </c>
      <c r="AC38" s="37">
        <f>IF(Planned!$C$8=0,'Planned background (hide)'!F38,'Planned background (hide)'!G38)</f>
        <v>36</v>
      </c>
      <c r="AD38" s="37">
        <f t="shared" si="2"/>
        <v>0</v>
      </c>
      <c r="AE38" s="5">
        <f t="shared" ca="1" si="25"/>
        <v>0</v>
      </c>
      <c r="AF38" s="5">
        <f t="shared" ca="1" si="3"/>
        <v>140.5344827586207</v>
      </c>
      <c r="AG38">
        <f t="shared" ca="1" si="4"/>
        <v>57.375733675715331</v>
      </c>
      <c r="AH38" s="68">
        <f t="shared" ca="1" si="5"/>
        <v>0</v>
      </c>
      <c r="AI38" s="68">
        <f t="shared" ca="1" si="6"/>
        <v>25.783015407190035</v>
      </c>
      <c r="AJ38" s="68">
        <f t="shared" ca="1" si="7"/>
        <v>83.158749082905359</v>
      </c>
      <c r="AK38">
        <f t="shared" ca="1" si="8"/>
        <v>197.91021643433604</v>
      </c>
      <c r="AL38">
        <f t="shared" ca="1" si="9"/>
        <v>255.28595011005137</v>
      </c>
      <c r="AM38">
        <f t="shared" ca="1" si="10"/>
        <v>312.66168378576668</v>
      </c>
      <c r="AN38">
        <f t="shared" ca="1" si="11"/>
        <v>170.12068965517244</v>
      </c>
      <c r="AO38">
        <f t="shared" ca="1" si="12"/>
        <v>184.91379310344828</v>
      </c>
      <c r="AP38" t="e">
        <f t="shared" ca="1" si="13"/>
        <v>#N/A</v>
      </c>
      <c r="AQ38">
        <f t="shared" ca="1" si="18"/>
        <v>-1</v>
      </c>
      <c r="AR38">
        <f t="shared" ca="1" si="21"/>
        <v>0</v>
      </c>
      <c r="AS38">
        <f t="shared" ca="1" si="19"/>
        <v>0</v>
      </c>
      <c r="AT38" t="e">
        <f t="shared" ca="1" si="22"/>
        <v>#N/A</v>
      </c>
      <c r="AU38">
        <f t="shared" ca="1" si="14"/>
        <v>-1</v>
      </c>
      <c r="AV38">
        <f t="shared" ca="1" si="23"/>
        <v>0</v>
      </c>
      <c r="AW38" s="5">
        <f t="shared" ca="1" si="20"/>
        <v>0</v>
      </c>
      <c r="BH38" s="49" t="str">
        <f ca="1">IF(OR(Planned!B48=1,Planned!B48=""),AC38,Planned!B48)</f>
        <v xml:space="preserve"> </v>
      </c>
      <c r="BI38" t="str">
        <f ca="1">IF(TEXT(Planned!D48,"mmm")&lt;&gt;TEXT(Planned!D47,"mmm"),TEXT(Planned!D48,"mmm"),"")</f>
        <v/>
      </c>
      <c r="BK38" s="68"/>
    </row>
    <row r="39" spans="2:63" x14ac:dyDescent="0.2">
      <c r="B39" s="68">
        <f ca="1">IF(Planned!$C$6&lt;&gt;"Overall",COUNTBLANK(OFFSET(Planned!E50,0,0,1,Num_Modalities)),IF(COUNTBLANK(Planned!O50)=1,Num_Modalities,0))</f>
        <v>2</v>
      </c>
      <c r="C39">
        <f ca="1">SUM(OFFSET(Planned!$E50,0,0,1,Num_Modalities))</f>
        <v>0</v>
      </c>
      <c r="E39" s="68">
        <f t="shared" si="15"/>
        <v>37</v>
      </c>
      <c r="F39" s="37">
        <f t="shared" si="16"/>
        <v>37</v>
      </c>
      <c r="G39" s="69" t="str">
        <f t="shared" si="17"/>
        <v/>
      </c>
      <c r="H39">
        <f ca="1">Planned!E49*'Planned background (hide)'!H$1</f>
        <v>0</v>
      </c>
      <c r="I39">
        <f ca="1">Planned!F49*'Planned background (hide)'!I$1</f>
        <v>0</v>
      </c>
      <c r="J39">
        <f ca="1">Planned!G49*'Planned background (hide)'!J$1</f>
        <v>0</v>
      </c>
      <c r="K39">
        <f ca="1">Planned!H49*'Planned background (hide)'!K$1</f>
        <v>0</v>
      </c>
      <c r="L39">
        <f ca="1">Planned!I49*'Planned background (hide)'!L$1</f>
        <v>0</v>
      </c>
      <c r="M39">
        <f ca="1">Planned!J49*'Planned background (hide)'!M$1</f>
        <v>0</v>
      </c>
      <c r="N39">
        <f ca="1">Planned!K49*'Planned background (hide)'!N$1</f>
        <v>0</v>
      </c>
      <c r="O39">
        <f ca="1">Planned!J49*'Planned background (hide)'!O$1</f>
        <v>0</v>
      </c>
      <c r="P39">
        <f ca="1">Planned!K49*'Planned background (hide)'!P$1</f>
        <v>0</v>
      </c>
      <c r="Q39">
        <f ca="1">Planned!L49*'Planned background (hide)'!Q$1</f>
        <v>0</v>
      </c>
      <c r="R39" s="5">
        <f ca="1">IF(Planned!$C$6="Overall",Planned!O49*'Planned background (hide)'!R$1,"")</f>
        <v>0</v>
      </c>
      <c r="S39" s="5">
        <f ca="1">IF(Planned!R49&lt;&gt;"Yes",IF(Planned!$C$6&lt;&gt;"Overall",SUM(OFFSET('Planned background (hide)'!H39,0,0,1,Num_Modalities)),'Planned background (hide)'!R39),"")</f>
        <v>0</v>
      </c>
      <c r="AB39">
        <f t="shared" si="24"/>
        <v>37</v>
      </c>
      <c r="AC39" s="37">
        <f>IF(Planned!$C$8=0,'Planned background (hide)'!F39,'Planned background (hide)'!G39)</f>
        <v>37</v>
      </c>
      <c r="AD39" s="37">
        <f t="shared" si="2"/>
        <v>0</v>
      </c>
      <c r="AE39" s="5">
        <f t="shared" ca="1" si="25"/>
        <v>0</v>
      </c>
      <c r="AF39" s="5">
        <f t="shared" ca="1" si="3"/>
        <v>140.5344827586207</v>
      </c>
      <c r="AG39">
        <f t="shared" ca="1" si="4"/>
        <v>57.375733675715331</v>
      </c>
      <c r="AH39" s="68">
        <f t="shared" ca="1" si="5"/>
        <v>0</v>
      </c>
      <c r="AI39" s="68">
        <f t="shared" ca="1" si="6"/>
        <v>25.783015407190035</v>
      </c>
      <c r="AJ39" s="68">
        <f t="shared" ca="1" si="7"/>
        <v>83.158749082905359</v>
      </c>
      <c r="AK39">
        <f t="shared" ca="1" si="8"/>
        <v>197.91021643433604</v>
      </c>
      <c r="AL39">
        <f t="shared" ca="1" si="9"/>
        <v>255.28595011005137</v>
      </c>
      <c r="AM39">
        <f t="shared" ca="1" si="10"/>
        <v>312.66168378576668</v>
      </c>
      <c r="AN39">
        <f t="shared" ca="1" si="11"/>
        <v>170.12068965517244</v>
      </c>
      <c r="AO39">
        <f t="shared" ca="1" si="12"/>
        <v>184.91379310344828</v>
      </c>
      <c r="AP39" t="e">
        <f t="shared" ca="1" si="13"/>
        <v>#N/A</v>
      </c>
      <c r="AQ39">
        <f t="shared" ca="1" si="18"/>
        <v>-1</v>
      </c>
      <c r="AR39">
        <f t="shared" ca="1" si="21"/>
        <v>0</v>
      </c>
      <c r="AS39">
        <f t="shared" ca="1" si="19"/>
        <v>0</v>
      </c>
      <c r="AT39" t="e">
        <f t="shared" ca="1" si="22"/>
        <v>#N/A</v>
      </c>
      <c r="AU39">
        <f t="shared" ca="1" si="14"/>
        <v>-1</v>
      </c>
      <c r="AV39">
        <f t="shared" ca="1" si="23"/>
        <v>0</v>
      </c>
      <c r="AW39" s="5">
        <f t="shared" ca="1" si="20"/>
        <v>0</v>
      </c>
      <c r="BH39" s="49" t="str">
        <f ca="1">IF(OR(Planned!B49=1,Planned!B49=""),AC39,Planned!B49)</f>
        <v xml:space="preserve"> </v>
      </c>
      <c r="BI39" t="str">
        <f ca="1">IF(TEXT(Planned!D49,"mmm")&lt;&gt;TEXT(Planned!D48,"mmm"),TEXT(Planned!D49,"mmm"),"")</f>
        <v/>
      </c>
      <c r="BK39" s="68"/>
    </row>
    <row r="40" spans="2:63" x14ac:dyDescent="0.2">
      <c r="B40" s="68">
        <f ca="1">IF(Planned!$C$6&lt;&gt;"Overall",COUNTBLANK(OFFSET(Planned!E51,0,0,1,Num_Modalities)),IF(COUNTBLANK(Planned!O51)=1,Num_Modalities,0))</f>
        <v>2</v>
      </c>
      <c r="C40">
        <f ca="1">SUM(OFFSET(Planned!$E51,0,0,1,Num_Modalities))</f>
        <v>0</v>
      </c>
      <c r="E40" s="68">
        <f t="shared" si="15"/>
        <v>38</v>
      </c>
      <c r="F40" s="37">
        <f t="shared" si="16"/>
        <v>38</v>
      </c>
      <c r="G40" s="69" t="str">
        <f t="shared" si="17"/>
        <v/>
      </c>
      <c r="H40">
        <f ca="1">Planned!E50*'Planned background (hide)'!H$1</f>
        <v>0</v>
      </c>
      <c r="I40">
        <f ca="1">Planned!F50*'Planned background (hide)'!I$1</f>
        <v>0</v>
      </c>
      <c r="J40">
        <f ca="1">Planned!G50*'Planned background (hide)'!J$1</f>
        <v>0</v>
      </c>
      <c r="K40">
        <f ca="1">Planned!H50*'Planned background (hide)'!K$1</f>
        <v>0</v>
      </c>
      <c r="L40">
        <f ca="1">Planned!I50*'Planned background (hide)'!L$1</f>
        <v>0</v>
      </c>
      <c r="M40">
        <f ca="1">Planned!J50*'Planned background (hide)'!M$1</f>
        <v>0</v>
      </c>
      <c r="N40">
        <f ca="1">Planned!K50*'Planned background (hide)'!N$1</f>
        <v>0</v>
      </c>
      <c r="O40">
        <f ca="1">Planned!J50*'Planned background (hide)'!O$1</f>
        <v>0</v>
      </c>
      <c r="P40">
        <f ca="1">Planned!K50*'Planned background (hide)'!P$1</f>
        <v>0</v>
      </c>
      <c r="Q40">
        <f ca="1">Planned!L50*'Planned background (hide)'!Q$1</f>
        <v>0</v>
      </c>
      <c r="R40" s="5">
        <f ca="1">IF(Planned!$C$6="Overall",Planned!O50*'Planned background (hide)'!R$1,"")</f>
        <v>0</v>
      </c>
      <c r="S40" s="5">
        <f ca="1">IF(Planned!R50&lt;&gt;"Yes",IF(Planned!$C$6&lt;&gt;"Overall",SUM(OFFSET('Planned background (hide)'!H40,0,0,1,Num_Modalities)),'Planned background (hide)'!R40),"")</f>
        <v>0</v>
      </c>
      <c r="AB40">
        <f t="shared" si="24"/>
        <v>38</v>
      </c>
      <c r="AC40" s="37">
        <f>IF(Planned!$C$8=0,'Planned background (hide)'!F40,'Planned background (hide)'!G40)</f>
        <v>38</v>
      </c>
      <c r="AD40" s="37">
        <f t="shared" si="2"/>
        <v>0</v>
      </c>
      <c r="AE40" s="5">
        <f t="shared" ca="1" si="25"/>
        <v>0</v>
      </c>
      <c r="AF40" s="5">
        <f t="shared" ca="1" si="3"/>
        <v>140.5344827586207</v>
      </c>
      <c r="AG40">
        <f t="shared" ca="1" si="4"/>
        <v>57.375733675715331</v>
      </c>
      <c r="AH40" s="68">
        <f t="shared" ca="1" si="5"/>
        <v>0</v>
      </c>
      <c r="AI40" s="68">
        <f t="shared" ca="1" si="6"/>
        <v>25.783015407190035</v>
      </c>
      <c r="AJ40" s="68">
        <f t="shared" ca="1" si="7"/>
        <v>83.158749082905359</v>
      </c>
      <c r="AK40">
        <f t="shared" ca="1" si="8"/>
        <v>197.91021643433604</v>
      </c>
      <c r="AL40">
        <f t="shared" ca="1" si="9"/>
        <v>255.28595011005137</v>
      </c>
      <c r="AM40">
        <f t="shared" ca="1" si="10"/>
        <v>312.66168378576668</v>
      </c>
      <c r="AN40">
        <f t="shared" ca="1" si="11"/>
        <v>170.12068965517244</v>
      </c>
      <c r="AO40">
        <f t="shared" ca="1" si="12"/>
        <v>184.91379310344828</v>
      </c>
      <c r="AP40" t="e">
        <f t="shared" ca="1" si="13"/>
        <v>#N/A</v>
      </c>
      <c r="AQ40">
        <f t="shared" ca="1" si="18"/>
        <v>-1</v>
      </c>
      <c r="AR40">
        <f t="shared" ca="1" si="21"/>
        <v>0</v>
      </c>
      <c r="AS40">
        <f t="shared" ca="1" si="19"/>
        <v>0</v>
      </c>
      <c r="AT40" t="e">
        <f t="shared" ca="1" si="22"/>
        <v>#N/A</v>
      </c>
      <c r="AU40">
        <f t="shared" ca="1" si="14"/>
        <v>-1</v>
      </c>
      <c r="AV40">
        <f t="shared" ca="1" si="23"/>
        <v>0</v>
      </c>
      <c r="AW40" s="5">
        <f t="shared" ca="1" si="20"/>
        <v>0</v>
      </c>
      <c r="BH40" s="49" t="str">
        <f ca="1">IF(OR(Planned!B50=1,Planned!B50=""),AC40,Planned!B50)</f>
        <v xml:space="preserve"> </v>
      </c>
      <c r="BI40" t="str">
        <f ca="1">IF(TEXT(Planned!D50,"mmm")&lt;&gt;TEXT(Planned!D49,"mmm"),TEXT(Planned!D50,"mmm"),"")</f>
        <v/>
      </c>
      <c r="BK40" s="68"/>
    </row>
    <row r="41" spans="2:63" x14ac:dyDescent="0.2">
      <c r="B41" s="68">
        <f ca="1">IF(Planned!$C$6&lt;&gt;"Overall",COUNTBLANK(OFFSET(Planned!E52,0,0,1,Num_Modalities)),IF(COUNTBLANK(Planned!O52)=1,Num_Modalities,0))</f>
        <v>2</v>
      </c>
      <c r="C41">
        <f ca="1">SUM(OFFSET(Planned!$E52,0,0,1,Num_Modalities))</f>
        <v>0</v>
      </c>
      <c r="E41" s="68">
        <f t="shared" si="15"/>
        <v>39</v>
      </c>
      <c r="F41" s="37">
        <f t="shared" si="16"/>
        <v>39</v>
      </c>
      <c r="G41" s="69" t="str">
        <f t="shared" si="17"/>
        <v/>
      </c>
      <c r="H41">
        <f ca="1">Planned!E51*'Planned background (hide)'!H$1</f>
        <v>0</v>
      </c>
      <c r="I41">
        <f ca="1">Planned!F51*'Planned background (hide)'!I$1</f>
        <v>0</v>
      </c>
      <c r="J41">
        <f ca="1">Planned!G51*'Planned background (hide)'!J$1</f>
        <v>0</v>
      </c>
      <c r="K41">
        <f ca="1">Planned!H51*'Planned background (hide)'!K$1</f>
        <v>0</v>
      </c>
      <c r="L41">
        <f ca="1">Planned!I51*'Planned background (hide)'!L$1</f>
        <v>0</v>
      </c>
      <c r="M41">
        <f ca="1">Planned!J51*'Planned background (hide)'!M$1</f>
        <v>0</v>
      </c>
      <c r="N41">
        <f ca="1">Planned!K51*'Planned background (hide)'!N$1</f>
        <v>0</v>
      </c>
      <c r="O41">
        <f ca="1">Planned!J51*'Planned background (hide)'!O$1</f>
        <v>0</v>
      </c>
      <c r="P41">
        <f ca="1">Planned!K51*'Planned background (hide)'!P$1</f>
        <v>0</v>
      </c>
      <c r="Q41">
        <f ca="1">Planned!L51*'Planned background (hide)'!Q$1</f>
        <v>0</v>
      </c>
      <c r="R41" s="5">
        <f ca="1">IF(Planned!$C$6="Overall",Planned!O51*'Planned background (hide)'!R$1,"")</f>
        <v>0</v>
      </c>
      <c r="S41" s="5">
        <f ca="1">IF(Planned!R51&lt;&gt;"Yes",IF(Planned!$C$6&lt;&gt;"Overall",SUM(OFFSET('Planned background (hide)'!H41,0,0,1,Num_Modalities)),'Planned background (hide)'!R41),"")</f>
        <v>0</v>
      </c>
      <c r="AB41">
        <f t="shared" si="24"/>
        <v>39</v>
      </c>
      <c r="AC41" s="37">
        <f>IF(Planned!$C$8=0,'Planned background (hide)'!F41,'Planned background (hide)'!G41)</f>
        <v>39</v>
      </c>
      <c r="AD41" s="37">
        <f t="shared" si="2"/>
        <v>0</v>
      </c>
      <c r="AE41" s="5">
        <f t="shared" ca="1" si="25"/>
        <v>0</v>
      </c>
      <c r="AF41" s="5">
        <f t="shared" ca="1" si="3"/>
        <v>140.5344827586207</v>
      </c>
      <c r="AG41">
        <f t="shared" ca="1" si="4"/>
        <v>57.375733675715331</v>
      </c>
      <c r="AH41" s="68">
        <f t="shared" ca="1" si="5"/>
        <v>0</v>
      </c>
      <c r="AI41" s="68">
        <f t="shared" ca="1" si="6"/>
        <v>25.783015407190035</v>
      </c>
      <c r="AJ41" s="68">
        <f t="shared" ca="1" si="7"/>
        <v>83.158749082905359</v>
      </c>
      <c r="AK41">
        <f t="shared" ca="1" si="8"/>
        <v>197.91021643433604</v>
      </c>
      <c r="AL41">
        <f t="shared" ca="1" si="9"/>
        <v>255.28595011005137</v>
      </c>
      <c r="AM41">
        <f t="shared" ca="1" si="10"/>
        <v>312.66168378576668</v>
      </c>
      <c r="AN41">
        <f t="shared" ca="1" si="11"/>
        <v>170.12068965517244</v>
      </c>
      <c r="AO41">
        <f t="shared" ca="1" si="12"/>
        <v>184.91379310344828</v>
      </c>
      <c r="AP41" t="e">
        <f t="shared" ca="1" si="13"/>
        <v>#N/A</v>
      </c>
      <c r="AQ41">
        <f t="shared" ca="1" si="18"/>
        <v>-1</v>
      </c>
      <c r="AR41">
        <f t="shared" ca="1" si="21"/>
        <v>0</v>
      </c>
      <c r="AS41">
        <f t="shared" ca="1" si="19"/>
        <v>0</v>
      </c>
      <c r="AT41" t="e">
        <f t="shared" ca="1" si="22"/>
        <v>#N/A</v>
      </c>
      <c r="AU41">
        <f t="shared" ca="1" si="14"/>
        <v>-1</v>
      </c>
      <c r="AV41">
        <f t="shared" ca="1" si="23"/>
        <v>0</v>
      </c>
      <c r="AW41" s="5">
        <f t="shared" ca="1" si="20"/>
        <v>0</v>
      </c>
      <c r="BH41" s="49" t="str">
        <f ca="1">IF(OR(Planned!B51=1,Planned!B51=""),AC41,Planned!B51)</f>
        <v xml:space="preserve"> </v>
      </c>
      <c r="BI41" t="str">
        <f ca="1">IF(TEXT(Planned!D51,"mmm")&lt;&gt;TEXT(Planned!D50,"mmm"),TEXT(Planned!D51,"mmm"),"")</f>
        <v/>
      </c>
      <c r="BK41" s="68"/>
    </row>
    <row r="42" spans="2:63" x14ac:dyDescent="0.2">
      <c r="B42" s="68">
        <f ca="1">IF(Planned!$C$6&lt;&gt;"Overall",COUNTBLANK(OFFSET(Planned!E53,0,0,1,Num_Modalities)),IF(COUNTBLANK(Planned!O53)=1,Num_Modalities,0))</f>
        <v>2</v>
      </c>
      <c r="C42">
        <f ca="1">SUM(OFFSET(Planned!$E53,0,0,1,Num_Modalities))</f>
        <v>0</v>
      </c>
      <c r="E42" s="68">
        <f t="shared" si="15"/>
        <v>40</v>
      </c>
      <c r="F42" s="37">
        <f t="shared" si="16"/>
        <v>40</v>
      </c>
      <c r="G42" s="69" t="str">
        <f t="shared" si="17"/>
        <v/>
      </c>
      <c r="H42">
        <f ca="1">Planned!E52*'Planned background (hide)'!H$1</f>
        <v>0</v>
      </c>
      <c r="I42">
        <f ca="1">Planned!F52*'Planned background (hide)'!I$1</f>
        <v>0</v>
      </c>
      <c r="J42">
        <f ca="1">Planned!G52*'Planned background (hide)'!J$1</f>
        <v>0</v>
      </c>
      <c r="K42">
        <f ca="1">Planned!H52*'Planned background (hide)'!K$1</f>
        <v>0</v>
      </c>
      <c r="L42">
        <f ca="1">Planned!I52*'Planned background (hide)'!L$1</f>
        <v>0</v>
      </c>
      <c r="M42">
        <f ca="1">Planned!J52*'Planned background (hide)'!M$1</f>
        <v>0</v>
      </c>
      <c r="N42">
        <f ca="1">Planned!K52*'Planned background (hide)'!N$1</f>
        <v>0</v>
      </c>
      <c r="O42">
        <f ca="1">Planned!J52*'Planned background (hide)'!O$1</f>
        <v>0</v>
      </c>
      <c r="P42">
        <f ca="1">Planned!K52*'Planned background (hide)'!P$1</f>
        <v>0</v>
      </c>
      <c r="Q42">
        <f ca="1">Planned!L52*'Planned background (hide)'!Q$1</f>
        <v>0</v>
      </c>
      <c r="R42" s="5">
        <f ca="1">IF(Planned!$C$6="Overall",Planned!O52*'Planned background (hide)'!R$1,"")</f>
        <v>0</v>
      </c>
      <c r="S42" s="5">
        <f ca="1">IF(Planned!R52&lt;&gt;"Yes",IF(Planned!$C$6&lt;&gt;"Overall",SUM(OFFSET('Planned background (hide)'!H42,0,0,1,Num_Modalities)),'Planned background (hide)'!R42),"")</f>
        <v>0</v>
      </c>
      <c r="AB42">
        <f t="shared" si="24"/>
        <v>40</v>
      </c>
      <c r="AC42" s="37">
        <f>IF(Planned!$C$8=0,'Planned background (hide)'!F42,'Planned background (hide)'!G42)</f>
        <v>40</v>
      </c>
      <c r="AD42" s="37">
        <f t="shared" si="2"/>
        <v>0</v>
      </c>
      <c r="AE42" s="5">
        <f t="shared" ca="1" si="25"/>
        <v>0</v>
      </c>
      <c r="AF42" s="5">
        <f t="shared" ca="1" si="3"/>
        <v>140.5344827586207</v>
      </c>
      <c r="AG42">
        <f t="shared" ca="1" si="4"/>
        <v>57.375733675715331</v>
      </c>
      <c r="AH42" s="68">
        <f t="shared" ca="1" si="5"/>
        <v>0</v>
      </c>
      <c r="AI42" s="68">
        <f t="shared" ca="1" si="6"/>
        <v>25.783015407190035</v>
      </c>
      <c r="AJ42" s="68">
        <f t="shared" ca="1" si="7"/>
        <v>83.158749082905359</v>
      </c>
      <c r="AK42">
        <f t="shared" ca="1" si="8"/>
        <v>197.91021643433604</v>
      </c>
      <c r="AL42">
        <f t="shared" ca="1" si="9"/>
        <v>255.28595011005137</v>
      </c>
      <c r="AM42">
        <f t="shared" ca="1" si="10"/>
        <v>312.66168378576668</v>
      </c>
      <c r="AN42">
        <f t="shared" ca="1" si="11"/>
        <v>170.12068965517244</v>
      </c>
      <c r="AO42">
        <f t="shared" ca="1" si="12"/>
        <v>184.91379310344828</v>
      </c>
      <c r="AP42" t="e">
        <f t="shared" ca="1" si="13"/>
        <v>#N/A</v>
      </c>
      <c r="AQ42">
        <f t="shared" ca="1" si="18"/>
        <v>-1</v>
      </c>
      <c r="AR42">
        <f t="shared" ca="1" si="21"/>
        <v>0</v>
      </c>
      <c r="AS42">
        <f t="shared" ca="1" si="19"/>
        <v>0</v>
      </c>
      <c r="AT42" t="e">
        <f t="shared" ca="1" si="22"/>
        <v>#N/A</v>
      </c>
      <c r="AU42">
        <f t="shared" ca="1" si="14"/>
        <v>-1</v>
      </c>
      <c r="AV42">
        <f t="shared" ca="1" si="23"/>
        <v>0</v>
      </c>
      <c r="AW42" s="5">
        <f t="shared" ca="1" si="20"/>
        <v>0</v>
      </c>
      <c r="BH42" s="49" t="str">
        <f ca="1">IF(OR(Planned!B52=1,Planned!B52=""),AC42,Planned!B52)</f>
        <v xml:space="preserve"> </v>
      </c>
      <c r="BI42" t="str">
        <f ca="1">IF(TEXT(Planned!D52,"mmm")&lt;&gt;TEXT(Planned!D51,"mmm"),TEXT(Planned!D52,"mmm"),"")</f>
        <v/>
      </c>
      <c r="BK42" s="68"/>
    </row>
    <row r="43" spans="2:63" x14ac:dyDescent="0.2">
      <c r="B43" s="68">
        <f ca="1">IF(Planned!$C$6&lt;&gt;"Overall",COUNTBLANK(OFFSET(Planned!E54,0,0,1,Num_Modalities)),IF(COUNTBLANK(Planned!O54)=1,Num_Modalities,0))</f>
        <v>2</v>
      </c>
      <c r="C43">
        <f ca="1">SUM(OFFSET(Planned!$E54,0,0,1,Num_Modalities))</f>
        <v>0</v>
      </c>
      <c r="E43" s="68">
        <f t="shared" si="15"/>
        <v>41</v>
      </c>
      <c r="F43" s="37">
        <f t="shared" si="16"/>
        <v>41</v>
      </c>
      <c r="G43" s="69" t="str">
        <f t="shared" si="17"/>
        <v/>
      </c>
      <c r="H43">
        <f ca="1">Planned!E53*'Planned background (hide)'!H$1</f>
        <v>0</v>
      </c>
      <c r="I43">
        <f ca="1">Planned!F53*'Planned background (hide)'!I$1</f>
        <v>0</v>
      </c>
      <c r="J43">
        <f ca="1">Planned!G53*'Planned background (hide)'!J$1</f>
        <v>0</v>
      </c>
      <c r="K43">
        <f ca="1">Planned!H53*'Planned background (hide)'!K$1</f>
        <v>0</v>
      </c>
      <c r="L43">
        <f ca="1">Planned!I53*'Planned background (hide)'!L$1</f>
        <v>0</v>
      </c>
      <c r="M43">
        <f ca="1">Planned!J53*'Planned background (hide)'!M$1</f>
        <v>0</v>
      </c>
      <c r="N43">
        <f ca="1">Planned!K53*'Planned background (hide)'!N$1</f>
        <v>0</v>
      </c>
      <c r="O43">
        <f ca="1">Planned!J53*'Planned background (hide)'!O$1</f>
        <v>0</v>
      </c>
      <c r="P43">
        <f ca="1">Planned!K53*'Planned background (hide)'!P$1</f>
        <v>0</v>
      </c>
      <c r="Q43">
        <f ca="1">Planned!L53*'Planned background (hide)'!Q$1</f>
        <v>0</v>
      </c>
      <c r="R43" s="5">
        <f ca="1">IF(Planned!$C$6="Overall",Planned!O53*'Planned background (hide)'!R$1,"")</f>
        <v>0</v>
      </c>
      <c r="S43" s="5">
        <f ca="1">IF(Planned!R53&lt;&gt;"Yes",IF(Planned!$C$6&lt;&gt;"Overall",SUM(OFFSET('Planned background (hide)'!H43,0,0,1,Num_Modalities)),'Planned background (hide)'!R43),"")</f>
        <v>0</v>
      </c>
      <c r="AB43">
        <f t="shared" si="24"/>
        <v>41</v>
      </c>
      <c r="AC43" s="37">
        <f>IF(Planned!$C$8=0,'Planned background (hide)'!F43,'Planned background (hide)'!G43)</f>
        <v>41</v>
      </c>
      <c r="AD43" s="37">
        <f t="shared" si="2"/>
        <v>0</v>
      </c>
      <c r="AE43" s="5">
        <f t="shared" ca="1" si="25"/>
        <v>0</v>
      </c>
      <c r="AF43" s="5">
        <f t="shared" ca="1" si="3"/>
        <v>140.5344827586207</v>
      </c>
      <c r="AG43">
        <f t="shared" ca="1" si="4"/>
        <v>57.375733675715331</v>
      </c>
      <c r="AH43" s="68">
        <f t="shared" ca="1" si="5"/>
        <v>0</v>
      </c>
      <c r="AI43" s="68">
        <f t="shared" ca="1" si="6"/>
        <v>25.783015407190035</v>
      </c>
      <c r="AJ43" s="68">
        <f t="shared" ca="1" si="7"/>
        <v>83.158749082905359</v>
      </c>
      <c r="AK43">
        <f t="shared" ca="1" si="8"/>
        <v>197.91021643433604</v>
      </c>
      <c r="AL43">
        <f t="shared" ca="1" si="9"/>
        <v>255.28595011005137</v>
      </c>
      <c r="AM43">
        <f t="shared" ca="1" si="10"/>
        <v>312.66168378576668</v>
      </c>
      <c r="AN43">
        <f t="shared" ca="1" si="11"/>
        <v>170.12068965517244</v>
      </c>
      <c r="AO43">
        <f t="shared" ca="1" si="12"/>
        <v>184.91379310344828</v>
      </c>
      <c r="AP43" t="e">
        <f t="shared" ca="1" si="13"/>
        <v>#N/A</v>
      </c>
      <c r="AQ43">
        <f t="shared" ca="1" si="18"/>
        <v>-1</v>
      </c>
      <c r="AR43">
        <f t="shared" ca="1" si="21"/>
        <v>0</v>
      </c>
      <c r="AS43">
        <f t="shared" ca="1" si="19"/>
        <v>0</v>
      </c>
      <c r="AT43" t="e">
        <f t="shared" ca="1" si="22"/>
        <v>#N/A</v>
      </c>
      <c r="AU43">
        <f t="shared" ca="1" si="14"/>
        <v>-1</v>
      </c>
      <c r="AV43">
        <f t="shared" ca="1" si="23"/>
        <v>0</v>
      </c>
      <c r="AW43" s="5">
        <f t="shared" ca="1" si="20"/>
        <v>0</v>
      </c>
      <c r="BH43" s="49" t="str">
        <f ca="1">IF(OR(Planned!B53=1,Planned!B53=""),AC43,Planned!B53)</f>
        <v xml:space="preserve"> </v>
      </c>
      <c r="BI43" t="str">
        <f ca="1">IF(TEXT(Planned!D53,"mmm")&lt;&gt;TEXT(Planned!D52,"mmm"),TEXT(Planned!D53,"mmm"),"")</f>
        <v/>
      </c>
      <c r="BK43" s="68"/>
    </row>
    <row r="44" spans="2:63" x14ac:dyDescent="0.2">
      <c r="B44" s="68">
        <f ca="1">IF(Planned!$C$6&lt;&gt;"Overall",COUNTBLANK(OFFSET(Planned!E55,0,0,1,Num_Modalities)),IF(COUNTBLANK(Planned!O55)=1,Num_Modalities,0))</f>
        <v>2</v>
      </c>
      <c r="C44">
        <f ca="1">SUM(OFFSET(Planned!$E55,0,0,1,Num_Modalities))</f>
        <v>0</v>
      </c>
      <c r="E44" s="68">
        <f t="shared" si="15"/>
        <v>42</v>
      </c>
      <c r="F44" s="37">
        <f t="shared" si="16"/>
        <v>42</v>
      </c>
      <c r="G44" s="69" t="str">
        <f t="shared" si="17"/>
        <v/>
      </c>
      <c r="H44">
        <f ca="1">Planned!E54*'Planned background (hide)'!H$1</f>
        <v>0</v>
      </c>
      <c r="I44">
        <f ca="1">Planned!F54*'Planned background (hide)'!I$1</f>
        <v>0</v>
      </c>
      <c r="J44">
        <f ca="1">Planned!G54*'Planned background (hide)'!J$1</f>
        <v>0</v>
      </c>
      <c r="K44">
        <f ca="1">Planned!H54*'Planned background (hide)'!K$1</f>
        <v>0</v>
      </c>
      <c r="L44">
        <f ca="1">Planned!I54*'Planned background (hide)'!L$1</f>
        <v>0</v>
      </c>
      <c r="M44">
        <f ca="1">Planned!J54*'Planned background (hide)'!M$1</f>
        <v>0</v>
      </c>
      <c r="N44">
        <f ca="1">Planned!K54*'Planned background (hide)'!N$1</f>
        <v>0</v>
      </c>
      <c r="O44">
        <f ca="1">Planned!J54*'Planned background (hide)'!O$1</f>
        <v>0</v>
      </c>
      <c r="P44">
        <f ca="1">Planned!K54*'Planned background (hide)'!P$1</f>
        <v>0</v>
      </c>
      <c r="Q44">
        <f ca="1">Planned!L54*'Planned background (hide)'!Q$1</f>
        <v>0</v>
      </c>
      <c r="R44" s="5">
        <f ca="1">IF(Planned!$C$6="Overall",Planned!O54*'Planned background (hide)'!R$1,"")</f>
        <v>0</v>
      </c>
      <c r="S44" s="5">
        <f ca="1">IF(Planned!R54&lt;&gt;"Yes",IF(Planned!$C$6&lt;&gt;"Overall",SUM(OFFSET('Planned background (hide)'!H44,0,0,1,Num_Modalities)),'Planned background (hide)'!R44),"")</f>
        <v>0</v>
      </c>
      <c r="AB44">
        <f t="shared" si="24"/>
        <v>42</v>
      </c>
      <c r="AC44" s="37">
        <f>IF(Planned!$C$8=0,'Planned background (hide)'!F44,'Planned background (hide)'!G44)</f>
        <v>42</v>
      </c>
      <c r="AD44" s="37">
        <f t="shared" si="2"/>
        <v>0</v>
      </c>
      <c r="AE44" s="5">
        <f t="shared" ca="1" si="25"/>
        <v>0</v>
      </c>
      <c r="AF44" s="5">
        <f t="shared" ca="1" si="3"/>
        <v>140.5344827586207</v>
      </c>
      <c r="AG44">
        <f t="shared" ca="1" si="4"/>
        <v>57.375733675715331</v>
      </c>
      <c r="AH44" s="68">
        <f t="shared" ca="1" si="5"/>
        <v>0</v>
      </c>
      <c r="AI44" s="68">
        <f t="shared" ca="1" si="6"/>
        <v>25.783015407190035</v>
      </c>
      <c r="AJ44" s="68">
        <f t="shared" ca="1" si="7"/>
        <v>83.158749082905359</v>
      </c>
      <c r="AK44">
        <f t="shared" ca="1" si="8"/>
        <v>197.91021643433604</v>
      </c>
      <c r="AL44">
        <f t="shared" ca="1" si="9"/>
        <v>255.28595011005137</v>
      </c>
      <c r="AM44">
        <f t="shared" ca="1" si="10"/>
        <v>312.66168378576668</v>
      </c>
      <c r="AN44">
        <f t="shared" ca="1" si="11"/>
        <v>170.12068965517244</v>
      </c>
      <c r="AO44">
        <f t="shared" ca="1" si="12"/>
        <v>184.91379310344828</v>
      </c>
      <c r="AP44" t="e">
        <f t="shared" ca="1" si="13"/>
        <v>#N/A</v>
      </c>
      <c r="AQ44">
        <f t="shared" ca="1" si="18"/>
        <v>-1</v>
      </c>
      <c r="AR44">
        <f t="shared" ca="1" si="21"/>
        <v>0</v>
      </c>
      <c r="AS44">
        <f t="shared" ca="1" si="19"/>
        <v>0</v>
      </c>
      <c r="AT44" t="e">
        <f t="shared" ca="1" si="22"/>
        <v>#N/A</v>
      </c>
      <c r="AU44">
        <f t="shared" ca="1" si="14"/>
        <v>-1</v>
      </c>
      <c r="AV44">
        <f t="shared" ca="1" si="23"/>
        <v>0</v>
      </c>
      <c r="AW44" s="5">
        <f t="shared" ca="1" si="20"/>
        <v>0</v>
      </c>
      <c r="BH44" s="49" t="str">
        <f ca="1">IF(OR(Planned!B54=1,Planned!B54=""),AC44,Planned!B54)</f>
        <v xml:space="preserve"> </v>
      </c>
      <c r="BI44" t="str">
        <f ca="1">IF(TEXT(Planned!D54,"mmm")&lt;&gt;TEXT(Planned!D53,"mmm"),TEXT(Planned!D54,"mmm"),"")</f>
        <v/>
      </c>
      <c r="BK44" s="68"/>
    </row>
    <row r="45" spans="2:63" x14ac:dyDescent="0.2">
      <c r="B45" s="68">
        <f ca="1">IF(Planned!$C$6&lt;&gt;"Overall",COUNTBLANK(OFFSET(Planned!E56,0,0,1,Num_Modalities)),IF(COUNTBLANK(Planned!O56)=1,Num_Modalities,0))</f>
        <v>2</v>
      </c>
      <c r="C45">
        <f ca="1">SUM(OFFSET(Planned!$E56,0,0,1,Num_Modalities))</f>
        <v>0</v>
      </c>
      <c r="E45" s="68">
        <f t="shared" si="15"/>
        <v>43</v>
      </c>
      <c r="F45" s="37">
        <f t="shared" si="16"/>
        <v>43</v>
      </c>
      <c r="G45" s="69" t="str">
        <f t="shared" si="17"/>
        <v/>
      </c>
      <c r="H45">
        <f ca="1">Planned!E55*'Planned background (hide)'!H$1</f>
        <v>0</v>
      </c>
      <c r="I45">
        <f ca="1">Planned!F55*'Planned background (hide)'!I$1</f>
        <v>0</v>
      </c>
      <c r="J45">
        <f ca="1">Planned!G55*'Planned background (hide)'!J$1</f>
        <v>0</v>
      </c>
      <c r="K45">
        <f ca="1">Planned!H55*'Planned background (hide)'!K$1</f>
        <v>0</v>
      </c>
      <c r="L45">
        <f ca="1">Planned!I55*'Planned background (hide)'!L$1</f>
        <v>0</v>
      </c>
      <c r="M45">
        <f ca="1">Planned!J55*'Planned background (hide)'!M$1</f>
        <v>0</v>
      </c>
      <c r="N45">
        <f ca="1">Planned!K55*'Planned background (hide)'!N$1</f>
        <v>0</v>
      </c>
      <c r="O45">
        <f ca="1">Planned!J55*'Planned background (hide)'!O$1</f>
        <v>0</v>
      </c>
      <c r="P45">
        <f ca="1">Planned!K55*'Planned background (hide)'!P$1</f>
        <v>0</v>
      </c>
      <c r="Q45">
        <f ca="1">Planned!L55*'Planned background (hide)'!Q$1</f>
        <v>0</v>
      </c>
      <c r="R45" s="5">
        <f ca="1">IF(Planned!$C$6="Overall",Planned!O55*'Planned background (hide)'!R$1,"")</f>
        <v>0</v>
      </c>
      <c r="S45" s="5">
        <f ca="1">IF(Planned!R55&lt;&gt;"Yes",IF(Planned!$C$6&lt;&gt;"Overall",SUM(OFFSET('Planned background (hide)'!H45,0,0,1,Num_Modalities)),'Planned background (hide)'!R45),"")</f>
        <v>0</v>
      </c>
      <c r="AB45">
        <f t="shared" si="24"/>
        <v>43</v>
      </c>
      <c r="AC45" s="37">
        <f>IF(Planned!$C$8=0,'Planned background (hide)'!F45,'Planned background (hide)'!G45)</f>
        <v>43</v>
      </c>
      <c r="AD45" s="37">
        <f t="shared" si="2"/>
        <v>0</v>
      </c>
      <c r="AE45" s="5">
        <f t="shared" ca="1" si="25"/>
        <v>0</v>
      </c>
      <c r="AF45" s="5">
        <f t="shared" ca="1" si="3"/>
        <v>140.5344827586207</v>
      </c>
      <c r="AG45">
        <f t="shared" ca="1" si="4"/>
        <v>57.375733675715331</v>
      </c>
      <c r="AH45" s="68">
        <f t="shared" ca="1" si="5"/>
        <v>0</v>
      </c>
      <c r="AI45" s="68">
        <f t="shared" ca="1" si="6"/>
        <v>25.783015407190035</v>
      </c>
      <c r="AJ45" s="68">
        <f t="shared" ca="1" si="7"/>
        <v>83.158749082905359</v>
      </c>
      <c r="AK45">
        <f t="shared" ca="1" si="8"/>
        <v>197.91021643433604</v>
      </c>
      <c r="AL45">
        <f t="shared" ca="1" si="9"/>
        <v>255.28595011005137</v>
      </c>
      <c r="AM45">
        <f t="shared" ca="1" si="10"/>
        <v>312.66168378576668</v>
      </c>
      <c r="AN45">
        <f t="shared" ca="1" si="11"/>
        <v>170.12068965517244</v>
      </c>
      <c r="AO45">
        <f t="shared" ca="1" si="12"/>
        <v>184.91379310344828</v>
      </c>
      <c r="AP45" t="e">
        <f t="shared" ca="1" si="13"/>
        <v>#N/A</v>
      </c>
      <c r="AQ45">
        <f t="shared" ca="1" si="18"/>
        <v>-1</v>
      </c>
      <c r="AR45">
        <f t="shared" ca="1" si="21"/>
        <v>0</v>
      </c>
      <c r="AS45">
        <f t="shared" ca="1" si="19"/>
        <v>0</v>
      </c>
      <c r="AT45" t="e">
        <f t="shared" ca="1" si="22"/>
        <v>#N/A</v>
      </c>
      <c r="AU45">
        <f t="shared" ca="1" si="14"/>
        <v>-1</v>
      </c>
      <c r="AV45">
        <f t="shared" ca="1" si="23"/>
        <v>0</v>
      </c>
      <c r="AW45" s="5">
        <f t="shared" ca="1" si="20"/>
        <v>0</v>
      </c>
      <c r="BH45" s="49" t="str">
        <f ca="1">IF(OR(Planned!B55=1,Planned!B55=""),AC45,Planned!B55)</f>
        <v xml:space="preserve"> </v>
      </c>
      <c r="BI45" t="str">
        <f ca="1">IF(TEXT(Planned!D55,"mmm")&lt;&gt;TEXT(Planned!D54,"mmm"),TEXT(Planned!D55,"mmm"),"")</f>
        <v/>
      </c>
      <c r="BK45" s="68"/>
    </row>
    <row r="46" spans="2:63" x14ac:dyDescent="0.2">
      <c r="B46" s="68">
        <f ca="1">IF(Planned!$C$6&lt;&gt;"Overall",COUNTBLANK(OFFSET(Planned!E57,0,0,1,Num_Modalities)),IF(COUNTBLANK(Planned!O57)=1,Num_Modalities,0))</f>
        <v>2</v>
      </c>
      <c r="C46">
        <f ca="1">SUM(OFFSET(Planned!$E57,0,0,1,Num_Modalities))</f>
        <v>0</v>
      </c>
      <c r="E46" s="68">
        <f t="shared" si="15"/>
        <v>44</v>
      </c>
      <c r="F46" s="37">
        <f t="shared" si="16"/>
        <v>44</v>
      </c>
      <c r="G46" s="69" t="str">
        <f t="shared" si="17"/>
        <v/>
      </c>
      <c r="H46">
        <f ca="1">Planned!E56*'Planned background (hide)'!H$1</f>
        <v>0</v>
      </c>
      <c r="I46">
        <f ca="1">Planned!F56*'Planned background (hide)'!I$1</f>
        <v>0</v>
      </c>
      <c r="J46">
        <f ca="1">Planned!G56*'Planned background (hide)'!J$1</f>
        <v>0</v>
      </c>
      <c r="K46">
        <f ca="1">Planned!H56*'Planned background (hide)'!K$1</f>
        <v>0</v>
      </c>
      <c r="L46">
        <f ca="1">Planned!I56*'Planned background (hide)'!L$1</f>
        <v>0</v>
      </c>
      <c r="M46">
        <f ca="1">Planned!J56*'Planned background (hide)'!M$1</f>
        <v>0</v>
      </c>
      <c r="N46">
        <f ca="1">Planned!K56*'Planned background (hide)'!N$1</f>
        <v>0</v>
      </c>
      <c r="O46">
        <f ca="1">Planned!J56*'Planned background (hide)'!O$1</f>
        <v>0</v>
      </c>
      <c r="P46">
        <f ca="1">Planned!K56*'Planned background (hide)'!P$1</f>
        <v>0</v>
      </c>
      <c r="Q46">
        <f ca="1">Planned!L56*'Planned background (hide)'!Q$1</f>
        <v>0</v>
      </c>
      <c r="R46" s="5">
        <f ca="1">IF(Planned!$C$6="Overall",Planned!O56*'Planned background (hide)'!R$1,"")</f>
        <v>0</v>
      </c>
      <c r="S46" s="5">
        <f ca="1">IF(Planned!R56&lt;&gt;"Yes",IF(Planned!$C$6&lt;&gt;"Overall",SUM(OFFSET('Planned background (hide)'!H46,0,0,1,Num_Modalities)),'Planned background (hide)'!R46),"")</f>
        <v>0</v>
      </c>
      <c r="AB46">
        <f t="shared" si="24"/>
        <v>44</v>
      </c>
      <c r="AC46" s="37">
        <f>IF(Planned!$C$8=0,'Planned background (hide)'!F46,'Planned background (hide)'!G46)</f>
        <v>44</v>
      </c>
      <c r="AD46" s="37">
        <f t="shared" si="2"/>
        <v>0</v>
      </c>
      <c r="AE46" s="5">
        <f t="shared" ca="1" si="25"/>
        <v>0</v>
      </c>
      <c r="AF46" s="5">
        <f t="shared" ca="1" si="3"/>
        <v>140.5344827586207</v>
      </c>
      <c r="AG46">
        <f t="shared" ca="1" si="4"/>
        <v>57.375733675715331</v>
      </c>
      <c r="AH46" s="68">
        <f t="shared" ca="1" si="5"/>
        <v>0</v>
      </c>
      <c r="AI46" s="68">
        <f t="shared" ca="1" si="6"/>
        <v>25.783015407190035</v>
      </c>
      <c r="AJ46" s="68">
        <f t="shared" ca="1" si="7"/>
        <v>83.158749082905359</v>
      </c>
      <c r="AK46">
        <f t="shared" ca="1" si="8"/>
        <v>197.91021643433604</v>
      </c>
      <c r="AL46">
        <f t="shared" ca="1" si="9"/>
        <v>255.28595011005137</v>
      </c>
      <c r="AM46">
        <f t="shared" ca="1" si="10"/>
        <v>312.66168378576668</v>
      </c>
      <c r="AN46">
        <f t="shared" ca="1" si="11"/>
        <v>170.12068965517244</v>
      </c>
      <c r="AO46">
        <f t="shared" ca="1" si="12"/>
        <v>184.91379310344828</v>
      </c>
      <c r="AP46" t="e">
        <f t="shared" ca="1" si="13"/>
        <v>#N/A</v>
      </c>
      <c r="AQ46">
        <f t="shared" ca="1" si="18"/>
        <v>-1</v>
      </c>
      <c r="AR46">
        <f t="shared" ca="1" si="21"/>
        <v>0</v>
      </c>
      <c r="AS46">
        <f t="shared" ca="1" si="19"/>
        <v>0</v>
      </c>
      <c r="AT46" t="e">
        <f t="shared" ca="1" si="22"/>
        <v>#N/A</v>
      </c>
      <c r="AU46">
        <f t="shared" ca="1" si="14"/>
        <v>-1</v>
      </c>
      <c r="AV46">
        <f t="shared" ca="1" si="23"/>
        <v>0</v>
      </c>
      <c r="AW46" s="5">
        <f t="shared" ca="1" si="20"/>
        <v>0</v>
      </c>
      <c r="BH46" s="49" t="str">
        <f ca="1">IF(OR(Planned!B56=1,Planned!B56=""),AC46,Planned!B56)</f>
        <v xml:space="preserve"> </v>
      </c>
      <c r="BI46" t="str">
        <f ca="1">IF(TEXT(Planned!D56,"mmm")&lt;&gt;TEXT(Planned!D55,"mmm"),TEXT(Planned!D56,"mmm"),"")</f>
        <v/>
      </c>
      <c r="BK46" s="68"/>
    </row>
    <row r="47" spans="2:63" x14ac:dyDescent="0.2">
      <c r="B47" s="68">
        <f ca="1">IF(Planned!$C$6&lt;&gt;"Overall",COUNTBLANK(OFFSET(Planned!E58,0,0,1,Num_Modalities)),IF(COUNTBLANK(Planned!O58)=1,Num_Modalities,0))</f>
        <v>2</v>
      </c>
      <c r="C47">
        <f ca="1">SUM(OFFSET(Planned!$E58,0,0,1,Num_Modalities))</f>
        <v>0</v>
      </c>
      <c r="E47" s="68">
        <f t="shared" si="15"/>
        <v>45</v>
      </c>
      <c r="F47" s="37">
        <f t="shared" si="16"/>
        <v>45</v>
      </c>
      <c r="G47" s="69" t="str">
        <f t="shared" si="17"/>
        <v/>
      </c>
      <c r="H47">
        <f ca="1">Planned!E57*'Planned background (hide)'!H$1</f>
        <v>0</v>
      </c>
      <c r="I47">
        <f ca="1">Planned!F57*'Planned background (hide)'!I$1</f>
        <v>0</v>
      </c>
      <c r="J47">
        <f ca="1">Planned!G57*'Planned background (hide)'!J$1</f>
        <v>0</v>
      </c>
      <c r="K47">
        <f ca="1">Planned!H57*'Planned background (hide)'!K$1</f>
        <v>0</v>
      </c>
      <c r="L47">
        <f ca="1">Planned!I57*'Planned background (hide)'!L$1</f>
        <v>0</v>
      </c>
      <c r="M47">
        <f ca="1">Planned!J57*'Planned background (hide)'!M$1</f>
        <v>0</v>
      </c>
      <c r="N47">
        <f ca="1">Planned!K57*'Planned background (hide)'!N$1</f>
        <v>0</v>
      </c>
      <c r="O47">
        <f ca="1">Planned!J57*'Planned background (hide)'!O$1</f>
        <v>0</v>
      </c>
      <c r="P47">
        <f ca="1">Planned!K57*'Planned background (hide)'!P$1</f>
        <v>0</v>
      </c>
      <c r="Q47">
        <f ca="1">Planned!L57*'Planned background (hide)'!Q$1</f>
        <v>0</v>
      </c>
      <c r="R47" s="5">
        <f ca="1">IF(Planned!$C$6="Overall",Planned!O57*'Planned background (hide)'!R$1,"")</f>
        <v>0</v>
      </c>
      <c r="S47" s="5">
        <f ca="1">IF(Planned!R57&lt;&gt;"Yes",IF(Planned!$C$6&lt;&gt;"Overall",SUM(OFFSET('Planned background (hide)'!H47,0,0,1,Num_Modalities)),'Planned background (hide)'!R47),"")</f>
        <v>0</v>
      </c>
      <c r="AB47">
        <f t="shared" si="24"/>
        <v>45</v>
      </c>
      <c r="AC47" s="37">
        <f>IF(Planned!$C$8=0,'Planned background (hide)'!F47,'Planned background (hide)'!G47)</f>
        <v>45</v>
      </c>
      <c r="AD47" s="37">
        <f t="shared" si="2"/>
        <v>0</v>
      </c>
      <c r="AE47" s="5">
        <f t="shared" ca="1" si="25"/>
        <v>0</v>
      </c>
      <c r="AF47" s="5">
        <f t="shared" ca="1" si="3"/>
        <v>140.5344827586207</v>
      </c>
      <c r="AG47">
        <f t="shared" ca="1" si="4"/>
        <v>57.375733675715331</v>
      </c>
      <c r="AH47" s="68">
        <f t="shared" ca="1" si="5"/>
        <v>0</v>
      </c>
      <c r="AI47" s="68">
        <f t="shared" ca="1" si="6"/>
        <v>25.783015407190035</v>
      </c>
      <c r="AJ47" s="68">
        <f t="shared" ca="1" si="7"/>
        <v>83.158749082905359</v>
      </c>
      <c r="AK47">
        <f t="shared" ca="1" si="8"/>
        <v>197.91021643433604</v>
      </c>
      <c r="AL47">
        <f t="shared" ca="1" si="9"/>
        <v>255.28595011005137</v>
      </c>
      <c r="AM47">
        <f t="shared" ca="1" si="10"/>
        <v>312.66168378576668</v>
      </c>
      <c r="AN47">
        <f t="shared" ca="1" si="11"/>
        <v>170.12068965517244</v>
      </c>
      <c r="AO47">
        <f t="shared" ca="1" si="12"/>
        <v>184.91379310344828</v>
      </c>
      <c r="AP47" t="e">
        <f t="shared" ca="1" si="13"/>
        <v>#N/A</v>
      </c>
      <c r="AQ47">
        <f t="shared" ca="1" si="18"/>
        <v>-1</v>
      </c>
      <c r="AR47">
        <f t="shared" ca="1" si="21"/>
        <v>0</v>
      </c>
      <c r="AS47">
        <f t="shared" ca="1" si="19"/>
        <v>0</v>
      </c>
      <c r="AT47" t="e">
        <f t="shared" ca="1" si="22"/>
        <v>#N/A</v>
      </c>
      <c r="AU47">
        <f t="shared" ca="1" si="14"/>
        <v>-1</v>
      </c>
      <c r="AV47">
        <f t="shared" ca="1" si="23"/>
        <v>0</v>
      </c>
      <c r="AW47" s="5">
        <f t="shared" ca="1" si="20"/>
        <v>0</v>
      </c>
      <c r="BH47" s="49" t="str">
        <f ca="1">IF(OR(Planned!B57=1,Planned!B57=""),AC47,Planned!B57)</f>
        <v xml:space="preserve"> </v>
      </c>
      <c r="BI47" t="str">
        <f ca="1">IF(TEXT(Planned!D57,"mmm")&lt;&gt;TEXT(Planned!D56,"mmm"),TEXT(Planned!D57,"mmm"),"")</f>
        <v/>
      </c>
      <c r="BK47" s="68"/>
    </row>
    <row r="48" spans="2:63" x14ac:dyDescent="0.2">
      <c r="B48" s="68">
        <f ca="1">IF(Planned!$C$6&lt;&gt;"Overall",COUNTBLANK(OFFSET(Planned!E59,0,0,1,Num_Modalities)),IF(COUNTBLANK(Planned!O59)=1,Num_Modalities,0))</f>
        <v>2</v>
      </c>
      <c r="C48">
        <f ca="1">SUM(OFFSET(Planned!$E59,0,0,1,Num_Modalities))</f>
        <v>0</v>
      </c>
      <c r="E48" s="68">
        <f t="shared" si="15"/>
        <v>46</v>
      </c>
      <c r="F48" s="37">
        <f t="shared" si="16"/>
        <v>46</v>
      </c>
      <c r="G48" s="69" t="str">
        <f t="shared" si="17"/>
        <v/>
      </c>
      <c r="H48">
        <f ca="1">Planned!E58*'Planned background (hide)'!H$1</f>
        <v>0</v>
      </c>
      <c r="I48">
        <f ca="1">Planned!F58*'Planned background (hide)'!I$1</f>
        <v>0</v>
      </c>
      <c r="J48">
        <f ca="1">Planned!G58*'Planned background (hide)'!J$1</f>
        <v>0</v>
      </c>
      <c r="K48">
        <f ca="1">Planned!H58*'Planned background (hide)'!K$1</f>
        <v>0</v>
      </c>
      <c r="L48">
        <f ca="1">Planned!I58*'Planned background (hide)'!L$1</f>
        <v>0</v>
      </c>
      <c r="M48">
        <f ca="1">Planned!J58*'Planned background (hide)'!M$1</f>
        <v>0</v>
      </c>
      <c r="N48">
        <f ca="1">Planned!K58*'Planned background (hide)'!N$1</f>
        <v>0</v>
      </c>
      <c r="O48">
        <f ca="1">Planned!J58*'Planned background (hide)'!O$1</f>
        <v>0</v>
      </c>
      <c r="P48">
        <f ca="1">Planned!K58*'Planned background (hide)'!P$1</f>
        <v>0</v>
      </c>
      <c r="Q48">
        <f ca="1">Planned!L58*'Planned background (hide)'!Q$1</f>
        <v>0</v>
      </c>
      <c r="R48" s="5">
        <f ca="1">IF(Planned!$C$6="Overall",Planned!O58*'Planned background (hide)'!R$1,"")</f>
        <v>0</v>
      </c>
      <c r="S48" s="5">
        <f ca="1">IF(Planned!R58&lt;&gt;"Yes",IF(Planned!$C$6&lt;&gt;"Overall",SUM(OFFSET('Planned background (hide)'!H48,0,0,1,Num_Modalities)),'Planned background (hide)'!R48),"")</f>
        <v>0</v>
      </c>
      <c r="AB48">
        <f t="shared" si="24"/>
        <v>46</v>
      </c>
      <c r="AC48" s="37">
        <f>IF(Planned!$C$8=0,'Planned background (hide)'!F48,'Planned background (hide)'!G48)</f>
        <v>46</v>
      </c>
      <c r="AD48" s="37">
        <f t="shared" si="2"/>
        <v>0</v>
      </c>
      <c r="AE48" s="5">
        <f t="shared" ca="1" si="25"/>
        <v>0</v>
      </c>
      <c r="AF48" s="5">
        <f t="shared" ca="1" si="3"/>
        <v>140.5344827586207</v>
      </c>
      <c r="AG48">
        <f t="shared" ca="1" si="4"/>
        <v>57.375733675715331</v>
      </c>
      <c r="AH48" s="68">
        <f t="shared" ca="1" si="5"/>
        <v>0</v>
      </c>
      <c r="AI48" s="68">
        <f t="shared" ca="1" si="6"/>
        <v>25.783015407190035</v>
      </c>
      <c r="AJ48" s="68">
        <f t="shared" ca="1" si="7"/>
        <v>83.158749082905359</v>
      </c>
      <c r="AK48">
        <f t="shared" ca="1" si="8"/>
        <v>197.91021643433604</v>
      </c>
      <c r="AL48">
        <f t="shared" ca="1" si="9"/>
        <v>255.28595011005137</v>
      </c>
      <c r="AM48">
        <f t="shared" ca="1" si="10"/>
        <v>312.66168378576668</v>
      </c>
      <c r="AN48">
        <f t="shared" ca="1" si="11"/>
        <v>170.12068965517244</v>
      </c>
      <c r="AO48">
        <f t="shared" ca="1" si="12"/>
        <v>184.91379310344828</v>
      </c>
      <c r="AP48" t="e">
        <f t="shared" ca="1" si="13"/>
        <v>#N/A</v>
      </c>
      <c r="AQ48">
        <f t="shared" ca="1" si="18"/>
        <v>-1</v>
      </c>
      <c r="AR48">
        <f t="shared" ca="1" si="21"/>
        <v>0</v>
      </c>
      <c r="AS48">
        <f t="shared" ca="1" si="19"/>
        <v>0</v>
      </c>
      <c r="AT48" t="e">
        <f t="shared" ca="1" si="22"/>
        <v>#N/A</v>
      </c>
      <c r="AU48">
        <f t="shared" ca="1" si="14"/>
        <v>-1</v>
      </c>
      <c r="AV48">
        <f t="shared" ca="1" si="23"/>
        <v>0</v>
      </c>
      <c r="AW48" s="5">
        <f t="shared" ca="1" si="20"/>
        <v>0</v>
      </c>
      <c r="BH48" s="49" t="str">
        <f ca="1">IF(OR(Planned!B58=1,Planned!B58=""),AC48,Planned!B58)</f>
        <v xml:space="preserve"> </v>
      </c>
      <c r="BI48" t="str">
        <f ca="1">IF(TEXT(Planned!D58,"mmm")&lt;&gt;TEXT(Planned!D57,"mmm"),TEXT(Planned!D58,"mmm"),"")</f>
        <v/>
      </c>
      <c r="BK48" s="68"/>
    </row>
    <row r="49" spans="2:63" x14ac:dyDescent="0.2">
      <c r="B49" s="68">
        <f ca="1">IF(Planned!$C$6&lt;&gt;"Overall",COUNTBLANK(OFFSET(Planned!E60,0,0,1,Num_Modalities)),IF(COUNTBLANK(Planned!O60)=1,Num_Modalities,0))</f>
        <v>2</v>
      </c>
      <c r="C49">
        <f ca="1">SUM(OFFSET(Planned!$E60,0,0,1,Num_Modalities))</f>
        <v>0</v>
      </c>
      <c r="E49" s="68">
        <f t="shared" si="15"/>
        <v>47</v>
      </c>
      <c r="F49" s="37">
        <f t="shared" si="16"/>
        <v>47</v>
      </c>
      <c r="G49" s="69" t="str">
        <f t="shared" si="17"/>
        <v/>
      </c>
      <c r="H49">
        <f ca="1">Planned!E59*'Planned background (hide)'!H$1</f>
        <v>0</v>
      </c>
      <c r="I49">
        <f ca="1">Planned!F59*'Planned background (hide)'!I$1</f>
        <v>0</v>
      </c>
      <c r="J49">
        <f ca="1">Planned!G59*'Planned background (hide)'!J$1</f>
        <v>0</v>
      </c>
      <c r="K49">
        <f ca="1">Planned!H59*'Planned background (hide)'!K$1</f>
        <v>0</v>
      </c>
      <c r="L49">
        <f ca="1">Planned!I59*'Planned background (hide)'!L$1</f>
        <v>0</v>
      </c>
      <c r="M49">
        <f ca="1">Planned!J59*'Planned background (hide)'!M$1</f>
        <v>0</v>
      </c>
      <c r="N49">
        <f ca="1">Planned!K59*'Planned background (hide)'!N$1</f>
        <v>0</v>
      </c>
      <c r="O49">
        <f ca="1">Planned!J59*'Planned background (hide)'!O$1</f>
        <v>0</v>
      </c>
      <c r="P49">
        <f ca="1">Planned!K59*'Planned background (hide)'!P$1</f>
        <v>0</v>
      </c>
      <c r="Q49">
        <f ca="1">Planned!L59*'Planned background (hide)'!Q$1</f>
        <v>0</v>
      </c>
      <c r="R49" s="5">
        <f ca="1">IF(Planned!$C$6="Overall",Planned!O59*'Planned background (hide)'!R$1,"")</f>
        <v>0</v>
      </c>
      <c r="S49" s="5">
        <f ca="1">IF(Planned!R59&lt;&gt;"Yes",IF(Planned!$C$6&lt;&gt;"Overall",SUM(OFFSET('Planned background (hide)'!H49,0,0,1,Num_Modalities)),'Planned background (hide)'!R49),"")</f>
        <v>0</v>
      </c>
      <c r="AB49">
        <f t="shared" si="24"/>
        <v>47</v>
      </c>
      <c r="AC49" s="37">
        <f>IF(Planned!$C$8=0,'Planned background (hide)'!F49,'Planned background (hide)'!G49)</f>
        <v>47</v>
      </c>
      <c r="AD49" s="37">
        <f t="shared" si="2"/>
        <v>0</v>
      </c>
      <c r="AE49" s="5">
        <f t="shared" ca="1" si="25"/>
        <v>0</v>
      </c>
      <c r="AF49" s="5">
        <f t="shared" ca="1" si="3"/>
        <v>140.5344827586207</v>
      </c>
      <c r="AG49">
        <f t="shared" ca="1" si="4"/>
        <v>57.375733675715331</v>
      </c>
      <c r="AH49" s="68">
        <f t="shared" ca="1" si="5"/>
        <v>0</v>
      </c>
      <c r="AI49" s="68">
        <f t="shared" ca="1" si="6"/>
        <v>25.783015407190035</v>
      </c>
      <c r="AJ49" s="68">
        <f t="shared" ca="1" si="7"/>
        <v>83.158749082905359</v>
      </c>
      <c r="AK49">
        <f t="shared" ca="1" si="8"/>
        <v>197.91021643433604</v>
      </c>
      <c r="AL49">
        <f t="shared" ca="1" si="9"/>
        <v>255.28595011005137</v>
      </c>
      <c r="AM49">
        <f t="shared" ca="1" si="10"/>
        <v>312.66168378576668</v>
      </c>
      <c r="AN49">
        <f t="shared" ca="1" si="11"/>
        <v>170.12068965517244</v>
      </c>
      <c r="AO49">
        <f t="shared" ca="1" si="12"/>
        <v>184.91379310344828</v>
      </c>
      <c r="AP49" t="e">
        <f t="shared" ca="1" si="13"/>
        <v>#N/A</v>
      </c>
      <c r="AQ49">
        <f t="shared" ca="1" si="18"/>
        <v>-1</v>
      </c>
      <c r="AR49">
        <f t="shared" ca="1" si="21"/>
        <v>0</v>
      </c>
      <c r="AS49">
        <f t="shared" ca="1" si="19"/>
        <v>0</v>
      </c>
      <c r="AT49" t="e">
        <f t="shared" ca="1" si="22"/>
        <v>#N/A</v>
      </c>
      <c r="AU49">
        <f t="shared" ca="1" si="14"/>
        <v>-1</v>
      </c>
      <c r="AV49">
        <f t="shared" ca="1" si="23"/>
        <v>0</v>
      </c>
      <c r="AW49" s="5">
        <f t="shared" ca="1" si="20"/>
        <v>0</v>
      </c>
      <c r="BH49" s="49" t="str">
        <f ca="1">IF(OR(Planned!B59=1,Planned!B59=""),AC49,Planned!B59)</f>
        <v xml:space="preserve"> </v>
      </c>
      <c r="BI49" t="str">
        <f ca="1">IF(TEXT(Planned!D59,"mmm")&lt;&gt;TEXT(Planned!D58,"mmm"),TEXT(Planned!D59,"mmm"),"")</f>
        <v/>
      </c>
      <c r="BK49" s="68"/>
    </row>
    <row r="50" spans="2:63" x14ac:dyDescent="0.2">
      <c r="B50" s="68">
        <f ca="1">IF(Planned!$C$6&lt;&gt;"Overall",COUNTBLANK(OFFSET(Planned!E61,0,0,1,Num_Modalities)),IF(COUNTBLANK(Planned!O61)=1,Num_Modalities,0))</f>
        <v>2</v>
      </c>
      <c r="C50">
        <f ca="1">SUM(OFFSET(Planned!$E61,0,0,1,Num_Modalities))</f>
        <v>0</v>
      </c>
      <c r="E50" s="68">
        <f t="shared" si="15"/>
        <v>48</v>
      </c>
      <c r="F50" s="37">
        <f t="shared" si="16"/>
        <v>48</v>
      </c>
      <c r="G50" s="69" t="str">
        <f t="shared" si="17"/>
        <v/>
      </c>
      <c r="H50">
        <f ca="1">Planned!E60*'Planned background (hide)'!H$1</f>
        <v>0</v>
      </c>
      <c r="I50">
        <f ca="1">Planned!F60*'Planned background (hide)'!I$1</f>
        <v>0</v>
      </c>
      <c r="J50">
        <f ca="1">Planned!G60*'Planned background (hide)'!J$1</f>
        <v>0</v>
      </c>
      <c r="K50">
        <f ca="1">Planned!H60*'Planned background (hide)'!K$1</f>
        <v>0</v>
      </c>
      <c r="L50">
        <f ca="1">Planned!I60*'Planned background (hide)'!L$1</f>
        <v>0</v>
      </c>
      <c r="M50">
        <f ca="1">Planned!J60*'Planned background (hide)'!M$1</f>
        <v>0</v>
      </c>
      <c r="N50">
        <f ca="1">Planned!K60*'Planned background (hide)'!N$1</f>
        <v>0</v>
      </c>
      <c r="O50">
        <f ca="1">Planned!J60*'Planned background (hide)'!O$1</f>
        <v>0</v>
      </c>
      <c r="P50">
        <f ca="1">Planned!K60*'Planned background (hide)'!P$1</f>
        <v>0</v>
      </c>
      <c r="Q50">
        <f ca="1">Planned!L60*'Planned background (hide)'!Q$1</f>
        <v>0</v>
      </c>
      <c r="R50" s="5">
        <f ca="1">IF(Planned!$C$6="Overall",Planned!O60*'Planned background (hide)'!R$1,"")</f>
        <v>0</v>
      </c>
      <c r="S50" s="5">
        <f ca="1">IF(Planned!R60&lt;&gt;"Yes",IF(Planned!$C$6&lt;&gt;"Overall",SUM(OFFSET('Planned background (hide)'!H50,0,0,1,Num_Modalities)),'Planned background (hide)'!R50),"")</f>
        <v>0</v>
      </c>
      <c r="AB50">
        <f t="shared" si="24"/>
        <v>48</v>
      </c>
      <c r="AC50" s="37">
        <f>IF(Planned!$C$8=0,'Planned background (hide)'!F50,'Planned background (hide)'!G50)</f>
        <v>48</v>
      </c>
      <c r="AD50" s="37">
        <f t="shared" si="2"/>
        <v>0</v>
      </c>
      <c r="AE50" s="5">
        <f t="shared" ca="1" si="25"/>
        <v>0</v>
      </c>
      <c r="AF50" s="5">
        <f t="shared" ca="1" si="3"/>
        <v>140.5344827586207</v>
      </c>
      <c r="AG50">
        <f t="shared" ca="1" si="4"/>
        <v>57.375733675715331</v>
      </c>
      <c r="AH50" s="68">
        <f t="shared" ca="1" si="5"/>
        <v>0</v>
      </c>
      <c r="AI50" s="68">
        <f t="shared" ca="1" si="6"/>
        <v>25.783015407190035</v>
      </c>
      <c r="AJ50" s="68">
        <f t="shared" ca="1" si="7"/>
        <v>83.158749082905359</v>
      </c>
      <c r="AK50">
        <f t="shared" ca="1" si="8"/>
        <v>197.91021643433604</v>
      </c>
      <c r="AL50">
        <f t="shared" ca="1" si="9"/>
        <v>255.28595011005137</v>
      </c>
      <c r="AM50">
        <f t="shared" ca="1" si="10"/>
        <v>312.66168378576668</v>
      </c>
      <c r="AN50">
        <f t="shared" ca="1" si="11"/>
        <v>170.12068965517244</v>
      </c>
      <c r="AO50">
        <f t="shared" ca="1" si="12"/>
        <v>184.91379310344828</v>
      </c>
      <c r="AP50" t="e">
        <f t="shared" ca="1" si="13"/>
        <v>#N/A</v>
      </c>
      <c r="AQ50">
        <f t="shared" ca="1" si="18"/>
        <v>-1</v>
      </c>
      <c r="AR50">
        <f t="shared" ca="1" si="21"/>
        <v>0</v>
      </c>
      <c r="AS50">
        <f t="shared" ca="1" si="19"/>
        <v>0</v>
      </c>
      <c r="AT50" t="e">
        <f t="shared" ca="1" si="22"/>
        <v>#N/A</v>
      </c>
      <c r="AU50">
        <f t="shared" ca="1" si="14"/>
        <v>-1</v>
      </c>
      <c r="AV50">
        <f t="shared" ca="1" si="23"/>
        <v>0</v>
      </c>
      <c r="AW50" s="5">
        <f t="shared" ca="1" si="20"/>
        <v>0</v>
      </c>
      <c r="BH50" s="49" t="str">
        <f ca="1">IF(OR(Planned!B60=1,Planned!B60=""),AC50,Planned!B60)</f>
        <v xml:space="preserve"> </v>
      </c>
      <c r="BI50" t="str">
        <f ca="1">IF(TEXT(Planned!D60,"mmm")&lt;&gt;TEXT(Planned!D59,"mmm"),TEXT(Planned!D60,"mmm"),"")</f>
        <v/>
      </c>
      <c r="BK50" s="68"/>
    </row>
    <row r="51" spans="2:63" x14ac:dyDescent="0.2">
      <c r="B51" s="68">
        <f ca="1">IF(Planned!$C$6&lt;&gt;"Overall",COUNTBLANK(OFFSET(Planned!E62,0,0,1,Num_Modalities)),IF(COUNTBLANK(Planned!O62)=1,Num_Modalities,0))</f>
        <v>2</v>
      </c>
      <c r="C51">
        <f ca="1">SUM(OFFSET(Planned!$E62,0,0,1,Num_Modalities))</f>
        <v>0</v>
      </c>
      <c r="E51" s="68">
        <f t="shared" si="15"/>
        <v>49</v>
      </c>
      <c r="F51" s="37">
        <f t="shared" si="16"/>
        <v>49</v>
      </c>
      <c r="G51" s="69" t="str">
        <f t="shared" si="17"/>
        <v/>
      </c>
      <c r="H51">
        <f ca="1">Planned!E61*'Planned background (hide)'!H$1</f>
        <v>0</v>
      </c>
      <c r="I51">
        <f ca="1">Planned!F61*'Planned background (hide)'!I$1</f>
        <v>0</v>
      </c>
      <c r="J51">
        <f ca="1">Planned!G61*'Planned background (hide)'!J$1</f>
        <v>0</v>
      </c>
      <c r="K51">
        <f ca="1">Planned!H61*'Planned background (hide)'!K$1</f>
        <v>0</v>
      </c>
      <c r="L51">
        <f ca="1">Planned!I61*'Planned background (hide)'!L$1</f>
        <v>0</v>
      </c>
      <c r="M51">
        <f ca="1">Planned!J61*'Planned background (hide)'!M$1</f>
        <v>0</v>
      </c>
      <c r="N51">
        <f ca="1">Planned!K61*'Planned background (hide)'!N$1</f>
        <v>0</v>
      </c>
      <c r="O51">
        <f ca="1">Planned!J61*'Planned background (hide)'!O$1</f>
        <v>0</v>
      </c>
      <c r="P51">
        <f ca="1">Planned!K61*'Planned background (hide)'!P$1</f>
        <v>0</v>
      </c>
      <c r="Q51">
        <f ca="1">Planned!L61*'Planned background (hide)'!Q$1</f>
        <v>0</v>
      </c>
      <c r="R51" s="5">
        <f ca="1">IF(Planned!$C$6="Overall",Planned!O61*'Planned background (hide)'!R$1,"")</f>
        <v>0</v>
      </c>
      <c r="S51" s="5">
        <f ca="1">IF(Planned!R61&lt;&gt;"Yes",IF(Planned!$C$6&lt;&gt;"Overall",SUM(OFFSET('Planned background (hide)'!H51,0,0,1,Num_Modalities)),'Planned background (hide)'!R51),"")</f>
        <v>0</v>
      </c>
      <c r="AB51">
        <f t="shared" si="24"/>
        <v>49</v>
      </c>
      <c r="AC51" s="37">
        <f>IF(Planned!$C$8=0,'Planned background (hide)'!F51,'Planned background (hide)'!G51)</f>
        <v>49</v>
      </c>
      <c r="AD51" s="37">
        <f t="shared" si="2"/>
        <v>0</v>
      </c>
      <c r="AE51" s="5">
        <f t="shared" ca="1" si="25"/>
        <v>0</v>
      </c>
      <c r="AF51" s="5">
        <f t="shared" ca="1" si="3"/>
        <v>140.5344827586207</v>
      </c>
      <c r="AG51">
        <f t="shared" ca="1" si="4"/>
        <v>57.375733675715331</v>
      </c>
      <c r="AH51" s="68">
        <f t="shared" ca="1" si="5"/>
        <v>0</v>
      </c>
      <c r="AI51" s="68">
        <f t="shared" ca="1" si="6"/>
        <v>25.783015407190035</v>
      </c>
      <c r="AJ51" s="68">
        <f t="shared" ca="1" si="7"/>
        <v>83.158749082905359</v>
      </c>
      <c r="AK51">
        <f t="shared" ca="1" si="8"/>
        <v>197.91021643433604</v>
      </c>
      <c r="AL51">
        <f t="shared" ca="1" si="9"/>
        <v>255.28595011005137</v>
      </c>
      <c r="AM51">
        <f t="shared" ca="1" si="10"/>
        <v>312.66168378576668</v>
      </c>
      <c r="AN51">
        <f t="shared" ca="1" si="11"/>
        <v>170.12068965517244</v>
      </c>
      <c r="AO51">
        <f t="shared" ca="1" si="12"/>
        <v>184.91379310344828</v>
      </c>
      <c r="AP51" t="e">
        <f t="shared" ca="1" si="13"/>
        <v>#N/A</v>
      </c>
      <c r="AQ51">
        <f t="shared" ca="1" si="18"/>
        <v>-1</v>
      </c>
      <c r="AR51">
        <f t="shared" ca="1" si="21"/>
        <v>0</v>
      </c>
      <c r="AS51">
        <f t="shared" ca="1" si="19"/>
        <v>0</v>
      </c>
      <c r="AT51" t="e">
        <f t="shared" ca="1" si="22"/>
        <v>#N/A</v>
      </c>
      <c r="AU51">
        <f t="shared" ca="1" si="14"/>
        <v>-1</v>
      </c>
      <c r="AV51">
        <f t="shared" ca="1" si="23"/>
        <v>0</v>
      </c>
      <c r="AW51" s="5">
        <f t="shared" ca="1" si="20"/>
        <v>0</v>
      </c>
      <c r="BH51" s="49" t="str">
        <f ca="1">IF(OR(Planned!B61=1,Planned!B61=""),AC51,Planned!B61)</f>
        <v xml:space="preserve"> </v>
      </c>
      <c r="BI51" t="str">
        <f ca="1">IF(TEXT(Planned!D61,"mmm")&lt;&gt;TEXT(Planned!D60,"mmm"),TEXT(Planned!D61,"mmm"),"")</f>
        <v/>
      </c>
      <c r="BK51" s="68"/>
    </row>
    <row r="52" spans="2:63" x14ac:dyDescent="0.2">
      <c r="B52" s="68">
        <f ca="1">IF(Planned!$C$6&lt;&gt;"Overall",COUNTBLANK(OFFSET(Planned!E63,0,0,1,Num_Modalities)),IF(COUNTBLANK(Planned!O63)=1,Num_Modalities,0))</f>
        <v>2</v>
      </c>
      <c r="C52">
        <f ca="1">SUM(OFFSET(Planned!$E63,0,0,1,Num_Modalities))</f>
        <v>0</v>
      </c>
      <c r="E52" s="68">
        <f t="shared" si="15"/>
        <v>50</v>
      </c>
      <c r="F52" s="37">
        <f t="shared" si="16"/>
        <v>50</v>
      </c>
      <c r="G52" s="69" t="str">
        <f t="shared" si="17"/>
        <v/>
      </c>
      <c r="H52">
        <f ca="1">Planned!E62*'Planned background (hide)'!H$1</f>
        <v>0</v>
      </c>
      <c r="I52">
        <f ca="1">Planned!F62*'Planned background (hide)'!I$1</f>
        <v>0</v>
      </c>
      <c r="J52">
        <f ca="1">Planned!G62*'Planned background (hide)'!J$1</f>
        <v>0</v>
      </c>
      <c r="K52">
        <f ca="1">Planned!H62*'Planned background (hide)'!K$1</f>
        <v>0</v>
      </c>
      <c r="L52">
        <f ca="1">Planned!I62*'Planned background (hide)'!L$1</f>
        <v>0</v>
      </c>
      <c r="M52">
        <f ca="1">Planned!J62*'Planned background (hide)'!M$1</f>
        <v>0</v>
      </c>
      <c r="N52">
        <f ca="1">Planned!K62*'Planned background (hide)'!N$1</f>
        <v>0</v>
      </c>
      <c r="O52">
        <f ca="1">Planned!J62*'Planned background (hide)'!O$1</f>
        <v>0</v>
      </c>
      <c r="P52">
        <f ca="1">Planned!K62*'Planned background (hide)'!P$1</f>
        <v>0</v>
      </c>
      <c r="Q52">
        <f ca="1">Planned!L62*'Planned background (hide)'!Q$1</f>
        <v>0</v>
      </c>
      <c r="R52" s="5">
        <f ca="1">IF(Planned!$C$6="Overall",Planned!O62*'Planned background (hide)'!R$1,"")</f>
        <v>0</v>
      </c>
      <c r="S52" s="5">
        <f ca="1">IF(Planned!R62&lt;&gt;"Yes",IF(Planned!$C$6&lt;&gt;"Overall",SUM(OFFSET('Planned background (hide)'!H52,0,0,1,Num_Modalities)),'Planned background (hide)'!R52),"")</f>
        <v>0</v>
      </c>
      <c r="AB52">
        <f t="shared" si="24"/>
        <v>50</v>
      </c>
      <c r="AC52" s="37">
        <f>IF(Planned!$C$8=0,'Planned background (hide)'!F52,'Planned background (hide)'!G52)</f>
        <v>50</v>
      </c>
      <c r="AD52" s="37">
        <f t="shared" si="2"/>
        <v>0</v>
      </c>
      <c r="AE52" s="5">
        <f t="shared" ca="1" si="25"/>
        <v>0</v>
      </c>
      <c r="AF52" s="5">
        <f t="shared" ca="1" si="3"/>
        <v>140.5344827586207</v>
      </c>
      <c r="AG52">
        <f t="shared" ca="1" si="4"/>
        <v>57.375733675715331</v>
      </c>
      <c r="AH52" s="68">
        <f t="shared" ca="1" si="5"/>
        <v>0</v>
      </c>
      <c r="AI52" s="68">
        <f t="shared" ca="1" si="6"/>
        <v>25.783015407190035</v>
      </c>
      <c r="AJ52" s="68">
        <f t="shared" ca="1" si="7"/>
        <v>83.158749082905359</v>
      </c>
      <c r="AK52">
        <f t="shared" ca="1" si="8"/>
        <v>197.91021643433604</v>
      </c>
      <c r="AL52">
        <f t="shared" ca="1" si="9"/>
        <v>255.28595011005137</v>
      </c>
      <c r="AM52">
        <f t="shared" ca="1" si="10"/>
        <v>312.66168378576668</v>
      </c>
      <c r="AN52">
        <f t="shared" ca="1" si="11"/>
        <v>170.12068965517244</v>
      </c>
      <c r="AO52">
        <f t="shared" ca="1" si="12"/>
        <v>184.91379310344828</v>
      </c>
      <c r="AP52" t="e">
        <f t="shared" ca="1" si="13"/>
        <v>#N/A</v>
      </c>
      <c r="AQ52">
        <f t="shared" ca="1" si="18"/>
        <v>-1</v>
      </c>
      <c r="AR52">
        <f t="shared" ca="1" si="21"/>
        <v>0</v>
      </c>
      <c r="AS52">
        <f t="shared" ca="1" si="19"/>
        <v>0</v>
      </c>
      <c r="AT52" t="e">
        <f t="shared" ca="1" si="22"/>
        <v>#N/A</v>
      </c>
      <c r="AU52">
        <f t="shared" ca="1" si="14"/>
        <v>-1</v>
      </c>
      <c r="AV52">
        <f t="shared" ca="1" si="23"/>
        <v>0</v>
      </c>
      <c r="AW52" s="5">
        <f t="shared" ca="1" si="20"/>
        <v>0</v>
      </c>
      <c r="BH52" s="49" t="str">
        <f ca="1">IF(OR(Planned!B62=1,Planned!B62=""),AC52,Planned!B62)</f>
        <v xml:space="preserve"> </v>
      </c>
      <c r="BI52" t="str">
        <f ca="1">IF(TEXT(Planned!D62,"mmm")&lt;&gt;TEXT(Planned!D61,"mmm"),TEXT(Planned!D62,"mmm"),"")</f>
        <v/>
      </c>
      <c r="BK52" s="68"/>
    </row>
    <row r="53" spans="2:63" x14ac:dyDescent="0.2">
      <c r="B53" s="68">
        <f ca="1">IF(Planned!$C$6&lt;&gt;"Overall",COUNTBLANK(OFFSET(Planned!E64,0,0,1,Num_Modalities)),IF(COUNTBLANK(Planned!O64)=1,Num_Modalities,0))</f>
        <v>2</v>
      </c>
      <c r="C53">
        <f ca="1">SUM(OFFSET(Planned!$E64,0,0,1,Num_Modalities))</f>
        <v>0</v>
      </c>
      <c r="E53" s="68">
        <f t="shared" si="15"/>
        <v>51</v>
      </c>
      <c r="F53" s="37">
        <f t="shared" si="16"/>
        <v>51</v>
      </c>
      <c r="G53" s="69" t="str">
        <f t="shared" si="17"/>
        <v/>
      </c>
      <c r="H53">
        <f ca="1">Planned!E63*'Planned background (hide)'!H$1</f>
        <v>0</v>
      </c>
      <c r="I53">
        <f ca="1">Planned!F63*'Planned background (hide)'!I$1</f>
        <v>0</v>
      </c>
      <c r="J53">
        <f ca="1">Planned!G63*'Planned background (hide)'!J$1</f>
        <v>0</v>
      </c>
      <c r="K53">
        <f ca="1">Planned!H63*'Planned background (hide)'!K$1</f>
        <v>0</v>
      </c>
      <c r="L53">
        <f ca="1">Planned!I63*'Planned background (hide)'!L$1</f>
        <v>0</v>
      </c>
      <c r="M53">
        <f ca="1">Planned!J63*'Planned background (hide)'!M$1</f>
        <v>0</v>
      </c>
      <c r="N53">
        <f ca="1">Planned!K63*'Planned background (hide)'!N$1</f>
        <v>0</v>
      </c>
      <c r="O53">
        <f ca="1">Planned!J63*'Planned background (hide)'!O$1</f>
        <v>0</v>
      </c>
      <c r="P53">
        <f ca="1">Planned!K63*'Planned background (hide)'!P$1</f>
        <v>0</v>
      </c>
      <c r="Q53">
        <f ca="1">Planned!L63*'Planned background (hide)'!Q$1</f>
        <v>0</v>
      </c>
      <c r="R53" s="5">
        <f ca="1">IF(Planned!$C$6="Overall",Planned!O63*'Planned background (hide)'!R$1,"")</f>
        <v>0</v>
      </c>
      <c r="S53" s="5">
        <f ca="1">IF(Planned!R63&lt;&gt;"Yes",IF(Planned!$C$6&lt;&gt;"Overall",SUM(OFFSET('Planned background (hide)'!H53,0,0,1,Num_Modalities)),'Planned background (hide)'!R53),"")</f>
        <v>0</v>
      </c>
      <c r="AB53">
        <f t="shared" ref="AB53:AB55" si="26">E53</f>
        <v>51</v>
      </c>
      <c r="AC53" s="37">
        <f>IF(Planned!$C$8=0,'Planned background (hide)'!F53,'Planned background (hide)'!G53)</f>
        <v>51</v>
      </c>
      <c r="AD53" s="37">
        <f t="shared" si="2"/>
        <v>0</v>
      </c>
      <c r="AE53" s="5">
        <f t="shared" ca="1" si="25"/>
        <v>0</v>
      </c>
      <c r="AF53" s="5">
        <f t="shared" ca="1" si="3"/>
        <v>140.5344827586207</v>
      </c>
      <c r="AG53">
        <f t="shared" ca="1" si="4"/>
        <v>57.375733675715331</v>
      </c>
      <c r="AH53" s="68">
        <f t="shared" ca="1" si="5"/>
        <v>0</v>
      </c>
      <c r="AI53" s="68">
        <f t="shared" ca="1" si="6"/>
        <v>25.783015407190035</v>
      </c>
      <c r="AJ53" s="68">
        <f t="shared" ca="1" si="7"/>
        <v>83.158749082905359</v>
      </c>
      <c r="AK53">
        <f t="shared" ca="1" si="8"/>
        <v>197.91021643433604</v>
      </c>
      <c r="AL53">
        <f t="shared" ca="1" si="9"/>
        <v>255.28595011005137</v>
      </c>
      <c r="AM53">
        <f t="shared" ca="1" si="10"/>
        <v>312.66168378576668</v>
      </c>
      <c r="AN53">
        <f t="shared" ca="1" si="11"/>
        <v>170.12068965517244</v>
      </c>
      <c r="AO53">
        <f t="shared" ca="1" si="12"/>
        <v>184.91379310344828</v>
      </c>
      <c r="AP53" t="e">
        <f t="shared" ca="1" si="13"/>
        <v>#N/A</v>
      </c>
      <c r="AQ53">
        <f t="shared" ca="1" si="18"/>
        <v>-1</v>
      </c>
      <c r="AR53">
        <f t="shared" ca="1" si="21"/>
        <v>0</v>
      </c>
      <c r="AS53">
        <f t="shared" ca="1" si="19"/>
        <v>0</v>
      </c>
      <c r="AT53" t="e">
        <f t="shared" ca="1" si="22"/>
        <v>#N/A</v>
      </c>
      <c r="AU53">
        <f t="shared" ca="1" si="14"/>
        <v>-1</v>
      </c>
      <c r="AV53">
        <f t="shared" ca="1" si="23"/>
        <v>0</v>
      </c>
      <c r="AW53" s="5">
        <f t="shared" ca="1" si="20"/>
        <v>0</v>
      </c>
      <c r="BH53" s="49" t="str">
        <f ca="1">IF(OR(Planned!B63=1,Planned!B63=""),AC53,Planned!B63)</f>
        <v xml:space="preserve"> </v>
      </c>
      <c r="BI53" t="str">
        <f ca="1">IF(TEXT(Planned!D63,"mmm")&lt;&gt;TEXT(Planned!D62,"mmm"),TEXT(Planned!D63,"mmm"),"")</f>
        <v/>
      </c>
    </row>
    <row r="54" spans="2:63" x14ac:dyDescent="0.2">
      <c r="E54" s="68">
        <f t="shared" si="15"/>
        <v>52</v>
      </c>
      <c r="F54" s="37">
        <f t="shared" si="16"/>
        <v>52</v>
      </c>
      <c r="G54" s="69" t="str">
        <f t="shared" si="17"/>
        <v/>
      </c>
      <c r="H54">
        <f ca="1">Planned!E64*'Planned background (hide)'!H$1</f>
        <v>0</v>
      </c>
      <c r="I54">
        <f ca="1">Planned!F64*'Planned background (hide)'!I$1</f>
        <v>0</v>
      </c>
      <c r="J54">
        <f ca="1">Planned!G64*'Planned background (hide)'!J$1</f>
        <v>0</v>
      </c>
      <c r="K54">
        <f ca="1">Planned!H64*'Planned background (hide)'!K$1</f>
        <v>0</v>
      </c>
      <c r="L54">
        <f ca="1">Planned!I64*'Planned background (hide)'!L$1</f>
        <v>0</v>
      </c>
      <c r="M54">
        <f ca="1">Planned!J64*'Planned background (hide)'!M$1</f>
        <v>0</v>
      </c>
      <c r="N54">
        <f ca="1">Planned!K64*'Planned background (hide)'!N$1</f>
        <v>0</v>
      </c>
      <c r="O54">
        <f ca="1">Planned!J64*'Planned background (hide)'!O$1</f>
        <v>0</v>
      </c>
      <c r="P54">
        <f ca="1">Planned!K64*'Planned background (hide)'!P$1</f>
        <v>0</v>
      </c>
      <c r="Q54">
        <f ca="1">Planned!L64*'Planned background (hide)'!Q$1</f>
        <v>0</v>
      </c>
      <c r="R54" s="5">
        <f ca="1">IF(Planned!$C$6="Overall",Planned!O64*'Planned background (hide)'!R$1,"")</f>
        <v>0</v>
      </c>
      <c r="S54" s="5">
        <f ca="1">IF(Planned!R64&lt;&gt;"Yes",IF(Planned!$C$6&lt;&gt;"Overall",SUM(OFFSET('Planned background (hide)'!H54,0,0,1,Num_Modalities)),'Planned background (hide)'!R54),"")</f>
        <v>0</v>
      </c>
      <c r="AB54">
        <f t="shared" si="26"/>
        <v>52</v>
      </c>
      <c r="AC54" s="37">
        <f>IF(Planned!$C$8=0,'Planned background (hide)'!F54,'Planned background (hide)'!G54)</f>
        <v>52</v>
      </c>
      <c r="AD54" s="37">
        <f t="shared" si="2"/>
        <v>0</v>
      </c>
      <c r="AE54" s="5">
        <f t="shared" ca="1" si="25"/>
        <v>0</v>
      </c>
      <c r="AF54" s="5">
        <f t="shared" ca="1" si="3"/>
        <v>140.5344827586207</v>
      </c>
      <c r="AG54">
        <f t="shared" ca="1" si="4"/>
        <v>57.375733675715331</v>
      </c>
      <c r="AH54" s="68">
        <f t="shared" ca="1" si="5"/>
        <v>0</v>
      </c>
      <c r="AI54" s="68">
        <f t="shared" ca="1" si="6"/>
        <v>25.783015407190035</v>
      </c>
      <c r="AJ54" s="68">
        <f t="shared" ca="1" si="7"/>
        <v>83.158749082905359</v>
      </c>
      <c r="AK54">
        <f t="shared" ca="1" si="8"/>
        <v>197.91021643433604</v>
      </c>
      <c r="AL54">
        <f t="shared" ca="1" si="9"/>
        <v>255.28595011005137</v>
      </c>
      <c r="AM54">
        <f t="shared" ca="1" si="10"/>
        <v>312.66168378576668</v>
      </c>
      <c r="AN54">
        <f t="shared" ca="1" si="11"/>
        <v>170.12068965517244</v>
      </c>
      <c r="AO54">
        <f t="shared" ca="1" si="12"/>
        <v>184.91379310344828</v>
      </c>
      <c r="AP54" t="e">
        <f t="shared" ca="1" si="13"/>
        <v>#N/A</v>
      </c>
      <c r="AQ54">
        <f t="shared" ca="1" si="18"/>
        <v>-1</v>
      </c>
      <c r="AR54">
        <f t="shared" ca="1" si="21"/>
        <v>0</v>
      </c>
      <c r="AS54">
        <f t="shared" ca="1" si="19"/>
        <v>0</v>
      </c>
      <c r="AT54" t="e">
        <f t="shared" ca="1" si="22"/>
        <v>#N/A</v>
      </c>
      <c r="AU54">
        <f t="shared" ca="1" si="14"/>
        <v>-1</v>
      </c>
      <c r="AV54">
        <f t="shared" ca="1" si="23"/>
        <v>0</v>
      </c>
      <c r="AW54" s="5">
        <f t="shared" ca="1" si="20"/>
        <v>0</v>
      </c>
      <c r="BH54" s="49" t="str">
        <f ca="1">IF(OR(Planned!B64=1,Planned!B64=""),AC54,Planned!B64)</f>
        <v xml:space="preserve"> </v>
      </c>
      <c r="BI54" t="str">
        <f ca="1">IF(TEXT(Planned!D64,"mmm")&lt;&gt;TEXT(Planned!D63,"mmm"),TEXT(Planned!D64,"mmm"),"")</f>
        <v/>
      </c>
    </row>
    <row r="55" spans="2:63" x14ac:dyDescent="0.2">
      <c r="E55" s="68">
        <f t="shared" si="15"/>
        <v>53</v>
      </c>
      <c r="F55" s="304">
        <f>IF(MAX(F3:F54)=53,(WEEKNUM(G55,21)),53)</f>
        <v>53</v>
      </c>
      <c r="G55" s="303" t="str">
        <f t="shared" si="17"/>
        <v/>
      </c>
      <c r="H55" s="68">
        <f ca="1">Planned!E65*'Planned background (hide)'!H$1</f>
        <v>0</v>
      </c>
      <c r="I55" s="68">
        <f ca="1">Planned!F65*'Planned background (hide)'!I$1</f>
        <v>0</v>
      </c>
      <c r="J55" s="68">
        <f ca="1">Planned!G65*'Planned background (hide)'!J$1</f>
        <v>0</v>
      </c>
      <c r="K55" s="68">
        <f ca="1">Planned!H65*'Planned background (hide)'!K$1</f>
        <v>0</v>
      </c>
      <c r="L55" s="68">
        <f ca="1">Planned!I65*'Planned background (hide)'!L$1</f>
        <v>0</v>
      </c>
      <c r="M55" s="68">
        <f ca="1">Planned!J65*'Planned background (hide)'!M$1</f>
        <v>0</v>
      </c>
      <c r="N55" s="68">
        <f ca="1">Planned!K65*'Planned background (hide)'!N$1</f>
        <v>0</v>
      </c>
      <c r="O55" s="68">
        <f ca="1">Planned!J65*'Planned background (hide)'!O$1</f>
        <v>0</v>
      </c>
      <c r="P55" s="68">
        <f ca="1">Planned!K65*'Planned background (hide)'!P$1</f>
        <v>0</v>
      </c>
      <c r="Q55" s="68">
        <f ca="1">Planned!L65*'Planned background (hide)'!Q$1</f>
        <v>0</v>
      </c>
      <c r="R55" s="5">
        <f ca="1">IF(Planned!$C$6="Overall",Planned!O65*'Planned background (hide)'!R$1,"")</f>
        <v>0</v>
      </c>
      <c r="S55" s="5">
        <f ca="1">IF(Planned!R65&lt;&gt;"Yes",IF(Planned!$C$6&lt;&gt;"Overall",SUM(OFFSET('Planned background (hide)'!H55,0,0,1,Num_Modalities)),'Planned background (hide)'!R55),"")</f>
        <v>0</v>
      </c>
      <c r="AB55" s="68">
        <f t="shared" si="26"/>
        <v>53</v>
      </c>
      <c r="AC55" s="37">
        <f>IF(Planned!$C$8=0,'Planned background (hide)'!F55,'Planned background (hide)'!G55)</f>
        <v>53</v>
      </c>
      <c r="AD55" s="37">
        <f t="shared" ref="AD55" si="27">IF(AND(AB55&gt;$U$18,AB55&lt;($U$18+$AA$19)),1,0)</f>
        <v>0</v>
      </c>
      <c r="AE55" s="5">
        <f ca="1">S55</f>
        <v>0</v>
      </c>
      <c r="AF55" s="5">
        <f t="shared" ca="1" si="3"/>
        <v>140.5344827586207</v>
      </c>
      <c r="AG55" s="68">
        <f t="shared" ca="1" si="4"/>
        <v>57.375733675715331</v>
      </c>
      <c r="AH55" s="68">
        <f t="shared" ref="AH55" ca="1" si="28">IF(AF55-(3*AG55)&lt;=0,0,AF55-(3*AG55))</f>
        <v>0</v>
      </c>
      <c r="AI55" s="68">
        <f t="shared" ref="AI55" ca="1" si="29">IF(AF55-(2*AG55)&lt;=0,0,AF55-(2*AG55))</f>
        <v>25.783015407190035</v>
      </c>
      <c r="AJ55" s="68">
        <f t="shared" ref="AJ55" ca="1" si="30">IF(AF55-(1*AG55)&lt;=0,0,AF55-(1*AG55))</f>
        <v>83.158749082905359</v>
      </c>
      <c r="AK55" s="68">
        <f t="shared" ref="AK55" ca="1" si="31">AF55+(1*AG55)</f>
        <v>197.91021643433604</v>
      </c>
      <c r="AL55" s="68">
        <f t="shared" ref="AL55" ca="1" si="32">AF55+(2*AG55)</f>
        <v>255.28595011005137</v>
      </c>
      <c r="AM55" s="68">
        <f t="shared" ref="AM55" ca="1" si="33">AF55+(3*AG55)</f>
        <v>312.66168378576668</v>
      </c>
      <c r="AN55" s="68">
        <f t="shared" ca="1" si="11"/>
        <v>170.12068965517244</v>
      </c>
      <c r="AO55" s="68">
        <f t="shared" ca="1" si="12"/>
        <v>184.91379310344828</v>
      </c>
      <c r="AP55" s="68" t="e">
        <f t="shared" ref="AP55" ca="1" si="34">IF(OR(AE55&gt;AM55,AE55&lt;AH55),AE55,NA())</f>
        <v>#N/A</v>
      </c>
      <c r="AQ55" s="68">
        <f t="shared" ref="AQ55" ca="1" si="35">IF(AE55&gt;AL55,1,IF(AE55&lt;AI55,-1,0))</f>
        <v>-1</v>
      </c>
      <c r="AR55" s="68">
        <f t="shared" ref="AR55" ca="1" si="36">IF(ABS(SUM(AQ53:AQ55))&gt;=2,AE55,NA())</f>
        <v>0</v>
      </c>
      <c r="AS55" s="68">
        <f t="shared" ref="AS55" ca="1" si="37">IF(AE55&gt;AE54,1,IF(AE55&lt;AE54,-1,0))</f>
        <v>0</v>
      </c>
      <c r="AT55" s="68" t="e">
        <f t="shared" ref="AT55" ca="1" si="38">IF(ABS(SUM(AS50:AS55))=6,AE55,NA())</f>
        <v>#N/A</v>
      </c>
      <c r="AU55" s="68">
        <f t="shared" ref="AU55" ca="1" si="39">IF(AE55&gt;AF55,1,IF(AE55&lt;AF55,-1,0))</f>
        <v>-1</v>
      </c>
      <c r="AV55" s="68">
        <f t="shared" ref="AV55" ca="1" si="40">IF(ABS(SUM(AU47:AU55))=9,AE55,NA())</f>
        <v>0</v>
      </c>
      <c r="AW55" s="5">
        <f t="shared" ref="AW55" ca="1" si="41">ABS(AE55-AE54)</f>
        <v>0</v>
      </c>
    </row>
  </sheetData>
  <pageMargins left="0.7" right="0.7" top="0.75" bottom="0.75" header="0.3" footer="0.3"/>
  <pageSetup paperSize="9" orientation="portrait" horizontalDpi="90" verticalDpi="90" r:id="rId1"/>
  <extLst>
    <ext xmlns:x14="http://schemas.microsoft.com/office/spreadsheetml/2009/9/main" uri="{78C0D931-6437-407d-A8EE-F0AAD7539E65}">
      <x14:conditionalFormattings>
        <x14:conditionalFormatting xmlns:xm="http://schemas.microsoft.com/office/excel/2006/main">
          <x14:cfRule type="expression" priority="1" id="{B013BC81-2EF5-43C4-8C4C-A25EF7074A15}">
            <xm:f>Planned!$C$8=0</xm:f>
            <x14:dxf>
              <numFmt numFmtId="1" formatCode="0"/>
            </x14:dxf>
          </x14:cfRule>
          <x14:cfRule type="expression" priority="2" id="{E57B278D-A223-4C0A-B6C1-C3575E2C12D0}">
            <xm:f>Planned!$C$8&lt;&gt;0</xm:f>
            <x14:dxf>
              <numFmt numFmtId="19" formatCode="dd/mm/yyyy"/>
            </x14:dxf>
          </x14:cfRule>
          <xm:sqref>AC3:AC55</xm:sqref>
        </x14:conditionalFormatting>
      </x14:conditionalFormatting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dimension ref="A1:T35"/>
  <sheetViews>
    <sheetView showGridLines="0" showRowColHeaders="0" zoomScaleNormal="100" workbookViewId="0">
      <selection activeCell="J33" sqref="J33"/>
    </sheetView>
  </sheetViews>
  <sheetFormatPr defaultColWidth="9" defaultRowHeight="14.25" x14ac:dyDescent="0.2"/>
  <cols>
    <col min="1" max="1" width="17.375" style="53" customWidth="1"/>
    <col min="2" max="2" width="11.5" style="53" customWidth="1"/>
    <col min="3" max="19" width="9" style="53"/>
    <col min="20" max="20" width="9.875" style="53" bestFit="1" customWidth="1"/>
    <col min="21" max="16384" width="9" style="53"/>
  </cols>
  <sheetData>
    <row r="1" spans="1:20" x14ac:dyDescent="0.2">
      <c r="B1" s="54"/>
    </row>
    <row r="3" spans="1:20" ht="15" x14ac:dyDescent="0.25">
      <c r="A3" s="57" t="s">
        <v>187</v>
      </c>
    </row>
    <row r="4" spans="1:20" x14ac:dyDescent="0.2">
      <c r="A4" s="39" t="s">
        <v>270</v>
      </c>
    </row>
    <row r="5" spans="1:20" x14ac:dyDescent="0.2">
      <c r="A5" s="39" t="s">
        <v>271</v>
      </c>
    </row>
    <row r="7" spans="1:20" x14ac:dyDescent="0.2">
      <c r="A7" s="56" t="s">
        <v>149</v>
      </c>
      <c r="T7" s="59"/>
    </row>
    <row r="8" spans="1:20" ht="15" x14ac:dyDescent="0.25">
      <c r="A8" s="57" t="str">
        <f>'Planned background (hide)'!AA19&amp;" weeks"</f>
        <v>5 weeks</v>
      </c>
      <c r="T8" s="59"/>
    </row>
    <row r="10" spans="1:20" x14ac:dyDescent="0.2">
      <c r="A10" s="53" t="s">
        <v>197</v>
      </c>
      <c r="C10" s="214" t="s">
        <v>20</v>
      </c>
    </row>
    <row r="11" spans="1:20" x14ac:dyDescent="0.2">
      <c r="C11" s="58"/>
    </row>
    <row r="12" spans="1:20" x14ac:dyDescent="0.2">
      <c r="A12" s="53" t="s">
        <v>198</v>
      </c>
      <c r="C12" s="214" t="s">
        <v>22</v>
      </c>
    </row>
    <row r="27" spans="1:2" ht="15" x14ac:dyDescent="0.25">
      <c r="A27" s="57" t="s">
        <v>180</v>
      </c>
    </row>
    <row r="28" spans="1:2" x14ac:dyDescent="0.2">
      <c r="A28" s="41"/>
      <c r="B28" s="53" t="s">
        <v>177</v>
      </c>
    </row>
    <row r="29" spans="1:2" x14ac:dyDescent="0.2">
      <c r="A29" s="42"/>
      <c r="B29" s="53" t="s">
        <v>178</v>
      </c>
    </row>
    <row r="30" spans="1:2" x14ac:dyDescent="0.2">
      <c r="A30" s="43"/>
      <c r="B30" s="53" t="s">
        <v>199</v>
      </c>
    </row>
    <row r="31" spans="1:2" x14ac:dyDescent="0.2">
      <c r="A31" s="44"/>
      <c r="B31" s="53" t="s">
        <v>179</v>
      </c>
    </row>
    <row r="34" spans="4:4" x14ac:dyDescent="0.2">
      <c r="D34" s="62"/>
    </row>
    <row r="35" spans="4:4" x14ac:dyDescent="0.2">
      <c r="D35" s="62"/>
    </row>
  </sheetData>
  <sheetProtection algorithmName="SHA-512" hashValue="ws8shswahcgRx1btbBapzuACtbyNxh0KCe1jA5ea1sYv6tOYNHALuSpl1yMVBPzB8Ktn5qwu0iYj/cxq41Pssg==" saltValue="wCP8ZjG+QXG5Y1flK5dDnA==" spinCount="100000" sheet="1" objects="1" scenarios="1"/>
  <dataValidations count="1">
    <dataValidation showInputMessage="1" showErrorMessage="1" sqref="B1" xr:uid="{00000000-0002-0000-0B00-000000000000}"/>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2465" r:id="rId4" name="PlannedRangeStart">
              <controlPr defaultSize="0" autoLine="0" autoPict="0" macro="[0]!PlannedRangeStart_Change">
                <anchor moveWithCells="1">
                  <from>
                    <xdr:col>1</xdr:col>
                    <xdr:colOff>0</xdr:colOff>
                    <xdr:row>3</xdr:row>
                    <xdr:rowOff>0</xdr:rowOff>
                  </from>
                  <to>
                    <xdr:col>1</xdr:col>
                    <xdr:colOff>866775</xdr:colOff>
                    <xdr:row>3</xdr:row>
                    <xdr:rowOff>171450</xdr:rowOff>
                  </to>
                </anchor>
              </controlPr>
            </control>
          </mc:Choice>
        </mc:AlternateContent>
        <mc:AlternateContent xmlns:mc="http://schemas.openxmlformats.org/markup-compatibility/2006">
          <mc:Choice Requires="x14">
            <control shapeId="62474" r:id="rId5" name="Section1Start">
              <controlPr defaultSize="0" autoLine="0" autoPict="0">
                <anchor moveWithCells="1">
                  <from>
                    <xdr:col>1</xdr:col>
                    <xdr:colOff>0</xdr:colOff>
                    <xdr:row>4</xdr:row>
                    <xdr:rowOff>0</xdr:rowOff>
                  </from>
                  <to>
                    <xdr:col>1</xdr:col>
                    <xdr:colOff>866775</xdr:colOff>
                    <xdr:row>4</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'Control sheet (hide)'!$C$3:$C$4</xm:f>
          </x14:formula1>
          <xm:sqref>C10 C12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BL259"/>
  <sheetViews>
    <sheetView showGridLines="0" showRowColHeaders="0" zoomScaleNormal="100" workbookViewId="0"/>
  </sheetViews>
  <sheetFormatPr defaultRowHeight="14.25" x14ac:dyDescent="0.2"/>
  <cols>
    <col min="1" max="1" width="2.625" style="53" customWidth="1"/>
    <col min="2" max="2" width="20.625" customWidth="1"/>
    <col min="3" max="3" width="16.75" customWidth="1"/>
    <col min="4" max="4" width="13" bestFit="1" customWidth="1"/>
    <col min="5" max="5" width="7.125" customWidth="1"/>
    <col min="6" max="6" width="7.75" customWidth="1"/>
    <col min="7" max="7" width="7.75" style="68" hidden="1" customWidth="1"/>
    <col min="8" max="8" width="8.625" customWidth="1"/>
    <col min="9" max="9" width="10.5" customWidth="1"/>
    <col min="10" max="10" width="11.375" style="53" hidden="1" customWidth="1"/>
    <col min="11" max="11" width="9.875" style="73" hidden="1" customWidth="1"/>
    <col min="12" max="12" width="9" style="73" customWidth="1"/>
    <col min="13" max="13" width="3.25" style="73" customWidth="1"/>
    <col min="14" max="14" width="20.625" customWidth="1"/>
    <col min="15" max="15" width="16.25" bestFit="1" customWidth="1"/>
    <col min="16" max="16" width="13" customWidth="1"/>
    <col min="17" max="17" width="6.5" customWidth="1"/>
    <col min="18" max="18" width="8.375" customWidth="1"/>
    <col min="19" max="19" width="8.375" style="68" hidden="1" customWidth="1"/>
    <col min="20" max="20" width="8.75" customWidth="1"/>
    <col min="21" max="21" width="10.625" customWidth="1"/>
    <col min="22" max="64" width="9" style="53"/>
  </cols>
  <sheetData>
    <row r="1" spans="1:22" s="53" customFormat="1" x14ac:dyDescent="0.2">
      <c r="B1" s="73"/>
      <c r="C1" s="73"/>
      <c r="D1" s="73"/>
      <c r="E1" s="73"/>
      <c r="F1" s="73"/>
      <c r="G1" s="73"/>
      <c r="H1" s="73"/>
      <c r="I1" s="73"/>
      <c r="J1" s="73"/>
      <c r="K1" s="73"/>
      <c r="L1" s="73"/>
      <c r="M1" s="73"/>
      <c r="N1" s="73"/>
      <c r="O1" s="73"/>
      <c r="P1" s="73"/>
      <c r="Q1" s="73"/>
      <c r="R1" s="73"/>
      <c r="S1" s="73"/>
      <c r="T1" s="73"/>
      <c r="U1" s="73"/>
    </row>
    <row r="2" spans="1:22" s="53" customFormat="1" ht="15" x14ac:dyDescent="0.25">
      <c r="B2" s="107" t="s">
        <v>394</v>
      </c>
      <c r="C2" s="107"/>
      <c r="D2" s="73"/>
      <c r="E2" s="73"/>
      <c r="F2" s="73"/>
      <c r="G2" s="73"/>
      <c r="H2" s="73"/>
      <c r="I2" s="73"/>
      <c r="J2" s="73"/>
      <c r="K2" s="73"/>
      <c r="L2" s="73"/>
      <c r="M2" s="73"/>
      <c r="N2" s="73"/>
      <c r="O2" s="73"/>
      <c r="P2" s="73"/>
      <c r="Q2" s="73"/>
      <c r="R2" s="73"/>
      <c r="S2" s="73"/>
      <c r="T2" s="73"/>
      <c r="U2" s="73"/>
    </row>
    <row r="3" spans="1:22" s="53" customFormat="1" x14ac:dyDescent="0.2">
      <c r="B3" s="73" t="s">
        <v>477</v>
      </c>
      <c r="C3" s="177">
        <v>43586</v>
      </c>
      <c r="D3" s="73"/>
      <c r="F3" s="73"/>
      <c r="G3" s="73"/>
      <c r="H3" s="73"/>
      <c r="I3" s="73"/>
      <c r="J3" s="73"/>
      <c r="K3" s="73"/>
      <c r="L3" s="73"/>
      <c r="M3" s="73"/>
      <c r="N3" s="73"/>
      <c r="O3" s="73"/>
      <c r="P3" s="73"/>
      <c r="Q3" s="73"/>
      <c r="R3" s="73"/>
      <c r="S3" s="73"/>
      <c r="T3" s="73"/>
      <c r="U3" s="73"/>
    </row>
    <row r="4" spans="1:22" x14ac:dyDescent="0.2">
      <c r="B4" t="s">
        <v>440</v>
      </c>
      <c r="C4" s="275">
        <f>IF(C3="","",DATE(YEAR(C3)+1,MONTH(C3),DAY(C3))-1)</f>
        <v>43951</v>
      </c>
      <c r="D4" s="75"/>
      <c r="F4" s="73"/>
      <c r="G4" s="73"/>
      <c r="H4" s="73"/>
      <c r="I4" s="73"/>
      <c r="J4" s="68"/>
      <c r="K4" s="68"/>
      <c r="L4" s="68"/>
      <c r="M4" s="68"/>
      <c r="N4" s="73"/>
      <c r="O4" s="73"/>
      <c r="P4" s="73"/>
      <c r="Q4" s="73"/>
      <c r="R4" s="73"/>
      <c r="S4" s="73"/>
      <c r="T4" s="73"/>
      <c r="U4" s="73"/>
    </row>
    <row r="5" spans="1:22" s="53" customFormat="1" x14ac:dyDescent="0.2">
      <c r="D5" s="73"/>
      <c r="E5" s="73"/>
      <c r="F5" s="73"/>
      <c r="G5" s="73"/>
      <c r="H5" s="73"/>
      <c r="I5" s="73"/>
      <c r="J5" s="73"/>
      <c r="K5" s="73"/>
      <c r="L5" s="73"/>
      <c r="M5" s="73"/>
      <c r="N5" s="73"/>
      <c r="O5" s="73"/>
      <c r="P5" s="73"/>
      <c r="Q5" s="73"/>
      <c r="R5" s="73"/>
      <c r="S5" s="73"/>
      <c r="T5" s="73"/>
      <c r="U5" s="73"/>
    </row>
    <row r="6" spans="1:22" s="53" customFormat="1" x14ac:dyDescent="0.2">
      <c r="B6" s="118" t="s">
        <v>441</v>
      </c>
      <c r="C6" s="118" t="s">
        <v>442</v>
      </c>
      <c r="D6" s="73"/>
      <c r="E6" s="73"/>
      <c r="F6" s="73"/>
      <c r="G6" s="73"/>
      <c r="H6" s="73"/>
      <c r="I6" s="73"/>
      <c r="J6" s="73"/>
      <c r="K6" s="73"/>
      <c r="L6" s="73"/>
      <c r="M6" s="73"/>
      <c r="N6" s="73"/>
      <c r="O6" s="73"/>
      <c r="P6" s="73"/>
      <c r="Q6" s="73"/>
      <c r="R6" s="73"/>
      <c r="S6" s="73"/>
      <c r="T6" s="73"/>
      <c r="U6" s="73"/>
    </row>
    <row r="7" spans="1:22" s="53" customFormat="1" x14ac:dyDescent="0.2">
      <c r="B7" s="77"/>
      <c r="C7" s="77"/>
      <c r="D7" s="73"/>
      <c r="E7" s="73"/>
      <c r="F7" s="73"/>
      <c r="G7" s="73"/>
      <c r="H7" s="73"/>
      <c r="I7" s="73"/>
      <c r="J7" s="73"/>
      <c r="K7" s="73"/>
      <c r="L7" s="73"/>
      <c r="M7" s="73"/>
      <c r="N7" s="73"/>
      <c r="O7" s="73"/>
      <c r="P7" s="73"/>
      <c r="Q7" s="73"/>
      <c r="R7" s="73"/>
      <c r="S7" s="73"/>
      <c r="T7" s="73"/>
      <c r="U7" s="73"/>
    </row>
    <row r="8" spans="1:22" s="53" customFormat="1" x14ac:dyDescent="0.2">
      <c r="B8" s="76"/>
      <c r="C8" s="76"/>
      <c r="D8" s="73"/>
      <c r="E8" s="73"/>
      <c r="F8" s="73"/>
      <c r="G8" s="73"/>
      <c r="H8" s="73"/>
      <c r="I8" s="73"/>
      <c r="J8" s="73"/>
      <c r="K8" s="73"/>
      <c r="L8" s="73"/>
      <c r="M8" s="73"/>
      <c r="N8" s="73"/>
      <c r="O8" s="73"/>
      <c r="P8" s="73"/>
      <c r="Q8" s="73"/>
      <c r="R8" s="73"/>
      <c r="S8" s="73"/>
      <c r="T8" s="73"/>
      <c r="U8" s="73"/>
    </row>
    <row r="9" spans="1:22" hidden="1" x14ac:dyDescent="0.2">
      <c r="B9" s="119" t="s">
        <v>472</v>
      </c>
      <c r="C9" s="119" t="s">
        <v>479</v>
      </c>
      <c r="D9" s="73"/>
      <c r="E9" s="73"/>
      <c r="F9" s="73"/>
      <c r="G9" s="73"/>
      <c r="H9" s="73"/>
      <c r="I9" s="73"/>
      <c r="J9" s="68"/>
      <c r="K9" s="68"/>
      <c r="L9" s="68"/>
      <c r="M9" s="68"/>
      <c r="N9" s="73"/>
      <c r="O9" s="73"/>
      <c r="P9" s="73"/>
      <c r="Q9" s="73"/>
      <c r="R9" s="73"/>
      <c r="S9" s="73"/>
      <c r="T9" s="73"/>
      <c r="U9" s="73"/>
    </row>
    <row r="10" spans="1:22" hidden="1" x14ac:dyDescent="0.2">
      <c r="B10" s="70"/>
      <c r="C10" s="70"/>
      <c r="D10" s="73"/>
      <c r="E10" s="73"/>
      <c r="F10" s="73"/>
      <c r="G10" s="73"/>
      <c r="H10" s="73"/>
      <c r="I10" s="73"/>
      <c r="J10" s="68"/>
      <c r="K10" s="68"/>
      <c r="L10" s="68"/>
      <c r="M10" s="68"/>
      <c r="N10" s="73"/>
      <c r="O10" s="73"/>
      <c r="P10" s="73"/>
      <c r="Q10" s="73"/>
      <c r="R10" s="73"/>
      <c r="S10" s="73"/>
      <c r="T10" s="73"/>
      <c r="U10" s="73"/>
    </row>
    <row r="11" spans="1:22" s="53" customFormat="1" ht="15" x14ac:dyDescent="0.25">
      <c r="B11" s="170" t="s">
        <v>493</v>
      </c>
      <c r="C11" s="171" t="s">
        <v>19</v>
      </c>
      <c r="D11" s="229" t="str">
        <f ca="1">"On aggregate, 1 patient = "&amp;TEXT('Demand background (hide)'!$BN$16,"#.#")&amp;" "&amp;Setup!$I$17</f>
        <v>On aggregate, 1 patient = 37. Minutes</v>
      </c>
      <c r="E11" s="73"/>
      <c r="F11" s="73"/>
      <c r="G11" s="73"/>
      <c r="H11" s="73"/>
      <c r="I11" s="73"/>
      <c r="J11" s="73"/>
      <c r="K11" s="73"/>
      <c r="L11" s="73"/>
      <c r="M11" s="73"/>
      <c r="N11" s="73"/>
      <c r="O11" s="73"/>
      <c r="P11" s="73"/>
      <c r="Q11" s="73"/>
      <c r="R11" s="73"/>
      <c r="S11" s="73"/>
      <c r="T11" s="73"/>
      <c r="U11" s="73"/>
    </row>
    <row r="12" spans="1:22" s="53" customFormat="1" x14ac:dyDescent="0.2">
      <c r="D12" s="78"/>
      <c r="E12" s="78"/>
      <c r="F12" s="78"/>
      <c r="G12" s="78"/>
      <c r="H12" s="78"/>
      <c r="I12" s="78"/>
      <c r="J12" s="76"/>
      <c r="K12" s="76"/>
      <c r="L12" s="76"/>
      <c r="M12" s="76"/>
      <c r="N12" s="78"/>
      <c r="O12" s="78"/>
      <c r="P12" s="78"/>
      <c r="Q12" s="78"/>
      <c r="R12" s="78"/>
      <c r="S12" s="78"/>
      <c r="T12" s="78"/>
      <c r="U12" s="78"/>
    </row>
    <row r="13" spans="1:22" s="53" customFormat="1" ht="14.25" customHeight="1" x14ac:dyDescent="0.25">
      <c r="B13" s="356" t="s">
        <v>443</v>
      </c>
      <c r="C13" s="356"/>
      <c r="D13" s="74"/>
      <c r="E13" s="74"/>
      <c r="F13" s="74"/>
      <c r="G13" s="74"/>
      <c r="H13" s="74"/>
      <c r="I13" s="74"/>
      <c r="J13" s="73"/>
      <c r="K13" s="73"/>
      <c r="L13" s="73"/>
      <c r="M13" s="73"/>
      <c r="N13" s="73"/>
      <c r="O13" s="73"/>
      <c r="P13" s="73"/>
      <c r="Q13" s="73"/>
      <c r="R13" s="73"/>
      <c r="S13" s="73"/>
      <c r="T13" s="73"/>
      <c r="U13" s="73"/>
    </row>
    <row r="14" spans="1:22" x14ac:dyDescent="0.2">
      <c r="B14" s="120" t="s">
        <v>437</v>
      </c>
      <c r="C14" s="76"/>
      <c r="D14" s="73"/>
      <c r="E14" s="73"/>
      <c r="F14" s="73"/>
      <c r="G14" s="73"/>
      <c r="H14" s="73"/>
      <c r="I14" s="73"/>
      <c r="J14" s="68"/>
      <c r="K14" s="68"/>
      <c r="L14" s="68"/>
      <c r="M14" s="68"/>
      <c r="N14" s="121" t="s">
        <v>439</v>
      </c>
      <c r="O14" s="73"/>
      <c r="P14" s="73"/>
      <c r="Q14" s="73"/>
      <c r="R14" s="73"/>
      <c r="S14" s="73"/>
      <c r="T14" s="73"/>
      <c r="U14" s="73"/>
    </row>
    <row r="15" spans="1:22" x14ac:dyDescent="0.2">
      <c r="A15" s="229"/>
      <c r="B15" s="73"/>
      <c r="C15" s="73"/>
      <c r="D15" s="73"/>
      <c r="E15" s="73"/>
      <c r="F15" s="73"/>
      <c r="G15" s="72"/>
      <c r="H15" s="228">
        <f>SUM(H17:H116)</f>
        <v>738</v>
      </c>
      <c r="I15" s="228">
        <f>H15/52</f>
        <v>14.192307692307692</v>
      </c>
      <c r="J15" s="68"/>
      <c r="K15" s="68"/>
      <c r="L15" s="68"/>
      <c r="M15" s="68"/>
      <c r="N15" s="73"/>
      <c r="O15" s="73"/>
      <c r="P15" s="73"/>
      <c r="Q15" s="73"/>
      <c r="R15" s="121" t="s">
        <v>257</v>
      </c>
      <c r="S15" s="121"/>
      <c r="T15" s="227">
        <f>SUM(T17:T116)</f>
        <v>88</v>
      </c>
      <c r="U15" s="227">
        <f>SUM(U17:U116)</f>
        <v>1.6923076923076925</v>
      </c>
    </row>
    <row r="16" spans="1:22" ht="44.25" customHeight="1" x14ac:dyDescent="0.2">
      <c r="A16" s="299">
        <f>MAX(A17:A116)</f>
        <v>4</v>
      </c>
      <c r="B16" s="301" t="s">
        <v>515</v>
      </c>
      <c r="C16" s="301" t="s">
        <v>516</v>
      </c>
      <c r="D16" s="301" t="s">
        <v>517</v>
      </c>
      <c r="E16" s="301" t="s">
        <v>255</v>
      </c>
      <c r="F16" s="301" t="str">
        <f>C11&amp;" Per Clinic"</f>
        <v>Patients Per Clinic</v>
      </c>
      <c r="G16" s="301" t="s">
        <v>444</v>
      </c>
      <c r="H16" s="301" t="str">
        <f>"Total 
("&amp;$C$11&amp;")"</f>
        <v>Total 
(Patients)</v>
      </c>
      <c r="I16" s="301" t="s">
        <v>256</v>
      </c>
      <c r="J16" s="68"/>
      <c r="K16" s="68"/>
      <c r="L16" s="68"/>
      <c r="M16" s="300">
        <f>MAX(M17:M116)</f>
        <v>2</v>
      </c>
      <c r="N16" s="302" t="s">
        <v>515</v>
      </c>
      <c r="O16" s="302" t="s">
        <v>516</v>
      </c>
      <c r="P16" s="302" t="s">
        <v>517</v>
      </c>
      <c r="Q16" s="302" t="s">
        <v>255</v>
      </c>
      <c r="R16" s="302" t="str">
        <f>C11&amp;" Per Clinic"</f>
        <v>Patients Per Clinic</v>
      </c>
      <c r="S16" s="302" t="s">
        <v>444</v>
      </c>
      <c r="T16" s="302" t="str">
        <f>"Total 
("&amp;C11&amp;")"</f>
        <v>Total 
(Patients)</v>
      </c>
      <c r="U16" s="302" t="s">
        <v>256</v>
      </c>
      <c r="V16" s="322" t="s">
        <v>1123</v>
      </c>
    </row>
    <row r="17" spans="1:22" x14ac:dyDescent="0.2">
      <c r="A17" s="299">
        <f>IF(B17&lt;&gt;"",ROW(A1),0)</f>
        <v>1</v>
      </c>
      <c r="B17" s="165" t="s">
        <v>1198</v>
      </c>
      <c r="C17" s="165" t="s">
        <v>1199</v>
      </c>
      <c r="D17" s="165"/>
      <c r="E17" s="178">
        <v>30</v>
      </c>
      <c r="F17" s="178">
        <v>9</v>
      </c>
      <c r="G17" s="132"/>
      <c r="H17" s="225">
        <f>IF(ROW(A1)&lt;=$A$16,F17*E17,"")</f>
        <v>270</v>
      </c>
      <c r="I17" s="306">
        <f>IFERROR(H17/52,"")</f>
        <v>5.1923076923076925</v>
      </c>
      <c r="J17" s="68"/>
      <c r="K17" s="68"/>
      <c r="L17" s="68"/>
      <c r="M17" s="300">
        <f>IF(N17&lt;&gt;"",ROW(A1),0)</f>
        <v>1</v>
      </c>
      <c r="N17" s="179" t="s">
        <v>1205</v>
      </c>
      <c r="O17" s="179"/>
      <c r="P17" s="179"/>
      <c r="Q17" s="180">
        <v>10</v>
      </c>
      <c r="R17" s="180">
        <v>4</v>
      </c>
      <c r="S17" s="133"/>
      <c r="T17" s="226">
        <f>IF(ROW(A1)&lt;=$M$16,R17*Q17,"")</f>
        <v>40</v>
      </c>
      <c r="U17" s="307">
        <f>IFERROR(T17/52,"")</f>
        <v>0.76923076923076927</v>
      </c>
      <c r="V17" s="331"/>
    </row>
    <row r="18" spans="1:22" x14ac:dyDescent="0.2">
      <c r="A18" s="299">
        <f t="shared" ref="A18:A81" si="0">IF(B18&lt;&gt;"",ROW(A2),0)</f>
        <v>2</v>
      </c>
      <c r="B18" s="165" t="s">
        <v>1200</v>
      </c>
      <c r="C18" s="165" t="s">
        <v>1199</v>
      </c>
      <c r="D18" s="165"/>
      <c r="E18" s="178">
        <v>30</v>
      </c>
      <c r="F18" s="178">
        <v>9</v>
      </c>
      <c r="G18" s="132"/>
      <c r="H18" s="225">
        <f t="shared" ref="H18:H81" si="1">IF(ROW(A2)&lt;=$A$16,F18*E18,"")</f>
        <v>270</v>
      </c>
      <c r="I18" s="306">
        <f t="shared" ref="I18:I81" si="2">IFERROR(H18/52,"")</f>
        <v>5.1923076923076925</v>
      </c>
      <c r="J18" s="68"/>
      <c r="K18" s="68"/>
      <c r="L18" s="68"/>
      <c r="M18" s="300">
        <f t="shared" ref="M18:M81" si="3">IF(N18&lt;&gt;"",ROW(A2),0)</f>
        <v>2</v>
      </c>
      <c r="N18" s="165" t="s">
        <v>1206</v>
      </c>
      <c r="O18" s="165"/>
      <c r="P18" s="165"/>
      <c r="Q18" s="178">
        <v>12</v>
      </c>
      <c r="R18" s="178">
        <v>4</v>
      </c>
      <c r="S18" s="132"/>
      <c r="T18" s="226">
        <f t="shared" ref="T18:T81" si="4">IF(ROW(A2)&lt;=$M$16,R18*Q18,"")</f>
        <v>48</v>
      </c>
      <c r="U18" s="306">
        <f t="shared" ref="U18:U81" si="5">IFERROR(T18/52,"")</f>
        <v>0.92307692307692313</v>
      </c>
      <c r="V18" s="331"/>
    </row>
    <row r="19" spans="1:22" x14ac:dyDescent="0.2">
      <c r="A19" s="299">
        <f t="shared" si="0"/>
        <v>3</v>
      </c>
      <c r="B19" s="165" t="s">
        <v>1201</v>
      </c>
      <c r="C19" s="165" t="s">
        <v>1202</v>
      </c>
      <c r="D19" s="165"/>
      <c r="E19" s="178">
        <v>21</v>
      </c>
      <c r="F19" s="178">
        <v>6</v>
      </c>
      <c r="G19" s="132"/>
      <c r="H19" s="225">
        <f t="shared" si="1"/>
        <v>126</v>
      </c>
      <c r="I19" s="306">
        <f t="shared" si="2"/>
        <v>2.4230769230769229</v>
      </c>
      <c r="J19" s="68"/>
      <c r="K19" s="68"/>
      <c r="L19" s="68"/>
      <c r="M19" s="300">
        <f t="shared" si="3"/>
        <v>0</v>
      </c>
      <c r="N19" s="165"/>
      <c r="O19" s="165"/>
      <c r="P19" s="165"/>
      <c r="Q19" s="178"/>
      <c r="R19" s="178"/>
      <c r="S19" s="132"/>
      <c r="T19" s="226" t="str">
        <f t="shared" si="4"/>
        <v/>
      </c>
      <c r="U19" s="225" t="str">
        <f t="shared" si="5"/>
        <v/>
      </c>
      <c r="V19" s="332"/>
    </row>
    <row r="20" spans="1:22" x14ac:dyDescent="0.2">
      <c r="A20" s="299">
        <f t="shared" si="0"/>
        <v>4</v>
      </c>
      <c r="B20" s="165" t="s">
        <v>1203</v>
      </c>
      <c r="C20" s="165" t="s">
        <v>1204</v>
      </c>
      <c r="D20" s="165"/>
      <c r="E20" s="178">
        <v>12</v>
      </c>
      <c r="F20" s="178">
        <v>6</v>
      </c>
      <c r="G20" s="132"/>
      <c r="H20" s="225">
        <f t="shared" si="1"/>
        <v>72</v>
      </c>
      <c r="I20" s="306">
        <f t="shared" si="2"/>
        <v>1.3846153846153846</v>
      </c>
      <c r="J20" s="68"/>
      <c r="K20" s="68"/>
      <c r="L20" s="68"/>
      <c r="M20" s="300">
        <f t="shared" si="3"/>
        <v>0</v>
      </c>
      <c r="N20" s="165"/>
      <c r="O20" s="165"/>
      <c r="P20" s="165"/>
      <c r="Q20" s="178"/>
      <c r="R20" s="178"/>
      <c r="S20" s="132"/>
      <c r="T20" s="226" t="str">
        <f t="shared" si="4"/>
        <v/>
      </c>
      <c r="U20" s="225" t="str">
        <f t="shared" si="5"/>
        <v/>
      </c>
      <c r="V20" s="332"/>
    </row>
    <row r="21" spans="1:22" x14ac:dyDescent="0.2">
      <c r="A21" s="299">
        <f t="shared" si="0"/>
        <v>0</v>
      </c>
      <c r="B21" s="321"/>
      <c r="C21" s="165"/>
      <c r="D21" s="165"/>
      <c r="E21" s="178"/>
      <c r="F21" s="178"/>
      <c r="G21" s="132"/>
      <c r="H21" s="225" t="str">
        <f t="shared" si="1"/>
        <v/>
      </c>
      <c r="I21" s="225" t="str">
        <f t="shared" si="2"/>
        <v/>
      </c>
      <c r="J21" s="68"/>
      <c r="K21" s="68"/>
      <c r="L21" s="68"/>
      <c r="M21" s="300">
        <f t="shared" si="3"/>
        <v>0</v>
      </c>
      <c r="N21" s="165"/>
      <c r="O21" s="165"/>
      <c r="P21" s="165"/>
      <c r="Q21" s="178"/>
      <c r="R21" s="178"/>
      <c r="S21" s="132"/>
      <c r="T21" s="226" t="str">
        <f t="shared" si="4"/>
        <v/>
      </c>
      <c r="U21" s="225" t="str">
        <f t="shared" si="5"/>
        <v/>
      </c>
      <c r="V21" s="332"/>
    </row>
    <row r="22" spans="1:22" x14ac:dyDescent="0.2">
      <c r="A22" s="299">
        <f t="shared" si="0"/>
        <v>0</v>
      </c>
      <c r="B22" s="165"/>
      <c r="C22" s="165"/>
      <c r="D22" s="165"/>
      <c r="E22" s="178"/>
      <c r="F22" s="178"/>
      <c r="G22" s="132"/>
      <c r="H22" s="225" t="str">
        <f t="shared" si="1"/>
        <v/>
      </c>
      <c r="I22" s="225" t="str">
        <f t="shared" si="2"/>
        <v/>
      </c>
      <c r="J22" s="68"/>
      <c r="K22" s="68"/>
      <c r="L22" s="68"/>
      <c r="M22" s="300">
        <f t="shared" si="3"/>
        <v>0</v>
      </c>
      <c r="N22" s="165"/>
      <c r="O22" s="165"/>
      <c r="P22" s="165"/>
      <c r="Q22" s="178"/>
      <c r="R22" s="178"/>
      <c r="S22" s="132"/>
      <c r="T22" s="226" t="str">
        <f t="shared" si="4"/>
        <v/>
      </c>
      <c r="U22" s="225" t="str">
        <f t="shared" si="5"/>
        <v/>
      </c>
      <c r="V22" s="332"/>
    </row>
    <row r="23" spans="1:22" x14ac:dyDescent="0.2">
      <c r="A23" s="299">
        <f t="shared" si="0"/>
        <v>0</v>
      </c>
      <c r="B23" s="165"/>
      <c r="C23" s="165"/>
      <c r="D23" s="165"/>
      <c r="E23" s="178"/>
      <c r="F23" s="178"/>
      <c r="G23" s="132"/>
      <c r="H23" s="225" t="str">
        <f t="shared" si="1"/>
        <v/>
      </c>
      <c r="I23" s="225" t="str">
        <f t="shared" si="2"/>
        <v/>
      </c>
      <c r="J23" s="68"/>
      <c r="K23" s="68"/>
      <c r="L23" s="68"/>
      <c r="M23" s="300">
        <f t="shared" si="3"/>
        <v>0</v>
      </c>
      <c r="N23" s="165"/>
      <c r="O23" s="165"/>
      <c r="P23" s="165"/>
      <c r="Q23" s="178"/>
      <c r="R23" s="178"/>
      <c r="S23" s="132"/>
      <c r="T23" s="226" t="str">
        <f t="shared" si="4"/>
        <v/>
      </c>
      <c r="U23" s="225" t="str">
        <f t="shared" si="5"/>
        <v/>
      </c>
      <c r="V23" s="332"/>
    </row>
    <row r="24" spans="1:22" x14ac:dyDescent="0.2">
      <c r="A24" s="299">
        <f t="shared" si="0"/>
        <v>0</v>
      </c>
      <c r="B24" s="165"/>
      <c r="C24" s="165"/>
      <c r="D24" s="165"/>
      <c r="E24" s="178"/>
      <c r="F24" s="178"/>
      <c r="G24" s="132"/>
      <c r="H24" s="225" t="str">
        <f t="shared" si="1"/>
        <v/>
      </c>
      <c r="I24" s="225" t="str">
        <f t="shared" si="2"/>
        <v/>
      </c>
      <c r="J24" s="68"/>
      <c r="K24" s="68"/>
      <c r="L24" s="68"/>
      <c r="M24" s="300">
        <f t="shared" si="3"/>
        <v>0</v>
      </c>
      <c r="N24" s="165"/>
      <c r="O24" s="165"/>
      <c r="P24" s="165"/>
      <c r="Q24" s="178"/>
      <c r="R24" s="178"/>
      <c r="S24" s="132"/>
      <c r="T24" s="226" t="str">
        <f t="shared" si="4"/>
        <v/>
      </c>
      <c r="U24" s="225" t="str">
        <f t="shared" si="5"/>
        <v/>
      </c>
      <c r="V24" s="332"/>
    </row>
    <row r="25" spans="1:22" x14ac:dyDescent="0.2">
      <c r="A25" s="299">
        <f t="shared" si="0"/>
        <v>0</v>
      </c>
      <c r="B25" s="165"/>
      <c r="C25" s="165"/>
      <c r="D25" s="165"/>
      <c r="E25" s="178"/>
      <c r="F25" s="178"/>
      <c r="G25" s="132"/>
      <c r="H25" s="225" t="str">
        <f t="shared" si="1"/>
        <v/>
      </c>
      <c r="I25" s="225" t="str">
        <f t="shared" si="2"/>
        <v/>
      </c>
      <c r="J25" s="68"/>
      <c r="K25" s="68"/>
      <c r="L25" s="68"/>
      <c r="M25" s="300">
        <f t="shared" si="3"/>
        <v>0</v>
      </c>
      <c r="N25" s="165"/>
      <c r="O25" s="165"/>
      <c r="P25" s="165"/>
      <c r="Q25" s="178"/>
      <c r="R25" s="178"/>
      <c r="S25" s="132"/>
      <c r="T25" s="226" t="str">
        <f t="shared" si="4"/>
        <v/>
      </c>
      <c r="U25" s="225" t="str">
        <f t="shared" si="5"/>
        <v/>
      </c>
      <c r="V25" s="332"/>
    </row>
    <row r="26" spans="1:22" x14ac:dyDescent="0.2">
      <c r="A26" s="299">
        <f t="shared" si="0"/>
        <v>0</v>
      </c>
      <c r="B26" s="165"/>
      <c r="C26" s="165"/>
      <c r="D26" s="165"/>
      <c r="E26" s="178"/>
      <c r="F26" s="178"/>
      <c r="G26" s="132"/>
      <c r="H26" s="225" t="str">
        <f t="shared" si="1"/>
        <v/>
      </c>
      <c r="I26" s="225" t="str">
        <f t="shared" si="2"/>
        <v/>
      </c>
      <c r="J26" s="68"/>
      <c r="K26" s="68"/>
      <c r="L26" s="68"/>
      <c r="M26" s="300">
        <f t="shared" si="3"/>
        <v>0</v>
      </c>
      <c r="N26" s="165"/>
      <c r="O26" s="165"/>
      <c r="P26" s="165"/>
      <c r="Q26" s="178"/>
      <c r="R26" s="178"/>
      <c r="S26" s="132"/>
      <c r="T26" s="226" t="str">
        <f t="shared" si="4"/>
        <v/>
      </c>
      <c r="U26" s="225" t="str">
        <f t="shared" si="5"/>
        <v/>
      </c>
      <c r="V26" s="332"/>
    </row>
    <row r="27" spans="1:22" x14ac:dyDescent="0.2">
      <c r="A27" s="299">
        <f t="shared" si="0"/>
        <v>0</v>
      </c>
      <c r="B27" s="165"/>
      <c r="C27" s="165"/>
      <c r="D27" s="165"/>
      <c r="E27" s="178"/>
      <c r="F27" s="178"/>
      <c r="G27" s="132"/>
      <c r="H27" s="225" t="str">
        <f t="shared" si="1"/>
        <v/>
      </c>
      <c r="I27" s="225" t="str">
        <f t="shared" si="2"/>
        <v/>
      </c>
      <c r="J27" s="68"/>
      <c r="K27" s="68"/>
      <c r="L27" s="68"/>
      <c r="M27" s="300">
        <f t="shared" si="3"/>
        <v>0</v>
      </c>
      <c r="N27" s="165"/>
      <c r="O27" s="165"/>
      <c r="P27" s="165"/>
      <c r="Q27" s="178"/>
      <c r="R27" s="178"/>
      <c r="S27" s="132"/>
      <c r="T27" s="226" t="str">
        <f t="shared" si="4"/>
        <v/>
      </c>
      <c r="U27" s="225" t="str">
        <f t="shared" si="5"/>
        <v/>
      </c>
      <c r="V27" s="332"/>
    </row>
    <row r="28" spans="1:22" x14ac:dyDescent="0.2">
      <c r="A28" s="299">
        <f t="shared" si="0"/>
        <v>0</v>
      </c>
      <c r="B28" s="165"/>
      <c r="C28" s="165"/>
      <c r="D28" s="165"/>
      <c r="E28" s="178"/>
      <c r="F28" s="178"/>
      <c r="G28" s="132"/>
      <c r="H28" s="225" t="str">
        <f t="shared" si="1"/>
        <v/>
      </c>
      <c r="I28" s="225" t="str">
        <f t="shared" si="2"/>
        <v/>
      </c>
      <c r="J28" s="68"/>
      <c r="K28" s="68"/>
      <c r="L28" s="68"/>
      <c r="M28" s="300">
        <f t="shared" si="3"/>
        <v>0</v>
      </c>
      <c r="N28" s="165"/>
      <c r="O28" s="165"/>
      <c r="P28" s="165"/>
      <c r="Q28" s="178"/>
      <c r="R28" s="178"/>
      <c r="S28" s="132"/>
      <c r="T28" s="226" t="str">
        <f t="shared" si="4"/>
        <v/>
      </c>
      <c r="U28" s="225" t="str">
        <f t="shared" si="5"/>
        <v/>
      </c>
      <c r="V28" s="332"/>
    </row>
    <row r="29" spans="1:22" x14ac:dyDescent="0.2">
      <c r="A29" s="299">
        <f t="shared" si="0"/>
        <v>0</v>
      </c>
      <c r="B29" s="165"/>
      <c r="C29" s="165"/>
      <c r="D29" s="165"/>
      <c r="E29" s="178"/>
      <c r="F29" s="178"/>
      <c r="G29" s="132"/>
      <c r="H29" s="225" t="str">
        <f t="shared" si="1"/>
        <v/>
      </c>
      <c r="I29" s="225" t="str">
        <f t="shared" si="2"/>
        <v/>
      </c>
      <c r="J29" s="68"/>
      <c r="K29" s="68"/>
      <c r="L29" s="68"/>
      <c r="M29" s="300">
        <f t="shared" si="3"/>
        <v>0</v>
      </c>
      <c r="N29" s="165"/>
      <c r="O29" s="165"/>
      <c r="P29" s="165"/>
      <c r="Q29" s="178"/>
      <c r="R29" s="178"/>
      <c r="S29" s="132"/>
      <c r="T29" s="226" t="str">
        <f t="shared" si="4"/>
        <v/>
      </c>
      <c r="U29" s="225" t="str">
        <f t="shared" si="5"/>
        <v/>
      </c>
      <c r="V29" s="332"/>
    </row>
    <row r="30" spans="1:22" x14ac:dyDescent="0.2">
      <c r="A30" s="299">
        <f t="shared" si="0"/>
        <v>0</v>
      </c>
      <c r="B30" s="165"/>
      <c r="C30" s="165"/>
      <c r="D30" s="165"/>
      <c r="E30" s="178"/>
      <c r="F30" s="178"/>
      <c r="G30" s="132"/>
      <c r="H30" s="225" t="str">
        <f t="shared" si="1"/>
        <v/>
      </c>
      <c r="I30" s="225" t="str">
        <f t="shared" si="2"/>
        <v/>
      </c>
      <c r="J30" s="68"/>
      <c r="K30" s="68"/>
      <c r="L30" s="68"/>
      <c r="M30" s="300">
        <f t="shared" si="3"/>
        <v>0</v>
      </c>
      <c r="N30" s="165"/>
      <c r="O30" s="165"/>
      <c r="P30" s="165"/>
      <c r="Q30" s="178"/>
      <c r="R30" s="178"/>
      <c r="S30" s="132"/>
      <c r="T30" s="226" t="str">
        <f t="shared" si="4"/>
        <v/>
      </c>
      <c r="U30" s="225" t="str">
        <f t="shared" si="5"/>
        <v/>
      </c>
      <c r="V30" s="332"/>
    </row>
    <row r="31" spans="1:22" x14ac:dyDescent="0.2">
      <c r="A31" s="299">
        <f t="shared" si="0"/>
        <v>0</v>
      </c>
      <c r="B31" s="165"/>
      <c r="C31" s="165"/>
      <c r="D31" s="165"/>
      <c r="E31" s="178"/>
      <c r="F31" s="178"/>
      <c r="G31" s="132"/>
      <c r="H31" s="225" t="str">
        <f t="shared" si="1"/>
        <v/>
      </c>
      <c r="I31" s="225" t="str">
        <f t="shared" si="2"/>
        <v/>
      </c>
      <c r="J31" s="68"/>
      <c r="K31" s="68"/>
      <c r="L31" s="68"/>
      <c r="M31" s="300">
        <f t="shared" si="3"/>
        <v>0</v>
      </c>
      <c r="N31" s="165"/>
      <c r="O31" s="165"/>
      <c r="P31" s="165"/>
      <c r="Q31" s="178"/>
      <c r="R31" s="178"/>
      <c r="S31" s="132"/>
      <c r="T31" s="226" t="str">
        <f t="shared" si="4"/>
        <v/>
      </c>
      <c r="U31" s="225" t="str">
        <f t="shared" si="5"/>
        <v/>
      </c>
      <c r="V31" s="332"/>
    </row>
    <row r="32" spans="1:22" x14ac:dyDescent="0.2">
      <c r="A32" s="299">
        <f t="shared" si="0"/>
        <v>0</v>
      </c>
      <c r="B32" s="165"/>
      <c r="C32" s="165"/>
      <c r="D32" s="165"/>
      <c r="E32" s="178"/>
      <c r="F32" s="178"/>
      <c r="G32" s="132"/>
      <c r="H32" s="225" t="str">
        <f t="shared" si="1"/>
        <v/>
      </c>
      <c r="I32" s="225" t="str">
        <f t="shared" si="2"/>
        <v/>
      </c>
      <c r="J32" s="68"/>
      <c r="K32" s="68"/>
      <c r="L32" s="68"/>
      <c r="M32" s="300">
        <f t="shared" si="3"/>
        <v>0</v>
      </c>
      <c r="N32" s="165"/>
      <c r="O32" s="165"/>
      <c r="P32" s="165"/>
      <c r="Q32" s="178"/>
      <c r="R32" s="178"/>
      <c r="S32" s="132"/>
      <c r="T32" s="226" t="str">
        <f t="shared" si="4"/>
        <v/>
      </c>
      <c r="U32" s="225" t="str">
        <f t="shared" si="5"/>
        <v/>
      </c>
      <c r="V32" s="332"/>
    </row>
    <row r="33" spans="1:22" x14ac:dyDescent="0.2">
      <c r="A33" s="299">
        <f t="shared" si="0"/>
        <v>0</v>
      </c>
      <c r="B33" s="165"/>
      <c r="C33" s="165"/>
      <c r="D33" s="165"/>
      <c r="E33" s="178"/>
      <c r="F33" s="178"/>
      <c r="G33" s="132"/>
      <c r="H33" s="225" t="str">
        <f t="shared" si="1"/>
        <v/>
      </c>
      <c r="I33" s="225" t="str">
        <f t="shared" si="2"/>
        <v/>
      </c>
      <c r="J33" s="68"/>
      <c r="K33" s="68"/>
      <c r="L33" s="68"/>
      <c r="M33" s="300">
        <f t="shared" si="3"/>
        <v>0</v>
      </c>
      <c r="N33" s="165"/>
      <c r="O33" s="165"/>
      <c r="P33" s="165"/>
      <c r="Q33" s="178"/>
      <c r="R33" s="178"/>
      <c r="S33" s="132"/>
      <c r="T33" s="226" t="str">
        <f t="shared" si="4"/>
        <v/>
      </c>
      <c r="U33" s="225" t="str">
        <f t="shared" si="5"/>
        <v/>
      </c>
      <c r="V33" s="332"/>
    </row>
    <row r="34" spans="1:22" x14ac:dyDescent="0.2">
      <c r="A34" s="299">
        <f t="shared" si="0"/>
        <v>0</v>
      </c>
      <c r="B34" s="165"/>
      <c r="C34" s="165"/>
      <c r="D34" s="165"/>
      <c r="E34" s="178"/>
      <c r="F34" s="178"/>
      <c r="G34" s="132"/>
      <c r="H34" s="225" t="str">
        <f t="shared" si="1"/>
        <v/>
      </c>
      <c r="I34" s="225" t="str">
        <f t="shared" si="2"/>
        <v/>
      </c>
      <c r="J34" s="68"/>
      <c r="K34" s="68"/>
      <c r="L34" s="68"/>
      <c r="M34" s="300">
        <f t="shared" si="3"/>
        <v>0</v>
      </c>
      <c r="N34" s="165"/>
      <c r="O34" s="165"/>
      <c r="P34" s="165"/>
      <c r="Q34" s="178"/>
      <c r="R34" s="178"/>
      <c r="S34" s="132"/>
      <c r="T34" s="226" t="str">
        <f t="shared" si="4"/>
        <v/>
      </c>
      <c r="U34" s="225" t="str">
        <f t="shared" si="5"/>
        <v/>
      </c>
      <c r="V34" s="332"/>
    </row>
    <row r="35" spans="1:22" x14ac:dyDescent="0.2">
      <c r="A35" s="299">
        <f t="shared" si="0"/>
        <v>0</v>
      </c>
      <c r="B35" s="165"/>
      <c r="C35" s="165"/>
      <c r="D35" s="165"/>
      <c r="E35" s="178"/>
      <c r="F35" s="178"/>
      <c r="G35" s="132"/>
      <c r="H35" s="225" t="str">
        <f t="shared" si="1"/>
        <v/>
      </c>
      <c r="I35" s="225" t="str">
        <f t="shared" si="2"/>
        <v/>
      </c>
      <c r="J35" s="68"/>
      <c r="K35" s="68"/>
      <c r="L35" s="68"/>
      <c r="M35" s="300">
        <f t="shared" si="3"/>
        <v>0</v>
      </c>
      <c r="N35" s="165"/>
      <c r="O35" s="165"/>
      <c r="P35" s="165"/>
      <c r="Q35" s="178"/>
      <c r="R35" s="178"/>
      <c r="S35" s="132"/>
      <c r="T35" s="226" t="str">
        <f t="shared" si="4"/>
        <v/>
      </c>
      <c r="U35" s="225" t="str">
        <f t="shared" si="5"/>
        <v/>
      </c>
      <c r="V35" s="332"/>
    </row>
    <row r="36" spans="1:22" x14ac:dyDescent="0.2">
      <c r="A36" s="299">
        <f t="shared" si="0"/>
        <v>0</v>
      </c>
      <c r="B36" s="165"/>
      <c r="C36" s="165"/>
      <c r="D36" s="165"/>
      <c r="E36" s="178"/>
      <c r="F36" s="178"/>
      <c r="G36" s="132"/>
      <c r="H36" s="225" t="str">
        <f t="shared" si="1"/>
        <v/>
      </c>
      <c r="I36" s="225" t="str">
        <f t="shared" si="2"/>
        <v/>
      </c>
      <c r="J36" s="68"/>
      <c r="K36" s="68"/>
      <c r="L36" s="68"/>
      <c r="M36" s="300">
        <f t="shared" si="3"/>
        <v>0</v>
      </c>
      <c r="N36" s="165"/>
      <c r="O36" s="165"/>
      <c r="P36" s="165"/>
      <c r="Q36" s="178"/>
      <c r="R36" s="178"/>
      <c r="S36" s="132"/>
      <c r="T36" s="226" t="str">
        <f t="shared" si="4"/>
        <v/>
      </c>
      <c r="U36" s="225" t="str">
        <f t="shared" si="5"/>
        <v/>
      </c>
      <c r="V36" s="332"/>
    </row>
    <row r="37" spans="1:22" x14ac:dyDescent="0.2">
      <c r="A37" s="299">
        <f t="shared" si="0"/>
        <v>0</v>
      </c>
      <c r="B37" s="165"/>
      <c r="C37" s="165"/>
      <c r="D37" s="165"/>
      <c r="E37" s="178"/>
      <c r="F37" s="178"/>
      <c r="G37" s="132"/>
      <c r="H37" s="225" t="str">
        <f t="shared" si="1"/>
        <v/>
      </c>
      <c r="I37" s="225" t="str">
        <f t="shared" si="2"/>
        <v/>
      </c>
      <c r="J37" s="68"/>
      <c r="K37" s="68"/>
      <c r="L37" s="68"/>
      <c r="M37" s="300">
        <f t="shared" si="3"/>
        <v>0</v>
      </c>
      <c r="N37" s="165"/>
      <c r="O37" s="165"/>
      <c r="P37" s="165"/>
      <c r="Q37" s="178"/>
      <c r="R37" s="178"/>
      <c r="S37" s="132"/>
      <c r="T37" s="226" t="str">
        <f t="shared" si="4"/>
        <v/>
      </c>
      <c r="U37" s="225" t="str">
        <f t="shared" si="5"/>
        <v/>
      </c>
      <c r="V37" s="332"/>
    </row>
    <row r="38" spans="1:22" x14ac:dyDescent="0.2">
      <c r="A38" s="299">
        <f t="shared" si="0"/>
        <v>0</v>
      </c>
      <c r="B38" s="165"/>
      <c r="C38" s="165"/>
      <c r="D38" s="165"/>
      <c r="E38" s="178"/>
      <c r="F38" s="178"/>
      <c r="G38" s="132"/>
      <c r="H38" s="225" t="str">
        <f t="shared" si="1"/>
        <v/>
      </c>
      <c r="I38" s="225" t="str">
        <f t="shared" si="2"/>
        <v/>
      </c>
      <c r="J38" s="68"/>
      <c r="K38" s="68"/>
      <c r="L38" s="68"/>
      <c r="M38" s="300">
        <f t="shared" si="3"/>
        <v>0</v>
      </c>
      <c r="N38" s="165"/>
      <c r="O38" s="165"/>
      <c r="P38" s="165"/>
      <c r="Q38" s="178"/>
      <c r="R38" s="178"/>
      <c r="S38" s="132"/>
      <c r="T38" s="226" t="str">
        <f t="shared" si="4"/>
        <v/>
      </c>
      <c r="U38" s="225" t="str">
        <f t="shared" si="5"/>
        <v/>
      </c>
      <c r="V38" s="332"/>
    </row>
    <row r="39" spans="1:22" x14ac:dyDescent="0.2">
      <c r="A39" s="299">
        <f t="shared" si="0"/>
        <v>0</v>
      </c>
      <c r="B39" s="165"/>
      <c r="C39" s="165"/>
      <c r="D39" s="165"/>
      <c r="E39" s="178"/>
      <c r="F39" s="178"/>
      <c r="G39" s="132"/>
      <c r="H39" s="225" t="str">
        <f t="shared" si="1"/>
        <v/>
      </c>
      <c r="I39" s="225" t="str">
        <f t="shared" si="2"/>
        <v/>
      </c>
      <c r="J39" s="68"/>
      <c r="K39" s="68"/>
      <c r="L39" s="68"/>
      <c r="M39" s="300">
        <f t="shared" si="3"/>
        <v>0</v>
      </c>
      <c r="N39" s="165"/>
      <c r="O39" s="165"/>
      <c r="P39" s="165"/>
      <c r="Q39" s="178"/>
      <c r="R39" s="178"/>
      <c r="S39" s="132"/>
      <c r="T39" s="226" t="str">
        <f t="shared" si="4"/>
        <v/>
      </c>
      <c r="U39" s="225" t="str">
        <f t="shared" si="5"/>
        <v/>
      </c>
      <c r="V39" s="332"/>
    </row>
    <row r="40" spans="1:22" x14ac:dyDescent="0.2">
      <c r="A40" s="299">
        <f t="shared" si="0"/>
        <v>0</v>
      </c>
      <c r="B40" s="165"/>
      <c r="C40" s="165"/>
      <c r="D40" s="165"/>
      <c r="E40" s="178"/>
      <c r="F40" s="178"/>
      <c r="G40" s="132"/>
      <c r="H40" s="225" t="str">
        <f t="shared" si="1"/>
        <v/>
      </c>
      <c r="I40" s="225" t="str">
        <f t="shared" si="2"/>
        <v/>
      </c>
      <c r="J40" s="68"/>
      <c r="K40" s="68"/>
      <c r="L40" s="68"/>
      <c r="M40" s="300">
        <f t="shared" si="3"/>
        <v>0</v>
      </c>
      <c r="N40" s="165"/>
      <c r="O40" s="165"/>
      <c r="P40" s="165"/>
      <c r="Q40" s="178"/>
      <c r="R40" s="178"/>
      <c r="S40" s="132"/>
      <c r="T40" s="226" t="str">
        <f t="shared" si="4"/>
        <v/>
      </c>
      <c r="U40" s="225" t="str">
        <f t="shared" si="5"/>
        <v/>
      </c>
      <c r="V40" s="332"/>
    </row>
    <row r="41" spans="1:22" x14ac:dyDescent="0.2">
      <c r="A41" s="299">
        <f t="shared" si="0"/>
        <v>0</v>
      </c>
      <c r="B41" s="165"/>
      <c r="C41" s="165"/>
      <c r="D41" s="165"/>
      <c r="E41" s="178"/>
      <c r="F41" s="178"/>
      <c r="G41" s="132"/>
      <c r="H41" s="225" t="str">
        <f t="shared" si="1"/>
        <v/>
      </c>
      <c r="I41" s="225" t="str">
        <f t="shared" si="2"/>
        <v/>
      </c>
      <c r="J41" s="68"/>
      <c r="K41" s="68"/>
      <c r="L41" s="68"/>
      <c r="M41" s="300">
        <f t="shared" si="3"/>
        <v>0</v>
      </c>
      <c r="N41" s="165"/>
      <c r="O41" s="165"/>
      <c r="P41" s="165"/>
      <c r="Q41" s="178"/>
      <c r="R41" s="178"/>
      <c r="S41" s="132"/>
      <c r="T41" s="226" t="str">
        <f t="shared" si="4"/>
        <v/>
      </c>
      <c r="U41" s="225" t="str">
        <f t="shared" si="5"/>
        <v/>
      </c>
      <c r="V41" s="332"/>
    </row>
    <row r="42" spans="1:22" x14ac:dyDescent="0.2">
      <c r="A42" s="299">
        <f t="shared" si="0"/>
        <v>0</v>
      </c>
      <c r="B42" s="165"/>
      <c r="C42" s="165"/>
      <c r="D42" s="165"/>
      <c r="E42" s="178"/>
      <c r="F42" s="178"/>
      <c r="G42" s="132"/>
      <c r="H42" s="225" t="str">
        <f t="shared" si="1"/>
        <v/>
      </c>
      <c r="I42" s="225" t="str">
        <f t="shared" si="2"/>
        <v/>
      </c>
      <c r="J42" s="68"/>
      <c r="K42" s="68"/>
      <c r="L42" s="68"/>
      <c r="M42" s="300">
        <f t="shared" si="3"/>
        <v>0</v>
      </c>
      <c r="N42" s="165"/>
      <c r="O42" s="165"/>
      <c r="P42" s="165"/>
      <c r="Q42" s="178"/>
      <c r="R42" s="178"/>
      <c r="S42" s="132"/>
      <c r="T42" s="226" t="str">
        <f t="shared" si="4"/>
        <v/>
      </c>
      <c r="U42" s="225" t="str">
        <f t="shared" si="5"/>
        <v/>
      </c>
      <c r="V42" s="332"/>
    </row>
    <row r="43" spans="1:22" x14ac:dyDescent="0.2">
      <c r="A43" s="299">
        <f t="shared" si="0"/>
        <v>0</v>
      </c>
      <c r="B43" s="165"/>
      <c r="C43" s="165"/>
      <c r="D43" s="165"/>
      <c r="E43" s="178"/>
      <c r="F43" s="178"/>
      <c r="G43" s="132"/>
      <c r="H43" s="225" t="str">
        <f t="shared" si="1"/>
        <v/>
      </c>
      <c r="I43" s="225" t="str">
        <f t="shared" si="2"/>
        <v/>
      </c>
      <c r="J43" s="68"/>
      <c r="K43" s="68"/>
      <c r="L43" s="68"/>
      <c r="M43" s="300">
        <f t="shared" si="3"/>
        <v>0</v>
      </c>
      <c r="N43" s="165"/>
      <c r="O43" s="165"/>
      <c r="P43" s="165"/>
      <c r="Q43" s="178"/>
      <c r="R43" s="178"/>
      <c r="S43" s="132"/>
      <c r="T43" s="226" t="str">
        <f t="shared" si="4"/>
        <v/>
      </c>
      <c r="U43" s="225" t="str">
        <f t="shared" si="5"/>
        <v/>
      </c>
      <c r="V43" s="332"/>
    </row>
    <row r="44" spans="1:22" x14ac:dyDescent="0.2">
      <c r="A44" s="299">
        <f t="shared" si="0"/>
        <v>0</v>
      </c>
      <c r="B44" s="165"/>
      <c r="C44" s="165"/>
      <c r="D44" s="165"/>
      <c r="E44" s="178"/>
      <c r="F44" s="178"/>
      <c r="G44" s="132"/>
      <c r="H44" s="225" t="str">
        <f t="shared" si="1"/>
        <v/>
      </c>
      <c r="I44" s="225" t="str">
        <f t="shared" si="2"/>
        <v/>
      </c>
      <c r="J44" s="68"/>
      <c r="K44" s="68"/>
      <c r="L44" s="68"/>
      <c r="M44" s="300">
        <f t="shared" si="3"/>
        <v>0</v>
      </c>
      <c r="N44" s="165"/>
      <c r="O44" s="165"/>
      <c r="P44" s="165"/>
      <c r="Q44" s="178"/>
      <c r="R44" s="178"/>
      <c r="S44" s="132"/>
      <c r="T44" s="226" t="str">
        <f t="shared" si="4"/>
        <v/>
      </c>
      <c r="U44" s="225" t="str">
        <f t="shared" si="5"/>
        <v/>
      </c>
      <c r="V44" s="332"/>
    </row>
    <row r="45" spans="1:22" x14ac:dyDescent="0.2">
      <c r="A45" s="299">
        <f t="shared" si="0"/>
        <v>0</v>
      </c>
      <c r="B45" s="165"/>
      <c r="C45" s="165"/>
      <c r="D45" s="165"/>
      <c r="E45" s="178"/>
      <c r="F45" s="178"/>
      <c r="G45" s="132"/>
      <c r="H45" s="225" t="str">
        <f t="shared" si="1"/>
        <v/>
      </c>
      <c r="I45" s="225" t="str">
        <f t="shared" si="2"/>
        <v/>
      </c>
      <c r="J45" s="68"/>
      <c r="K45" s="68"/>
      <c r="L45" s="68"/>
      <c r="M45" s="300">
        <f t="shared" si="3"/>
        <v>0</v>
      </c>
      <c r="N45" s="165"/>
      <c r="O45" s="165"/>
      <c r="P45" s="165"/>
      <c r="Q45" s="178"/>
      <c r="R45" s="178"/>
      <c r="S45" s="132"/>
      <c r="T45" s="226" t="str">
        <f t="shared" si="4"/>
        <v/>
      </c>
      <c r="U45" s="225" t="str">
        <f t="shared" si="5"/>
        <v/>
      </c>
      <c r="V45" s="332"/>
    </row>
    <row r="46" spans="1:22" x14ac:dyDescent="0.2">
      <c r="A46" s="299">
        <f t="shared" si="0"/>
        <v>0</v>
      </c>
      <c r="B46" s="165"/>
      <c r="C46" s="165"/>
      <c r="D46" s="165"/>
      <c r="E46" s="178"/>
      <c r="F46" s="178"/>
      <c r="G46" s="132"/>
      <c r="H46" s="225" t="str">
        <f t="shared" si="1"/>
        <v/>
      </c>
      <c r="I46" s="225" t="str">
        <f t="shared" si="2"/>
        <v/>
      </c>
      <c r="J46" s="68"/>
      <c r="K46" s="68"/>
      <c r="L46" s="68"/>
      <c r="M46" s="300">
        <f t="shared" si="3"/>
        <v>0</v>
      </c>
      <c r="N46" s="165"/>
      <c r="O46" s="165"/>
      <c r="P46" s="165"/>
      <c r="Q46" s="178"/>
      <c r="R46" s="178"/>
      <c r="S46" s="132"/>
      <c r="T46" s="226" t="str">
        <f t="shared" si="4"/>
        <v/>
      </c>
      <c r="U46" s="225" t="str">
        <f t="shared" si="5"/>
        <v/>
      </c>
      <c r="V46" s="332"/>
    </row>
    <row r="47" spans="1:22" x14ac:dyDescent="0.2">
      <c r="A47" s="299">
        <f t="shared" si="0"/>
        <v>0</v>
      </c>
      <c r="B47" s="165"/>
      <c r="C47" s="165"/>
      <c r="D47" s="165"/>
      <c r="E47" s="178"/>
      <c r="F47" s="178"/>
      <c r="G47" s="132"/>
      <c r="H47" s="225" t="str">
        <f t="shared" si="1"/>
        <v/>
      </c>
      <c r="I47" s="225" t="str">
        <f t="shared" si="2"/>
        <v/>
      </c>
      <c r="J47" s="68"/>
      <c r="K47" s="68"/>
      <c r="L47" s="68"/>
      <c r="M47" s="300">
        <f t="shared" si="3"/>
        <v>0</v>
      </c>
      <c r="N47" s="165"/>
      <c r="O47" s="165"/>
      <c r="P47" s="165"/>
      <c r="Q47" s="178"/>
      <c r="R47" s="178"/>
      <c r="S47" s="132"/>
      <c r="T47" s="226" t="str">
        <f t="shared" si="4"/>
        <v/>
      </c>
      <c r="U47" s="225" t="str">
        <f t="shared" si="5"/>
        <v/>
      </c>
      <c r="V47" s="332"/>
    </row>
    <row r="48" spans="1:22" x14ac:dyDescent="0.2">
      <c r="A48" s="299">
        <f t="shared" si="0"/>
        <v>0</v>
      </c>
      <c r="B48" s="165"/>
      <c r="C48" s="165"/>
      <c r="D48" s="165"/>
      <c r="E48" s="178"/>
      <c r="F48" s="178"/>
      <c r="G48" s="132"/>
      <c r="H48" s="225" t="str">
        <f t="shared" si="1"/>
        <v/>
      </c>
      <c r="I48" s="225" t="str">
        <f t="shared" si="2"/>
        <v/>
      </c>
      <c r="J48" s="68"/>
      <c r="K48" s="68"/>
      <c r="L48" s="68"/>
      <c r="M48" s="300">
        <f t="shared" si="3"/>
        <v>0</v>
      </c>
      <c r="N48" s="165"/>
      <c r="O48" s="165"/>
      <c r="P48" s="165"/>
      <c r="Q48" s="178"/>
      <c r="R48" s="178"/>
      <c r="S48" s="132"/>
      <c r="T48" s="226" t="str">
        <f t="shared" si="4"/>
        <v/>
      </c>
      <c r="U48" s="225" t="str">
        <f t="shared" si="5"/>
        <v/>
      </c>
      <c r="V48" s="332"/>
    </row>
    <row r="49" spans="1:22" x14ac:dyDescent="0.2">
      <c r="A49" s="299">
        <f t="shared" si="0"/>
        <v>0</v>
      </c>
      <c r="B49" s="165"/>
      <c r="C49" s="165"/>
      <c r="D49" s="165"/>
      <c r="E49" s="178"/>
      <c r="F49" s="178"/>
      <c r="G49" s="132"/>
      <c r="H49" s="225" t="str">
        <f t="shared" si="1"/>
        <v/>
      </c>
      <c r="I49" s="225" t="str">
        <f t="shared" si="2"/>
        <v/>
      </c>
      <c r="J49" s="68"/>
      <c r="K49" s="68"/>
      <c r="L49" s="68"/>
      <c r="M49" s="300">
        <f t="shared" si="3"/>
        <v>0</v>
      </c>
      <c r="N49" s="165"/>
      <c r="O49" s="165"/>
      <c r="P49" s="165"/>
      <c r="Q49" s="178"/>
      <c r="R49" s="178"/>
      <c r="S49" s="132"/>
      <c r="T49" s="226" t="str">
        <f t="shared" si="4"/>
        <v/>
      </c>
      <c r="U49" s="225" t="str">
        <f t="shared" si="5"/>
        <v/>
      </c>
      <c r="V49" s="332"/>
    </row>
    <row r="50" spans="1:22" x14ac:dyDescent="0.2">
      <c r="A50" s="299">
        <f t="shared" si="0"/>
        <v>0</v>
      </c>
      <c r="B50" s="165"/>
      <c r="C50" s="165"/>
      <c r="D50" s="165"/>
      <c r="E50" s="178"/>
      <c r="F50" s="178"/>
      <c r="G50" s="132"/>
      <c r="H50" s="225" t="str">
        <f t="shared" si="1"/>
        <v/>
      </c>
      <c r="I50" s="225" t="str">
        <f t="shared" si="2"/>
        <v/>
      </c>
      <c r="J50" s="68"/>
      <c r="K50" s="68"/>
      <c r="L50" s="68"/>
      <c r="M50" s="300">
        <f t="shared" si="3"/>
        <v>0</v>
      </c>
      <c r="N50" s="165"/>
      <c r="O50" s="165"/>
      <c r="P50" s="165"/>
      <c r="Q50" s="178"/>
      <c r="R50" s="178"/>
      <c r="S50" s="132"/>
      <c r="T50" s="226" t="str">
        <f t="shared" si="4"/>
        <v/>
      </c>
      <c r="U50" s="225" t="str">
        <f t="shared" si="5"/>
        <v/>
      </c>
      <c r="V50" s="332"/>
    </row>
    <row r="51" spans="1:22" x14ac:dyDescent="0.2">
      <c r="A51" s="299">
        <f t="shared" si="0"/>
        <v>0</v>
      </c>
      <c r="B51" s="165"/>
      <c r="C51" s="165"/>
      <c r="D51" s="165"/>
      <c r="E51" s="178"/>
      <c r="F51" s="178"/>
      <c r="G51" s="132"/>
      <c r="H51" s="225" t="str">
        <f t="shared" si="1"/>
        <v/>
      </c>
      <c r="I51" s="225" t="str">
        <f t="shared" si="2"/>
        <v/>
      </c>
      <c r="J51" s="68"/>
      <c r="K51" s="68"/>
      <c r="L51" s="68"/>
      <c r="M51" s="300">
        <f t="shared" si="3"/>
        <v>0</v>
      </c>
      <c r="N51" s="165"/>
      <c r="O51" s="165"/>
      <c r="P51" s="165"/>
      <c r="Q51" s="178"/>
      <c r="R51" s="178"/>
      <c r="S51" s="132"/>
      <c r="T51" s="226" t="str">
        <f t="shared" si="4"/>
        <v/>
      </c>
      <c r="U51" s="225" t="str">
        <f t="shared" si="5"/>
        <v/>
      </c>
      <c r="V51" s="332"/>
    </row>
    <row r="52" spans="1:22" x14ac:dyDescent="0.2">
      <c r="A52" s="299">
        <f t="shared" si="0"/>
        <v>0</v>
      </c>
      <c r="B52" s="165"/>
      <c r="C52" s="165"/>
      <c r="D52" s="165"/>
      <c r="E52" s="178"/>
      <c r="F52" s="178"/>
      <c r="G52" s="132"/>
      <c r="H52" s="225" t="str">
        <f t="shared" si="1"/>
        <v/>
      </c>
      <c r="I52" s="225" t="str">
        <f t="shared" si="2"/>
        <v/>
      </c>
      <c r="J52" s="68"/>
      <c r="K52" s="68"/>
      <c r="L52" s="68"/>
      <c r="M52" s="300">
        <f t="shared" si="3"/>
        <v>0</v>
      </c>
      <c r="N52" s="165"/>
      <c r="O52" s="165"/>
      <c r="P52" s="165"/>
      <c r="Q52" s="178"/>
      <c r="R52" s="178"/>
      <c r="S52" s="132"/>
      <c r="T52" s="226" t="str">
        <f t="shared" si="4"/>
        <v/>
      </c>
      <c r="U52" s="225" t="str">
        <f t="shared" si="5"/>
        <v/>
      </c>
      <c r="V52" s="332"/>
    </row>
    <row r="53" spans="1:22" x14ac:dyDescent="0.2">
      <c r="A53" s="299">
        <f t="shared" si="0"/>
        <v>0</v>
      </c>
      <c r="B53" s="165"/>
      <c r="C53" s="165"/>
      <c r="D53" s="165"/>
      <c r="E53" s="178"/>
      <c r="F53" s="178"/>
      <c r="G53" s="132"/>
      <c r="H53" s="225" t="str">
        <f t="shared" si="1"/>
        <v/>
      </c>
      <c r="I53" s="225" t="str">
        <f t="shared" si="2"/>
        <v/>
      </c>
      <c r="J53" s="68"/>
      <c r="K53" s="68"/>
      <c r="L53" s="68"/>
      <c r="M53" s="300">
        <f t="shared" si="3"/>
        <v>0</v>
      </c>
      <c r="N53" s="165"/>
      <c r="O53" s="165"/>
      <c r="P53" s="165"/>
      <c r="Q53" s="178"/>
      <c r="R53" s="178"/>
      <c r="S53" s="132"/>
      <c r="T53" s="226" t="str">
        <f t="shared" si="4"/>
        <v/>
      </c>
      <c r="U53" s="225" t="str">
        <f t="shared" si="5"/>
        <v/>
      </c>
      <c r="V53" s="332"/>
    </row>
    <row r="54" spans="1:22" x14ac:dyDescent="0.2">
      <c r="A54" s="299">
        <f t="shared" si="0"/>
        <v>0</v>
      </c>
      <c r="B54" s="165"/>
      <c r="C54" s="165"/>
      <c r="D54" s="165"/>
      <c r="E54" s="178"/>
      <c r="F54" s="178"/>
      <c r="G54" s="132"/>
      <c r="H54" s="225" t="str">
        <f t="shared" si="1"/>
        <v/>
      </c>
      <c r="I54" s="225" t="str">
        <f t="shared" si="2"/>
        <v/>
      </c>
      <c r="J54" s="68"/>
      <c r="K54" s="68"/>
      <c r="L54" s="68"/>
      <c r="M54" s="300">
        <f t="shared" si="3"/>
        <v>0</v>
      </c>
      <c r="N54" s="165"/>
      <c r="O54" s="165"/>
      <c r="P54" s="165"/>
      <c r="Q54" s="178"/>
      <c r="R54" s="178"/>
      <c r="S54" s="132"/>
      <c r="T54" s="226" t="str">
        <f t="shared" si="4"/>
        <v/>
      </c>
      <c r="U54" s="225" t="str">
        <f t="shared" si="5"/>
        <v/>
      </c>
      <c r="V54" s="332"/>
    </row>
    <row r="55" spans="1:22" x14ac:dyDescent="0.2">
      <c r="A55" s="299">
        <f t="shared" si="0"/>
        <v>0</v>
      </c>
      <c r="B55" s="165"/>
      <c r="C55" s="165"/>
      <c r="D55" s="165"/>
      <c r="E55" s="178"/>
      <c r="F55" s="178"/>
      <c r="G55" s="132"/>
      <c r="H55" s="225" t="str">
        <f t="shared" si="1"/>
        <v/>
      </c>
      <c r="I55" s="225" t="str">
        <f t="shared" si="2"/>
        <v/>
      </c>
      <c r="J55" s="68"/>
      <c r="K55" s="68"/>
      <c r="L55" s="68"/>
      <c r="M55" s="300">
        <f t="shared" si="3"/>
        <v>0</v>
      </c>
      <c r="N55" s="165"/>
      <c r="O55" s="165"/>
      <c r="P55" s="165"/>
      <c r="Q55" s="178"/>
      <c r="R55" s="178"/>
      <c r="S55" s="132"/>
      <c r="T55" s="226" t="str">
        <f t="shared" si="4"/>
        <v/>
      </c>
      <c r="U55" s="225" t="str">
        <f t="shared" si="5"/>
        <v/>
      </c>
      <c r="V55" s="332"/>
    </row>
    <row r="56" spans="1:22" x14ac:dyDescent="0.2">
      <c r="A56" s="299">
        <f t="shared" si="0"/>
        <v>0</v>
      </c>
      <c r="B56" s="165"/>
      <c r="C56" s="165"/>
      <c r="D56" s="165"/>
      <c r="E56" s="178"/>
      <c r="F56" s="178"/>
      <c r="G56" s="132"/>
      <c r="H56" s="225" t="str">
        <f t="shared" si="1"/>
        <v/>
      </c>
      <c r="I56" s="225" t="str">
        <f t="shared" si="2"/>
        <v/>
      </c>
      <c r="J56" s="68"/>
      <c r="K56" s="68"/>
      <c r="L56" s="68"/>
      <c r="M56" s="300">
        <f t="shared" si="3"/>
        <v>0</v>
      </c>
      <c r="N56" s="165"/>
      <c r="O56" s="165"/>
      <c r="P56" s="165"/>
      <c r="Q56" s="178"/>
      <c r="R56" s="178"/>
      <c r="S56" s="132"/>
      <c r="T56" s="226" t="str">
        <f t="shared" si="4"/>
        <v/>
      </c>
      <c r="U56" s="225" t="str">
        <f t="shared" si="5"/>
        <v/>
      </c>
      <c r="V56" s="332"/>
    </row>
    <row r="57" spans="1:22" x14ac:dyDescent="0.2">
      <c r="A57" s="299">
        <f t="shared" si="0"/>
        <v>0</v>
      </c>
      <c r="B57" s="165"/>
      <c r="C57" s="165"/>
      <c r="D57" s="165"/>
      <c r="E57" s="178"/>
      <c r="F57" s="178"/>
      <c r="G57" s="132"/>
      <c r="H57" s="225" t="str">
        <f t="shared" si="1"/>
        <v/>
      </c>
      <c r="I57" s="225" t="str">
        <f t="shared" si="2"/>
        <v/>
      </c>
      <c r="J57" s="68"/>
      <c r="K57" s="68"/>
      <c r="L57" s="68"/>
      <c r="M57" s="300">
        <f t="shared" si="3"/>
        <v>0</v>
      </c>
      <c r="N57" s="165"/>
      <c r="O57" s="165"/>
      <c r="P57" s="165"/>
      <c r="Q57" s="178"/>
      <c r="R57" s="178"/>
      <c r="S57" s="132"/>
      <c r="T57" s="226" t="str">
        <f t="shared" si="4"/>
        <v/>
      </c>
      <c r="U57" s="225" t="str">
        <f t="shared" si="5"/>
        <v/>
      </c>
      <c r="V57" s="332"/>
    </row>
    <row r="58" spans="1:22" x14ac:dyDescent="0.2">
      <c r="A58" s="299">
        <f t="shared" si="0"/>
        <v>0</v>
      </c>
      <c r="B58" s="165"/>
      <c r="C58" s="165"/>
      <c r="D58" s="165"/>
      <c r="E58" s="178"/>
      <c r="F58" s="178"/>
      <c r="G58" s="132"/>
      <c r="H58" s="225" t="str">
        <f t="shared" si="1"/>
        <v/>
      </c>
      <c r="I58" s="225" t="str">
        <f t="shared" si="2"/>
        <v/>
      </c>
      <c r="J58" s="68"/>
      <c r="K58" s="68"/>
      <c r="L58" s="68"/>
      <c r="M58" s="300">
        <f t="shared" si="3"/>
        <v>0</v>
      </c>
      <c r="N58" s="165"/>
      <c r="O58" s="165"/>
      <c r="P58" s="165"/>
      <c r="Q58" s="178"/>
      <c r="R58" s="178"/>
      <c r="S58" s="132"/>
      <c r="T58" s="226" t="str">
        <f t="shared" si="4"/>
        <v/>
      </c>
      <c r="U58" s="225" t="str">
        <f t="shared" si="5"/>
        <v/>
      </c>
      <c r="V58" s="332"/>
    </row>
    <row r="59" spans="1:22" x14ac:dyDescent="0.2">
      <c r="A59" s="299">
        <f t="shared" si="0"/>
        <v>0</v>
      </c>
      <c r="B59" s="165"/>
      <c r="C59" s="165"/>
      <c r="D59" s="165"/>
      <c r="E59" s="178"/>
      <c r="F59" s="178"/>
      <c r="G59" s="132"/>
      <c r="H59" s="225" t="str">
        <f t="shared" si="1"/>
        <v/>
      </c>
      <c r="I59" s="225" t="str">
        <f t="shared" si="2"/>
        <v/>
      </c>
      <c r="J59" s="68"/>
      <c r="K59" s="68"/>
      <c r="L59" s="68"/>
      <c r="M59" s="300">
        <f t="shared" si="3"/>
        <v>0</v>
      </c>
      <c r="N59" s="165"/>
      <c r="O59" s="165"/>
      <c r="P59" s="165"/>
      <c r="Q59" s="178"/>
      <c r="R59" s="178"/>
      <c r="S59" s="132"/>
      <c r="T59" s="226" t="str">
        <f t="shared" si="4"/>
        <v/>
      </c>
      <c r="U59" s="225" t="str">
        <f t="shared" si="5"/>
        <v/>
      </c>
      <c r="V59" s="332"/>
    </row>
    <row r="60" spans="1:22" x14ac:dyDescent="0.2">
      <c r="A60" s="299">
        <f t="shared" si="0"/>
        <v>0</v>
      </c>
      <c r="B60" s="165"/>
      <c r="C60" s="165"/>
      <c r="D60" s="165"/>
      <c r="E60" s="178"/>
      <c r="F60" s="178"/>
      <c r="G60" s="132"/>
      <c r="H60" s="225" t="str">
        <f t="shared" si="1"/>
        <v/>
      </c>
      <c r="I60" s="225" t="str">
        <f t="shared" si="2"/>
        <v/>
      </c>
      <c r="J60" s="68"/>
      <c r="K60" s="68"/>
      <c r="L60" s="68"/>
      <c r="M60" s="300">
        <f t="shared" si="3"/>
        <v>0</v>
      </c>
      <c r="N60" s="165"/>
      <c r="O60" s="165"/>
      <c r="P60" s="165"/>
      <c r="Q60" s="178"/>
      <c r="R60" s="178"/>
      <c r="S60" s="132"/>
      <c r="T60" s="226" t="str">
        <f t="shared" si="4"/>
        <v/>
      </c>
      <c r="U60" s="225" t="str">
        <f t="shared" si="5"/>
        <v/>
      </c>
      <c r="V60" s="332"/>
    </row>
    <row r="61" spans="1:22" x14ac:dyDescent="0.2">
      <c r="A61" s="299">
        <f t="shared" si="0"/>
        <v>0</v>
      </c>
      <c r="B61" s="165"/>
      <c r="C61" s="165"/>
      <c r="D61" s="165"/>
      <c r="E61" s="178"/>
      <c r="F61" s="178"/>
      <c r="G61" s="132"/>
      <c r="H61" s="225" t="str">
        <f t="shared" si="1"/>
        <v/>
      </c>
      <c r="I61" s="225" t="str">
        <f t="shared" si="2"/>
        <v/>
      </c>
      <c r="J61" s="68"/>
      <c r="K61" s="68"/>
      <c r="L61" s="68"/>
      <c r="M61" s="300">
        <f t="shared" si="3"/>
        <v>0</v>
      </c>
      <c r="N61" s="165"/>
      <c r="O61" s="165"/>
      <c r="P61" s="165"/>
      <c r="Q61" s="178"/>
      <c r="R61" s="178"/>
      <c r="S61" s="132"/>
      <c r="T61" s="226" t="str">
        <f t="shared" si="4"/>
        <v/>
      </c>
      <c r="U61" s="225" t="str">
        <f t="shared" si="5"/>
        <v/>
      </c>
      <c r="V61" s="332"/>
    </row>
    <row r="62" spans="1:22" x14ac:dyDescent="0.2">
      <c r="A62" s="299">
        <f t="shared" si="0"/>
        <v>0</v>
      </c>
      <c r="B62" s="165"/>
      <c r="C62" s="165"/>
      <c r="D62" s="165"/>
      <c r="E62" s="178"/>
      <c r="F62" s="178"/>
      <c r="G62" s="132"/>
      <c r="H62" s="225" t="str">
        <f t="shared" si="1"/>
        <v/>
      </c>
      <c r="I62" s="225" t="str">
        <f t="shared" si="2"/>
        <v/>
      </c>
      <c r="J62" s="68"/>
      <c r="K62" s="68"/>
      <c r="L62" s="68"/>
      <c r="M62" s="300">
        <f t="shared" si="3"/>
        <v>0</v>
      </c>
      <c r="N62" s="165"/>
      <c r="O62" s="165"/>
      <c r="P62" s="165"/>
      <c r="Q62" s="178"/>
      <c r="R62" s="178"/>
      <c r="S62" s="132"/>
      <c r="T62" s="226" t="str">
        <f t="shared" si="4"/>
        <v/>
      </c>
      <c r="U62" s="225" t="str">
        <f t="shared" si="5"/>
        <v/>
      </c>
      <c r="V62" s="332"/>
    </row>
    <row r="63" spans="1:22" x14ac:dyDescent="0.2">
      <c r="A63" s="299">
        <f t="shared" si="0"/>
        <v>0</v>
      </c>
      <c r="B63" s="165"/>
      <c r="C63" s="165"/>
      <c r="D63" s="165"/>
      <c r="E63" s="178"/>
      <c r="F63" s="178"/>
      <c r="G63" s="132"/>
      <c r="H63" s="225" t="str">
        <f t="shared" si="1"/>
        <v/>
      </c>
      <c r="I63" s="225" t="str">
        <f t="shared" si="2"/>
        <v/>
      </c>
      <c r="J63" s="68"/>
      <c r="K63" s="68"/>
      <c r="L63" s="68"/>
      <c r="M63" s="300">
        <f t="shared" si="3"/>
        <v>0</v>
      </c>
      <c r="N63" s="165"/>
      <c r="O63" s="165"/>
      <c r="P63" s="165"/>
      <c r="Q63" s="178"/>
      <c r="R63" s="178"/>
      <c r="S63" s="132"/>
      <c r="T63" s="226" t="str">
        <f t="shared" si="4"/>
        <v/>
      </c>
      <c r="U63" s="225" t="str">
        <f t="shared" si="5"/>
        <v/>
      </c>
      <c r="V63" s="332"/>
    </row>
    <row r="64" spans="1:22" x14ac:dyDescent="0.2">
      <c r="A64" s="299">
        <f t="shared" si="0"/>
        <v>0</v>
      </c>
      <c r="B64" s="165"/>
      <c r="C64" s="165"/>
      <c r="D64" s="165"/>
      <c r="E64" s="178"/>
      <c r="F64" s="178"/>
      <c r="G64" s="132"/>
      <c r="H64" s="225" t="str">
        <f t="shared" si="1"/>
        <v/>
      </c>
      <c r="I64" s="225" t="str">
        <f t="shared" si="2"/>
        <v/>
      </c>
      <c r="J64" s="68"/>
      <c r="K64" s="68"/>
      <c r="L64" s="68"/>
      <c r="M64" s="300">
        <f t="shared" si="3"/>
        <v>0</v>
      </c>
      <c r="N64" s="165"/>
      <c r="O64" s="165"/>
      <c r="P64" s="165"/>
      <c r="Q64" s="178"/>
      <c r="R64" s="178"/>
      <c r="S64" s="132"/>
      <c r="T64" s="226" t="str">
        <f t="shared" si="4"/>
        <v/>
      </c>
      <c r="U64" s="225" t="str">
        <f t="shared" si="5"/>
        <v/>
      </c>
      <c r="V64" s="332"/>
    </row>
    <row r="65" spans="1:22" x14ac:dyDescent="0.2">
      <c r="A65" s="299">
        <f t="shared" si="0"/>
        <v>0</v>
      </c>
      <c r="B65" s="165"/>
      <c r="C65" s="165"/>
      <c r="D65" s="165"/>
      <c r="E65" s="178"/>
      <c r="F65" s="178"/>
      <c r="G65" s="132"/>
      <c r="H65" s="225" t="str">
        <f t="shared" si="1"/>
        <v/>
      </c>
      <c r="I65" s="225" t="str">
        <f t="shared" si="2"/>
        <v/>
      </c>
      <c r="J65" s="68"/>
      <c r="K65" s="68"/>
      <c r="L65" s="68"/>
      <c r="M65" s="300">
        <f t="shared" si="3"/>
        <v>0</v>
      </c>
      <c r="N65" s="165"/>
      <c r="O65" s="165"/>
      <c r="P65" s="165"/>
      <c r="Q65" s="178"/>
      <c r="R65" s="178"/>
      <c r="S65" s="132"/>
      <c r="T65" s="226" t="str">
        <f t="shared" si="4"/>
        <v/>
      </c>
      <c r="U65" s="225" t="str">
        <f t="shared" si="5"/>
        <v/>
      </c>
      <c r="V65" s="332"/>
    </row>
    <row r="66" spans="1:22" x14ac:dyDescent="0.2">
      <c r="A66" s="299">
        <f t="shared" si="0"/>
        <v>0</v>
      </c>
      <c r="B66" s="165"/>
      <c r="C66" s="165"/>
      <c r="D66" s="165"/>
      <c r="E66" s="178"/>
      <c r="F66" s="178"/>
      <c r="G66" s="132"/>
      <c r="H66" s="225" t="str">
        <f t="shared" si="1"/>
        <v/>
      </c>
      <c r="I66" s="225" t="str">
        <f t="shared" si="2"/>
        <v/>
      </c>
      <c r="J66" s="68"/>
      <c r="K66" s="68"/>
      <c r="L66" s="68"/>
      <c r="M66" s="300">
        <f t="shared" si="3"/>
        <v>0</v>
      </c>
      <c r="N66" s="165"/>
      <c r="O66" s="165"/>
      <c r="P66" s="165"/>
      <c r="Q66" s="178"/>
      <c r="R66" s="178"/>
      <c r="S66" s="132"/>
      <c r="T66" s="226" t="str">
        <f t="shared" si="4"/>
        <v/>
      </c>
      <c r="U66" s="225" t="str">
        <f t="shared" si="5"/>
        <v/>
      </c>
      <c r="V66" s="332"/>
    </row>
    <row r="67" spans="1:22" x14ac:dyDescent="0.2">
      <c r="A67" s="299">
        <f t="shared" si="0"/>
        <v>0</v>
      </c>
      <c r="B67" s="165"/>
      <c r="C67" s="165"/>
      <c r="D67" s="165"/>
      <c r="E67" s="178"/>
      <c r="F67" s="178"/>
      <c r="G67" s="132"/>
      <c r="H67" s="225" t="str">
        <f t="shared" si="1"/>
        <v/>
      </c>
      <c r="I67" s="225" t="str">
        <f t="shared" si="2"/>
        <v/>
      </c>
      <c r="J67" s="68"/>
      <c r="K67" s="68"/>
      <c r="L67" s="68"/>
      <c r="M67" s="300">
        <f t="shared" si="3"/>
        <v>0</v>
      </c>
      <c r="N67" s="165"/>
      <c r="O67" s="165"/>
      <c r="P67" s="165"/>
      <c r="Q67" s="178"/>
      <c r="R67" s="178"/>
      <c r="S67" s="132"/>
      <c r="T67" s="226" t="str">
        <f t="shared" si="4"/>
        <v/>
      </c>
      <c r="U67" s="225" t="str">
        <f t="shared" si="5"/>
        <v/>
      </c>
      <c r="V67" s="332"/>
    </row>
    <row r="68" spans="1:22" x14ac:dyDescent="0.2">
      <c r="A68" s="299">
        <f t="shared" si="0"/>
        <v>0</v>
      </c>
      <c r="B68" s="165"/>
      <c r="C68" s="165"/>
      <c r="D68" s="165"/>
      <c r="E68" s="178"/>
      <c r="F68" s="178"/>
      <c r="G68" s="132"/>
      <c r="H68" s="225" t="str">
        <f t="shared" si="1"/>
        <v/>
      </c>
      <c r="I68" s="225" t="str">
        <f t="shared" si="2"/>
        <v/>
      </c>
      <c r="J68" s="68"/>
      <c r="K68" s="68"/>
      <c r="L68" s="68"/>
      <c r="M68" s="300">
        <f t="shared" si="3"/>
        <v>0</v>
      </c>
      <c r="N68" s="165"/>
      <c r="O68" s="165"/>
      <c r="P68" s="165"/>
      <c r="Q68" s="178"/>
      <c r="R68" s="178"/>
      <c r="S68" s="132"/>
      <c r="T68" s="226" t="str">
        <f t="shared" si="4"/>
        <v/>
      </c>
      <c r="U68" s="225" t="str">
        <f t="shared" si="5"/>
        <v/>
      </c>
      <c r="V68" s="332"/>
    </row>
    <row r="69" spans="1:22" x14ac:dyDescent="0.2">
      <c r="A69" s="299">
        <f t="shared" si="0"/>
        <v>0</v>
      </c>
      <c r="B69" s="165"/>
      <c r="C69" s="165"/>
      <c r="D69" s="165"/>
      <c r="E69" s="178"/>
      <c r="F69" s="178"/>
      <c r="G69" s="132"/>
      <c r="H69" s="225" t="str">
        <f t="shared" si="1"/>
        <v/>
      </c>
      <c r="I69" s="225" t="str">
        <f t="shared" si="2"/>
        <v/>
      </c>
      <c r="J69" s="68"/>
      <c r="K69" s="68"/>
      <c r="L69" s="68"/>
      <c r="M69" s="300">
        <f t="shared" si="3"/>
        <v>0</v>
      </c>
      <c r="N69" s="165"/>
      <c r="O69" s="165"/>
      <c r="P69" s="165"/>
      <c r="Q69" s="178"/>
      <c r="R69" s="178"/>
      <c r="S69" s="132"/>
      <c r="T69" s="226" t="str">
        <f t="shared" si="4"/>
        <v/>
      </c>
      <c r="U69" s="225" t="str">
        <f t="shared" si="5"/>
        <v/>
      </c>
      <c r="V69" s="332"/>
    </row>
    <row r="70" spans="1:22" x14ac:dyDescent="0.2">
      <c r="A70" s="299">
        <f t="shared" si="0"/>
        <v>0</v>
      </c>
      <c r="B70" s="165"/>
      <c r="C70" s="165"/>
      <c r="D70" s="165"/>
      <c r="E70" s="178"/>
      <c r="F70" s="178"/>
      <c r="G70" s="132"/>
      <c r="H70" s="225" t="str">
        <f t="shared" si="1"/>
        <v/>
      </c>
      <c r="I70" s="225" t="str">
        <f t="shared" si="2"/>
        <v/>
      </c>
      <c r="J70" s="68"/>
      <c r="K70" s="68"/>
      <c r="L70" s="68"/>
      <c r="M70" s="300">
        <f t="shared" si="3"/>
        <v>0</v>
      </c>
      <c r="N70" s="165"/>
      <c r="O70" s="165"/>
      <c r="P70" s="165"/>
      <c r="Q70" s="178"/>
      <c r="R70" s="178"/>
      <c r="S70" s="132"/>
      <c r="T70" s="226" t="str">
        <f t="shared" si="4"/>
        <v/>
      </c>
      <c r="U70" s="225" t="str">
        <f t="shared" si="5"/>
        <v/>
      </c>
      <c r="V70" s="332"/>
    </row>
    <row r="71" spans="1:22" x14ac:dyDescent="0.2">
      <c r="A71" s="299">
        <f t="shared" si="0"/>
        <v>0</v>
      </c>
      <c r="B71" s="165"/>
      <c r="C71" s="165"/>
      <c r="D71" s="165"/>
      <c r="E71" s="178"/>
      <c r="F71" s="178"/>
      <c r="G71" s="132"/>
      <c r="H71" s="225" t="str">
        <f t="shared" si="1"/>
        <v/>
      </c>
      <c r="I71" s="225" t="str">
        <f t="shared" si="2"/>
        <v/>
      </c>
      <c r="J71" s="68"/>
      <c r="K71" s="68"/>
      <c r="L71" s="68"/>
      <c r="M71" s="300">
        <f t="shared" si="3"/>
        <v>0</v>
      </c>
      <c r="N71" s="165"/>
      <c r="O71" s="165"/>
      <c r="P71" s="165"/>
      <c r="Q71" s="178"/>
      <c r="R71" s="178"/>
      <c r="S71" s="132"/>
      <c r="T71" s="226" t="str">
        <f t="shared" si="4"/>
        <v/>
      </c>
      <c r="U71" s="225" t="str">
        <f t="shared" si="5"/>
        <v/>
      </c>
      <c r="V71" s="332"/>
    </row>
    <row r="72" spans="1:22" x14ac:dyDescent="0.2">
      <c r="A72" s="299">
        <f t="shared" si="0"/>
        <v>0</v>
      </c>
      <c r="B72" s="165"/>
      <c r="C72" s="165"/>
      <c r="D72" s="165"/>
      <c r="E72" s="178"/>
      <c r="F72" s="178"/>
      <c r="G72" s="132"/>
      <c r="H72" s="225" t="str">
        <f t="shared" si="1"/>
        <v/>
      </c>
      <c r="I72" s="225" t="str">
        <f t="shared" si="2"/>
        <v/>
      </c>
      <c r="J72" s="68"/>
      <c r="K72" s="68"/>
      <c r="L72" s="68"/>
      <c r="M72" s="300">
        <f t="shared" si="3"/>
        <v>0</v>
      </c>
      <c r="N72" s="165"/>
      <c r="O72" s="165"/>
      <c r="P72" s="165"/>
      <c r="Q72" s="178"/>
      <c r="R72" s="178"/>
      <c r="S72" s="132"/>
      <c r="T72" s="226" t="str">
        <f t="shared" si="4"/>
        <v/>
      </c>
      <c r="U72" s="225" t="str">
        <f t="shared" si="5"/>
        <v/>
      </c>
      <c r="V72" s="332"/>
    </row>
    <row r="73" spans="1:22" x14ac:dyDescent="0.2">
      <c r="A73" s="299">
        <f t="shared" si="0"/>
        <v>0</v>
      </c>
      <c r="B73" s="165"/>
      <c r="C73" s="165"/>
      <c r="D73" s="165"/>
      <c r="E73" s="178"/>
      <c r="F73" s="178"/>
      <c r="G73" s="132"/>
      <c r="H73" s="225" t="str">
        <f t="shared" si="1"/>
        <v/>
      </c>
      <c r="I73" s="225" t="str">
        <f t="shared" si="2"/>
        <v/>
      </c>
      <c r="J73" s="68"/>
      <c r="K73" s="68"/>
      <c r="L73" s="68"/>
      <c r="M73" s="300">
        <f t="shared" si="3"/>
        <v>0</v>
      </c>
      <c r="N73" s="165"/>
      <c r="O73" s="165"/>
      <c r="P73" s="165"/>
      <c r="Q73" s="178"/>
      <c r="R73" s="178"/>
      <c r="S73" s="132"/>
      <c r="T73" s="226" t="str">
        <f t="shared" si="4"/>
        <v/>
      </c>
      <c r="U73" s="225" t="str">
        <f t="shared" si="5"/>
        <v/>
      </c>
      <c r="V73" s="332"/>
    </row>
    <row r="74" spans="1:22" x14ac:dyDescent="0.2">
      <c r="A74" s="299">
        <f t="shared" si="0"/>
        <v>0</v>
      </c>
      <c r="B74" s="165"/>
      <c r="C74" s="165"/>
      <c r="D74" s="165"/>
      <c r="E74" s="178"/>
      <c r="F74" s="178"/>
      <c r="G74" s="132"/>
      <c r="H74" s="225" t="str">
        <f t="shared" si="1"/>
        <v/>
      </c>
      <c r="I74" s="225" t="str">
        <f t="shared" si="2"/>
        <v/>
      </c>
      <c r="J74" s="68"/>
      <c r="K74" s="68"/>
      <c r="L74" s="68"/>
      <c r="M74" s="300">
        <f t="shared" si="3"/>
        <v>0</v>
      </c>
      <c r="N74" s="165"/>
      <c r="O74" s="165"/>
      <c r="P74" s="165"/>
      <c r="Q74" s="178"/>
      <c r="R74" s="178"/>
      <c r="S74" s="132"/>
      <c r="T74" s="226" t="str">
        <f t="shared" si="4"/>
        <v/>
      </c>
      <c r="U74" s="225" t="str">
        <f t="shared" si="5"/>
        <v/>
      </c>
      <c r="V74" s="332"/>
    </row>
    <row r="75" spans="1:22" x14ac:dyDescent="0.2">
      <c r="A75" s="299">
        <f t="shared" si="0"/>
        <v>0</v>
      </c>
      <c r="B75" s="165"/>
      <c r="C75" s="165"/>
      <c r="D75" s="165"/>
      <c r="E75" s="178"/>
      <c r="F75" s="178"/>
      <c r="G75" s="132"/>
      <c r="H75" s="225" t="str">
        <f t="shared" si="1"/>
        <v/>
      </c>
      <c r="I75" s="225" t="str">
        <f t="shared" si="2"/>
        <v/>
      </c>
      <c r="J75" s="68"/>
      <c r="K75" s="68"/>
      <c r="L75" s="68"/>
      <c r="M75" s="300">
        <f t="shared" si="3"/>
        <v>0</v>
      </c>
      <c r="N75" s="165"/>
      <c r="O75" s="165"/>
      <c r="P75" s="165"/>
      <c r="Q75" s="178"/>
      <c r="R75" s="178"/>
      <c r="S75" s="132"/>
      <c r="T75" s="226" t="str">
        <f t="shared" si="4"/>
        <v/>
      </c>
      <c r="U75" s="225" t="str">
        <f t="shared" si="5"/>
        <v/>
      </c>
      <c r="V75" s="332"/>
    </row>
    <row r="76" spans="1:22" x14ac:dyDescent="0.2">
      <c r="A76" s="299">
        <f t="shared" si="0"/>
        <v>0</v>
      </c>
      <c r="B76" s="165"/>
      <c r="C76" s="165"/>
      <c r="D76" s="165"/>
      <c r="E76" s="178"/>
      <c r="F76" s="178"/>
      <c r="G76" s="132"/>
      <c r="H76" s="225" t="str">
        <f t="shared" si="1"/>
        <v/>
      </c>
      <c r="I76" s="225" t="str">
        <f t="shared" si="2"/>
        <v/>
      </c>
      <c r="J76" s="68"/>
      <c r="K76" s="68"/>
      <c r="L76" s="68"/>
      <c r="M76" s="300">
        <f t="shared" si="3"/>
        <v>0</v>
      </c>
      <c r="N76" s="165"/>
      <c r="O76" s="165"/>
      <c r="P76" s="165"/>
      <c r="Q76" s="178"/>
      <c r="R76" s="178"/>
      <c r="S76" s="132"/>
      <c r="T76" s="226" t="str">
        <f t="shared" si="4"/>
        <v/>
      </c>
      <c r="U76" s="225" t="str">
        <f t="shared" si="5"/>
        <v/>
      </c>
      <c r="V76" s="332"/>
    </row>
    <row r="77" spans="1:22" x14ac:dyDescent="0.2">
      <c r="A77" s="299">
        <f t="shared" si="0"/>
        <v>0</v>
      </c>
      <c r="B77" s="165"/>
      <c r="C77" s="165"/>
      <c r="D77" s="165"/>
      <c r="E77" s="178"/>
      <c r="F77" s="178"/>
      <c r="G77" s="132"/>
      <c r="H77" s="225" t="str">
        <f t="shared" si="1"/>
        <v/>
      </c>
      <c r="I77" s="225" t="str">
        <f t="shared" si="2"/>
        <v/>
      </c>
      <c r="J77" s="68"/>
      <c r="K77" s="68"/>
      <c r="L77" s="68"/>
      <c r="M77" s="300">
        <f t="shared" si="3"/>
        <v>0</v>
      </c>
      <c r="N77" s="165"/>
      <c r="O77" s="165"/>
      <c r="P77" s="165"/>
      <c r="Q77" s="178"/>
      <c r="R77" s="178"/>
      <c r="S77" s="132"/>
      <c r="T77" s="226" t="str">
        <f t="shared" si="4"/>
        <v/>
      </c>
      <c r="U77" s="225" t="str">
        <f t="shared" si="5"/>
        <v/>
      </c>
      <c r="V77" s="332"/>
    </row>
    <row r="78" spans="1:22" x14ac:dyDescent="0.2">
      <c r="A78" s="299">
        <f t="shared" si="0"/>
        <v>0</v>
      </c>
      <c r="B78" s="165"/>
      <c r="C78" s="165"/>
      <c r="D78" s="165"/>
      <c r="E78" s="178"/>
      <c r="F78" s="178"/>
      <c r="G78" s="132"/>
      <c r="H78" s="225" t="str">
        <f t="shared" si="1"/>
        <v/>
      </c>
      <c r="I78" s="225" t="str">
        <f t="shared" si="2"/>
        <v/>
      </c>
      <c r="J78" s="68"/>
      <c r="K78" s="68"/>
      <c r="L78" s="68"/>
      <c r="M78" s="300">
        <f t="shared" si="3"/>
        <v>0</v>
      </c>
      <c r="N78" s="165"/>
      <c r="O78" s="165"/>
      <c r="P78" s="165"/>
      <c r="Q78" s="178"/>
      <c r="R78" s="178"/>
      <c r="S78" s="132"/>
      <c r="T78" s="226" t="str">
        <f t="shared" si="4"/>
        <v/>
      </c>
      <c r="U78" s="225" t="str">
        <f t="shared" si="5"/>
        <v/>
      </c>
      <c r="V78" s="332"/>
    </row>
    <row r="79" spans="1:22" x14ac:dyDescent="0.2">
      <c r="A79" s="299">
        <f t="shared" si="0"/>
        <v>0</v>
      </c>
      <c r="B79" s="165"/>
      <c r="C79" s="165"/>
      <c r="D79" s="165"/>
      <c r="E79" s="178"/>
      <c r="F79" s="178"/>
      <c r="G79" s="132"/>
      <c r="H79" s="225" t="str">
        <f t="shared" si="1"/>
        <v/>
      </c>
      <c r="I79" s="225" t="str">
        <f t="shared" si="2"/>
        <v/>
      </c>
      <c r="J79" s="68"/>
      <c r="K79" s="68"/>
      <c r="L79" s="68"/>
      <c r="M79" s="300">
        <f t="shared" si="3"/>
        <v>0</v>
      </c>
      <c r="N79" s="165"/>
      <c r="O79" s="165"/>
      <c r="P79" s="165"/>
      <c r="Q79" s="178"/>
      <c r="R79" s="178"/>
      <c r="S79" s="132"/>
      <c r="T79" s="226" t="str">
        <f t="shared" si="4"/>
        <v/>
      </c>
      <c r="U79" s="225" t="str">
        <f t="shared" si="5"/>
        <v/>
      </c>
      <c r="V79" s="332"/>
    </row>
    <row r="80" spans="1:22" x14ac:dyDescent="0.2">
      <c r="A80" s="299">
        <f t="shared" si="0"/>
        <v>0</v>
      </c>
      <c r="B80" s="165"/>
      <c r="C80" s="165"/>
      <c r="D80" s="165"/>
      <c r="E80" s="178"/>
      <c r="F80" s="178"/>
      <c r="G80" s="132"/>
      <c r="H80" s="225" t="str">
        <f t="shared" si="1"/>
        <v/>
      </c>
      <c r="I80" s="225" t="str">
        <f t="shared" si="2"/>
        <v/>
      </c>
      <c r="J80" s="68"/>
      <c r="K80" s="68"/>
      <c r="L80" s="68"/>
      <c r="M80" s="300">
        <f t="shared" si="3"/>
        <v>0</v>
      </c>
      <c r="N80" s="165"/>
      <c r="O80" s="165"/>
      <c r="P80" s="165"/>
      <c r="Q80" s="178"/>
      <c r="R80" s="178"/>
      <c r="S80" s="132"/>
      <c r="T80" s="226" t="str">
        <f t="shared" si="4"/>
        <v/>
      </c>
      <c r="U80" s="225" t="str">
        <f t="shared" si="5"/>
        <v/>
      </c>
      <c r="V80" s="332"/>
    </row>
    <row r="81" spans="1:22" x14ac:dyDescent="0.2">
      <c r="A81" s="299">
        <f t="shared" si="0"/>
        <v>0</v>
      </c>
      <c r="B81" s="165"/>
      <c r="C81" s="165"/>
      <c r="D81" s="165"/>
      <c r="E81" s="178"/>
      <c r="F81" s="178"/>
      <c r="G81" s="132"/>
      <c r="H81" s="225" t="str">
        <f t="shared" si="1"/>
        <v/>
      </c>
      <c r="I81" s="225" t="str">
        <f t="shared" si="2"/>
        <v/>
      </c>
      <c r="J81" s="68"/>
      <c r="K81" s="68"/>
      <c r="L81" s="68"/>
      <c r="M81" s="300">
        <f t="shared" si="3"/>
        <v>0</v>
      </c>
      <c r="N81" s="165"/>
      <c r="O81" s="165"/>
      <c r="P81" s="165"/>
      <c r="Q81" s="178"/>
      <c r="R81" s="178"/>
      <c r="S81" s="132"/>
      <c r="T81" s="226" t="str">
        <f t="shared" si="4"/>
        <v/>
      </c>
      <c r="U81" s="225" t="str">
        <f t="shared" si="5"/>
        <v/>
      </c>
      <c r="V81" s="332"/>
    </row>
    <row r="82" spans="1:22" x14ac:dyDescent="0.2">
      <c r="A82" s="299">
        <f t="shared" ref="A82:A116" si="6">IF(B82&lt;&gt;"",ROW(A66),0)</f>
        <v>0</v>
      </c>
      <c r="B82" s="165"/>
      <c r="C82" s="165"/>
      <c r="D82" s="165"/>
      <c r="E82" s="178"/>
      <c r="F82" s="178"/>
      <c r="G82" s="132"/>
      <c r="H82" s="225" t="str">
        <f t="shared" ref="H82:H116" si="7">IF(ROW(A66)&lt;=$A$16,F82*E82,"")</f>
        <v/>
      </c>
      <c r="I82" s="225" t="str">
        <f t="shared" ref="I82:I116" si="8">IFERROR(H82/52,"")</f>
        <v/>
      </c>
      <c r="J82" s="68"/>
      <c r="K82" s="68"/>
      <c r="L82" s="68"/>
      <c r="M82" s="300">
        <f t="shared" ref="M82:M116" si="9">IF(N82&lt;&gt;"",ROW(A66),0)</f>
        <v>0</v>
      </c>
      <c r="N82" s="165"/>
      <c r="O82" s="165"/>
      <c r="P82" s="165"/>
      <c r="Q82" s="178"/>
      <c r="R82" s="178"/>
      <c r="S82" s="132"/>
      <c r="T82" s="226" t="str">
        <f t="shared" ref="T82:T116" si="10">IF(ROW(A66)&lt;=$M$16,R82*Q82,"")</f>
        <v/>
      </c>
      <c r="U82" s="225" t="str">
        <f t="shared" ref="U82:U116" si="11">IFERROR(T82/52,"")</f>
        <v/>
      </c>
      <c r="V82" s="332"/>
    </row>
    <row r="83" spans="1:22" x14ac:dyDescent="0.2">
      <c r="A83" s="299">
        <f t="shared" si="6"/>
        <v>0</v>
      </c>
      <c r="B83" s="165"/>
      <c r="C83" s="165"/>
      <c r="D83" s="165"/>
      <c r="E83" s="178"/>
      <c r="F83" s="178"/>
      <c r="G83" s="132"/>
      <c r="H83" s="225" t="str">
        <f t="shared" si="7"/>
        <v/>
      </c>
      <c r="I83" s="225" t="str">
        <f t="shared" si="8"/>
        <v/>
      </c>
      <c r="J83" s="68"/>
      <c r="K83" s="68"/>
      <c r="L83" s="68"/>
      <c r="M83" s="300">
        <f t="shared" si="9"/>
        <v>0</v>
      </c>
      <c r="N83" s="165"/>
      <c r="O83" s="165"/>
      <c r="P83" s="165"/>
      <c r="Q83" s="178"/>
      <c r="R83" s="178"/>
      <c r="S83" s="132"/>
      <c r="T83" s="226" t="str">
        <f t="shared" si="10"/>
        <v/>
      </c>
      <c r="U83" s="225" t="str">
        <f t="shared" si="11"/>
        <v/>
      </c>
      <c r="V83" s="332"/>
    </row>
    <row r="84" spans="1:22" x14ac:dyDescent="0.2">
      <c r="A84" s="299">
        <f t="shared" si="6"/>
        <v>0</v>
      </c>
      <c r="B84" s="165"/>
      <c r="C84" s="165"/>
      <c r="D84" s="165"/>
      <c r="E84" s="178"/>
      <c r="F84" s="178"/>
      <c r="G84" s="132"/>
      <c r="H84" s="225" t="str">
        <f t="shared" si="7"/>
        <v/>
      </c>
      <c r="I84" s="225" t="str">
        <f t="shared" si="8"/>
        <v/>
      </c>
      <c r="J84" s="68"/>
      <c r="K84" s="68"/>
      <c r="L84" s="68"/>
      <c r="M84" s="300">
        <f t="shared" si="9"/>
        <v>0</v>
      </c>
      <c r="N84" s="165"/>
      <c r="O84" s="165"/>
      <c r="P84" s="165"/>
      <c r="Q84" s="178"/>
      <c r="R84" s="178"/>
      <c r="S84" s="132"/>
      <c r="T84" s="226" t="str">
        <f t="shared" si="10"/>
        <v/>
      </c>
      <c r="U84" s="225" t="str">
        <f t="shared" si="11"/>
        <v/>
      </c>
      <c r="V84" s="332"/>
    </row>
    <row r="85" spans="1:22" x14ac:dyDescent="0.2">
      <c r="A85" s="299">
        <f t="shared" si="6"/>
        <v>0</v>
      </c>
      <c r="B85" s="165"/>
      <c r="C85" s="165"/>
      <c r="D85" s="165"/>
      <c r="E85" s="178"/>
      <c r="F85" s="178"/>
      <c r="G85" s="132"/>
      <c r="H85" s="225" t="str">
        <f t="shared" si="7"/>
        <v/>
      </c>
      <c r="I85" s="225" t="str">
        <f t="shared" si="8"/>
        <v/>
      </c>
      <c r="J85" s="68"/>
      <c r="K85" s="68"/>
      <c r="L85" s="68"/>
      <c r="M85" s="300">
        <f t="shared" si="9"/>
        <v>0</v>
      </c>
      <c r="N85" s="165"/>
      <c r="O85" s="165"/>
      <c r="P85" s="165"/>
      <c r="Q85" s="178"/>
      <c r="R85" s="178"/>
      <c r="S85" s="132"/>
      <c r="T85" s="226" t="str">
        <f t="shared" si="10"/>
        <v/>
      </c>
      <c r="U85" s="225" t="str">
        <f t="shared" si="11"/>
        <v/>
      </c>
      <c r="V85" s="332"/>
    </row>
    <row r="86" spans="1:22" x14ac:dyDescent="0.2">
      <c r="A86" s="299">
        <f t="shared" si="6"/>
        <v>0</v>
      </c>
      <c r="B86" s="165"/>
      <c r="C86" s="165"/>
      <c r="D86" s="165"/>
      <c r="E86" s="178"/>
      <c r="F86" s="178"/>
      <c r="G86" s="132"/>
      <c r="H86" s="225" t="str">
        <f t="shared" si="7"/>
        <v/>
      </c>
      <c r="I86" s="225" t="str">
        <f t="shared" si="8"/>
        <v/>
      </c>
      <c r="J86" s="68"/>
      <c r="K86" s="68"/>
      <c r="L86" s="68"/>
      <c r="M86" s="300">
        <f t="shared" si="9"/>
        <v>0</v>
      </c>
      <c r="N86" s="165"/>
      <c r="O86" s="165"/>
      <c r="P86" s="165"/>
      <c r="Q86" s="178"/>
      <c r="R86" s="178"/>
      <c r="S86" s="132"/>
      <c r="T86" s="226" t="str">
        <f t="shared" si="10"/>
        <v/>
      </c>
      <c r="U86" s="225" t="str">
        <f t="shared" si="11"/>
        <v/>
      </c>
      <c r="V86" s="332"/>
    </row>
    <row r="87" spans="1:22" x14ac:dyDescent="0.2">
      <c r="A87" s="299">
        <f t="shared" si="6"/>
        <v>0</v>
      </c>
      <c r="B87" s="165"/>
      <c r="C87" s="165"/>
      <c r="D87" s="165"/>
      <c r="E87" s="178"/>
      <c r="F87" s="178"/>
      <c r="G87" s="132"/>
      <c r="H87" s="225" t="str">
        <f t="shared" si="7"/>
        <v/>
      </c>
      <c r="I87" s="225" t="str">
        <f t="shared" si="8"/>
        <v/>
      </c>
      <c r="J87" s="68"/>
      <c r="K87" s="68"/>
      <c r="L87" s="68"/>
      <c r="M87" s="300">
        <f t="shared" si="9"/>
        <v>0</v>
      </c>
      <c r="N87" s="165"/>
      <c r="O87" s="165"/>
      <c r="P87" s="165"/>
      <c r="Q87" s="178"/>
      <c r="R87" s="178"/>
      <c r="S87" s="132"/>
      <c r="T87" s="226" t="str">
        <f t="shared" si="10"/>
        <v/>
      </c>
      <c r="U87" s="225" t="str">
        <f t="shared" si="11"/>
        <v/>
      </c>
      <c r="V87" s="332"/>
    </row>
    <row r="88" spans="1:22" x14ac:dyDescent="0.2">
      <c r="A88" s="299">
        <f t="shared" si="6"/>
        <v>0</v>
      </c>
      <c r="B88" s="165"/>
      <c r="C88" s="165"/>
      <c r="D88" s="165"/>
      <c r="E88" s="178"/>
      <c r="F88" s="178"/>
      <c r="G88" s="132"/>
      <c r="H88" s="225" t="str">
        <f t="shared" si="7"/>
        <v/>
      </c>
      <c r="I88" s="225" t="str">
        <f t="shared" si="8"/>
        <v/>
      </c>
      <c r="J88" s="68"/>
      <c r="K88" s="68"/>
      <c r="L88" s="68"/>
      <c r="M88" s="300">
        <f t="shared" si="9"/>
        <v>0</v>
      </c>
      <c r="N88" s="165"/>
      <c r="O88" s="165"/>
      <c r="P88" s="165"/>
      <c r="Q88" s="178"/>
      <c r="R88" s="178"/>
      <c r="S88" s="132"/>
      <c r="T88" s="226" t="str">
        <f t="shared" si="10"/>
        <v/>
      </c>
      <c r="U88" s="225" t="str">
        <f t="shared" si="11"/>
        <v/>
      </c>
      <c r="V88" s="332"/>
    </row>
    <row r="89" spans="1:22" x14ac:dyDescent="0.2">
      <c r="A89" s="299">
        <f t="shared" si="6"/>
        <v>0</v>
      </c>
      <c r="B89" s="165"/>
      <c r="C89" s="165"/>
      <c r="D89" s="165"/>
      <c r="E89" s="178"/>
      <c r="F89" s="178"/>
      <c r="G89" s="132"/>
      <c r="H89" s="225" t="str">
        <f t="shared" si="7"/>
        <v/>
      </c>
      <c r="I89" s="225" t="str">
        <f t="shared" si="8"/>
        <v/>
      </c>
      <c r="J89" s="68"/>
      <c r="K89" s="68"/>
      <c r="L89" s="68"/>
      <c r="M89" s="300">
        <f t="shared" si="9"/>
        <v>0</v>
      </c>
      <c r="N89" s="165"/>
      <c r="O89" s="165"/>
      <c r="P89" s="165"/>
      <c r="Q89" s="178"/>
      <c r="R89" s="178"/>
      <c r="S89" s="132"/>
      <c r="T89" s="226" t="str">
        <f t="shared" si="10"/>
        <v/>
      </c>
      <c r="U89" s="225" t="str">
        <f t="shared" si="11"/>
        <v/>
      </c>
      <c r="V89" s="332"/>
    </row>
    <row r="90" spans="1:22" x14ac:dyDescent="0.2">
      <c r="A90" s="299">
        <f t="shared" si="6"/>
        <v>0</v>
      </c>
      <c r="B90" s="165"/>
      <c r="C90" s="165"/>
      <c r="D90" s="165"/>
      <c r="E90" s="178"/>
      <c r="F90" s="178"/>
      <c r="G90" s="132"/>
      <c r="H90" s="225" t="str">
        <f t="shared" si="7"/>
        <v/>
      </c>
      <c r="I90" s="225" t="str">
        <f t="shared" si="8"/>
        <v/>
      </c>
      <c r="J90" s="68"/>
      <c r="K90" s="68"/>
      <c r="L90" s="68"/>
      <c r="M90" s="300">
        <f t="shared" si="9"/>
        <v>0</v>
      </c>
      <c r="N90" s="165"/>
      <c r="O90" s="165"/>
      <c r="P90" s="165"/>
      <c r="Q90" s="178"/>
      <c r="R90" s="178"/>
      <c r="S90" s="132"/>
      <c r="T90" s="226" t="str">
        <f t="shared" si="10"/>
        <v/>
      </c>
      <c r="U90" s="225" t="str">
        <f t="shared" si="11"/>
        <v/>
      </c>
      <c r="V90" s="332"/>
    </row>
    <row r="91" spans="1:22" x14ac:dyDescent="0.2">
      <c r="A91" s="299">
        <f t="shared" si="6"/>
        <v>0</v>
      </c>
      <c r="B91" s="165"/>
      <c r="C91" s="165"/>
      <c r="D91" s="165"/>
      <c r="E91" s="178"/>
      <c r="F91" s="178"/>
      <c r="G91" s="132"/>
      <c r="H91" s="225" t="str">
        <f t="shared" si="7"/>
        <v/>
      </c>
      <c r="I91" s="225" t="str">
        <f t="shared" si="8"/>
        <v/>
      </c>
      <c r="J91" s="68"/>
      <c r="K91" s="68"/>
      <c r="L91" s="68"/>
      <c r="M91" s="300">
        <f t="shared" si="9"/>
        <v>0</v>
      </c>
      <c r="N91" s="165"/>
      <c r="O91" s="165"/>
      <c r="P91" s="165"/>
      <c r="Q91" s="178"/>
      <c r="R91" s="178"/>
      <c r="S91" s="132"/>
      <c r="T91" s="226" t="str">
        <f t="shared" si="10"/>
        <v/>
      </c>
      <c r="U91" s="225" t="str">
        <f t="shared" si="11"/>
        <v/>
      </c>
      <c r="V91" s="332"/>
    </row>
    <row r="92" spans="1:22" x14ac:dyDescent="0.2">
      <c r="A92" s="299">
        <f t="shared" si="6"/>
        <v>0</v>
      </c>
      <c r="B92" s="165"/>
      <c r="C92" s="165"/>
      <c r="D92" s="165"/>
      <c r="E92" s="178"/>
      <c r="F92" s="178"/>
      <c r="G92" s="132"/>
      <c r="H92" s="225" t="str">
        <f t="shared" si="7"/>
        <v/>
      </c>
      <c r="I92" s="225" t="str">
        <f t="shared" si="8"/>
        <v/>
      </c>
      <c r="J92" s="68"/>
      <c r="K92" s="68"/>
      <c r="L92" s="68"/>
      <c r="M92" s="300">
        <f t="shared" si="9"/>
        <v>0</v>
      </c>
      <c r="N92" s="165"/>
      <c r="O92" s="165"/>
      <c r="P92" s="165"/>
      <c r="Q92" s="178"/>
      <c r="R92" s="178"/>
      <c r="S92" s="132"/>
      <c r="T92" s="226" t="str">
        <f t="shared" si="10"/>
        <v/>
      </c>
      <c r="U92" s="225" t="str">
        <f t="shared" si="11"/>
        <v/>
      </c>
      <c r="V92" s="332"/>
    </row>
    <row r="93" spans="1:22" x14ac:dyDescent="0.2">
      <c r="A93" s="299">
        <f t="shared" si="6"/>
        <v>0</v>
      </c>
      <c r="B93" s="165"/>
      <c r="C93" s="165"/>
      <c r="D93" s="165"/>
      <c r="E93" s="178"/>
      <c r="F93" s="178"/>
      <c r="G93" s="132"/>
      <c r="H93" s="225" t="str">
        <f t="shared" si="7"/>
        <v/>
      </c>
      <c r="I93" s="225" t="str">
        <f t="shared" si="8"/>
        <v/>
      </c>
      <c r="J93" s="68"/>
      <c r="K93" s="68"/>
      <c r="L93" s="68"/>
      <c r="M93" s="300">
        <f t="shared" si="9"/>
        <v>0</v>
      </c>
      <c r="N93" s="165"/>
      <c r="O93" s="165"/>
      <c r="P93" s="165"/>
      <c r="Q93" s="178"/>
      <c r="R93" s="178"/>
      <c r="S93" s="132"/>
      <c r="T93" s="226" t="str">
        <f t="shared" si="10"/>
        <v/>
      </c>
      <c r="U93" s="225" t="str">
        <f t="shared" si="11"/>
        <v/>
      </c>
      <c r="V93" s="332"/>
    </row>
    <row r="94" spans="1:22" x14ac:dyDescent="0.2">
      <c r="A94" s="299">
        <f t="shared" si="6"/>
        <v>0</v>
      </c>
      <c r="B94" s="165"/>
      <c r="C94" s="165"/>
      <c r="D94" s="165"/>
      <c r="E94" s="178"/>
      <c r="F94" s="178"/>
      <c r="G94" s="132"/>
      <c r="H94" s="225" t="str">
        <f t="shared" si="7"/>
        <v/>
      </c>
      <c r="I94" s="225" t="str">
        <f t="shared" si="8"/>
        <v/>
      </c>
      <c r="J94" s="68"/>
      <c r="K94" s="68"/>
      <c r="L94" s="68"/>
      <c r="M94" s="300">
        <f t="shared" si="9"/>
        <v>0</v>
      </c>
      <c r="N94" s="165"/>
      <c r="O94" s="165"/>
      <c r="P94" s="165"/>
      <c r="Q94" s="178"/>
      <c r="R94" s="178"/>
      <c r="S94" s="132"/>
      <c r="T94" s="226" t="str">
        <f t="shared" si="10"/>
        <v/>
      </c>
      <c r="U94" s="225" t="str">
        <f t="shared" si="11"/>
        <v/>
      </c>
      <c r="V94" s="332"/>
    </row>
    <row r="95" spans="1:22" x14ac:dyDescent="0.2">
      <c r="A95" s="299">
        <f t="shared" si="6"/>
        <v>0</v>
      </c>
      <c r="B95" s="165"/>
      <c r="C95" s="165"/>
      <c r="D95" s="165"/>
      <c r="E95" s="178"/>
      <c r="F95" s="178"/>
      <c r="G95" s="132"/>
      <c r="H95" s="225" t="str">
        <f t="shared" si="7"/>
        <v/>
      </c>
      <c r="I95" s="225" t="str">
        <f t="shared" si="8"/>
        <v/>
      </c>
      <c r="J95" s="68"/>
      <c r="K95" s="68"/>
      <c r="L95" s="68"/>
      <c r="M95" s="300">
        <f t="shared" si="9"/>
        <v>0</v>
      </c>
      <c r="N95" s="165"/>
      <c r="O95" s="165"/>
      <c r="P95" s="165"/>
      <c r="Q95" s="178"/>
      <c r="R95" s="178"/>
      <c r="S95" s="132"/>
      <c r="T95" s="226" t="str">
        <f t="shared" si="10"/>
        <v/>
      </c>
      <c r="U95" s="225" t="str">
        <f t="shared" si="11"/>
        <v/>
      </c>
      <c r="V95" s="332"/>
    </row>
    <row r="96" spans="1:22" x14ac:dyDescent="0.2">
      <c r="A96" s="299">
        <f t="shared" si="6"/>
        <v>0</v>
      </c>
      <c r="B96" s="165"/>
      <c r="C96" s="165"/>
      <c r="D96" s="165"/>
      <c r="E96" s="178"/>
      <c r="F96" s="178"/>
      <c r="G96" s="132"/>
      <c r="H96" s="225" t="str">
        <f t="shared" si="7"/>
        <v/>
      </c>
      <c r="I96" s="225" t="str">
        <f t="shared" si="8"/>
        <v/>
      </c>
      <c r="J96" s="68"/>
      <c r="K96" s="68"/>
      <c r="L96" s="68"/>
      <c r="M96" s="300">
        <f t="shared" si="9"/>
        <v>0</v>
      </c>
      <c r="N96" s="165"/>
      <c r="O96" s="165"/>
      <c r="P96" s="165"/>
      <c r="Q96" s="178"/>
      <c r="R96" s="178"/>
      <c r="S96" s="132"/>
      <c r="T96" s="226" t="str">
        <f t="shared" si="10"/>
        <v/>
      </c>
      <c r="U96" s="225" t="str">
        <f t="shared" si="11"/>
        <v/>
      </c>
      <c r="V96" s="332"/>
    </row>
    <row r="97" spans="1:22" x14ac:dyDescent="0.2">
      <c r="A97" s="299">
        <f t="shared" si="6"/>
        <v>0</v>
      </c>
      <c r="B97" s="165"/>
      <c r="C97" s="165"/>
      <c r="D97" s="165"/>
      <c r="E97" s="178"/>
      <c r="F97" s="178"/>
      <c r="G97" s="132"/>
      <c r="H97" s="225" t="str">
        <f t="shared" si="7"/>
        <v/>
      </c>
      <c r="I97" s="225" t="str">
        <f t="shared" si="8"/>
        <v/>
      </c>
      <c r="J97" s="68"/>
      <c r="K97" s="68"/>
      <c r="L97" s="68"/>
      <c r="M97" s="300">
        <f t="shared" si="9"/>
        <v>0</v>
      </c>
      <c r="N97" s="165"/>
      <c r="O97" s="165"/>
      <c r="P97" s="165"/>
      <c r="Q97" s="178"/>
      <c r="R97" s="178"/>
      <c r="S97" s="132"/>
      <c r="T97" s="226" t="str">
        <f t="shared" si="10"/>
        <v/>
      </c>
      <c r="U97" s="225" t="str">
        <f t="shared" si="11"/>
        <v/>
      </c>
      <c r="V97" s="332"/>
    </row>
    <row r="98" spans="1:22" x14ac:dyDescent="0.2">
      <c r="A98" s="299">
        <f t="shared" si="6"/>
        <v>0</v>
      </c>
      <c r="B98" s="165"/>
      <c r="C98" s="165"/>
      <c r="D98" s="165"/>
      <c r="E98" s="178"/>
      <c r="F98" s="178"/>
      <c r="G98" s="132"/>
      <c r="H98" s="225" t="str">
        <f t="shared" si="7"/>
        <v/>
      </c>
      <c r="I98" s="225" t="str">
        <f t="shared" si="8"/>
        <v/>
      </c>
      <c r="J98" s="68"/>
      <c r="K98" s="68"/>
      <c r="L98" s="68"/>
      <c r="M98" s="300">
        <f t="shared" si="9"/>
        <v>0</v>
      </c>
      <c r="N98" s="165"/>
      <c r="O98" s="165"/>
      <c r="P98" s="165"/>
      <c r="Q98" s="178"/>
      <c r="R98" s="178"/>
      <c r="S98" s="132"/>
      <c r="T98" s="226" t="str">
        <f t="shared" si="10"/>
        <v/>
      </c>
      <c r="U98" s="225" t="str">
        <f t="shared" si="11"/>
        <v/>
      </c>
      <c r="V98" s="332"/>
    </row>
    <row r="99" spans="1:22" x14ac:dyDescent="0.2">
      <c r="A99" s="299">
        <f t="shared" si="6"/>
        <v>0</v>
      </c>
      <c r="B99" s="165"/>
      <c r="C99" s="165"/>
      <c r="D99" s="165"/>
      <c r="E99" s="178"/>
      <c r="F99" s="178"/>
      <c r="G99" s="132"/>
      <c r="H99" s="225" t="str">
        <f t="shared" si="7"/>
        <v/>
      </c>
      <c r="I99" s="225" t="str">
        <f t="shared" si="8"/>
        <v/>
      </c>
      <c r="J99" s="68"/>
      <c r="K99" s="68"/>
      <c r="L99" s="68"/>
      <c r="M99" s="300">
        <f t="shared" si="9"/>
        <v>0</v>
      </c>
      <c r="N99" s="165"/>
      <c r="O99" s="165"/>
      <c r="P99" s="165"/>
      <c r="Q99" s="178"/>
      <c r="R99" s="178"/>
      <c r="S99" s="132"/>
      <c r="T99" s="226" t="str">
        <f t="shared" si="10"/>
        <v/>
      </c>
      <c r="U99" s="225" t="str">
        <f t="shared" si="11"/>
        <v/>
      </c>
      <c r="V99" s="332"/>
    </row>
    <row r="100" spans="1:22" x14ac:dyDescent="0.2">
      <c r="A100" s="299">
        <f t="shared" si="6"/>
        <v>0</v>
      </c>
      <c r="B100" s="165"/>
      <c r="C100" s="165"/>
      <c r="D100" s="165"/>
      <c r="E100" s="178"/>
      <c r="F100" s="178"/>
      <c r="G100" s="132"/>
      <c r="H100" s="225" t="str">
        <f t="shared" si="7"/>
        <v/>
      </c>
      <c r="I100" s="225" t="str">
        <f t="shared" si="8"/>
        <v/>
      </c>
      <c r="J100" s="68"/>
      <c r="K100" s="68"/>
      <c r="L100" s="68"/>
      <c r="M100" s="300">
        <f t="shared" si="9"/>
        <v>0</v>
      </c>
      <c r="N100" s="165"/>
      <c r="O100" s="165"/>
      <c r="P100" s="165"/>
      <c r="Q100" s="178"/>
      <c r="R100" s="178"/>
      <c r="S100" s="132"/>
      <c r="T100" s="226" t="str">
        <f t="shared" si="10"/>
        <v/>
      </c>
      <c r="U100" s="225" t="str">
        <f t="shared" si="11"/>
        <v/>
      </c>
      <c r="V100" s="332"/>
    </row>
    <row r="101" spans="1:22" x14ac:dyDescent="0.2">
      <c r="A101" s="299">
        <f t="shared" si="6"/>
        <v>0</v>
      </c>
      <c r="B101" s="165"/>
      <c r="C101" s="165"/>
      <c r="D101" s="165"/>
      <c r="E101" s="178"/>
      <c r="F101" s="178"/>
      <c r="G101" s="132"/>
      <c r="H101" s="225" t="str">
        <f t="shared" si="7"/>
        <v/>
      </c>
      <c r="I101" s="225" t="str">
        <f t="shared" si="8"/>
        <v/>
      </c>
      <c r="J101" s="68"/>
      <c r="K101" s="68"/>
      <c r="L101" s="68"/>
      <c r="M101" s="300">
        <f t="shared" si="9"/>
        <v>0</v>
      </c>
      <c r="N101" s="165"/>
      <c r="O101" s="165"/>
      <c r="P101" s="165"/>
      <c r="Q101" s="178"/>
      <c r="R101" s="178"/>
      <c r="S101" s="132"/>
      <c r="T101" s="226" t="str">
        <f t="shared" si="10"/>
        <v/>
      </c>
      <c r="U101" s="225" t="str">
        <f t="shared" si="11"/>
        <v/>
      </c>
      <c r="V101" s="332"/>
    </row>
    <row r="102" spans="1:22" x14ac:dyDescent="0.2">
      <c r="A102" s="299">
        <f t="shared" si="6"/>
        <v>0</v>
      </c>
      <c r="B102" s="165"/>
      <c r="C102" s="165"/>
      <c r="D102" s="165"/>
      <c r="E102" s="178"/>
      <c r="F102" s="178"/>
      <c r="G102" s="132"/>
      <c r="H102" s="225" t="str">
        <f t="shared" si="7"/>
        <v/>
      </c>
      <c r="I102" s="225" t="str">
        <f t="shared" si="8"/>
        <v/>
      </c>
      <c r="J102" s="68"/>
      <c r="K102" s="68"/>
      <c r="L102" s="68"/>
      <c r="M102" s="300">
        <f t="shared" si="9"/>
        <v>0</v>
      </c>
      <c r="N102" s="165"/>
      <c r="O102" s="165"/>
      <c r="P102" s="165"/>
      <c r="Q102" s="178"/>
      <c r="R102" s="178"/>
      <c r="S102" s="132"/>
      <c r="T102" s="226" t="str">
        <f t="shared" si="10"/>
        <v/>
      </c>
      <c r="U102" s="225" t="str">
        <f t="shared" si="11"/>
        <v/>
      </c>
      <c r="V102" s="332"/>
    </row>
    <row r="103" spans="1:22" x14ac:dyDescent="0.2">
      <c r="A103" s="299">
        <f t="shared" si="6"/>
        <v>0</v>
      </c>
      <c r="B103" s="165"/>
      <c r="C103" s="165"/>
      <c r="D103" s="165"/>
      <c r="E103" s="178"/>
      <c r="F103" s="178"/>
      <c r="G103" s="132"/>
      <c r="H103" s="225" t="str">
        <f t="shared" si="7"/>
        <v/>
      </c>
      <c r="I103" s="225" t="str">
        <f t="shared" si="8"/>
        <v/>
      </c>
      <c r="J103" s="68"/>
      <c r="K103" s="68"/>
      <c r="L103" s="68"/>
      <c r="M103" s="300">
        <f t="shared" si="9"/>
        <v>0</v>
      </c>
      <c r="N103" s="165"/>
      <c r="O103" s="165"/>
      <c r="P103" s="165"/>
      <c r="Q103" s="178"/>
      <c r="R103" s="178"/>
      <c r="S103" s="132"/>
      <c r="T103" s="226" t="str">
        <f t="shared" si="10"/>
        <v/>
      </c>
      <c r="U103" s="225" t="str">
        <f t="shared" si="11"/>
        <v/>
      </c>
      <c r="V103" s="332"/>
    </row>
    <row r="104" spans="1:22" x14ac:dyDescent="0.2">
      <c r="A104" s="299">
        <f t="shared" si="6"/>
        <v>0</v>
      </c>
      <c r="B104" s="165"/>
      <c r="C104" s="165"/>
      <c r="D104" s="165"/>
      <c r="E104" s="178"/>
      <c r="F104" s="178"/>
      <c r="G104" s="132"/>
      <c r="H104" s="225" t="str">
        <f t="shared" si="7"/>
        <v/>
      </c>
      <c r="I104" s="225" t="str">
        <f t="shared" si="8"/>
        <v/>
      </c>
      <c r="J104" s="68"/>
      <c r="K104" s="68"/>
      <c r="L104" s="68"/>
      <c r="M104" s="300">
        <f t="shared" si="9"/>
        <v>0</v>
      </c>
      <c r="N104" s="165"/>
      <c r="O104" s="165"/>
      <c r="P104" s="165"/>
      <c r="Q104" s="178"/>
      <c r="R104" s="178"/>
      <c r="S104" s="132"/>
      <c r="T104" s="226" t="str">
        <f t="shared" si="10"/>
        <v/>
      </c>
      <c r="U104" s="225" t="str">
        <f t="shared" si="11"/>
        <v/>
      </c>
      <c r="V104" s="332"/>
    </row>
    <row r="105" spans="1:22" x14ac:dyDescent="0.2">
      <c r="A105" s="299">
        <f t="shared" si="6"/>
        <v>0</v>
      </c>
      <c r="B105" s="165"/>
      <c r="C105" s="165"/>
      <c r="D105" s="165"/>
      <c r="E105" s="178"/>
      <c r="F105" s="178"/>
      <c r="G105" s="132"/>
      <c r="H105" s="225" t="str">
        <f t="shared" si="7"/>
        <v/>
      </c>
      <c r="I105" s="225" t="str">
        <f t="shared" si="8"/>
        <v/>
      </c>
      <c r="J105" s="68"/>
      <c r="K105" s="68"/>
      <c r="L105" s="68"/>
      <c r="M105" s="300">
        <f t="shared" si="9"/>
        <v>0</v>
      </c>
      <c r="N105" s="165"/>
      <c r="O105" s="165"/>
      <c r="P105" s="165"/>
      <c r="Q105" s="178"/>
      <c r="R105" s="178"/>
      <c r="S105" s="132"/>
      <c r="T105" s="226" t="str">
        <f t="shared" si="10"/>
        <v/>
      </c>
      <c r="U105" s="225" t="str">
        <f t="shared" si="11"/>
        <v/>
      </c>
      <c r="V105" s="332"/>
    </row>
    <row r="106" spans="1:22" x14ac:dyDescent="0.2">
      <c r="A106" s="299">
        <f t="shared" si="6"/>
        <v>0</v>
      </c>
      <c r="B106" s="165"/>
      <c r="C106" s="165"/>
      <c r="D106" s="165"/>
      <c r="E106" s="178"/>
      <c r="F106" s="178"/>
      <c r="G106" s="132"/>
      <c r="H106" s="225" t="str">
        <f t="shared" si="7"/>
        <v/>
      </c>
      <c r="I106" s="225" t="str">
        <f t="shared" si="8"/>
        <v/>
      </c>
      <c r="J106" s="68"/>
      <c r="K106" s="68"/>
      <c r="L106" s="68"/>
      <c r="M106" s="300">
        <f t="shared" si="9"/>
        <v>0</v>
      </c>
      <c r="N106" s="165"/>
      <c r="O106" s="165"/>
      <c r="P106" s="165"/>
      <c r="Q106" s="178"/>
      <c r="R106" s="178"/>
      <c r="S106" s="132"/>
      <c r="T106" s="226" t="str">
        <f t="shared" si="10"/>
        <v/>
      </c>
      <c r="U106" s="225" t="str">
        <f t="shared" si="11"/>
        <v/>
      </c>
      <c r="V106" s="332"/>
    </row>
    <row r="107" spans="1:22" x14ac:dyDescent="0.2">
      <c r="A107" s="299">
        <f t="shared" si="6"/>
        <v>0</v>
      </c>
      <c r="B107" s="165"/>
      <c r="C107" s="165"/>
      <c r="D107" s="165"/>
      <c r="E107" s="178"/>
      <c r="F107" s="178"/>
      <c r="G107" s="132"/>
      <c r="H107" s="225" t="str">
        <f t="shared" si="7"/>
        <v/>
      </c>
      <c r="I107" s="225" t="str">
        <f t="shared" si="8"/>
        <v/>
      </c>
      <c r="J107" s="68"/>
      <c r="K107" s="68"/>
      <c r="L107" s="68"/>
      <c r="M107" s="300">
        <f t="shared" si="9"/>
        <v>0</v>
      </c>
      <c r="N107" s="165"/>
      <c r="O107" s="165"/>
      <c r="P107" s="165"/>
      <c r="Q107" s="178"/>
      <c r="R107" s="178"/>
      <c r="S107" s="132"/>
      <c r="T107" s="226" t="str">
        <f t="shared" si="10"/>
        <v/>
      </c>
      <c r="U107" s="225" t="str">
        <f t="shared" si="11"/>
        <v/>
      </c>
      <c r="V107" s="332"/>
    </row>
    <row r="108" spans="1:22" x14ac:dyDescent="0.2">
      <c r="A108" s="299">
        <f t="shared" si="6"/>
        <v>0</v>
      </c>
      <c r="B108" s="165"/>
      <c r="C108" s="165"/>
      <c r="D108" s="165"/>
      <c r="E108" s="178"/>
      <c r="F108" s="178"/>
      <c r="G108" s="132"/>
      <c r="H108" s="225" t="str">
        <f t="shared" si="7"/>
        <v/>
      </c>
      <c r="I108" s="225" t="str">
        <f t="shared" si="8"/>
        <v/>
      </c>
      <c r="J108" s="68"/>
      <c r="K108" s="68"/>
      <c r="L108" s="68"/>
      <c r="M108" s="300">
        <f t="shared" si="9"/>
        <v>0</v>
      </c>
      <c r="N108" s="165"/>
      <c r="O108" s="165"/>
      <c r="P108" s="165"/>
      <c r="Q108" s="178"/>
      <c r="R108" s="178"/>
      <c r="S108" s="132"/>
      <c r="T108" s="226" t="str">
        <f t="shared" si="10"/>
        <v/>
      </c>
      <c r="U108" s="225" t="str">
        <f t="shared" si="11"/>
        <v/>
      </c>
      <c r="V108" s="332"/>
    </row>
    <row r="109" spans="1:22" x14ac:dyDescent="0.2">
      <c r="A109" s="299">
        <f t="shared" si="6"/>
        <v>0</v>
      </c>
      <c r="B109" s="165"/>
      <c r="C109" s="165"/>
      <c r="D109" s="165"/>
      <c r="E109" s="178"/>
      <c r="F109" s="178"/>
      <c r="G109" s="132"/>
      <c r="H109" s="225" t="str">
        <f t="shared" si="7"/>
        <v/>
      </c>
      <c r="I109" s="225" t="str">
        <f t="shared" si="8"/>
        <v/>
      </c>
      <c r="J109" s="68"/>
      <c r="K109" s="68"/>
      <c r="L109" s="68"/>
      <c r="M109" s="300">
        <f t="shared" si="9"/>
        <v>0</v>
      </c>
      <c r="N109" s="165"/>
      <c r="O109" s="165"/>
      <c r="P109" s="165"/>
      <c r="Q109" s="178"/>
      <c r="R109" s="178"/>
      <c r="S109" s="132"/>
      <c r="T109" s="226" t="str">
        <f t="shared" si="10"/>
        <v/>
      </c>
      <c r="U109" s="225" t="str">
        <f t="shared" si="11"/>
        <v/>
      </c>
      <c r="V109" s="332"/>
    </row>
    <row r="110" spans="1:22" x14ac:dyDescent="0.2">
      <c r="A110" s="299">
        <f t="shared" si="6"/>
        <v>0</v>
      </c>
      <c r="B110" s="165"/>
      <c r="C110" s="165"/>
      <c r="D110" s="165"/>
      <c r="E110" s="178"/>
      <c r="F110" s="178"/>
      <c r="G110" s="132"/>
      <c r="H110" s="225" t="str">
        <f t="shared" si="7"/>
        <v/>
      </c>
      <c r="I110" s="225" t="str">
        <f t="shared" si="8"/>
        <v/>
      </c>
      <c r="J110" s="68"/>
      <c r="K110" s="68"/>
      <c r="L110" s="68"/>
      <c r="M110" s="300">
        <f t="shared" si="9"/>
        <v>0</v>
      </c>
      <c r="N110" s="165"/>
      <c r="O110" s="165"/>
      <c r="P110" s="165"/>
      <c r="Q110" s="178"/>
      <c r="R110" s="178"/>
      <c r="S110" s="132"/>
      <c r="T110" s="226" t="str">
        <f t="shared" si="10"/>
        <v/>
      </c>
      <c r="U110" s="225" t="str">
        <f t="shared" si="11"/>
        <v/>
      </c>
      <c r="V110" s="332"/>
    </row>
    <row r="111" spans="1:22" x14ac:dyDescent="0.2">
      <c r="A111" s="299">
        <f t="shared" si="6"/>
        <v>0</v>
      </c>
      <c r="B111" s="165"/>
      <c r="C111" s="165"/>
      <c r="D111" s="165"/>
      <c r="E111" s="178"/>
      <c r="F111" s="178"/>
      <c r="G111" s="132"/>
      <c r="H111" s="225" t="str">
        <f t="shared" si="7"/>
        <v/>
      </c>
      <c r="I111" s="225" t="str">
        <f t="shared" si="8"/>
        <v/>
      </c>
      <c r="J111" s="68"/>
      <c r="K111" s="68"/>
      <c r="L111" s="68"/>
      <c r="M111" s="300">
        <f t="shared" si="9"/>
        <v>0</v>
      </c>
      <c r="N111" s="165"/>
      <c r="O111" s="165"/>
      <c r="P111" s="165"/>
      <c r="Q111" s="178"/>
      <c r="R111" s="178"/>
      <c r="S111" s="132"/>
      <c r="T111" s="226" t="str">
        <f t="shared" si="10"/>
        <v/>
      </c>
      <c r="U111" s="225" t="str">
        <f t="shared" si="11"/>
        <v/>
      </c>
      <c r="V111" s="332"/>
    </row>
    <row r="112" spans="1:22" x14ac:dyDescent="0.2">
      <c r="A112" s="299">
        <f t="shared" si="6"/>
        <v>0</v>
      </c>
      <c r="B112" s="165"/>
      <c r="C112" s="165"/>
      <c r="D112" s="165"/>
      <c r="E112" s="178"/>
      <c r="F112" s="178"/>
      <c r="G112" s="132"/>
      <c r="H112" s="225" t="str">
        <f t="shared" si="7"/>
        <v/>
      </c>
      <c r="I112" s="225" t="str">
        <f t="shared" si="8"/>
        <v/>
      </c>
      <c r="J112" s="68"/>
      <c r="K112" s="68"/>
      <c r="L112" s="68"/>
      <c r="M112" s="300">
        <f t="shared" si="9"/>
        <v>0</v>
      </c>
      <c r="N112" s="165"/>
      <c r="O112" s="165"/>
      <c r="P112" s="165"/>
      <c r="Q112" s="178"/>
      <c r="R112" s="178"/>
      <c r="S112" s="132"/>
      <c r="T112" s="226" t="str">
        <f t="shared" si="10"/>
        <v/>
      </c>
      <c r="U112" s="225" t="str">
        <f t="shared" si="11"/>
        <v/>
      </c>
      <c r="V112" s="332"/>
    </row>
    <row r="113" spans="1:22" x14ac:dyDescent="0.2">
      <c r="A113" s="299">
        <f t="shared" si="6"/>
        <v>0</v>
      </c>
      <c r="B113" s="165"/>
      <c r="C113" s="165"/>
      <c r="D113" s="165"/>
      <c r="E113" s="178"/>
      <c r="F113" s="178"/>
      <c r="G113" s="132"/>
      <c r="H113" s="225" t="str">
        <f t="shared" si="7"/>
        <v/>
      </c>
      <c r="I113" s="225" t="str">
        <f t="shared" si="8"/>
        <v/>
      </c>
      <c r="J113" s="68"/>
      <c r="K113" s="68"/>
      <c r="L113" s="68"/>
      <c r="M113" s="300">
        <f t="shared" si="9"/>
        <v>0</v>
      </c>
      <c r="N113" s="165"/>
      <c r="O113" s="165"/>
      <c r="P113" s="165"/>
      <c r="Q113" s="178"/>
      <c r="R113" s="178"/>
      <c r="S113" s="132"/>
      <c r="T113" s="226" t="str">
        <f t="shared" si="10"/>
        <v/>
      </c>
      <c r="U113" s="225" t="str">
        <f t="shared" si="11"/>
        <v/>
      </c>
      <c r="V113" s="332"/>
    </row>
    <row r="114" spans="1:22" x14ac:dyDescent="0.2">
      <c r="A114" s="299">
        <f t="shared" si="6"/>
        <v>0</v>
      </c>
      <c r="B114" s="165"/>
      <c r="C114" s="165"/>
      <c r="D114" s="165"/>
      <c r="E114" s="178"/>
      <c r="F114" s="178"/>
      <c r="G114" s="132"/>
      <c r="H114" s="225" t="str">
        <f t="shared" si="7"/>
        <v/>
      </c>
      <c r="I114" s="225" t="str">
        <f t="shared" si="8"/>
        <v/>
      </c>
      <c r="J114" s="68"/>
      <c r="K114" s="68"/>
      <c r="L114" s="68"/>
      <c r="M114" s="300">
        <f t="shared" si="9"/>
        <v>0</v>
      </c>
      <c r="N114" s="165"/>
      <c r="O114" s="165"/>
      <c r="P114" s="165"/>
      <c r="Q114" s="178"/>
      <c r="R114" s="178"/>
      <c r="S114" s="132"/>
      <c r="T114" s="226" t="str">
        <f t="shared" si="10"/>
        <v/>
      </c>
      <c r="U114" s="225" t="str">
        <f t="shared" si="11"/>
        <v/>
      </c>
      <c r="V114" s="332"/>
    </row>
    <row r="115" spans="1:22" x14ac:dyDescent="0.2">
      <c r="A115" s="299">
        <f t="shared" si="6"/>
        <v>0</v>
      </c>
      <c r="B115" s="165"/>
      <c r="C115" s="165"/>
      <c r="D115" s="165"/>
      <c r="E115" s="178"/>
      <c r="F115" s="178"/>
      <c r="G115" s="132"/>
      <c r="H115" s="225" t="str">
        <f t="shared" si="7"/>
        <v/>
      </c>
      <c r="I115" s="225" t="str">
        <f t="shared" si="8"/>
        <v/>
      </c>
      <c r="J115" s="68"/>
      <c r="K115" s="68"/>
      <c r="L115" s="68"/>
      <c r="M115" s="300">
        <f t="shared" si="9"/>
        <v>0</v>
      </c>
      <c r="N115" s="165"/>
      <c r="O115" s="165"/>
      <c r="P115" s="165"/>
      <c r="Q115" s="178"/>
      <c r="R115" s="178"/>
      <c r="S115" s="132"/>
      <c r="T115" s="226" t="str">
        <f t="shared" si="10"/>
        <v/>
      </c>
      <c r="U115" s="225" t="str">
        <f t="shared" si="11"/>
        <v/>
      </c>
      <c r="V115" s="332"/>
    </row>
    <row r="116" spans="1:22" x14ac:dyDescent="0.2">
      <c r="A116" s="299">
        <f t="shared" si="6"/>
        <v>0</v>
      </c>
      <c r="B116" s="165"/>
      <c r="C116" s="165"/>
      <c r="D116" s="165"/>
      <c r="E116" s="178"/>
      <c r="F116" s="178"/>
      <c r="G116" s="132"/>
      <c r="H116" s="225" t="str">
        <f t="shared" si="7"/>
        <v/>
      </c>
      <c r="I116" s="225" t="str">
        <f t="shared" si="8"/>
        <v/>
      </c>
      <c r="J116" s="68"/>
      <c r="K116" s="68"/>
      <c r="L116" s="68"/>
      <c r="M116" s="300">
        <f t="shared" si="9"/>
        <v>0</v>
      </c>
      <c r="N116" s="165"/>
      <c r="O116" s="165"/>
      <c r="P116" s="165"/>
      <c r="Q116" s="178"/>
      <c r="R116" s="178"/>
      <c r="S116" s="132"/>
      <c r="T116" s="226" t="str">
        <f t="shared" si="10"/>
        <v/>
      </c>
      <c r="U116" s="225" t="str">
        <f t="shared" si="11"/>
        <v/>
      </c>
      <c r="V116" s="332"/>
    </row>
    <row r="117" spans="1:22" s="53" customFormat="1" x14ac:dyDescent="0.2">
      <c r="B117" s="73"/>
      <c r="C117" s="73"/>
      <c r="D117" s="73"/>
      <c r="E117" s="73"/>
      <c r="F117" s="73"/>
      <c r="G117" s="73"/>
      <c r="H117" s="73"/>
      <c r="I117" s="73"/>
      <c r="J117" s="73"/>
      <c r="K117" s="73"/>
      <c r="L117" s="73"/>
      <c r="M117" s="73"/>
      <c r="N117" s="73"/>
      <c r="O117" s="73"/>
      <c r="P117" s="73"/>
      <c r="Q117" s="73"/>
      <c r="R117" s="73"/>
      <c r="S117" s="73"/>
      <c r="T117" s="73"/>
      <c r="U117" s="73"/>
    </row>
    <row r="118" spans="1:22" s="53" customFormat="1" x14ac:dyDescent="0.2">
      <c r="B118" s="73"/>
      <c r="C118" s="73"/>
      <c r="D118" s="73"/>
      <c r="E118" s="73"/>
      <c r="F118" s="73"/>
      <c r="G118" s="73"/>
      <c r="H118" s="73"/>
      <c r="I118" s="73"/>
      <c r="J118" s="73"/>
      <c r="K118" s="73"/>
      <c r="L118" s="73"/>
      <c r="M118" s="73"/>
      <c r="N118" s="73"/>
      <c r="O118" s="73"/>
      <c r="P118" s="73"/>
      <c r="Q118" s="73"/>
      <c r="R118" s="73"/>
      <c r="S118" s="73"/>
      <c r="T118" s="73"/>
      <c r="U118" s="73"/>
    </row>
    <row r="119" spans="1:22" s="53" customFormat="1" x14ac:dyDescent="0.2">
      <c r="B119" s="73"/>
      <c r="C119" s="73"/>
      <c r="D119" s="73"/>
      <c r="E119" s="73"/>
      <c r="F119" s="73"/>
      <c r="G119" s="73"/>
      <c r="H119" s="73"/>
      <c r="I119" s="73"/>
      <c r="J119" s="73"/>
      <c r="K119" s="73"/>
      <c r="L119" s="73"/>
      <c r="M119" s="73"/>
      <c r="N119" s="73"/>
      <c r="O119" s="73"/>
      <c r="P119" s="73"/>
      <c r="Q119" s="73"/>
      <c r="R119" s="73"/>
      <c r="S119" s="73"/>
      <c r="T119" s="73"/>
      <c r="U119" s="73"/>
    </row>
    <row r="120" spans="1:22" s="53" customFormat="1" x14ac:dyDescent="0.2">
      <c r="B120" s="73"/>
      <c r="C120" s="73"/>
      <c r="D120" s="73"/>
      <c r="E120" s="73"/>
      <c r="F120" s="73"/>
      <c r="G120" s="73"/>
      <c r="H120" s="73"/>
      <c r="I120" s="73"/>
      <c r="J120" s="73"/>
      <c r="K120" s="73"/>
      <c r="L120" s="73"/>
      <c r="M120" s="73"/>
      <c r="N120" s="73"/>
      <c r="O120" s="73"/>
      <c r="P120" s="73"/>
      <c r="Q120" s="73"/>
      <c r="R120" s="73"/>
      <c r="S120" s="73"/>
      <c r="T120" s="73"/>
      <c r="U120" s="73"/>
    </row>
    <row r="121" spans="1:22" s="53" customFormat="1" x14ac:dyDescent="0.2">
      <c r="B121" s="73"/>
      <c r="C121" s="73"/>
      <c r="D121" s="73"/>
      <c r="E121" s="73"/>
      <c r="F121" s="73"/>
      <c r="G121" s="73"/>
      <c r="H121" s="73"/>
      <c r="I121" s="73"/>
      <c r="J121" s="73"/>
      <c r="K121" s="73"/>
      <c r="L121" s="73"/>
      <c r="M121" s="73"/>
      <c r="N121" s="73"/>
      <c r="O121" s="73"/>
      <c r="P121" s="73"/>
      <c r="Q121" s="73"/>
      <c r="R121" s="73"/>
      <c r="S121" s="73"/>
      <c r="T121" s="73"/>
      <c r="U121" s="73"/>
    </row>
    <row r="122" spans="1:22" s="53" customFormat="1" x14ac:dyDescent="0.2">
      <c r="B122" s="73"/>
      <c r="C122" s="73"/>
      <c r="D122" s="73"/>
      <c r="E122" s="73"/>
      <c r="F122" s="73"/>
      <c r="G122" s="73"/>
      <c r="H122" s="73"/>
      <c r="I122" s="73"/>
      <c r="J122" s="73"/>
      <c r="K122" s="73"/>
      <c r="L122" s="73"/>
      <c r="M122" s="73"/>
      <c r="N122" s="73"/>
      <c r="O122" s="73"/>
      <c r="P122" s="73"/>
      <c r="Q122" s="73"/>
      <c r="R122" s="73"/>
      <c r="S122" s="73"/>
      <c r="T122" s="73"/>
      <c r="U122" s="73"/>
    </row>
    <row r="123" spans="1:22" s="53" customFormat="1" x14ac:dyDescent="0.2">
      <c r="B123" s="73"/>
      <c r="C123" s="73"/>
      <c r="D123" s="73"/>
      <c r="E123" s="73"/>
      <c r="F123" s="73"/>
      <c r="G123" s="73"/>
      <c r="H123" s="73"/>
      <c r="I123" s="73"/>
      <c r="J123" s="73"/>
      <c r="K123" s="73"/>
      <c r="L123" s="73"/>
      <c r="M123" s="73"/>
      <c r="N123" s="73"/>
      <c r="O123" s="73"/>
      <c r="P123" s="73"/>
      <c r="Q123" s="73"/>
      <c r="R123" s="73"/>
      <c r="S123" s="73"/>
      <c r="T123" s="73"/>
      <c r="U123" s="73"/>
    </row>
    <row r="124" spans="1:22" s="53" customFormat="1" x14ac:dyDescent="0.2">
      <c r="B124" s="73"/>
      <c r="C124" s="73"/>
      <c r="D124" s="73"/>
      <c r="E124" s="73"/>
      <c r="F124" s="73"/>
      <c r="G124" s="73"/>
      <c r="H124" s="73"/>
      <c r="I124" s="73"/>
      <c r="J124" s="73"/>
      <c r="K124" s="73"/>
      <c r="L124" s="73"/>
      <c r="M124" s="73"/>
      <c r="N124" s="73"/>
      <c r="O124" s="73"/>
      <c r="P124" s="73"/>
      <c r="Q124" s="73"/>
      <c r="R124" s="73"/>
      <c r="S124" s="73"/>
      <c r="T124" s="73"/>
      <c r="U124" s="73"/>
    </row>
    <row r="125" spans="1:22" s="53" customFormat="1" x14ac:dyDescent="0.2">
      <c r="B125" s="73"/>
      <c r="C125" s="73"/>
      <c r="D125" s="73"/>
      <c r="E125" s="73"/>
      <c r="F125" s="73"/>
      <c r="G125" s="73"/>
      <c r="H125" s="73"/>
      <c r="I125" s="73"/>
      <c r="J125" s="73"/>
      <c r="K125" s="73"/>
      <c r="L125" s="73"/>
      <c r="M125" s="73"/>
      <c r="N125" s="73"/>
      <c r="O125" s="73"/>
      <c r="P125" s="73"/>
      <c r="Q125" s="73"/>
      <c r="R125" s="73"/>
      <c r="S125" s="73"/>
      <c r="T125" s="73"/>
      <c r="U125" s="73"/>
    </row>
    <row r="126" spans="1:22" s="53" customFormat="1" x14ac:dyDescent="0.2">
      <c r="B126" s="73"/>
      <c r="C126" s="73"/>
      <c r="D126" s="73"/>
      <c r="E126" s="73"/>
      <c r="F126" s="73"/>
      <c r="G126" s="73"/>
      <c r="H126" s="73"/>
      <c r="I126" s="73"/>
      <c r="J126" s="73"/>
      <c r="K126" s="73"/>
      <c r="L126" s="73"/>
      <c r="M126" s="73"/>
      <c r="N126" s="73"/>
      <c r="O126" s="73"/>
      <c r="P126" s="73"/>
      <c r="Q126" s="73"/>
      <c r="R126" s="73"/>
      <c r="S126" s="73"/>
      <c r="T126" s="73"/>
      <c r="U126" s="73"/>
    </row>
    <row r="127" spans="1:22" s="53" customFormat="1" x14ac:dyDescent="0.2">
      <c r="B127" s="73"/>
      <c r="C127" s="73"/>
      <c r="D127" s="73"/>
      <c r="E127" s="73"/>
      <c r="F127" s="73"/>
      <c r="G127" s="73"/>
      <c r="H127" s="73"/>
      <c r="I127" s="73"/>
      <c r="J127" s="73"/>
      <c r="K127" s="73"/>
      <c r="L127" s="73"/>
      <c r="M127" s="73"/>
      <c r="N127" s="73"/>
      <c r="O127" s="73"/>
      <c r="P127" s="73"/>
      <c r="Q127" s="73"/>
      <c r="R127" s="73"/>
      <c r="S127" s="73"/>
      <c r="T127" s="73"/>
      <c r="U127" s="73"/>
    </row>
    <row r="128" spans="1:22" s="53" customFormat="1" x14ac:dyDescent="0.2">
      <c r="B128" s="73"/>
      <c r="C128" s="73"/>
      <c r="D128" s="73"/>
      <c r="E128" s="73"/>
      <c r="F128" s="73"/>
      <c r="G128" s="73"/>
      <c r="H128" s="73"/>
      <c r="I128" s="73"/>
      <c r="J128" s="73"/>
      <c r="K128" s="73"/>
      <c r="L128" s="73"/>
      <c r="M128" s="73"/>
      <c r="N128" s="73"/>
      <c r="O128" s="73"/>
      <c r="P128" s="73"/>
      <c r="Q128" s="73"/>
      <c r="R128" s="73"/>
      <c r="S128" s="73"/>
      <c r="T128" s="73"/>
      <c r="U128" s="73"/>
    </row>
    <row r="129" spans="2:21" s="53" customFormat="1" x14ac:dyDescent="0.2">
      <c r="B129" s="73"/>
      <c r="C129" s="73"/>
      <c r="D129" s="73"/>
      <c r="E129" s="73"/>
      <c r="F129" s="73"/>
      <c r="G129" s="73"/>
      <c r="H129" s="73"/>
      <c r="I129" s="73"/>
      <c r="J129" s="73"/>
      <c r="K129" s="73"/>
      <c r="L129" s="73"/>
      <c r="M129" s="73"/>
      <c r="N129" s="73"/>
      <c r="O129" s="73"/>
      <c r="P129" s="73"/>
      <c r="Q129" s="73"/>
      <c r="R129" s="73"/>
      <c r="S129" s="73"/>
      <c r="T129" s="73"/>
      <c r="U129" s="73"/>
    </row>
    <row r="130" spans="2:21" s="53" customFormat="1" x14ac:dyDescent="0.2">
      <c r="B130" s="73"/>
      <c r="C130" s="73"/>
      <c r="D130" s="73"/>
      <c r="E130" s="73"/>
      <c r="F130" s="73"/>
      <c r="G130" s="73"/>
      <c r="H130" s="73"/>
      <c r="I130" s="73"/>
      <c r="J130" s="73"/>
      <c r="K130" s="73"/>
      <c r="L130" s="73"/>
      <c r="M130" s="73"/>
      <c r="N130" s="73"/>
      <c r="O130" s="73"/>
      <c r="P130" s="73"/>
      <c r="Q130" s="73"/>
      <c r="R130" s="73"/>
      <c r="S130" s="73"/>
      <c r="T130" s="73"/>
      <c r="U130" s="73"/>
    </row>
    <row r="131" spans="2:21" s="53" customFormat="1" x14ac:dyDescent="0.2">
      <c r="G131" s="73"/>
      <c r="K131" s="73"/>
      <c r="L131" s="73"/>
      <c r="M131" s="73"/>
      <c r="S131" s="73"/>
    </row>
    <row r="132" spans="2:21" s="53" customFormat="1" x14ac:dyDescent="0.2">
      <c r="G132" s="73"/>
      <c r="K132" s="73"/>
      <c r="L132" s="73"/>
      <c r="M132" s="73"/>
      <c r="S132" s="73"/>
    </row>
    <row r="133" spans="2:21" s="53" customFormat="1" x14ac:dyDescent="0.2">
      <c r="G133" s="73"/>
      <c r="K133" s="73"/>
      <c r="L133" s="73"/>
      <c r="M133" s="73"/>
      <c r="S133" s="73"/>
    </row>
    <row r="134" spans="2:21" s="53" customFormat="1" x14ac:dyDescent="0.2">
      <c r="G134" s="73"/>
      <c r="K134" s="73"/>
      <c r="L134" s="73"/>
      <c r="M134" s="73"/>
      <c r="S134" s="73"/>
    </row>
    <row r="135" spans="2:21" s="53" customFormat="1" x14ac:dyDescent="0.2">
      <c r="G135" s="73"/>
      <c r="K135" s="73"/>
      <c r="L135" s="73"/>
      <c r="M135" s="73"/>
      <c r="S135" s="73"/>
    </row>
    <row r="136" spans="2:21" s="53" customFormat="1" x14ac:dyDescent="0.2">
      <c r="G136" s="73"/>
      <c r="K136" s="73"/>
      <c r="L136" s="73"/>
      <c r="M136" s="73"/>
      <c r="S136" s="73"/>
    </row>
    <row r="137" spans="2:21" s="53" customFormat="1" x14ac:dyDescent="0.2">
      <c r="G137" s="73"/>
      <c r="K137" s="73"/>
      <c r="L137" s="73"/>
      <c r="M137" s="73"/>
      <c r="S137" s="73"/>
    </row>
    <row r="138" spans="2:21" s="53" customFormat="1" x14ac:dyDescent="0.2">
      <c r="G138" s="73"/>
      <c r="K138" s="73"/>
      <c r="L138" s="73"/>
      <c r="M138" s="73"/>
      <c r="S138" s="73"/>
    </row>
    <row r="139" spans="2:21" s="53" customFormat="1" x14ac:dyDescent="0.2">
      <c r="G139" s="73"/>
      <c r="K139" s="73"/>
      <c r="L139" s="73"/>
      <c r="M139" s="73"/>
      <c r="S139" s="73"/>
    </row>
    <row r="140" spans="2:21" s="53" customFormat="1" x14ac:dyDescent="0.2">
      <c r="G140" s="73"/>
      <c r="K140" s="73"/>
      <c r="L140" s="73"/>
      <c r="M140" s="73"/>
      <c r="S140" s="73"/>
    </row>
    <row r="141" spans="2:21" s="53" customFormat="1" x14ac:dyDescent="0.2">
      <c r="G141" s="73"/>
      <c r="K141" s="73"/>
      <c r="L141" s="73"/>
      <c r="M141" s="73"/>
      <c r="S141" s="73"/>
    </row>
    <row r="142" spans="2:21" s="53" customFormat="1" x14ac:dyDescent="0.2">
      <c r="G142" s="73"/>
      <c r="K142" s="73"/>
      <c r="L142" s="73"/>
      <c r="M142" s="73"/>
      <c r="S142" s="73"/>
    </row>
    <row r="143" spans="2:21" s="53" customFormat="1" x14ac:dyDescent="0.2">
      <c r="G143" s="73"/>
      <c r="K143" s="73"/>
      <c r="L143" s="73"/>
      <c r="M143" s="73"/>
      <c r="S143" s="73"/>
    </row>
    <row r="144" spans="2:21" s="53" customFormat="1" x14ac:dyDescent="0.2">
      <c r="G144" s="73"/>
      <c r="K144" s="73"/>
      <c r="L144" s="73"/>
      <c r="M144" s="73"/>
      <c r="S144" s="73"/>
    </row>
    <row r="145" spans="7:19" s="53" customFormat="1" x14ac:dyDescent="0.2">
      <c r="G145" s="73"/>
      <c r="K145" s="73"/>
      <c r="L145" s="73"/>
      <c r="M145" s="73"/>
      <c r="S145" s="73"/>
    </row>
    <row r="146" spans="7:19" s="53" customFormat="1" x14ac:dyDescent="0.2">
      <c r="G146" s="73"/>
      <c r="K146" s="73"/>
      <c r="L146" s="73"/>
      <c r="M146" s="73"/>
      <c r="S146" s="73"/>
    </row>
    <row r="147" spans="7:19" s="53" customFormat="1" x14ac:dyDescent="0.2">
      <c r="G147" s="73"/>
      <c r="K147" s="73"/>
      <c r="L147" s="73"/>
      <c r="M147" s="73"/>
      <c r="S147" s="73"/>
    </row>
    <row r="148" spans="7:19" s="53" customFormat="1" x14ac:dyDescent="0.2">
      <c r="G148" s="73"/>
      <c r="K148" s="73"/>
      <c r="L148" s="73"/>
      <c r="M148" s="73"/>
      <c r="S148" s="73"/>
    </row>
    <row r="149" spans="7:19" s="53" customFormat="1" x14ac:dyDescent="0.2">
      <c r="G149" s="73"/>
      <c r="K149" s="73"/>
      <c r="L149" s="73"/>
      <c r="M149" s="73"/>
      <c r="S149" s="73"/>
    </row>
    <row r="150" spans="7:19" s="53" customFormat="1" x14ac:dyDescent="0.2">
      <c r="G150" s="73"/>
      <c r="K150" s="73"/>
      <c r="L150" s="73"/>
      <c r="M150" s="73"/>
      <c r="S150" s="73"/>
    </row>
    <row r="151" spans="7:19" s="53" customFormat="1" x14ac:dyDescent="0.2">
      <c r="G151" s="73"/>
      <c r="K151" s="73"/>
      <c r="L151" s="73"/>
      <c r="M151" s="73"/>
      <c r="S151" s="73"/>
    </row>
    <row r="152" spans="7:19" s="53" customFormat="1" x14ac:dyDescent="0.2">
      <c r="G152" s="73"/>
      <c r="K152" s="73"/>
      <c r="L152" s="73"/>
      <c r="M152" s="73"/>
      <c r="S152" s="73"/>
    </row>
    <row r="153" spans="7:19" s="53" customFormat="1" x14ac:dyDescent="0.2">
      <c r="G153" s="73"/>
      <c r="K153" s="73"/>
      <c r="L153" s="73"/>
      <c r="M153" s="73"/>
      <c r="S153" s="73"/>
    </row>
    <row r="154" spans="7:19" s="53" customFormat="1" x14ac:dyDescent="0.2">
      <c r="G154" s="73"/>
      <c r="K154" s="73"/>
      <c r="L154" s="73"/>
      <c r="M154" s="73"/>
      <c r="S154" s="73"/>
    </row>
    <row r="155" spans="7:19" s="53" customFormat="1" x14ac:dyDescent="0.2">
      <c r="G155" s="73"/>
      <c r="K155" s="73"/>
      <c r="L155" s="73"/>
      <c r="M155" s="73"/>
      <c r="S155" s="73"/>
    </row>
    <row r="156" spans="7:19" s="53" customFormat="1" x14ac:dyDescent="0.2">
      <c r="G156" s="73"/>
      <c r="K156" s="73"/>
      <c r="L156" s="73"/>
      <c r="M156" s="73"/>
      <c r="S156" s="73"/>
    </row>
    <row r="157" spans="7:19" s="53" customFormat="1" x14ac:dyDescent="0.2">
      <c r="G157" s="73"/>
      <c r="K157" s="73"/>
      <c r="L157" s="73"/>
      <c r="M157" s="73"/>
      <c r="S157" s="73"/>
    </row>
    <row r="158" spans="7:19" s="53" customFormat="1" x14ac:dyDescent="0.2">
      <c r="G158" s="73"/>
      <c r="K158" s="73"/>
      <c r="L158" s="73"/>
      <c r="M158" s="73"/>
      <c r="S158" s="73"/>
    </row>
    <row r="159" spans="7:19" s="53" customFormat="1" x14ac:dyDescent="0.2">
      <c r="G159" s="73"/>
      <c r="K159" s="73"/>
      <c r="L159" s="73"/>
      <c r="M159" s="73"/>
      <c r="S159" s="73"/>
    </row>
    <row r="160" spans="7:19" s="53" customFormat="1" x14ac:dyDescent="0.2">
      <c r="G160" s="73"/>
      <c r="K160" s="73"/>
      <c r="L160" s="73"/>
      <c r="M160" s="73"/>
      <c r="S160" s="73"/>
    </row>
    <row r="161" spans="7:19" s="53" customFormat="1" x14ac:dyDescent="0.2">
      <c r="G161" s="73"/>
      <c r="K161" s="73"/>
      <c r="L161" s="73"/>
      <c r="M161" s="73"/>
      <c r="S161" s="73"/>
    </row>
    <row r="162" spans="7:19" s="53" customFormat="1" x14ac:dyDescent="0.2">
      <c r="G162" s="73"/>
      <c r="K162" s="73"/>
      <c r="L162" s="73"/>
      <c r="M162" s="73"/>
      <c r="S162" s="73"/>
    </row>
    <row r="163" spans="7:19" s="53" customFormat="1" x14ac:dyDescent="0.2">
      <c r="G163" s="73"/>
      <c r="K163" s="73"/>
      <c r="L163" s="73"/>
      <c r="M163" s="73"/>
      <c r="S163" s="73"/>
    </row>
    <row r="164" spans="7:19" s="53" customFormat="1" x14ac:dyDescent="0.2">
      <c r="G164" s="73"/>
      <c r="K164" s="73"/>
      <c r="L164" s="73"/>
      <c r="M164" s="73"/>
      <c r="S164" s="73"/>
    </row>
    <row r="165" spans="7:19" s="53" customFormat="1" x14ac:dyDescent="0.2">
      <c r="G165" s="73"/>
      <c r="K165" s="73"/>
      <c r="L165" s="73"/>
      <c r="M165" s="73"/>
      <c r="S165" s="73"/>
    </row>
    <row r="166" spans="7:19" s="53" customFormat="1" x14ac:dyDescent="0.2">
      <c r="G166" s="73"/>
      <c r="K166" s="73"/>
      <c r="L166" s="73"/>
      <c r="M166" s="73"/>
      <c r="S166" s="73"/>
    </row>
    <row r="167" spans="7:19" s="53" customFormat="1" x14ac:dyDescent="0.2">
      <c r="G167" s="73"/>
      <c r="K167" s="73"/>
      <c r="L167" s="73"/>
      <c r="M167" s="73"/>
      <c r="S167" s="73"/>
    </row>
    <row r="168" spans="7:19" s="53" customFormat="1" x14ac:dyDescent="0.2">
      <c r="G168" s="73"/>
      <c r="K168" s="73"/>
      <c r="L168" s="73"/>
      <c r="M168" s="73"/>
      <c r="S168" s="73"/>
    </row>
    <row r="169" spans="7:19" s="53" customFormat="1" x14ac:dyDescent="0.2">
      <c r="G169" s="73"/>
      <c r="K169" s="73"/>
      <c r="L169" s="73"/>
      <c r="M169" s="73"/>
      <c r="S169" s="73"/>
    </row>
    <row r="170" spans="7:19" s="53" customFormat="1" x14ac:dyDescent="0.2">
      <c r="G170" s="73"/>
      <c r="K170" s="73"/>
      <c r="L170" s="73"/>
      <c r="M170" s="73"/>
      <c r="S170" s="73"/>
    </row>
    <row r="171" spans="7:19" s="53" customFormat="1" x14ac:dyDescent="0.2">
      <c r="G171" s="73"/>
      <c r="K171" s="73"/>
      <c r="L171" s="73"/>
      <c r="M171" s="73"/>
      <c r="S171" s="73"/>
    </row>
    <row r="172" spans="7:19" s="53" customFormat="1" x14ac:dyDescent="0.2">
      <c r="G172" s="73"/>
      <c r="K172" s="73"/>
      <c r="L172" s="73"/>
      <c r="M172" s="73"/>
      <c r="S172" s="73"/>
    </row>
    <row r="173" spans="7:19" s="53" customFormat="1" x14ac:dyDescent="0.2">
      <c r="G173" s="73"/>
      <c r="K173" s="73"/>
      <c r="L173" s="73"/>
      <c r="M173" s="73"/>
      <c r="S173" s="73"/>
    </row>
    <row r="174" spans="7:19" s="53" customFormat="1" x14ac:dyDescent="0.2">
      <c r="G174" s="73"/>
      <c r="K174" s="73"/>
      <c r="L174" s="73"/>
      <c r="M174" s="73"/>
      <c r="S174" s="73"/>
    </row>
    <row r="175" spans="7:19" s="53" customFormat="1" x14ac:dyDescent="0.2">
      <c r="G175" s="73"/>
      <c r="K175" s="73"/>
      <c r="L175" s="73"/>
      <c r="M175" s="73"/>
      <c r="S175" s="73"/>
    </row>
    <row r="176" spans="7:19" s="53" customFormat="1" x14ac:dyDescent="0.2">
      <c r="G176" s="73"/>
      <c r="K176" s="73"/>
      <c r="L176" s="73"/>
      <c r="M176" s="73"/>
      <c r="S176" s="73"/>
    </row>
    <row r="177" spans="7:19" s="53" customFormat="1" x14ac:dyDescent="0.2">
      <c r="G177" s="73"/>
      <c r="K177" s="73"/>
      <c r="L177" s="73"/>
      <c r="M177" s="73"/>
      <c r="S177" s="73"/>
    </row>
    <row r="178" spans="7:19" s="53" customFormat="1" x14ac:dyDescent="0.2">
      <c r="G178" s="73"/>
      <c r="K178" s="73"/>
      <c r="L178" s="73"/>
      <c r="M178" s="73"/>
      <c r="S178" s="73"/>
    </row>
    <row r="179" spans="7:19" s="53" customFormat="1" x14ac:dyDescent="0.2">
      <c r="G179" s="73"/>
      <c r="K179" s="73"/>
      <c r="L179" s="73"/>
      <c r="M179" s="73"/>
      <c r="S179" s="73"/>
    </row>
    <row r="180" spans="7:19" s="53" customFormat="1" x14ac:dyDescent="0.2">
      <c r="G180" s="73"/>
      <c r="K180" s="73"/>
      <c r="L180" s="73"/>
      <c r="M180" s="73"/>
      <c r="S180" s="73"/>
    </row>
    <row r="181" spans="7:19" s="53" customFormat="1" x14ac:dyDescent="0.2">
      <c r="G181" s="73"/>
      <c r="K181" s="73"/>
      <c r="L181" s="73"/>
      <c r="M181" s="73"/>
      <c r="S181" s="73"/>
    </row>
    <row r="182" spans="7:19" s="53" customFormat="1" x14ac:dyDescent="0.2">
      <c r="G182" s="73"/>
      <c r="K182" s="73"/>
      <c r="L182" s="73"/>
      <c r="M182" s="73"/>
      <c r="S182" s="73"/>
    </row>
    <row r="183" spans="7:19" s="53" customFormat="1" x14ac:dyDescent="0.2">
      <c r="G183" s="73"/>
      <c r="K183" s="73"/>
      <c r="L183" s="73"/>
      <c r="M183" s="73"/>
      <c r="S183" s="73"/>
    </row>
    <row r="184" spans="7:19" s="53" customFormat="1" x14ac:dyDescent="0.2">
      <c r="G184" s="73"/>
      <c r="K184" s="73"/>
      <c r="L184" s="73"/>
      <c r="M184" s="73"/>
      <c r="S184" s="73"/>
    </row>
    <row r="185" spans="7:19" s="53" customFormat="1" x14ac:dyDescent="0.2">
      <c r="G185" s="73"/>
      <c r="K185" s="73"/>
      <c r="L185" s="73"/>
      <c r="M185" s="73"/>
      <c r="S185" s="73"/>
    </row>
    <row r="186" spans="7:19" s="53" customFormat="1" x14ac:dyDescent="0.2">
      <c r="G186" s="73"/>
      <c r="K186" s="73"/>
      <c r="L186" s="73"/>
      <c r="M186" s="73"/>
      <c r="S186" s="73"/>
    </row>
    <row r="187" spans="7:19" s="53" customFormat="1" x14ac:dyDescent="0.2">
      <c r="G187" s="73"/>
      <c r="K187" s="73"/>
      <c r="L187" s="73"/>
      <c r="M187" s="73"/>
      <c r="S187" s="73"/>
    </row>
    <row r="188" spans="7:19" s="53" customFormat="1" x14ac:dyDescent="0.2">
      <c r="G188" s="73"/>
      <c r="K188" s="73"/>
      <c r="L188" s="73"/>
      <c r="M188" s="73"/>
      <c r="S188" s="73"/>
    </row>
    <row r="189" spans="7:19" s="53" customFormat="1" x14ac:dyDescent="0.2">
      <c r="G189" s="73"/>
      <c r="K189" s="73"/>
      <c r="L189" s="73"/>
      <c r="M189" s="73"/>
      <c r="S189" s="73"/>
    </row>
    <row r="190" spans="7:19" s="53" customFormat="1" x14ac:dyDescent="0.2">
      <c r="G190" s="73"/>
      <c r="K190" s="73"/>
      <c r="L190" s="73"/>
      <c r="M190" s="73"/>
      <c r="S190" s="73"/>
    </row>
    <row r="191" spans="7:19" s="53" customFormat="1" x14ac:dyDescent="0.2">
      <c r="G191" s="73"/>
      <c r="K191" s="73"/>
      <c r="L191" s="73"/>
      <c r="M191" s="73"/>
      <c r="S191" s="73"/>
    </row>
    <row r="192" spans="7:19" s="53" customFormat="1" x14ac:dyDescent="0.2">
      <c r="G192" s="73"/>
      <c r="K192" s="73"/>
      <c r="L192" s="73"/>
      <c r="M192" s="73"/>
      <c r="S192" s="73"/>
    </row>
    <row r="193" spans="7:19" s="53" customFormat="1" x14ac:dyDescent="0.2">
      <c r="G193" s="73"/>
      <c r="K193" s="73"/>
      <c r="L193" s="73"/>
      <c r="M193" s="73"/>
      <c r="S193" s="73"/>
    </row>
    <row r="194" spans="7:19" s="53" customFormat="1" x14ac:dyDescent="0.2">
      <c r="G194" s="73"/>
      <c r="K194" s="73"/>
      <c r="L194" s="73"/>
      <c r="M194" s="73"/>
      <c r="S194" s="73"/>
    </row>
    <row r="195" spans="7:19" s="53" customFormat="1" x14ac:dyDescent="0.2">
      <c r="G195" s="73"/>
      <c r="K195" s="73"/>
      <c r="L195" s="73"/>
      <c r="M195" s="73"/>
      <c r="S195" s="73"/>
    </row>
    <row r="196" spans="7:19" s="53" customFormat="1" x14ac:dyDescent="0.2">
      <c r="G196" s="73"/>
      <c r="K196" s="73"/>
      <c r="L196" s="73"/>
      <c r="M196" s="73"/>
      <c r="S196" s="73"/>
    </row>
    <row r="197" spans="7:19" s="53" customFormat="1" x14ac:dyDescent="0.2">
      <c r="G197" s="73"/>
      <c r="K197" s="73"/>
      <c r="L197" s="73"/>
      <c r="M197" s="73"/>
      <c r="S197" s="73"/>
    </row>
    <row r="198" spans="7:19" s="53" customFormat="1" x14ac:dyDescent="0.2">
      <c r="G198" s="73"/>
      <c r="K198" s="73"/>
      <c r="L198" s="73"/>
      <c r="M198" s="73"/>
      <c r="S198" s="73"/>
    </row>
    <row r="199" spans="7:19" s="53" customFormat="1" x14ac:dyDescent="0.2">
      <c r="G199" s="73"/>
      <c r="K199" s="73"/>
      <c r="L199" s="73"/>
      <c r="M199" s="73"/>
      <c r="S199" s="73"/>
    </row>
    <row r="200" spans="7:19" s="53" customFormat="1" x14ac:dyDescent="0.2">
      <c r="G200" s="73"/>
      <c r="K200" s="73"/>
      <c r="L200" s="73"/>
      <c r="M200" s="73"/>
      <c r="S200" s="73"/>
    </row>
    <row r="201" spans="7:19" s="53" customFormat="1" x14ac:dyDescent="0.2">
      <c r="G201" s="73"/>
      <c r="K201" s="73"/>
      <c r="L201" s="73"/>
      <c r="M201" s="73"/>
      <c r="S201" s="73"/>
    </row>
    <row r="202" spans="7:19" s="53" customFormat="1" x14ac:dyDescent="0.2">
      <c r="G202" s="73"/>
      <c r="K202" s="73"/>
      <c r="L202" s="73"/>
      <c r="M202" s="73"/>
      <c r="S202" s="73"/>
    </row>
    <row r="203" spans="7:19" s="53" customFormat="1" x14ac:dyDescent="0.2">
      <c r="G203" s="73"/>
      <c r="K203" s="73"/>
      <c r="L203" s="73"/>
      <c r="M203" s="73"/>
      <c r="S203" s="73"/>
    </row>
    <row r="204" spans="7:19" s="53" customFormat="1" x14ac:dyDescent="0.2">
      <c r="G204" s="73"/>
      <c r="K204" s="73"/>
      <c r="L204" s="73"/>
      <c r="M204" s="73"/>
      <c r="S204" s="73"/>
    </row>
    <row r="205" spans="7:19" s="53" customFormat="1" x14ac:dyDescent="0.2">
      <c r="G205" s="73"/>
      <c r="K205" s="73"/>
      <c r="L205" s="73"/>
      <c r="M205" s="73"/>
      <c r="S205" s="73"/>
    </row>
    <row r="206" spans="7:19" s="53" customFormat="1" x14ac:dyDescent="0.2">
      <c r="G206" s="73"/>
      <c r="K206" s="73"/>
      <c r="L206" s="73"/>
      <c r="M206" s="73"/>
      <c r="S206" s="73"/>
    </row>
    <row r="207" spans="7:19" s="53" customFormat="1" x14ac:dyDescent="0.2">
      <c r="G207" s="73"/>
      <c r="K207" s="73"/>
      <c r="L207" s="73"/>
      <c r="M207" s="73"/>
      <c r="S207" s="73"/>
    </row>
    <row r="208" spans="7:19" s="53" customFormat="1" x14ac:dyDescent="0.2">
      <c r="G208" s="73"/>
      <c r="K208" s="73"/>
      <c r="L208" s="73"/>
      <c r="M208" s="73"/>
      <c r="S208" s="73"/>
    </row>
    <row r="209" spans="7:19" s="53" customFormat="1" x14ac:dyDescent="0.2">
      <c r="G209" s="73"/>
      <c r="K209" s="73"/>
      <c r="L209" s="73"/>
      <c r="M209" s="73"/>
      <c r="S209" s="73"/>
    </row>
    <row r="210" spans="7:19" s="53" customFormat="1" x14ac:dyDescent="0.2">
      <c r="G210" s="73"/>
      <c r="K210" s="73"/>
      <c r="L210" s="73"/>
      <c r="M210" s="73"/>
      <c r="S210" s="73"/>
    </row>
    <row r="211" spans="7:19" s="53" customFormat="1" x14ac:dyDescent="0.2">
      <c r="G211" s="73"/>
      <c r="K211" s="73"/>
      <c r="L211" s="73"/>
      <c r="M211" s="73"/>
      <c r="S211" s="73"/>
    </row>
    <row r="212" spans="7:19" s="53" customFormat="1" x14ac:dyDescent="0.2">
      <c r="G212" s="73"/>
      <c r="K212" s="73"/>
      <c r="L212" s="73"/>
      <c r="M212" s="73"/>
      <c r="S212" s="73"/>
    </row>
    <row r="213" spans="7:19" s="53" customFormat="1" x14ac:dyDescent="0.2">
      <c r="G213" s="73"/>
      <c r="K213" s="73"/>
      <c r="L213" s="73"/>
      <c r="M213" s="73"/>
      <c r="S213" s="73"/>
    </row>
    <row r="214" spans="7:19" s="53" customFormat="1" x14ac:dyDescent="0.2">
      <c r="G214" s="73"/>
      <c r="K214" s="73"/>
      <c r="L214" s="73"/>
      <c r="M214" s="73"/>
      <c r="S214" s="73"/>
    </row>
    <row r="215" spans="7:19" s="53" customFormat="1" x14ac:dyDescent="0.2">
      <c r="G215" s="73"/>
      <c r="K215" s="73"/>
      <c r="L215" s="73"/>
      <c r="M215" s="73"/>
      <c r="S215" s="73"/>
    </row>
    <row r="216" spans="7:19" s="53" customFormat="1" x14ac:dyDescent="0.2">
      <c r="G216" s="73"/>
      <c r="K216" s="73"/>
      <c r="L216" s="73"/>
      <c r="M216" s="73"/>
      <c r="S216" s="73"/>
    </row>
    <row r="217" spans="7:19" s="53" customFormat="1" x14ac:dyDescent="0.2">
      <c r="G217" s="73"/>
      <c r="K217" s="73"/>
      <c r="L217" s="73"/>
      <c r="M217" s="73"/>
      <c r="S217" s="73"/>
    </row>
    <row r="218" spans="7:19" s="53" customFormat="1" x14ac:dyDescent="0.2">
      <c r="G218" s="73"/>
      <c r="K218" s="73"/>
      <c r="L218" s="73"/>
      <c r="M218" s="73"/>
      <c r="S218" s="73"/>
    </row>
    <row r="219" spans="7:19" s="53" customFormat="1" x14ac:dyDescent="0.2">
      <c r="G219" s="73"/>
      <c r="K219" s="73"/>
      <c r="L219" s="73"/>
      <c r="M219" s="73"/>
      <c r="S219" s="73"/>
    </row>
    <row r="220" spans="7:19" s="53" customFormat="1" x14ac:dyDescent="0.2">
      <c r="G220" s="73"/>
      <c r="K220" s="73"/>
      <c r="L220" s="73"/>
      <c r="M220" s="73"/>
      <c r="S220" s="73"/>
    </row>
    <row r="221" spans="7:19" s="53" customFormat="1" x14ac:dyDescent="0.2">
      <c r="G221" s="73"/>
      <c r="K221" s="73"/>
      <c r="L221" s="73"/>
      <c r="M221" s="73"/>
      <c r="S221" s="73"/>
    </row>
    <row r="222" spans="7:19" s="53" customFormat="1" x14ac:dyDescent="0.2">
      <c r="G222" s="73"/>
      <c r="K222" s="73"/>
      <c r="L222" s="73"/>
      <c r="M222" s="73"/>
      <c r="S222" s="73"/>
    </row>
    <row r="223" spans="7:19" s="53" customFormat="1" x14ac:dyDescent="0.2">
      <c r="G223" s="73"/>
      <c r="K223" s="73"/>
      <c r="L223" s="73"/>
      <c r="M223" s="73"/>
      <c r="S223" s="73"/>
    </row>
    <row r="224" spans="7:19" s="53" customFormat="1" x14ac:dyDescent="0.2">
      <c r="G224" s="73"/>
      <c r="K224" s="73"/>
      <c r="L224" s="73"/>
      <c r="M224" s="73"/>
      <c r="S224" s="73"/>
    </row>
    <row r="225" spans="7:19" s="53" customFormat="1" x14ac:dyDescent="0.2">
      <c r="G225" s="73"/>
      <c r="K225" s="73"/>
      <c r="L225" s="73"/>
      <c r="M225" s="73"/>
      <c r="S225" s="73"/>
    </row>
    <row r="226" spans="7:19" s="53" customFormat="1" x14ac:dyDescent="0.2">
      <c r="G226" s="73"/>
      <c r="K226" s="73"/>
      <c r="L226" s="73"/>
      <c r="M226" s="73"/>
      <c r="S226" s="73"/>
    </row>
    <row r="227" spans="7:19" s="53" customFormat="1" x14ac:dyDescent="0.2">
      <c r="G227" s="73"/>
      <c r="K227" s="73"/>
      <c r="L227" s="73"/>
      <c r="M227" s="73"/>
      <c r="S227" s="73"/>
    </row>
    <row r="228" spans="7:19" s="53" customFormat="1" x14ac:dyDescent="0.2">
      <c r="G228" s="73"/>
      <c r="K228" s="73"/>
      <c r="L228" s="73"/>
      <c r="M228" s="73"/>
      <c r="S228" s="73"/>
    </row>
    <row r="229" spans="7:19" s="53" customFormat="1" x14ac:dyDescent="0.2">
      <c r="G229" s="73"/>
      <c r="K229" s="73"/>
      <c r="L229" s="73"/>
      <c r="M229" s="73"/>
      <c r="S229" s="73"/>
    </row>
    <row r="230" spans="7:19" s="53" customFormat="1" x14ac:dyDescent="0.2">
      <c r="G230" s="73"/>
      <c r="K230" s="73"/>
      <c r="L230" s="73"/>
      <c r="M230" s="73"/>
      <c r="S230" s="73"/>
    </row>
    <row r="231" spans="7:19" s="53" customFormat="1" x14ac:dyDescent="0.2">
      <c r="G231" s="73"/>
      <c r="K231" s="73"/>
      <c r="L231" s="73"/>
      <c r="M231" s="73"/>
      <c r="S231" s="73"/>
    </row>
    <row r="232" spans="7:19" s="53" customFormat="1" x14ac:dyDescent="0.2">
      <c r="G232" s="73"/>
      <c r="K232" s="73"/>
      <c r="L232" s="73"/>
      <c r="M232" s="73"/>
      <c r="S232" s="73"/>
    </row>
    <row r="233" spans="7:19" s="53" customFormat="1" x14ac:dyDescent="0.2">
      <c r="G233" s="73"/>
      <c r="K233" s="73"/>
      <c r="L233" s="73"/>
      <c r="M233" s="73"/>
      <c r="S233" s="73"/>
    </row>
    <row r="234" spans="7:19" s="53" customFormat="1" x14ac:dyDescent="0.2">
      <c r="G234" s="73"/>
      <c r="K234" s="73"/>
      <c r="L234" s="73"/>
      <c r="M234" s="73"/>
      <c r="S234" s="73"/>
    </row>
    <row r="235" spans="7:19" s="53" customFormat="1" x14ac:dyDescent="0.2">
      <c r="G235" s="73"/>
      <c r="K235" s="73"/>
      <c r="L235" s="73"/>
      <c r="M235" s="73"/>
      <c r="S235" s="73"/>
    </row>
    <row r="236" spans="7:19" s="53" customFormat="1" x14ac:dyDescent="0.2">
      <c r="G236" s="73"/>
      <c r="K236" s="73"/>
      <c r="L236" s="73"/>
      <c r="M236" s="73"/>
      <c r="S236" s="73"/>
    </row>
    <row r="237" spans="7:19" s="53" customFormat="1" x14ac:dyDescent="0.2">
      <c r="G237" s="73"/>
      <c r="K237" s="73"/>
      <c r="L237" s="73"/>
      <c r="M237" s="73"/>
      <c r="S237" s="73"/>
    </row>
    <row r="238" spans="7:19" s="53" customFormat="1" x14ac:dyDescent="0.2">
      <c r="G238" s="73"/>
      <c r="K238" s="73"/>
      <c r="L238" s="73"/>
      <c r="M238" s="73"/>
      <c r="S238" s="73"/>
    </row>
    <row r="239" spans="7:19" s="53" customFormat="1" x14ac:dyDescent="0.2">
      <c r="G239" s="73"/>
      <c r="K239" s="73"/>
      <c r="L239" s="73"/>
      <c r="M239" s="73"/>
      <c r="S239" s="73"/>
    </row>
    <row r="240" spans="7:19" s="53" customFormat="1" x14ac:dyDescent="0.2">
      <c r="G240" s="73"/>
      <c r="K240" s="73"/>
      <c r="L240" s="73"/>
      <c r="M240" s="73"/>
      <c r="S240" s="73"/>
    </row>
    <row r="241" spans="5:19" s="53" customFormat="1" x14ac:dyDescent="0.2">
      <c r="G241" s="73"/>
      <c r="K241" s="73"/>
      <c r="L241" s="73"/>
      <c r="M241" s="73"/>
      <c r="S241" s="73"/>
    </row>
    <row r="242" spans="5:19" s="53" customFormat="1" x14ac:dyDescent="0.2">
      <c r="G242" s="73"/>
      <c r="K242" s="73"/>
      <c r="L242" s="73"/>
      <c r="M242" s="73"/>
      <c r="S242" s="73"/>
    </row>
    <row r="243" spans="5:19" s="53" customFormat="1" x14ac:dyDescent="0.2">
      <c r="E243" s="73"/>
      <c r="F243" s="73"/>
      <c r="G243" s="73"/>
      <c r="H243" s="73"/>
      <c r="I243" s="73"/>
      <c r="K243" s="73"/>
      <c r="L243" s="73"/>
      <c r="M243" s="73"/>
      <c r="S243" s="73"/>
    </row>
    <row r="244" spans="5:19" s="53" customFormat="1" x14ac:dyDescent="0.2">
      <c r="E244" s="73"/>
      <c r="F244" s="73"/>
      <c r="G244" s="73"/>
      <c r="H244" s="73"/>
      <c r="I244" s="73"/>
      <c r="K244" s="73"/>
      <c r="L244" s="73"/>
      <c r="M244" s="73"/>
      <c r="S244" s="73"/>
    </row>
    <row r="245" spans="5:19" s="53" customFormat="1" x14ac:dyDescent="0.2">
      <c r="E245" s="73"/>
      <c r="F245" s="73"/>
      <c r="G245" s="73"/>
      <c r="H245" s="73"/>
      <c r="I245" s="73"/>
      <c r="K245" s="73"/>
      <c r="L245" s="73"/>
      <c r="M245" s="73"/>
      <c r="S245" s="73"/>
    </row>
    <row r="246" spans="5:19" s="53" customFormat="1" x14ac:dyDescent="0.2">
      <c r="E246" s="73"/>
      <c r="F246" s="73"/>
      <c r="G246" s="73"/>
      <c r="H246" s="73"/>
      <c r="I246" s="73"/>
      <c r="K246" s="73"/>
      <c r="L246" s="73"/>
      <c r="M246" s="73"/>
      <c r="S246" s="73"/>
    </row>
    <row r="247" spans="5:19" s="53" customFormat="1" x14ac:dyDescent="0.2">
      <c r="E247" s="73"/>
      <c r="F247" s="73"/>
      <c r="G247" s="73"/>
      <c r="H247" s="73"/>
      <c r="I247" s="73"/>
      <c r="K247" s="73"/>
      <c r="L247" s="73"/>
      <c r="M247" s="73"/>
      <c r="S247" s="73"/>
    </row>
    <row r="248" spans="5:19" s="53" customFormat="1" x14ac:dyDescent="0.2">
      <c r="E248" s="73"/>
      <c r="F248" s="73"/>
      <c r="G248" s="73"/>
      <c r="H248" s="73"/>
      <c r="I248" s="73"/>
      <c r="K248" s="73"/>
      <c r="L248" s="73"/>
      <c r="M248" s="73"/>
      <c r="S248" s="73"/>
    </row>
    <row r="249" spans="5:19" s="53" customFormat="1" x14ac:dyDescent="0.2">
      <c r="E249" s="73"/>
      <c r="F249" s="73"/>
      <c r="G249" s="73"/>
      <c r="H249" s="73"/>
      <c r="I249" s="73"/>
      <c r="K249" s="73"/>
      <c r="L249" s="73"/>
      <c r="M249" s="73"/>
      <c r="S249" s="73"/>
    </row>
    <row r="250" spans="5:19" s="53" customFormat="1" x14ac:dyDescent="0.2">
      <c r="E250" s="73"/>
      <c r="F250" s="73"/>
      <c r="G250" s="73"/>
      <c r="H250" s="73"/>
      <c r="I250" s="73"/>
      <c r="K250" s="73"/>
      <c r="L250" s="73"/>
      <c r="M250" s="73"/>
      <c r="S250" s="73"/>
    </row>
    <row r="251" spans="5:19" s="53" customFormat="1" x14ac:dyDescent="0.2">
      <c r="E251" s="73"/>
      <c r="F251" s="73"/>
      <c r="G251" s="73"/>
      <c r="H251" s="73"/>
      <c r="I251" s="73"/>
      <c r="K251" s="73"/>
      <c r="L251" s="73"/>
      <c r="M251" s="73"/>
      <c r="S251" s="73"/>
    </row>
    <row r="252" spans="5:19" s="53" customFormat="1" x14ac:dyDescent="0.2">
      <c r="E252" s="73"/>
      <c r="F252" s="73"/>
      <c r="G252" s="73"/>
      <c r="H252" s="73"/>
      <c r="I252" s="73"/>
      <c r="K252" s="73"/>
      <c r="L252" s="73"/>
      <c r="M252" s="73"/>
      <c r="S252" s="73"/>
    </row>
    <row r="253" spans="5:19" s="53" customFormat="1" x14ac:dyDescent="0.2">
      <c r="E253" s="73"/>
      <c r="F253" s="73"/>
      <c r="G253" s="73"/>
      <c r="H253" s="73"/>
      <c r="I253" s="73"/>
      <c r="K253" s="73"/>
      <c r="L253" s="73"/>
      <c r="M253" s="73"/>
      <c r="S253" s="73"/>
    </row>
    <row r="254" spans="5:19" x14ac:dyDescent="0.2">
      <c r="E254" s="73"/>
      <c r="F254" s="73"/>
      <c r="G254" s="73"/>
      <c r="H254" s="73"/>
      <c r="I254" s="73"/>
    </row>
    <row r="255" spans="5:19" x14ac:dyDescent="0.2">
      <c r="E255" s="73"/>
      <c r="F255" s="73"/>
      <c r="G255" s="73"/>
      <c r="H255" s="73"/>
      <c r="I255" s="73"/>
    </row>
    <row r="256" spans="5:19" x14ac:dyDescent="0.2">
      <c r="E256" s="73"/>
      <c r="F256" s="73"/>
      <c r="G256" s="73"/>
      <c r="H256" s="73"/>
      <c r="I256" s="73"/>
    </row>
    <row r="257" spans="5:9" x14ac:dyDescent="0.2">
      <c r="E257" s="73"/>
      <c r="F257" s="73"/>
      <c r="G257" s="73"/>
      <c r="H257" s="73"/>
      <c r="I257" s="73"/>
    </row>
    <row r="258" spans="5:9" x14ac:dyDescent="0.2">
      <c r="E258" s="73"/>
      <c r="F258" s="73"/>
      <c r="G258" s="73"/>
      <c r="H258" s="73"/>
      <c r="I258" s="73"/>
    </row>
    <row r="259" spans="5:9" x14ac:dyDescent="0.2">
      <c r="E259" s="73"/>
      <c r="F259" s="73"/>
      <c r="G259" s="73"/>
      <c r="H259" s="73"/>
      <c r="I259" s="73"/>
    </row>
  </sheetData>
  <sheetProtection algorithmName="SHA-512" hashValue="MAqIsFZUD7C7lyx66qGiGvnGYTs1JxNS5sfSiecXC8gunGWViEydsStyUjAo7PrbK93DFUfxdMkymDuipz1snQ==" saltValue="WVkt7QK7Ft+raKmycwls9Q==" spinCount="100000" sheet="1" objects="1" scenarios="1"/>
  <mergeCells count="1">
    <mergeCell ref="B13:C13"/>
  </mergeCells>
  <conditionalFormatting sqref="B17:I116">
    <cfRule type="expression" dxfId="24" priority="2">
      <formula>IF(ROW(B17)-16&lt;=$A$16,TRUE, FALSE)</formula>
    </cfRule>
  </conditionalFormatting>
  <conditionalFormatting sqref="N17:V116">
    <cfRule type="expression" dxfId="23" priority="1">
      <formula>IF(ROW(N17)-16&lt;=$M$16,TRUE, FALSE)</formula>
    </cfRule>
  </conditionalFormatting>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2778" r:id="rId4" name="Group Box 10">
              <controlPr defaultSize="0" autoFill="0" autoPict="0">
                <anchor moveWithCells="1">
                  <from>
                    <xdr:col>1</xdr:col>
                    <xdr:colOff>0</xdr:colOff>
                    <xdr:row>7</xdr:row>
                    <xdr:rowOff>95250</xdr:rowOff>
                  </from>
                  <to>
                    <xdr:col>3</xdr:col>
                    <xdr:colOff>247650</xdr:colOff>
                    <xdr:row>13</xdr:row>
                    <xdr:rowOff>85725</xdr:rowOff>
                  </to>
                </anchor>
              </controlPr>
            </control>
          </mc:Choice>
        </mc:AlternateContent>
        <mc:AlternateContent xmlns:mc="http://schemas.openxmlformats.org/markup-compatibility/2006">
          <mc:Choice Requires="x14">
            <control shapeId="32781" r:id="rId5" name="Group Box 13">
              <controlPr defaultSize="0" autoFill="0" autoPict="0">
                <anchor moveWithCells="1">
                  <from>
                    <xdr:col>1</xdr:col>
                    <xdr:colOff>0</xdr:colOff>
                    <xdr:row>2</xdr:row>
                    <xdr:rowOff>95250</xdr:rowOff>
                  </from>
                  <to>
                    <xdr:col>3</xdr:col>
                    <xdr:colOff>142875</xdr:colOff>
                    <xdr:row>6</xdr:row>
                    <xdr:rowOff>171450</xdr:rowOff>
                  </to>
                </anchor>
              </controlPr>
            </control>
          </mc:Choice>
        </mc:AlternateContent>
        <mc:AlternateContent xmlns:mc="http://schemas.openxmlformats.org/markup-compatibility/2006">
          <mc:Choice Requires="x14">
            <control shapeId="32782" r:id="rId6" name="Drop Down 14">
              <controlPr defaultSize="0" autoLine="0" autoPict="0">
                <anchor>
                  <from>
                    <xdr:col>1</xdr:col>
                    <xdr:colOff>1419225</xdr:colOff>
                    <xdr:row>15</xdr:row>
                    <xdr:rowOff>533400</xdr:rowOff>
                  </from>
                  <to>
                    <xdr:col>2</xdr:col>
                    <xdr:colOff>1123950</xdr:colOff>
                    <xdr:row>16</xdr:row>
                    <xdr:rowOff>171450</xdr:rowOff>
                  </to>
                </anchor>
              </controlPr>
            </control>
          </mc:Choice>
        </mc:AlternateContent>
        <mc:AlternateContent xmlns:mc="http://schemas.openxmlformats.org/markup-compatibility/2006">
          <mc:Choice Requires="x14">
            <control shapeId="32783" r:id="rId7" name="CAP_Simplified">
              <controlPr locked="0" defaultSize="0" autoFill="0" autoLine="0" autoPict="0" macro="[0]!Simplified_Calculator_Click">
                <anchor moveWithCells="1">
                  <from>
                    <xdr:col>1</xdr:col>
                    <xdr:colOff>638175</xdr:colOff>
                    <xdr:row>5</xdr:row>
                    <xdr:rowOff>161925</xdr:rowOff>
                  </from>
                  <to>
                    <xdr:col>1</xdr:col>
                    <xdr:colOff>942975</xdr:colOff>
                    <xdr:row>7</xdr:row>
                    <xdr:rowOff>28575</xdr:rowOff>
                  </to>
                </anchor>
              </controlPr>
            </control>
          </mc:Choice>
        </mc:AlternateContent>
        <mc:AlternateContent xmlns:mc="http://schemas.openxmlformats.org/markup-compatibility/2006">
          <mc:Choice Requires="x14">
            <control shapeId="32784" r:id="rId8" name="CAP_Advanced">
              <controlPr locked="0" defaultSize="0" autoFill="0" autoLine="0" autoPict="0" macro="[0]!Advanced_Calculator_Click">
                <anchor moveWithCells="1">
                  <from>
                    <xdr:col>2</xdr:col>
                    <xdr:colOff>561975</xdr:colOff>
                    <xdr:row>5</xdr:row>
                    <xdr:rowOff>161925</xdr:rowOff>
                  </from>
                  <to>
                    <xdr:col>2</xdr:col>
                    <xdr:colOff>866775</xdr:colOff>
                    <xdr:row>7</xdr:row>
                    <xdr:rowOff>28575</xdr:rowOff>
                  </to>
                </anchor>
              </controlPr>
            </control>
          </mc:Choice>
        </mc:AlternateContent>
        <mc:AlternateContent xmlns:mc="http://schemas.openxmlformats.org/markup-compatibility/2006">
          <mc:Choice Requires="x14">
            <control shapeId="32785" r:id="rId9" name="Option Button 17">
              <controlPr defaultSize="0" autoFill="0" autoLine="0" autoPict="0" macro="[0]!Capacity_Calculator_Click">
                <anchor moveWithCells="1">
                  <from>
                    <xdr:col>1</xdr:col>
                    <xdr:colOff>571500</xdr:colOff>
                    <xdr:row>8</xdr:row>
                    <xdr:rowOff>0</xdr:rowOff>
                  </from>
                  <to>
                    <xdr:col>1</xdr:col>
                    <xdr:colOff>876300</xdr:colOff>
                    <xdr:row>11</xdr:row>
                    <xdr:rowOff>38100</xdr:rowOff>
                  </to>
                </anchor>
              </controlPr>
            </control>
          </mc:Choice>
        </mc:AlternateContent>
        <mc:AlternateContent xmlns:mc="http://schemas.openxmlformats.org/markup-compatibility/2006">
          <mc:Choice Requires="x14">
            <control shapeId="32786" r:id="rId10" name="Option Button 18">
              <controlPr defaultSize="0" autoFill="0" autoLine="0" autoPict="0" macro="[0]!Historic_Data_Click">
                <anchor moveWithCells="1">
                  <from>
                    <xdr:col>2</xdr:col>
                    <xdr:colOff>571500</xdr:colOff>
                    <xdr:row>8</xdr:row>
                    <xdr:rowOff>0</xdr:rowOff>
                  </from>
                  <to>
                    <xdr:col>2</xdr:col>
                    <xdr:colOff>819150</xdr:colOff>
                    <xdr:row>11</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C00-000000000000}">
          <x14:formula1>
            <xm:f>IF(Setup!$I$17="Patients",'Control sheet (hide)'!$E$2,IF(Setup!$I$17="Minutes",'Control sheet (hide)'!$E$9:$E$10,'Control sheet (hide)'!$E$6:$E$7))</xm:f>
          </x14:formula1>
          <xm:sqref>C11</xm:sqref>
        </x14:dataValidation>
        <x14:dataValidation type="list" allowBlank="1" showInputMessage="1" showErrorMessage="1" xr:uid="{00000000-0002-0000-0C00-000001000000}">
          <x14:formula1>
            <xm:f>IF($N17&lt;&gt;"",'Control sheet (hide)'!$E$28:$E$29,'Control sheet (hide)'!$E$28)</xm:f>
          </x14:formula1>
          <xm:sqref>V17:V116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dimension ref="A2:S111"/>
  <sheetViews>
    <sheetView showGridLines="0" showRowColHeaders="0" workbookViewId="0"/>
  </sheetViews>
  <sheetFormatPr defaultColWidth="9" defaultRowHeight="14.25" x14ac:dyDescent="0.2"/>
  <cols>
    <col min="1" max="1" width="2.5" style="73" customWidth="1"/>
    <col min="2" max="2" width="40.625" style="73" customWidth="1"/>
    <col min="3" max="3" width="0.875" style="82" customWidth="1"/>
    <col min="4" max="5" width="10.875" style="73" customWidth="1"/>
    <col min="6" max="6" width="0.875" style="82" customWidth="1"/>
    <col min="7" max="8" width="10.875" style="73" customWidth="1"/>
    <col min="9" max="9" width="0.875" style="82" customWidth="1"/>
    <col min="10" max="11" width="10.875" style="73" customWidth="1"/>
    <col min="12" max="12" width="0.875" style="82" customWidth="1"/>
    <col min="13" max="14" width="10.875" style="73" customWidth="1"/>
    <col min="15" max="15" width="0.875" style="82" customWidth="1"/>
    <col min="16" max="17" width="10.875" style="73" customWidth="1"/>
    <col min="18" max="18" width="2.875" style="73" customWidth="1"/>
    <col min="19" max="16384" width="9" style="73"/>
  </cols>
  <sheetData>
    <row r="2" spans="1:19" ht="14.25" customHeight="1" x14ac:dyDescent="0.2">
      <c r="B2" s="109" t="s">
        <v>481</v>
      </c>
      <c r="C2" s="130"/>
      <c r="D2" s="130"/>
      <c r="E2" s="130"/>
      <c r="F2" s="112"/>
    </row>
    <row r="3" spans="1:19" x14ac:dyDescent="0.2">
      <c r="B3" s="141" t="s">
        <v>477</v>
      </c>
      <c r="C3" s="141"/>
      <c r="D3" s="276">
        <f ca="1">IF(Capacity!C3="",TODAY(),Capacity!C3)</f>
        <v>43586</v>
      </c>
      <c r="F3" s="113"/>
    </row>
    <row r="4" spans="1:19" x14ac:dyDescent="0.2">
      <c r="B4" s="141" t="s">
        <v>440</v>
      </c>
      <c r="C4" s="141"/>
      <c r="D4" s="277">
        <f>IF(Capacity!C4="",DATE(YEAR(D3)+1,MONTH(D3),DAY(D3))-1,Capacity!C4)</f>
        <v>43951</v>
      </c>
      <c r="F4" s="113"/>
    </row>
    <row r="6" spans="1:19" ht="15" customHeight="1" x14ac:dyDescent="0.2">
      <c r="C6" s="110"/>
      <c r="D6" s="108"/>
      <c r="E6" s="108"/>
      <c r="F6" s="110"/>
      <c r="G6" s="108"/>
      <c r="H6" s="108"/>
      <c r="I6" s="110"/>
      <c r="J6" s="108"/>
      <c r="K6" s="108"/>
      <c r="L6" s="110"/>
      <c r="M6" s="108"/>
      <c r="N6" s="108"/>
      <c r="O6" s="110"/>
      <c r="P6" s="108"/>
      <c r="Q6" s="108"/>
      <c r="R6" s="78"/>
      <c r="S6" s="79"/>
    </row>
    <row r="7" spans="1:19" ht="14.25" customHeight="1" x14ac:dyDescent="0.2">
      <c r="B7" s="108"/>
      <c r="C7" s="110"/>
      <c r="D7" s="108"/>
      <c r="E7" s="108"/>
      <c r="F7" s="110"/>
      <c r="G7" s="108"/>
      <c r="H7" s="108"/>
      <c r="I7" s="110"/>
      <c r="J7" s="108"/>
      <c r="K7" s="108"/>
      <c r="L7" s="110"/>
      <c r="M7" s="108"/>
      <c r="N7" s="108"/>
      <c r="O7" s="110"/>
      <c r="P7" s="108"/>
      <c r="Q7" s="108"/>
      <c r="R7" s="78"/>
      <c r="S7" s="79"/>
    </row>
    <row r="8" spans="1:19" ht="15" x14ac:dyDescent="0.2">
      <c r="C8" s="111"/>
      <c r="D8" s="359" t="s">
        <v>478</v>
      </c>
      <c r="E8" s="359"/>
      <c r="F8" s="359"/>
      <c r="G8" s="359"/>
      <c r="H8" s="359"/>
      <c r="I8" s="359"/>
      <c r="J8" s="359"/>
      <c r="K8" s="359"/>
      <c r="L8" s="110"/>
      <c r="M8" s="108"/>
      <c r="N8" s="108"/>
      <c r="O8" s="110"/>
      <c r="P8" s="108"/>
      <c r="Q8" s="108"/>
      <c r="S8" s="79"/>
    </row>
    <row r="10" spans="1:19" x14ac:dyDescent="0.2">
      <c r="D10" s="358" t="s">
        <v>447</v>
      </c>
      <c r="E10" s="358"/>
      <c r="F10" s="114"/>
      <c r="G10" s="357" t="s">
        <v>448</v>
      </c>
      <c r="H10" s="357"/>
      <c r="I10" s="114"/>
      <c r="J10" s="358" t="s">
        <v>449</v>
      </c>
      <c r="K10" s="358"/>
      <c r="L10" s="114"/>
      <c r="M10" s="357" t="s">
        <v>450</v>
      </c>
      <c r="N10" s="357"/>
      <c r="O10" s="114"/>
      <c r="P10" s="358" t="s">
        <v>451</v>
      </c>
      <c r="Q10" s="358"/>
    </row>
    <row r="11" spans="1:19" x14ac:dyDescent="0.2">
      <c r="A11" s="75">
        <f>MAX(A12:A111)</f>
        <v>5</v>
      </c>
      <c r="B11" s="116" t="s">
        <v>955</v>
      </c>
      <c r="C11" s="115"/>
      <c r="D11" s="125" t="s">
        <v>150</v>
      </c>
      <c r="E11" s="125" t="s">
        <v>151</v>
      </c>
      <c r="F11" s="114"/>
      <c r="G11" s="126" t="s">
        <v>150</v>
      </c>
      <c r="H11" s="126" t="s">
        <v>151</v>
      </c>
      <c r="I11" s="114"/>
      <c r="J11" s="125" t="s">
        <v>150</v>
      </c>
      <c r="K11" s="125" t="s">
        <v>151</v>
      </c>
      <c r="L11" s="114"/>
      <c r="M11" s="126" t="s">
        <v>150</v>
      </c>
      <c r="N11" s="126" t="s">
        <v>151</v>
      </c>
      <c r="O11" s="114"/>
      <c r="P11" s="125" t="s">
        <v>150</v>
      </c>
      <c r="Q11" s="125" t="s">
        <v>151</v>
      </c>
    </row>
    <row r="12" spans="1:19" x14ac:dyDescent="0.2">
      <c r="A12" s="75">
        <f>IF(B12="",0,ROW(A1))</f>
        <v>1</v>
      </c>
      <c r="B12" s="173" t="s">
        <v>1207</v>
      </c>
      <c r="D12" s="175">
        <v>43584</v>
      </c>
      <c r="E12" s="175">
        <v>43597</v>
      </c>
      <c r="F12" s="113"/>
      <c r="G12" s="175">
        <v>43598</v>
      </c>
      <c r="H12" s="175">
        <v>43618</v>
      </c>
      <c r="I12" s="113"/>
      <c r="J12" s="175">
        <v>43724</v>
      </c>
      <c r="K12" s="175">
        <v>43751</v>
      </c>
      <c r="L12" s="113"/>
      <c r="M12" s="175">
        <v>43864</v>
      </c>
      <c r="N12" s="175">
        <v>43870</v>
      </c>
      <c r="O12" s="113"/>
      <c r="P12" s="175"/>
      <c r="Q12" s="175"/>
    </row>
    <row r="13" spans="1:19" x14ac:dyDescent="0.2">
      <c r="A13" s="75">
        <f t="shared" ref="A13:A76" si="0">IF(B13="",0,ROW(A2))</f>
        <v>2</v>
      </c>
      <c r="B13" s="174" t="s">
        <v>1208</v>
      </c>
      <c r="D13" s="176">
        <v>43815</v>
      </c>
      <c r="E13" s="176">
        <v>43849</v>
      </c>
      <c r="F13" s="113"/>
      <c r="G13" s="176"/>
      <c r="H13" s="176"/>
      <c r="J13" s="176"/>
      <c r="K13" s="176"/>
      <c r="M13" s="176"/>
      <c r="N13" s="176"/>
      <c r="P13" s="176"/>
      <c r="Q13" s="176"/>
    </row>
    <row r="14" spans="1:19" x14ac:dyDescent="0.2">
      <c r="A14" s="75">
        <f t="shared" si="0"/>
        <v>3</v>
      </c>
      <c r="B14" s="174" t="s">
        <v>1209</v>
      </c>
      <c r="D14" s="176">
        <v>43682</v>
      </c>
      <c r="E14" s="176">
        <v>43723</v>
      </c>
      <c r="F14" s="113"/>
      <c r="G14" s="176"/>
      <c r="H14" s="176"/>
      <c r="J14" s="176"/>
      <c r="K14" s="176"/>
      <c r="M14" s="176"/>
      <c r="N14" s="176"/>
      <c r="P14" s="176"/>
      <c r="Q14" s="176"/>
    </row>
    <row r="15" spans="1:19" x14ac:dyDescent="0.2">
      <c r="A15" s="75">
        <f t="shared" si="0"/>
        <v>4</v>
      </c>
      <c r="B15" s="174" t="s">
        <v>1210</v>
      </c>
      <c r="D15" s="176"/>
      <c r="E15" s="176"/>
      <c r="G15" s="176"/>
      <c r="H15" s="176"/>
      <c r="J15" s="176"/>
      <c r="K15" s="176"/>
      <c r="M15" s="176"/>
      <c r="N15" s="176"/>
      <c r="P15" s="176"/>
      <c r="Q15" s="176"/>
    </row>
    <row r="16" spans="1:19" x14ac:dyDescent="0.2">
      <c r="A16" s="75">
        <f t="shared" si="0"/>
        <v>5</v>
      </c>
      <c r="B16" s="174" t="s">
        <v>1211</v>
      </c>
      <c r="D16" s="176"/>
      <c r="E16" s="176"/>
      <c r="G16" s="176"/>
      <c r="H16" s="176"/>
      <c r="J16" s="176"/>
      <c r="K16" s="176"/>
      <c r="M16" s="176"/>
      <c r="N16" s="176"/>
      <c r="P16" s="176"/>
      <c r="Q16" s="176"/>
    </row>
    <row r="17" spans="1:17" x14ac:dyDescent="0.2">
      <c r="A17" s="75">
        <f t="shared" si="0"/>
        <v>0</v>
      </c>
      <c r="B17" s="174"/>
      <c r="D17" s="176"/>
      <c r="E17" s="176"/>
      <c r="G17" s="176"/>
      <c r="H17" s="176"/>
      <c r="J17" s="176"/>
      <c r="K17" s="176"/>
      <c r="M17" s="176"/>
      <c r="N17" s="176"/>
      <c r="P17" s="176"/>
      <c r="Q17" s="176"/>
    </row>
    <row r="18" spans="1:17" x14ac:dyDescent="0.2">
      <c r="A18" s="75">
        <f t="shared" si="0"/>
        <v>0</v>
      </c>
      <c r="B18" s="174"/>
      <c r="D18" s="176"/>
      <c r="E18" s="176"/>
      <c r="G18" s="176"/>
      <c r="H18" s="176"/>
      <c r="J18" s="176"/>
      <c r="K18" s="176"/>
      <c r="M18" s="176"/>
      <c r="N18" s="176"/>
      <c r="P18" s="176"/>
      <c r="Q18" s="176"/>
    </row>
    <row r="19" spans="1:17" x14ac:dyDescent="0.2">
      <c r="A19" s="75">
        <f t="shared" si="0"/>
        <v>0</v>
      </c>
      <c r="B19" s="174"/>
      <c r="D19" s="176"/>
      <c r="E19" s="176"/>
      <c r="G19" s="176"/>
      <c r="H19" s="176"/>
      <c r="J19" s="176"/>
      <c r="K19" s="176"/>
      <c r="M19" s="176"/>
      <c r="N19" s="176"/>
      <c r="P19" s="176"/>
      <c r="Q19" s="176"/>
    </row>
    <row r="20" spans="1:17" x14ac:dyDescent="0.2">
      <c r="A20" s="75">
        <f t="shared" si="0"/>
        <v>0</v>
      </c>
      <c r="B20" s="174"/>
      <c r="D20" s="176"/>
      <c r="E20" s="176"/>
      <c r="G20" s="176"/>
      <c r="H20" s="176"/>
      <c r="J20" s="176"/>
      <c r="K20" s="176"/>
      <c r="M20" s="176"/>
      <c r="N20" s="176"/>
      <c r="P20" s="176"/>
      <c r="Q20" s="176"/>
    </row>
    <row r="21" spans="1:17" x14ac:dyDescent="0.2">
      <c r="A21" s="75">
        <f t="shared" si="0"/>
        <v>0</v>
      </c>
      <c r="B21" s="174"/>
      <c r="D21" s="176"/>
      <c r="E21" s="176"/>
      <c r="G21" s="176"/>
      <c r="H21" s="176"/>
      <c r="J21" s="176"/>
      <c r="K21" s="176"/>
      <c r="M21" s="176"/>
      <c r="N21" s="176"/>
      <c r="P21" s="176"/>
      <c r="Q21" s="176"/>
    </row>
    <row r="22" spans="1:17" x14ac:dyDescent="0.2">
      <c r="A22" s="75">
        <f t="shared" si="0"/>
        <v>0</v>
      </c>
      <c r="B22" s="174"/>
      <c r="D22" s="176"/>
      <c r="E22" s="176"/>
      <c r="G22" s="176"/>
      <c r="H22" s="176"/>
      <c r="J22" s="176"/>
      <c r="K22" s="176"/>
      <c r="M22" s="176"/>
      <c r="N22" s="176"/>
      <c r="P22" s="176"/>
      <c r="Q22" s="176"/>
    </row>
    <row r="23" spans="1:17" x14ac:dyDescent="0.2">
      <c r="A23" s="75">
        <f t="shared" si="0"/>
        <v>0</v>
      </c>
      <c r="B23" s="174"/>
      <c r="D23" s="176"/>
      <c r="E23" s="176"/>
      <c r="G23" s="176"/>
      <c r="H23" s="176"/>
      <c r="J23" s="176"/>
      <c r="K23" s="176"/>
      <c r="M23" s="176"/>
      <c r="N23" s="176"/>
      <c r="P23" s="176"/>
      <c r="Q23" s="176"/>
    </row>
    <row r="24" spans="1:17" x14ac:dyDescent="0.2">
      <c r="A24" s="75">
        <f t="shared" si="0"/>
        <v>0</v>
      </c>
      <c r="B24" s="174"/>
      <c r="D24" s="176"/>
      <c r="E24" s="176"/>
      <c r="G24" s="176"/>
      <c r="H24" s="176"/>
      <c r="J24" s="176"/>
      <c r="K24" s="176"/>
      <c r="M24" s="176"/>
      <c r="N24" s="176"/>
      <c r="P24" s="176"/>
      <c r="Q24" s="176"/>
    </row>
    <row r="25" spans="1:17" x14ac:dyDescent="0.2">
      <c r="A25" s="75">
        <f t="shared" si="0"/>
        <v>0</v>
      </c>
      <c r="B25" s="174"/>
      <c r="D25" s="176"/>
      <c r="E25" s="176"/>
      <c r="G25" s="176"/>
      <c r="H25" s="176"/>
      <c r="J25" s="176"/>
      <c r="K25" s="176"/>
      <c r="M25" s="176"/>
      <c r="N25" s="176"/>
      <c r="P25" s="176"/>
      <c r="Q25" s="176"/>
    </row>
    <row r="26" spans="1:17" x14ac:dyDescent="0.2">
      <c r="A26" s="75">
        <f t="shared" si="0"/>
        <v>0</v>
      </c>
      <c r="B26" s="174"/>
      <c r="D26" s="176"/>
      <c r="E26" s="176"/>
      <c r="G26" s="176"/>
      <c r="H26" s="176"/>
      <c r="J26" s="176"/>
      <c r="K26" s="176"/>
      <c r="M26" s="176"/>
      <c r="N26" s="176"/>
      <c r="P26" s="176"/>
      <c r="Q26" s="176"/>
    </row>
    <row r="27" spans="1:17" x14ac:dyDescent="0.2">
      <c r="A27" s="75">
        <f t="shared" si="0"/>
        <v>0</v>
      </c>
      <c r="B27" s="174"/>
      <c r="D27" s="176"/>
      <c r="E27" s="176"/>
      <c r="G27" s="176"/>
      <c r="H27" s="176"/>
      <c r="J27" s="176"/>
      <c r="K27" s="176"/>
      <c r="M27" s="176"/>
      <c r="N27" s="176"/>
      <c r="P27" s="176"/>
      <c r="Q27" s="176"/>
    </row>
    <row r="28" spans="1:17" x14ac:dyDescent="0.2">
      <c r="A28" s="75">
        <f t="shared" si="0"/>
        <v>0</v>
      </c>
      <c r="B28" s="174"/>
      <c r="D28" s="176"/>
      <c r="E28" s="176"/>
      <c r="G28" s="176"/>
      <c r="H28" s="176"/>
      <c r="J28" s="176"/>
      <c r="K28" s="176"/>
      <c r="M28" s="176"/>
      <c r="N28" s="176"/>
      <c r="P28" s="176"/>
      <c r="Q28" s="176"/>
    </row>
    <row r="29" spans="1:17" x14ac:dyDescent="0.2">
      <c r="A29" s="75">
        <f t="shared" si="0"/>
        <v>0</v>
      </c>
      <c r="B29" s="174"/>
      <c r="D29" s="176"/>
      <c r="E29" s="176"/>
      <c r="G29" s="176"/>
      <c r="H29" s="176"/>
      <c r="J29" s="176"/>
      <c r="K29" s="176"/>
      <c r="M29" s="176"/>
      <c r="N29" s="176"/>
      <c r="P29" s="176"/>
      <c r="Q29" s="176"/>
    </row>
    <row r="30" spans="1:17" x14ac:dyDescent="0.2">
      <c r="A30" s="75">
        <f t="shared" si="0"/>
        <v>0</v>
      </c>
      <c r="B30" s="174"/>
      <c r="D30" s="176"/>
      <c r="E30" s="176"/>
      <c r="G30" s="176"/>
      <c r="H30" s="176"/>
      <c r="J30" s="176"/>
      <c r="K30" s="176"/>
      <c r="M30" s="176"/>
      <c r="N30" s="176"/>
      <c r="P30" s="176"/>
      <c r="Q30" s="176"/>
    </row>
    <row r="31" spans="1:17" x14ac:dyDescent="0.2">
      <c r="A31" s="75">
        <f t="shared" si="0"/>
        <v>0</v>
      </c>
      <c r="B31" s="174"/>
      <c r="D31" s="176"/>
      <c r="E31" s="176"/>
      <c r="G31" s="176"/>
      <c r="H31" s="176"/>
      <c r="J31" s="176"/>
      <c r="K31" s="176"/>
      <c r="M31" s="176"/>
      <c r="N31" s="176"/>
      <c r="P31" s="176"/>
      <c r="Q31" s="176"/>
    </row>
    <row r="32" spans="1:17" x14ac:dyDescent="0.2">
      <c r="A32" s="75">
        <f t="shared" si="0"/>
        <v>0</v>
      </c>
      <c r="B32" s="174"/>
      <c r="D32" s="176"/>
      <c r="E32" s="176"/>
      <c r="G32" s="176"/>
      <c r="H32" s="176"/>
      <c r="J32" s="176"/>
      <c r="K32" s="176"/>
      <c r="M32" s="176"/>
      <c r="N32" s="176"/>
      <c r="P32" s="176"/>
      <c r="Q32" s="176"/>
    </row>
    <row r="33" spans="1:17" x14ac:dyDescent="0.2">
      <c r="A33" s="75">
        <f t="shared" si="0"/>
        <v>0</v>
      </c>
      <c r="B33" s="174"/>
      <c r="D33" s="176"/>
      <c r="E33" s="176"/>
      <c r="G33" s="176"/>
      <c r="H33" s="176"/>
      <c r="J33" s="176"/>
      <c r="K33" s="176"/>
      <c r="M33" s="176"/>
      <c r="N33" s="176"/>
      <c r="P33" s="176"/>
      <c r="Q33" s="176"/>
    </row>
    <row r="34" spans="1:17" x14ac:dyDescent="0.2">
      <c r="A34" s="75">
        <f t="shared" si="0"/>
        <v>0</v>
      </c>
      <c r="B34" s="174"/>
      <c r="D34" s="176"/>
      <c r="E34" s="176"/>
      <c r="G34" s="176"/>
      <c r="H34" s="176"/>
      <c r="J34" s="176"/>
      <c r="K34" s="176"/>
      <c r="M34" s="176"/>
      <c r="N34" s="176"/>
      <c r="P34" s="176"/>
      <c r="Q34" s="176"/>
    </row>
    <row r="35" spans="1:17" x14ac:dyDescent="0.2">
      <c r="A35" s="75">
        <f t="shared" si="0"/>
        <v>0</v>
      </c>
      <c r="B35" s="174"/>
      <c r="D35" s="176"/>
      <c r="E35" s="176"/>
      <c r="G35" s="176"/>
      <c r="H35" s="176"/>
      <c r="J35" s="176"/>
      <c r="K35" s="176"/>
      <c r="M35" s="176"/>
      <c r="N35" s="176"/>
      <c r="P35" s="176"/>
      <c r="Q35" s="176"/>
    </row>
    <row r="36" spans="1:17" x14ac:dyDescent="0.2">
      <c r="A36" s="75">
        <f t="shared" si="0"/>
        <v>0</v>
      </c>
      <c r="B36" s="174"/>
      <c r="D36" s="176"/>
      <c r="E36" s="176"/>
      <c r="G36" s="176"/>
      <c r="H36" s="176"/>
      <c r="J36" s="176"/>
      <c r="K36" s="176"/>
      <c r="M36" s="176"/>
      <c r="N36" s="176"/>
      <c r="P36" s="176"/>
      <c r="Q36" s="176"/>
    </row>
    <row r="37" spans="1:17" x14ac:dyDescent="0.2">
      <c r="A37" s="75">
        <f t="shared" si="0"/>
        <v>0</v>
      </c>
      <c r="B37" s="174"/>
      <c r="D37" s="176"/>
      <c r="E37" s="176"/>
      <c r="G37" s="176"/>
      <c r="H37" s="176"/>
      <c r="J37" s="176"/>
      <c r="K37" s="176"/>
      <c r="M37" s="176"/>
      <c r="N37" s="176"/>
      <c r="P37" s="176"/>
      <c r="Q37" s="176"/>
    </row>
    <row r="38" spans="1:17" x14ac:dyDescent="0.2">
      <c r="A38" s="75">
        <f t="shared" si="0"/>
        <v>0</v>
      </c>
      <c r="B38" s="174"/>
      <c r="D38" s="176"/>
      <c r="E38" s="176"/>
      <c r="G38" s="176"/>
      <c r="H38" s="176"/>
      <c r="J38" s="176"/>
      <c r="K38" s="176"/>
      <c r="M38" s="176"/>
      <c r="N38" s="176"/>
      <c r="P38" s="176"/>
      <c r="Q38" s="176"/>
    </row>
    <row r="39" spans="1:17" x14ac:dyDescent="0.2">
      <c r="A39" s="75">
        <f t="shared" si="0"/>
        <v>0</v>
      </c>
      <c r="B39" s="174"/>
      <c r="D39" s="176"/>
      <c r="E39" s="176"/>
      <c r="G39" s="176"/>
      <c r="H39" s="176"/>
      <c r="J39" s="176"/>
      <c r="K39" s="176"/>
      <c r="M39" s="176"/>
      <c r="N39" s="176"/>
      <c r="P39" s="176"/>
      <c r="Q39" s="176"/>
    </row>
    <row r="40" spans="1:17" x14ac:dyDescent="0.2">
      <c r="A40" s="75">
        <f t="shared" si="0"/>
        <v>0</v>
      </c>
      <c r="B40" s="174"/>
      <c r="D40" s="176"/>
      <c r="E40" s="176"/>
      <c r="G40" s="176"/>
      <c r="H40" s="176"/>
      <c r="J40" s="176"/>
      <c r="K40" s="176"/>
      <c r="M40" s="176"/>
      <c r="N40" s="176"/>
      <c r="P40" s="176"/>
      <c r="Q40" s="176"/>
    </row>
    <row r="41" spans="1:17" x14ac:dyDescent="0.2">
      <c r="A41" s="75">
        <f t="shared" si="0"/>
        <v>0</v>
      </c>
      <c r="B41" s="174"/>
      <c r="D41" s="176"/>
      <c r="E41" s="176"/>
      <c r="G41" s="176"/>
      <c r="H41" s="176"/>
      <c r="J41" s="176"/>
      <c r="K41" s="176"/>
      <c r="M41" s="176"/>
      <c r="N41" s="176"/>
      <c r="P41" s="176"/>
      <c r="Q41" s="176"/>
    </row>
    <row r="42" spans="1:17" x14ac:dyDescent="0.2">
      <c r="A42" s="75">
        <f t="shared" si="0"/>
        <v>0</v>
      </c>
      <c r="B42" s="174"/>
      <c r="D42" s="176"/>
      <c r="E42" s="176"/>
      <c r="G42" s="176"/>
      <c r="H42" s="176"/>
      <c r="J42" s="176"/>
      <c r="K42" s="176"/>
      <c r="M42" s="176"/>
      <c r="N42" s="176"/>
      <c r="P42" s="176"/>
      <c r="Q42" s="176"/>
    </row>
    <row r="43" spans="1:17" x14ac:dyDescent="0.2">
      <c r="A43" s="75">
        <f t="shared" si="0"/>
        <v>0</v>
      </c>
      <c r="B43" s="174"/>
      <c r="D43" s="176"/>
      <c r="E43" s="176"/>
      <c r="G43" s="176"/>
      <c r="H43" s="176"/>
      <c r="J43" s="176"/>
      <c r="K43" s="176"/>
      <c r="M43" s="176"/>
      <c r="N43" s="176"/>
      <c r="P43" s="176"/>
      <c r="Q43" s="176"/>
    </row>
    <row r="44" spans="1:17" x14ac:dyDescent="0.2">
      <c r="A44" s="75">
        <f t="shared" si="0"/>
        <v>0</v>
      </c>
      <c r="B44" s="174"/>
      <c r="D44" s="176"/>
      <c r="E44" s="176"/>
      <c r="G44" s="176"/>
      <c r="H44" s="176"/>
      <c r="J44" s="176"/>
      <c r="K44" s="176"/>
      <c r="M44" s="176"/>
      <c r="N44" s="176"/>
      <c r="P44" s="176"/>
      <c r="Q44" s="176"/>
    </row>
    <row r="45" spans="1:17" x14ac:dyDescent="0.2">
      <c r="A45" s="75">
        <f t="shared" si="0"/>
        <v>0</v>
      </c>
      <c r="B45" s="174"/>
      <c r="D45" s="176"/>
      <c r="E45" s="176"/>
      <c r="G45" s="176"/>
      <c r="H45" s="176"/>
      <c r="J45" s="176"/>
      <c r="K45" s="176"/>
      <c r="M45" s="176"/>
      <c r="N45" s="176"/>
      <c r="P45" s="176"/>
      <c r="Q45" s="176"/>
    </row>
    <row r="46" spans="1:17" x14ac:dyDescent="0.2">
      <c r="A46" s="75">
        <f t="shared" si="0"/>
        <v>0</v>
      </c>
      <c r="B46" s="174"/>
      <c r="D46" s="176"/>
      <c r="E46" s="176"/>
      <c r="G46" s="176"/>
      <c r="H46" s="176"/>
      <c r="J46" s="176"/>
      <c r="K46" s="176"/>
      <c r="M46" s="176"/>
      <c r="N46" s="176"/>
      <c r="P46" s="176"/>
      <c r="Q46" s="176"/>
    </row>
    <row r="47" spans="1:17" x14ac:dyDescent="0.2">
      <c r="A47" s="75">
        <f t="shared" si="0"/>
        <v>0</v>
      </c>
      <c r="B47" s="174"/>
      <c r="D47" s="176"/>
      <c r="E47" s="176"/>
      <c r="G47" s="176"/>
      <c r="H47" s="176"/>
      <c r="J47" s="176"/>
      <c r="K47" s="176"/>
      <c r="M47" s="176"/>
      <c r="N47" s="176"/>
      <c r="P47" s="176"/>
      <c r="Q47" s="176"/>
    </row>
    <row r="48" spans="1:17" x14ac:dyDescent="0.2">
      <c r="A48" s="75">
        <f t="shared" si="0"/>
        <v>0</v>
      </c>
      <c r="B48" s="174"/>
      <c r="D48" s="176"/>
      <c r="E48" s="176"/>
      <c r="G48" s="176"/>
      <c r="H48" s="176"/>
      <c r="J48" s="176"/>
      <c r="K48" s="176"/>
      <c r="M48" s="176"/>
      <c r="N48" s="176"/>
      <c r="P48" s="176"/>
      <c r="Q48" s="176"/>
    </row>
    <row r="49" spans="1:17" x14ac:dyDescent="0.2">
      <c r="A49" s="75">
        <f t="shared" si="0"/>
        <v>0</v>
      </c>
      <c r="B49" s="174"/>
      <c r="D49" s="176"/>
      <c r="E49" s="176"/>
      <c r="G49" s="176"/>
      <c r="H49" s="176"/>
      <c r="J49" s="176"/>
      <c r="K49" s="176"/>
      <c r="M49" s="176"/>
      <c r="N49" s="176"/>
      <c r="P49" s="176"/>
      <c r="Q49" s="176"/>
    </row>
    <row r="50" spans="1:17" x14ac:dyDescent="0.2">
      <c r="A50" s="75">
        <f t="shared" si="0"/>
        <v>0</v>
      </c>
      <c r="B50" s="174"/>
      <c r="D50" s="176"/>
      <c r="E50" s="176"/>
      <c r="G50" s="176"/>
      <c r="H50" s="176"/>
      <c r="J50" s="176"/>
      <c r="K50" s="176"/>
      <c r="M50" s="176"/>
      <c r="N50" s="176"/>
      <c r="P50" s="176"/>
      <c r="Q50" s="176"/>
    </row>
    <row r="51" spans="1:17" x14ac:dyDescent="0.2">
      <c r="A51" s="75">
        <f t="shared" si="0"/>
        <v>0</v>
      </c>
      <c r="B51" s="174"/>
      <c r="D51" s="176"/>
      <c r="E51" s="176"/>
      <c r="G51" s="176"/>
      <c r="H51" s="176"/>
      <c r="J51" s="176"/>
      <c r="K51" s="176"/>
      <c r="M51" s="176"/>
      <c r="N51" s="176"/>
      <c r="P51" s="176"/>
      <c r="Q51" s="176"/>
    </row>
    <row r="52" spans="1:17" x14ac:dyDescent="0.2">
      <c r="A52" s="75">
        <f t="shared" si="0"/>
        <v>0</v>
      </c>
      <c r="B52" s="174"/>
      <c r="D52" s="176"/>
      <c r="E52" s="176"/>
      <c r="G52" s="176"/>
      <c r="H52" s="176"/>
      <c r="J52" s="176"/>
      <c r="K52" s="176"/>
      <c r="M52" s="176"/>
      <c r="N52" s="176"/>
      <c r="P52" s="176"/>
      <c r="Q52" s="176"/>
    </row>
    <row r="53" spans="1:17" x14ac:dyDescent="0.2">
      <c r="A53" s="75">
        <f t="shared" si="0"/>
        <v>0</v>
      </c>
      <c r="B53" s="174"/>
      <c r="D53" s="176"/>
      <c r="E53" s="176"/>
      <c r="G53" s="176"/>
      <c r="H53" s="176"/>
      <c r="J53" s="176"/>
      <c r="K53" s="176"/>
      <c r="M53" s="176"/>
      <c r="N53" s="176"/>
      <c r="P53" s="176"/>
      <c r="Q53" s="176"/>
    </row>
    <row r="54" spans="1:17" x14ac:dyDescent="0.2">
      <c r="A54" s="75">
        <f t="shared" si="0"/>
        <v>0</v>
      </c>
      <c r="B54" s="174"/>
      <c r="D54" s="176"/>
      <c r="E54" s="176"/>
      <c r="G54" s="176"/>
      <c r="H54" s="176"/>
      <c r="J54" s="176"/>
      <c r="K54" s="176"/>
      <c r="M54" s="176"/>
      <c r="N54" s="176"/>
      <c r="P54" s="176"/>
      <c r="Q54" s="176"/>
    </row>
    <row r="55" spans="1:17" x14ac:dyDescent="0.2">
      <c r="A55" s="75">
        <f t="shared" si="0"/>
        <v>0</v>
      </c>
      <c r="B55" s="174"/>
      <c r="D55" s="176"/>
      <c r="E55" s="176"/>
      <c r="G55" s="176"/>
      <c r="H55" s="176"/>
      <c r="J55" s="176"/>
      <c r="K55" s="176"/>
      <c r="M55" s="176"/>
      <c r="N55" s="176"/>
      <c r="P55" s="176"/>
      <c r="Q55" s="176"/>
    </row>
    <row r="56" spans="1:17" x14ac:dyDescent="0.2">
      <c r="A56" s="75">
        <f t="shared" si="0"/>
        <v>0</v>
      </c>
      <c r="B56" s="174"/>
      <c r="D56" s="176"/>
      <c r="E56" s="176"/>
      <c r="G56" s="176"/>
      <c r="H56" s="176"/>
      <c r="J56" s="176"/>
      <c r="K56" s="176"/>
      <c r="M56" s="176"/>
      <c r="N56" s="176"/>
      <c r="P56" s="176"/>
      <c r="Q56" s="176"/>
    </row>
    <row r="57" spans="1:17" x14ac:dyDescent="0.2">
      <c r="A57" s="75">
        <f t="shared" si="0"/>
        <v>0</v>
      </c>
      <c r="B57" s="174"/>
      <c r="D57" s="176"/>
      <c r="E57" s="176"/>
      <c r="G57" s="176"/>
      <c r="H57" s="176"/>
      <c r="J57" s="176"/>
      <c r="K57" s="176"/>
      <c r="M57" s="176"/>
      <c r="N57" s="176"/>
      <c r="P57" s="176"/>
      <c r="Q57" s="176"/>
    </row>
    <row r="58" spans="1:17" x14ac:dyDescent="0.2">
      <c r="A58" s="75">
        <f t="shared" si="0"/>
        <v>0</v>
      </c>
      <c r="B58" s="174"/>
      <c r="D58" s="176"/>
      <c r="E58" s="176"/>
      <c r="G58" s="176"/>
      <c r="H58" s="176"/>
      <c r="J58" s="176"/>
      <c r="K58" s="176"/>
      <c r="M58" s="176"/>
      <c r="N58" s="176"/>
      <c r="P58" s="176"/>
      <c r="Q58" s="176"/>
    </row>
    <row r="59" spans="1:17" x14ac:dyDescent="0.2">
      <c r="A59" s="75">
        <f t="shared" si="0"/>
        <v>0</v>
      </c>
      <c r="B59" s="174"/>
      <c r="D59" s="176"/>
      <c r="E59" s="176"/>
      <c r="G59" s="176"/>
      <c r="H59" s="176"/>
      <c r="J59" s="176"/>
      <c r="K59" s="176"/>
      <c r="M59" s="176"/>
      <c r="N59" s="176"/>
      <c r="P59" s="176"/>
      <c r="Q59" s="176"/>
    </row>
    <row r="60" spans="1:17" x14ac:dyDescent="0.2">
      <c r="A60" s="75">
        <f t="shared" si="0"/>
        <v>0</v>
      </c>
      <c r="B60" s="174"/>
      <c r="D60" s="176"/>
      <c r="E60" s="176"/>
      <c r="G60" s="176"/>
      <c r="H60" s="176"/>
      <c r="J60" s="176"/>
      <c r="K60" s="176"/>
      <c r="M60" s="176"/>
      <c r="N60" s="176"/>
      <c r="P60" s="176"/>
      <c r="Q60" s="176"/>
    </row>
    <row r="61" spans="1:17" x14ac:dyDescent="0.2">
      <c r="A61" s="75">
        <f t="shared" si="0"/>
        <v>0</v>
      </c>
      <c r="B61" s="174"/>
      <c r="D61" s="176"/>
      <c r="E61" s="176"/>
      <c r="G61" s="176"/>
      <c r="H61" s="176"/>
      <c r="J61" s="176"/>
      <c r="K61" s="176"/>
      <c r="M61" s="176"/>
      <c r="N61" s="176"/>
      <c r="P61" s="176"/>
      <c r="Q61" s="176"/>
    </row>
    <row r="62" spans="1:17" x14ac:dyDescent="0.2">
      <c r="A62" s="75">
        <f t="shared" si="0"/>
        <v>0</v>
      </c>
      <c r="B62" s="174"/>
      <c r="D62" s="176"/>
      <c r="E62" s="176"/>
      <c r="G62" s="176"/>
      <c r="H62" s="176"/>
      <c r="J62" s="176"/>
      <c r="K62" s="176"/>
      <c r="M62" s="176"/>
      <c r="N62" s="176"/>
      <c r="P62" s="176"/>
      <c r="Q62" s="176"/>
    </row>
    <row r="63" spans="1:17" x14ac:dyDescent="0.2">
      <c r="A63" s="75">
        <f t="shared" si="0"/>
        <v>0</v>
      </c>
      <c r="B63" s="174"/>
      <c r="D63" s="176"/>
      <c r="E63" s="176"/>
      <c r="G63" s="176"/>
      <c r="H63" s="176"/>
      <c r="J63" s="176"/>
      <c r="K63" s="176"/>
      <c r="M63" s="176"/>
      <c r="N63" s="176"/>
      <c r="P63" s="176"/>
      <c r="Q63" s="176"/>
    </row>
    <row r="64" spans="1:17" x14ac:dyDescent="0.2">
      <c r="A64" s="75">
        <f t="shared" si="0"/>
        <v>0</v>
      </c>
      <c r="B64" s="174"/>
      <c r="D64" s="176"/>
      <c r="E64" s="176"/>
      <c r="G64" s="176"/>
      <c r="H64" s="176"/>
      <c r="J64" s="176"/>
      <c r="K64" s="176"/>
      <c r="M64" s="176"/>
      <c r="N64" s="176"/>
      <c r="P64" s="176"/>
      <c r="Q64" s="176"/>
    </row>
    <row r="65" spans="1:17" x14ac:dyDescent="0.2">
      <c r="A65" s="75">
        <f t="shared" si="0"/>
        <v>0</v>
      </c>
      <c r="B65" s="174"/>
      <c r="D65" s="176"/>
      <c r="E65" s="176"/>
      <c r="G65" s="176"/>
      <c r="H65" s="176"/>
      <c r="J65" s="176"/>
      <c r="K65" s="176"/>
      <c r="M65" s="176"/>
      <c r="N65" s="176"/>
      <c r="P65" s="176"/>
      <c r="Q65" s="176"/>
    </row>
    <row r="66" spans="1:17" x14ac:dyDescent="0.2">
      <c r="A66" s="75">
        <f t="shared" si="0"/>
        <v>0</v>
      </c>
      <c r="B66" s="174"/>
      <c r="D66" s="176"/>
      <c r="E66" s="176"/>
      <c r="G66" s="176"/>
      <c r="H66" s="176"/>
      <c r="J66" s="176"/>
      <c r="K66" s="176"/>
      <c r="M66" s="176"/>
      <c r="N66" s="176"/>
      <c r="P66" s="176"/>
      <c r="Q66" s="176"/>
    </row>
    <row r="67" spans="1:17" x14ac:dyDescent="0.2">
      <c r="A67" s="75">
        <f t="shared" si="0"/>
        <v>0</v>
      </c>
      <c r="B67" s="174"/>
      <c r="D67" s="176"/>
      <c r="E67" s="176"/>
      <c r="G67" s="176"/>
      <c r="H67" s="176"/>
      <c r="J67" s="176"/>
      <c r="K67" s="176"/>
      <c r="M67" s="176"/>
      <c r="N67" s="176"/>
      <c r="P67" s="176"/>
      <c r="Q67" s="176"/>
    </row>
    <row r="68" spans="1:17" x14ac:dyDescent="0.2">
      <c r="A68" s="75">
        <f t="shared" si="0"/>
        <v>0</v>
      </c>
      <c r="B68" s="174"/>
      <c r="D68" s="176"/>
      <c r="E68" s="176"/>
      <c r="G68" s="176"/>
      <c r="H68" s="176"/>
      <c r="J68" s="176"/>
      <c r="K68" s="176"/>
      <c r="M68" s="176"/>
      <c r="N68" s="176"/>
      <c r="P68" s="176"/>
      <c r="Q68" s="176"/>
    </row>
    <row r="69" spans="1:17" x14ac:dyDescent="0.2">
      <c r="A69" s="75">
        <f t="shared" si="0"/>
        <v>0</v>
      </c>
      <c r="B69" s="174"/>
      <c r="D69" s="176"/>
      <c r="E69" s="176"/>
      <c r="G69" s="176"/>
      <c r="H69" s="176"/>
      <c r="J69" s="176"/>
      <c r="K69" s="176"/>
      <c r="M69" s="176"/>
      <c r="N69" s="176"/>
      <c r="P69" s="176"/>
      <c r="Q69" s="176"/>
    </row>
    <row r="70" spans="1:17" x14ac:dyDescent="0.2">
      <c r="A70" s="75">
        <f t="shared" si="0"/>
        <v>0</v>
      </c>
      <c r="B70" s="174"/>
      <c r="D70" s="176"/>
      <c r="E70" s="176"/>
      <c r="G70" s="176"/>
      <c r="H70" s="176"/>
      <c r="J70" s="176"/>
      <c r="K70" s="176"/>
      <c r="M70" s="176"/>
      <c r="N70" s="176"/>
      <c r="P70" s="176"/>
      <c r="Q70" s="176"/>
    </row>
    <row r="71" spans="1:17" x14ac:dyDescent="0.2">
      <c r="A71" s="75">
        <f t="shared" si="0"/>
        <v>0</v>
      </c>
      <c r="B71" s="174"/>
      <c r="D71" s="176"/>
      <c r="E71" s="176"/>
      <c r="G71" s="176"/>
      <c r="H71" s="176"/>
      <c r="J71" s="176"/>
      <c r="K71" s="176"/>
      <c r="M71" s="176"/>
      <c r="N71" s="176"/>
      <c r="P71" s="176"/>
      <c r="Q71" s="176"/>
    </row>
    <row r="72" spans="1:17" x14ac:dyDescent="0.2">
      <c r="A72" s="75">
        <f t="shared" si="0"/>
        <v>0</v>
      </c>
      <c r="B72" s="174"/>
      <c r="D72" s="176"/>
      <c r="E72" s="176"/>
      <c r="G72" s="176"/>
      <c r="H72" s="176"/>
      <c r="J72" s="176"/>
      <c r="K72" s="176"/>
      <c r="M72" s="176"/>
      <c r="N72" s="176"/>
      <c r="P72" s="176"/>
      <c r="Q72" s="176"/>
    </row>
    <row r="73" spans="1:17" x14ac:dyDescent="0.2">
      <c r="A73" s="75">
        <f t="shared" si="0"/>
        <v>0</v>
      </c>
      <c r="B73" s="174"/>
      <c r="D73" s="176"/>
      <c r="E73" s="176"/>
      <c r="G73" s="176"/>
      <c r="H73" s="176"/>
      <c r="J73" s="176"/>
      <c r="K73" s="176"/>
      <c r="M73" s="176"/>
      <c r="N73" s="176"/>
      <c r="P73" s="176"/>
      <c r="Q73" s="176"/>
    </row>
    <row r="74" spans="1:17" x14ac:dyDescent="0.2">
      <c r="A74" s="75">
        <f t="shared" si="0"/>
        <v>0</v>
      </c>
      <c r="B74" s="174"/>
      <c r="D74" s="176"/>
      <c r="E74" s="176"/>
      <c r="G74" s="176"/>
      <c r="H74" s="176"/>
      <c r="J74" s="176"/>
      <c r="K74" s="176"/>
      <c r="M74" s="176"/>
      <c r="N74" s="176"/>
      <c r="P74" s="176"/>
      <c r="Q74" s="176"/>
    </row>
    <row r="75" spans="1:17" x14ac:dyDescent="0.2">
      <c r="A75" s="75">
        <f t="shared" si="0"/>
        <v>0</v>
      </c>
      <c r="B75" s="174"/>
      <c r="D75" s="176"/>
      <c r="E75" s="176"/>
      <c r="G75" s="176"/>
      <c r="H75" s="176"/>
      <c r="J75" s="176"/>
      <c r="K75" s="176"/>
      <c r="M75" s="176"/>
      <c r="N75" s="176"/>
      <c r="P75" s="176"/>
      <c r="Q75" s="176"/>
    </row>
    <row r="76" spans="1:17" x14ac:dyDescent="0.2">
      <c r="A76" s="75">
        <f t="shared" si="0"/>
        <v>0</v>
      </c>
      <c r="B76" s="174"/>
      <c r="D76" s="176"/>
      <c r="E76" s="176"/>
      <c r="G76" s="176"/>
      <c r="H76" s="176"/>
      <c r="J76" s="176"/>
      <c r="K76" s="176"/>
      <c r="M76" s="176"/>
      <c r="N76" s="176"/>
      <c r="P76" s="176"/>
      <c r="Q76" s="176"/>
    </row>
    <row r="77" spans="1:17" x14ac:dyDescent="0.2">
      <c r="A77" s="75">
        <f t="shared" ref="A77:A111" si="1">IF(B77="",0,ROW(A66))</f>
        <v>0</v>
      </c>
      <c r="B77" s="174"/>
      <c r="D77" s="176"/>
      <c r="E77" s="176"/>
      <c r="G77" s="176"/>
      <c r="H77" s="176"/>
      <c r="J77" s="176"/>
      <c r="K77" s="176"/>
      <c r="M77" s="176"/>
      <c r="N77" s="176"/>
      <c r="P77" s="176"/>
      <c r="Q77" s="176"/>
    </row>
    <row r="78" spans="1:17" x14ac:dyDescent="0.2">
      <c r="A78" s="75">
        <f t="shared" si="1"/>
        <v>0</v>
      </c>
      <c r="B78" s="174"/>
      <c r="D78" s="176"/>
      <c r="E78" s="176"/>
      <c r="G78" s="176"/>
      <c r="H78" s="176"/>
      <c r="J78" s="176"/>
      <c r="K78" s="176"/>
      <c r="M78" s="176"/>
      <c r="N78" s="176"/>
      <c r="P78" s="176"/>
      <c r="Q78" s="176"/>
    </row>
    <row r="79" spans="1:17" x14ac:dyDescent="0.2">
      <c r="A79" s="75">
        <f t="shared" si="1"/>
        <v>0</v>
      </c>
      <c r="B79" s="174"/>
      <c r="D79" s="176"/>
      <c r="E79" s="176"/>
      <c r="G79" s="176"/>
      <c r="H79" s="176"/>
      <c r="J79" s="176"/>
      <c r="K79" s="176"/>
      <c r="M79" s="176"/>
      <c r="N79" s="176"/>
      <c r="P79" s="176"/>
      <c r="Q79" s="176"/>
    </row>
    <row r="80" spans="1:17" x14ac:dyDescent="0.2">
      <c r="A80" s="75">
        <f t="shared" si="1"/>
        <v>0</v>
      </c>
      <c r="B80" s="174"/>
      <c r="D80" s="176"/>
      <c r="E80" s="176"/>
      <c r="G80" s="176"/>
      <c r="H80" s="176"/>
      <c r="J80" s="176"/>
      <c r="K80" s="176"/>
      <c r="M80" s="176"/>
      <c r="N80" s="176"/>
      <c r="P80" s="176"/>
      <c r="Q80" s="176"/>
    </row>
    <row r="81" spans="1:17" x14ac:dyDescent="0.2">
      <c r="A81" s="75">
        <f t="shared" si="1"/>
        <v>0</v>
      </c>
      <c r="B81" s="174"/>
      <c r="D81" s="176"/>
      <c r="E81" s="176"/>
      <c r="G81" s="176"/>
      <c r="H81" s="176"/>
      <c r="J81" s="176"/>
      <c r="K81" s="176"/>
      <c r="M81" s="176"/>
      <c r="N81" s="176"/>
      <c r="P81" s="176"/>
      <c r="Q81" s="176"/>
    </row>
    <row r="82" spans="1:17" x14ac:dyDescent="0.2">
      <c r="A82" s="75">
        <f t="shared" si="1"/>
        <v>0</v>
      </c>
      <c r="B82" s="174"/>
      <c r="D82" s="176"/>
      <c r="E82" s="176"/>
      <c r="G82" s="176"/>
      <c r="H82" s="176"/>
      <c r="J82" s="176"/>
      <c r="K82" s="176"/>
      <c r="M82" s="176"/>
      <c r="N82" s="176"/>
      <c r="P82" s="176"/>
      <c r="Q82" s="176"/>
    </row>
    <row r="83" spans="1:17" x14ac:dyDescent="0.2">
      <c r="A83" s="75">
        <f t="shared" si="1"/>
        <v>0</v>
      </c>
      <c r="B83" s="174"/>
      <c r="D83" s="176"/>
      <c r="E83" s="176"/>
      <c r="G83" s="176"/>
      <c r="H83" s="176"/>
      <c r="J83" s="176"/>
      <c r="K83" s="176"/>
      <c r="M83" s="176"/>
      <c r="N83" s="176"/>
      <c r="P83" s="176"/>
      <c r="Q83" s="176"/>
    </row>
    <row r="84" spans="1:17" x14ac:dyDescent="0.2">
      <c r="A84" s="75">
        <f t="shared" si="1"/>
        <v>0</v>
      </c>
      <c r="B84" s="174"/>
      <c r="D84" s="176"/>
      <c r="E84" s="176"/>
      <c r="G84" s="176"/>
      <c r="H84" s="176"/>
      <c r="J84" s="176"/>
      <c r="K84" s="176"/>
      <c r="M84" s="176"/>
      <c r="N84" s="176"/>
      <c r="P84" s="176"/>
      <c r="Q84" s="176"/>
    </row>
    <row r="85" spans="1:17" x14ac:dyDescent="0.2">
      <c r="A85" s="75">
        <f t="shared" si="1"/>
        <v>0</v>
      </c>
      <c r="B85" s="174"/>
      <c r="D85" s="176"/>
      <c r="E85" s="176"/>
      <c r="G85" s="176"/>
      <c r="H85" s="176"/>
      <c r="J85" s="176"/>
      <c r="K85" s="176"/>
      <c r="M85" s="176"/>
      <c r="N85" s="176"/>
      <c r="P85" s="176"/>
      <c r="Q85" s="176"/>
    </row>
    <row r="86" spans="1:17" x14ac:dyDescent="0.2">
      <c r="A86" s="75">
        <f t="shared" si="1"/>
        <v>0</v>
      </c>
      <c r="B86" s="174"/>
      <c r="D86" s="176"/>
      <c r="E86" s="176"/>
      <c r="G86" s="176"/>
      <c r="H86" s="176"/>
      <c r="J86" s="176"/>
      <c r="K86" s="176"/>
      <c r="M86" s="176"/>
      <c r="N86" s="176"/>
      <c r="P86" s="176"/>
      <c r="Q86" s="176"/>
    </row>
    <row r="87" spans="1:17" x14ac:dyDescent="0.2">
      <c r="A87" s="75">
        <f t="shared" si="1"/>
        <v>0</v>
      </c>
      <c r="B87" s="174"/>
      <c r="D87" s="176"/>
      <c r="E87" s="176"/>
      <c r="G87" s="176"/>
      <c r="H87" s="176"/>
      <c r="J87" s="176"/>
      <c r="K87" s="176"/>
      <c r="M87" s="176"/>
      <c r="N87" s="176"/>
      <c r="P87" s="176"/>
      <c r="Q87" s="176"/>
    </row>
    <row r="88" spans="1:17" x14ac:dyDescent="0.2">
      <c r="A88" s="75">
        <f t="shared" si="1"/>
        <v>0</v>
      </c>
      <c r="B88" s="174"/>
      <c r="D88" s="176"/>
      <c r="E88" s="176"/>
      <c r="G88" s="176"/>
      <c r="H88" s="176"/>
      <c r="J88" s="176"/>
      <c r="K88" s="176"/>
      <c r="M88" s="176"/>
      <c r="N88" s="176"/>
      <c r="P88" s="176"/>
      <c r="Q88" s="176"/>
    </row>
    <row r="89" spans="1:17" x14ac:dyDescent="0.2">
      <c r="A89" s="75">
        <f t="shared" si="1"/>
        <v>0</v>
      </c>
      <c r="B89" s="174"/>
      <c r="D89" s="176"/>
      <c r="E89" s="176"/>
      <c r="G89" s="176"/>
      <c r="H89" s="176"/>
      <c r="J89" s="176"/>
      <c r="K89" s="176"/>
      <c r="M89" s="176"/>
      <c r="N89" s="176"/>
      <c r="P89" s="176"/>
      <c r="Q89" s="176"/>
    </row>
    <row r="90" spans="1:17" x14ac:dyDescent="0.2">
      <c r="A90" s="75">
        <f t="shared" si="1"/>
        <v>0</v>
      </c>
      <c r="B90" s="174"/>
      <c r="D90" s="176"/>
      <c r="E90" s="176"/>
      <c r="G90" s="176"/>
      <c r="H90" s="176"/>
      <c r="J90" s="176"/>
      <c r="K90" s="176"/>
      <c r="M90" s="176"/>
      <c r="N90" s="176"/>
      <c r="P90" s="176"/>
      <c r="Q90" s="176"/>
    </row>
    <row r="91" spans="1:17" x14ac:dyDescent="0.2">
      <c r="A91" s="75">
        <f t="shared" si="1"/>
        <v>0</v>
      </c>
      <c r="B91" s="174"/>
      <c r="D91" s="176"/>
      <c r="E91" s="176"/>
      <c r="G91" s="176"/>
      <c r="H91" s="176"/>
      <c r="J91" s="176"/>
      <c r="K91" s="176"/>
      <c r="M91" s="176"/>
      <c r="N91" s="176"/>
      <c r="P91" s="176"/>
      <c r="Q91" s="176"/>
    </row>
    <row r="92" spans="1:17" x14ac:dyDescent="0.2">
      <c r="A92" s="75">
        <f t="shared" si="1"/>
        <v>0</v>
      </c>
      <c r="B92" s="174"/>
      <c r="D92" s="176"/>
      <c r="E92" s="176"/>
      <c r="G92" s="176"/>
      <c r="H92" s="176"/>
      <c r="J92" s="176"/>
      <c r="K92" s="176"/>
      <c r="M92" s="176"/>
      <c r="N92" s="176"/>
      <c r="P92" s="176"/>
      <c r="Q92" s="176"/>
    </row>
    <row r="93" spans="1:17" x14ac:dyDescent="0.2">
      <c r="A93" s="75">
        <f t="shared" si="1"/>
        <v>0</v>
      </c>
      <c r="B93" s="174"/>
      <c r="D93" s="176"/>
      <c r="E93" s="176"/>
      <c r="G93" s="176"/>
      <c r="H93" s="176"/>
      <c r="J93" s="176"/>
      <c r="K93" s="176"/>
      <c r="M93" s="176"/>
      <c r="N93" s="176"/>
      <c r="P93" s="176"/>
      <c r="Q93" s="176"/>
    </row>
    <row r="94" spans="1:17" x14ac:dyDescent="0.2">
      <c r="A94" s="75">
        <f t="shared" si="1"/>
        <v>0</v>
      </c>
      <c r="B94" s="174"/>
      <c r="D94" s="176"/>
      <c r="E94" s="176"/>
      <c r="G94" s="176"/>
      <c r="H94" s="176"/>
      <c r="J94" s="176"/>
      <c r="K94" s="176"/>
      <c r="M94" s="176"/>
      <c r="N94" s="176"/>
      <c r="P94" s="176"/>
      <c r="Q94" s="176"/>
    </row>
    <row r="95" spans="1:17" x14ac:dyDescent="0.2">
      <c r="A95" s="75">
        <f t="shared" si="1"/>
        <v>0</v>
      </c>
      <c r="B95" s="174"/>
      <c r="D95" s="176"/>
      <c r="E95" s="176"/>
      <c r="G95" s="176"/>
      <c r="H95" s="176"/>
      <c r="J95" s="176"/>
      <c r="K95" s="176"/>
      <c r="M95" s="176"/>
      <c r="N95" s="176"/>
      <c r="P95" s="176"/>
      <c r="Q95" s="176"/>
    </row>
    <row r="96" spans="1:17" x14ac:dyDescent="0.2">
      <c r="A96" s="75">
        <f t="shared" si="1"/>
        <v>0</v>
      </c>
      <c r="B96" s="174"/>
      <c r="D96" s="176"/>
      <c r="E96" s="176"/>
      <c r="G96" s="176"/>
      <c r="H96" s="176"/>
      <c r="J96" s="176"/>
      <c r="K96" s="176"/>
      <c r="M96" s="176"/>
      <c r="N96" s="176"/>
      <c r="P96" s="176"/>
      <c r="Q96" s="176"/>
    </row>
    <row r="97" spans="1:17" x14ac:dyDescent="0.2">
      <c r="A97" s="75">
        <f t="shared" si="1"/>
        <v>0</v>
      </c>
      <c r="B97" s="174"/>
      <c r="D97" s="176"/>
      <c r="E97" s="176"/>
      <c r="G97" s="176"/>
      <c r="H97" s="176"/>
      <c r="J97" s="176"/>
      <c r="K97" s="176"/>
      <c r="M97" s="176"/>
      <c r="N97" s="176"/>
      <c r="P97" s="176"/>
      <c r="Q97" s="176"/>
    </row>
    <row r="98" spans="1:17" x14ac:dyDescent="0.2">
      <c r="A98" s="75">
        <f t="shared" si="1"/>
        <v>0</v>
      </c>
      <c r="B98" s="174"/>
      <c r="D98" s="176"/>
      <c r="E98" s="176"/>
      <c r="G98" s="176"/>
      <c r="H98" s="176"/>
      <c r="J98" s="176"/>
      <c r="K98" s="176"/>
      <c r="M98" s="176"/>
      <c r="N98" s="176"/>
      <c r="P98" s="176"/>
      <c r="Q98" s="176"/>
    </row>
    <row r="99" spans="1:17" x14ac:dyDescent="0.2">
      <c r="A99" s="75">
        <f t="shared" si="1"/>
        <v>0</v>
      </c>
      <c r="B99" s="174"/>
      <c r="D99" s="176"/>
      <c r="E99" s="176"/>
      <c r="G99" s="176"/>
      <c r="H99" s="176"/>
      <c r="J99" s="176"/>
      <c r="K99" s="176"/>
      <c r="M99" s="176"/>
      <c r="N99" s="176"/>
      <c r="P99" s="176"/>
      <c r="Q99" s="176"/>
    </row>
    <row r="100" spans="1:17" x14ac:dyDescent="0.2">
      <c r="A100" s="75">
        <f t="shared" si="1"/>
        <v>0</v>
      </c>
      <c r="B100" s="174"/>
      <c r="D100" s="176"/>
      <c r="E100" s="176"/>
      <c r="G100" s="176"/>
      <c r="H100" s="176"/>
      <c r="J100" s="176"/>
      <c r="K100" s="176"/>
      <c r="M100" s="176"/>
      <c r="N100" s="176"/>
      <c r="P100" s="176"/>
      <c r="Q100" s="176"/>
    </row>
    <row r="101" spans="1:17" x14ac:dyDescent="0.2">
      <c r="A101" s="75">
        <f t="shared" si="1"/>
        <v>0</v>
      </c>
      <c r="B101" s="174"/>
      <c r="D101" s="176"/>
      <c r="E101" s="176"/>
      <c r="G101" s="176"/>
      <c r="H101" s="176"/>
      <c r="J101" s="176"/>
      <c r="K101" s="176"/>
      <c r="M101" s="176"/>
      <c r="N101" s="176"/>
      <c r="P101" s="176"/>
      <c r="Q101" s="176"/>
    </row>
    <row r="102" spans="1:17" x14ac:dyDescent="0.2">
      <c r="A102" s="75">
        <f t="shared" si="1"/>
        <v>0</v>
      </c>
      <c r="B102" s="174"/>
      <c r="D102" s="176"/>
      <c r="E102" s="176"/>
      <c r="G102" s="176"/>
      <c r="H102" s="176"/>
      <c r="J102" s="176"/>
      <c r="K102" s="176"/>
      <c r="M102" s="176"/>
      <c r="N102" s="176"/>
      <c r="P102" s="176"/>
      <c r="Q102" s="176"/>
    </row>
    <row r="103" spans="1:17" x14ac:dyDescent="0.2">
      <c r="A103" s="75">
        <f t="shared" si="1"/>
        <v>0</v>
      </c>
      <c r="B103" s="174"/>
      <c r="D103" s="176"/>
      <c r="E103" s="176"/>
      <c r="G103" s="176"/>
      <c r="H103" s="176"/>
      <c r="J103" s="176"/>
      <c r="K103" s="176"/>
      <c r="M103" s="176"/>
      <c r="N103" s="176"/>
      <c r="P103" s="176"/>
      <c r="Q103" s="176"/>
    </row>
    <row r="104" spans="1:17" x14ac:dyDescent="0.2">
      <c r="A104" s="75">
        <f t="shared" si="1"/>
        <v>0</v>
      </c>
      <c r="B104" s="174"/>
      <c r="D104" s="176"/>
      <c r="E104" s="176"/>
      <c r="G104" s="176"/>
      <c r="H104" s="176"/>
      <c r="J104" s="176"/>
      <c r="K104" s="176"/>
      <c r="M104" s="176"/>
      <c r="N104" s="176"/>
      <c r="P104" s="176"/>
      <c r="Q104" s="176"/>
    </row>
    <row r="105" spans="1:17" x14ac:dyDescent="0.2">
      <c r="A105" s="75">
        <f t="shared" si="1"/>
        <v>0</v>
      </c>
      <c r="B105" s="174"/>
      <c r="D105" s="176"/>
      <c r="E105" s="176"/>
      <c r="G105" s="176"/>
      <c r="H105" s="176"/>
      <c r="J105" s="176"/>
      <c r="K105" s="176"/>
      <c r="M105" s="176"/>
      <c r="N105" s="176"/>
      <c r="P105" s="176"/>
      <c r="Q105" s="176"/>
    </row>
    <row r="106" spans="1:17" x14ac:dyDescent="0.2">
      <c r="A106" s="75">
        <f t="shared" si="1"/>
        <v>0</v>
      </c>
      <c r="B106" s="174"/>
      <c r="D106" s="176"/>
      <c r="E106" s="176"/>
      <c r="G106" s="176"/>
      <c r="H106" s="176"/>
      <c r="J106" s="176"/>
      <c r="K106" s="176"/>
      <c r="M106" s="176"/>
      <c r="N106" s="176"/>
      <c r="P106" s="176"/>
      <c r="Q106" s="176"/>
    </row>
    <row r="107" spans="1:17" x14ac:dyDescent="0.2">
      <c r="A107" s="75">
        <f t="shared" si="1"/>
        <v>0</v>
      </c>
      <c r="B107" s="174"/>
      <c r="D107" s="176"/>
      <c r="E107" s="176"/>
      <c r="G107" s="176"/>
      <c r="H107" s="176"/>
      <c r="J107" s="176"/>
      <c r="K107" s="176"/>
      <c r="M107" s="176"/>
      <c r="N107" s="176"/>
      <c r="P107" s="176"/>
      <c r="Q107" s="176"/>
    </row>
    <row r="108" spans="1:17" x14ac:dyDescent="0.2">
      <c r="A108" s="75">
        <f t="shared" si="1"/>
        <v>0</v>
      </c>
      <c r="B108" s="174"/>
      <c r="D108" s="176"/>
      <c r="E108" s="176"/>
      <c r="G108" s="176"/>
      <c r="H108" s="176"/>
      <c r="J108" s="176"/>
      <c r="K108" s="176"/>
      <c r="M108" s="176"/>
      <c r="N108" s="176"/>
      <c r="P108" s="176"/>
      <c r="Q108" s="176"/>
    </row>
    <row r="109" spans="1:17" x14ac:dyDescent="0.2">
      <c r="A109" s="75">
        <f t="shared" si="1"/>
        <v>0</v>
      </c>
      <c r="B109" s="174"/>
      <c r="D109" s="176"/>
      <c r="E109" s="176"/>
      <c r="G109" s="176"/>
      <c r="H109" s="176"/>
      <c r="J109" s="176"/>
      <c r="K109" s="176"/>
      <c r="M109" s="176"/>
      <c r="N109" s="176"/>
      <c r="P109" s="176"/>
      <c r="Q109" s="176"/>
    </row>
    <row r="110" spans="1:17" x14ac:dyDescent="0.2">
      <c r="A110" s="75">
        <f t="shared" si="1"/>
        <v>0</v>
      </c>
      <c r="B110" s="174"/>
      <c r="D110" s="176"/>
      <c r="E110" s="176"/>
      <c r="G110" s="176"/>
      <c r="H110" s="176"/>
      <c r="J110" s="176"/>
      <c r="K110" s="176"/>
      <c r="M110" s="176"/>
      <c r="N110" s="176"/>
      <c r="P110" s="176"/>
      <c r="Q110" s="176"/>
    </row>
    <row r="111" spans="1:17" x14ac:dyDescent="0.2">
      <c r="A111" s="75">
        <f t="shared" si="1"/>
        <v>0</v>
      </c>
      <c r="B111" s="174"/>
      <c r="D111" s="176"/>
      <c r="E111" s="176"/>
      <c r="G111" s="176"/>
      <c r="H111" s="176"/>
      <c r="J111" s="176"/>
      <c r="K111" s="176"/>
      <c r="M111" s="176"/>
      <c r="N111" s="176"/>
      <c r="P111" s="176"/>
      <c r="Q111" s="176"/>
    </row>
  </sheetData>
  <sheetProtection algorithmName="SHA-512" hashValue="J42MEevUcM1MdQ9yKudA3aynoJq79UzNxmy06c8N2gBqhEvBQ9YJhcEFK1XHiaMTYA97fToqlHS5arHZxQVoFA==" saltValue="RwKIbMP8/YEdTT59eSN+3g==" spinCount="100000" sheet="1" objects="1" scenarios="1"/>
  <dataConsolidate/>
  <mergeCells count="6">
    <mergeCell ref="M10:N10"/>
    <mergeCell ref="P10:Q10"/>
    <mergeCell ref="D8:K8"/>
    <mergeCell ref="D10:E10"/>
    <mergeCell ref="G10:H10"/>
    <mergeCell ref="J10:K10"/>
  </mergeCells>
  <conditionalFormatting sqref="B12:B111 D12:E111 G12:H111 J12:K111 M12:N111 P12:Q111">
    <cfRule type="expression" dxfId="22" priority="4">
      <formula>IF($B12="",FALSE, TRUE)</formula>
    </cfRule>
  </conditionalFormatting>
  <conditionalFormatting sqref="E12:E111 H12:H111 K12:K111 N12:N111 Q12:Q111">
    <cfRule type="expression" dxfId="21" priority="1">
      <formula>IF(AND(D12&lt;&gt;"",E12=""),1,0)</formula>
    </cfRule>
  </conditionalFormatting>
  <pageMargins left="0.7" right="0.7" top="0.75" bottom="0.75" header="0.3" footer="0.3"/>
  <legacyDrawing r:id="rId1"/>
  <extLst>
    <ext xmlns:x14="http://schemas.microsoft.com/office/spreadsheetml/2009/9/main" uri="{78C0D931-6437-407d-A8EE-F0AAD7539E65}">
      <x14:conditionalFormattings>
        <x14:conditionalFormatting xmlns:xm="http://schemas.microsoft.com/office/excel/2006/main">
          <x14:cfRule type="expression" priority="3" id="{127E1A58-7242-47C7-81DA-8558F0683E98}">
            <xm:f>IF(AND(D12&lt;&gt;"",ISNA(VLOOKUP(D12,'Critical resources (hide)'!$B$6:$B$57,1,0))),TRUE,FALSE)</xm:f>
            <x14:dxf>
              <font>
                <color rgb="FFFF0000"/>
              </font>
              <fill>
                <patternFill>
                  <bgColor theme="5" tint="0.79998168889431442"/>
                </patternFill>
              </fill>
            </x14:dxf>
          </x14:cfRule>
          <xm:sqref>D12:D111 G12:G111 J12:J111 M12:M111 P12:P111</xm:sqref>
        </x14:conditionalFormatting>
        <x14:conditionalFormatting xmlns:xm="http://schemas.microsoft.com/office/excel/2006/main">
          <x14:cfRule type="expression" priority="2" id="{8BCBD392-6F73-44D6-A709-F775CE2227B2}">
            <xm:f>IF(AND(E12&lt;&gt;"",ISNA(VLOOKUP(E12,'Critical resources (hide)'!$A$6:$A$57,1,0))),TRUE,FALSE)</xm:f>
            <x14:dxf>
              <font>
                <color rgb="FFFF0000"/>
              </font>
              <fill>
                <patternFill>
                  <bgColor theme="5" tint="0.79998168889431442"/>
                </patternFill>
              </fill>
            </x14:dxf>
          </x14:cfRule>
          <xm:sqref>E12:E111 H12:H111 K12:K111 N12:N111 Q12:Q111</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D00-000000000000}">
          <x14:formula1>
            <xm:f>'Critical resources (hide)'!$B$6:$B$57</xm:f>
          </x14:formula1>
          <xm:sqref>D12:D111 G12:G111 J12:J111 M12:M111 P12:P111</xm:sqref>
        </x14:dataValidation>
        <x14:dataValidation type="list" allowBlank="1" showInputMessage="1" showErrorMessage="1" xr:uid="{00000000-0002-0000-0D00-000001000000}">
          <x14:formula1>
            <xm:f>IF(D12="",$A$1,OFFSET('Critical resources (hide)'!$A$6,'Critical resources (hide)'!$H6-1,0,53-'Critical resources (hide)'!H6,1))</xm:f>
          </x14:formula1>
          <xm:sqref>E12:E111</xm:sqref>
        </x14:dataValidation>
        <x14:dataValidation type="list" allowBlank="1" showInputMessage="1" showErrorMessage="1" xr:uid="{00000000-0002-0000-0D00-000002000000}">
          <x14:formula1>
            <xm:f>IF(G12="",$A$1,OFFSET('Critical resources (hide)'!$A$6,'Critical resources (hide)'!J6-1,0,53-'Critical resources (hide)'!J6,1))</xm:f>
          </x14:formula1>
          <xm:sqref>H12:H111</xm:sqref>
        </x14:dataValidation>
        <x14:dataValidation type="list" allowBlank="1" showInputMessage="1" showErrorMessage="1" xr:uid="{00000000-0002-0000-0D00-000003000000}">
          <x14:formula1>
            <xm:f>IF(J12="",$A$1,OFFSET('Critical resources (hide)'!$A$6,'Critical resources (hide)'!L6-1,0,53-'Critical resources (hide)'!L6,1))</xm:f>
          </x14:formula1>
          <xm:sqref>K12:K111</xm:sqref>
        </x14:dataValidation>
        <x14:dataValidation type="list" allowBlank="1" showInputMessage="1" showErrorMessage="1" xr:uid="{00000000-0002-0000-0D00-000004000000}">
          <x14:formula1>
            <xm:f>IF(M12="",$A$1,OFFSET('Critical resources (hide)'!$A$6,'Critical resources (hide)'!N6-1,0,53-'Critical resources (hide)'!N6,1))</xm:f>
          </x14:formula1>
          <xm:sqref>N12:N111</xm:sqref>
        </x14:dataValidation>
        <x14:dataValidation type="list" allowBlank="1" showInputMessage="1" showErrorMessage="1" xr:uid="{00000000-0002-0000-0D00-000005000000}">
          <x14:formula1>
            <xm:f>IF(P12="",$A$1,OFFSET('Critical resources (hide)'!$A$6,'Critical resources (hide)'!P6-1,0,53-'Critical resources (hide)'!P6,1))</xm:f>
          </x14:formula1>
          <xm:sqref>Q12:Q111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K217"/>
  <sheetViews>
    <sheetView showGridLines="0" showRowColHeaders="0" workbookViewId="0"/>
  </sheetViews>
  <sheetFormatPr defaultColWidth="9" defaultRowHeight="14.25" x14ac:dyDescent="0.2"/>
  <cols>
    <col min="1" max="1" width="2.875" style="73" customWidth="1"/>
    <col min="2" max="2" width="19.875" style="73" customWidth="1"/>
    <col min="3" max="5" width="30.625" style="73" customWidth="1"/>
    <col min="6" max="6" width="9.75" style="73" customWidth="1"/>
    <col min="7" max="7" width="15.25" style="73" customWidth="1"/>
    <col min="8" max="8" width="9" style="73"/>
    <col min="9" max="9" width="10" style="73" customWidth="1"/>
    <col min="10" max="16384" width="9" style="73"/>
  </cols>
  <sheetData>
    <row r="1" spans="1:11" ht="15" x14ac:dyDescent="0.25">
      <c r="B1" s="360" t="s">
        <v>476</v>
      </c>
      <c r="C1" s="360"/>
      <c r="D1" s="360"/>
    </row>
    <row r="2" spans="1:11" ht="14.25" customHeight="1" x14ac:dyDescent="0.2"/>
    <row r="3" spans="1:11" ht="15" x14ac:dyDescent="0.25">
      <c r="B3" s="57" t="s">
        <v>482</v>
      </c>
    </row>
    <row r="4" spans="1:11" x14ac:dyDescent="0.2">
      <c r="B4" s="142" t="s">
        <v>483</v>
      </c>
    </row>
    <row r="5" spans="1:11" hidden="1" x14ac:dyDescent="0.2"/>
    <row r="6" spans="1:11" ht="15" hidden="1" customHeight="1" x14ac:dyDescent="0.2">
      <c r="A6" s="78"/>
      <c r="B6" s="79"/>
      <c r="C6" s="79"/>
      <c r="D6" s="79"/>
      <c r="E6" s="79"/>
      <c r="F6" s="79"/>
      <c r="G6" s="79"/>
      <c r="H6" s="79"/>
      <c r="I6" s="79"/>
      <c r="J6" s="79"/>
      <c r="K6" s="79"/>
    </row>
    <row r="7" spans="1:11" ht="14.25" hidden="1" customHeight="1" x14ac:dyDescent="0.2">
      <c r="A7" s="78"/>
      <c r="B7" s="79"/>
      <c r="C7" s="79"/>
      <c r="D7" s="79"/>
      <c r="E7" s="79"/>
      <c r="F7" s="79"/>
      <c r="G7" s="79"/>
      <c r="H7" s="79"/>
      <c r="I7" s="79"/>
      <c r="J7" s="79"/>
      <c r="K7" s="79"/>
    </row>
    <row r="8" spans="1:11" x14ac:dyDescent="0.2">
      <c r="B8" s="79"/>
      <c r="C8" s="79"/>
      <c r="D8" s="79"/>
      <c r="E8" s="79"/>
      <c r="F8" s="79"/>
      <c r="G8" s="79"/>
      <c r="H8" s="79"/>
      <c r="I8" s="79"/>
      <c r="J8" s="79"/>
      <c r="K8" s="79"/>
    </row>
    <row r="9" spans="1:11" ht="15" x14ac:dyDescent="0.25">
      <c r="B9" s="57" t="s">
        <v>437</v>
      </c>
    </row>
    <row r="11" spans="1:11" ht="42.75" x14ac:dyDescent="0.2">
      <c r="B11" s="122" t="s">
        <v>254</v>
      </c>
      <c r="C11" s="122" t="s">
        <v>455</v>
      </c>
      <c r="D11" s="122" t="s">
        <v>456</v>
      </c>
      <c r="E11" s="122" t="s">
        <v>457</v>
      </c>
      <c r="F11" s="123" t="s">
        <v>297</v>
      </c>
      <c r="G11" s="123" t="s">
        <v>468</v>
      </c>
      <c r="H11" s="123" t="s">
        <v>463</v>
      </c>
      <c r="I11" s="123" t="s">
        <v>881</v>
      </c>
      <c r="J11" s="123" t="s">
        <v>296</v>
      </c>
    </row>
    <row r="12" spans="1:11" x14ac:dyDescent="0.2">
      <c r="B12" s="221" t="str">
        <f>IF(Capacity!B17=0,"",Capacity!B17)</f>
        <v>Core Clinic 1</v>
      </c>
      <c r="C12" s="134" t="s">
        <v>1212</v>
      </c>
      <c r="D12" s="134"/>
      <c r="E12" s="134"/>
      <c r="F12" s="218">
        <f>IF(ROW(A1)&lt;=Capacity!$A$16,Capacity!E17,"")</f>
        <v>30</v>
      </c>
      <c r="G12" s="219">
        <f ca="1">IF(ROW(A1)&lt;=Capacity!$A$16,'Capacity calculation (hide)'!BH5,"")</f>
        <v>52</v>
      </c>
      <c r="H12" s="218">
        <f>IF(ROW(A1)&lt;=Capacity!$A$16,Capacity!H17,"")</f>
        <v>270</v>
      </c>
      <c r="I12" s="220">
        <f ca="1">IF(ROW(A1)&lt;=Capacity!$A$16,'Capacity calculation (hide)'!DK5,"")</f>
        <v>269.99999999999966</v>
      </c>
      <c r="J12" s="221" t="str">
        <f ca="1">IFERROR(IF(G12-F12 &lt;0, "Under","Over"),"")</f>
        <v>Over</v>
      </c>
    </row>
    <row r="13" spans="1:11" x14ac:dyDescent="0.2">
      <c r="B13" s="221" t="str">
        <f>IF(Capacity!B18=0,"",Capacity!B18)</f>
        <v>Core Clinic 2</v>
      </c>
      <c r="C13" s="134" t="s">
        <v>1212</v>
      </c>
      <c r="D13" s="134" t="s">
        <v>1213</v>
      </c>
      <c r="E13" s="134"/>
      <c r="F13" s="218">
        <f>IF(ROW(A2)&lt;=Capacity!$A$16,Capacity!E18,"")</f>
        <v>30</v>
      </c>
      <c r="G13" s="219">
        <f ca="1">IF(ROW(A2)&lt;=Capacity!$A$16,'Capacity calculation (hide)'!BH6,"")</f>
        <v>52</v>
      </c>
      <c r="H13" s="218">
        <f>IF(ROW(A2)&lt;=Capacity!$A$16,Capacity!H18,"")</f>
        <v>270</v>
      </c>
      <c r="I13" s="220">
        <f ca="1">IF(ROW(A2)&lt;=Capacity!$A$16,'Capacity calculation (hide)'!DK6,"")</f>
        <v>269.99999999999966</v>
      </c>
      <c r="J13" s="221" t="str">
        <f t="shared" ref="J13:J76" ca="1" si="0">IFERROR(IF(G13-F13 &lt;0, "Under","Over"),"")</f>
        <v>Over</v>
      </c>
    </row>
    <row r="14" spans="1:11" x14ac:dyDescent="0.2">
      <c r="B14" s="221" t="str">
        <f>IF(Capacity!B19=0,"",Capacity!B19)</f>
        <v>Core Clinic 3</v>
      </c>
      <c r="C14" s="134" t="s">
        <v>1213</v>
      </c>
      <c r="D14" s="134" t="s">
        <v>1214</v>
      </c>
      <c r="E14" s="134"/>
      <c r="F14" s="218">
        <f>IF(ROW(A3)&lt;=Capacity!$A$16,Capacity!E19,"")</f>
        <v>21</v>
      </c>
      <c r="G14" s="219">
        <f ca="1">IF(ROW(A3)&lt;=Capacity!$A$16,'Capacity calculation (hide)'!BH7,"")</f>
        <v>52</v>
      </c>
      <c r="H14" s="218">
        <f>IF(ROW(A3)&lt;=Capacity!$A$16,Capacity!H19,"")</f>
        <v>126</v>
      </c>
      <c r="I14" s="220">
        <f ca="1">IF(ROW(A3)&lt;=Capacity!$A$16,'Capacity calculation (hide)'!DK7,"")</f>
        <v>125.99999999999987</v>
      </c>
      <c r="J14" s="221" t="str">
        <f t="shared" ca="1" si="0"/>
        <v>Over</v>
      </c>
    </row>
    <row r="15" spans="1:11" x14ac:dyDescent="0.2">
      <c r="B15" s="221" t="str">
        <f>IF(Capacity!B20=0,"",Capacity!B20)</f>
        <v>Core Clinic 4</v>
      </c>
      <c r="C15" s="134" t="s">
        <v>1214</v>
      </c>
      <c r="D15" s="134"/>
      <c r="E15" s="134"/>
      <c r="F15" s="218">
        <f>IF(ROW(A4)&lt;=Capacity!$A$16,Capacity!E20,"")</f>
        <v>12</v>
      </c>
      <c r="G15" s="219">
        <f ca="1">IF(ROW(A4)&lt;=Capacity!$A$16,'Capacity calculation (hide)'!BH8,"")</f>
        <v>52</v>
      </c>
      <c r="H15" s="218">
        <f>IF(ROW(A4)&lt;=Capacity!$A$16,Capacity!H20,"")</f>
        <v>72</v>
      </c>
      <c r="I15" s="220">
        <f ca="1">IF(ROW(A4)&lt;=Capacity!$A$16,'Capacity calculation (hide)'!DK8,"")</f>
        <v>72.000000000000043</v>
      </c>
      <c r="J15" s="221" t="str">
        <f t="shared" ca="1" si="0"/>
        <v>Over</v>
      </c>
    </row>
    <row r="16" spans="1:11" x14ac:dyDescent="0.2">
      <c r="B16" s="221" t="str">
        <f>IF(Capacity!B21=0,"",Capacity!B21)</f>
        <v/>
      </c>
      <c r="C16" s="134"/>
      <c r="D16" s="134"/>
      <c r="E16" s="134"/>
      <c r="F16" s="218" t="str">
        <f>IF(ROW(A5)&lt;=Capacity!$A$16,Capacity!E21,"")</f>
        <v/>
      </c>
      <c r="G16" s="219" t="str">
        <f>IF(ROW(A5)&lt;=Capacity!$A$16,'Capacity calculation (hide)'!BH9,"")</f>
        <v/>
      </c>
      <c r="H16" s="218" t="str">
        <f>IF(ROW(A5)&lt;=Capacity!$A$16,Capacity!H21,"")</f>
        <v/>
      </c>
      <c r="I16" s="220" t="str">
        <f>IF(ROW(A5)&lt;=Capacity!$A$16,'Capacity calculation (hide)'!DK9,"")</f>
        <v/>
      </c>
      <c r="J16" s="221" t="str">
        <f t="shared" si="0"/>
        <v/>
      </c>
    </row>
    <row r="17" spans="2:10" x14ac:dyDescent="0.2">
      <c r="B17" s="221" t="str">
        <f>IF(Capacity!B22=0,"",Capacity!B22)</f>
        <v/>
      </c>
      <c r="C17" s="134"/>
      <c r="D17" s="134"/>
      <c r="E17" s="134"/>
      <c r="F17" s="218" t="str">
        <f>IF(ROW(A6)&lt;=Capacity!$A$16,Capacity!E22,"")</f>
        <v/>
      </c>
      <c r="G17" s="219" t="str">
        <f>IF(ROW(A6)&lt;=Capacity!$A$16,'Capacity calculation (hide)'!BH10,"")</f>
        <v/>
      </c>
      <c r="H17" s="218" t="str">
        <f>IF(ROW(A6)&lt;=Capacity!$A$16,Capacity!H22,"")</f>
        <v/>
      </c>
      <c r="I17" s="220" t="str">
        <f>IF(ROW(A6)&lt;=Capacity!$A$16,'Capacity calculation (hide)'!DK10,"")</f>
        <v/>
      </c>
      <c r="J17" s="221" t="str">
        <f t="shared" si="0"/>
        <v/>
      </c>
    </row>
    <row r="18" spans="2:10" x14ac:dyDescent="0.2">
      <c r="B18" s="221" t="str">
        <f>IF(Capacity!B23=0,"",Capacity!B23)</f>
        <v/>
      </c>
      <c r="C18" s="134"/>
      <c r="D18" s="134"/>
      <c r="E18" s="134"/>
      <c r="F18" s="218" t="str">
        <f>IF(ROW(A7)&lt;=Capacity!$A$16,Capacity!E23,"")</f>
        <v/>
      </c>
      <c r="G18" s="219" t="str">
        <f>IF(ROW(A7)&lt;=Capacity!$A$16,'Capacity calculation (hide)'!BH11,"")</f>
        <v/>
      </c>
      <c r="H18" s="218" t="str">
        <f>IF(ROW(A7)&lt;=Capacity!$A$16,Capacity!H23,"")</f>
        <v/>
      </c>
      <c r="I18" s="220" t="str">
        <f>IF(ROW(A7)&lt;=Capacity!$A$16,'Capacity calculation (hide)'!DK11,"")</f>
        <v/>
      </c>
      <c r="J18" s="221" t="str">
        <f t="shared" si="0"/>
        <v/>
      </c>
    </row>
    <row r="19" spans="2:10" x14ac:dyDescent="0.2">
      <c r="B19" s="221" t="str">
        <f>IF(Capacity!B24=0,"",Capacity!B24)</f>
        <v/>
      </c>
      <c r="C19" s="134"/>
      <c r="D19" s="134"/>
      <c r="E19" s="134"/>
      <c r="F19" s="218" t="str">
        <f>IF(ROW(A8)&lt;=Capacity!$A$16,Capacity!E24,"")</f>
        <v/>
      </c>
      <c r="G19" s="219" t="str">
        <f>IF(ROW(A8)&lt;=Capacity!$A$16,'Capacity calculation (hide)'!BH12,"")</f>
        <v/>
      </c>
      <c r="H19" s="218" t="str">
        <f>IF(ROW(A8)&lt;=Capacity!$A$16,Capacity!H24,"")</f>
        <v/>
      </c>
      <c r="I19" s="220" t="str">
        <f>IF(ROW(A8)&lt;=Capacity!$A$16,'Capacity calculation (hide)'!DK12,"")</f>
        <v/>
      </c>
      <c r="J19" s="221" t="str">
        <f t="shared" si="0"/>
        <v/>
      </c>
    </row>
    <row r="20" spans="2:10" x14ac:dyDescent="0.2">
      <c r="B20" s="221" t="str">
        <f>IF(Capacity!B25=0,"",Capacity!B25)</f>
        <v/>
      </c>
      <c r="C20" s="134"/>
      <c r="D20" s="134"/>
      <c r="E20" s="134"/>
      <c r="F20" s="218" t="str">
        <f>IF(ROW(A9)&lt;=Capacity!$A$16,Capacity!E25,"")</f>
        <v/>
      </c>
      <c r="G20" s="219" t="str">
        <f>IF(ROW(A9)&lt;=Capacity!$A$16,'Capacity calculation (hide)'!BH13,"")</f>
        <v/>
      </c>
      <c r="H20" s="218" t="str">
        <f>IF(ROW(A9)&lt;=Capacity!$A$16,Capacity!H25,"")</f>
        <v/>
      </c>
      <c r="I20" s="220" t="str">
        <f>IF(ROW(A9)&lt;=Capacity!$A$16,'Capacity calculation (hide)'!DK13,"")</f>
        <v/>
      </c>
      <c r="J20" s="221" t="str">
        <f t="shared" si="0"/>
        <v/>
      </c>
    </row>
    <row r="21" spans="2:10" x14ac:dyDescent="0.2">
      <c r="B21" s="221" t="str">
        <f>IF(Capacity!B26=0,"",Capacity!B26)</f>
        <v/>
      </c>
      <c r="C21" s="134"/>
      <c r="D21" s="134"/>
      <c r="E21" s="134"/>
      <c r="F21" s="218" t="str">
        <f>IF(ROW(A10)&lt;=Capacity!$A$16,Capacity!E26,"")</f>
        <v/>
      </c>
      <c r="G21" s="219" t="str">
        <f>IF(ROW(A10)&lt;=Capacity!$A$16,'Capacity calculation (hide)'!BH14,"")</f>
        <v/>
      </c>
      <c r="H21" s="218" t="str">
        <f>IF(ROW(A10)&lt;=Capacity!$A$16,Capacity!H26,"")</f>
        <v/>
      </c>
      <c r="I21" s="220" t="str">
        <f>IF(ROW(A10)&lt;=Capacity!$A$16,'Capacity calculation (hide)'!DK14,"")</f>
        <v/>
      </c>
      <c r="J21" s="221" t="str">
        <f t="shared" si="0"/>
        <v/>
      </c>
    </row>
    <row r="22" spans="2:10" x14ac:dyDescent="0.2">
      <c r="B22" s="221" t="str">
        <f>IF(Capacity!B27=0,"",Capacity!B27)</f>
        <v/>
      </c>
      <c r="C22" s="134"/>
      <c r="D22" s="134"/>
      <c r="E22" s="134"/>
      <c r="F22" s="218" t="str">
        <f>IF(ROW(A11)&lt;=Capacity!$A$16,Capacity!E27,"")</f>
        <v/>
      </c>
      <c r="G22" s="219" t="str">
        <f>IF(ROW(A11)&lt;=Capacity!$A$16,'Capacity calculation (hide)'!BH15,"")</f>
        <v/>
      </c>
      <c r="H22" s="218" t="str">
        <f>IF(ROW(A11)&lt;=Capacity!$A$16,Capacity!H27,"")</f>
        <v/>
      </c>
      <c r="I22" s="220" t="str">
        <f>IF(ROW(A11)&lt;=Capacity!$A$16,'Capacity calculation (hide)'!DK15,"")</f>
        <v/>
      </c>
      <c r="J22" s="221" t="str">
        <f t="shared" si="0"/>
        <v/>
      </c>
    </row>
    <row r="23" spans="2:10" x14ac:dyDescent="0.2">
      <c r="B23" s="221" t="str">
        <f>IF(Capacity!B28=0,"",Capacity!B28)</f>
        <v/>
      </c>
      <c r="C23" s="134"/>
      <c r="D23" s="134"/>
      <c r="E23" s="134"/>
      <c r="F23" s="218" t="str">
        <f>IF(ROW(A12)&lt;=Capacity!$A$16,Capacity!E28,"")</f>
        <v/>
      </c>
      <c r="G23" s="219" t="str">
        <f>IF(ROW(A12)&lt;=Capacity!$A$16,'Capacity calculation (hide)'!BH16,"")</f>
        <v/>
      </c>
      <c r="H23" s="218" t="str">
        <f>IF(ROW(A12)&lt;=Capacity!$A$16,Capacity!H28,"")</f>
        <v/>
      </c>
      <c r="I23" s="220" t="str">
        <f>IF(ROW(A12)&lt;=Capacity!$A$16,'Capacity calculation (hide)'!DK16,"")</f>
        <v/>
      </c>
      <c r="J23" s="221" t="str">
        <f t="shared" si="0"/>
        <v/>
      </c>
    </row>
    <row r="24" spans="2:10" x14ac:dyDescent="0.2">
      <c r="B24" s="221" t="str">
        <f>IF(Capacity!B29=0,"",Capacity!B29)</f>
        <v/>
      </c>
      <c r="C24" s="134"/>
      <c r="D24" s="134"/>
      <c r="E24" s="134"/>
      <c r="F24" s="218" t="str">
        <f>IF(ROW(A13)&lt;=Capacity!$A$16,Capacity!E29,"")</f>
        <v/>
      </c>
      <c r="G24" s="219" t="str">
        <f>IF(ROW(A13)&lt;=Capacity!$A$16,'Capacity calculation (hide)'!BH17,"")</f>
        <v/>
      </c>
      <c r="H24" s="218" t="str">
        <f>IF(ROW(A13)&lt;=Capacity!$A$16,Capacity!H29,"")</f>
        <v/>
      </c>
      <c r="I24" s="220" t="str">
        <f>IF(ROW(A13)&lt;=Capacity!$A$16,'Capacity calculation (hide)'!DK17,"")</f>
        <v/>
      </c>
      <c r="J24" s="221" t="str">
        <f t="shared" si="0"/>
        <v/>
      </c>
    </row>
    <row r="25" spans="2:10" x14ac:dyDescent="0.2">
      <c r="B25" s="221" t="str">
        <f>IF(Capacity!B30=0,"",Capacity!B30)</f>
        <v/>
      </c>
      <c r="C25" s="134"/>
      <c r="D25" s="134"/>
      <c r="E25" s="134"/>
      <c r="F25" s="218" t="str">
        <f>IF(ROW(A14)&lt;=Capacity!$A$16,Capacity!E30,"")</f>
        <v/>
      </c>
      <c r="G25" s="219" t="str">
        <f>IF(ROW(A14)&lt;=Capacity!$A$16,'Capacity calculation (hide)'!BH18,"")</f>
        <v/>
      </c>
      <c r="H25" s="218" t="str">
        <f>IF(ROW(A14)&lt;=Capacity!$A$16,Capacity!H30,"")</f>
        <v/>
      </c>
      <c r="I25" s="220" t="str">
        <f>IF(ROW(A14)&lt;=Capacity!$A$16,'Capacity calculation (hide)'!DK18,"")</f>
        <v/>
      </c>
      <c r="J25" s="221" t="str">
        <f t="shared" si="0"/>
        <v/>
      </c>
    </row>
    <row r="26" spans="2:10" x14ac:dyDescent="0.2">
      <c r="B26" s="221" t="str">
        <f>IF(Capacity!B31=0,"",Capacity!B31)</f>
        <v/>
      </c>
      <c r="C26" s="134"/>
      <c r="D26" s="134"/>
      <c r="E26" s="134"/>
      <c r="F26" s="218" t="str">
        <f>IF(ROW(A15)&lt;=Capacity!$A$16,Capacity!E31,"")</f>
        <v/>
      </c>
      <c r="G26" s="219" t="str">
        <f>IF(ROW(A15)&lt;=Capacity!$A$16,'Capacity calculation (hide)'!BH19,"")</f>
        <v/>
      </c>
      <c r="H26" s="218" t="str">
        <f>IF(ROW(A15)&lt;=Capacity!$A$16,Capacity!H31,"")</f>
        <v/>
      </c>
      <c r="I26" s="220" t="str">
        <f>IF(ROW(A15)&lt;=Capacity!$A$16,'Capacity calculation (hide)'!DK19,"")</f>
        <v/>
      </c>
      <c r="J26" s="221" t="str">
        <f t="shared" si="0"/>
        <v/>
      </c>
    </row>
    <row r="27" spans="2:10" x14ac:dyDescent="0.2">
      <c r="B27" s="221" t="str">
        <f>IF(Capacity!B32=0,"",Capacity!B32)</f>
        <v/>
      </c>
      <c r="C27" s="134"/>
      <c r="D27" s="134"/>
      <c r="E27" s="134"/>
      <c r="F27" s="218" t="str">
        <f>IF(ROW(A16)&lt;=Capacity!$A$16,Capacity!E32,"")</f>
        <v/>
      </c>
      <c r="G27" s="219" t="str">
        <f>IF(ROW(A16)&lt;=Capacity!$A$16,'Capacity calculation (hide)'!BH20,"")</f>
        <v/>
      </c>
      <c r="H27" s="218" t="str">
        <f>IF(ROW(A16)&lt;=Capacity!$A$16,Capacity!H32,"")</f>
        <v/>
      </c>
      <c r="I27" s="220" t="str">
        <f>IF(ROW(A16)&lt;=Capacity!$A$16,'Capacity calculation (hide)'!DK20,"")</f>
        <v/>
      </c>
      <c r="J27" s="221" t="str">
        <f t="shared" si="0"/>
        <v/>
      </c>
    </row>
    <row r="28" spans="2:10" x14ac:dyDescent="0.2">
      <c r="B28" s="221" t="str">
        <f>IF(Capacity!B33=0,"",Capacity!B33)</f>
        <v/>
      </c>
      <c r="C28" s="134"/>
      <c r="D28" s="134"/>
      <c r="E28" s="134"/>
      <c r="F28" s="218" t="str">
        <f>IF(ROW(A17)&lt;=Capacity!$A$16,Capacity!E33,"")</f>
        <v/>
      </c>
      <c r="G28" s="219" t="str">
        <f>IF(ROW(A17)&lt;=Capacity!$A$16,'Capacity calculation (hide)'!BH21,"")</f>
        <v/>
      </c>
      <c r="H28" s="218" t="str">
        <f>IF(ROW(A17)&lt;=Capacity!$A$16,Capacity!H33,"")</f>
        <v/>
      </c>
      <c r="I28" s="220" t="str">
        <f>IF(ROW(A17)&lt;=Capacity!$A$16,'Capacity calculation (hide)'!DK21,"")</f>
        <v/>
      </c>
      <c r="J28" s="221" t="str">
        <f t="shared" si="0"/>
        <v/>
      </c>
    </row>
    <row r="29" spans="2:10" x14ac:dyDescent="0.2">
      <c r="B29" s="221" t="str">
        <f>IF(Capacity!B34=0,"",Capacity!B34)</f>
        <v/>
      </c>
      <c r="C29" s="134"/>
      <c r="D29" s="134"/>
      <c r="E29" s="134"/>
      <c r="F29" s="218" t="str">
        <f>IF(ROW(A18)&lt;=Capacity!$A$16,Capacity!E34,"")</f>
        <v/>
      </c>
      <c r="G29" s="219" t="str">
        <f>IF(ROW(A18)&lt;=Capacity!$A$16,'Capacity calculation (hide)'!BH22,"")</f>
        <v/>
      </c>
      <c r="H29" s="218" t="str">
        <f>IF(ROW(A18)&lt;=Capacity!$A$16,Capacity!H34,"")</f>
        <v/>
      </c>
      <c r="I29" s="220" t="str">
        <f>IF(ROW(A18)&lt;=Capacity!$A$16,'Capacity calculation (hide)'!DK22,"")</f>
        <v/>
      </c>
      <c r="J29" s="221" t="str">
        <f t="shared" si="0"/>
        <v/>
      </c>
    </row>
    <row r="30" spans="2:10" x14ac:dyDescent="0.2">
      <c r="B30" s="221" t="str">
        <f>IF(Capacity!B35=0,"",Capacity!B35)</f>
        <v/>
      </c>
      <c r="C30" s="134"/>
      <c r="D30" s="134"/>
      <c r="E30" s="134"/>
      <c r="F30" s="218" t="str">
        <f>IF(ROW(A19)&lt;=Capacity!$A$16,Capacity!E35,"")</f>
        <v/>
      </c>
      <c r="G30" s="219" t="str">
        <f>IF(ROW(A19)&lt;=Capacity!$A$16,'Capacity calculation (hide)'!BH23,"")</f>
        <v/>
      </c>
      <c r="H30" s="218" t="str">
        <f>IF(ROW(A19)&lt;=Capacity!$A$16,Capacity!H35,"")</f>
        <v/>
      </c>
      <c r="I30" s="220" t="str">
        <f>IF(ROW(A19)&lt;=Capacity!$A$16,'Capacity calculation (hide)'!DK23,"")</f>
        <v/>
      </c>
      <c r="J30" s="221" t="str">
        <f t="shared" si="0"/>
        <v/>
      </c>
    </row>
    <row r="31" spans="2:10" x14ac:dyDescent="0.2">
      <c r="B31" s="221" t="str">
        <f>IF(Capacity!B36=0,"",Capacity!B36)</f>
        <v/>
      </c>
      <c r="C31" s="134"/>
      <c r="D31" s="134"/>
      <c r="E31" s="134"/>
      <c r="F31" s="218" t="str">
        <f>IF(ROW(A20)&lt;=Capacity!$A$16,Capacity!E36,"")</f>
        <v/>
      </c>
      <c r="G31" s="219" t="str">
        <f>IF(ROW(A20)&lt;=Capacity!$A$16,'Capacity calculation (hide)'!BH24,"")</f>
        <v/>
      </c>
      <c r="H31" s="218" t="str">
        <f>IF(ROW(A20)&lt;=Capacity!$A$16,Capacity!H36,"")</f>
        <v/>
      </c>
      <c r="I31" s="220" t="str">
        <f>IF(ROW(A20)&lt;=Capacity!$A$16,'Capacity calculation (hide)'!DK24,"")</f>
        <v/>
      </c>
      <c r="J31" s="221" t="str">
        <f t="shared" si="0"/>
        <v/>
      </c>
    </row>
    <row r="32" spans="2:10" x14ac:dyDescent="0.2">
      <c r="B32" s="221" t="str">
        <f>IF(Capacity!B37=0,"",Capacity!B37)</f>
        <v/>
      </c>
      <c r="C32" s="134"/>
      <c r="D32" s="134"/>
      <c r="E32" s="134"/>
      <c r="F32" s="218" t="str">
        <f>IF(ROW(A21)&lt;=Capacity!$A$16,Capacity!E37,"")</f>
        <v/>
      </c>
      <c r="G32" s="219" t="str">
        <f>IF(ROW(A21)&lt;=Capacity!$A$16,'Capacity calculation (hide)'!BH25,"")</f>
        <v/>
      </c>
      <c r="H32" s="218" t="str">
        <f>IF(ROW(A21)&lt;=Capacity!$A$16,Capacity!H37,"")</f>
        <v/>
      </c>
      <c r="I32" s="220" t="str">
        <f>IF(ROW(A21)&lt;=Capacity!$A$16,'Capacity calculation (hide)'!DK25,"")</f>
        <v/>
      </c>
      <c r="J32" s="221" t="str">
        <f t="shared" si="0"/>
        <v/>
      </c>
    </row>
    <row r="33" spans="2:10" x14ac:dyDescent="0.2">
      <c r="B33" s="221" t="str">
        <f>IF(Capacity!B38=0,"",Capacity!B38)</f>
        <v/>
      </c>
      <c r="C33" s="134"/>
      <c r="D33" s="134"/>
      <c r="E33" s="134"/>
      <c r="F33" s="218" t="str">
        <f>IF(ROW(A22)&lt;=Capacity!$A$16,Capacity!E38,"")</f>
        <v/>
      </c>
      <c r="G33" s="219" t="str">
        <f>IF(ROW(A22)&lt;=Capacity!$A$16,'Capacity calculation (hide)'!BH26,"")</f>
        <v/>
      </c>
      <c r="H33" s="218" t="str">
        <f>IF(ROW(A22)&lt;=Capacity!$A$16,Capacity!H38,"")</f>
        <v/>
      </c>
      <c r="I33" s="220" t="str">
        <f>IF(ROW(A22)&lt;=Capacity!$A$16,'Capacity calculation (hide)'!DK26,"")</f>
        <v/>
      </c>
      <c r="J33" s="221" t="str">
        <f t="shared" si="0"/>
        <v/>
      </c>
    </row>
    <row r="34" spans="2:10" x14ac:dyDescent="0.2">
      <c r="B34" s="221" t="str">
        <f>IF(Capacity!B39=0,"",Capacity!B39)</f>
        <v/>
      </c>
      <c r="C34" s="134"/>
      <c r="D34" s="134"/>
      <c r="E34" s="134"/>
      <c r="F34" s="218" t="str">
        <f>IF(ROW(A23)&lt;=Capacity!$A$16,Capacity!E39,"")</f>
        <v/>
      </c>
      <c r="G34" s="219" t="str">
        <f>IF(ROW(A23)&lt;=Capacity!$A$16,'Capacity calculation (hide)'!BH27,"")</f>
        <v/>
      </c>
      <c r="H34" s="218" t="str">
        <f>IF(ROW(A23)&lt;=Capacity!$A$16,Capacity!H39,"")</f>
        <v/>
      </c>
      <c r="I34" s="220" t="str">
        <f>IF(ROW(A23)&lt;=Capacity!$A$16,'Capacity calculation (hide)'!DK27,"")</f>
        <v/>
      </c>
      <c r="J34" s="221" t="str">
        <f t="shared" si="0"/>
        <v/>
      </c>
    </row>
    <row r="35" spans="2:10" x14ac:dyDescent="0.2">
      <c r="B35" s="221" t="str">
        <f>IF(Capacity!B40=0,"",Capacity!B40)</f>
        <v/>
      </c>
      <c r="C35" s="134"/>
      <c r="D35" s="134"/>
      <c r="E35" s="134"/>
      <c r="F35" s="218" t="str">
        <f>IF(ROW(A24)&lt;=Capacity!$A$16,Capacity!E40,"")</f>
        <v/>
      </c>
      <c r="G35" s="219" t="str">
        <f>IF(ROW(A24)&lt;=Capacity!$A$16,'Capacity calculation (hide)'!BH28,"")</f>
        <v/>
      </c>
      <c r="H35" s="218" t="str">
        <f>IF(ROW(A24)&lt;=Capacity!$A$16,Capacity!H40,"")</f>
        <v/>
      </c>
      <c r="I35" s="220" t="str">
        <f>IF(ROW(A24)&lt;=Capacity!$A$16,'Capacity calculation (hide)'!DK28,"")</f>
        <v/>
      </c>
      <c r="J35" s="221" t="str">
        <f t="shared" si="0"/>
        <v/>
      </c>
    </row>
    <row r="36" spans="2:10" x14ac:dyDescent="0.2">
      <c r="B36" s="221" t="str">
        <f>IF(Capacity!B41=0,"",Capacity!B41)</f>
        <v/>
      </c>
      <c r="C36" s="134"/>
      <c r="D36" s="134"/>
      <c r="E36" s="134"/>
      <c r="F36" s="218" t="str">
        <f>IF(ROW(A25)&lt;=Capacity!$A$16,Capacity!E41,"")</f>
        <v/>
      </c>
      <c r="G36" s="219" t="str">
        <f>IF(ROW(A25)&lt;=Capacity!$A$16,'Capacity calculation (hide)'!BH29,"")</f>
        <v/>
      </c>
      <c r="H36" s="218" t="str">
        <f>IF(ROW(A25)&lt;=Capacity!$A$16,Capacity!H41,"")</f>
        <v/>
      </c>
      <c r="I36" s="220" t="str">
        <f>IF(ROW(A25)&lt;=Capacity!$A$16,'Capacity calculation (hide)'!DK29,"")</f>
        <v/>
      </c>
      <c r="J36" s="221" t="str">
        <f t="shared" si="0"/>
        <v/>
      </c>
    </row>
    <row r="37" spans="2:10" x14ac:dyDescent="0.2">
      <c r="B37" s="221" t="str">
        <f>IF(Capacity!B42=0,"",Capacity!B42)</f>
        <v/>
      </c>
      <c r="C37" s="134"/>
      <c r="D37" s="134"/>
      <c r="E37" s="134"/>
      <c r="F37" s="218" t="str">
        <f>IF(ROW(A26)&lt;=Capacity!$A$16,Capacity!E42,"")</f>
        <v/>
      </c>
      <c r="G37" s="219" t="str">
        <f>IF(ROW(A26)&lt;=Capacity!$A$16,'Capacity calculation (hide)'!BH30,"")</f>
        <v/>
      </c>
      <c r="H37" s="218" t="str">
        <f>IF(ROW(A26)&lt;=Capacity!$A$16,Capacity!H42,"")</f>
        <v/>
      </c>
      <c r="I37" s="220" t="str">
        <f>IF(ROW(A26)&lt;=Capacity!$A$16,'Capacity calculation (hide)'!DK30,"")</f>
        <v/>
      </c>
      <c r="J37" s="221" t="str">
        <f t="shared" si="0"/>
        <v/>
      </c>
    </row>
    <row r="38" spans="2:10" x14ac:dyDescent="0.2">
      <c r="B38" s="221" t="str">
        <f>IF(Capacity!B43=0,"",Capacity!B43)</f>
        <v/>
      </c>
      <c r="C38" s="134"/>
      <c r="D38" s="134"/>
      <c r="E38" s="134"/>
      <c r="F38" s="218" t="str">
        <f>IF(ROW(A27)&lt;=Capacity!$A$16,Capacity!E43,"")</f>
        <v/>
      </c>
      <c r="G38" s="219" t="str">
        <f>IF(ROW(A27)&lt;=Capacity!$A$16,'Capacity calculation (hide)'!BH31,"")</f>
        <v/>
      </c>
      <c r="H38" s="218" t="str">
        <f>IF(ROW(A27)&lt;=Capacity!$A$16,Capacity!H43,"")</f>
        <v/>
      </c>
      <c r="I38" s="220" t="str">
        <f>IF(ROW(A27)&lt;=Capacity!$A$16,'Capacity calculation (hide)'!DK31,"")</f>
        <v/>
      </c>
      <c r="J38" s="221" t="str">
        <f t="shared" si="0"/>
        <v/>
      </c>
    </row>
    <row r="39" spans="2:10" x14ac:dyDescent="0.2">
      <c r="B39" s="221" t="str">
        <f>IF(Capacity!B44=0,"",Capacity!B44)</f>
        <v/>
      </c>
      <c r="C39" s="134"/>
      <c r="D39" s="134"/>
      <c r="E39" s="134"/>
      <c r="F39" s="218" t="str">
        <f>IF(ROW(A28)&lt;=Capacity!$A$16,Capacity!E44,"")</f>
        <v/>
      </c>
      <c r="G39" s="219" t="str">
        <f>IF(ROW(A28)&lt;=Capacity!$A$16,'Capacity calculation (hide)'!BH32,"")</f>
        <v/>
      </c>
      <c r="H39" s="218" t="str">
        <f>IF(ROW(A28)&lt;=Capacity!$A$16,Capacity!H44,"")</f>
        <v/>
      </c>
      <c r="I39" s="220" t="str">
        <f>IF(ROW(A28)&lt;=Capacity!$A$16,'Capacity calculation (hide)'!DK32,"")</f>
        <v/>
      </c>
      <c r="J39" s="221" t="str">
        <f t="shared" si="0"/>
        <v/>
      </c>
    </row>
    <row r="40" spans="2:10" x14ac:dyDescent="0.2">
      <c r="B40" s="221" t="str">
        <f>IF(Capacity!B45=0,"",Capacity!B45)</f>
        <v/>
      </c>
      <c r="C40" s="134"/>
      <c r="D40" s="134"/>
      <c r="E40" s="134"/>
      <c r="F40" s="218" t="str">
        <f>IF(ROW(A29)&lt;=Capacity!$A$16,Capacity!E45,"")</f>
        <v/>
      </c>
      <c r="G40" s="219" t="str">
        <f>IF(ROW(A29)&lt;=Capacity!$A$16,'Capacity calculation (hide)'!BH33,"")</f>
        <v/>
      </c>
      <c r="H40" s="218" t="str">
        <f>IF(ROW(A29)&lt;=Capacity!$A$16,Capacity!H45,"")</f>
        <v/>
      </c>
      <c r="I40" s="220" t="str">
        <f>IF(ROW(A29)&lt;=Capacity!$A$16,'Capacity calculation (hide)'!DK33,"")</f>
        <v/>
      </c>
      <c r="J40" s="221" t="str">
        <f t="shared" si="0"/>
        <v/>
      </c>
    </row>
    <row r="41" spans="2:10" x14ac:dyDescent="0.2">
      <c r="B41" s="221" t="str">
        <f>IF(Capacity!B46=0,"",Capacity!B46)</f>
        <v/>
      </c>
      <c r="C41" s="134"/>
      <c r="D41" s="134"/>
      <c r="E41" s="134"/>
      <c r="F41" s="218" t="str">
        <f>IF(ROW(A30)&lt;=Capacity!$A$16,Capacity!E46,"")</f>
        <v/>
      </c>
      <c r="G41" s="219" t="str">
        <f>IF(ROW(A30)&lt;=Capacity!$A$16,'Capacity calculation (hide)'!BH34,"")</f>
        <v/>
      </c>
      <c r="H41" s="218" t="str">
        <f>IF(ROW(A30)&lt;=Capacity!$A$16,Capacity!H46,"")</f>
        <v/>
      </c>
      <c r="I41" s="220" t="str">
        <f>IF(ROW(A30)&lt;=Capacity!$A$16,'Capacity calculation (hide)'!DK34,"")</f>
        <v/>
      </c>
      <c r="J41" s="221" t="str">
        <f t="shared" si="0"/>
        <v/>
      </c>
    </row>
    <row r="42" spans="2:10" x14ac:dyDescent="0.2">
      <c r="B42" s="221" t="str">
        <f>IF(Capacity!B47=0,"",Capacity!B47)</f>
        <v/>
      </c>
      <c r="C42" s="134"/>
      <c r="D42" s="134"/>
      <c r="E42" s="134"/>
      <c r="F42" s="218" t="str">
        <f>IF(ROW(A31)&lt;=Capacity!$A$16,Capacity!E47,"")</f>
        <v/>
      </c>
      <c r="G42" s="219" t="str">
        <f>IF(ROW(A31)&lt;=Capacity!$A$16,'Capacity calculation (hide)'!BH35,"")</f>
        <v/>
      </c>
      <c r="H42" s="218" t="str">
        <f>IF(ROW(A31)&lt;=Capacity!$A$16,Capacity!H47,"")</f>
        <v/>
      </c>
      <c r="I42" s="220" t="str">
        <f>IF(ROW(A31)&lt;=Capacity!$A$16,'Capacity calculation (hide)'!DK35,"")</f>
        <v/>
      </c>
      <c r="J42" s="221" t="str">
        <f t="shared" si="0"/>
        <v/>
      </c>
    </row>
    <row r="43" spans="2:10" x14ac:dyDescent="0.2">
      <c r="B43" s="221" t="str">
        <f>IF(Capacity!B48=0,"",Capacity!B48)</f>
        <v/>
      </c>
      <c r="C43" s="134"/>
      <c r="D43" s="134"/>
      <c r="E43" s="134"/>
      <c r="F43" s="218" t="str">
        <f>IF(ROW(A32)&lt;=Capacity!$A$16,Capacity!E48,"")</f>
        <v/>
      </c>
      <c r="G43" s="219" t="str">
        <f>IF(ROW(A32)&lt;=Capacity!$A$16,'Capacity calculation (hide)'!BH36,"")</f>
        <v/>
      </c>
      <c r="H43" s="218" t="str">
        <f>IF(ROW(A32)&lt;=Capacity!$A$16,Capacity!H48,"")</f>
        <v/>
      </c>
      <c r="I43" s="220" t="str">
        <f>IF(ROW(A32)&lt;=Capacity!$A$16,'Capacity calculation (hide)'!DK36,"")</f>
        <v/>
      </c>
      <c r="J43" s="221" t="str">
        <f t="shared" si="0"/>
        <v/>
      </c>
    </row>
    <row r="44" spans="2:10" x14ac:dyDescent="0.2">
      <c r="B44" s="221" t="str">
        <f>IF(Capacity!B49=0,"",Capacity!B49)</f>
        <v/>
      </c>
      <c r="C44" s="134"/>
      <c r="D44" s="134"/>
      <c r="E44" s="134"/>
      <c r="F44" s="218" t="str">
        <f>IF(ROW(A33)&lt;=Capacity!$A$16,Capacity!E49,"")</f>
        <v/>
      </c>
      <c r="G44" s="219" t="str">
        <f>IF(ROW(A33)&lt;=Capacity!$A$16,'Capacity calculation (hide)'!BH37,"")</f>
        <v/>
      </c>
      <c r="H44" s="218" t="str">
        <f>IF(ROW(A33)&lt;=Capacity!$A$16,Capacity!H49,"")</f>
        <v/>
      </c>
      <c r="I44" s="220" t="str">
        <f>IF(ROW(A33)&lt;=Capacity!$A$16,'Capacity calculation (hide)'!DK37,"")</f>
        <v/>
      </c>
      <c r="J44" s="221" t="str">
        <f t="shared" si="0"/>
        <v/>
      </c>
    </row>
    <row r="45" spans="2:10" x14ac:dyDescent="0.2">
      <c r="B45" s="221" t="str">
        <f>IF(Capacity!B50=0,"",Capacity!B50)</f>
        <v/>
      </c>
      <c r="C45" s="134"/>
      <c r="D45" s="134"/>
      <c r="E45" s="134"/>
      <c r="F45" s="218" t="str">
        <f>IF(ROW(A34)&lt;=Capacity!$A$16,Capacity!E50,"")</f>
        <v/>
      </c>
      <c r="G45" s="219" t="str">
        <f>IF(ROW(A34)&lt;=Capacity!$A$16,'Capacity calculation (hide)'!BH38,"")</f>
        <v/>
      </c>
      <c r="H45" s="218" t="str">
        <f>IF(ROW(A34)&lt;=Capacity!$A$16,Capacity!H50,"")</f>
        <v/>
      </c>
      <c r="I45" s="220" t="str">
        <f>IF(ROW(A34)&lt;=Capacity!$A$16,'Capacity calculation (hide)'!DK38,"")</f>
        <v/>
      </c>
      <c r="J45" s="221" t="str">
        <f t="shared" si="0"/>
        <v/>
      </c>
    </row>
    <row r="46" spans="2:10" x14ac:dyDescent="0.2">
      <c r="B46" s="221" t="str">
        <f>IF(Capacity!B51=0,"",Capacity!B51)</f>
        <v/>
      </c>
      <c r="C46" s="134"/>
      <c r="D46" s="134"/>
      <c r="E46" s="134"/>
      <c r="F46" s="218" t="str">
        <f>IF(ROW(A35)&lt;=Capacity!$A$16,Capacity!E51,"")</f>
        <v/>
      </c>
      <c r="G46" s="219" t="str">
        <f>IF(ROW(A35)&lt;=Capacity!$A$16,'Capacity calculation (hide)'!BH39,"")</f>
        <v/>
      </c>
      <c r="H46" s="218" t="str">
        <f>IF(ROW(A35)&lt;=Capacity!$A$16,Capacity!H51,"")</f>
        <v/>
      </c>
      <c r="I46" s="220" t="str">
        <f>IF(ROW(A35)&lt;=Capacity!$A$16,'Capacity calculation (hide)'!DK39,"")</f>
        <v/>
      </c>
      <c r="J46" s="221" t="str">
        <f t="shared" si="0"/>
        <v/>
      </c>
    </row>
    <row r="47" spans="2:10" x14ac:dyDescent="0.2">
      <c r="B47" s="221" t="str">
        <f>IF(Capacity!B52=0,"",Capacity!B52)</f>
        <v/>
      </c>
      <c r="C47" s="134"/>
      <c r="D47" s="134"/>
      <c r="E47" s="134"/>
      <c r="F47" s="218" t="str">
        <f>IF(ROW(A36)&lt;=Capacity!$A$16,Capacity!E52,"")</f>
        <v/>
      </c>
      <c r="G47" s="219" t="str">
        <f>IF(ROW(A36)&lt;=Capacity!$A$16,'Capacity calculation (hide)'!BH40,"")</f>
        <v/>
      </c>
      <c r="H47" s="218" t="str">
        <f>IF(ROW(A36)&lt;=Capacity!$A$16,Capacity!H52,"")</f>
        <v/>
      </c>
      <c r="I47" s="220" t="str">
        <f>IF(ROW(A36)&lt;=Capacity!$A$16,'Capacity calculation (hide)'!DK40,"")</f>
        <v/>
      </c>
      <c r="J47" s="221" t="str">
        <f t="shared" si="0"/>
        <v/>
      </c>
    </row>
    <row r="48" spans="2:10" x14ac:dyDescent="0.2">
      <c r="B48" s="221" t="str">
        <f>IF(Capacity!B53=0,"",Capacity!B53)</f>
        <v/>
      </c>
      <c r="C48" s="134"/>
      <c r="D48" s="134"/>
      <c r="E48" s="134"/>
      <c r="F48" s="218" t="str">
        <f>IF(ROW(A37)&lt;=Capacity!$A$16,Capacity!E53,"")</f>
        <v/>
      </c>
      <c r="G48" s="219" t="str">
        <f>IF(ROW(A37)&lt;=Capacity!$A$16,'Capacity calculation (hide)'!BH41,"")</f>
        <v/>
      </c>
      <c r="H48" s="218" t="str">
        <f>IF(ROW(A37)&lt;=Capacity!$A$16,Capacity!H53,"")</f>
        <v/>
      </c>
      <c r="I48" s="220" t="str">
        <f>IF(ROW(A37)&lt;=Capacity!$A$16,'Capacity calculation (hide)'!DK41,"")</f>
        <v/>
      </c>
      <c r="J48" s="221" t="str">
        <f t="shared" si="0"/>
        <v/>
      </c>
    </row>
    <row r="49" spans="2:10" x14ac:dyDescent="0.2">
      <c r="B49" s="221" t="str">
        <f>IF(Capacity!B54=0,"",Capacity!B54)</f>
        <v/>
      </c>
      <c r="C49" s="134"/>
      <c r="D49" s="134"/>
      <c r="E49" s="134"/>
      <c r="F49" s="218" t="str">
        <f>IF(ROW(A38)&lt;=Capacity!$A$16,Capacity!E54,"")</f>
        <v/>
      </c>
      <c r="G49" s="219" t="str">
        <f>IF(ROW(A38)&lt;=Capacity!$A$16,'Capacity calculation (hide)'!BH42,"")</f>
        <v/>
      </c>
      <c r="H49" s="218" t="str">
        <f>IF(ROW(A38)&lt;=Capacity!$A$16,Capacity!H54,"")</f>
        <v/>
      </c>
      <c r="I49" s="220" t="str">
        <f>IF(ROW(A38)&lt;=Capacity!$A$16,'Capacity calculation (hide)'!DK42,"")</f>
        <v/>
      </c>
      <c r="J49" s="221" t="str">
        <f t="shared" si="0"/>
        <v/>
      </c>
    </row>
    <row r="50" spans="2:10" x14ac:dyDescent="0.2">
      <c r="B50" s="221" t="str">
        <f>IF(Capacity!B55=0,"",Capacity!B55)</f>
        <v/>
      </c>
      <c r="C50" s="134"/>
      <c r="D50" s="134"/>
      <c r="E50" s="134"/>
      <c r="F50" s="218" t="str">
        <f>IF(ROW(A39)&lt;=Capacity!$A$16,Capacity!E55,"")</f>
        <v/>
      </c>
      <c r="G50" s="219" t="str">
        <f>IF(ROW(A39)&lt;=Capacity!$A$16,'Capacity calculation (hide)'!BH43,"")</f>
        <v/>
      </c>
      <c r="H50" s="218" t="str">
        <f>IF(ROW(A39)&lt;=Capacity!$A$16,Capacity!H55,"")</f>
        <v/>
      </c>
      <c r="I50" s="220" t="str">
        <f>IF(ROW(A39)&lt;=Capacity!$A$16,'Capacity calculation (hide)'!DK43,"")</f>
        <v/>
      </c>
      <c r="J50" s="221" t="str">
        <f t="shared" si="0"/>
        <v/>
      </c>
    </row>
    <row r="51" spans="2:10" x14ac:dyDescent="0.2">
      <c r="B51" s="221" t="str">
        <f>IF(Capacity!B56=0,"",Capacity!B56)</f>
        <v/>
      </c>
      <c r="C51" s="134"/>
      <c r="D51" s="134"/>
      <c r="E51" s="134"/>
      <c r="F51" s="218" t="str">
        <f>IF(ROW(A40)&lt;=Capacity!$A$16,Capacity!E56,"")</f>
        <v/>
      </c>
      <c r="G51" s="219" t="str">
        <f>IF(ROW(A40)&lt;=Capacity!$A$16,'Capacity calculation (hide)'!BH44,"")</f>
        <v/>
      </c>
      <c r="H51" s="218" t="str">
        <f>IF(ROW(A40)&lt;=Capacity!$A$16,Capacity!H56,"")</f>
        <v/>
      </c>
      <c r="I51" s="220" t="str">
        <f>IF(ROW(A40)&lt;=Capacity!$A$16,'Capacity calculation (hide)'!DK44,"")</f>
        <v/>
      </c>
      <c r="J51" s="221" t="str">
        <f t="shared" si="0"/>
        <v/>
      </c>
    </row>
    <row r="52" spans="2:10" x14ac:dyDescent="0.2">
      <c r="B52" s="221" t="str">
        <f>IF(Capacity!B57=0,"",Capacity!B57)</f>
        <v/>
      </c>
      <c r="C52" s="134"/>
      <c r="D52" s="134"/>
      <c r="E52" s="134"/>
      <c r="F52" s="218" t="str">
        <f>IF(ROW(A41)&lt;=Capacity!$A$16,Capacity!E57,"")</f>
        <v/>
      </c>
      <c r="G52" s="219" t="str">
        <f>IF(ROW(A41)&lt;=Capacity!$A$16,'Capacity calculation (hide)'!BH45,"")</f>
        <v/>
      </c>
      <c r="H52" s="218" t="str">
        <f>IF(ROW(A41)&lt;=Capacity!$A$16,Capacity!H57,"")</f>
        <v/>
      </c>
      <c r="I52" s="220" t="str">
        <f>IF(ROW(A41)&lt;=Capacity!$A$16,'Capacity calculation (hide)'!DK45,"")</f>
        <v/>
      </c>
      <c r="J52" s="221" t="str">
        <f t="shared" si="0"/>
        <v/>
      </c>
    </row>
    <row r="53" spans="2:10" x14ac:dyDescent="0.2">
      <c r="B53" s="221" t="str">
        <f>IF(Capacity!B58=0,"",Capacity!B58)</f>
        <v/>
      </c>
      <c r="C53" s="134"/>
      <c r="D53" s="134"/>
      <c r="E53" s="134"/>
      <c r="F53" s="218" t="str">
        <f>IF(ROW(A42)&lt;=Capacity!$A$16,Capacity!E58,"")</f>
        <v/>
      </c>
      <c r="G53" s="219" t="str">
        <f>IF(ROW(A42)&lt;=Capacity!$A$16,'Capacity calculation (hide)'!BH46,"")</f>
        <v/>
      </c>
      <c r="H53" s="218" t="str">
        <f>IF(ROW(A42)&lt;=Capacity!$A$16,Capacity!H58,"")</f>
        <v/>
      </c>
      <c r="I53" s="220" t="str">
        <f>IF(ROW(A42)&lt;=Capacity!$A$16,'Capacity calculation (hide)'!DK46,"")</f>
        <v/>
      </c>
      <c r="J53" s="221" t="str">
        <f t="shared" si="0"/>
        <v/>
      </c>
    </row>
    <row r="54" spans="2:10" x14ac:dyDescent="0.2">
      <c r="B54" s="221" t="str">
        <f>IF(Capacity!B59=0,"",Capacity!B59)</f>
        <v/>
      </c>
      <c r="C54" s="134"/>
      <c r="D54" s="134"/>
      <c r="E54" s="134"/>
      <c r="F54" s="218" t="str">
        <f>IF(ROW(A43)&lt;=Capacity!$A$16,Capacity!E59,"")</f>
        <v/>
      </c>
      <c r="G54" s="219" t="str">
        <f>IF(ROW(A43)&lt;=Capacity!$A$16,'Capacity calculation (hide)'!BH47,"")</f>
        <v/>
      </c>
      <c r="H54" s="218" t="str">
        <f>IF(ROW(A43)&lt;=Capacity!$A$16,Capacity!H59,"")</f>
        <v/>
      </c>
      <c r="I54" s="220" t="str">
        <f>IF(ROW(A43)&lt;=Capacity!$A$16,'Capacity calculation (hide)'!DK47,"")</f>
        <v/>
      </c>
      <c r="J54" s="221" t="str">
        <f t="shared" si="0"/>
        <v/>
      </c>
    </row>
    <row r="55" spans="2:10" x14ac:dyDescent="0.2">
      <c r="B55" s="221" t="str">
        <f>IF(Capacity!B60=0,"",Capacity!B60)</f>
        <v/>
      </c>
      <c r="C55" s="134"/>
      <c r="D55" s="134"/>
      <c r="E55" s="134"/>
      <c r="F55" s="218" t="str">
        <f>IF(ROW(A44)&lt;=Capacity!$A$16,Capacity!E60,"")</f>
        <v/>
      </c>
      <c r="G55" s="219" t="str">
        <f>IF(ROW(A44)&lt;=Capacity!$A$16,'Capacity calculation (hide)'!BH48,"")</f>
        <v/>
      </c>
      <c r="H55" s="218" t="str">
        <f>IF(ROW(A44)&lt;=Capacity!$A$16,Capacity!H60,"")</f>
        <v/>
      </c>
      <c r="I55" s="220" t="str">
        <f>IF(ROW(A44)&lt;=Capacity!$A$16,'Capacity calculation (hide)'!DK48,"")</f>
        <v/>
      </c>
      <c r="J55" s="221" t="str">
        <f t="shared" si="0"/>
        <v/>
      </c>
    </row>
    <row r="56" spans="2:10" x14ac:dyDescent="0.2">
      <c r="B56" s="221" t="str">
        <f>IF(Capacity!B61=0,"",Capacity!B61)</f>
        <v/>
      </c>
      <c r="C56" s="134"/>
      <c r="D56" s="134"/>
      <c r="E56" s="134"/>
      <c r="F56" s="218" t="str">
        <f>IF(ROW(A45)&lt;=Capacity!$A$16,Capacity!E61,"")</f>
        <v/>
      </c>
      <c r="G56" s="219" t="str">
        <f>IF(ROW(A45)&lt;=Capacity!$A$16,'Capacity calculation (hide)'!BH49,"")</f>
        <v/>
      </c>
      <c r="H56" s="218" t="str">
        <f>IF(ROW(A45)&lt;=Capacity!$A$16,Capacity!H61,"")</f>
        <v/>
      </c>
      <c r="I56" s="220" t="str">
        <f>IF(ROW(A45)&lt;=Capacity!$A$16,'Capacity calculation (hide)'!DK49,"")</f>
        <v/>
      </c>
      <c r="J56" s="221" t="str">
        <f t="shared" si="0"/>
        <v/>
      </c>
    </row>
    <row r="57" spans="2:10" x14ac:dyDescent="0.2">
      <c r="B57" s="221" t="str">
        <f>IF(Capacity!B62=0,"",Capacity!B62)</f>
        <v/>
      </c>
      <c r="C57" s="134"/>
      <c r="D57" s="134"/>
      <c r="E57" s="134"/>
      <c r="F57" s="218" t="str">
        <f>IF(ROW(A46)&lt;=Capacity!$A$16,Capacity!E62,"")</f>
        <v/>
      </c>
      <c r="G57" s="219" t="str">
        <f>IF(ROW(A46)&lt;=Capacity!$A$16,'Capacity calculation (hide)'!BH50,"")</f>
        <v/>
      </c>
      <c r="H57" s="218" t="str">
        <f>IF(ROW(A46)&lt;=Capacity!$A$16,Capacity!H62,"")</f>
        <v/>
      </c>
      <c r="I57" s="220" t="str">
        <f>IF(ROW(A46)&lt;=Capacity!$A$16,'Capacity calculation (hide)'!DK50,"")</f>
        <v/>
      </c>
      <c r="J57" s="221" t="str">
        <f t="shared" si="0"/>
        <v/>
      </c>
    </row>
    <row r="58" spans="2:10" x14ac:dyDescent="0.2">
      <c r="B58" s="221" t="str">
        <f>IF(Capacity!B63=0,"",Capacity!B63)</f>
        <v/>
      </c>
      <c r="C58" s="134"/>
      <c r="D58" s="134"/>
      <c r="E58" s="134"/>
      <c r="F58" s="218" t="str">
        <f>IF(ROW(A47)&lt;=Capacity!$A$16,Capacity!E63,"")</f>
        <v/>
      </c>
      <c r="G58" s="219" t="str">
        <f>IF(ROW(A47)&lt;=Capacity!$A$16,'Capacity calculation (hide)'!BH51,"")</f>
        <v/>
      </c>
      <c r="H58" s="218" t="str">
        <f>IF(ROW(A47)&lt;=Capacity!$A$16,Capacity!H63,"")</f>
        <v/>
      </c>
      <c r="I58" s="220" t="str">
        <f>IF(ROW(A47)&lt;=Capacity!$A$16,'Capacity calculation (hide)'!DK51,"")</f>
        <v/>
      </c>
      <c r="J58" s="221" t="str">
        <f t="shared" si="0"/>
        <v/>
      </c>
    </row>
    <row r="59" spans="2:10" x14ac:dyDescent="0.2">
      <c r="B59" s="221" t="str">
        <f>IF(Capacity!B64=0,"",Capacity!B64)</f>
        <v/>
      </c>
      <c r="C59" s="134"/>
      <c r="D59" s="134"/>
      <c r="E59" s="134"/>
      <c r="F59" s="218" t="str">
        <f>IF(ROW(A48)&lt;=Capacity!$A$16,Capacity!E64,"")</f>
        <v/>
      </c>
      <c r="G59" s="219" t="str">
        <f>IF(ROW(A48)&lt;=Capacity!$A$16,'Capacity calculation (hide)'!BH52,"")</f>
        <v/>
      </c>
      <c r="H59" s="218" t="str">
        <f>IF(ROW(A48)&lt;=Capacity!$A$16,Capacity!H64,"")</f>
        <v/>
      </c>
      <c r="I59" s="220" t="str">
        <f>IF(ROW(A48)&lt;=Capacity!$A$16,'Capacity calculation (hide)'!DK52,"")</f>
        <v/>
      </c>
      <c r="J59" s="221" t="str">
        <f t="shared" si="0"/>
        <v/>
      </c>
    </row>
    <row r="60" spans="2:10" x14ac:dyDescent="0.2">
      <c r="B60" s="221" t="str">
        <f>IF(Capacity!B65=0,"",Capacity!B65)</f>
        <v/>
      </c>
      <c r="C60" s="134"/>
      <c r="D60" s="134"/>
      <c r="E60" s="134"/>
      <c r="F60" s="218" t="str">
        <f>IF(ROW(A49)&lt;=Capacity!$A$16,Capacity!E65,"")</f>
        <v/>
      </c>
      <c r="G60" s="219" t="str">
        <f>IF(ROW(A49)&lt;=Capacity!$A$16,'Capacity calculation (hide)'!BH53,"")</f>
        <v/>
      </c>
      <c r="H60" s="218" t="str">
        <f>IF(ROW(A49)&lt;=Capacity!$A$16,Capacity!H65,"")</f>
        <v/>
      </c>
      <c r="I60" s="220" t="str">
        <f>IF(ROW(A49)&lt;=Capacity!$A$16,'Capacity calculation (hide)'!DK53,"")</f>
        <v/>
      </c>
      <c r="J60" s="221" t="str">
        <f t="shared" si="0"/>
        <v/>
      </c>
    </row>
    <row r="61" spans="2:10" x14ac:dyDescent="0.2">
      <c r="B61" s="221" t="str">
        <f>IF(Capacity!B66=0,"",Capacity!B66)</f>
        <v/>
      </c>
      <c r="C61" s="134"/>
      <c r="D61" s="134"/>
      <c r="E61" s="134"/>
      <c r="F61" s="218" t="str">
        <f>IF(ROW(A50)&lt;=Capacity!$A$16,Capacity!E66,"")</f>
        <v/>
      </c>
      <c r="G61" s="219" t="str">
        <f>IF(ROW(A50)&lt;=Capacity!$A$16,'Capacity calculation (hide)'!BH54,"")</f>
        <v/>
      </c>
      <c r="H61" s="218" t="str">
        <f>IF(ROW(A50)&lt;=Capacity!$A$16,Capacity!H66,"")</f>
        <v/>
      </c>
      <c r="I61" s="220" t="str">
        <f>IF(ROW(A50)&lt;=Capacity!$A$16,'Capacity calculation (hide)'!DK54,"")</f>
        <v/>
      </c>
      <c r="J61" s="221" t="str">
        <f t="shared" si="0"/>
        <v/>
      </c>
    </row>
    <row r="62" spans="2:10" x14ac:dyDescent="0.2">
      <c r="B62" s="221" t="str">
        <f>IF(Capacity!B67=0,"",Capacity!B67)</f>
        <v/>
      </c>
      <c r="C62" s="134"/>
      <c r="D62" s="134"/>
      <c r="E62" s="134"/>
      <c r="F62" s="218" t="str">
        <f>IF(ROW(A51)&lt;=Capacity!$A$16,Capacity!E67,"")</f>
        <v/>
      </c>
      <c r="G62" s="219" t="str">
        <f>IF(ROW(A51)&lt;=Capacity!$A$16,'Capacity calculation (hide)'!BH55,"")</f>
        <v/>
      </c>
      <c r="H62" s="218" t="str">
        <f>IF(ROW(A51)&lt;=Capacity!$A$16,Capacity!H67,"")</f>
        <v/>
      </c>
      <c r="I62" s="220" t="str">
        <f>IF(ROW(A51)&lt;=Capacity!$A$16,'Capacity calculation (hide)'!DK55,"")</f>
        <v/>
      </c>
      <c r="J62" s="221" t="str">
        <f t="shared" si="0"/>
        <v/>
      </c>
    </row>
    <row r="63" spans="2:10" x14ac:dyDescent="0.2">
      <c r="B63" s="221" t="str">
        <f>IF(Capacity!B68=0,"",Capacity!B68)</f>
        <v/>
      </c>
      <c r="C63" s="134"/>
      <c r="D63" s="134"/>
      <c r="E63" s="134"/>
      <c r="F63" s="218" t="str">
        <f>IF(ROW(A52)&lt;=Capacity!$A$16,Capacity!E68,"")</f>
        <v/>
      </c>
      <c r="G63" s="219" t="str">
        <f>IF(ROW(A52)&lt;=Capacity!$A$16,'Capacity calculation (hide)'!BH56,"")</f>
        <v/>
      </c>
      <c r="H63" s="218" t="str">
        <f>IF(ROW(A52)&lt;=Capacity!$A$16,Capacity!H68,"")</f>
        <v/>
      </c>
      <c r="I63" s="220" t="str">
        <f>IF(ROW(A52)&lt;=Capacity!$A$16,'Capacity calculation (hide)'!DK56,"")</f>
        <v/>
      </c>
      <c r="J63" s="221" t="str">
        <f t="shared" si="0"/>
        <v/>
      </c>
    </row>
    <row r="64" spans="2:10" x14ac:dyDescent="0.2">
      <c r="B64" s="221" t="str">
        <f>IF(Capacity!B69=0,"",Capacity!B69)</f>
        <v/>
      </c>
      <c r="C64" s="134"/>
      <c r="D64" s="134"/>
      <c r="E64" s="134"/>
      <c r="F64" s="218" t="str">
        <f>IF(ROW(A53)&lt;=Capacity!$A$16,Capacity!E69,"")</f>
        <v/>
      </c>
      <c r="G64" s="219" t="str">
        <f>IF(ROW(A53)&lt;=Capacity!$A$16,'Capacity calculation (hide)'!BH57,"")</f>
        <v/>
      </c>
      <c r="H64" s="218" t="str">
        <f>IF(ROW(A53)&lt;=Capacity!$A$16,Capacity!H69,"")</f>
        <v/>
      </c>
      <c r="I64" s="220" t="str">
        <f>IF(ROW(A53)&lt;=Capacity!$A$16,'Capacity calculation (hide)'!DK57,"")</f>
        <v/>
      </c>
      <c r="J64" s="221" t="str">
        <f t="shared" si="0"/>
        <v/>
      </c>
    </row>
    <row r="65" spans="2:10" x14ac:dyDescent="0.2">
      <c r="B65" s="221" t="str">
        <f>IF(Capacity!B70=0,"",Capacity!B70)</f>
        <v/>
      </c>
      <c r="C65" s="134"/>
      <c r="D65" s="134"/>
      <c r="E65" s="134"/>
      <c r="F65" s="218" t="str">
        <f>IF(ROW(A54)&lt;=Capacity!$A$16,Capacity!E70,"")</f>
        <v/>
      </c>
      <c r="G65" s="219" t="str">
        <f>IF(ROW(A54)&lt;=Capacity!$A$16,'Capacity calculation (hide)'!BH58,"")</f>
        <v/>
      </c>
      <c r="H65" s="218" t="str">
        <f>IF(ROW(A54)&lt;=Capacity!$A$16,Capacity!H70,"")</f>
        <v/>
      </c>
      <c r="I65" s="220" t="str">
        <f>IF(ROW(A54)&lt;=Capacity!$A$16,'Capacity calculation (hide)'!DK58,"")</f>
        <v/>
      </c>
      <c r="J65" s="221" t="str">
        <f t="shared" si="0"/>
        <v/>
      </c>
    </row>
    <row r="66" spans="2:10" x14ac:dyDescent="0.2">
      <c r="B66" s="221" t="str">
        <f>IF(Capacity!B71=0,"",Capacity!B71)</f>
        <v/>
      </c>
      <c r="C66" s="134"/>
      <c r="D66" s="134"/>
      <c r="E66" s="134"/>
      <c r="F66" s="218" t="str">
        <f>IF(ROW(A55)&lt;=Capacity!$A$16,Capacity!E71,"")</f>
        <v/>
      </c>
      <c r="G66" s="219" t="str">
        <f>IF(ROW(A55)&lt;=Capacity!$A$16,'Capacity calculation (hide)'!BH59,"")</f>
        <v/>
      </c>
      <c r="H66" s="218" t="str">
        <f>IF(ROW(A55)&lt;=Capacity!$A$16,Capacity!H71,"")</f>
        <v/>
      </c>
      <c r="I66" s="220" t="str">
        <f>IF(ROW(A55)&lt;=Capacity!$A$16,'Capacity calculation (hide)'!DK59,"")</f>
        <v/>
      </c>
      <c r="J66" s="221" t="str">
        <f t="shared" si="0"/>
        <v/>
      </c>
    </row>
    <row r="67" spans="2:10" x14ac:dyDescent="0.2">
      <c r="B67" s="221" t="str">
        <f>IF(Capacity!B72=0,"",Capacity!B72)</f>
        <v/>
      </c>
      <c r="C67" s="134"/>
      <c r="D67" s="134"/>
      <c r="E67" s="134"/>
      <c r="F67" s="218" t="str">
        <f>IF(ROW(A56)&lt;=Capacity!$A$16,Capacity!E72,"")</f>
        <v/>
      </c>
      <c r="G67" s="219" t="str">
        <f>IF(ROW(A56)&lt;=Capacity!$A$16,'Capacity calculation (hide)'!BH60,"")</f>
        <v/>
      </c>
      <c r="H67" s="218" t="str">
        <f>IF(ROW(A56)&lt;=Capacity!$A$16,Capacity!H72,"")</f>
        <v/>
      </c>
      <c r="I67" s="220" t="str">
        <f>IF(ROW(A56)&lt;=Capacity!$A$16,'Capacity calculation (hide)'!DK60,"")</f>
        <v/>
      </c>
      <c r="J67" s="221" t="str">
        <f t="shared" si="0"/>
        <v/>
      </c>
    </row>
    <row r="68" spans="2:10" x14ac:dyDescent="0.2">
      <c r="B68" s="221" t="str">
        <f>IF(Capacity!B73=0,"",Capacity!B73)</f>
        <v/>
      </c>
      <c r="C68" s="134"/>
      <c r="D68" s="134"/>
      <c r="E68" s="134"/>
      <c r="F68" s="218" t="str">
        <f>IF(ROW(A57)&lt;=Capacity!$A$16,Capacity!E73,"")</f>
        <v/>
      </c>
      <c r="G68" s="219" t="str">
        <f>IF(ROW(A57)&lt;=Capacity!$A$16,'Capacity calculation (hide)'!BH61,"")</f>
        <v/>
      </c>
      <c r="H68" s="218" t="str">
        <f>IF(ROW(A57)&lt;=Capacity!$A$16,Capacity!H73,"")</f>
        <v/>
      </c>
      <c r="I68" s="220" t="str">
        <f>IF(ROW(A57)&lt;=Capacity!$A$16,'Capacity calculation (hide)'!DK61,"")</f>
        <v/>
      </c>
      <c r="J68" s="221" t="str">
        <f t="shared" si="0"/>
        <v/>
      </c>
    </row>
    <row r="69" spans="2:10" x14ac:dyDescent="0.2">
      <c r="B69" s="221" t="str">
        <f>IF(Capacity!B74=0,"",Capacity!B74)</f>
        <v/>
      </c>
      <c r="C69" s="134"/>
      <c r="D69" s="134"/>
      <c r="E69" s="134"/>
      <c r="F69" s="218" t="str">
        <f>IF(ROW(A58)&lt;=Capacity!$A$16,Capacity!E74,"")</f>
        <v/>
      </c>
      <c r="G69" s="219" t="str">
        <f>IF(ROW(A58)&lt;=Capacity!$A$16,'Capacity calculation (hide)'!BH62,"")</f>
        <v/>
      </c>
      <c r="H69" s="218" t="str">
        <f>IF(ROW(A58)&lt;=Capacity!$A$16,Capacity!H74,"")</f>
        <v/>
      </c>
      <c r="I69" s="220" t="str">
        <f>IF(ROW(A58)&lt;=Capacity!$A$16,'Capacity calculation (hide)'!DK62,"")</f>
        <v/>
      </c>
      <c r="J69" s="221" t="str">
        <f t="shared" si="0"/>
        <v/>
      </c>
    </row>
    <row r="70" spans="2:10" x14ac:dyDescent="0.2">
      <c r="B70" s="221" t="str">
        <f>IF(Capacity!B75=0,"",Capacity!B75)</f>
        <v/>
      </c>
      <c r="C70" s="134"/>
      <c r="D70" s="134"/>
      <c r="E70" s="134"/>
      <c r="F70" s="218" t="str">
        <f>IF(ROW(A59)&lt;=Capacity!$A$16,Capacity!E75,"")</f>
        <v/>
      </c>
      <c r="G70" s="219" t="str">
        <f>IF(ROW(A59)&lt;=Capacity!$A$16,'Capacity calculation (hide)'!BH63,"")</f>
        <v/>
      </c>
      <c r="H70" s="218" t="str">
        <f>IF(ROW(A59)&lt;=Capacity!$A$16,Capacity!H75,"")</f>
        <v/>
      </c>
      <c r="I70" s="220" t="str">
        <f>IF(ROW(A59)&lt;=Capacity!$A$16,'Capacity calculation (hide)'!DK63,"")</f>
        <v/>
      </c>
      <c r="J70" s="221" t="str">
        <f t="shared" si="0"/>
        <v/>
      </c>
    </row>
    <row r="71" spans="2:10" x14ac:dyDescent="0.2">
      <c r="B71" s="221" t="str">
        <f>IF(Capacity!B76=0,"",Capacity!B76)</f>
        <v/>
      </c>
      <c r="C71" s="134"/>
      <c r="D71" s="134"/>
      <c r="E71" s="134"/>
      <c r="F71" s="218" t="str">
        <f>IF(ROW(A60)&lt;=Capacity!$A$16,Capacity!E76,"")</f>
        <v/>
      </c>
      <c r="G71" s="219" t="str">
        <f>IF(ROW(A60)&lt;=Capacity!$A$16,'Capacity calculation (hide)'!BH64,"")</f>
        <v/>
      </c>
      <c r="H71" s="218" t="str">
        <f>IF(ROW(A60)&lt;=Capacity!$A$16,Capacity!H76,"")</f>
        <v/>
      </c>
      <c r="I71" s="220" t="str">
        <f>IF(ROW(A60)&lt;=Capacity!$A$16,'Capacity calculation (hide)'!DK64,"")</f>
        <v/>
      </c>
      <c r="J71" s="221" t="str">
        <f t="shared" si="0"/>
        <v/>
      </c>
    </row>
    <row r="72" spans="2:10" x14ac:dyDescent="0.2">
      <c r="B72" s="221" t="str">
        <f>IF(Capacity!B77=0,"",Capacity!B77)</f>
        <v/>
      </c>
      <c r="C72" s="134"/>
      <c r="D72" s="134"/>
      <c r="E72" s="134"/>
      <c r="F72" s="218" t="str">
        <f>IF(ROW(A61)&lt;=Capacity!$A$16,Capacity!E77,"")</f>
        <v/>
      </c>
      <c r="G72" s="219" t="str">
        <f>IF(ROW(A61)&lt;=Capacity!$A$16,'Capacity calculation (hide)'!BH65,"")</f>
        <v/>
      </c>
      <c r="H72" s="218" t="str">
        <f>IF(ROW(A61)&lt;=Capacity!$A$16,Capacity!H77,"")</f>
        <v/>
      </c>
      <c r="I72" s="220" t="str">
        <f>IF(ROW(A61)&lt;=Capacity!$A$16,'Capacity calculation (hide)'!DK65,"")</f>
        <v/>
      </c>
      <c r="J72" s="221" t="str">
        <f t="shared" si="0"/>
        <v/>
      </c>
    </row>
    <row r="73" spans="2:10" x14ac:dyDescent="0.2">
      <c r="B73" s="221" t="str">
        <f>IF(Capacity!B78=0,"",Capacity!B78)</f>
        <v/>
      </c>
      <c r="C73" s="134"/>
      <c r="D73" s="134"/>
      <c r="E73" s="134"/>
      <c r="F73" s="218" t="str">
        <f>IF(ROW(A62)&lt;=Capacity!$A$16,Capacity!E78,"")</f>
        <v/>
      </c>
      <c r="G73" s="219" t="str">
        <f>IF(ROW(A62)&lt;=Capacity!$A$16,'Capacity calculation (hide)'!BH66,"")</f>
        <v/>
      </c>
      <c r="H73" s="218" t="str">
        <f>IF(ROW(A62)&lt;=Capacity!$A$16,Capacity!H78,"")</f>
        <v/>
      </c>
      <c r="I73" s="220" t="str">
        <f>IF(ROW(A62)&lt;=Capacity!$A$16,'Capacity calculation (hide)'!DK66,"")</f>
        <v/>
      </c>
      <c r="J73" s="221" t="str">
        <f t="shared" si="0"/>
        <v/>
      </c>
    </row>
    <row r="74" spans="2:10" x14ac:dyDescent="0.2">
      <c r="B74" s="221" t="str">
        <f>IF(Capacity!B79=0,"",Capacity!B79)</f>
        <v/>
      </c>
      <c r="C74" s="134"/>
      <c r="D74" s="134"/>
      <c r="E74" s="134"/>
      <c r="F74" s="218" t="str">
        <f>IF(ROW(A63)&lt;=Capacity!$A$16,Capacity!E79,"")</f>
        <v/>
      </c>
      <c r="G74" s="219" t="str">
        <f>IF(ROW(A63)&lt;=Capacity!$A$16,'Capacity calculation (hide)'!BH67,"")</f>
        <v/>
      </c>
      <c r="H74" s="218" t="str">
        <f>IF(ROW(A63)&lt;=Capacity!$A$16,Capacity!H79,"")</f>
        <v/>
      </c>
      <c r="I74" s="220" t="str">
        <f>IF(ROW(A63)&lt;=Capacity!$A$16,'Capacity calculation (hide)'!DK67,"")</f>
        <v/>
      </c>
      <c r="J74" s="221" t="str">
        <f t="shared" si="0"/>
        <v/>
      </c>
    </row>
    <row r="75" spans="2:10" x14ac:dyDescent="0.2">
      <c r="B75" s="221" t="str">
        <f>IF(Capacity!B80=0,"",Capacity!B80)</f>
        <v/>
      </c>
      <c r="C75" s="134"/>
      <c r="D75" s="134"/>
      <c r="E75" s="134"/>
      <c r="F75" s="218" t="str">
        <f>IF(ROW(A64)&lt;=Capacity!$A$16,Capacity!E80,"")</f>
        <v/>
      </c>
      <c r="G75" s="219" t="str">
        <f>IF(ROW(A64)&lt;=Capacity!$A$16,'Capacity calculation (hide)'!BH68,"")</f>
        <v/>
      </c>
      <c r="H75" s="218" t="str">
        <f>IF(ROW(A64)&lt;=Capacity!$A$16,Capacity!H80,"")</f>
        <v/>
      </c>
      <c r="I75" s="220" t="str">
        <f>IF(ROW(A64)&lt;=Capacity!$A$16,'Capacity calculation (hide)'!DK68,"")</f>
        <v/>
      </c>
      <c r="J75" s="221" t="str">
        <f t="shared" si="0"/>
        <v/>
      </c>
    </row>
    <row r="76" spans="2:10" x14ac:dyDescent="0.2">
      <c r="B76" s="221" t="str">
        <f>IF(Capacity!B81=0,"",Capacity!B81)</f>
        <v/>
      </c>
      <c r="C76" s="134"/>
      <c r="D76" s="134"/>
      <c r="E76" s="134"/>
      <c r="F76" s="218" t="str">
        <f>IF(ROW(A65)&lt;=Capacity!$A$16,Capacity!E81,"")</f>
        <v/>
      </c>
      <c r="G76" s="219" t="str">
        <f>IF(ROW(A65)&lt;=Capacity!$A$16,'Capacity calculation (hide)'!BH69,"")</f>
        <v/>
      </c>
      <c r="H76" s="218" t="str">
        <f>IF(ROW(A65)&lt;=Capacity!$A$16,Capacity!H81,"")</f>
        <v/>
      </c>
      <c r="I76" s="220" t="str">
        <f>IF(ROW(A65)&lt;=Capacity!$A$16,'Capacity calculation (hide)'!DK69,"")</f>
        <v/>
      </c>
      <c r="J76" s="221" t="str">
        <f t="shared" si="0"/>
        <v/>
      </c>
    </row>
    <row r="77" spans="2:10" x14ac:dyDescent="0.2">
      <c r="B77" s="221" t="str">
        <f>IF(Capacity!B82=0,"",Capacity!B82)</f>
        <v/>
      </c>
      <c r="C77" s="134"/>
      <c r="D77" s="134"/>
      <c r="E77" s="134"/>
      <c r="F77" s="218" t="str">
        <f>IF(ROW(A66)&lt;=Capacity!$A$16,Capacity!E82,"")</f>
        <v/>
      </c>
      <c r="G77" s="219" t="str">
        <f>IF(ROW(A66)&lt;=Capacity!$A$16,'Capacity calculation (hide)'!BH70,"")</f>
        <v/>
      </c>
      <c r="H77" s="218" t="str">
        <f>IF(ROW(A66)&lt;=Capacity!$A$16,Capacity!H82,"")</f>
        <v/>
      </c>
      <c r="I77" s="220" t="str">
        <f>IF(ROW(A66)&lt;=Capacity!$A$16,'Capacity calculation (hide)'!DK70,"")</f>
        <v/>
      </c>
      <c r="J77" s="221" t="str">
        <f t="shared" ref="J77:J111" si="1">IFERROR(IF(G77-F77 &lt;0, "Under","Over"),"")</f>
        <v/>
      </c>
    </row>
    <row r="78" spans="2:10" x14ac:dyDescent="0.2">
      <c r="B78" s="221" t="str">
        <f>IF(Capacity!B83=0,"",Capacity!B83)</f>
        <v/>
      </c>
      <c r="C78" s="134"/>
      <c r="D78" s="134"/>
      <c r="E78" s="134"/>
      <c r="F78" s="218" t="str">
        <f>IF(ROW(A67)&lt;=Capacity!$A$16,Capacity!E83,"")</f>
        <v/>
      </c>
      <c r="G78" s="219" t="str">
        <f>IF(ROW(A67)&lt;=Capacity!$A$16,'Capacity calculation (hide)'!BH71,"")</f>
        <v/>
      </c>
      <c r="H78" s="218" t="str">
        <f>IF(ROW(A67)&lt;=Capacity!$A$16,Capacity!H83,"")</f>
        <v/>
      </c>
      <c r="I78" s="220" t="str">
        <f>IF(ROW(A67)&lt;=Capacity!$A$16,'Capacity calculation (hide)'!DK71,"")</f>
        <v/>
      </c>
      <c r="J78" s="221" t="str">
        <f t="shared" si="1"/>
        <v/>
      </c>
    </row>
    <row r="79" spans="2:10" x14ac:dyDescent="0.2">
      <c r="B79" s="221" t="str">
        <f>IF(Capacity!B84=0,"",Capacity!B84)</f>
        <v/>
      </c>
      <c r="C79" s="134"/>
      <c r="D79" s="134"/>
      <c r="E79" s="134"/>
      <c r="F79" s="218" t="str">
        <f>IF(ROW(A68)&lt;=Capacity!$A$16,Capacity!E84,"")</f>
        <v/>
      </c>
      <c r="G79" s="219" t="str">
        <f>IF(ROW(A68)&lt;=Capacity!$A$16,'Capacity calculation (hide)'!BH72,"")</f>
        <v/>
      </c>
      <c r="H79" s="218" t="str">
        <f>IF(ROW(A68)&lt;=Capacity!$A$16,Capacity!H84,"")</f>
        <v/>
      </c>
      <c r="I79" s="220" t="str">
        <f>IF(ROW(A68)&lt;=Capacity!$A$16,'Capacity calculation (hide)'!DK72,"")</f>
        <v/>
      </c>
      <c r="J79" s="221" t="str">
        <f t="shared" si="1"/>
        <v/>
      </c>
    </row>
    <row r="80" spans="2:10" x14ac:dyDescent="0.2">
      <c r="B80" s="221" t="str">
        <f>IF(Capacity!B85=0,"",Capacity!B85)</f>
        <v/>
      </c>
      <c r="C80" s="134"/>
      <c r="D80" s="134"/>
      <c r="E80" s="134"/>
      <c r="F80" s="218" t="str">
        <f>IF(ROW(A69)&lt;=Capacity!$A$16,Capacity!E85,"")</f>
        <v/>
      </c>
      <c r="G80" s="219" t="str">
        <f>IF(ROW(A69)&lt;=Capacity!$A$16,'Capacity calculation (hide)'!BH73,"")</f>
        <v/>
      </c>
      <c r="H80" s="218" t="str">
        <f>IF(ROW(A69)&lt;=Capacity!$A$16,Capacity!H85,"")</f>
        <v/>
      </c>
      <c r="I80" s="220" t="str">
        <f>IF(ROW(A69)&lt;=Capacity!$A$16,'Capacity calculation (hide)'!DK73,"")</f>
        <v/>
      </c>
      <c r="J80" s="221" t="str">
        <f t="shared" si="1"/>
        <v/>
      </c>
    </row>
    <row r="81" spans="2:10" x14ac:dyDescent="0.2">
      <c r="B81" s="221" t="str">
        <f>IF(Capacity!B86=0,"",Capacity!B86)</f>
        <v/>
      </c>
      <c r="C81" s="134"/>
      <c r="D81" s="134"/>
      <c r="E81" s="134"/>
      <c r="F81" s="218" t="str">
        <f>IF(ROW(A70)&lt;=Capacity!$A$16,Capacity!E86,"")</f>
        <v/>
      </c>
      <c r="G81" s="219" t="str">
        <f>IF(ROW(A70)&lt;=Capacity!$A$16,'Capacity calculation (hide)'!BH74,"")</f>
        <v/>
      </c>
      <c r="H81" s="218" t="str">
        <f>IF(ROW(A70)&lt;=Capacity!$A$16,Capacity!H86,"")</f>
        <v/>
      </c>
      <c r="I81" s="220" t="str">
        <f>IF(ROW(A70)&lt;=Capacity!$A$16,'Capacity calculation (hide)'!DK74,"")</f>
        <v/>
      </c>
      <c r="J81" s="221" t="str">
        <f t="shared" si="1"/>
        <v/>
      </c>
    </row>
    <row r="82" spans="2:10" x14ac:dyDescent="0.2">
      <c r="B82" s="221" t="str">
        <f>IF(Capacity!B87=0,"",Capacity!B87)</f>
        <v/>
      </c>
      <c r="C82" s="134"/>
      <c r="D82" s="134"/>
      <c r="E82" s="134"/>
      <c r="F82" s="218" t="str">
        <f>IF(ROW(A71)&lt;=Capacity!$A$16,Capacity!E87,"")</f>
        <v/>
      </c>
      <c r="G82" s="219" t="str">
        <f>IF(ROW(A71)&lt;=Capacity!$A$16,'Capacity calculation (hide)'!BH75,"")</f>
        <v/>
      </c>
      <c r="H82" s="218" t="str">
        <f>IF(ROW(A71)&lt;=Capacity!$A$16,Capacity!H87,"")</f>
        <v/>
      </c>
      <c r="I82" s="220" t="str">
        <f>IF(ROW(A71)&lt;=Capacity!$A$16,'Capacity calculation (hide)'!DK75,"")</f>
        <v/>
      </c>
      <c r="J82" s="221" t="str">
        <f t="shared" si="1"/>
        <v/>
      </c>
    </row>
    <row r="83" spans="2:10" x14ac:dyDescent="0.2">
      <c r="B83" s="221" t="str">
        <f>IF(Capacity!B88=0,"",Capacity!B88)</f>
        <v/>
      </c>
      <c r="C83" s="134"/>
      <c r="D83" s="134"/>
      <c r="E83" s="134"/>
      <c r="F83" s="218" t="str">
        <f>IF(ROW(A72)&lt;=Capacity!$A$16,Capacity!E88,"")</f>
        <v/>
      </c>
      <c r="G83" s="219" t="str">
        <f>IF(ROW(A72)&lt;=Capacity!$A$16,'Capacity calculation (hide)'!BH76,"")</f>
        <v/>
      </c>
      <c r="H83" s="218" t="str">
        <f>IF(ROW(A72)&lt;=Capacity!$A$16,Capacity!H88,"")</f>
        <v/>
      </c>
      <c r="I83" s="220" t="str">
        <f>IF(ROW(A72)&lt;=Capacity!$A$16,'Capacity calculation (hide)'!DK76,"")</f>
        <v/>
      </c>
      <c r="J83" s="221" t="str">
        <f t="shared" si="1"/>
        <v/>
      </c>
    </row>
    <row r="84" spans="2:10" x14ac:dyDescent="0.2">
      <c r="B84" s="221" t="str">
        <f>IF(Capacity!B89=0,"",Capacity!B89)</f>
        <v/>
      </c>
      <c r="C84" s="134"/>
      <c r="D84" s="134"/>
      <c r="E84" s="134"/>
      <c r="F84" s="218" t="str">
        <f>IF(ROW(A73)&lt;=Capacity!$A$16,Capacity!E89,"")</f>
        <v/>
      </c>
      <c r="G84" s="219" t="str">
        <f>IF(ROW(A73)&lt;=Capacity!$A$16,'Capacity calculation (hide)'!BH77,"")</f>
        <v/>
      </c>
      <c r="H84" s="218" t="str">
        <f>IF(ROW(A73)&lt;=Capacity!$A$16,Capacity!H89,"")</f>
        <v/>
      </c>
      <c r="I84" s="220" t="str">
        <f>IF(ROW(A73)&lt;=Capacity!$A$16,'Capacity calculation (hide)'!DK77,"")</f>
        <v/>
      </c>
      <c r="J84" s="221" t="str">
        <f t="shared" si="1"/>
        <v/>
      </c>
    </row>
    <row r="85" spans="2:10" x14ac:dyDescent="0.2">
      <c r="B85" s="221" t="str">
        <f>IF(Capacity!B90=0,"",Capacity!B90)</f>
        <v/>
      </c>
      <c r="C85" s="134"/>
      <c r="D85" s="134"/>
      <c r="E85" s="134"/>
      <c r="F85" s="218" t="str">
        <f>IF(ROW(A74)&lt;=Capacity!$A$16,Capacity!E90,"")</f>
        <v/>
      </c>
      <c r="G85" s="219" t="str">
        <f>IF(ROW(A74)&lt;=Capacity!$A$16,'Capacity calculation (hide)'!BH78,"")</f>
        <v/>
      </c>
      <c r="H85" s="218" t="str">
        <f>IF(ROW(A74)&lt;=Capacity!$A$16,Capacity!H90,"")</f>
        <v/>
      </c>
      <c r="I85" s="220" t="str">
        <f>IF(ROW(A74)&lt;=Capacity!$A$16,'Capacity calculation (hide)'!DK78,"")</f>
        <v/>
      </c>
      <c r="J85" s="221" t="str">
        <f t="shared" si="1"/>
        <v/>
      </c>
    </row>
    <row r="86" spans="2:10" x14ac:dyDescent="0.2">
      <c r="B86" s="221" t="str">
        <f>IF(Capacity!B91=0,"",Capacity!B91)</f>
        <v/>
      </c>
      <c r="C86" s="134"/>
      <c r="D86" s="134"/>
      <c r="E86" s="134"/>
      <c r="F86" s="218" t="str">
        <f>IF(ROW(A75)&lt;=Capacity!$A$16,Capacity!E91,"")</f>
        <v/>
      </c>
      <c r="G86" s="219" t="str">
        <f>IF(ROW(A75)&lt;=Capacity!$A$16,'Capacity calculation (hide)'!BH79,"")</f>
        <v/>
      </c>
      <c r="H86" s="218" t="str">
        <f>IF(ROW(A75)&lt;=Capacity!$A$16,Capacity!H91,"")</f>
        <v/>
      </c>
      <c r="I86" s="220" t="str">
        <f>IF(ROW(A75)&lt;=Capacity!$A$16,'Capacity calculation (hide)'!DK79,"")</f>
        <v/>
      </c>
      <c r="J86" s="221" t="str">
        <f t="shared" si="1"/>
        <v/>
      </c>
    </row>
    <row r="87" spans="2:10" x14ac:dyDescent="0.2">
      <c r="B87" s="221" t="str">
        <f>IF(Capacity!B92=0,"",Capacity!B92)</f>
        <v/>
      </c>
      <c r="C87" s="134"/>
      <c r="D87" s="134"/>
      <c r="E87" s="134"/>
      <c r="F87" s="218" t="str">
        <f>IF(ROW(A76)&lt;=Capacity!$A$16,Capacity!E92,"")</f>
        <v/>
      </c>
      <c r="G87" s="219" t="str">
        <f>IF(ROW(A76)&lt;=Capacity!$A$16,'Capacity calculation (hide)'!BH80,"")</f>
        <v/>
      </c>
      <c r="H87" s="218" t="str">
        <f>IF(ROW(A76)&lt;=Capacity!$A$16,Capacity!H92,"")</f>
        <v/>
      </c>
      <c r="I87" s="220" t="str">
        <f>IF(ROW(A76)&lt;=Capacity!$A$16,'Capacity calculation (hide)'!DK80,"")</f>
        <v/>
      </c>
      <c r="J87" s="221" t="str">
        <f t="shared" si="1"/>
        <v/>
      </c>
    </row>
    <row r="88" spans="2:10" x14ac:dyDescent="0.2">
      <c r="B88" s="221" t="str">
        <f>IF(Capacity!B93=0,"",Capacity!B93)</f>
        <v/>
      </c>
      <c r="C88" s="134"/>
      <c r="D88" s="134"/>
      <c r="E88" s="134"/>
      <c r="F88" s="218" t="str">
        <f>IF(ROW(A77)&lt;=Capacity!$A$16,Capacity!E93,"")</f>
        <v/>
      </c>
      <c r="G88" s="219" t="str">
        <f>IF(ROW(A77)&lt;=Capacity!$A$16,'Capacity calculation (hide)'!BH81,"")</f>
        <v/>
      </c>
      <c r="H88" s="218" t="str">
        <f>IF(ROW(A77)&lt;=Capacity!$A$16,Capacity!H93,"")</f>
        <v/>
      </c>
      <c r="I88" s="220" t="str">
        <f>IF(ROW(A77)&lt;=Capacity!$A$16,'Capacity calculation (hide)'!DK81,"")</f>
        <v/>
      </c>
      <c r="J88" s="221" t="str">
        <f t="shared" si="1"/>
        <v/>
      </c>
    </row>
    <row r="89" spans="2:10" x14ac:dyDescent="0.2">
      <c r="B89" s="221" t="str">
        <f>IF(Capacity!B94=0,"",Capacity!B94)</f>
        <v/>
      </c>
      <c r="C89" s="134"/>
      <c r="D89" s="134"/>
      <c r="E89" s="134"/>
      <c r="F89" s="218" t="str">
        <f>IF(ROW(A78)&lt;=Capacity!$A$16,Capacity!E94,"")</f>
        <v/>
      </c>
      <c r="G89" s="219" t="str">
        <f>IF(ROW(A78)&lt;=Capacity!$A$16,'Capacity calculation (hide)'!BH82,"")</f>
        <v/>
      </c>
      <c r="H89" s="218" t="str">
        <f>IF(ROW(A78)&lt;=Capacity!$A$16,Capacity!H94,"")</f>
        <v/>
      </c>
      <c r="I89" s="220" t="str">
        <f>IF(ROW(A78)&lt;=Capacity!$A$16,'Capacity calculation (hide)'!DK82,"")</f>
        <v/>
      </c>
      <c r="J89" s="221" t="str">
        <f t="shared" si="1"/>
        <v/>
      </c>
    </row>
    <row r="90" spans="2:10" x14ac:dyDescent="0.2">
      <c r="B90" s="221" t="str">
        <f>IF(Capacity!B95=0,"",Capacity!B95)</f>
        <v/>
      </c>
      <c r="C90" s="134"/>
      <c r="D90" s="134"/>
      <c r="E90" s="134"/>
      <c r="F90" s="218" t="str">
        <f>IF(ROW(A79)&lt;=Capacity!$A$16,Capacity!E95,"")</f>
        <v/>
      </c>
      <c r="G90" s="219" t="str">
        <f>IF(ROW(A79)&lt;=Capacity!$A$16,'Capacity calculation (hide)'!BH83,"")</f>
        <v/>
      </c>
      <c r="H90" s="218" t="str">
        <f>IF(ROW(A79)&lt;=Capacity!$A$16,Capacity!H95,"")</f>
        <v/>
      </c>
      <c r="I90" s="220" t="str">
        <f>IF(ROW(A79)&lt;=Capacity!$A$16,'Capacity calculation (hide)'!DK83,"")</f>
        <v/>
      </c>
      <c r="J90" s="221" t="str">
        <f t="shared" si="1"/>
        <v/>
      </c>
    </row>
    <row r="91" spans="2:10" x14ac:dyDescent="0.2">
      <c r="B91" s="221" t="str">
        <f>IF(Capacity!B96=0,"",Capacity!B96)</f>
        <v/>
      </c>
      <c r="C91" s="134"/>
      <c r="D91" s="134"/>
      <c r="E91" s="134"/>
      <c r="F91" s="218" t="str">
        <f>IF(ROW(A80)&lt;=Capacity!$A$16,Capacity!E96,"")</f>
        <v/>
      </c>
      <c r="G91" s="219" t="str">
        <f>IF(ROW(A80)&lt;=Capacity!$A$16,'Capacity calculation (hide)'!BH84,"")</f>
        <v/>
      </c>
      <c r="H91" s="218" t="str">
        <f>IF(ROW(A80)&lt;=Capacity!$A$16,Capacity!H96,"")</f>
        <v/>
      </c>
      <c r="I91" s="220" t="str">
        <f>IF(ROW(A80)&lt;=Capacity!$A$16,'Capacity calculation (hide)'!DK84,"")</f>
        <v/>
      </c>
      <c r="J91" s="221" t="str">
        <f t="shared" si="1"/>
        <v/>
      </c>
    </row>
    <row r="92" spans="2:10" x14ac:dyDescent="0.2">
      <c r="B92" s="221" t="str">
        <f>IF(Capacity!B97=0,"",Capacity!B97)</f>
        <v/>
      </c>
      <c r="C92" s="134"/>
      <c r="D92" s="134"/>
      <c r="E92" s="134"/>
      <c r="F92" s="218" t="str">
        <f>IF(ROW(A81)&lt;=Capacity!$A$16,Capacity!E97,"")</f>
        <v/>
      </c>
      <c r="G92" s="219" t="str">
        <f>IF(ROW(A81)&lt;=Capacity!$A$16,'Capacity calculation (hide)'!BH85,"")</f>
        <v/>
      </c>
      <c r="H92" s="218" t="str">
        <f>IF(ROW(A81)&lt;=Capacity!$A$16,Capacity!H97,"")</f>
        <v/>
      </c>
      <c r="I92" s="220" t="str">
        <f>IF(ROW(A81)&lt;=Capacity!$A$16,'Capacity calculation (hide)'!DK85,"")</f>
        <v/>
      </c>
      <c r="J92" s="221" t="str">
        <f t="shared" si="1"/>
        <v/>
      </c>
    </row>
    <row r="93" spans="2:10" x14ac:dyDescent="0.2">
      <c r="B93" s="221" t="str">
        <f>IF(Capacity!B98=0,"",Capacity!B98)</f>
        <v/>
      </c>
      <c r="C93" s="134"/>
      <c r="D93" s="134"/>
      <c r="E93" s="134"/>
      <c r="F93" s="218" t="str">
        <f>IF(ROW(A82)&lt;=Capacity!$A$16,Capacity!E98,"")</f>
        <v/>
      </c>
      <c r="G93" s="219" t="str">
        <f>IF(ROW(A82)&lt;=Capacity!$A$16,'Capacity calculation (hide)'!BH86,"")</f>
        <v/>
      </c>
      <c r="H93" s="218" t="str">
        <f>IF(ROW(A82)&lt;=Capacity!$A$16,Capacity!H98,"")</f>
        <v/>
      </c>
      <c r="I93" s="220" t="str">
        <f>IF(ROW(A82)&lt;=Capacity!$A$16,'Capacity calculation (hide)'!DK86,"")</f>
        <v/>
      </c>
      <c r="J93" s="221" t="str">
        <f t="shared" si="1"/>
        <v/>
      </c>
    </row>
    <row r="94" spans="2:10" x14ac:dyDescent="0.2">
      <c r="B94" s="221" t="str">
        <f>IF(Capacity!B99=0,"",Capacity!B99)</f>
        <v/>
      </c>
      <c r="C94" s="134"/>
      <c r="D94" s="134"/>
      <c r="E94" s="134"/>
      <c r="F94" s="218" t="str">
        <f>IF(ROW(A83)&lt;=Capacity!$A$16,Capacity!E99,"")</f>
        <v/>
      </c>
      <c r="G94" s="219" t="str">
        <f>IF(ROW(A83)&lt;=Capacity!$A$16,'Capacity calculation (hide)'!BH87,"")</f>
        <v/>
      </c>
      <c r="H94" s="218" t="str">
        <f>IF(ROW(A83)&lt;=Capacity!$A$16,Capacity!H99,"")</f>
        <v/>
      </c>
      <c r="I94" s="220" t="str">
        <f>IF(ROW(A83)&lt;=Capacity!$A$16,'Capacity calculation (hide)'!DK87,"")</f>
        <v/>
      </c>
      <c r="J94" s="221" t="str">
        <f t="shared" si="1"/>
        <v/>
      </c>
    </row>
    <row r="95" spans="2:10" x14ac:dyDescent="0.2">
      <c r="B95" s="221" t="str">
        <f>IF(Capacity!B100=0,"",Capacity!B100)</f>
        <v/>
      </c>
      <c r="C95" s="134"/>
      <c r="D95" s="134"/>
      <c r="E95" s="134"/>
      <c r="F95" s="218" t="str">
        <f>IF(ROW(A84)&lt;=Capacity!$A$16,Capacity!E100,"")</f>
        <v/>
      </c>
      <c r="G95" s="219" t="str">
        <f>IF(ROW(A84)&lt;=Capacity!$A$16,'Capacity calculation (hide)'!BH88,"")</f>
        <v/>
      </c>
      <c r="H95" s="218" t="str">
        <f>IF(ROW(A84)&lt;=Capacity!$A$16,Capacity!H100,"")</f>
        <v/>
      </c>
      <c r="I95" s="220" t="str">
        <f>IF(ROW(A84)&lt;=Capacity!$A$16,'Capacity calculation (hide)'!DK88,"")</f>
        <v/>
      </c>
      <c r="J95" s="221" t="str">
        <f t="shared" si="1"/>
        <v/>
      </c>
    </row>
    <row r="96" spans="2:10" x14ac:dyDescent="0.2">
      <c r="B96" s="221" t="str">
        <f>IF(Capacity!B101=0,"",Capacity!B101)</f>
        <v/>
      </c>
      <c r="C96" s="134"/>
      <c r="D96" s="134"/>
      <c r="E96" s="134"/>
      <c r="F96" s="218" t="str">
        <f>IF(ROW(A85)&lt;=Capacity!$A$16,Capacity!E101,"")</f>
        <v/>
      </c>
      <c r="G96" s="219" t="str">
        <f>IF(ROW(A85)&lt;=Capacity!$A$16,'Capacity calculation (hide)'!BH89,"")</f>
        <v/>
      </c>
      <c r="H96" s="218" t="str">
        <f>IF(ROW(A85)&lt;=Capacity!$A$16,Capacity!H101,"")</f>
        <v/>
      </c>
      <c r="I96" s="220" t="str">
        <f>IF(ROW(A85)&lt;=Capacity!$A$16,'Capacity calculation (hide)'!DK89,"")</f>
        <v/>
      </c>
      <c r="J96" s="221" t="str">
        <f t="shared" si="1"/>
        <v/>
      </c>
    </row>
    <row r="97" spans="2:10" x14ac:dyDescent="0.2">
      <c r="B97" s="221" t="str">
        <f>IF(Capacity!B102=0,"",Capacity!B102)</f>
        <v/>
      </c>
      <c r="C97" s="134"/>
      <c r="D97" s="134"/>
      <c r="E97" s="134"/>
      <c r="F97" s="218" t="str">
        <f>IF(ROW(A86)&lt;=Capacity!$A$16,Capacity!E102,"")</f>
        <v/>
      </c>
      <c r="G97" s="219" t="str">
        <f>IF(ROW(A86)&lt;=Capacity!$A$16,'Capacity calculation (hide)'!BH90,"")</f>
        <v/>
      </c>
      <c r="H97" s="218" t="str">
        <f>IF(ROW(A86)&lt;=Capacity!$A$16,Capacity!H102,"")</f>
        <v/>
      </c>
      <c r="I97" s="220" t="str">
        <f>IF(ROW(A86)&lt;=Capacity!$A$16,'Capacity calculation (hide)'!DK90,"")</f>
        <v/>
      </c>
      <c r="J97" s="221" t="str">
        <f t="shared" si="1"/>
        <v/>
      </c>
    </row>
    <row r="98" spans="2:10" x14ac:dyDescent="0.2">
      <c r="B98" s="221" t="str">
        <f>IF(Capacity!B103=0,"",Capacity!B103)</f>
        <v/>
      </c>
      <c r="C98" s="134"/>
      <c r="D98" s="134"/>
      <c r="E98" s="134"/>
      <c r="F98" s="218" t="str">
        <f>IF(ROW(A87)&lt;=Capacity!$A$16,Capacity!E103,"")</f>
        <v/>
      </c>
      <c r="G98" s="219" t="str">
        <f>IF(ROW(A87)&lt;=Capacity!$A$16,'Capacity calculation (hide)'!BH91,"")</f>
        <v/>
      </c>
      <c r="H98" s="218" t="str">
        <f>IF(ROW(A87)&lt;=Capacity!$A$16,Capacity!H103,"")</f>
        <v/>
      </c>
      <c r="I98" s="220" t="str">
        <f>IF(ROW(A87)&lt;=Capacity!$A$16,'Capacity calculation (hide)'!DK91,"")</f>
        <v/>
      </c>
      <c r="J98" s="221" t="str">
        <f t="shared" si="1"/>
        <v/>
      </c>
    </row>
    <row r="99" spans="2:10" x14ac:dyDescent="0.2">
      <c r="B99" s="221" t="str">
        <f>IF(Capacity!B104=0,"",Capacity!B104)</f>
        <v/>
      </c>
      <c r="C99" s="134"/>
      <c r="D99" s="134"/>
      <c r="E99" s="134"/>
      <c r="F99" s="218" t="str">
        <f>IF(ROW(A88)&lt;=Capacity!$A$16,Capacity!E104,"")</f>
        <v/>
      </c>
      <c r="G99" s="219" t="str">
        <f>IF(ROW(A88)&lt;=Capacity!$A$16,'Capacity calculation (hide)'!BH92,"")</f>
        <v/>
      </c>
      <c r="H99" s="218" t="str">
        <f>IF(ROW(A88)&lt;=Capacity!$A$16,Capacity!H104,"")</f>
        <v/>
      </c>
      <c r="I99" s="220" t="str">
        <f>IF(ROW(A88)&lt;=Capacity!$A$16,'Capacity calculation (hide)'!DK92,"")</f>
        <v/>
      </c>
      <c r="J99" s="221" t="str">
        <f t="shared" si="1"/>
        <v/>
      </c>
    </row>
    <row r="100" spans="2:10" x14ac:dyDescent="0.2">
      <c r="B100" s="221" t="str">
        <f>IF(Capacity!B105=0,"",Capacity!B105)</f>
        <v/>
      </c>
      <c r="C100" s="134"/>
      <c r="D100" s="134"/>
      <c r="E100" s="134"/>
      <c r="F100" s="218" t="str">
        <f>IF(ROW(A89)&lt;=Capacity!$A$16,Capacity!E105,"")</f>
        <v/>
      </c>
      <c r="G100" s="219" t="str">
        <f>IF(ROW(A89)&lt;=Capacity!$A$16,'Capacity calculation (hide)'!BH93,"")</f>
        <v/>
      </c>
      <c r="H100" s="218" t="str">
        <f>IF(ROW(A89)&lt;=Capacity!$A$16,Capacity!H105,"")</f>
        <v/>
      </c>
      <c r="I100" s="220" t="str">
        <f>IF(ROW(A89)&lt;=Capacity!$A$16,'Capacity calculation (hide)'!DK93,"")</f>
        <v/>
      </c>
      <c r="J100" s="221" t="str">
        <f t="shared" si="1"/>
        <v/>
      </c>
    </row>
    <row r="101" spans="2:10" x14ac:dyDescent="0.2">
      <c r="B101" s="221" t="str">
        <f>IF(Capacity!B106=0,"",Capacity!B106)</f>
        <v/>
      </c>
      <c r="C101" s="134"/>
      <c r="D101" s="134"/>
      <c r="E101" s="134"/>
      <c r="F101" s="218" t="str">
        <f>IF(ROW(A90)&lt;=Capacity!$A$16,Capacity!E106,"")</f>
        <v/>
      </c>
      <c r="G101" s="219" t="str">
        <f>IF(ROW(A90)&lt;=Capacity!$A$16,'Capacity calculation (hide)'!BH94,"")</f>
        <v/>
      </c>
      <c r="H101" s="218" t="str">
        <f>IF(ROW(A90)&lt;=Capacity!$A$16,Capacity!H106,"")</f>
        <v/>
      </c>
      <c r="I101" s="220" t="str">
        <f>IF(ROW(A90)&lt;=Capacity!$A$16,'Capacity calculation (hide)'!DK94,"")</f>
        <v/>
      </c>
      <c r="J101" s="221" t="str">
        <f t="shared" si="1"/>
        <v/>
      </c>
    </row>
    <row r="102" spans="2:10" x14ac:dyDescent="0.2">
      <c r="B102" s="221" t="str">
        <f>IF(Capacity!B107=0,"",Capacity!B107)</f>
        <v/>
      </c>
      <c r="C102" s="134"/>
      <c r="D102" s="134"/>
      <c r="E102" s="134"/>
      <c r="F102" s="218" t="str">
        <f>IF(ROW(A91)&lt;=Capacity!$A$16,Capacity!E107,"")</f>
        <v/>
      </c>
      <c r="G102" s="219" t="str">
        <f>IF(ROW(A91)&lt;=Capacity!$A$16,'Capacity calculation (hide)'!BH95,"")</f>
        <v/>
      </c>
      <c r="H102" s="218" t="str">
        <f>IF(ROW(A91)&lt;=Capacity!$A$16,Capacity!H107,"")</f>
        <v/>
      </c>
      <c r="I102" s="220" t="str">
        <f>IF(ROW(A91)&lt;=Capacity!$A$16,'Capacity calculation (hide)'!DK95,"")</f>
        <v/>
      </c>
      <c r="J102" s="221" t="str">
        <f t="shared" si="1"/>
        <v/>
      </c>
    </row>
    <row r="103" spans="2:10" x14ac:dyDescent="0.2">
      <c r="B103" s="221" t="str">
        <f>IF(Capacity!B108=0,"",Capacity!B108)</f>
        <v/>
      </c>
      <c r="C103" s="134"/>
      <c r="D103" s="134"/>
      <c r="E103" s="134"/>
      <c r="F103" s="218" t="str">
        <f>IF(ROW(A92)&lt;=Capacity!$A$16,Capacity!E108,"")</f>
        <v/>
      </c>
      <c r="G103" s="219" t="str">
        <f>IF(ROW(A92)&lt;=Capacity!$A$16,'Capacity calculation (hide)'!BH96,"")</f>
        <v/>
      </c>
      <c r="H103" s="218" t="str">
        <f>IF(ROW(A92)&lt;=Capacity!$A$16,Capacity!H108,"")</f>
        <v/>
      </c>
      <c r="I103" s="220" t="str">
        <f>IF(ROW(A92)&lt;=Capacity!$A$16,'Capacity calculation (hide)'!DK96,"")</f>
        <v/>
      </c>
      <c r="J103" s="221" t="str">
        <f t="shared" si="1"/>
        <v/>
      </c>
    </row>
    <row r="104" spans="2:10" x14ac:dyDescent="0.2">
      <c r="B104" s="221" t="str">
        <f>IF(Capacity!B109=0,"",Capacity!B109)</f>
        <v/>
      </c>
      <c r="C104" s="134"/>
      <c r="D104" s="134"/>
      <c r="E104" s="134"/>
      <c r="F104" s="218" t="str">
        <f>IF(ROW(A93)&lt;=Capacity!$A$16,Capacity!E109,"")</f>
        <v/>
      </c>
      <c r="G104" s="219" t="str">
        <f>IF(ROW(A93)&lt;=Capacity!$A$16,'Capacity calculation (hide)'!BH97,"")</f>
        <v/>
      </c>
      <c r="H104" s="218" t="str">
        <f>IF(ROW(A93)&lt;=Capacity!$A$16,Capacity!H109,"")</f>
        <v/>
      </c>
      <c r="I104" s="220" t="str">
        <f>IF(ROW(A93)&lt;=Capacity!$A$16,'Capacity calculation (hide)'!DK97,"")</f>
        <v/>
      </c>
      <c r="J104" s="221" t="str">
        <f t="shared" si="1"/>
        <v/>
      </c>
    </row>
    <row r="105" spans="2:10" x14ac:dyDescent="0.2">
      <c r="B105" s="221" t="str">
        <f>IF(Capacity!B110=0,"",Capacity!B110)</f>
        <v/>
      </c>
      <c r="C105" s="134"/>
      <c r="D105" s="134"/>
      <c r="E105" s="134"/>
      <c r="F105" s="218" t="str">
        <f>IF(ROW(A94)&lt;=Capacity!$A$16,Capacity!E110,"")</f>
        <v/>
      </c>
      <c r="G105" s="219" t="str">
        <f>IF(ROW(A94)&lt;=Capacity!$A$16,'Capacity calculation (hide)'!BH98,"")</f>
        <v/>
      </c>
      <c r="H105" s="218" t="str">
        <f>IF(ROW(A94)&lt;=Capacity!$A$16,Capacity!H110,"")</f>
        <v/>
      </c>
      <c r="I105" s="220" t="str">
        <f>IF(ROW(A94)&lt;=Capacity!$A$16,'Capacity calculation (hide)'!DK98,"")</f>
        <v/>
      </c>
      <c r="J105" s="221" t="str">
        <f t="shared" si="1"/>
        <v/>
      </c>
    </row>
    <row r="106" spans="2:10" x14ac:dyDescent="0.2">
      <c r="B106" s="221" t="str">
        <f>IF(Capacity!B111=0,"",Capacity!B111)</f>
        <v/>
      </c>
      <c r="C106" s="134"/>
      <c r="D106" s="134"/>
      <c r="E106" s="134"/>
      <c r="F106" s="218" t="str">
        <f>IF(ROW(A95)&lt;=Capacity!$A$16,Capacity!E111,"")</f>
        <v/>
      </c>
      <c r="G106" s="219" t="str">
        <f>IF(ROW(A95)&lt;=Capacity!$A$16,'Capacity calculation (hide)'!BH99,"")</f>
        <v/>
      </c>
      <c r="H106" s="218" t="str">
        <f>IF(ROW(A95)&lt;=Capacity!$A$16,Capacity!H111,"")</f>
        <v/>
      </c>
      <c r="I106" s="220" t="str">
        <f>IF(ROW(A95)&lt;=Capacity!$A$16,'Capacity calculation (hide)'!DK99,"")</f>
        <v/>
      </c>
      <c r="J106" s="221" t="str">
        <f t="shared" si="1"/>
        <v/>
      </c>
    </row>
    <row r="107" spans="2:10" x14ac:dyDescent="0.2">
      <c r="B107" s="221" t="str">
        <f>IF(Capacity!B112=0,"",Capacity!B112)</f>
        <v/>
      </c>
      <c r="C107" s="134"/>
      <c r="D107" s="134"/>
      <c r="E107" s="134"/>
      <c r="F107" s="218" t="str">
        <f>IF(ROW(A96)&lt;=Capacity!$A$16,Capacity!E112,"")</f>
        <v/>
      </c>
      <c r="G107" s="219" t="str">
        <f>IF(ROW(A96)&lt;=Capacity!$A$16,'Capacity calculation (hide)'!BH100,"")</f>
        <v/>
      </c>
      <c r="H107" s="218" t="str">
        <f>IF(ROW(A96)&lt;=Capacity!$A$16,Capacity!H112,"")</f>
        <v/>
      </c>
      <c r="I107" s="220" t="str">
        <f>IF(ROW(A96)&lt;=Capacity!$A$16,'Capacity calculation (hide)'!DK100,"")</f>
        <v/>
      </c>
      <c r="J107" s="221" t="str">
        <f t="shared" si="1"/>
        <v/>
      </c>
    </row>
    <row r="108" spans="2:10" x14ac:dyDescent="0.2">
      <c r="B108" s="221" t="str">
        <f>IF(Capacity!B113=0,"",Capacity!B113)</f>
        <v/>
      </c>
      <c r="C108" s="134"/>
      <c r="D108" s="134"/>
      <c r="E108" s="134"/>
      <c r="F108" s="218" t="str">
        <f>IF(ROW(A97)&lt;=Capacity!$A$16,Capacity!E113,"")</f>
        <v/>
      </c>
      <c r="G108" s="219" t="str">
        <f>IF(ROW(A97)&lt;=Capacity!$A$16,'Capacity calculation (hide)'!BH101,"")</f>
        <v/>
      </c>
      <c r="H108" s="218" t="str">
        <f>IF(ROW(A97)&lt;=Capacity!$A$16,Capacity!H113,"")</f>
        <v/>
      </c>
      <c r="I108" s="220" t="str">
        <f>IF(ROW(A97)&lt;=Capacity!$A$16,'Capacity calculation (hide)'!DK101,"")</f>
        <v/>
      </c>
      <c r="J108" s="221" t="str">
        <f t="shared" si="1"/>
        <v/>
      </c>
    </row>
    <row r="109" spans="2:10" x14ac:dyDescent="0.2">
      <c r="B109" s="221" t="str">
        <f>IF(Capacity!B114=0,"",Capacity!B114)</f>
        <v/>
      </c>
      <c r="C109" s="134"/>
      <c r="D109" s="134"/>
      <c r="E109" s="134"/>
      <c r="F109" s="218" t="str">
        <f>IF(ROW(A98)&lt;=Capacity!$A$16,Capacity!E114,"")</f>
        <v/>
      </c>
      <c r="G109" s="219" t="str">
        <f>IF(ROW(A98)&lt;=Capacity!$A$16,'Capacity calculation (hide)'!BH102,"")</f>
        <v/>
      </c>
      <c r="H109" s="218" t="str">
        <f>IF(ROW(A98)&lt;=Capacity!$A$16,Capacity!H114,"")</f>
        <v/>
      </c>
      <c r="I109" s="220" t="str">
        <f>IF(ROW(A98)&lt;=Capacity!$A$16,'Capacity calculation (hide)'!DK102,"")</f>
        <v/>
      </c>
      <c r="J109" s="221" t="str">
        <f t="shared" si="1"/>
        <v/>
      </c>
    </row>
    <row r="110" spans="2:10" x14ac:dyDescent="0.2">
      <c r="B110" s="221" t="str">
        <f>IF(Capacity!B115=0,"",Capacity!B115)</f>
        <v/>
      </c>
      <c r="C110" s="134"/>
      <c r="D110" s="134"/>
      <c r="E110" s="134"/>
      <c r="F110" s="218" t="str">
        <f>IF(ROW(A99)&lt;=Capacity!$A$16,Capacity!E115,"")</f>
        <v/>
      </c>
      <c r="G110" s="219" t="str">
        <f>IF(ROW(A99)&lt;=Capacity!$A$16,'Capacity calculation (hide)'!BH103,"")</f>
        <v/>
      </c>
      <c r="H110" s="218" t="str">
        <f>IF(ROW(A99)&lt;=Capacity!$A$16,Capacity!H115,"")</f>
        <v/>
      </c>
      <c r="I110" s="220" t="str">
        <f>IF(ROW(A99)&lt;=Capacity!$A$16,'Capacity calculation (hide)'!DK103,"")</f>
        <v/>
      </c>
      <c r="J110" s="221" t="str">
        <f t="shared" si="1"/>
        <v/>
      </c>
    </row>
    <row r="111" spans="2:10" x14ac:dyDescent="0.2">
      <c r="B111" s="221" t="str">
        <f>IF(Capacity!B116=0,"",Capacity!B116)</f>
        <v/>
      </c>
      <c r="C111" s="134"/>
      <c r="D111" s="134"/>
      <c r="E111" s="134"/>
      <c r="F111" s="218" t="str">
        <f>IF(ROW(A100)&lt;=Capacity!$A$16,Capacity!E116,"")</f>
        <v/>
      </c>
      <c r="G111" s="219" t="str">
        <f>IF(ROW(A100)&lt;=Capacity!$A$16,'Capacity calculation (hide)'!BH104,"")</f>
        <v/>
      </c>
      <c r="H111" s="218" t="str">
        <f>IF(ROW(A100)&lt;=Capacity!$A$16,Capacity!H116,"")</f>
        <v/>
      </c>
      <c r="I111" s="220" t="str">
        <f>IF(ROW(A100)&lt;=Capacity!$A$16,'Capacity calculation (hide)'!DK104,"")</f>
        <v/>
      </c>
      <c r="J111" s="221" t="str">
        <f t="shared" si="1"/>
        <v/>
      </c>
    </row>
    <row r="115" spans="2:10" ht="15" hidden="1" x14ac:dyDescent="0.25">
      <c r="B115" s="57" t="s">
        <v>464</v>
      </c>
    </row>
    <row r="116" spans="2:10" hidden="1" x14ac:dyDescent="0.2"/>
    <row r="117" spans="2:10" ht="42.75" hidden="1" x14ac:dyDescent="0.2">
      <c r="B117" s="122" t="s">
        <v>254</v>
      </c>
      <c r="C117" s="122" t="s">
        <v>455</v>
      </c>
      <c r="D117" s="122" t="s">
        <v>456</v>
      </c>
      <c r="E117" s="122" t="s">
        <v>457</v>
      </c>
      <c r="F117" s="123" t="s">
        <v>297</v>
      </c>
      <c r="G117" s="123" t="s">
        <v>468</v>
      </c>
      <c r="H117" s="123" t="s">
        <v>463</v>
      </c>
      <c r="I117" s="123" t="s">
        <v>467</v>
      </c>
      <c r="J117" s="123" t="s">
        <v>296</v>
      </c>
    </row>
    <row r="118" spans="2:10" hidden="1" x14ac:dyDescent="0.2">
      <c r="B118" s="221" t="str">
        <f>IF(Capacity!N17=0,"",Capacity!N17)</f>
        <v>Ad Hoc 1</v>
      </c>
      <c r="C118" s="134" t="s">
        <v>1214</v>
      </c>
      <c r="D118" s="134"/>
      <c r="E118" s="134"/>
      <c r="F118" s="218">
        <f>IF(ROW(A1)&lt;=Capacity!$M$16,Capacity!Q17,"")</f>
        <v>10</v>
      </c>
      <c r="G118" s="330">
        <f>IF(ROW(A1)&lt;=Capacity!$M$16,'Capacity calculation (hide)'!BH112,"")</f>
        <v>10</v>
      </c>
      <c r="H118" s="218">
        <f>IF(ROW(A1)&lt;=Capacity!$M$16,Capacity!T17,"")</f>
        <v>40</v>
      </c>
      <c r="I118" s="220">
        <f ca="1">IF(ROW(A1)&lt;=Capacity!$M$16,'Capacity calculation (hide)'!DK111,"")</f>
        <v>88</v>
      </c>
      <c r="J118" s="221" t="str">
        <f>IFERROR(IF(G118-F118 &lt;0, "Under","Over"),"")</f>
        <v>Over</v>
      </c>
    </row>
    <row r="119" spans="2:10" hidden="1" x14ac:dyDescent="0.2">
      <c r="B119" s="221" t="str">
        <f>IF(Capacity!N18=0,"",Capacity!N18)</f>
        <v>Ad Hoc 2</v>
      </c>
      <c r="C119" s="134" t="s">
        <v>1214</v>
      </c>
      <c r="D119" s="134" t="s">
        <v>1213</v>
      </c>
      <c r="E119" s="134"/>
      <c r="F119" s="218">
        <f>IF(ROW(A2)&lt;=Capacity!$M$16,Capacity!Q18,"")</f>
        <v>12</v>
      </c>
      <c r="G119" s="330">
        <f>IF(ROW(A2)&lt;=Capacity!$M$16,'Capacity calculation (hide)'!BH113,"")</f>
        <v>13</v>
      </c>
      <c r="H119" s="218">
        <f>IF(ROW(A2)&lt;=Capacity!$M$16,Capacity!T18,"")</f>
        <v>48</v>
      </c>
      <c r="I119" s="220">
        <f ca="1">IF(ROW(A2)&lt;=Capacity!$M$16,'Capacity calculation (hide)'!DK112,"")</f>
        <v>40</v>
      </c>
      <c r="J119" s="221" t="str">
        <f t="shared" ref="J119:J182" si="2">IFERROR(IF(G119-F119 &lt;0, "Under","Over"),"")</f>
        <v>Over</v>
      </c>
    </row>
    <row r="120" spans="2:10" hidden="1" x14ac:dyDescent="0.2">
      <c r="B120" s="221" t="str">
        <f>IF(Capacity!N19=0,"",Capacity!N19)</f>
        <v/>
      </c>
      <c r="C120" s="134"/>
      <c r="D120" s="134"/>
      <c r="E120" s="134"/>
      <c r="F120" s="218" t="str">
        <f>IF(ROW(A3)&lt;=Capacity!$M$16,Capacity!Q19,"")</f>
        <v/>
      </c>
      <c r="G120" s="330" t="str">
        <f>IF(ROW(A3)&lt;=Capacity!$M$16,'Capacity calculation (hide)'!BH114,"")</f>
        <v/>
      </c>
      <c r="H120" s="218" t="str">
        <f>IF(ROW(A3)&lt;=Capacity!$M$16,Capacity!T19,"")</f>
        <v/>
      </c>
      <c r="I120" s="220" t="str">
        <f>IF(ROW(A3)&lt;=Capacity!$M$16,'Capacity calculation (hide)'!DK113,"")</f>
        <v/>
      </c>
      <c r="J120" s="221" t="str">
        <f t="shared" si="2"/>
        <v/>
      </c>
    </row>
    <row r="121" spans="2:10" hidden="1" x14ac:dyDescent="0.2">
      <c r="B121" s="221" t="str">
        <f>IF(Capacity!N20=0,"",Capacity!N20)</f>
        <v/>
      </c>
      <c r="C121" s="134"/>
      <c r="D121" s="134"/>
      <c r="E121" s="134"/>
      <c r="F121" s="218" t="str">
        <f>IF(ROW(A4)&lt;=Capacity!$M$16,Capacity!Q20,"")</f>
        <v/>
      </c>
      <c r="G121" s="330" t="str">
        <f>IF(ROW(A4)&lt;=Capacity!$M$16,'Capacity calculation (hide)'!BH115,"")</f>
        <v/>
      </c>
      <c r="H121" s="218" t="str">
        <f>IF(ROW(A4)&lt;=Capacity!$M$16,Capacity!T20,"")</f>
        <v/>
      </c>
      <c r="I121" s="220" t="str">
        <f>IF(ROW(A4)&lt;=Capacity!$M$16,'Capacity calculation (hide)'!DK114,"")</f>
        <v/>
      </c>
      <c r="J121" s="221" t="str">
        <f t="shared" si="2"/>
        <v/>
      </c>
    </row>
    <row r="122" spans="2:10" hidden="1" x14ac:dyDescent="0.2">
      <c r="B122" s="221" t="str">
        <f>IF(Capacity!N21=0,"",Capacity!N21)</f>
        <v/>
      </c>
      <c r="C122" s="134"/>
      <c r="D122" s="134"/>
      <c r="E122" s="134"/>
      <c r="F122" s="218" t="str">
        <f>IF(ROW(A5)&lt;=Capacity!$M$16,Capacity!Q21,"")</f>
        <v/>
      </c>
      <c r="G122" s="330" t="str">
        <f>IF(ROW(A5)&lt;=Capacity!$M$16,'Capacity calculation (hide)'!BH116,"")</f>
        <v/>
      </c>
      <c r="H122" s="218" t="str">
        <f>IF(ROW(A5)&lt;=Capacity!$M$16,Capacity!T21,"")</f>
        <v/>
      </c>
      <c r="I122" s="220" t="str">
        <f>IF(ROW(A5)&lt;=Capacity!$M$16,'Capacity calculation (hide)'!DK115,"")</f>
        <v/>
      </c>
      <c r="J122" s="221" t="str">
        <f t="shared" si="2"/>
        <v/>
      </c>
    </row>
    <row r="123" spans="2:10" hidden="1" x14ac:dyDescent="0.2">
      <c r="B123" s="221" t="str">
        <f>IF(Capacity!N22=0,"",Capacity!N22)</f>
        <v/>
      </c>
      <c r="C123" s="134"/>
      <c r="D123" s="134"/>
      <c r="E123" s="134"/>
      <c r="F123" s="218" t="str">
        <f>IF(ROW(A6)&lt;=Capacity!$M$16,Capacity!Q22,"")</f>
        <v/>
      </c>
      <c r="G123" s="330" t="str">
        <f>IF(ROW(A6)&lt;=Capacity!$M$16,'Capacity calculation (hide)'!BH117,"")</f>
        <v/>
      </c>
      <c r="H123" s="218" t="str">
        <f>IF(ROW(A6)&lt;=Capacity!$M$16,Capacity!T22,"")</f>
        <v/>
      </c>
      <c r="I123" s="220" t="str">
        <f>IF(ROW(A6)&lt;=Capacity!$M$16,'Capacity calculation (hide)'!DK116,"")</f>
        <v/>
      </c>
      <c r="J123" s="221" t="str">
        <f t="shared" si="2"/>
        <v/>
      </c>
    </row>
    <row r="124" spans="2:10" hidden="1" x14ac:dyDescent="0.2">
      <c r="B124" s="221" t="str">
        <f>IF(Capacity!N23=0,"",Capacity!N23)</f>
        <v/>
      </c>
      <c r="C124" s="134"/>
      <c r="D124" s="134"/>
      <c r="E124" s="134"/>
      <c r="F124" s="218" t="str">
        <f>IF(ROW(A7)&lt;=Capacity!$M$16,Capacity!Q23,"")</f>
        <v/>
      </c>
      <c r="G124" s="330" t="str">
        <f>IF(ROW(A7)&lt;=Capacity!$M$16,'Capacity calculation (hide)'!BH118,"")</f>
        <v/>
      </c>
      <c r="H124" s="218" t="str">
        <f>IF(ROW(A7)&lt;=Capacity!$M$16,Capacity!T23,"")</f>
        <v/>
      </c>
      <c r="I124" s="220" t="str">
        <f>IF(ROW(A7)&lt;=Capacity!$M$16,'Capacity calculation (hide)'!DK117,"")</f>
        <v/>
      </c>
      <c r="J124" s="221" t="str">
        <f t="shared" si="2"/>
        <v/>
      </c>
    </row>
    <row r="125" spans="2:10" hidden="1" x14ac:dyDescent="0.2">
      <c r="B125" s="221" t="str">
        <f>IF(Capacity!N24=0,"",Capacity!N24)</f>
        <v/>
      </c>
      <c r="C125" s="134"/>
      <c r="D125" s="134"/>
      <c r="E125" s="134"/>
      <c r="F125" s="218" t="str">
        <f>IF(ROW(A8)&lt;=Capacity!$M$16,Capacity!Q24,"")</f>
        <v/>
      </c>
      <c r="G125" s="330" t="str">
        <f>IF(ROW(A8)&lt;=Capacity!$M$16,'Capacity calculation (hide)'!BH119,"")</f>
        <v/>
      </c>
      <c r="H125" s="218" t="str">
        <f>IF(ROW(A8)&lt;=Capacity!$M$16,Capacity!T24,"")</f>
        <v/>
      </c>
      <c r="I125" s="220" t="str">
        <f>IF(ROW(A8)&lt;=Capacity!$M$16,'Capacity calculation (hide)'!DK118,"")</f>
        <v/>
      </c>
      <c r="J125" s="221" t="str">
        <f t="shared" si="2"/>
        <v/>
      </c>
    </row>
    <row r="126" spans="2:10" hidden="1" x14ac:dyDescent="0.2">
      <c r="B126" s="221" t="str">
        <f>IF(Capacity!N25=0,"",Capacity!N25)</f>
        <v/>
      </c>
      <c r="C126" s="134"/>
      <c r="D126" s="134"/>
      <c r="E126" s="134"/>
      <c r="F126" s="218" t="str">
        <f>IF(ROW(A9)&lt;=Capacity!$M$16,Capacity!Q25,"")</f>
        <v/>
      </c>
      <c r="G126" s="330" t="str">
        <f>IF(ROW(A9)&lt;=Capacity!$M$16,'Capacity calculation (hide)'!BH120,"")</f>
        <v/>
      </c>
      <c r="H126" s="218" t="str">
        <f>IF(ROW(A9)&lt;=Capacity!$M$16,Capacity!T25,"")</f>
        <v/>
      </c>
      <c r="I126" s="220" t="str">
        <f>IF(ROW(A9)&lt;=Capacity!$M$16,'Capacity calculation (hide)'!DK119,"")</f>
        <v/>
      </c>
      <c r="J126" s="221" t="str">
        <f t="shared" si="2"/>
        <v/>
      </c>
    </row>
    <row r="127" spans="2:10" hidden="1" x14ac:dyDescent="0.2">
      <c r="B127" s="221" t="str">
        <f>IF(Capacity!N26=0,"",Capacity!N26)</f>
        <v/>
      </c>
      <c r="C127" s="134"/>
      <c r="D127" s="134"/>
      <c r="E127" s="134"/>
      <c r="F127" s="218" t="str">
        <f>IF(ROW(A10)&lt;=Capacity!$M$16,Capacity!Q26,"")</f>
        <v/>
      </c>
      <c r="G127" s="330" t="str">
        <f>IF(ROW(A10)&lt;=Capacity!$M$16,'Capacity calculation (hide)'!BH121,"")</f>
        <v/>
      </c>
      <c r="H127" s="218" t="str">
        <f>IF(ROW(A10)&lt;=Capacity!$M$16,Capacity!T26,"")</f>
        <v/>
      </c>
      <c r="I127" s="220" t="str">
        <f>IF(ROW(A10)&lt;=Capacity!$M$16,'Capacity calculation (hide)'!DK120,"")</f>
        <v/>
      </c>
      <c r="J127" s="221" t="str">
        <f t="shared" si="2"/>
        <v/>
      </c>
    </row>
    <row r="128" spans="2:10" hidden="1" x14ac:dyDescent="0.2">
      <c r="B128" s="221" t="str">
        <f>IF(Capacity!N27=0,"",Capacity!N27)</f>
        <v/>
      </c>
      <c r="C128" s="134"/>
      <c r="D128" s="134"/>
      <c r="E128" s="134"/>
      <c r="F128" s="218" t="str">
        <f>IF(ROW(A11)&lt;=Capacity!$M$16,Capacity!Q27,"")</f>
        <v/>
      </c>
      <c r="G128" s="330" t="str">
        <f>IF(ROW(A11)&lt;=Capacity!$M$16,'Capacity calculation (hide)'!BH122,"")</f>
        <v/>
      </c>
      <c r="H128" s="218" t="str">
        <f>IF(ROW(A11)&lt;=Capacity!$M$16,Capacity!T27,"")</f>
        <v/>
      </c>
      <c r="I128" s="220" t="str">
        <f>IF(ROW(A11)&lt;=Capacity!$M$16,'Capacity calculation (hide)'!DK121,"")</f>
        <v/>
      </c>
      <c r="J128" s="221" t="str">
        <f t="shared" si="2"/>
        <v/>
      </c>
    </row>
    <row r="129" spans="2:10" hidden="1" x14ac:dyDescent="0.2">
      <c r="B129" s="221" t="str">
        <f>IF(Capacity!N28=0,"",Capacity!N28)</f>
        <v/>
      </c>
      <c r="C129" s="134"/>
      <c r="D129" s="134"/>
      <c r="E129" s="134"/>
      <c r="F129" s="218" t="str">
        <f>IF(ROW(A12)&lt;=Capacity!$M$16,Capacity!Q28,"")</f>
        <v/>
      </c>
      <c r="G129" s="330" t="str">
        <f>IF(ROW(A12)&lt;=Capacity!$M$16,'Capacity calculation (hide)'!BH123,"")</f>
        <v/>
      </c>
      <c r="H129" s="218" t="str">
        <f>IF(ROW(A12)&lt;=Capacity!$M$16,Capacity!T28,"")</f>
        <v/>
      </c>
      <c r="I129" s="220" t="str">
        <f>IF(ROW(A12)&lt;=Capacity!$M$16,'Capacity calculation (hide)'!DK122,"")</f>
        <v/>
      </c>
      <c r="J129" s="221" t="str">
        <f t="shared" si="2"/>
        <v/>
      </c>
    </row>
    <row r="130" spans="2:10" hidden="1" x14ac:dyDescent="0.2">
      <c r="B130" s="221" t="str">
        <f>IF(Capacity!N29=0,"",Capacity!N29)</f>
        <v/>
      </c>
      <c r="C130" s="134"/>
      <c r="D130" s="134"/>
      <c r="E130" s="134"/>
      <c r="F130" s="218" t="str">
        <f>IF(ROW(A13)&lt;=Capacity!$M$16,Capacity!Q29,"")</f>
        <v/>
      </c>
      <c r="G130" s="330" t="str">
        <f>IF(ROW(A13)&lt;=Capacity!$M$16,'Capacity calculation (hide)'!BH124,"")</f>
        <v/>
      </c>
      <c r="H130" s="218" t="str">
        <f>IF(ROW(A13)&lt;=Capacity!$M$16,Capacity!T29,"")</f>
        <v/>
      </c>
      <c r="I130" s="220" t="str">
        <f>IF(ROW(A13)&lt;=Capacity!$M$16,'Capacity calculation (hide)'!DK123,"")</f>
        <v/>
      </c>
      <c r="J130" s="221" t="str">
        <f t="shared" si="2"/>
        <v/>
      </c>
    </row>
    <row r="131" spans="2:10" hidden="1" x14ac:dyDescent="0.2">
      <c r="B131" s="221" t="str">
        <f>IF(Capacity!N30=0,"",Capacity!N30)</f>
        <v/>
      </c>
      <c r="C131" s="134"/>
      <c r="D131" s="134"/>
      <c r="E131" s="134"/>
      <c r="F131" s="218" t="str">
        <f>IF(ROW(A14)&lt;=Capacity!$M$16,Capacity!Q30,"")</f>
        <v/>
      </c>
      <c r="G131" s="330" t="str">
        <f>IF(ROW(A14)&lt;=Capacity!$M$16,'Capacity calculation (hide)'!BH125,"")</f>
        <v/>
      </c>
      <c r="H131" s="218" t="str">
        <f>IF(ROW(A14)&lt;=Capacity!$M$16,Capacity!T30,"")</f>
        <v/>
      </c>
      <c r="I131" s="220" t="str">
        <f>IF(ROW(A14)&lt;=Capacity!$M$16,'Capacity calculation (hide)'!DK124,"")</f>
        <v/>
      </c>
      <c r="J131" s="221" t="str">
        <f t="shared" si="2"/>
        <v/>
      </c>
    </row>
    <row r="132" spans="2:10" hidden="1" x14ac:dyDescent="0.2">
      <c r="B132" s="221" t="str">
        <f>IF(Capacity!N31=0,"",Capacity!N31)</f>
        <v/>
      </c>
      <c r="C132" s="134"/>
      <c r="D132" s="134"/>
      <c r="E132" s="134"/>
      <c r="F132" s="218" t="str">
        <f>IF(ROW(A15)&lt;=Capacity!$M$16,Capacity!Q31,"")</f>
        <v/>
      </c>
      <c r="G132" s="330" t="str">
        <f>IF(ROW(A15)&lt;=Capacity!$M$16,'Capacity calculation (hide)'!BH126,"")</f>
        <v/>
      </c>
      <c r="H132" s="218" t="str">
        <f>IF(ROW(A15)&lt;=Capacity!$M$16,Capacity!T31,"")</f>
        <v/>
      </c>
      <c r="I132" s="220" t="str">
        <f>IF(ROW(A15)&lt;=Capacity!$M$16,'Capacity calculation (hide)'!DK125,"")</f>
        <v/>
      </c>
      <c r="J132" s="221" t="str">
        <f t="shared" si="2"/>
        <v/>
      </c>
    </row>
    <row r="133" spans="2:10" hidden="1" x14ac:dyDescent="0.2">
      <c r="B133" s="221" t="str">
        <f>IF(Capacity!N32=0,"",Capacity!N32)</f>
        <v/>
      </c>
      <c r="C133" s="134"/>
      <c r="D133" s="134"/>
      <c r="E133" s="134"/>
      <c r="F133" s="218" t="str">
        <f>IF(ROW(A16)&lt;=Capacity!$M$16,Capacity!Q32,"")</f>
        <v/>
      </c>
      <c r="G133" s="330" t="str">
        <f>IF(ROW(A16)&lt;=Capacity!$M$16,'Capacity calculation (hide)'!BH127,"")</f>
        <v/>
      </c>
      <c r="H133" s="218" t="str">
        <f>IF(ROW(A16)&lt;=Capacity!$M$16,Capacity!T32,"")</f>
        <v/>
      </c>
      <c r="I133" s="220" t="str">
        <f>IF(ROW(A16)&lt;=Capacity!$M$16,'Capacity calculation (hide)'!DK126,"")</f>
        <v/>
      </c>
      <c r="J133" s="221" t="str">
        <f t="shared" si="2"/>
        <v/>
      </c>
    </row>
    <row r="134" spans="2:10" hidden="1" x14ac:dyDescent="0.2">
      <c r="B134" s="221" t="str">
        <f>IF(Capacity!N33=0,"",Capacity!N33)</f>
        <v/>
      </c>
      <c r="C134" s="134"/>
      <c r="D134" s="134"/>
      <c r="E134" s="134"/>
      <c r="F134" s="218" t="str">
        <f>IF(ROW(A17)&lt;=Capacity!$M$16,Capacity!Q33,"")</f>
        <v/>
      </c>
      <c r="G134" s="330" t="str">
        <f>IF(ROW(A17)&lt;=Capacity!$M$16,'Capacity calculation (hide)'!BH128,"")</f>
        <v/>
      </c>
      <c r="H134" s="218" t="str">
        <f>IF(ROW(A17)&lt;=Capacity!$M$16,Capacity!T33,"")</f>
        <v/>
      </c>
      <c r="I134" s="220" t="str">
        <f>IF(ROW(A17)&lt;=Capacity!$M$16,'Capacity calculation (hide)'!DK127,"")</f>
        <v/>
      </c>
      <c r="J134" s="221" t="str">
        <f t="shared" si="2"/>
        <v/>
      </c>
    </row>
    <row r="135" spans="2:10" hidden="1" x14ac:dyDescent="0.2">
      <c r="B135" s="221" t="str">
        <f>IF(Capacity!N34=0,"",Capacity!N34)</f>
        <v/>
      </c>
      <c r="C135" s="134"/>
      <c r="D135" s="134"/>
      <c r="E135" s="134"/>
      <c r="F135" s="218" t="str">
        <f>IF(ROW(A18)&lt;=Capacity!$M$16,Capacity!Q34,"")</f>
        <v/>
      </c>
      <c r="G135" s="330" t="str">
        <f>IF(ROW(A18)&lt;=Capacity!$M$16,'Capacity calculation (hide)'!BH129,"")</f>
        <v/>
      </c>
      <c r="H135" s="218" t="str">
        <f>IF(ROW(A18)&lt;=Capacity!$M$16,Capacity!T34,"")</f>
        <v/>
      </c>
      <c r="I135" s="220" t="str">
        <f>IF(ROW(A18)&lt;=Capacity!$M$16,'Capacity calculation (hide)'!DK128,"")</f>
        <v/>
      </c>
      <c r="J135" s="221" t="str">
        <f t="shared" si="2"/>
        <v/>
      </c>
    </row>
    <row r="136" spans="2:10" hidden="1" x14ac:dyDescent="0.2">
      <c r="B136" s="221" t="str">
        <f>IF(Capacity!N35=0,"",Capacity!N35)</f>
        <v/>
      </c>
      <c r="C136" s="134"/>
      <c r="D136" s="134"/>
      <c r="E136" s="134"/>
      <c r="F136" s="218" t="str">
        <f>IF(ROW(A19)&lt;=Capacity!$M$16,Capacity!Q35,"")</f>
        <v/>
      </c>
      <c r="G136" s="330" t="str">
        <f>IF(ROW(A19)&lt;=Capacity!$M$16,'Capacity calculation (hide)'!BH130,"")</f>
        <v/>
      </c>
      <c r="H136" s="218" t="str">
        <f>IF(ROW(A19)&lt;=Capacity!$M$16,Capacity!T35,"")</f>
        <v/>
      </c>
      <c r="I136" s="220" t="str">
        <f>IF(ROW(A19)&lt;=Capacity!$M$16,'Capacity calculation (hide)'!DK129,"")</f>
        <v/>
      </c>
      <c r="J136" s="221" t="str">
        <f t="shared" si="2"/>
        <v/>
      </c>
    </row>
    <row r="137" spans="2:10" hidden="1" x14ac:dyDescent="0.2">
      <c r="B137" s="221" t="str">
        <f>IF(Capacity!N36=0,"",Capacity!N36)</f>
        <v/>
      </c>
      <c r="C137" s="134"/>
      <c r="D137" s="134"/>
      <c r="E137" s="134"/>
      <c r="F137" s="218" t="str">
        <f>IF(ROW(A20)&lt;=Capacity!$M$16,Capacity!Q36,"")</f>
        <v/>
      </c>
      <c r="G137" s="330" t="str">
        <f>IF(ROW(A20)&lt;=Capacity!$M$16,'Capacity calculation (hide)'!BH131,"")</f>
        <v/>
      </c>
      <c r="H137" s="218" t="str">
        <f>IF(ROW(A20)&lt;=Capacity!$M$16,Capacity!T36,"")</f>
        <v/>
      </c>
      <c r="I137" s="220" t="str">
        <f>IF(ROW(A20)&lt;=Capacity!$M$16,'Capacity calculation (hide)'!DK130,"")</f>
        <v/>
      </c>
      <c r="J137" s="221" t="str">
        <f t="shared" si="2"/>
        <v/>
      </c>
    </row>
    <row r="138" spans="2:10" hidden="1" x14ac:dyDescent="0.2">
      <c r="B138" s="221" t="str">
        <f>IF(Capacity!N37=0,"",Capacity!N37)</f>
        <v/>
      </c>
      <c r="C138" s="134"/>
      <c r="D138" s="134"/>
      <c r="E138" s="134"/>
      <c r="F138" s="218" t="str">
        <f>IF(ROW(A21)&lt;=Capacity!$M$16,Capacity!Q37,"")</f>
        <v/>
      </c>
      <c r="G138" s="330" t="str">
        <f>IF(ROW(A21)&lt;=Capacity!$M$16,'Capacity calculation (hide)'!BH132,"")</f>
        <v/>
      </c>
      <c r="H138" s="218" t="str">
        <f>IF(ROW(A21)&lt;=Capacity!$M$16,Capacity!T37,"")</f>
        <v/>
      </c>
      <c r="I138" s="220" t="str">
        <f>IF(ROW(A21)&lt;=Capacity!$M$16,'Capacity calculation (hide)'!DK131,"")</f>
        <v/>
      </c>
      <c r="J138" s="221" t="str">
        <f t="shared" si="2"/>
        <v/>
      </c>
    </row>
    <row r="139" spans="2:10" hidden="1" x14ac:dyDescent="0.2">
      <c r="B139" s="221" t="str">
        <f>IF(Capacity!N38=0,"",Capacity!N38)</f>
        <v/>
      </c>
      <c r="C139" s="134"/>
      <c r="D139" s="134"/>
      <c r="E139" s="134"/>
      <c r="F139" s="218" t="str">
        <f>IF(ROW(A22)&lt;=Capacity!$M$16,Capacity!Q38,"")</f>
        <v/>
      </c>
      <c r="G139" s="330" t="str">
        <f>IF(ROW(A22)&lt;=Capacity!$M$16,'Capacity calculation (hide)'!BH133,"")</f>
        <v/>
      </c>
      <c r="H139" s="218" t="str">
        <f>IF(ROW(A22)&lt;=Capacity!$M$16,Capacity!T38,"")</f>
        <v/>
      </c>
      <c r="I139" s="220" t="str">
        <f>IF(ROW(A22)&lt;=Capacity!$M$16,'Capacity calculation (hide)'!DK132,"")</f>
        <v/>
      </c>
      <c r="J139" s="221" t="str">
        <f t="shared" si="2"/>
        <v/>
      </c>
    </row>
    <row r="140" spans="2:10" hidden="1" x14ac:dyDescent="0.2">
      <c r="B140" s="221" t="str">
        <f>IF(Capacity!N39=0,"",Capacity!N39)</f>
        <v/>
      </c>
      <c r="C140" s="134"/>
      <c r="D140" s="134"/>
      <c r="E140" s="134"/>
      <c r="F140" s="218" t="str">
        <f>IF(ROW(A23)&lt;=Capacity!$M$16,Capacity!Q39,"")</f>
        <v/>
      </c>
      <c r="G140" s="330" t="str">
        <f>IF(ROW(A23)&lt;=Capacity!$M$16,'Capacity calculation (hide)'!BH134,"")</f>
        <v/>
      </c>
      <c r="H140" s="218" t="str">
        <f>IF(ROW(A23)&lt;=Capacity!$M$16,Capacity!T39,"")</f>
        <v/>
      </c>
      <c r="I140" s="220" t="str">
        <f>IF(ROW(A23)&lt;=Capacity!$M$16,'Capacity calculation (hide)'!DK133,"")</f>
        <v/>
      </c>
      <c r="J140" s="221" t="str">
        <f t="shared" si="2"/>
        <v/>
      </c>
    </row>
    <row r="141" spans="2:10" hidden="1" x14ac:dyDescent="0.2">
      <c r="B141" s="221" t="str">
        <f>IF(Capacity!N40=0,"",Capacity!N40)</f>
        <v/>
      </c>
      <c r="C141" s="134"/>
      <c r="D141" s="134"/>
      <c r="E141" s="134"/>
      <c r="F141" s="218" t="str">
        <f>IF(ROW(A24)&lt;=Capacity!$M$16,Capacity!Q40,"")</f>
        <v/>
      </c>
      <c r="G141" s="330" t="str">
        <f>IF(ROW(A24)&lt;=Capacity!$M$16,'Capacity calculation (hide)'!BH135,"")</f>
        <v/>
      </c>
      <c r="H141" s="218" t="str">
        <f>IF(ROW(A24)&lt;=Capacity!$M$16,Capacity!T40,"")</f>
        <v/>
      </c>
      <c r="I141" s="220" t="str">
        <f>IF(ROW(A24)&lt;=Capacity!$M$16,'Capacity calculation (hide)'!DK134,"")</f>
        <v/>
      </c>
      <c r="J141" s="221" t="str">
        <f t="shared" si="2"/>
        <v/>
      </c>
    </row>
    <row r="142" spans="2:10" hidden="1" x14ac:dyDescent="0.2">
      <c r="B142" s="221" t="str">
        <f>IF(Capacity!N41=0,"",Capacity!N41)</f>
        <v/>
      </c>
      <c r="C142" s="134"/>
      <c r="D142" s="134"/>
      <c r="E142" s="134"/>
      <c r="F142" s="218" t="str">
        <f>IF(ROW(A25)&lt;=Capacity!$M$16,Capacity!Q41,"")</f>
        <v/>
      </c>
      <c r="G142" s="330" t="str">
        <f>IF(ROW(A25)&lt;=Capacity!$M$16,'Capacity calculation (hide)'!BH136,"")</f>
        <v/>
      </c>
      <c r="H142" s="218" t="str">
        <f>IF(ROW(A25)&lt;=Capacity!$M$16,Capacity!T41,"")</f>
        <v/>
      </c>
      <c r="I142" s="220" t="str">
        <f>IF(ROW(A25)&lt;=Capacity!$M$16,'Capacity calculation (hide)'!DK135,"")</f>
        <v/>
      </c>
      <c r="J142" s="221" t="str">
        <f t="shared" si="2"/>
        <v/>
      </c>
    </row>
    <row r="143" spans="2:10" hidden="1" x14ac:dyDescent="0.2">
      <c r="B143" s="221" t="str">
        <f>IF(Capacity!N42=0,"",Capacity!N42)</f>
        <v/>
      </c>
      <c r="C143" s="134"/>
      <c r="D143" s="134"/>
      <c r="E143" s="134"/>
      <c r="F143" s="218" t="str">
        <f>IF(ROW(A26)&lt;=Capacity!$M$16,Capacity!Q42,"")</f>
        <v/>
      </c>
      <c r="G143" s="330" t="str">
        <f>IF(ROW(A26)&lt;=Capacity!$M$16,'Capacity calculation (hide)'!BH137,"")</f>
        <v/>
      </c>
      <c r="H143" s="218" t="str">
        <f>IF(ROW(A26)&lt;=Capacity!$M$16,Capacity!T42,"")</f>
        <v/>
      </c>
      <c r="I143" s="220" t="str">
        <f>IF(ROW(A26)&lt;=Capacity!$M$16,'Capacity calculation (hide)'!DK136,"")</f>
        <v/>
      </c>
      <c r="J143" s="221" t="str">
        <f t="shared" si="2"/>
        <v/>
      </c>
    </row>
    <row r="144" spans="2:10" hidden="1" x14ac:dyDescent="0.2">
      <c r="B144" s="221" t="str">
        <f>IF(Capacity!N43=0,"",Capacity!N43)</f>
        <v/>
      </c>
      <c r="C144" s="134"/>
      <c r="D144" s="134"/>
      <c r="E144" s="134"/>
      <c r="F144" s="218" t="str">
        <f>IF(ROW(A27)&lt;=Capacity!$M$16,Capacity!Q43,"")</f>
        <v/>
      </c>
      <c r="G144" s="330" t="str">
        <f>IF(ROW(A27)&lt;=Capacity!$M$16,'Capacity calculation (hide)'!BH138,"")</f>
        <v/>
      </c>
      <c r="H144" s="218" t="str">
        <f>IF(ROW(A27)&lt;=Capacity!$M$16,Capacity!T43,"")</f>
        <v/>
      </c>
      <c r="I144" s="220" t="str">
        <f>IF(ROW(A27)&lt;=Capacity!$M$16,'Capacity calculation (hide)'!DK137,"")</f>
        <v/>
      </c>
      <c r="J144" s="221" t="str">
        <f t="shared" si="2"/>
        <v/>
      </c>
    </row>
    <row r="145" spans="2:10" hidden="1" x14ac:dyDescent="0.2">
      <c r="B145" s="221" t="str">
        <f>IF(Capacity!N44=0,"",Capacity!N44)</f>
        <v/>
      </c>
      <c r="C145" s="134"/>
      <c r="D145" s="134"/>
      <c r="E145" s="134"/>
      <c r="F145" s="218" t="str">
        <f>IF(ROW(A28)&lt;=Capacity!$M$16,Capacity!Q44,"")</f>
        <v/>
      </c>
      <c r="G145" s="330" t="str">
        <f>IF(ROW(A28)&lt;=Capacity!$M$16,'Capacity calculation (hide)'!BH139,"")</f>
        <v/>
      </c>
      <c r="H145" s="218" t="str">
        <f>IF(ROW(A28)&lt;=Capacity!$M$16,Capacity!T44,"")</f>
        <v/>
      </c>
      <c r="I145" s="220" t="str">
        <f>IF(ROW(A28)&lt;=Capacity!$M$16,'Capacity calculation (hide)'!DK138,"")</f>
        <v/>
      </c>
      <c r="J145" s="221" t="str">
        <f t="shared" si="2"/>
        <v/>
      </c>
    </row>
    <row r="146" spans="2:10" hidden="1" x14ac:dyDescent="0.2">
      <c r="B146" s="221" t="str">
        <f>IF(Capacity!N45=0,"",Capacity!N45)</f>
        <v/>
      </c>
      <c r="C146" s="134"/>
      <c r="D146" s="134"/>
      <c r="E146" s="134"/>
      <c r="F146" s="218" t="str">
        <f>IF(ROW(A29)&lt;=Capacity!$M$16,Capacity!Q45,"")</f>
        <v/>
      </c>
      <c r="G146" s="330" t="str">
        <f>IF(ROW(A29)&lt;=Capacity!$M$16,'Capacity calculation (hide)'!BH140,"")</f>
        <v/>
      </c>
      <c r="H146" s="218" t="str">
        <f>IF(ROW(A29)&lt;=Capacity!$M$16,Capacity!T45,"")</f>
        <v/>
      </c>
      <c r="I146" s="220" t="str">
        <f>IF(ROW(A29)&lt;=Capacity!$M$16,'Capacity calculation (hide)'!DK139,"")</f>
        <v/>
      </c>
      <c r="J146" s="221" t="str">
        <f t="shared" si="2"/>
        <v/>
      </c>
    </row>
    <row r="147" spans="2:10" hidden="1" x14ac:dyDescent="0.2">
      <c r="B147" s="221" t="str">
        <f>IF(Capacity!N46=0,"",Capacity!N46)</f>
        <v/>
      </c>
      <c r="C147" s="134"/>
      <c r="D147" s="134"/>
      <c r="E147" s="134"/>
      <c r="F147" s="218" t="str">
        <f>IF(ROW(A30)&lt;=Capacity!$M$16,Capacity!Q46,"")</f>
        <v/>
      </c>
      <c r="G147" s="330" t="str">
        <f>IF(ROW(A30)&lt;=Capacity!$M$16,'Capacity calculation (hide)'!BH141,"")</f>
        <v/>
      </c>
      <c r="H147" s="218" t="str">
        <f>IF(ROW(A30)&lt;=Capacity!$M$16,Capacity!T46,"")</f>
        <v/>
      </c>
      <c r="I147" s="220" t="str">
        <f>IF(ROW(A30)&lt;=Capacity!$M$16,'Capacity calculation (hide)'!DK140,"")</f>
        <v/>
      </c>
      <c r="J147" s="221" t="str">
        <f t="shared" si="2"/>
        <v/>
      </c>
    </row>
    <row r="148" spans="2:10" hidden="1" x14ac:dyDescent="0.2">
      <c r="B148" s="221" t="str">
        <f>IF(Capacity!N47=0,"",Capacity!N47)</f>
        <v/>
      </c>
      <c r="C148" s="134"/>
      <c r="D148" s="134"/>
      <c r="E148" s="134"/>
      <c r="F148" s="218" t="str">
        <f>IF(ROW(A31)&lt;=Capacity!$M$16,Capacity!Q47,"")</f>
        <v/>
      </c>
      <c r="G148" s="330" t="str">
        <f>IF(ROW(A31)&lt;=Capacity!$M$16,'Capacity calculation (hide)'!BH142,"")</f>
        <v/>
      </c>
      <c r="H148" s="218" t="str">
        <f>IF(ROW(A31)&lt;=Capacity!$M$16,Capacity!T47,"")</f>
        <v/>
      </c>
      <c r="I148" s="220" t="str">
        <f>IF(ROW(A31)&lt;=Capacity!$M$16,'Capacity calculation (hide)'!DK141,"")</f>
        <v/>
      </c>
      <c r="J148" s="221" t="str">
        <f t="shared" si="2"/>
        <v/>
      </c>
    </row>
    <row r="149" spans="2:10" hidden="1" x14ac:dyDescent="0.2">
      <c r="B149" s="221" t="str">
        <f>IF(Capacity!N48=0,"",Capacity!N48)</f>
        <v/>
      </c>
      <c r="C149" s="134"/>
      <c r="D149" s="134"/>
      <c r="E149" s="134"/>
      <c r="F149" s="218" t="str">
        <f>IF(ROW(A32)&lt;=Capacity!$M$16,Capacity!Q48,"")</f>
        <v/>
      </c>
      <c r="G149" s="330" t="str">
        <f>IF(ROW(A32)&lt;=Capacity!$M$16,'Capacity calculation (hide)'!BH143,"")</f>
        <v/>
      </c>
      <c r="H149" s="218" t="str">
        <f>IF(ROW(A32)&lt;=Capacity!$M$16,Capacity!T48,"")</f>
        <v/>
      </c>
      <c r="I149" s="220" t="str">
        <f>IF(ROW(A32)&lt;=Capacity!$M$16,'Capacity calculation (hide)'!DK142,"")</f>
        <v/>
      </c>
      <c r="J149" s="221" t="str">
        <f t="shared" si="2"/>
        <v/>
      </c>
    </row>
    <row r="150" spans="2:10" hidden="1" x14ac:dyDescent="0.2">
      <c r="B150" s="221" t="str">
        <f>IF(Capacity!N49=0,"",Capacity!N49)</f>
        <v/>
      </c>
      <c r="C150" s="134"/>
      <c r="D150" s="134"/>
      <c r="E150" s="134"/>
      <c r="F150" s="218" t="str">
        <f>IF(ROW(A33)&lt;=Capacity!$M$16,Capacity!Q49,"")</f>
        <v/>
      </c>
      <c r="G150" s="330" t="str">
        <f>IF(ROW(A33)&lt;=Capacity!$M$16,'Capacity calculation (hide)'!BH144,"")</f>
        <v/>
      </c>
      <c r="H150" s="218" t="str">
        <f>IF(ROW(A33)&lt;=Capacity!$M$16,Capacity!T49,"")</f>
        <v/>
      </c>
      <c r="I150" s="220" t="str">
        <f>IF(ROW(A33)&lt;=Capacity!$M$16,'Capacity calculation (hide)'!DK143,"")</f>
        <v/>
      </c>
      <c r="J150" s="221" t="str">
        <f t="shared" si="2"/>
        <v/>
      </c>
    </row>
    <row r="151" spans="2:10" hidden="1" x14ac:dyDescent="0.2">
      <c r="B151" s="221" t="str">
        <f>IF(Capacity!N50=0,"",Capacity!N50)</f>
        <v/>
      </c>
      <c r="C151" s="134"/>
      <c r="D151" s="134"/>
      <c r="E151" s="134"/>
      <c r="F151" s="218" t="str">
        <f>IF(ROW(A34)&lt;=Capacity!$M$16,Capacity!Q50,"")</f>
        <v/>
      </c>
      <c r="G151" s="330" t="str">
        <f>IF(ROW(A34)&lt;=Capacity!$M$16,'Capacity calculation (hide)'!BH145,"")</f>
        <v/>
      </c>
      <c r="H151" s="218" t="str">
        <f>IF(ROW(A34)&lt;=Capacity!$M$16,Capacity!T50,"")</f>
        <v/>
      </c>
      <c r="I151" s="220" t="str">
        <f>IF(ROW(A34)&lt;=Capacity!$M$16,'Capacity calculation (hide)'!DK144,"")</f>
        <v/>
      </c>
      <c r="J151" s="221" t="str">
        <f t="shared" si="2"/>
        <v/>
      </c>
    </row>
    <row r="152" spans="2:10" hidden="1" x14ac:dyDescent="0.2">
      <c r="B152" s="221" t="str">
        <f>IF(Capacity!N51=0,"",Capacity!N51)</f>
        <v/>
      </c>
      <c r="C152" s="134"/>
      <c r="D152" s="134"/>
      <c r="E152" s="134"/>
      <c r="F152" s="218" t="str">
        <f>IF(ROW(A35)&lt;=Capacity!$M$16,Capacity!Q51,"")</f>
        <v/>
      </c>
      <c r="G152" s="330" t="str">
        <f>IF(ROW(A35)&lt;=Capacity!$M$16,'Capacity calculation (hide)'!BH146,"")</f>
        <v/>
      </c>
      <c r="H152" s="218" t="str">
        <f>IF(ROW(A35)&lt;=Capacity!$M$16,Capacity!T51,"")</f>
        <v/>
      </c>
      <c r="I152" s="220" t="str">
        <f>IF(ROW(A35)&lt;=Capacity!$M$16,'Capacity calculation (hide)'!DK145,"")</f>
        <v/>
      </c>
      <c r="J152" s="221" t="str">
        <f t="shared" si="2"/>
        <v/>
      </c>
    </row>
    <row r="153" spans="2:10" hidden="1" x14ac:dyDescent="0.2">
      <c r="B153" s="221" t="str">
        <f>IF(Capacity!N52=0,"",Capacity!N52)</f>
        <v/>
      </c>
      <c r="C153" s="134"/>
      <c r="D153" s="134"/>
      <c r="E153" s="134"/>
      <c r="F153" s="218" t="str">
        <f>IF(ROW(A36)&lt;=Capacity!$M$16,Capacity!Q52,"")</f>
        <v/>
      </c>
      <c r="G153" s="330" t="str">
        <f>IF(ROW(A36)&lt;=Capacity!$M$16,'Capacity calculation (hide)'!BH147,"")</f>
        <v/>
      </c>
      <c r="H153" s="218" t="str">
        <f>IF(ROW(A36)&lt;=Capacity!$M$16,Capacity!T52,"")</f>
        <v/>
      </c>
      <c r="I153" s="220" t="str">
        <f>IF(ROW(A36)&lt;=Capacity!$M$16,'Capacity calculation (hide)'!DK146,"")</f>
        <v/>
      </c>
      <c r="J153" s="221" t="str">
        <f t="shared" si="2"/>
        <v/>
      </c>
    </row>
    <row r="154" spans="2:10" hidden="1" x14ac:dyDescent="0.2">
      <c r="B154" s="221" t="str">
        <f>IF(Capacity!N53=0,"",Capacity!N53)</f>
        <v/>
      </c>
      <c r="C154" s="134"/>
      <c r="D154" s="134"/>
      <c r="E154" s="134"/>
      <c r="F154" s="218" t="str">
        <f>IF(ROW(A37)&lt;=Capacity!$M$16,Capacity!Q53,"")</f>
        <v/>
      </c>
      <c r="G154" s="330" t="str">
        <f>IF(ROW(A37)&lt;=Capacity!$M$16,'Capacity calculation (hide)'!BH148,"")</f>
        <v/>
      </c>
      <c r="H154" s="218" t="str">
        <f>IF(ROW(A37)&lt;=Capacity!$M$16,Capacity!T53,"")</f>
        <v/>
      </c>
      <c r="I154" s="220" t="str">
        <f>IF(ROW(A37)&lt;=Capacity!$M$16,'Capacity calculation (hide)'!DK147,"")</f>
        <v/>
      </c>
      <c r="J154" s="221" t="str">
        <f t="shared" si="2"/>
        <v/>
      </c>
    </row>
    <row r="155" spans="2:10" hidden="1" x14ac:dyDescent="0.2">
      <c r="B155" s="221" t="str">
        <f>IF(Capacity!N54=0,"",Capacity!N54)</f>
        <v/>
      </c>
      <c r="C155" s="134"/>
      <c r="D155" s="134"/>
      <c r="E155" s="134"/>
      <c r="F155" s="218" t="str">
        <f>IF(ROW(A38)&lt;=Capacity!$M$16,Capacity!Q54,"")</f>
        <v/>
      </c>
      <c r="G155" s="330" t="str">
        <f>IF(ROW(A38)&lt;=Capacity!$M$16,'Capacity calculation (hide)'!BH149,"")</f>
        <v/>
      </c>
      <c r="H155" s="218" t="str">
        <f>IF(ROW(A38)&lt;=Capacity!$M$16,Capacity!T54,"")</f>
        <v/>
      </c>
      <c r="I155" s="220" t="str">
        <f>IF(ROW(A38)&lt;=Capacity!$M$16,'Capacity calculation (hide)'!DK148,"")</f>
        <v/>
      </c>
      <c r="J155" s="221" t="str">
        <f t="shared" si="2"/>
        <v/>
      </c>
    </row>
    <row r="156" spans="2:10" hidden="1" x14ac:dyDescent="0.2">
      <c r="B156" s="221" t="str">
        <f>IF(Capacity!N55=0,"",Capacity!N55)</f>
        <v/>
      </c>
      <c r="C156" s="134"/>
      <c r="D156" s="134"/>
      <c r="E156" s="134"/>
      <c r="F156" s="218" t="str">
        <f>IF(ROW(A39)&lt;=Capacity!$M$16,Capacity!Q55,"")</f>
        <v/>
      </c>
      <c r="G156" s="330" t="str">
        <f>IF(ROW(A39)&lt;=Capacity!$M$16,'Capacity calculation (hide)'!BH150,"")</f>
        <v/>
      </c>
      <c r="H156" s="218" t="str">
        <f>IF(ROW(A39)&lt;=Capacity!$M$16,Capacity!T55,"")</f>
        <v/>
      </c>
      <c r="I156" s="220" t="str">
        <f>IF(ROW(A39)&lt;=Capacity!$M$16,'Capacity calculation (hide)'!DK149,"")</f>
        <v/>
      </c>
      <c r="J156" s="221" t="str">
        <f t="shared" si="2"/>
        <v/>
      </c>
    </row>
    <row r="157" spans="2:10" hidden="1" x14ac:dyDescent="0.2">
      <c r="B157" s="221" t="str">
        <f>IF(Capacity!N56=0,"",Capacity!N56)</f>
        <v/>
      </c>
      <c r="C157" s="134"/>
      <c r="D157" s="134"/>
      <c r="E157" s="134"/>
      <c r="F157" s="218" t="str">
        <f>IF(ROW(A40)&lt;=Capacity!$M$16,Capacity!Q56,"")</f>
        <v/>
      </c>
      <c r="G157" s="330" t="str">
        <f>IF(ROW(A40)&lt;=Capacity!$M$16,'Capacity calculation (hide)'!BH151,"")</f>
        <v/>
      </c>
      <c r="H157" s="218" t="str">
        <f>IF(ROW(A40)&lt;=Capacity!$M$16,Capacity!T56,"")</f>
        <v/>
      </c>
      <c r="I157" s="220" t="str">
        <f>IF(ROW(A40)&lt;=Capacity!$M$16,'Capacity calculation (hide)'!DK150,"")</f>
        <v/>
      </c>
      <c r="J157" s="221" t="str">
        <f t="shared" si="2"/>
        <v/>
      </c>
    </row>
    <row r="158" spans="2:10" hidden="1" x14ac:dyDescent="0.2">
      <c r="B158" s="221" t="str">
        <f>IF(Capacity!N57=0,"",Capacity!N57)</f>
        <v/>
      </c>
      <c r="C158" s="134"/>
      <c r="D158" s="134"/>
      <c r="E158" s="134"/>
      <c r="F158" s="218" t="str">
        <f>IF(ROW(A41)&lt;=Capacity!$M$16,Capacity!Q57,"")</f>
        <v/>
      </c>
      <c r="G158" s="330" t="str">
        <f>IF(ROW(A41)&lt;=Capacity!$M$16,'Capacity calculation (hide)'!BH152,"")</f>
        <v/>
      </c>
      <c r="H158" s="218" t="str">
        <f>IF(ROW(A41)&lt;=Capacity!$M$16,Capacity!T57,"")</f>
        <v/>
      </c>
      <c r="I158" s="220" t="str">
        <f>IF(ROW(A41)&lt;=Capacity!$M$16,'Capacity calculation (hide)'!DK151,"")</f>
        <v/>
      </c>
      <c r="J158" s="221" t="str">
        <f t="shared" si="2"/>
        <v/>
      </c>
    </row>
    <row r="159" spans="2:10" hidden="1" x14ac:dyDescent="0.2">
      <c r="B159" s="221" t="str">
        <f>IF(Capacity!N58=0,"",Capacity!N58)</f>
        <v/>
      </c>
      <c r="C159" s="134"/>
      <c r="D159" s="134"/>
      <c r="E159" s="134"/>
      <c r="F159" s="218" t="str">
        <f>IF(ROW(A42)&lt;=Capacity!$M$16,Capacity!Q58,"")</f>
        <v/>
      </c>
      <c r="G159" s="330" t="str">
        <f>IF(ROW(A42)&lt;=Capacity!$M$16,'Capacity calculation (hide)'!BH153,"")</f>
        <v/>
      </c>
      <c r="H159" s="218" t="str">
        <f>IF(ROW(A42)&lt;=Capacity!$M$16,Capacity!T58,"")</f>
        <v/>
      </c>
      <c r="I159" s="220" t="str">
        <f>IF(ROW(A42)&lt;=Capacity!$M$16,'Capacity calculation (hide)'!DK152,"")</f>
        <v/>
      </c>
      <c r="J159" s="221" t="str">
        <f t="shared" si="2"/>
        <v/>
      </c>
    </row>
    <row r="160" spans="2:10" hidden="1" x14ac:dyDescent="0.2">
      <c r="B160" s="221" t="str">
        <f>IF(Capacity!N59=0,"",Capacity!N59)</f>
        <v/>
      </c>
      <c r="C160" s="134"/>
      <c r="D160" s="134"/>
      <c r="E160" s="134"/>
      <c r="F160" s="218" t="str">
        <f>IF(ROW(A43)&lt;=Capacity!$M$16,Capacity!Q59,"")</f>
        <v/>
      </c>
      <c r="G160" s="330" t="str">
        <f>IF(ROW(A43)&lt;=Capacity!$M$16,'Capacity calculation (hide)'!BH154,"")</f>
        <v/>
      </c>
      <c r="H160" s="218" t="str">
        <f>IF(ROW(A43)&lt;=Capacity!$M$16,Capacity!T59,"")</f>
        <v/>
      </c>
      <c r="I160" s="220" t="str">
        <f>IF(ROW(A43)&lt;=Capacity!$M$16,'Capacity calculation (hide)'!DK153,"")</f>
        <v/>
      </c>
      <c r="J160" s="221" t="str">
        <f t="shared" si="2"/>
        <v/>
      </c>
    </row>
    <row r="161" spans="2:10" hidden="1" x14ac:dyDescent="0.2">
      <c r="B161" s="221" t="str">
        <f>IF(Capacity!N60=0,"",Capacity!N60)</f>
        <v/>
      </c>
      <c r="C161" s="134"/>
      <c r="D161" s="134"/>
      <c r="E161" s="134"/>
      <c r="F161" s="218" t="str">
        <f>IF(ROW(A44)&lt;=Capacity!$M$16,Capacity!Q60,"")</f>
        <v/>
      </c>
      <c r="G161" s="330" t="str">
        <f>IF(ROW(A44)&lt;=Capacity!$M$16,'Capacity calculation (hide)'!BH155,"")</f>
        <v/>
      </c>
      <c r="H161" s="218" t="str">
        <f>IF(ROW(A44)&lt;=Capacity!$M$16,Capacity!T60,"")</f>
        <v/>
      </c>
      <c r="I161" s="220" t="str">
        <f>IF(ROW(A44)&lt;=Capacity!$M$16,'Capacity calculation (hide)'!DK154,"")</f>
        <v/>
      </c>
      <c r="J161" s="221" t="str">
        <f t="shared" si="2"/>
        <v/>
      </c>
    </row>
    <row r="162" spans="2:10" hidden="1" x14ac:dyDescent="0.2">
      <c r="B162" s="221" t="str">
        <f>IF(Capacity!N61=0,"",Capacity!N61)</f>
        <v/>
      </c>
      <c r="C162" s="134"/>
      <c r="D162" s="134"/>
      <c r="E162" s="134"/>
      <c r="F162" s="218" t="str">
        <f>IF(ROW(A45)&lt;=Capacity!$M$16,Capacity!Q61,"")</f>
        <v/>
      </c>
      <c r="G162" s="330" t="str">
        <f>IF(ROW(A45)&lt;=Capacity!$M$16,'Capacity calculation (hide)'!BH156,"")</f>
        <v/>
      </c>
      <c r="H162" s="218" t="str">
        <f>IF(ROW(A45)&lt;=Capacity!$M$16,Capacity!T61,"")</f>
        <v/>
      </c>
      <c r="I162" s="220" t="str">
        <f>IF(ROW(A45)&lt;=Capacity!$M$16,'Capacity calculation (hide)'!DK155,"")</f>
        <v/>
      </c>
      <c r="J162" s="221" t="str">
        <f t="shared" si="2"/>
        <v/>
      </c>
    </row>
    <row r="163" spans="2:10" hidden="1" x14ac:dyDescent="0.2">
      <c r="B163" s="221" t="str">
        <f>IF(Capacity!N62=0,"",Capacity!N62)</f>
        <v/>
      </c>
      <c r="C163" s="134"/>
      <c r="D163" s="134"/>
      <c r="E163" s="134"/>
      <c r="F163" s="218" t="str">
        <f>IF(ROW(A46)&lt;=Capacity!$M$16,Capacity!Q62,"")</f>
        <v/>
      </c>
      <c r="G163" s="330" t="str">
        <f>IF(ROW(A46)&lt;=Capacity!$M$16,'Capacity calculation (hide)'!BH157,"")</f>
        <v/>
      </c>
      <c r="H163" s="218" t="str">
        <f>IF(ROW(A46)&lt;=Capacity!$M$16,Capacity!T62,"")</f>
        <v/>
      </c>
      <c r="I163" s="220" t="str">
        <f>IF(ROW(A46)&lt;=Capacity!$M$16,'Capacity calculation (hide)'!DK156,"")</f>
        <v/>
      </c>
      <c r="J163" s="221" t="str">
        <f t="shared" si="2"/>
        <v/>
      </c>
    </row>
    <row r="164" spans="2:10" hidden="1" x14ac:dyDescent="0.2">
      <c r="B164" s="221" t="str">
        <f>IF(Capacity!N63=0,"",Capacity!N63)</f>
        <v/>
      </c>
      <c r="C164" s="134"/>
      <c r="D164" s="134"/>
      <c r="E164" s="134"/>
      <c r="F164" s="218" t="str">
        <f>IF(ROW(A47)&lt;=Capacity!$M$16,Capacity!Q63,"")</f>
        <v/>
      </c>
      <c r="G164" s="330" t="str">
        <f>IF(ROW(A47)&lt;=Capacity!$M$16,'Capacity calculation (hide)'!BH158,"")</f>
        <v/>
      </c>
      <c r="H164" s="218" t="str">
        <f>IF(ROW(A47)&lt;=Capacity!$M$16,Capacity!T63,"")</f>
        <v/>
      </c>
      <c r="I164" s="220" t="str">
        <f>IF(ROW(A47)&lt;=Capacity!$M$16,'Capacity calculation (hide)'!DK157,"")</f>
        <v/>
      </c>
      <c r="J164" s="221" t="str">
        <f t="shared" si="2"/>
        <v/>
      </c>
    </row>
    <row r="165" spans="2:10" hidden="1" x14ac:dyDescent="0.2">
      <c r="B165" s="221" t="str">
        <f>IF(Capacity!N64=0,"",Capacity!N64)</f>
        <v/>
      </c>
      <c r="C165" s="134"/>
      <c r="D165" s="134"/>
      <c r="E165" s="134"/>
      <c r="F165" s="218" t="str">
        <f>IF(ROW(A48)&lt;=Capacity!$M$16,Capacity!Q64,"")</f>
        <v/>
      </c>
      <c r="G165" s="330" t="str">
        <f>IF(ROW(A48)&lt;=Capacity!$M$16,'Capacity calculation (hide)'!BH159,"")</f>
        <v/>
      </c>
      <c r="H165" s="218" t="str">
        <f>IF(ROW(A48)&lt;=Capacity!$M$16,Capacity!T64,"")</f>
        <v/>
      </c>
      <c r="I165" s="220" t="str">
        <f>IF(ROW(A48)&lt;=Capacity!$M$16,'Capacity calculation (hide)'!DK158,"")</f>
        <v/>
      </c>
      <c r="J165" s="221" t="str">
        <f t="shared" si="2"/>
        <v/>
      </c>
    </row>
    <row r="166" spans="2:10" hidden="1" x14ac:dyDescent="0.2">
      <c r="B166" s="221" t="str">
        <f>IF(Capacity!N65=0,"",Capacity!N65)</f>
        <v/>
      </c>
      <c r="C166" s="134"/>
      <c r="D166" s="134"/>
      <c r="E166" s="134"/>
      <c r="F166" s="218" t="str">
        <f>IF(ROW(A49)&lt;=Capacity!$M$16,Capacity!Q65,"")</f>
        <v/>
      </c>
      <c r="G166" s="330" t="str">
        <f>IF(ROW(A49)&lt;=Capacity!$M$16,'Capacity calculation (hide)'!BH160,"")</f>
        <v/>
      </c>
      <c r="H166" s="218" t="str">
        <f>IF(ROW(A49)&lt;=Capacity!$M$16,Capacity!T65,"")</f>
        <v/>
      </c>
      <c r="I166" s="220" t="str">
        <f>IF(ROW(A49)&lt;=Capacity!$M$16,'Capacity calculation (hide)'!DK159,"")</f>
        <v/>
      </c>
      <c r="J166" s="221" t="str">
        <f t="shared" si="2"/>
        <v/>
      </c>
    </row>
    <row r="167" spans="2:10" hidden="1" x14ac:dyDescent="0.2">
      <c r="B167" s="221" t="str">
        <f>IF(Capacity!N66=0,"",Capacity!N66)</f>
        <v/>
      </c>
      <c r="C167" s="134"/>
      <c r="D167" s="134"/>
      <c r="E167" s="134"/>
      <c r="F167" s="218" t="str">
        <f>IF(ROW(A50)&lt;=Capacity!$M$16,Capacity!Q66,"")</f>
        <v/>
      </c>
      <c r="G167" s="330" t="str">
        <f>IF(ROW(A50)&lt;=Capacity!$M$16,'Capacity calculation (hide)'!BH161,"")</f>
        <v/>
      </c>
      <c r="H167" s="218" t="str">
        <f>IF(ROW(A50)&lt;=Capacity!$M$16,Capacity!T66,"")</f>
        <v/>
      </c>
      <c r="I167" s="220" t="str">
        <f>IF(ROW(A50)&lt;=Capacity!$M$16,'Capacity calculation (hide)'!DK160,"")</f>
        <v/>
      </c>
      <c r="J167" s="221" t="str">
        <f t="shared" si="2"/>
        <v/>
      </c>
    </row>
    <row r="168" spans="2:10" hidden="1" x14ac:dyDescent="0.2">
      <c r="B168" s="221" t="str">
        <f>IF(Capacity!N67=0,"",Capacity!N67)</f>
        <v/>
      </c>
      <c r="C168" s="134"/>
      <c r="D168" s="134"/>
      <c r="E168" s="134"/>
      <c r="F168" s="218" t="str">
        <f>IF(ROW(A51)&lt;=Capacity!$M$16,Capacity!Q67,"")</f>
        <v/>
      </c>
      <c r="G168" s="330" t="str">
        <f>IF(ROW(A51)&lt;=Capacity!$M$16,'Capacity calculation (hide)'!BH162,"")</f>
        <v/>
      </c>
      <c r="H168" s="218" t="str">
        <f>IF(ROW(A51)&lt;=Capacity!$M$16,Capacity!T67,"")</f>
        <v/>
      </c>
      <c r="I168" s="220" t="str">
        <f>IF(ROW(A51)&lt;=Capacity!$M$16,'Capacity calculation (hide)'!DK161,"")</f>
        <v/>
      </c>
      <c r="J168" s="221" t="str">
        <f t="shared" si="2"/>
        <v/>
      </c>
    </row>
    <row r="169" spans="2:10" hidden="1" x14ac:dyDescent="0.2">
      <c r="B169" s="221" t="str">
        <f>IF(Capacity!N68=0,"",Capacity!N68)</f>
        <v/>
      </c>
      <c r="C169" s="134"/>
      <c r="D169" s="134"/>
      <c r="E169" s="134"/>
      <c r="F169" s="218" t="str">
        <f>IF(ROW(A52)&lt;=Capacity!$M$16,Capacity!Q68,"")</f>
        <v/>
      </c>
      <c r="G169" s="330" t="str">
        <f>IF(ROW(A52)&lt;=Capacity!$M$16,'Capacity calculation (hide)'!BH163,"")</f>
        <v/>
      </c>
      <c r="H169" s="218" t="str">
        <f>IF(ROW(A52)&lt;=Capacity!$M$16,Capacity!T68,"")</f>
        <v/>
      </c>
      <c r="I169" s="220" t="str">
        <f>IF(ROW(A52)&lt;=Capacity!$M$16,'Capacity calculation (hide)'!DK162,"")</f>
        <v/>
      </c>
      <c r="J169" s="221" t="str">
        <f t="shared" si="2"/>
        <v/>
      </c>
    </row>
    <row r="170" spans="2:10" hidden="1" x14ac:dyDescent="0.2">
      <c r="B170" s="221" t="str">
        <f>IF(Capacity!N69=0,"",Capacity!N69)</f>
        <v/>
      </c>
      <c r="C170" s="134"/>
      <c r="D170" s="134"/>
      <c r="E170" s="134"/>
      <c r="F170" s="218" t="str">
        <f>IF(ROW(A53)&lt;=Capacity!$M$16,Capacity!Q69,"")</f>
        <v/>
      </c>
      <c r="G170" s="330" t="str">
        <f>IF(ROW(A53)&lt;=Capacity!$M$16,'Capacity calculation (hide)'!BH164,"")</f>
        <v/>
      </c>
      <c r="H170" s="218" t="str">
        <f>IF(ROW(A53)&lt;=Capacity!$M$16,Capacity!T69,"")</f>
        <v/>
      </c>
      <c r="I170" s="220" t="str">
        <f>IF(ROW(A53)&lt;=Capacity!$M$16,'Capacity calculation (hide)'!DK163,"")</f>
        <v/>
      </c>
      <c r="J170" s="221" t="str">
        <f t="shared" si="2"/>
        <v/>
      </c>
    </row>
    <row r="171" spans="2:10" hidden="1" x14ac:dyDescent="0.2">
      <c r="B171" s="221" t="str">
        <f>IF(Capacity!N70=0,"",Capacity!N70)</f>
        <v/>
      </c>
      <c r="C171" s="134"/>
      <c r="D171" s="134"/>
      <c r="E171" s="134"/>
      <c r="F171" s="218" t="str">
        <f>IF(ROW(A54)&lt;=Capacity!$M$16,Capacity!Q70,"")</f>
        <v/>
      </c>
      <c r="G171" s="330" t="str">
        <f>IF(ROW(A54)&lt;=Capacity!$M$16,'Capacity calculation (hide)'!BH165,"")</f>
        <v/>
      </c>
      <c r="H171" s="218" t="str">
        <f>IF(ROW(A54)&lt;=Capacity!$M$16,Capacity!T70,"")</f>
        <v/>
      </c>
      <c r="I171" s="220" t="str">
        <f>IF(ROW(A54)&lt;=Capacity!$M$16,'Capacity calculation (hide)'!DK164,"")</f>
        <v/>
      </c>
      <c r="J171" s="221" t="str">
        <f t="shared" si="2"/>
        <v/>
      </c>
    </row>
    <row r="172" spans="2:10" hidden="1" x14ac:dyDescent="0.2">
      <c r="B172" s="221" t="str">
        <f>IF(Capacity!N71=0,"",Capacity!N71)</f>
        <v/>
      </c>
      <c r="C172" s="134"/>
      <c r="D172" s="134"/>
      <c r="E172" s="134"/>
      <c r="F172" s="218" t="str">
        <f>IF(ROW(A55)&lt;=Capacity!$M$16,Capacity!Q71,"")</f>
        <v/>
      </c>
      <c r="G172" s="330" t="str">
        <f>IF(ROW(A55)&lt;=Capacity!$M$16,'Capacity calculation (hide)'!BH166,"")</f>
        <v/>
      </c>
      <c r="H172" s="218" t="str">
        <f>IF(ROW(A55)&lt;=Capacity!$M$16,Capacity!T71,"")</f>
        <v/>
      </c>
      <c r="I172" s="220" t="str">
        <f>IF(ROW(A55)&lt;=Capacity!$M$16,'Capacity calculation (hide)'!DK165,"")</f>
        <v/>
      </c>
      <c r="J172" s="221" t="str">
        <f t="shared" si="2"/>
        <v/>
      </c>
    </row>
    <row r="173" spans="2:10" hidden="1" x14ac:dyDescent="0.2">
      <c r="B173" s="221" t="str">
        <f>IF(Capacity!N72=0,"",Capacity!N72)</f>
        <v/>
      </c>
      <c r="C173" s="134"/>
      <c r="D173" s="134"/>
      <c r="E173" s="134"/>
      <c r="F173" s="218" t="str">
        <f>IF(ROW(A56)&lt;=Capacity!$M$16,Capacity!Q72,"")</f>
        <v/>
      </c>
      <c r="G173" s="330" t="str">
        <f>IF(ROW(A56)&lt;=Capacity!$M$16,'Capacity calculation (hide)'!BH167,"")</f>
        <v/>
      </c>
      <c r="H173" s="218" t="str">
        <f>IF(ROW(A56)&lt;=Capacity!$M$16,Capacity!T72,"")</f>
        <v/>
      </c>
      <c r="I173" s="220" t="str">
        <f>IF(ROW(A56)&lt;=Capacity!$M$16,'Capacity calculation (hide)'!DK166,"")</f>
        <v/>
      </c>
      <c r="J173" s="221" t="str">
        <f t="shared" si="2"/>
        <v/>
      </c>
    </row>
    <row r="174" spans="2:10" hidden="1" x14ac:dyDescent="0.2">
      <c r="B174" s="221" t="str">
        <f>IF(Capacity!N73=0,"",Capacity!N73)</f>
        <v/>
      </c>
      <c r="C174" s="134"/>
      <c r="D174" s="134"/>
      <c r="E174" s="134"/>
      <c r="F174" s="218" t="str">
        <f>IF(ROW(A57)&lt;=Capacity!$M$16,Capacity!Q73,"")</f>
        <v/>
      </c>
      <c r="G174" s="330" t="str">
        <f>IF(ROW(A57)&lt;=Capacity!$M$16,'Capacity calculation (hide)'!BH168,"")</f>
        <v/>
      </c>
      <c r="H174" s="218" t="str">
        <f>IF(ROW(A57)&lt;=Capacity!$M$16,Capacity!T73,"")</f>
        <v/>
      </c>
      <c r="I174" s="220" t="str">
        <f>IF(ROW(A57)&lt;=Capacity!$M$16,'Capacity calculation (hide)'!DK167,"")</f>
        <v/>
      </c>
      <c r="J174" s="221" t="str">
        <f t="shared" si="2"/>
        <v/>
      </c>
    </row>
    <row r="175" spans="2:10" hidden="1" x14ac:dyDescent="0.2">
      <c r="B175" s="221" t="str">
        <f>IF(Capacity!N74=0,"",Capacity!N74)</f>
        <v/>
      </c>
      <c r="C175" s="134"/>
      <c r="D175" s="134"/>
      <c r="E175" s="134"/>
      <c r="F175" s="218" t="str">
        <f>IF(ROW(A58)&lt;=Capacity!$M$16,Capacity!Q74,"")</f>
        <v/>
      </c>
      <c r="G175" s="330" t="str">
        <f>IF(ROW(A58)&lt;=Capacity!$M$16,'Capacity calculation (hide)'!BH169,"")</f>
        <v/>
      </c>
      <c r="H175" s="218" t="str">
        <f>IF(ROW(A58)&lt;=Capacity!$M$16,Capacity!T74,"")</f>
        <v/>
      </c>
      <c r="I175" s="220" t="str">
        <f>IF(ROW(A58)&lt;=Capacity!$M$16,'Capacity calculation (hide)'!DK168,"")</f>
        <v/>
      </c>
      <c r="J175" s="221" t="str">
        <f t="shared" si="2"/>
        <v/>
      </c>
    </row>
    <row r="176" spans="2:10" hidden="1" x14ac:dyDescent="0.2">
      <c r="B176" s="221" t="str">
        <f>IF(Capacity!N75=0,"",Capacity!N75)</f>
        <v/>
      </c>
      <c r="C176" s="134"/>
      <c r="D176" s="134"/>
      <c r="E176" s="134"/>
      <c r="F176" s="218" t="str">
        <f>IF(ROW(A59)&lt;=Capacity!$M$16,Capacity!Q75,"")</f>
        <v/>
      </c>
      <c r="G176" s="330" t="str">
        <f>IF(ROW(A59)&lt;=Capacity!$M$16,'Capacity calculation (hide)'!BH170,"")</f>
        <v/>
      </c>
      <c r="H176" s="218" t="str">
        <f>IF(ROW(A59)&lt;=Capacity!$M$16,Capacity!T75,"")</f>
        <v/>
      </c>
      <c r="I176" s="220" t="str">
        <f>IF(ROW(A59)&lt;=Capacity!$M$16,'Capacity calculation (hide)'!DK169,"")</f>
        <v/>
      </c>
      <c r="J176" s="221" t="str">
        <f t="shared" si="2"/>
        <v/>
      </c>
    </row>
    <row r="177" spans="2:10" hidden="1" x14ac:dyDescent="0.2">
      <c r="B177" s="221" t="str">
        <f>IF(Capacity!N76=0,"",Capacity!N76)</f>
        <v/>
      </c>
      <c r="C177" s="134"/>
      <c r="D177" s="134"/>
      <c r="E177" s="134"/>
      <c r="F177" s="218" t="str">
        <f>IF(ROW(A60)&lt;=Capacity!$M$16,Capacity!Q76,"")</f>
        <v/>
      </c>
      <c r="G177" s="330" t="str">
        <f>IF(ROW(A60)&lt;=Capacity!$M$16,'Capacity calculation (hide)'!BH171,"")</f>
        <v/>
      </c>
      <c r="H177" s="218" t="str">
        <f>IF(ROW(A60)&lt;=Capacity!$M$16,Capacity!T76,"")</f>
        <v/>
      </c>
      <c r="I177" s="220" t="str">
        <f>IF(ROW(A60)&lt;=Capacity!$M$16,'Capacity calculation (hide)'!DK170,"")</f>
        <v/>
      </c>
      <c r="J177" s="221" t="str">
        <f t="shared" si="2"/>
        <v/>
      </c>
    </row>
    <row r="178" spans="2:10" hidden="1" x14ac:dyDescent="0.2">
      <c r="B178" s="221" t="str">
        <f>IF(Capacity!N77=0,"",Capacity!N77)</f>
        <v/>
      </c>
      <c r="C178" s="134"/>
      <c r="D178" s="134"/>
      <c r="E178" s="134"/>
      <c r="F178" s="218" t="str">
        <f>IF(ROW(A61)&lt;=Capacity!$M$16,Capacity!Q77,"")</f>
        <v/>
      </c>
      <c r="G178" s="330" t="str">
        <f>IF(ROW(A61)&lt;=Capacity!$M$16,'Capacity calculation (hide)'!BH172,"")</f>
        <v/>
      </c>
      <c r="H178" s="218" t="str">
        <f>IF(ROW(A61)&lt;=Capacity!$M$16,Capacity!T77,"")</f>
        <v/>
      </c>
      <c r="I178" s="220" t="str">
        <f>IF(ROW(A61)&lt;=Capacity!$M$16,'Capacity calculation (hide)'!DK171,"")</f>
        <v/>
      </c>
      <c r="J178" s="221" t="str">
        <f t="shared" si="2"/>
        <v/>
      </c>
    </row>
    <row r="179" spans="2:10" hidden="1" x14ac:dyDescent="0.2">
      <c r="B179" s="221" t="str">
        <f>IF(Capacity!N78=0,"",Capacity!N78)</f>
        <v/>
      </c>
      <c r="C179" s="134"/>
      <c r="D179" s="134"/>
      <c r="E179" s="134"/>
      <c r="F179" s="218" t="str">
        <f>IF(ROW(A62)&lt;=Capacity!$M$16,Capacity!Q78,"")</f>
        <v/>
      </c>
      <c r="G179" s="330" t="str">
        <f>IF(ROW(A62)&lt;=Capacity!$M$16,'Capacity calculation (hide)'!BH173,"")</f>
        <v/>
      </c>
      <c r="H179" s="218" t="str">
        <f>IF(ROW(A62)&lt;=Capacity!$M$16,Capacity!T78,"")</f>
        <v/>
      </c>
      <c r="I179" s="220" t="str">
        <f>IF(ROW(A62)&lt;=Capacity!$M$16,'Capacity calculation (hide)'!DK172,"")</f>
        <v/>
      </c>
      <c r="J179" s="221" t="str">
        <f t="shared" si="2"/>
        <v/>
      </c>
    </row>
    <row r="180" spans="2:10" hidden="1" x14ac:dyDescent="0.2">
      <c r="B180" s="221" t="str">
        <f>IF(Capacity!N79=0,"",Capacity!N79)</f>
        <v/>
      </c>
      <c r="C180" s="134"/>
      <c r="D180" s="134"/>
      <c r="E180" s="134"/>
      <c r="F180" s="218" t="str">
        <f>IF(ROW(A63)&lt;=Capacity!$M$16,Capacity!Q79,"")</f>
        <v/>
      </c>
      <c r="G180" s="330" t="str">
        <f>IF(ROW(A63)&lt;=Capacity!$M$16,'Capacity calculation (hide)'!BH174,"")</f>
        <v/>
      </c>
      <c r="H180" s="218" t="str">
        <f>IF(ROW(A63)&lt;=Capacity!$M$16,Capacity!T79,"")</f>
        <v/>
      </c>
      <c r="I180" s="220" t="str">
        <f>IF(ROW(A63)&lt;=Capacity!$M$16,'Capacity calculation (hide)'!DK173,"")</f>
        <v/>
      </c>
      <c r="J180" s="221" t="str">
        <f t="shared" si="2"/>
        <v/>
      </c>
    </row>
    <row r="181" spans="2:10" hidden="1" x14ac:dyDescent="0.2">
      <c r="B181" s="221" t="str">
        <f>IF(Capacity!N80=0,"",Capacity!N80)</f>
        <v/>
      </c>
      <c r="C181" s="134"/>
      <c r="D181" s="134"/>
      <c r="E181" s="134"/>
      <c r="F181" s="218" t="str">
        <f>IF(ROW(A64)&lt;=Capacity!$M$16,Capacity!Q80,"")</f>
        <v/>
      </c>
      <c r="G181" s="330" t="str">
        <f>IF(ROW(A64)&lt;=Capacity!$M$16,'Capacity calculation (hide)'!BH175,"")</f>
        <v/>
      </c>
      <c r="H181" s="218" t="str">
        <f>IF(ROW(A64)&lt;=Capacity!$M$16,Capacity!T80,"")</f>
        <v/>
      </c>
      <c r="I181" s="220" t="str">
        <f>IF(ROW(A64)&lt;=Capacity!$M$16,'Capacity calculation (hide)'!DK174,"")</f>
        <v/>
      </c>
      <c r="J181" s="221" t="str">
        <f t="shared" si="2"/>
        <v/>
      </c>
    </row>
    <row r="182" spans="2:10" hidden="1" x14ac:dyDescent="0.2">
      <c r="B182" s="221" t="str">
        <f>IF(Capacity!N81=0,"",Capacity!N81)</f>
        <v/>
      </c>
      <c r="C182" s="134"/>
      <c r="D182" s="134"/>
      <c r="E182" s="134"/>
      <c r="F182" s="218" t="str">
        <f>IF(ROW(A65)&lt;=Capacity!$M$16,Capacity!Q81,"")</f>
        <v/>
      </c>
      <c r="G182" s="330" t="str">
        <f>IF(ROW(A65)&lt;=Capacity!$M$16,'Capacity calculation (hide)'!BH176,"")</f>
        <v/>
      </c>
      <c r="H182" s="218" t="str">
        <f>IF(ROW(A65)&lt;=Capacity!$M$16,Capacity!T81,"")</f>
        <v/>
      </c>
      <c r="I182" s="220" t="str">
        <f>IF(ROW(A65)&lt;=Capacity!$M$16,'Capacity calculation (hide)'!DK175,"")</f>
        <v/>
      </c>
      <c r="J182" s="221" t="str">
        <f t="shared" si="2"/>
        <v/>
      </c>
    </row>
    <row r="183" spans="2:10" hidden="1" x14ac:dyDescent="0.2">
      <c r="B183" s="221" t="str">
        <f>IF(Capacity!N82=0,"",Capacity!N82)</f>
        <v/>
      </c>
      <c r="C183" s="134"/>
      <c r="D183" s="134"/>
      <c r="E183" s="134"/>
      <c r="F183" s="218" t="str">
        <f>IF(ROW(A66)&lt;=Capacity!$M$16,Capacity!Q82,"")</f>
        <v/>
      </c>
      <c r="G183" s="330" t="str">
        <f>IF(ROW(A66)&lt;=Capacity!$M$16,'Capacity calculation (hide)'!BH177,"")</f>
        <v/>
      </c>
      <c r="H183" s="218" t="str">
        <f>IF(ROW(A66)&lt;=Capacity!$M$16,Capacity!T82,"")</f>
        <v/>
      </c>
      <c r="I183" s="220" t="str">
        <f>IF(ROW(A66)&lt;=Capacity!$M$16,'Capacity calculation (hide)'!DK176,"")</f>
        <v/>
      </c>
      <c r="J183" s="221" t="str">
        <f t="shared" ref="J183:J217" si="3">IFERROR(IF(G183-F183 &lt;0, "Under","Over"),"")</f>
        <v/>
      </c>
    </row>
    <row r="184" spans="2:10" hidden="1" x14ac:dyDescent="0.2">
      <c r="B184" s="221" t="str">
        <f>IF(Capacity!N83=0,"",Capacity!N83)</f>
        <v/>
      </c>
      <c r="C184" s="134"/>
      <c r="D184" s="134"/>
      <c r="E184" s="134"/>
      <c r="F184" s="218" t="str">
        <f>IF(ROW(A67)&lt;=Capacity!$M$16,Capacity!Q83,"")</f>
        <v/>
      </c>
      <c r="G184" s="330" t="str">
        <f>IF(ROW(A67)&lt;=Capacity!$M$16,'Capacity calculation (hide)'!BH178,"")</f>
        <v/>
      </c>
      <c r="H184" s="218" t="str">
        <f>IF(ROW(A67)&lt;=Capacity!$M$16,Capacity!T83,"")</f>
        <v/>
      </c>
      <c r="I184" s="220" t="str">
        <f>IF(ROW(A67)&lt;=Capacity!$M$16,'Capacity calculation (hide)'!DK177,"")</f>
        <v/>
      </c>
      <c r="J184" s="221" t="str">
        <f t="shared" si="3"/>
        <v/>
      </c>
    </row>
    <row r="185" spans="2:10" hidden="1" x14ac:dyDescent="0.2">
      <c r="B185" s="221" t="str">
        <f>IF(Capacity!N84=0,"",Capacity!N84)</f>
        <v/>
      </c>
      <c r="C185" s="134"/>
      <c r="D185" s="134"/>
      <c r="E185" s="134"/>
      <c r="F185" s="218" t="str">
        <f>IF(ROW(A68)&lt;=Capacity!$M$16,Capacity!Q84,"")</f>
        <v/>
      </c>
      <c r="G185" s="330" t="str">
        <f>IF(ROW(A68)&lt;=Capacity!$M$16,'Capacity calculation (hide)'!BH179,"")</f>
        <v/>
      </c>
      <c r="H185" s="218" t="str">
        <f>IF(ROW(A68)&lt;=Capacity!$M$16,Capacity!T84,"")</f>
        <v/>
      </c>
      <c r="I185" s="220" t="str">
        <f>IF(ROW(A68)&lt;=Capacity!$M$16,'Capacity calculation (hide)'!DK178,"")</f>
        <v/>
      </c>
      <c r="J185" s="221" t="str">
        <f t="shared" si="3"/>
        <v/>
      </c>
    </row>
    <row r="186" spans="2:10" hidden="1" x14ac:dyDescent="0.2">
      <c r="B186" s="221" t="str">
        <f>IF(Capacity!N85=0,"",Capacity!N85)</f>
        <v/>
      </c>
      <c r="C186" s="134"/>
      <c r="D186" s="134"/>
      <c r="E186" s="134"/>
      <c r="F186" s="218" t="str">
        <f>IF(ROW(A69)&lt;=Capacity!$M$16,Capacity!Q85,"")</f>
        <v/>
      </c>
      <c r="G186" s="330" t="str">
        <f>IF(ROW(A69)&lt;=Capacity!$M$16,'Capacity calculation (hide)'!BH180,"")</f>
        <v/>
      </c>
      <c r="H186" s="218" t="str">
        <f>IF(ROW(A69)&lt;=Capacity!$M$16,Capacity!T85,"")</f>
        <v/>
      </c>
      <c r="I186" s="220" t="str">
        <f>IF(ROW(A69)&lt;=Capacity!$M$16,'Capacity calculation (hide)'!DK179,"")</f>
        <v/>
      </c>
      <c r="J186" s="221" t="str">
        <f t="shared" si="3"/>
        <v/>
      </c>
    </row>
    <row r="187" spans="2:10" hidden="1" x14ac:dyDescent="0.2">
      <c r="B187" s="221" t="str">
        <f>IF(Capacity!N86=0,"",Capacity!N86)</f>
        <v/>
      </c>
      <c r="C187" s="134"/>
      <c r="D187" s="134"/>
      <c r="E187" s="134"/>
      <c r="F187" s="218" t="str">
        <f>IF(ROW(A70)&lt;=Capacity!$M$16,Capacity!Q86,"")</f>
        <v/>
      </c>
      <c r="G187" s="330" t="str">
        <f>IF(ROW(A70)&lt;=Capacity!$M$16,'Capacity calculation (hide)'!BH181,"")</f>
        <v/>
      </c>
      <c r="H187" s="218" t="str">
        <f>IF(ROW(A70)&lt;=Capacity!$M$16,Capacity!T86,"")</f>
        <v/>
      </c>
      <c r="I187" s="220" t="str">
        <f>IF(ROW(A70)&lt;=Capacity!$M$16,'Capacity calculation (hide)'!DK180,"")</f>
        <v/>
      </c>
      <c r="J187" s="221" t="str">
        <f t="shared" si="3"/>
        <v/>
      </c>
    </row>
    <row r="188" spans="2:10" hidden="1" x14ac:dyDescent="0.2">
      <c r="B188" s="221" t="str">
        <f>IF(Capacity!N87=0,"",Capacity!N87)</f>
        <v/>
      </c>
      <c r="C188" s="134"/>
      <c r="D188" s="134"/>
      <c r="E188" s="134"/>
      <c r="F188" s="218" t="str">
        <f>IF(ROW(A71)&lt;=Capacity!$M$16,Capacity!Q87,"")</f>
        <v/>
      </c>
      <c r="G188" s="330" t="str">
        <f>IF(ROW(A71)&lt;=Capacity!$M$16,'Capacity calculation (hide)'!BH182,"")</f>
        <v/>
      </c>
      <c r="H188" s="218" t="str">
        <f>IF(ROW(A71)&lt;=Capacity!$M$16,Capacity!T87,"")</f>
        <v/>
      </c>
      <c r="I188" s="220" t="str">
        <f>IF(ROW(A71)&lt;=Capacity!$M$16,'Capacity calculation (hide)'!DK181,"")</f>
        <v/>
      </c>
      <c r="J188" s="221" t="str">
        <f t="shared" si="3"/>
        <v/>
      </c>
    </row>
    <row r="189" spans="2:10" hidden="1" x14ac:dyDescent="0.2">
      <c r="B189" s="221" t="str">
        <f>IF(Capacity!N88=0,"",Capacity!N88)</f>
        <v/>
      </c>
      <c r="C189" s="134"/>
      <c r="D189" s="134"/>
      <c r="E189" s="134"/>
      <c r="F189" s="218" t="str">
        <f>IF(ROW(A72)&lt;=Capacity!$M$16,Capacity!Q88,"")</f>
        <v/>
      </c>
      <c r="G189" s="330" t="str">
        <f>IF(ROW(A72)&lt;=Capacity!$M$16,'Capacity calculation (hide)'!BH183,"")</f>
        <v/>
      </c>
      <c r="H189" s="218" t="str">
        <f>IF(ROW(A72)&lt;=Capacity!$M$16,Capacity!T88,"")</f>
        <v/>
      </c>
      <c r="I189" s="220" t="str">
        <f>IF(ROW(A72)&lt;=Capacity!$M$16,'Capacity calculation (hide)'!DK182,"")</f>
        <v/>
      </c>
      <c r="J189" s="221" t="str">
        <f t="shared" si="3"/>
        <v/>
      </c>
    </row>
    <row r="190" spans="2:10" hidden="1" x14ac:dyDescent="0.2">
      <c r="B190" s="221" t="str">
        <f>IF(Capacity!N89=0,"",Capacity!N89)</f>
        <v/>
      </c>
      <c r="C190" s="134"/>
      <c r="D190" s="134"/>
      <c r="E190" s="134"/>
      <c r="F190" s="218" t="str">
        <f>IF(ROW(A73)&lt;=Capacity!$M$16,Capacity!Q89,"")</f>
        <v/>
      </c>
      <c r="G190" s="330" t="str">
        <f>IF(ROW(A73)&lt;=Capacity!$M$16,'Capacity calculation (hide)'!BH184,"")</f>
        <v/>
      </c>
      <c r="H190" s="218" t="str">
        <f>IF(ROW(A73)&lt;=Capacity!$M$16,Capacity!T89,"")</f>
        <v/>
      </c>
      <c r="I190" s="220" t="str">
        <f>IF(ROW(A73)&lt;=Capacity!$M$16,'Capacity calculation (hide)'!DK183,"")</f>
        <v/>
      </c>
      <c r="J190" s="221" t="str">
        <f t="shared" si="3"/>
        <v/>
      </c>
    </row>
    <row r="191" spans="2:10" hidden="1" x14ac:dyDescent="0.2">
      <c r="B191" s="221" t="str">
        <f>IF(Capacity!N90=0,"",Capacity!N90)</f>
        <v/>
      </c>
      <c r="C191" s="134"/>
      <c r="D191" s="134"/>
      <c r="E191" s="134"/>
      <c r="F191" s="218" t="str">
        <f>IF(ROW(A74)&lt;=Capacity!$M$16,Capacity!Q90,"")</f>
        <v/>
      </c>
      <c r="G191" s="330" t="str">
        <f>IF(ROW(A74)&lt;=Capacity!$M$16,'Capacity calculation (hide)'!BH185,"")</f>
        <v/>
      </c>
      <c r="H191" s="218" t="str">
        <f>IF(ROW(A74)&lt;=Capacity!$M$16,Capacity!T90,"")</f>
        <v/>
      </c>
      <c r="I191" s="220" t="str">
        <f>IF(ROW(A74)&lt;=Capacity!$M$16,'Capacity calculation (hide)'!DK184,"")</f>
        <v/>
      </c>
      <c r="J191" s="221" t="str">
        <f t="shared" si="3"/>
        <v/>
      </c>
    </row>
    <row r="192" spans="2:10" hidden="1" x14ac:dyDescent="0.2">
      <c r="B192" s="221" t="str">
        <f>IF(Capacity!N91=0,"",Capacity!N91)</f>
        <v/>
      </c>
      <c r="C192" s="134"/>
      <c r="D192" s="134"/>
      <c r="E192" s="134"/>
      <c r="F192" s="218" t="str">
        <f>IF(ROW(A75)&lt;=Capacity!$M$16,Capacity!Q91,"")</f>
        <v/>
      </c>
      <c r="G192" s="330" t="str">
        <f>IF(ROW(A75)&lt;=Capacity!$M$16,'Capacity calculation (hide)'!BH186,"")</f>
        <v/>
      </c>
      <c r="H192" s="218" t="str">
        <f>IF(ROW(A75)&lt;=Capacity!$M$16,Capacity!T91,"")</f>
        <v/>
      </c>
      <c r="I192" s="220" t="str">
        <f>IF(ROW(A75)&lt;=Capacity!$M$16,'Capacity calculation (hide)'!DK185,"")</f>
        <v/>
      </c>
      <c r="J192" s="221" t="str">
        <f t="shared" si="3"/>
        <v/>
      </c>
    </row>
    <row r="193" spans="2:10" hidden="1" x14ac:dyDescent="0.2">
      <c r="B193" s="221" t="str">
        <f>IF(Capacity!N92=0,"",Capacity!N92)</f>
        <v/>
      </c>
      <c r="C193" s="134"/>
      <c r="D193" s="134"/>
      <c r="E193" s="134"/>
      <c r="F193" s="218" t="str">
        <f>IF(ROW(A76)&lt;=Capacity!$M$16,Capacity!Q92,"")</f>
        <v/>
      </c>
      <c r="G193" s="330" t="str">
        <f>IF(ROW(A76)&lt;=Capacity!$M$16,'Capacity calculation (hide)'!BH187,"")</f>
        <v/>
      </c>
      <c r="H193" s="218" t="str">
        <f>IF(ROW(A76)&lt;=Capacity!$M$16,Capacity!T92,"")</f>
        <v/>
      </c>
      <c r="I193" s="220" t="str">
        <f>IF(ROW(A76)&lt;=Capacity!$M$16,'Capacity calculation (hide)'!DK186,"")</f>
        <v/>
      </c>
      <c r="J193" s="221" t="str">
        <f t="shared" si="3"/>
        <v/>
      </c>
    </row>
    <row r="194" spans="2:10" hidden="1" x14ac:dyDescent="0.2">
      <c r="B194" s="221" t="str">
        <f>IF(Capacity!N93=0,"",Capacity!N93)</f>
        <v/>
      </c>
      <c r="C194" s="134"/>
      <c r="D194" s="134"/>
      <c r="E194" s="134"/>
      <c r="F194" s="218" t="str">
        <f>IF(ROW(A77)&lt;=Capacity!$M$16,Capacity!Q93,"")</f>
        <v/>
      </c>
      <c r="G194" s="330" t="str">
        <f>IF(ROW(A77)&lt;=Capacity!$M$16,'Capacity calculation (hide)'!BH188,"")</f>
        <v/>
      </c>
      <c r="H194" s="218" t="str">
        <f>IF(ROW(A77)&lt;=Capacity!$M$16,Capacity!T93,"")</f>
        <v/>
      </c>
      <c r="I194" s="220" t="str">
        <f>IF(ROW(A77)&lt;=Capacity!$M$16,'Capacity calculation (hide)'!DK187,"")</f>
        <v/>
      </c>
      <c r="J194" s="221" t="str">
        <f t="shared" si="3"/>
        <v/>
      </c>
    </row>
    <row r="195" spans="2:10" hidden="1" x14ac:dyDescent="0.2">
      <c r="B195" s="221" t="str">
        <f>IF(Capacity!N94=0,"",Capacity!N94)</f>
        <v/>
      </c>
      <c r="C195" s="134"/>
      <c r="D195" s="134"/>
      <c r="E195" s="134"/>
      <c r="F195" s="218" t="str">
        <f>IF(ROW(A78)&lt;=Capacity!$M$16,Capacity!Q94,"")</f>
        <v/>
      </c>
      <c r="G195" s="330" t="str">
        <f>IF(ROW(A78)&lt;=Capacity!$M$16,'Capacity calculation (hide)'!BH189,"")</f>
        <v/>
      </c>
      <c r="H195" s="218" t="str">
        <f>IF(ROW(A78)&lt;=Capacity!$M$16,Capacity!T94,"")</f>
        <v/>
      </c>
      <c r="I195" s="220" t="str">
        <f>IF(ROW(A78)&lt;=Capacity!$M$16,'Capacity calculation (hide)'!DK188,"")</f>
        <v/>
      </c>
      <c r="J195" s="221" t="str">
        <f t="shared" si="3"/>
        <v/>
      </c>
    </row>
    <row r="196" spans="2:10" hidden="1" x14ac:dyDescent="0.2">
      <c r="B196" s="221" t="str">
        <f>IF(Capacity!N95=0,"",Capacity!N95)</f>
        <v/>
      </c>
      <c r="C196" s="134"/>
      <c r="D196" s="134"/>
      <c r="E196" s="134"/>
      <c r="F196" s="218" t="str">
        <f>IF(ROW(A79)&lt;=Capacity!$M$16,Capacity!Q95,"")</f>
        <v/>
      </c>
      <c r="G196" s="330" t="str">
        <f>IF(ROW(A79)&lt;=Capacity!$M$16,'Capacity calculation (hide)'!BH190,"")</f>
        <v/>
      </c>
      <c r="H196" s="218" t="str">
        <f>IF(ROW(A79)&lt;=Capacity!$M$16,Capacity!T95,"")</f>
        <v/>
      </c>
      <c r="I196" s="220" t="str">
        <f>IF(ROW(A79)&lt;=Capacity!$M$16,'Capacity calculation (hide)'!DK189,"")</f>
        <v/>
      </c>
      <c r="J196" s="221" t="str">
        <f t="shared" si="3"/>
        <v/>
      </c>
    </row>
    <row r="197" spans="2:10" hidden="1" x14ac:dyDescent="0.2">
      <c r="B197" s="221" t="str">
        <f>IF(Capacity!N96=0,"",Capacity!N96)</f>
        <v/>
      </c>
      <c r="C197" s="134"/>
      <c r="D197" s="134"/>
      <c r="E197" s="134"/>
      <c r="F197" s="218" t="str">
        <f>IF(ROW(A80)&lt;=Capacity!$M$16,Capacity!Q96,"")</f>
        <v/>
      </c>
      <c r="G197" s="330" t="str">
        <f>IF(ROW(A80)&lt;=Capacity!$M$16,'Capacity calculation (hide)'!BH191,"")</f>
        <v/>
      </c>
      <c r="H197" s="218" t="str">
        <f>IF(ROW(A80)&lt;=Capacity!$M$16,Capacity!T96,"")</f>
        <v/>
      </c>
      <c r="I197" s="220" t="str">
        <f>IF(ROW(A80)&lt;=Capacity!$M$16,'Capacity calculation (hide)'!DK190,"")</f>
        <v/>
      </c>
      <c r="J197" s="221" t="str">
        <f t="shared" si="3"/>
        <v/>
      </c>
    </row>
    <row r="198" spans="2:10" hidden="1" x14ac:dyDescent="0.2">
      <c r="B198" s="221" t="str">
        <f>IF(Capacity!N97=0,"",Capacity!N97)</f>
        <v/>
      </c>
      <c r="C198" s="134"/>
      <c r="D198" s="134"/>
      <c r="E198" s="134"/>
      <c r="F198" s="218" t="str">
        <f>IF(ROW(A81)&lt;=Capacity!$M$16,Capacity!Q97,"")</f>
        <v/>
      </c>
      <c r="G198" s="330" t="str">
        <f>IF(ROW(A81)&lt;=Capacity!$M$16,'Capacity calculation (hide)'!BH192,"")</f>
        <v/>
      </c>
      <c r="H198" s="218" t="str">
        <f>IF(ROW(A81)&lt;=Capacity!$M$16,Capacity!T97,"")</f>
        <v/>
      </c>
      <c r="I198" s="220" t="str">
        <f>IF(ROW(A81)&lt;=Capacity!$M$16,'Capacity calculation (hide)'!DK191,"")</f>
        <v/>
      </c>
      <c r="J198" s="221" t="str">
        <f t="shared" si="3"/>
        <v/>
      </c>
    </row>
    <row r="199" spans="2:10" hidden="1" x14ac:dyDescent="0.2">
      <c r="B199" s="221" t="str">
        <f>IF(Capacity!N98=0,"",Capacity!N98)</f>
        <v/>
      </c>
      <c r="C199" s="134"/>
      <c r="D199" s="134"/>
      <c r="E199" s="134"/>
      <c r="F199" s="218" t="str">
        <f>IF(ROW(A82)&lt;=Capacity!$M$16,Capacity!Q98,"")</f>
        <v/>
      </c>
      <c r="G199" s="330" t="str">
        <f>IF(ROW(A82)&lt;=Capacity!$M$16,'Capacity calculation (hide)'!BH193,"")</f>
        <v/>
      </c>
      <c r="H199" s="218" t="str">
        <f>IF(ROW(A82)&lt;=Capacity!$M$16,Capacity!T98,"")</f>
        <v/>
      </c>
      <c r="I199" s="220" t="str">
        <f>IF(ROW(A82)&lt;=Capacity!$M$16,'Capacity calculation (hide)'!DK192,"")</f>
        <v/>
      </c>
      <c r="J199" s="221" t="str">
        <f t="shared" si="3"/>
        <v/>
      </c>
    </row>
    <row r="200" spans="2:10" hidden="1" x14ac:dyDescent="0.2">
      <c r="B200" s="221" t="str">
        <f>IF(Capacity!N99=0,"",Capacity!N99)</f>
        <v/>
      </c>
      <c r="C200" s="134"/>
      <c r="D200" s="134"/>
      <c r="E200" s="134"/>
      <c r="F200" s="218" t="str">
        <f>IF(ROW(A83)&lt;=Capacity!$M$16,Capacity!Q99,"")</f>
        <v/>
      </c>
      <c r="G200" s="330" t="str">
        <f>IF(ROW(A83)&lt;=Capacity!$M$16,'Capacity calculation (hide)'!BH194,"")</f>
        <v/>
      </c>
      <c r="H200" s="218" t="str">
        <f>IF(ROW(A83)&lt;=Capacity!$M$16,Capacity!T99,"")</f>
        <v/>
      </c>
      <c r="I200" s="220" t="str">
        <f>IF(ROW(A83)&lt;=Capacity!$M$16,'Capacity calculation (hide)'!DK193,"")</f>
        <v/>
      </c>
      <c r="J200" s="221" t="str">
        <f t="shared" si="3"/>
        <v/>
      </c>
    </row>
    <row r="201" spans="2:10" hidden="1" x14ac:dyDescent="0.2">
      <c r="B201" s="221" t="str">
        <f>IF(Capacity!N100=0,"",Capacity!N100)</f>
        <v/>
      </c>
      <c r="C201" s="134"/>
      <c r="D201" s="134"/>
      <c r="E201" s="134"/>
      <c r="F201" s="218" t="str">
        <f>IF(ROW(A84)&lt;=Capacity!$M$16,Capacity!Q100,"")</f>
        <v/>
      </c>
      <c r="G201" s="330" t="str">
        <f>IF(ROW(A84)&lt;=Capacity!$M$16,'Capacity calculation (hide)'!BH195,"")</f>
        <v/>
      </c>
      <c r="H201" s="218" t="str">
        <f>IF(ROW(A84)&lt;=Capacity!$M$16,Capacity!T100,"")</f>
        <v/>
      </c>
      <c r="I201" s="220" t="str">
        <f>IF(ROW(A84)&lt;=Capacity!$M$16,'Capacity calculation (hide)'!DK194,"")</f>
        <v/>
      </c>
      <c r="J201" s="221" t="str">
        <f t="shared" si="3"/>
        <v/>
      </c>
    </row>
    <row r="202" spans="2:10" hidden="1" x14ac:dyDescent="0.2">
      <c r="B202" s="221" t="str">
        <f>IF(Capacity!N101=0,"",Capacity!N101)</f>
        <v/>
      </c>
      <c r="C202" s="134"/>
      <c r="D202" s="134"/>
      <c r="E202" s="134"/>
      <c r="F202" s="218" t="str">
        <f>IF(ROW(A85)&lt;=Capacity!$M$16,Capacity!Q101,"")</f>
        <v/>
      </c>
      <c r="G202" s="330" t="str">
        <f>IF(ROW(A85)&lt;=Capacity!$M$16,'Capacity calculation (hide)'!BH196,"")</f>
        <v/>
      </c>
      <c r="H202" s="218" t="str">
        <f>IF(ROW(A85)&lt;=Capacity!$M$16,Capacity!T101,"")</f>
        <v/>
      </c>
      <c r="I202" s="220" t="str">
        <f>IF(ROW(A85)&lt;=Capacity!$M$16,'Capacity calculation (hide)'!DK195,"")</f>
        <v/>
      </c>
      <c r="J202" s="221" t="str">
        <f t="shared" si="3"/>
        <v/>
      </c>
    </row>
    <row r="203" spans="2:10" hidden="1" x14ac:dyDescent="0.2">
      <c r="B203" s="221" t="str">
        <f>IF(Capacity!N102=0,"",Capacity!N102)</f>
        <v/>
      </c>
      <c r="C203" s="134"/>
      <c r="D203" s="134"/>
      <c r="E203" s="134"/>
      <c r="F203" s="218" t="str">
        <f>IF(ROW(A86)&lt;=Capacity!$M$16,Capacity!Q102,"")</f>
        <v/>
      </c>
      <c r="G203" s="330" t="str">
        <f>IF(ROW(A86)&lt;=Capacity!$M$16,'Capacity calculation (hide)'!BH197,"")</f>
        <v/>
      </c>
      <c r="H203" s="218" t="str">
        <f>IF(ROW(A86)&lt;=Capacity!$M$16,Capacity!T102,"")</f>
        <v/>
      </c>
      <c r="I203" s="220" t="str">
        <f>IF(ROW(A86)&lt;=Capacity!$M$16,'Capacity calculation (hide)'!DK196,"")</f>
        <v/>
      </c>
      <c r="J203" s="221" t="str">
        <f t="shared" si="3"/>
        <v/>
      </c>
    </row>
    <row r="204" spans="2:10" hidden="1" x14ac:dyDescent="0.2">
      <c r="B204" s="221" t="str">
        <f>IF(Capacity!N103=0,"",Capacity!N103)</f>
        <v/>
      </c>
      <c r="C204" s="134"/>
      <c r="D204" s="134"/>
      <c r="E204" s="134"/>
      <c r="F204" s="218" t="str">
        <f>IF(ROW(A87)&lt;=Capacity!$M$16,Capacity!Q103,"")</f>
        <v/>
      </c>
      <c r="G204" s="330" t="str">
        <f>IF(ROW(A87)&lt;=Capacity!$M$16,'Capacity calculation (hide)'!BH198,"")</f>
        <v/>
      </c>
      <c r="H204" s="218" t="str">
        <f>IF(ROW(A87)&lt;=Capacity!$M$16,Capacity!T103,"")</f>
        <v/>
      </c>
      <c r="I204" s="220" t="str">
        <f>IF(ROW(A87)&lt;=Capacity!$M$16,'Capacity calculation (hide)'!DK197,"")</f>
        <v/>
      </c>
      <c r="J204" s="221" t="str">
        <f t="shared" si="3"/>
        <v/>
      </c>
    </row>
    <row r="205" spans="2:10" hidden="1" x14ac:dyDescent="0.2">
      <c r="B205" s="221" t="str">
        <f>IF(Capacity!N104=0,"",Capacity!N104)</f>
        <v/>
      </c>
      <c r="C205" s="134"/>
      <c r="D205" s="134"/>
      <c r="E205" s="134"/>
      <c r="F205" s="218" t="str">
        <f>IF(ROW(A88)&lt;=Capacity!$M$16,Capacity!Q104,"")</f>
        <v/>
      </c>
      <c r="G205" s="330" t="str">
        <f>IF(ROW(A88)&lt;=Capacity!$M$16,'Capacity calculation (hide)'!BH199,"")</f>
        <v/>
      </c>
      <c r="H205" s="218" t="str">
        <f>IF(ROW(A88)&lt;=Capacity!$M$16,Capacity!T104,"")</f>
        <v/>
      </c>
      <c r="I205" s="220" t="str">
        <f>IF(ROW(A88)&lt;=Capacity!$M$16,'Capacity calculation (hide)'!DK198,"")</f>
        <v/>
      </c>
      <c r="J205" s="221" t="str">
        <f t="shared" si="3"/>
        <v/>
      </c>
    </row>
    <row r="206" spans="2:10" hidden="1" x14ac:dyDescent="0.2">
      <c r="B206" s="221" t="str">
        <f>IF(Capacity!N105=0,"",Capacity!N105)</f>
        <v/>
      </c>
      <c r="C206" s="134"/>
      <c r="D206" s="134"/>
      <c r="E206" s="134"/>
      <c r="F206" s="218" t="str">
        <f>IF(ROW(A89)&lt;=Capacity!$M$16,Capacity!Q105,"")</f>
        <v/>
      </c>
      <c r="G206" s="330" t="str">
        <f>IF(ROW(A89)&lt;=Capacity!$M$16,'Capacity calculation (hide)'!BH200,"")</f>
        <v/>
      </c>
      <c r="H206" s="218" t="str">
        <f>IF(ROW(A89)&lt;=Capacity!$M$16,Capacity!T105,"")</f>
        <v/>
      </c>
      <c r="I206" s="220" t="str">
        <f>IF(ROW(A89)&lt;=Capacity!$M$16,'Capacity calculation (hide)'!DK199,"")</f>
        <v/>
      </c>
      <c r="J206" s="221" t="str">
        <f t="shared" si="3"/>
        <v/>
      </c>
    </row>
    <row r="207" spans="2:10" hidden="1" x14ac:dyDescent="0.2">
      <c r="B207" s="221" t="str">
        <f>IF(Capacity!N106=0,"",Capacity!N106)</f>
        <v/>
      </c>
      <c r="C207" s="134"/>
      <c r="D207" s="134"/>
      <c r="E207" s="134"/>
      <c r="F207" s="218" t="str">
        <f>IF(ROW(A90)&lt;=Capacity!$M$16,Capacity!Q106,"")</f>
        <v/>
      </c>
      <c r="G207" s="330" t="str">
        <f>IF(ROW(A90)&lt;=Capacity!$M$16,'Capacity calculation (hide)'!BH201,"")</f>
        <v/>
      </c>
      <c r="H207" s="218" t="str">
        <f>IF(ROW(A90)&lt;=Capacity!$M$16,Capacity!T106,"")</f>
        <v/>
      </c>
      <c r="I207" s="220" t="str">
        <f>IF(ROW(A90)&lt;=Capacity!$M$16,'Capacity calculation (hide)'!DK200,"")</f>
        <v/>
      </c>
      <c r="J207" s="221" t="str">
        <f t="shared" si="3"/>
        <v/>
      </c>
    </row>
    <row r="208" spans="2:10" hidden="1" x14ac:dyDescent="0.2">
      <c r="B208" s="221" t="str">
        <f>IF(Capacity!N107=0,"",Capacity!N107)</f>
        <v/>
      </c>
      <c r="C208" s="134"/>
      <c r="D208" s="134"/>
      <c r="E208" s="134"/>
      <c r="F208" s="218" t="str">
        <f>IF(ROW(A91)&lt;=Capacity!$M$16,Capacity!Q107,"")</f>
        <v/>
      </c>
      <c r="G208" s="330" t="str">
        <f>IF(ROW(A91)&lt;=Capacity!$M$16,'Capacity calculation (hide)'!BH202,"")</f>
        <v/>
      </c>
      <c r="H208" s="218" t="str">
        <f>IF(ROW(A91)&lt;=Capacity!$M$16,Capacity!T107,"")</f>
        <v/>
      </c>
      <c r="I208" s="220" t="str">
        <f>IF(ROW(A91)&lt;=Capacity!$M$16,'Capacity calculation (hide)'!DK201,"")</f>
        <v/>
      </c>
      <c r="J208" s="221" t="str">
        <f t="shared" si="3"/>
        <v/>
      </c>
    </row>
    <row r="209" spans="2:10" hidden="1" x14ac:dyDescent="0.2">
      <c r="B209" s="221" t="str">
        <f>IF(Capacity!N108=0,"",Capacity!N108)</f>
        <v/>
      </c>
      <c r="C209" s="134"/>
      <c r="D209" s="134"/>
      <c r="E209" s="134"/>
      <c r="F209" s="218" t="str">
        <f>IF(ROW(A92)&lt;=Capacity!$M$16,Capacity!Q108,"")</f>
        <v/>
      </c>
      <c r="G209" s="330" t="str">
        <f>IF(ROW(A92)&lt;=Capacity!$M$16,'Capacity calculation (hide)'!BH203,"")</f>
        <v/>
      </c>
      <c r="H209" s="218" t="str">
        <f>IF(ROW(A92)&lt;=Capacity!$M$16,Capacity!T108,"")</f>
        <v/>
      </c>
      <c r="I209" s="220" t="str">
        <f>IF(ROW(A92)&lt;=Capacity!$M$16,'Capacity calculation (hide)'!DK202,"")</f>
        <v/>
      </c>
      <c r="J209" s="221" t="str">
        <f t="shared" si="3"/>
        <v/>
      </c>
    </row>
    <row r="210" spans="2:10" hidden="1" x14ac:dyDescent="0.2">
      <c r="B210" s="221" t="str">
        <f>IF(Capacity!N109=0,"",Capacity!N109)</f>
        <v/>
      </c>
      <c r="C210" s="134"/>
      <c r="D210" s="134"/>
      <c r="E210" s="134"/>
      <c r="F210" s="218" t="str">
        <f>IF(ROW(A93)&lt;=Capacity!$M$16,Capacity!Q109,"")</f>
        <v/>
      </c>
      <c r="G210" s="330" t="str">
        <f>IF(ROW(A93)&lt;=Capacity!$M$16,'Capacity calculation (hide)'!BH204,"")</f>
        <v/>
      </c>
      <c r="H210" s="218" t="str">
        <f>IF(ROW(A93)&lt;=Capacity!$M$16,Capacity!T109,"")</f>
        <v/>
      </c>
      <c r="I210" s="220" t="str">
        <f>IF(ROW(A93)&lt;=Capacity!$M$16,'Capacity calculation (hide)'!DK203,"")</f>
        <v/>
      </c>
      <c r="J210" s="221" t="str">
        <f t="shared" si="3"/>
        <v/>
      </c>
    </row>
    <row r="211" spans="2:10" hidden="1" x14ac:dyDescent="0.2">
      <c r="B211" s="221" t="str">
        <f>IF(Capacity!N110=0,"",Capacity!N110)</f>
        <v/>
      </c>
      <c r="C211" s="134"/>
      <c r="D211" s="134"/>
      <c r="E211" s="134"/>
      <c r="F211" s="218" t="str">
        <f>IF(ROW(A94)&lt;=Capacity!$M$16,Capacity!Q110,"")</f>
        <v/>
      </c>
      <c r="G211" s="330" t="str">
        <f>IF(ROW(A94)&lt;=Capacity!$M$16,'Capacity calculation (hide)'!BH205,"")</f>
        <v/>
      </c>
      <c r="H211" s="218" t="str">
        <f>IF(ROW(A94)&lt;=Capacity!$M$16,Capacity!T110,"")</f>
        <v/>
      </c>
      <c r="I211" s="220" t="str">
        <f>IF(ROW(A94)&lt;=Capacity!$M$16,'Capacity calculation (hide)'!DK204,"")</f>
        <v/>
      </c>
      <c r="J211" s="221" t="str">
        <f t="shared" si="3"/>
        <v/>
      </c>
    </row>
    <row r="212" spans="2:10" hidden="1" x14ac:dyDescent="0.2">
      <c r="B212" s="221" t="str">
        <f>IF(Capacity!N111=0,"",Capacity!N111)</f>
        <v/>
      </c>
      <c r="C212" s="134"/>
      <c r="D212" s="134"/>
      <c r="E212" s="134"/>
      <c r="F212" s="218" t="str">
        <f>IF(ROW(A95)&lt;=Capacity!$M$16,Capacity!Q111,"")</f>
        <v/>
      </c>
      <c r="G212" s="330" t="str">
        <f>IF(ROW(A95)&lt;=Capacity!$M$16,'Capacity calculation (hide)'!BH206,"")</f>
        <v/>
      </c>
      <c r="H212" s="218" t="str">
        <f>IF(ROW(A95)&lt;=Capacity!$M$16,Capacity!T111,"")</f>
        <v/>
      </c>
      <c r="I212" s="220" t="str">
        <f>IF(ROW(A95)&lt;=Capacity!$M$16,'Capacity calculation (hide)'!DK205,"")</f>
        <v/>
      </c>
      <c r="J212" s="221" t="str">
        <f t="shared" si="3"/>
        <v/>
      </c>
    </row>
    <row r="213" spans="2:10" hidden="1" x14ac:dyDescent="0.2">
      <c r="B213" s="221" t="str">
        <f>IF(Capacity!N112=0,"",Capacity!N112)</f>
        <v/>
      </c>
      <c r="C213" s="134"/>
      <c r="D213" s="134"/>
      <c r="E213" s="134"/>
      <c r="F213" s="218" t="str">
        <f>IF(ROW(A96)&lt;=Capacity!$M$16,Capacity!Q112,"")</f>
        <v/>
      </c>
      <c r="G213" s="330" t="str">
        <f>IF(ROW(A96)&lt;=Capacity!$M$16,'Capacity calculation (hide)'!BH207,"")</f>
        <v/>
      </c>
      <c r="H213" s="218" t="str">
        <f>IF(ROW(A96)&lt;=Capacity!$M$16,Capacity!T112,"")</f>
        <v/>
      </c>
      <c r="I213" s="220" t="str">
        <f>IF(ROW(A96)&lt;=Capacity!$M$16,'Capacity calculation (hide)'!DK206,"")</f>
        <v/>
      </c>
      <c r="J213" s="221" t="str">
        <f t="shared" si="3"/>
        <v/>
      </c>
    </row>
    <row r="214" spans="2:10" hidden="1" x14ac:dyDescent="0.2">
      <c r="B214" s="221" t="str">
        <f>IF(Capacity!N113=0,"",Capacity!N113)</f>
        <v/>
      </c>
      <c r="C214" s="134"/>
      <c r="D214" s="134"/>
      <c r="E214" s="134"/>
      <c r="F214" s="218" t="str">
        <f>IF(ROW(A97)&lt;=Capacity!$M$16,Capacity!Q113,"")</f>
        <v/>
      </c>
      <c r="G214" s="330" t="str">
        <f>IF(ROW(A97)&lt;=Capacity!$M$16,'Capacity calculation (hide)'!BH208,"")</f>
        <v/>
      </c>
      <c r="H214" s="218" t="str">
        <f>IF(ROW(A97)&lt;=Capacity!$M$16,Capacity!T113,"")</f>
        <v/>
      </c>
      <c r="I214" s="220" t="str">
        <f>IF(ROW(A97)&lt;=Capacity!$M$16,'Capacity calculation (hide)'!DK207,"")</f>
        <v/>
      </c>
      <c r="J214" s="221" t="str">
        <f t="shared" si="3"/>
        <v/>
      </c>
    </row>
    <row r="215" spans="2:10" hidden="1" x14ac:dyDescent="0.2">
      <c r="B215" s="221" t="str">
        <f>IF(Capacity!N114=0,"",Capacity!N114)</f>
        <v/>
      </c>
      <c r="C215" s="134"/>
      <c r="D215" s="134"/>
      <c r="E215" s="134"/>
      <c r="F215" s="218" t="str">
        <f>IF(ROW(A98)&lt;=Capacity!$M$16,Capacity!Q114,"")</f>
        <v/>
      </c>
      <c r="G215" s="330" t="str">
        <f>IF(ROW(A98)&lt;=Capacity!$M$16,'Capacity calculation (hide)'!BH209,"")</f>
        <v/>
      </c>
      <c r="H215" s="218" t="str">
        <f>IF(ROW(A98)&lt;=Capacity!$M$16,Capacity!T114,"")</f>
        <v/>
      </c>
      <c r="I215" s="220" t="str">
        <f>IF(ROW(A98)&lt;=Capacity!$M$16,'Capacity calculation (hide)'!DK208,"")</f>
        <v/>
      </c>
      <c r="J215" s="221" t="str">
        <f t="shared" si="3"/>
        <v/>
      </c>
    </row>
    <row r="216" spans="2:10" hidden="1" x14ac:dyDescent="0.2">
      <c r="B216" s="221" t="str">
        <f>IF(Capacity!N115=0,"",Capacity!N115)</f>
        <v/>
      </c>
      <c r="C216" s="134"/>
      <c r="D216" s="134"/>
      <c r="E216" s="134"/>
      <c r="F216" s="218" t="str">
        <f>IF(ROW(A99)&lt;=Capacity!$M$16,Capacity!Q115,"")</f>
        <v/>
      </c>
      <c r="G216" s="330" t="str">
        <f>IF(ROW(A99)&lt;=Capacity!$M$16,'Capacity calculation (hide)'!BH210,"")</f>
        <v/>
      </c>
      <c r="H216" s="218" t="str">
        <f>IF(ROW(A99)&lt;=Capacity!$M$16,Capacity!T115,"")</f>
        <v/>
      </c>
      <c r="I216" s="220" t="str">
        <f>IF(ROW(A99)&lt;=Capacity!$M$16,'Capacity calculation (hide)'!DK209,"")</f>
        <v/>
      </c>
      <c r="J216" s="221" t="str">
        <f t="shared" si="3"/>
        <v/>
      </c>
    </row>
    <row r="217" spans="2:10" hidden="1" x14ac:dyDescent="0.2">
      <c r="B217" s="221" t="str">
        <f>IF(Capacity!N116=0,"",Capacity!N116)</f>
        <v/>
      </c>
      <c r="C217" s="134"/>
      <c r="D217" s="134"/>
      <c r="E217" s="134"/>
      <c r="F217" s="218" t="str">
        <f>IF(ROW(A100)&lt;=Capacity!$M$16,Capacity!Q116,"")</f>
        <v/>
      </c>
      <c r="G217" s="330" t="str">
        <f>IF(ROW(A100)&lt;=Capacity!$M$16,'Capacity calculation (hide)'!BH211,"")</f>
        <v/>
      </c>
      <c r="H217" s="218" t="str">
        <f>IF(ROW(A100)&lt;=Capacity!$M$16,Capacity!T116,"")</f>
        <v/>
      </c>
      <c r="I217" s="220" t="str">
        <f>IF(ROW(A100)&lt;=Capacity!$M$16,'Capacity calculation (hide)'!DK210,"")</f>
        <v/>
      </c>
      <c r="J217" s="221" t="str">
        <f t="shared" si="3"/>
        <v/>
      </c>
    </row>
  </sheetData>
  <sheetProtection algorithmName="SHA-512" hashValue="UUOeXDvqJf6tKB3aNuQmk9IBxGt7GzCvuL2WcHaaqLf3Nii0a2JLsOZgZL+D48pTksxCgLaZrDbU1wgpItQ1Vg==" saltValue="/ycunzbcMRRI2XRw+znSQg==" spinCount="100000" sheet="1" objects="1" scenarios="1"/>
  <dataConsolidate/>
  <mergeCells count="1">
    <mergeCell ref="B1:D1"/>
  </mergeCells>
  <conditionalFormatting sqref="B12:J111">
    <cfRule type="expression" dxfId="18" priority="4">
      <formula>IF($B12="",FALSE,TRUE)</formula>
    </cfRule>
  </conditionalFormatting>
  <conditionalFormatting sqref="B12:B111 F12:I111">
    <cfRule type="expression" dxfId="17" priority="3">
      <formula>IF($B12="",FALSE, TRUE)</formula>
    </cfRule>
  </conditionalFormatting>
  <conditionalFormatting sqref="B118:J217">
    <cfRule type="expression" dxfId="16" priority="2">
      <formula>IF($B118="",FALSE,TRUE)</formula>
    </cfRule>
  </conditionalFormatting>
  <conditionalFormatting sqref="B118:B217 F118:I217">
    <cfRule type="expression" dxfId="15" priority="1">
      <formula>IF($B118="",FALSE, TRUE)</formula>
    </cfRule>
  </conditionalFormatting>
  <dataValidations count="1">
    <dataValidation type="list" allowBlank="1" showInputMessage="1" showErrorMessage="1" sqref="C118:E217 C12:E111" xr:uid="{00000000-0002-0000-0E00-000000000000}">
      <formula1>IF($B12&lt;&gt;"",Capacity_Resource,$A$1)</formula1>
    </dataValidation>
  </dataValidations>
  <pageMargins left="0.7" right="0.7" top="0.75" bottom="0.75" header="0.3" footer="0.3"/>
  <pageSetup paperSize="9" orientation="portrait" horizontalDpi="90" verticalDpi="9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'Control sheet (hide)'!$E$25:$E$26</xm:f>
          </x14:formula1>
          <xm:sqref>B4</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B2:BL223"/>
  <sheetViews>
    <sheetView showGridLines="0" showRowColHeaders="0" zoomScaleNormal="100" workbookViewId="0">
      <selection activeCell="B1" sqref="B1"/>
    </sheetView>
  </sheetViews>
  <sheetFormatPr defaultColWidth="9" defaultRowHeight="14.25" x14ac:dyDescent="0.2"/>
  <cols>
    <col min="1" max="1" width="0.25" style="68" customWidth="1"/>
    <col min="2" max="2" width="19.625" style="68" customWidth="1"/>
    <col min="3" max="3" width="9.25" style="68" customWidth="1"/>
    <col min="4" max="4" width="10.625" style="68" customWidth="1"/>
    <col min="5" max="5" width="9.25" style="68" customWidth="1"/>
    <col min="6" max="6" width="10.625" style="68" customWidth="1"/>
    <col min="7" max="7" width="6.125" style="68" customWidth="1"/>
    <col min="8" max="9" width="2.125" style="68" customWidth="1"/>
    <col min="10" max="10" width="2.25" style="68" customWidth="1"/>
    <col min="11" max="12" width="2.125" style="68" customWidth="1"/>
    <col min="13" max="13" width="2.5" style="68" customWidth="1"/>
    <col min="14" max="16" width="2.125" style="68" customWidth="1"/>
    <col min="17" max="17" width="2.375" style="68" customWidth="1"/>
    <col min="18" max="19" width="2.125" style="68" customWidth="1"/>
    <col min="20" max="20" width="2.375" style="68" customWidth="1"/>
    <col min="21" max="21" width="2.125" style="68" customWidth="1"/>
    <col min="22" max="22" width="2.375" style="68" customWidth="1"/>
    <col min="23" max="25" width="2.125" style="68" customWidth="1"/>
    <col min="26" max="26" width="2.25" style="68" customWidth="1"/>
    <col min="27" max="27" width="2.375" style="68" customWidth="1"/>
    <col min="28" max="28" width="2.125" style="68" customWidth="1"/>
    <col min="29" max="29" width="2.25" style="68" customWidth="1"/>
    <col min="30" max="30" width="2.125" style="68" customWidth="1"/>
    <col min="31" max="32" width="2.25" style="68" customWidth="1"/>
    <col min="33" max="33" width="2.125" style="68" customWidth="1"/>
    <col min="34" max="34" width="2.375" style="68" customWidth="1"/>
    <col min="35" max="36" width="2.125" style="68" customWidth="1"/>
    <col min="37" max="37" width="2.5" style="68" customWidth="1"/>
    <col min="38" max="40" width="2.125" style="68" customWidth="1"/>
    <col min="41" max="41" width="2.375" style="68" customWidth="1"/>
    <col min="42" max="44" width="2.125" style="68" customWidth="1"/>
    <col min="45" max="46" width="2.375" style="68" customWidth="1"/>
    <col min="47" max="48" width="2.125" style="68" customWidth="1"/>
    <col min="49" max="49" width="2.25" style="68" customWidth="1"/>
    <col min="50" max="50" width="2.125" style="68" customWidth="1"/>
    <col min="51" max="51" width="2.375" style="68" customWidth="1"/>
    <col min="52" max="52" width="2.125" style="68" customWidth="1"/>
    <col min="53" max="53" width="2.5" style="68" customWidth="1"/>
    <col min="54" max="57" width="2.125" style="68" customWidth="1"/>
    <col min="58" max="58" width="2.375" style="68" customWidth="1"/>
    <col min="59" max="59" width="2.125" style="68" customWidth="1"/>
    <col min="60" max="66" width="9" style="68" customWidth="1"/>
    <col min="67" max="16384" width="9" style="68"/>
  </cols>
  <sheetData>
    <row r="2" spans="2:64" ht="15" x14ac:dyDescent="0.25">
      <c r="B2" s="2" t="s">
        <v>480</v>
      </c>
    </row>
    <row r="3" spans="2:64" x14ac:dyDescent="0.2">
      <c r="C3" s="46" t="s">
        <v>483</v>
      </c>
      <c r="D3" s="46" t="s">
        <v>484</v>
      </c>
    </row>
    <row r="4" spans="2:64" ht="28.5" x14ac:dyDescent="0.2">
      <c r="B4" s="81" t="str">
        <f>"Total Capacity 
("&amp;$C$16&amp;" per year):"</f>
        <v>Total Capacity 
(Patients per year):</v>
      </c>
      <c r="C4" s="224">
        <f ca="1">'Capacity calculation (hide)'!DK4</f>
        <v>738.00000000000034</v>
      </c>
      <c r="D4" s="224">
        <f ca="1">'Capacity calculation (hide)'!DK111</f>
        <v>88</v>
      </c>
      <c r="E4" s="137"/>
      <c r="F4" s="137"/>
    </row>
    <row r="5" spans="2:64" x14ac:dyDescent="0.2">
      <c r="H5" s="80"/>
      <c r="I5" s="80"/>
      <c r="J5" s="80"/>
      <c r="K5" s="80"/>
      <c r="L5" s="80"/>
      <c r="M5" s="80"/>
      <c r="N5" s="80"/>
      <c r="O5" s="80"/>
      <c r="P5" s="80"/>
      <c r="Q5" s="80"/>
      <c r="R5" s="80"/>
      <c r="S5" s="80"/>
      <c r="T5" s="80"/>
      <c r="U5" s="80"/>
      <c r="V5" s="80"/>
      <c r="W5" s="80"/>
      <c r="X5" s="80"/>
      <c r="Y5" s="80"/>
    </row>
    <row r="6" spans="2:64" ht="14.25" customHeight="1" x14ac:dyDescent="0.2">
      <c r="B6" s="118" t="s">
        <v>441</v>
      </c>
      <c r="C6" s="118" t="s">
        <v>442</v>
      </c>
      <c r="D6" s="129"/>
      <c r="E6" s="129"/>
      <c r="F6" s="129"/>
      <c r="G6" s="66"/>
      <c r="H6" s="127"/>
      <c r="I6" s="127"/>
      <c r="J6" s="67"/>
      <c r="K6" s="67"/>
      <c r="L6" s="67"/>
      <c r="M6" s="67"/>
      <c r="N6" s="67"/>
      <c r="O6" s="67"/>
      <c r="P6" s="67"/>
      <c r="Q6" s="67"/>
      <c r="R6" s="67"/>
      <c r="S6" s="67"/>
      <c r="T6" s="67"/>
      <c r="U6" s="67"/>
      <c r="V6" s="67"/>
      <c r="W6" s="67"/>
      <c r="X6" s="67"/>
      <c r="Y6" s="67"/>
      <c r="Z6" s="67"/>
      <c r="AA6" s="67"/>
      <c r="AB6" s="67"/>
      <c r="AC6" s="67"/>
      <c r="AD6" s="67"/>
      <c r="AE6" s="67"/>
      <c r="AF6" s="67"/>
      <c r="AG6" s="67"/>
      <c r="AH6" s="67"/>
      <c r="AI6" s="67"/>
      <c r="AJ6" s="67"/>
      <c r="AK6" s="67"/>
      <c r="AL6" s="67"/>
      <c r="AM6" s="67"/>
      <c r="AN6" s="67"/>
      <c r="AO6" s="67"/>
      <c r="AP6" s="67"/>
      <c r="AQ6" s="67"/>
      <c r="AR6" s="67"/>
      <c r="AS6" s="67"/>
      <c r="AT6" s="67"/>
      <c r="AU6" s="67"/>
      <c r="AV6" s="67"/>
      <c r="AW6" s="67"/>
      <c r="AX6" s="67"/>
      <c r="AY6" s="67"/>
      <c r="AZ6" s="67"/>
      <c r="BA6" s="67"/>
      <c r="BB6" s="67"/>
      <c r="BC6" s="67"/>
      <c r="BD6" s="67"/>
      <c r="BE6" s="67"/>
      <c r="BF6" s="67"/>
      <c r="BG6" s="67"/>
      <c r="BH6" s="67"/>
      <c r="BI6" s="67"/>
      <c r="BJ6" s="67"/>
    </row>
    <row r="7" spans="2:64" x14ac:dyDescent="0.2">
      <c r="B7" s="124"/>
      <c r="C7" s="124"/>
      <c r="D7" s="129"/>
      <c r="E7" s="129"/>
      <c r="F7" s="129"/>
      <c r="G7" s="66"/>
      <c r="H7" s="127"/>
      <c r="I7" s="127"/>
      <c r="J7" s="67"/>
      <c r="K7" s="67"/>
      <c r="L7" s="67"/>
      <c r="M7" s="67"/>
      <c r="N7" s="67"/>
      <c r="O7" s="67"/>
      <c r="P7" s="67"/>
      <c r="Q7" s="67"/>
      <c r="R7" s="67"/>
      <c r="S7" s="67"/>
      <c r="T7" s="67"/>
      <c r="U7" s="67"/>
      <c r="V7" s="67"/>
      <c r="W7" s="67"/>
      <c r="X7" s="67"/>
      <c r="Y7" s="67"/>
      <c r="Z7" s="67"/>
      <c r="AA7" s="67"/>
      <c r="AB7" s="67"/>
      <c r="AC7" s="67"/>
      <c r="AD7" s="67"/>
      <c r="AE7" s="67"/>
      <c r="AF7" s="67"/>
      <c r="AG7" s="67"/>
      <c r="AH7" s="67"/>
      <c r="AI7" s="67"/>
      <c r="AJ7" s="67"/>
      <c r="AK7" s="67"/>
      <c r="AL7" s="67"/>
      <c r="AM7" s="67"/>
      <c r="AN7" s="67"/>
      <c r="AO7" s="67"/>
      <c r="AP7" s="67"/>
      <c r="AQ7" s="67"/>
      <c r="AR7" s="67"/>
      <c r="AS7" s="67"/>
      <c r="AT7" s="67"/>
      <c r="AU7" s="67"/>
      <c r="AV7" s="67"/>
      <c r="AW7" s="67"/>
      <c r="AX7" s="67"/>
      <c r="AY7" s="67"/>
      <c r="AZ7" s="67"/>
      <c r="BA7" s="67"/>
      <c r="BB7" s="67"/>
      <c r="BC7" s="67"/>
      <c r="BD7" s="67"/>
      <c r="BE7" s="67"/>
      <c r="BF7" s="67"/>
      <c r="BG7" s="67"/>
      <c r="BH7" s="67"/>
      <c r="BI7" s="67"/>
      <c r="BJ7" s="67"/>
      <c r="BK7" s="67"/>
      <c r="BL7" s="67"/>
    </row>
    <row r="8" spans="2:64" x14ac:dyDescent="0.2">
      <c r="B8" s="66"/>
      <c r="C8" s="66"/>
      <c r="D8" s="66"/>
      <c r="E8" s="66"/>
      <c r="F8" s="66"/>
      <c r="G8" s="66"/>
      <c r="H8" s="127"/>
      <c r="I8" s="127"/>
      <c r="J8" s="67"/>
      <c r="K8" s="67"/>
      <c r="L8" s="67"/>
      <c r="M8" s="67"/>
      <c r="N8" s="67"/>
      <c r="O8" s="67"/>
      <c r="P8" s="67"/>
      <c r="Q8" s="67"/>
      <c r="R8" s="67"/>
      <c r="S8" s="67"/>
      <c r="T8" s="67"/>
      <c r="U8" s="67"/>
      <c r="V8" s="67"/>
      <c r="W8" s="67"/>
      <c r="X8" s="67"/>
      <c r="Y8" s="67"/>
      <c r="Z8" s="67"/>
      <c r="AA8" s="67"/>
      <c r="AB8" s="67"/>
      <c r="AC8" s="67"/>
      <c r="AD8" s="67"/>
      <c r="AE8" s="67"/>
      <c r="AF8" s="67"/>
      <c r="AG8" s="67"/>
      <c r="AH8" s="67"/>
      <c r="AI8" s="67"/>
      <c r="AJ8" s="67"/>
      <c r="AK8" s="67"/>
      <c r="AL8" s="67"/>
      <c r="AM8" s="67"/>
      <c r="AN8" s="67"/>
      <c r="AO8" s="67"/>
      <c r="AP8" s="67"/>
      <c r="AQ8" s="67"/>
      <c r="AR8" s="67"/>
      <c r="AS8" s="67"/>
      <c r="AT8" s="67"/>
      <c r="AU8" s="67"/>
      <c r="AV8" s="67"/>
      <c r="AW8" s="67"/>
      <c r="AX8" s="67"/>
      <c r="AY8" s="67"/>
      <c r="AZ8" s="67"/>
      <c r="BA8" s="67"/>
      <c r="BB8" s="67"/>
      <c r="BC8" s="67"/>
      <c r="BD8" s="67"/>
      <c r="BE8" s="67"/>
      <c r="BF8" s="67"/>
      <c r="BG8" s="67"/>
      <c r="BH8" s="67"/>
      <c r="BI8" s="67"/>
      <c r="BJ8" s="67"/>
      <c r="BK8" s="67"/>
      <c r="BL8" s="67"/>
    </row>
    <row r="9" spans="2:64" x14ac:dyDescent="0.2">
      <c r="B9" s="68" t="s">
        <v>298</v>
      </c>
      <c r="H9" s="127"/>
      <c r="I9" s="127"/>
      <c r="J9" s="67"/>
      <c r="K9" s="67"/>
      <c r="L9" s="67"/>
      <c r="M9" s="67"/>
      <c r="N9" s="67"/>
      <c r="O9" s="67"/>
      <c r="P9" s="67"/>
      <c r="Q9" s="67"/>
      <c r="R9" s="67"/>
      <c r="S9" s="67"/>
      <c r="T9" s="67"/>
      <c r="U9" s="67"/>
      <c r="V9" s="67"/>
      <c r="W9" s="67"/>
      <c r="X9" s="67"/>
      <c r="Y9" s="67"/>
      <c r="Z9" s="67"/>
      <c r="AA9" s="67"/>
      <c r="AB9" s="67"/>
      <c r="AC9" s="67"/>
      <c r="AD9" s="67"/>
      <c r="AE9" s="67"/>
      <c r="AF9" s="67"/>
      <c r="AG9" s="67"/>
      <c r="AH9" s="67"/>
      <c r="AI9" s="67"/>
      <c r="AJ9" s="67"/>
      <c r="AK9" s="67"/>
      <c r="AL9" s="67"/>
      <c r="AM9" s="67"/>
      <c r="AN9" s="67"/>
      <c r="AO9" s="67"/>
      <c r="AP9" s="67"/>
      <c r="AQ9" s="67"/>
      <c r="AR9" s="67"/>
      <c r="AS9" s="67"/>
      <c r="AT9" s="67"/>
      <c r="AU9" s="67"/>
      <c r="AV9" s="67"/>
      <c r="AW9" s="67"/>
      <c r="AX9" s="67"/>
      <c r="AY9" s="67"/>
      <c r="AZ9" s="67"/>
      <c r="BA9" s="67"/>
      <c r="BB9" s="67"/>
      <c r="BC9" s="67"/>
      <c r="BD9" s="67"/>
      <c r="BE9" s="67"/>
      <c r="BF9" s="67"/>
      <c r="BG9" s="67"/>
      <c r="BH9" s="67"/>
      <c r="BI9" s="67"/>
      <c r="BJ9" s="67"/>
      <c r="BK9" s="67"/>
      <c r="BL9" s="67"/>
    </row>
    <row r="10" spans="2:64" x14ac:dyDescent="0.2">
      <c r="B10" s="135" t="s">
        <v>474</v>
      </c>
      <c r="C10" s="370" t="s">
        <v>58</v>
      </c>
      <c r="D10" s="370"/>
      <c r="E10" s="370"/>
      <c r="F10" s="131"/>
      <c r="H10" s="127"/>
      <c r="I10" s="127"/>
      <c r="J10" s="67"/>
      <c r="K10" s="67"/>
      <c r="L10" s="67"/>
      <c r="M10" s="67"/>
      <c r="N10" s="67"/>
      <c r="O10" s="67"/>
      <c r="P10" s="67"/>
      <c r="Q10" s="67"/>
      <c r="R10" s="67"/>
      <c r="S10" s="67"/>
      <c r="T10" s="67"/>
      <c r="U10" s="67"/>
      <c r="V10" s="67"/>
      <c r="W10" s="67"/>
      <c r="X10" s="67"/>
      <c r="Y10" s="67"/>
      <c r="Z10" s="67"/>
      <c r="AA10" s="67"/>
      <c r="AB10" s="67"/>
      <c r="AC10" s="67"/>
      <c r="AD10" s="67"/>
      <c r="AE10" s="67"/>
      <c r="AF10" s="67"/>
      <c r="AG10" s="67"/>
      <c r="AH10" s="67"/>
      <c r="AI10" s="67"/>
      <c r="AJ10" s="67"/>
      <c r="AK10" s="67"/>
      <c r="AL10" s="67"/>
      <c r="AM10" s="67"/>
      <c r="AN10" s="67"/>
      <c r="AO10" s="67"/>
      <c r="AP10" s="67"/>
      <c r="AQ10" s="67"/>
      <c r="AR10" s="67"/>
      <c r="AS10" s="67"/>
      <c r="AT10" s="67"/>
      <c r="AU10" s="67"/>
      <c r="AV10" s="67"/>
      <c r="AW10" s="67"/>
      <c r="AX10" s="67"/>
      <c r="AY10" s="67"/>
      <c r="AZ10" s="67"/>
      <c r="BA10" s="67"/>
      <c r="BB10" s="67"/>
      <c r="BC10" s="67"/>
      <c r="BD10" s="67"/>
      <c r="BE10" s="67"/>
      <c r="BF10" s="67"/>
      <c r="BG10" s="67"/>
      <c r="BH10" s="67"/>
      <c r="BI10" s="67"/>
      <c r="BJ10" s="67"/>
      <c r="BK10" s="67"/>
      <c r="BL10" s="67"/>
    </row>
    <row r="11" spans="2:64" x14ac:dyDescent="0.2">
      <c r="B11" s="136" t="s">
        <v>475</v>
      </c>
      <c r="C11" s="370" t="s">
        <v>58</v>
      </c>
      <c r="D11" s="370"/>
      <c r="E11" s="370"/>
      <c r="F11" s="131"/>
      <c r="G11" s="128"/>
      <c r="H11" s="127"/>
      <c r="I11" s="127"/>
      <c r="J11" s="67"/>
      <c r="K11" s="67"/>
      <c r="L11" s="67"/>
      <c r="M11" s="67"/>
      <c r="N11" s="67"/>
      <c r="O11" s="67"/>
      <c r="P11" s="67"/>
      <c r="Q11" s="67"/>
      <c r="R11" s="67"/>
      <c r="S11" s="67"/>
      <c r="T11" s="67"/>
      <c r="U11" s="67"/>
      <c r="V11" s="67"/>
      <c r="W11" s="67"/>
      <c r="X11" s="67"/>
      <c r="Y11" s="67"/>
      <c r="Z11" s="67"/>
      <c r="AA11" s="67"/>
      <c r="AB11" s="67"/>
      <c r="AC11" s="67"/>
      <c r="AD11" s="67"/>
      <c r="AE11" s="67"/>
      <c r="AF11" s="67"/>
      <c r="AG11" s="67"/>
      <c r="AH11" s="67"/>
      <c r="AI11" s="67"/>
      <c r="AJ11" s="67"/>
      <c r="AK11" s="67"/>
      <c r="AL11" s="67"/>
      <c r="AM11" s="67"/>
      <c r="AN11" s="67"/>
      <c r="AO11" s="67"/>
      <c r="AP11" s="67"/>
      <c r="AQ11" s="67"/>
      <c r="AR11" s="67"/>
      <c r="AS11" s="67"/>
      <c r="AT11" s="67"/>
      <c r="AU11" s="67"/>
      <c r="AV11" s="67"/>
      <c r="AW11" s="67"/>
      <c r="AX11" s="67"/>
      <c r="AY11" s="67"/>
      <c r="AZ11" s="67"/>
      <c r="BA11" s="67"/>
      <c r="BB11" s="67"/>
      <c r="BC11" s="67"/>
      <c r="BD11" s="67"/>
      <c r="BE11" s="67"/>
      <c r="BF11" s="67"/>
      <c r="BG11" s="67"/>
      <c r="BH11" s="67"/>
      <c r="BI11" s="67"/>
      <c r="BJ11" s="67"/>
      <c r="BK11" s="67"/>
      <c r="BL11" s="67"/>
    </row>
    <row r="12" spans="2:64" x14ac:dyDescent="0.2">
      <c r="H12" s="127"/>
      <c r="I12" s="127"/>
      <c r="J12" s="67"/>
      <c r="K12" s="67"/>
      <c r="L12" s="67"/>
      <c r="M12" s="67"/>
      <c r="N12" s="67"/>
      <c r="O12" s="67"/>
      <c r="P12" s="67"/>
      <c r="Q12" s="67"/>
      <c r="R12" s="67"/>
      <c r="S12" s="67"/>
      <c r="T12" s="67"/>
      <c r="U12" s="67"/>
      <c r="V12" s="67"/>
      <c r="W12" s="67"/>
      <c r="X12" s="67"/>
      <c r="Y12" s="67"/>
      <c r="Z12" s="67"/>
      <c r="AA12" s="67"/>
      <c r="AB12" s="67"/>
      <c r="AC12" s="67"/>
      <c r="AD12" s="67"/>
      <c r="AE12" s="67"/>
      <c r="AF12" s="67"/>
      <c r="AG12" s="67"/>
      <c r="AH12" s="67"/>
      <c r="AI12" s="67"/>
      <c r="AJ12" s="67"/>
      <c r="AK12" s="67"/>
      <c r="AL12" s="67"/>
      <c r="AM12" s="67"/>
      <c r="AN12" s="67"/>
      <c r="AO12" s="67"/>
      <c r="AP12" s="67"/>
      <c r="AQ12" s="67"/>
      <c r="AR12" s="67"/>
      <c r="AS12" s="67"/>
      <c r="AT12" s="67"/>
      <c r="AU12" s="67"/>
      <c r="AV12" s="67"/>
      <c r="AW12" s="67"/>
      <c r="AX12" s="67"/>
      <c r="AY12" s="67"/>
      <c r="AZ12" s="67"/>
      <c r="BA12" s="67"/>
      <c r="BB12" s="67"/>
      <c r="BC12" s="67"/>
      <c r="BD12" s="67"/>
      <c r="BE12" s="67"/>
      <c r="BF12" s="67"/>
      <c r="BG12" s="67"/>
      <c r="BH12" s="67"/>
      <c r="BI12" s="67"/>
      <c r="BJ12" s="67"/>
      <c r="BK12" s="67"/>
      <c r="BL12" s="67"/>
    </row>
    <row r="13" spans="2:64" ht="15" x14ac:dyDescent="0.25">
      <c r="C13" s="311" t="s">
        <v>484</v>
      </c>
      <c r="D13" s="311" t="s">
        <v>483</v>
      </c>
      <c r="H13" s="127"/>
      <c r="I13" s="127"/>
      <c r="J13" s="67"/>
      <c r="K13" s="67"/>
      <c r="L13" s="67"/>
      <c r="M13" s="67"/>
      <c r="N13" s="67"/>
      <c r="O13" s="67"/>
      <c r="P13" s="67"/>
      <c r="Q13" s="67"/>
      <c r="R13" s="67"/>
      <c r="S13" s="67"/>
      <c r="T13" s="67"/>
      <c r="U13" s="67"/>
      <c r="V13" s="67"/>
      <c r="W13" s="67"/>
      <c r="X13" s="67"/>
      <c r="Y13" s="67"/>
      <c r="Z13" s="67"/>
      <c r="AA13" s="67"/>
      <c r="AB13" s="67"/>
      <c r="AC13" s="67"/>
      <c r="AD13" s="67"/>
      <c r="AE13" s="67"/>
      <c r="AF13" s="67"/>
      <c r="AG13" s="67"/>
      <c r="AH13" s="67"/>
      <c r="AI13" s="67"/>
      <c r="AJ13" s="67"/>
      <c r="AK13" s="67"/>
      <c r="AL13" s="67"/>
      <c r="AM13" s="67"/>
      <c r="AN13" s="67"/>
      <c r="AO13" s="67"/>
      <c r="AP13" s="67"/>
      <c r="AQ13" s="67"/>
      <c r="AR13" s="67"/>
      <c r="AS13" s="67"/>
      <c r="AT13" s="67"/>
      <c r="AU13" s="67"/>
      <c r="AV13" s="67"/>
      <c r="AW13" s="67"/>
      <c r="AX13" s="67"/>
      <c r="AY13" s="67"/>
      <c r="AZ13" s="67"/>
      <c r="BA13" s="67"/>
      <c r="BB13" s="67"/>
      <c r="BC13" s="67"/>
      <c r="BD13" s="67"/>
      <c r="BE13" s="67"/>
      <c r="BF13" s="67"/>
      <c r="BG13" s="67"/>
      <c r="BH13" s="67"/>
      <c r="BI13" s="67"/>
      <c r="BJ13" s="67"/>
      <c r="BK13" s="67"/>
      <c r="BL13" s="67"/>
    </row>
    <row r="14" spans="2:64" x14ac:dyDescent="0.2">
      <c r="B14" s="82" t="s">
        <v>1168</v>
      </c>
      <c r="C14" s="155" t="s">
        <v>20</v>
      </c>
      <c r="D14" s="155" t="s">
        <v>20</v>
      </c>
      <c r="H14" s="127"/>
      <c r="I14" s="127"/>
      <c r="J14" s="67"/>
      <c r="K14" s="67"/>
      <c r="L14" s="67"/>
      <c r="M14" s="67"/>
      <c r="N14" s="67"/>
      <c r="O14" s="67"/>
      <c r="P14" s="67"/>
      <c r="Q14" s="67"/>
      <c r="R14" s="67"/>
      <c r="S14" s="67"/>
      <c r="T14" s="67"/>
      <c r="U14" s="67"/>
      <c r="V14" s="67"/>
      <c r="W14" s="67"/>
      <c r="X14" s="67"/>
      <c r="Y14" s="67"/>
      <c r="Z14" s="67"/>
      <c r="AA14" s="67"/>
      <c r="AB14" s="67"/>
      <c r="AC14" s="67"/>
      <c r="AD14" s="67"/>
      <c r="AE14" s="67"/>
      <c r="AF14" s="67"/>
      <c r="AG14" s="67"/>
      <c r="AH14" s="67"/>
      <c r="AI14" s="67"/>
      <c r="AJ14" s="67"/>
      <c r="AK14" s="67"/>
      <c r="AL14" s="67"/>
      <c r="AM14" s="67"/>
      <c r="AN14" s="67"/>
      <c r="AO14" s="67"/>
      <c r="AP14" s="67"/>
      <c r="AQ14" s="67"/>
      <c r="AR14" s="67"/>
      <c r="AS14" s="67"/>
      <c r="AT14" s="67"/>
      <c r="AU14" s="67"/>
      <c r="AV14" s="67"/>
      <c r="AW14" s="67"/>
      <c r="AX14" s="67"/>
      <c r="AY14" s="67"/>
      <c r="AZ14" s="67"/>
      <c r="BA14" s="67"/>
      <c r="BB14" s="67"/>
      <c r="BC14" s="67"/>
      <c r="BD14" s="67"/>
      <c r="BE14" s="67"/>
      <c r="BF14" s="67"/>
      <c r="BG14" s="67"/>
      <c r="BH14" s="67"/>
      <c r="BI14" s="67"/>
      <c r="BJ14" s="67"/>
      <c r="BK14" s="67"/>
      <c r="BL14" s="67"/>
    </row>
    <row r="15" spans="2:64" x14ac:dyDescent="0.2">
      <c r="H15" s="127"/>
      <c r="I15" s="127"/>
      <c r="J15" s="67"/>
      <c r="K15" s="67"/>
      <c r="L15" s="67"/>
      <c r="M15" s="67"/>
      <c r="N15" s="67"/>
      <c r="O15" s="67"/>
      <c r="P15" s="67"/>
      <c r="Q15" s="67"/>
      <c r="R15" s="67"/>
      <c r="S15" s="67"/>
      <c r="T15" s="67"/>
      <c r="U15" s="67"/>
      <c r="V15" s="67"/>
      <c r="W15" s="67"/>
      <c r="X15" s="67"/>
      <c r="Y15" s="67"/>
      <c r="Z15" s="67"/>
      <c r="AA15" s="67"/>
      <c r="AB15" s="67"/>
      <c r="AC15" s="67"/>
      <c r="AD15" s="67"/>
      <c r="AE15" s="67"/>
      <c r="AF15" s="67"/>
      <c r="AG15" s="67"/>
      <c r="AH15" s="67"/>
      <c r="AI15" s="67"/>
      <c r="AJ15" s="67"/>
      <c r="AK15" s="67"/>
      <c r="AL15" s="67"/>
      <c r="AM15" s="67"/>
      <c r="AN15" s="67"/>
      <c r="AO15" s="67"/>
      <c r="AP15" s="67"/>
      <c r="AQ15" s="67"/>
      <c r="AR15" s="67"/>
      <c r="AS15" s="67"/>
      <c r="AT15" s="67"/>
      <c r="AU15" s="67"/>
      <c r="AV15" s="67"/>
      <c r="AW15" s="67"/>
      <c r="AX15" s="67"/>
      <c r="AY15" s="67"/>
      <c r="AZ15" s="67"/>
      <c r="BA15" s="67"/>
      <c r="BB15" s="67"/>
      <c r="BC15" s="67"/>
      <c r="BD15" s="67"/>
      <c r="BE15" s="67"/>
      <c r="BF15" s="67"/>
      <c r="BG15" s="67"/>
      <c r="BH15" s="67"/>
      <c r="BI15" s="67"/>
      <c r="BJ15" s="67"/>
      <c r="BK15" s="67"/>
      <c r="BL15" s="67"/>
    </row>
    <row r="16" spans="2:64" x14ac:dyDescent="0.2">
      <c r="B16" s="68" t="s">
        <v>14</v>
      </c>
      <c r="C16" s="164" t="s">
        <v>19</v>
      </c>
      <c r="H16" s="127"/>
      <c r="I16" s="127"/>
      <c r="J16" s="67"/>
      <c r="K16" s="67"/>
      <c r="L16" s="67"/>
      <c r="M16" s="67"/>
      <c r="N16" s="67"/>
      <c r="O16" s="67"/>
      <c r="P16" s="67"/>
      <c r="Q16" s="67"/>
      <c r="R16" s="67"/>
      <c r="S16" s="67"/>
      <c r="T16" s="67"/>
      <c r="U16" s="67"/>
      <c r="V16" s="67"/>
      <c r="W16" s="67"/>
      <c r="X16" s="67"/>
      <c r="Y16" s="67"/>
      <c r="Z16" s="67"/>
      <c r="AA16" s="67"/>
      <c r="AB16" s="67"/>
      <c r="AC16" s="67"/>
      <c r="AD16" s="67"/>
      <c r="AE16" s="67"/>
      <c r="AF16" s="67"/>
      <c r="AG16" s="67"/>
      <c r="AH16" s="67"/>
      <c r="AI16" s="67"/>
      <c r="AJ16" s="67"/>
      <c r="AK16" s="67"/>
      <c r="AL16" s="67"/>
      <c r="AM16" s="67"/>
      <c r="AN16" s="67"/>
      <c r="AO16" s="67"/>
      <c r="AP16" s="67"/>
      <c r="AQ16" s="67"/>
      <c r="AR16" s="67"/>
      <c r="AS16" s="67"/>
      <c r="AT16" s="67"/>
      <c r="AU16" s="67"/>
      <c r="AV16" s="67"/>
      <c r="AW16" s="67"/>
      <c r="AX16" s="67"/>
      <c r="AY16" s="67"/>
      <c r="AZ16" s="67"/>
      <c r="BA16" s="67"/>
      <c r="BB16" s="67"/>
      <c r="BC16" s="67"/>
      <c r="BD16" s="67"/>
      <c r="BE16" s="67"/>
      <c r="BF16" s="67"/>
      <c r="BG16" s="67"/>
      <c r="BH16" s="67"/>
      <c r="BI16" s="67"/>
      <c r="BJ16" s="67"/>
      <c r="BK16" s="67"/>
      <c r="BL16" s="67"/>
    </row>
    <row r="17" spans="2:64" x14ac:dyDescent="0.2">
      <c r="H17" s="127"/>
      <c r="I17" s="127"/>
      <c r="J17" s="67"/>
      <c r="K17" s="67"/>
      <c r="L17" s="67"/>
      <c r="M17" s="67"/>
      <c r="N17" s="67"/>
      <c r="O17" s="67"/>
      <c r="P17" s="67"/>
      <c r="Q17" s="67"/>
      <c r="R17" s="67"/>
      <c r="S17" s="67"/>
      <c r="T17" s="67"/>
      <c r="U17" s="67"/>
      <c r="V17" s="67"/>
      <c r="W17" s="67"/>
      <c r="X17" s="67"/>
      <c r="Y17" s="67"/>
      <c r="Z17" s="67"/>
      <c r="AA17" s="67"/>
      <c r="AB17" s="67"/>
      <c r="AC17" s="67"/>
      <c r="AD17" s="67"/>
      <c r="AE17" s="67"/>
      <c r="AF17" s="67"/>
      <c r="AG17" s="67"/>
      <c r="AH17" s="67"/>
      <c r="AI17" s="67"/>
      <c r="AJ17" s="67"/>
      <c r="AK17" s="67"/>
      <c r="AL17" s="67"/>
      <c r="AM17" s="67"/>
      <c r="AN17" s="67"/>
      <c r="AO17" s="67"/>
      <c r="AP17" s="67"/>
      <c r="AQ17" s="67"/>
      <c r="AR17" s="67"/>
      <c r="AS17" s="67"/>
      <c r="AT17" s="67"/>
      <c r="AU17" s="67"/>
      <c r="AV17" s="67"/>
      <c r="AW17" s="67"/>
      <c r="AX17" s="67"/>
      <c r="AY17" s="67"/>
      <c r="AZ17" s="67"/>
      <c r="BA17" s="67"/>
      <c r="BB17" s="67"/>
      <c r="BC17" s="67"/>
      <c r="BD17" s="67"/>
      <c r="BE17" s="67"/>
      <c r="BF17" s="67"/>
      <c r="BG17" s="67"/>
      <c r="BH17" s="67"/>
      <c r="BI17" s="67"/>
      <c r="BJ17" s="67"/>
      <c r="BK17" s="67"/>
      <c r="BL17" s="67"/>
    </row>
    <row r="18" spans="2:64" x14ac:dyDescent="0.2">
      <c r="H18" s="127"/>
      <c r="I18" s="127"/>
      <c r="J18" s="67"/>
      <c r="K18" s="67"/>
      <c r="L18" s="67"/>
      <c r="M18" s="67"/>
      <c r="N18" s="67"/>
      <c r="O18" s="67"/>
      <c r="P18" s="67"/>
      <c r="Q18" s="67"/>
      <c r="R18" s="67"/>
      <c r="S18" s="67"/>
      <c r="T18" s="67"/>
      <c r="U18" s="67"/>
      <c r="V18" s="67"/>
      <c r="W18" s="67"/>
      <c r="X18" s="67"/>
      <c r="Y18" s="67"/>
      <c r="Z18" s="67"/>
      <c r="AA18" s="67"/>
      <c r="AB18" s="67"/>
      <c r="AC18" s="67"/>
      <c r="AD18" s="67"/>
      <c r="AE18" s="67"/>
      <c r="AF18" s="67"/>
      <c r="AG18" s="67"/>
      <c r="AH18" s="67"/>
      <c r="AI18" s="67"/>
      <c r="AJ18" s="67"/>
      <c r="AK18" s="67"/>
      <c r="AL18" s="67"/>
      <c r="AM18" s="67"/>
      <c r="AN18" s="67"/>
      <c r="AO18" s="67"/>
      <c r="AP18" s="67"/>
      <c r="AQ18" s="67"/>
      <c r="AR18" s="67"/>
      <c r="AS18" s="67"/>
      <c r="AT18" s="67"/>
      <c r="AU18" s="67"/>
      <c r="AV18" s="67"/>
      <c r="AW18" s="67"/>
      <c r="AX18" s="67"/>
      <c r="AY18" s="67"/>
      <c r="AZ18" s="67"/>
      <c r="BA18" s="67"/>
      <c r="BB18" s="67"/>
      <c r="BC18" s="67"/>
      <c r="BD18" s="67"/>
      <c r="BE18" s="67"/>
      <c r="BF18" s="67"/>
      <c r="BG18" s="67"/>
      <c r="BH18" s="67"/>
      <c r="BI18" s="67"/>
      <c r="BJ18" s="67"/>
      <c r="BK18" s="67"/>
      <c r="BL18" s="67"/>
    </row>
    <row r="19" spans="2:64" x14ac:dyDescent="0.2">
      <c r="H19" s="127"/>
      <c r="I19" s="127"/>
      <c r="J19" s="67"/>
      <c r="K19" s="67"/>
      <c r="L19" s="67"/>
      <c r="M19" s="67"/>
      <c r="N19" s="67"/>
      <c r="O19" s="67"/>
      <c r="P19" s="67"/>
      <c r="Q19" s="67"/>
      <c r="R19" s="67"/>
      <c r="S19" s="67"/>
      <c r="T19" s="67"/>
      <c r="U19" s="67"/>
      <c r="V19" s="67"/>
      <c r="W19" s="67"/>
      <c r="X19" s="67"/>
      <c r="Y19" s="67"/>
      <c r="Z19" s="67"/>
      <c r="AA19" s="67"/>
      <c r="AB19" s="67"/>
      <c r="AC19" s="67"/>
      <c r="AD19" s="67"/>
      <c r="AE19" s="67"/>
      <c r="AF19" s="67"/>
      <c r="AG19" s="67"/>
      <c r="AH19" s="67"/>
      <c r="AI19" s="67"/>
      <c r="AJ19" s="67"/>
      <c r="AK19" s="67"/>
      <c r="AL19" s="67"/>
      <c r="AM19" s="67"/>
      <c r="AN19" s="67"/>
      <c r="AO19" s="67"/>
      <c r="AP19" s="67"/>
      <c r="AQ19" s="67"/>
      <c r="AR19" s="67"/>
      <c r="AS19" s="67"/>
      <c r="AT19" s="67"/>
      <c r="AU19" s="67"/>
      <c r="AV19" s="67"/>
      <c r="AW19" s="67"/>
      <c r="AX19" s="67"/>
      <c r="AY19" s="67"/>
      <c r="AZ19" s="67"/>
      <c r="BA19" s="67"/>
      <c r="BB19" s="67"/>
      <c r="BC19" s="67"/>
      <c r="BD19" s="67"/>
      <c r="BE19" s="67"/>
      <c r="BF19" s="67"/>
      <c r="BG19" s="67"/>
      <c r="BH19" s="67"/>
      <c r="BI19" s="67"/>
      <c r="BJ19" s="67"/>
      <c r="BK19" s="67"/>
      <c r="BL19" s="67"/>
    </row>
    <row r="20" spans="2:64" ht="15" x14ac:dyDescent="0.25">
      <c r="B20" s="324" t="s">
        <v>1172</v>
      </c>
      <c r="H20" s="127"/>
      <c r="I20" s="127"/>
      <c r="J20" s="67"/>
      <c r="K20" s="67"/>
      <c r="L20" s="67"/>
      <c r="M20" s="67"/>
      <c r="N20" s="67"/>
      <c r="O20" s="67"/>
      <c r="P20" s="67"/>
      <c r="Q20" s="67"/>
      <c r="R20" s="67"/>
      <c r="S20" s="67"/>
      <c r="T20" s="67"/>
      <c r="U20" s="67"/>
      <c r="V20" s="67"/>
      <c r="W20" s="67"/>
      <c r="X20" s="67"/>
      <c r="Y20" s="67"/>
      <c r="Z20" s="67"/>
      <c r="AA20" s="67"/>
      <c r="AB20" s="67"/>
      <c r="AC20" s="67"/>
      <c r="AD20" s="67"/>
      <c r="AE20" s="67"/>
      <c r="AF20" s="67"/>
      <c r="AG20" s="67"/>
      <c r="AH20" s="67"/>
      <c r="AI20" s="67"/>
      <c r="AJ20" s="67"/>
      <c r="AK20" s="67"/>
      <c r="AL20" s="67"/>
      <c r="AM20" s="67"/>
      <c r="AN20" s="67"/>
      <c r="AO20" s="67"/>
      <c r="AP20" s="67"/>
      <c r="AQ20" s="67"/>
      <c r="AR20" s="67"/>
      <c r="AS20" s="67"/>
      <c r="AT20" s="67"/>
      <c r="AU20" s="67"/>
      <c r="AV20" s="67"/>
      <c r="AW20" s="67"/>
      <c r="AX20" s="67"/>
      <c r="AY20" s="67"/>
      <c r="AZ20" s="67"/>
      <c r="BA20" s="67"/>
      <c r="BB20" s="67"/>
      <c r="BC20" s="67"/>
      <c r="BD20" s="67"/>
      <c r="BE20" s="67"/>
      <c r="BF20" s="67"/>
      <c r="BG20" s="67"/>
      <c r="BH20" s="67"/>
      <c r="BI20" s="67"/>
      <c r="BJ20" s="67"/>
      <c r="BK20" s="67"/>
      <c r="BL20" s="67"/>
    </row>
    <row r="21" spans="2:64" x14ac:dyDescent="0.2">
      <c r="B21" s="361" t="s">
        <v>1183</v>
      </c>
      <c r="C21" s="364" t="s">
        <v>489</v>
      </c>
      <c r="D21" s="365"/>
      <c r="E21" s="365" t="s">
        <v>486</v>
      </c>
      <c r="F21" s="368"/>
      <c r="H21" s="127"/>
      <c r="I21" s="127"/>
      <c r="J21" s="67"/>
      <c r="K21" s="67"/>
      <c r="L21" s="67"/>
      <c r="M21" s="67"/>
      <c r="N21" s="67"/>
      <c r="O21" s="67"/>
      <c r="P21" s="67"/>
      <c r="Q21" s="67"/>
      <c r="R21" s="67"/>
      <c r="S21" s="67"/>
      <c r="T21" s="67"/>
      <c r="U21" s="67"/>
      <c r="V21" s="67"/>
      <c r="W21" s="67"/>
      <c r="X21" s="67"/>
      <c r="Y21" s="67"/>
      <c r="Z21" s="67"/>
      <c r="AA21" s="67"/>
      <c r="AB21" s="67"/>
      <c r="AC21" s="67"/>
      <c r="AD21" s="67"/>
      <c r="AE21" s="67"/>
      <c r="AF21" s="67"/>
      <c r="AG21" s="67"/>
      <c r="AH21" s="67"/>
      <c r="AI21" s="67"/>
      <c r="AJ21" s="67"/>
      <c r="AK21" s="67"/>
      <c r="AL21" s="67"/>
      <c r="AM21" s="67"/>
      <c r="AN21" s="67"/>
      <c r="AO21" s="67"/>
      <c r="AP21" s="67"/>
      <c r="AQ21" s="67"/>
      <c r="AR21" s="67"/>
      <c r="AS21" s="67"/>
      <c r="AT21" s="67"/>
      <c r="AU21" s="67"/>
      <c r="AV21" s="67"/>
      <c r="AW21" s="67"/>
      <c r="AX21" s="67"/>
      <c r="AY21" s="67"/>
      <c r="AZ21" s="67"/>
      <c r="BA21" s="67"/>
      <c r="BB21" s="67"/>
      <c r="BC21" s="67"/>
      <c r="BD21" s="67"/>
      <c r="BE21" s="67"/>
      <c r="BF21" s="67"/>
      <c r="BG21" s="67"/>
      <c r="BH21" s="67"/>
      <c r="BI21" s="67"/>
      <c r="BJ21" s="67"/>
      <c r="BK21" s="67"/>
      <c r="BL21" s="67"/>
    </row>
    <row r="22" spans="2:64" x14ac:dyDescent="0.2">
      <c r="B22" s="362"/>
      <c r="C22" s="366"/>
      <c r="D22" s="367"/>
      <c r="E22" s="367"/>
      <c r="F22" s="369"/>
      <c r="H22" s="127"/>
      <c r="I22" s="127"/>
      <c r="J22" s="127"/>
      <c r="K22" s="127"/>
      <c r="L22" s="127"/>
      <c r="M22" s="127"/>
      <c r="N22" s="127"/>
      <c r="O22" s="127"/>
      <c r="P22" s="127"/>
      <c r="Q22" s="127"/>
      <c r="R22" s="127"/>
      <c r="S22" s="127"/>
      <c r="T22" s="127"/>
      <c r="U22" s="127"/>
      <c r="V22" s="127"/>
      <c r="W22" s="127"/>
      <c r="X22" s="127"/>
      <c r="Y22" s="127"/>
      <c r="Z22" s="127"/>
      <c r="AA22" s="127"/>
      <c r="AB22" s="127"/>
      <c r="AC22" s="127"/>
      <c r="AD22" s="127"/>
      <c r="AE22" s="127"/>
      <c r="AF22" s="127"/>
      <c r="AG22" s="127"/>
      <c r="AH22" s="127"/>
      <c r="AI22" s="127"/>
      <c r="AJ22" s="127"/>
      <c r="AK22" s="127"/>
      <c r="AL22" s="127"/>
      <c r="AM22" s="127"/>
      <c r="AN22" s="127"/>
      <c r="AO22" s="127"/>
      <c r="AP22" s="127"/>
      <c r="AQ22" s="127"/>
      <c r="AR22" s="127"/>
      <c r="AS22" s="127"/>
      <c r="AT22" s="127"/>
      <c r="AU22" s="127"/>
      <c r="AV22" s="127"/>
      <c r="AW22" s="127"/>
      <c r="AX22" s="127"/>
      <c r="AY22" s="127"/>
      <c r="AZ22" s="127"/>
      <c r="BA22" s="127"/>
      <c r="BB22" s="127"/>
      <c r="BC22" s="127"/>
      <c r="BD22" s="127"/>
      <c r="BE22" s="127"/>
      <c r="BF22" s="127"/>
      <c r="BG22" s="127"/>
      <c r="BH22" s="127"/>
      <c r="BI22" s="127"/>
      <c r="BJ22" s="127"/>
      <c r="BK22" s="127"/>
      <c r="BL22" s="127"/>
    </row>
    <row r="23" spans="2:64" ht="28.5" x14ac:dyDescent="0.2">
      <c r="B23" s="363"/>
      <c r="C23" s="310" t="s">
        <v>487</v>
      </c>
      <c r="D23" s="145" t="s">
        <v>488</v>
      </c>
      <c r="E23" s="145" t="s">
        <v>487</v>
      </c>
      <c r="F23" s="288" t="s">
        <v>488</v>
      </c>
      <c r="H23" s="127"/>
      <c r="I23" s="127"/>
      <c r="J23" s="127"/>
      <c r="K23" s="127"/>
      <c r="L23" s="127"/>
      <c r="M23" s="127"/>
      <c r="N23" s="127"/>
      <c r="O23" s="127"/>
      <c r="P23" s="127"/>
      <c r="Q23" s="127"/>
      <c r="R23" s="127"/>
      <c r="S23" s="127"/>
      <c r="T23" s="127"/>
      <c r="U23" s="127"/>
      <c r="V23" s="127"/>
      <c r="W23" s="127"/>
      <c r="X23" s="127"/>
      <c r="Y23" s="127"/>
      <c r="Z23" s="127"/>
      <c r="AA23" s="127"/>
      <c r="AB23" s="127"/>
      <c r="AC23" s="127"/>
      <c r="AD23" s="127"/>
      <c r="AE23" s="127"/>
      <c r="AF23" s="127"/>
      <c r="AG23" s="127"/>
      <c r="AH23" s="127"/>
      <c r="AI23" s="127"/>
      <c r="AJ23" s="127"/>
      <c r="AK23" s="127"/>
      <c r="AL23" s="127"/>
      <c r="AM23" s="127"/>
      <c r="AN23" s="127"/>
      <c r="AO23" s="127"/>
      <c r="AP23" s="127"/>
      <c r="AQ23" s="127"/>
      <c r="AR23" s="127"/>
      <c r="AS23" s="127"/>
      <c r="AT23" s="127"/>
      <c r="AU23" s="127"/>
      <c r="AV23" s="127"/>
      <c r="AW23" s="127"/>
      <c r="AX23" s="127"/>
      <c r="AY23" s="127"/>
      <c r="AZ23" s="127"/>
      <c r="BA23" s="127"/>
      <c r="BB23" s="127"/>
      <c r="BC23" s="127"/>
      <c r="BD23" s="127"/>
      <c r="BE23" s="127"/>
      <c r="BF23" s="127"/>
      <c r="BG23" s="127"/>
      <c r="BH23" s="127"/>
      <c r="BI23" s="127"/>
      <c r="BJ23" s="127"/>
      <c r="BK23" s="127"/>
      <c r="BL23" s="127"/>
    </row>
    <row r="24" spans="2:64" hidden="1" x14ac:dyDescent="0.2">
      <c r="B24" s="222" t="str">
        <f>IF(Capacity!N17="","",Capacity!N17)</f>
        <v>Ad Hoc 1</v>
      </c>
      <c r="C24" s="223">
        <f>IF(B24="","",Capacity!Q17)</f>
        <v>10</v>
      </c>
      <c r="D24" s="317">
        <f>IF(B24="","",Capacity!R17)</f>
        <v>4</v>
      </c>
      <c r="E24" s="223">
        <f>IF(B24="","",IF(COUNTIF(H24:BG24,"X")=0,SUM('Capacity calculation (hide)'!H112:BG112),COUNTIF(H24:BG24,"X")))</f>
        <v>10</v>
      </c>
      <c r="F24" s="318">
        <f>'Capacity calculation (hide)'!BI112</f>
        <v>4</v>
      </c>
      <c r="H24" s="157"/>
      <c r="I24" s="157" t="s">
        <v>1197</v>
      </c>
      <c r="J24" s="157"/>
      <c r="K24" s="157" t="s">
        <v>1197</v>
      </c>
      <c r="L24" s="157"/>
      <c r="M24" s="157" t="s">
        <v>1197</v>
      </c>
      <c r="N24" s="157" t="s">
        <v>1197</v>
      </c>
      <c r="O24" s="157"/>
      <c r="P24" s="157"/>
      <c r="Q24" s="157" t="s">
        <v>1197</v>
      </c>
      <c r="R24" s="157" t="s">
        <v>1197</v>
      </c>
      <c r="S24" s="157"/>
      <c r="T24" s="157"/>
      <c r="U24" s="157" t="s">
        <v>1197</v>
      </c>
      <c r="V24" s="157"/>
      <c r="W24" s="157"/>
      <c r="X24" s="157"/>
      <c r="Y24" s="157"/>
      <c r="Z24" s="157"/>
      <c r="AA24" s="157"/>
      <c r="AB24" s="157"/>
      <c r="AC24" s="157"/>
      <c r="AD24" s="157"/>
      <c r="AE24" s="157"/>
      <c r="AF24" s="157"/>
      <c r="AG24" s="157"/>
      <c r="AH24" s="157"/>
      <c r="AI24" s="157" t="s">
        <v>1197</v>
      </c>
      <c r="AJ24" s="157" t="s">
        <v>1197</v>
      </c>
      <c r="AK24" s="157"/>
      <c r="AL24" s="157"/>
      <c r="AM24" s="157"/>
      <c r="AN24" s="157"/>
      <c r="AO24" s="157"/>
      <c r="AP24" s="157"/>
      <c r="AQ24" s="157"/>
      <c r="AR24" s="157" t="s">
        <v>1197</v>
      </c>
      <c r="AS24" s="157"/>
      <c r="AT24" s="157"/>
      <c r="AU24" s="157"/>
      <c r="AV24" s="157"/>
      <c r="AW24" s="157"/>
      <c r="AX24" s="157"/>
      <c r="AY24" s="157"/>
      <c r="AZ24" s="157"/>
      <c r="BA24" s="157"/>
      <c r="BB24" s="157"/>
      <c r="BC24" s="157"/>
      <c r="BD24" s="157"/>
      <c r="BE24" s="157"/>
      <c r="BF24" s="157"/>
      <c r="BG24" s="157"/>
      <c r="BH24" s="67"/>
      <c r="BI24" s="67"/>
      <c r="BJ24" s="67"/>
      <c r="BK24" s="67"/>
      <c r="BL24" s="67"/>
    </row>
    <row r="25" spans="2:64" hidden="1" x14ac:dyDescent="0.2">
      <c r="B25" s="222" t="str">
        <f>IF(Capacity!N18="","",Capacity!N18)</f>
        <v>Ad Hoc 2</v>
      </c>
      <c r="C25" s="223">
        <f>IF(B25="","",Capacity!Q18)</f>
        <v>12</v>
      </c>
      <c r="D25" s="317">
        <f>IF(B25="","",Capacity!R18)</f>
        <v>4</v>
      </c>
      <c r="E25" s="223">
        <f>IF(B25="","",IF(COUNTIF(H25:BG25,"X")=0,SUM('Capacity calculation (hide)'!H113:BG113),COUNTIF(H25:BG25,"X")))</f>
        <v>13</v>
      </c>
      <c r="F25" s="318">
        <f>'Capacity calculation (hide)'!BI113</f>
        <v>3.6923076923076925</v>
      </c>
      <c r="H25" s="158"/>
      <c r="I25" s="157"/>
      <c r="J25" s="157"/>
      <c r="K25" s="157"/>
      <c r="L25" s="157"/>
      <c r="M25" s="157"/>
      <c r="N25" s="157"/>
      <c r="O25" s="157"/>
      <c r="P25" s="157" t="s">
        <v>1197</v>
      </c>
      <c r="Q25" s="157" t="s">
        <v>1197</v>
      </c>
      <c r="R25" s="157"/>
      <c r="S25" s="157"/>
      <c r="T25" s="157"/>
      <c r="U25" s="157" t="s">
        <v>1197</v>
      </c>
      <c r="V25" s="157"/>
      <c r="W25" s="157"/>
      <c r="X25" s="157"/>
      <c r="Y25" s="157"/>
      <c r="Z25" s="157"/>
      <c r="AA25" s="157"/>
      <c r="AB25" s="157"/>
      <c r="AC25" s="157"/>
      <c r="AD25" s="157"/>
      <c r="AE25" s="157"/>
      <c r="AF25" s="157"/>
      <c r="AG25" s="157" t="s">
        <v>1197</v>
      </c>
      <c r="AH25" s="157" t="s">
        <v>1197</v>
      </c>
      <c r="AI25" s="157" t="s">
        <v>1197</v>
      </c>
      <c r="AJ25" s="157" t="s">
        <v>1197</v>
      </c>
      <c r="AK25" s="157" t="s">
        <v>1197</v>
      </c>
      <c r="AL25" s="157" t="s">
        <v>1197</v>
      </c>
      <c r="AM25" s="157" t="s">
        <v>1197</v>
      </c>
      <c r="AN25" s="157" t="s">
        <v>1197</v>
      </c>
      <c r="AO25" s="157" t="s">
        <v>1197</v>
      </c>
      <c r="AP25" s="157" t="s">
        <v>1197</v>
      </c>
      <c r="AQ25" s="157"/>
      <c r="AR25" s="157"/>
      <c r="AS25" s="157"/>
      <c r="AT25" s="157"/>
      <c r="AU25" s="157"/>
      <c r="AV25" s="157"/>
      <c r="AW25" s="157"/>
      <c r="AX25" s="157"/>
      <c r="AY25" s="157"/>
      <c r="AZ25" s="157"/>
      <c r="BA25" s="157"/>
      <c r="BB25" s="157"/>
      <c r="BC25" s="157"/>
      <c r="BD25" s="157"/>
      <c r="BE25" s="157"/>
      <c r="BF25" s="157"/>
      <c r="BG25" s="159"/>
      <c r="BH25" s="67"/>
      <c r="BI25" s="67"/>
    </row>
    <row r="26" spans="2:64" hidden="1" x14ac:dyDescent="0.2">
      <c r="B26" s="222" t="str">
        <f>IF(Capacity!N19="","",Capacity!N19)</f>
        <v/>
      </c>
      <c r="C26" s="223" t="str">
        <f>IF(B26="","",Capacity!Q19)</f>
        <v/>
      </c>
      <c r="D26" s="317" t="str">
        <f>IF(B26="","",Capacity!R19)</f>
        <v/>
      </c>
      <c r="E26" s="223" t="str">
        <f>IF(B26="","",IF(COUNTIF(H26:BG26,"X")=0,SUM('Capacity calculation (hide)'!H114:BG114),COUNTIF(H26:BG26,"X")))</f>
        <v/>
      </c>
      <c r="F26" s="318" t="str">
        <f>'Capacity calculation (hide)'!BI114</f>
        <v/>
      </c>
      <c r="H26" s="157"/>
      <c r="I26" s="157"/>
      <c r="J26" s="157"/>
      <c r="K26" s="157"/>
      <c r="L26" s="157"/>
      <c r="M26" s="157"/>
      <c r="N26" s="157"/>
      <c r="O26" s="157"/>
      <c r="P26" s="157"/>
      <c r="Q26" s="157"/>
      <c r="R26" s="157"/>
      <c r="S26" s="157"/>
      <c r="T26" s="157"/>
      <c r="U26" s="157"/>
      <c r="V26" s="157"/>
      <c r="W26" s="157"/>
      <c r="X26" s="157"/>
      <c r="Y26" s="157"/>
      <c r="Z26" s="157"/>
      <c r="AA26" s="157"/>
      <c r="AB26" s="157"/>
      <c r="AC26" s="157"/>
      <c r="AD26" s="157"/>
      <c r="AE26" s="157"/>
      <c r="AF26" s="157"/>
      <c r="AG26" s="157"/>
      <c r="AH26" s="157"/>
      <c r="AI26" s="157"/>
      <c r="AJ26" s="157"/>
      <c r="AK26" s="157"/>
      <c r="AL26" s="157"/>
      <c r="AM26" s="157"/>
      <c r="AN26" s="157"/>
      <c r="AO26" s="157"/>
      <c r="AP26" s="157"/>
      <c r="AQ26" s="157"/>
      <c r="AR26" s="157"/>
      <c r="AS26" s="157"/>
      <c r="AT26" s="157"/>
      <c r="AU26" s="157"/>
      <c r="AV26" s="157"/>
      <c r="AW26" s="157"/>
      <c r="AX26" s="157"/>
      <c r="AY26" s="157"/>
      <c r="AZ26" s="157"/>
      <c r="BA26" s="157"/>
      <c r="BB26" s="157"/>
      <c r="BC26" s="157"/>
      <c r="BD26" s="157"/>
      <c r="BE26" s="157"/>
      <c r="BF26" s="157"/>
      <c r="BG26" s="157"/>
      <c r="BH26" s="131"/>
      <c r="BI26" s="67"/>
    </row>
    <row r="27" spans="2:64" hidden="1" x14ac:dyDescent="0.2">
      <c r="B27" s="222" t="str">
        <f>IF(Capacity!N20="","",Capacity!N20)</f>
        <v/>
      </c>
      <c r="C27" s="223" t="str">
        <f>IF(B27="","",Capacity!Q20)</f>
        <v/>
      </c>
      <c r="D27" s="317" t="str">
        <f>IF(B27="","",Capacity!R20)</f>
        <v/>
      </c>
      <c r="E27" s="223" t="str">
        <f>IF(B27="","",IF(COUNTIF(H27:BG27,"X")=0,SUM('Capacity calculation (hide)'!H115:BG115),COUNTIF(H27:BG27,"X")))</f>
        <v/>
      </c>
      <c r="F27" s="318" t="str">
        <f>'Capacity calculation (hide)'!BI115</f>
        <v/>
      </c>
      <c r="H27" s="157"/>
      <c r="I27" s="157"/>
      <c r="J27" s="157"/>
      <c r="K27" s="157"/>
      <c r="L27" s="157"/>
      <c r="M27" s="157"/>
      <c r="N27" s="157"/>
      <c r="O27" s="157"/>
      <c r="P27" s="157"/>
      <c r="Q27" s="157"/>
      <c r="R27" s="157"/>
      <c r="S27" s="157"/>
      <c r="T27" s="157"/>
      <c r="U27" s="157"/>
      <c r="V27" s="157"/>
      <c r="W27" s="157"/>
      <c r="X27" s="157"/>
      <c r="Y27" s="157"/>
      <c r="Z27" s="157"/>
      <c r="AA27" s="157"/>
      <c r="AB27" s="157"/>
      <c r="AC27" s="157"/>
      <c r="AD27" s="160"/>
      <c r="AE27" s="160"/>
      <c r="AF27" s="160"/>
      <c r="AG27" s="160"/>
      <c r="AH27" s="160"/>
      <c r="AI27" s="160"/>
      <c r="AJ27" s="160"/>
      <c r="AK27" s="160"/>
      <c r="AL27" s="160"/>
      <c r="AM27" s="160"/>
      <c r="AN27" s="160"/>
      <c r="AO27" s="160"/>
      <c r="AP27" s="160"/>
      <c r="AQ27" s="160"/>
      <c r="AR27" s="160"/>
      <c r="AS27" s="160"/>
      <c r="AT27" s="160"/>
      <c r="AU27" s="160"/>
      <c r="AV27" s="160"/>
      <c r="AW27" s="160"/>
      <c r="AX27" s="160"/>
      <c r="AY27" s="160"/>
      <c r="AZ27" s="160"/>
      <c r="BA27" s="160"/>
      <c r="BB27" s="160"/>
      <c r="BC27" s="160"/>
      <c r="BD27" s="160"/>
      <c r="BE27" s="160"/>
      <c r="BF27" s="160"/>
      <c r="BG27" s="160"/>
    </row>
    <row r="28" spans="2:64" hidden="1" x14ac:dyDescent="0.2">
      <c r="B28" s="222" t="str">
        <f>IF(Capacity!N21="","",Capacity!N21)</f>
        <v/>
      </c>
      <c r="C28" s="223" t="str">
        <f>IF(B28="","",Capacity!Q21)</f>
        <v/>
      </c>
      <c r="D28" s="317" t="str">
        <f>IF(B28="","",Capacity!R21)</f>
        <v/>
      </c>
      <c r="E28" s="223" t="str">
        <f>IF(B28="","",IF(COUNTIF(H28:BG28,"X")=0,SUM('Capacity calculation (hide)'!H116:BG116),COUNTIF(H28:BG28,"X")))</f>
        <v/>
      </c>
      <c r="F28" s="318" t="str">
        <f>'Capacity calculation (hide)'!BI116</f>
        <v/>
      </c>
      <c r="H28" s="157"/>
      <c r="I28" s="157"/>
      <c r="J28" s="157"/>
      <c r="K28" s="157"/>
      <c r="L28" s="157"/>
      <c r="M28" s="157"/>
      <c r="N28" s="157"/>
      <c r="O28" s="157"/>
      <c r="P28" s="157"/>
      <c r="Q28" s="157"/>
      <c r="R28" s="157"/>
      <c r="S28" s="157"/>
      <c r="T28" s="157"/>
      <c r="U28" s="157"/>
      <c r="V28" s="157"/>
      <c r="W28" s="157"/>
      <c r="X28" s="157"/>
      <c r="Y28" s="157"/>
      <c r="Z28" s="157"/>
      <c r="AA28" s="157"/>
      <c r="AB28" s="157"/>
      <c r="AC28" s="157"/>
      <c r="AD28" s="160"/>
      <c r="AE28" s="160"/>
      <c r="AF28" s="160"/>
      <c r="AG28" s="160"/>
      <c r="AH28" s="160"/>
      <c r="AI28" s="160"/>
      <c r="AJ28" s="160"/>
      <c r="AK28" s="160"/>
      <c r="AL28" s="160"/>
      <c r="AM28" s="160"/>
      <c r="AN28" s="160"/>
      <c r="AO28" s="160"/>
      <c r="AP28" s="160"/>
      <c r="AQ28" s="160"/>
      <c r="AR28" s="160"/>
      <c r="AS28" s="160"/>
      <c r="AT28" s="160"/>
      <c r="AU28" s="160"/>
      <c r="AV28" s="160"/>
      <c r="AW28" s="160"/>
      <c r="AX28" s="160"/>
      <c r="AY28" s="160"/>
      <c r="AZ28" s="160"/>
      <c r="BA28" s="160"/>
      <c r="BB28" s="160"/>
      <c r="BC28" s="160"/>
      <c r="BD28" s="160"/>
      <c r="BE28" s="160"/>
      <c r="BF28" s="160"/>
      <c r="BG28" s="160"/>
    </row>
    <row r="29" spans="2:64" hidden="1" x14ac:dyDescent="0.2">
      <c r="B29" s="222" t="str">
        <f>IF(Capacity!N22="","",Capacity!N22)</f>
        <v/>
      </c>
      <c r="C29" s="223" t="str">
        <f>IF(B29="","",Capacity!Q22)</f>
        <v/>
      </c>
      <c r="D29" s="317" t="str">
        <f>IF(B29="","",Capacity!R22)</f>
        <v/>
      </c>
      <c r="E29" s="223" t="str">
        <f>IF(B29="","",IF(COUNTIF(H29:BG29,"X")=0,SUM('Capacity calculation (hide)'!H117:BG117),COUNTIF(H29:BG29,"X")))</f>
        <v/>
      </c>
      <c r="F29" s="318" t="str">
        <f>'Capacity calculation (hide)'!BI117</f>
        <v/>
      </c>
      <c r="H29" s="157"/>
      <c r="I29" s="157"/>
      <c r="J29" s="157"/>
      <c r="K29" s="157"/>
      <c r="L29" s="157"/>
      <c r="M29" s="157"/>
      <c r="N29" s="157"/>
      <c r="O29" s="157"/>
      <c r="P29" s="157"/>
      <c r="Q29" s="157"/>
      <c r="R29" s="157"/>
      <c r="S29" s="157"/>
      <c r="T29" s="157"/>
      <c r="U29" s="157"/>
      <c r="V29" s="157"/>
      <c r="W29" s="157"/>
      <c r="X29" s="157"/>
      <c r="Y29" s="157"/>
      <c r="Z29" s="157"/>
      <c r="AA29" s="157"/>
      <c r="AB29" s="157"/>
      <c r="AC29" s="157"/>
      <c r="AD29" s="160"/>
      <c r="AE29" s="160"/>
      <c r="AF29" s="160"/>
      <c r="AG29" s="160"/>
      <c r="AH29" s="160"/>
      <c r="AI29" s="160"/>
      <c r="AJ29" s="160"/>
      <c r="AK29" s="160"/>
      <c r="AL29" s="160"/>
      <c r="AM29" s="160"/>
      <c r="AN29" s="160"/>
      <c r="AO29" s="160"/>
      <c r="AP29" s="160"/>
      <c r="AQ29" s="160"/>
      <c r="AR29" s="160"/>
      <c r="AS29" s="160"/>
      <c r="AT29" s="160"/>
      <c r="AU29" s="160"/>
      <c r="AV29" s="160"/>
      <c r="AW29" s="160"/>
      <c r="AX29" s="160"/>
      <c r="AY29" s="160"/>
      <c r="AZ29" s="160"/>
      <c r="BA29" s="160"/>
      <c r="BB29" s="160"/>
      <c r="BC29" s="160"/>
      <c r="BD29" s="160"/>
      <c r="BE29" s="160"/>
      <c r="BF29" s="160"/>
      <c r="BG29" s="160"/>
    </row>
    <row r="30" spans="2:64" hidden="1" x14ac:dyDescent="0.2">
      <c r="B30" s="222" t="str">
        <f>IF(Capacity!N23="","",Capacity!N23)</f>
        <v/>
      </c>
      <c r="C30" s="223" t="str">
        <f>IF(B30="","",Capacity!Q23)</f>
        <v/>
      </c>
      <c r="D30" s="317" t="str">
        <f>IF(B30="","",Capacity!R23)</f>
        <v/>
      </c>
      <c r="E30" s="223" t="str">
        <f>IF(B30="","",IF(COUNTIF(H30:BG30,"X")=0,SUM('Capacity calculation (hide)'!H118:BG118),COUNTIF(H30:BG30,"X")))</f>
        <v/>
      </c>
      <c r="F30" s="318" t="str">
        <f>'Capacity calculation (hide)'!BI118</f>
        <v/>
      </c>
      <c r="H30" s="157"/>
      <c r="I30" s="157"/>
      <c r="J30" s="157"/>
      <c r="K30" s="157"/>
      <c r="L30" s="157"/>
      <c r="M30" s="157"/>
      <c r="N30" s="157"/>
      <c r="O30" s="157"/>
      <c r="P30" s="157"/>
      <c r="Q30" s="157"/>
      <c r="R30" s="157"/>
      <c r="S30" s="157"/>
      <c r="T30" s="157"/>
      <c r="U30" s="157"/>
      <c r="V30" s="157"/>
      <c r="W30" s="157"/>
      <c r="X30" s="157"/>
      <c r="Y30" s="157"/>
      <c r="Z30" s="157"/>
      <c r="AA30" s="157"/>
      <c r="AB30" s="157"/>
      <c r="AC30" s="157"/>
      <c r="AD30" s="160"/>
      <c r="AE30" s="160"/>
      <c r="AF30" s="160"/>
      <c r="AG30" s="160"/>
      <c r="AH30" s="160"/>
      <c r="AI30" s="160"/>
      <c r="AJ30" s="160"/>
      <c r="AK30" s="160"/>
      <c r="AL30" s="160"/>
      <c r="AM30" s="160"/>
      <c r="AN30" s="160"/>
      <c r="AO30" s="160"/>
      <c r="AP30" s="160"/>
      <c r="AQ30" s="160"/>
      <c r="AR30" s="160"/>
      <c r="AS30" s="160"/>
      <c r="AT30" s="160"/>
      <c r="AU30" s="160"/>
      <c r="AV30" s="160"/>
      <c r="AW30" s="160"/>
      <c r="AX30" s="160"/>
      <c r="AY30" s="160"/>
      <c r="AZ30" s="160"/>
      <c r="BA30" s="160"/>
      <c r="BB30" s="160"/>
      <c r="BC30" s="160"/>
      <c r="BD30" s="160"/>
      <c r="BE30" s="160"/>
      <c r="BF30" s="160"/>
      <c r="BG30" s="160"/>
    </row>
    <row r="31" spans="2:64" hidden="1" x14ac:dyDescent="0.2">
      <c r="B31" s="222" t="str">
        <f>IF(Capacity!N24="","",Capacity!N24)</f>
        <v/>
      </c>
      <c r="C31" s="223" t="str">
        <f>IF(B31="","",Capacity!Q24)</f>
        <v/>
      </c>
      <c r="D31" s="317" t="str">
        <f>IF(B31="","",Capacity!R24)</f>
        <v/>
      </c>
      <c r="E31" s="223" t="str">
        <f>IF(B31="","",IF(COUNTIF(H31:BG31,"X")=0,SUM('Capacity calculation (hide)'!H119:BG119),COUNTIF(H31:BG31,"X")))</f>
        <v/>
      </c>
      <c r="F31" s="318" t="str">
        <f>'Capacity calculation (hide)'!BI119</f>
        <v/>
      </c>
      <c r="H31" s="157"/>
      <c r="I31" s="157"/>
      <c r="J31" s="157"/>
      <c r="K31" s="157"/>
      <c r="L31" s="157"/>
      <c r="M31" s="157"/>
      <c r="N31" s="157"/>
      <c r="O31" s="157"/>
      <c r="P31" s="157"/>
      <c r="Q31" s="157"/>
      <c r="R31" s="157"/>
      <c r="S31" s="157"/>
      <c r="T31" s="157"/>
      <c r="U31" s="157"/>
      <c r="V31" s="157"/>
      <c r="W31" s="157"/>
      <c r="X31" s="157"/>
      <c r="Y31" s="157"/>
      <c r="Z31" s="157"/>
      <c r="AA31" s="157"/>
      <c r="AB31" s="157"/>
      <c r="AC31" s="157"/>
      <c r="AD31" s="160"/>
      <c r="AE31" s="160"/>
      <c r="AF31" s="160"/>
      <c r="AG31" s="160"/>
      <c r="AH31" s="160"/>
      <c r="AI31" s="160"/>
      <c r="AJ31" s="160"/>
      <c r="AK31" s="160"/>
      <c r="AL31" s="160"/>
      <c r="AM31" s="160"/>
      <c r="AN31" s="160"/>
      <c r="AO31" s="160"/>
      <c r="AP31" s="160"/>
      <c r="AQ31" s="160"/>
      <c r="AR31" s="160"/>
      <c r="AS31" s="160"/>
      <c r="AT31" s="160"/>
      <c r="AU31" s="160"/>
      <c r="AV31" s="160"/>
      <c r="AW31" s="160"/>
      <c r="AX31" s="160"/>
      <c r="AY31" s="160"/>
      <c r="AZ31" s="160"/>
      <c r="BA31" s="160"/>
      <c r="BB31" s="160"/>
      <c r="BC31" s="160"/>
      <c r="BD31" s="160"/>
      <c r="BE31" s="160"/>
      <c r="BF31" s="160"/>
      <c r="BG31" s="160"/>
    </row>
    <row r="32" spans="2:64" hidden="1" x14ac:dyDescent="0.2">
      <c r="B32" s="222" t="str">
        <f>IF(Capacity!N25="","",Capacity!N25)</f>
        <v/>
      </c>
      <c r="C32" s="223" t="str">
        <f>IF(B32="","",Capacity!Q25)</f>
        <v/>
      </c>
      <c r="D32" s="317" t="str">
        <f>IF(B32="","",Capacity!R25)</f>
        <v/>
      </c>
      <c r="E32" s="223" t="str">
        <f>IF(B32="","",IF(COUNTIF(H32:BG32,"X")=0,SUM('Capacity calculation (hide)'!H120:BG120),COUNTIF(H32:BG32,"X")))</f>
        <v/>
      </c>
      <c r="F32" s="318" t="str">
        <f>'Capacity calculation (hide)'!BI120</f>
        <v/>
      </c>
      <c r="H32" s="157"/>
      <c r="I32" s="157"/>
      <c r="J32" s="157"/>
      <c r="K32" s="157"/>
      <c r="L32" s="157"/>
      <c r="M32" s="157"/>
      <c r="N32" s="157"/>
      <c r="O32" s="157"/>
      <c r="P32" s="157"/>
      <c r="Q32" s="157"/>
      <c r="R32" s="157"/>
      <c r="S32" s="157"/>
      <c r="T32" s="157"/>
      <c r="U32" s="157"/>
      <c r="V32" s="157"/>
      <c r="W32" s="157"/>
      <c r="X32" s="157"/>
      <c r="Y32" s="157"/>
      <c r="Z32" s="157"/>
      <c r="AA32" s="157"/>
      <c r="AB32" s="157"/>
      <c r="AC32" s="157"/>
      <c r="AD32" s="160"/>
      <c r="AE32" s="160"/>
      <c r="AF32" s="160"/>
      <c r="AG32" s="160"/>
      <c r="AH32" s="160"/>
      <c r="AI32" s="160"/>
      <c r="AJ32" s="160"/>
      <c r="AK32" s="160"/>
      <c r="AL32" s="160"/>
      <c r="AM32" s="160"/>
      <c r="AN32" s="160"/>
      <c r="AO32" s="160"/>
      <c r="AP32" s="160"/>
      <c r="AQ32" s="160"/>
      <c r="AR32" s="160"/>
      <c r="AS32" s="160"/>
      <c r="AT32" s="160"/>
      <c r="AU32" s="160"/>
      <c r="AV32" s="160"/>
      <c r="AW32" s="160"/>
      <c r="AX32" s="160"/>
      <c r="AY32" s="160"/>
      <c r="AZ32" s="160"/>
      <c r="BA32" s="160"/>
      <c r="BB32" s="160"/>
      <c r="BC32" s="160"/>
      <c r="BD32" s="160"/>
      <c r="BE32" s="160"/>
      <c r="BF32" s="160"/>
      <c r="BG32" s="160"/>
    </row>
    <row r="33" spans="2:59" hidden="1" x14ac:dyDescent="0.2">
      <c r="B33" s="222" t="str">
        <f>IF(Capacity!N26="","",Capacity!N26)</f>
        <v/>
      </c>
      <c r="C33" s="223" t="str">
        <f>IF(B33="","",Capacity!Q26)</f>
        <v/>
      </c>
      <c r="D33" s="317" t="str">
        <f>IF(B33="","",Capacity!R26)</f>
        <v/>
      </c>
      <c r="E33" s="223" t="str">
        <f>IF(B33="","",IF(COUNTIF(H33:BG33,"X")=0,SUM('Capacity calculation (hide)'!H121:BG121),COUNTIF(H33:BG33,"X")))</f>
        <v/>
      </c>
      <c r="F33" s="318" t="str">
        <f>'Capacity calculation (hide)'!BI121</f>
        <v/>
      </c>
      <c r="H33" s="157"/>
      <c r="I33" s="157"/>
      <c r="J33" s="157"/>
      <c r="K33" s="157"/>
      <c r="L33" s="157"/>
      <c r="M33" s="157"/>
      <c r="N33" s="157"/>
      <c r="O33" s="157"/>
      <c r="P33" s="157"/>
      <c r="Q33" s="157"/>
      <c r="R33" s="157"/>
      <c r="S33" s="157"/>
      <c r="T33" s="157"/>
      <c r="U33" s="157"/>
      <c r="V33" s="157"/>
      <c r="W33" s="157"/>
      <c r="X33" s="157"/>
      <c r="Y33" s="157"/>
      <c r="Z33" s="157"/>
      <c r="AA33" s="157"/>
      <c r="AB33" s="157"/>
      <c r="AC33" s="157"/>
      <c r="AD33" s="160"/>
      <c r="AE33" s="160"/>
      <c r="AF33" s="160"/>
      <c r="AG33" s="160"/>
      <c r="AH33" s="160"/>
      <c r="AI33" s="160"/>
      <c r="AJ33" s="160"/>
      <c r="AK33" s="160"/>
      <c r="AL33" s="160"/>
      <c r="AM33" s="160"/>
      <c r="AN33" s="160"/>
      <c r="AO33" s="160"/>
      <c r="AP33" s="160"/>
      <c r="AQ33" s="160"/>
      <c r="AR33" s="160"/>
      <c r="AS33" s="160"/>
      <c r="AT33" s="160"/>
      <c r="AU33" s="160"/>
      <c r="AV33" s="160"/>
      <c r="AW33" s="160"/>
      <c r="AX33" s="160"/>
      <c r="AY33" s="160"/>
      <c r="AZ33" s="160"/>
      <c r="BA33" s="160"/>
      <c r="BB33" s="160"/>
      <c r="BC33" s="160"/>
      <c r="BD33" s="160"/>
      <c r="BE33" s="160"/>
      <c r="BF33" s="160"/>
      <c r="BG33" s="160"/>
    </row>
    <row r="34" spans="2:59" hidden="1" x14ac:dyDescent="0.2">
      <c r="B34" s="222" t="str">
        <f>IF(Capacity!N27="","",Capacity!N27)</f>
        <v/>
      </c>
      <c r="C34" s="223" t="str">
        <f>IF(B34="","",Capacity!Q27)</f>
        <v/>
      </c>
      <c r="D34" s="317" t="str">
        <f>IF(B34="","",Capacity!R27)</f>
        <v/>
      </c>
      <c r="E34" s="223" t="str">
        <f>IF(B34="","",IF(COUNTIF(H34:BG34,"X")=0,SUM('Capacity calculation (hide)'!H122:BG122),COUNTIF(H34:BG34,"X")))</f>
        <v/>
      </c>
      <c r="F34" s="318" t="str">
        <f>'Capacity calculation (hide)'!BI122</f>
        <v/>
      </c>
      <c r="H34" s="160"/>
      <c r="I34" s="160"/>
      <c r="J34" s="161"/>
      <c r="K34" s="161"/>
      <c r="L34" s="161"/>
      <c r="M34" s="161"/>
      <c r="N34" s="161"/>
      <c r="O34" s="161"/>
      <c r="P34" s="161"/>
      <c r="Q34" s="161"/>
      <c r="R34" s="161"/>
      <c r="S34" s="161"/>
      <c r="T34" s="161"/>
      <c r="U34" s="161"/>
      <c r="V34" s="161"/>
      <c r="W34" s="161"/>
      <c r="X34" s="161"/>
      <c r="Y34" s="161"/>
      <c r="Z34" s="161"/>
      <c r="AA34" s="161"/>
      <c r="AB34" s="161"/>
      <c r="AC34" s="161"/>
      <c r="AD34" s="161"/>
      <c r="AE34" s="161"/>
      <c r="AF34" s="161"/>
      <c r="AG34" s="161"/>
      <c r="AH34" s="161"/>
      <c r="AI34" s="161"/>
      <c r="AJ34" s="161"/>
      <c r="AK34" s="161"/>
      <c r="AL34" s="161"/>
      <c r="AM34" s="161"/>
      <c r="AN34" s="161"/>
      <c r="AO34" s="161"/>
      <c r="AP34" s="161"/>
      <c r="AQ34" s="161"/>
      <c r="AR34" s="161"/>
      <c r="AS34" s="161"/>
      <c r="AT34" s="161"/>
      <c r="AU34" s="161"/>
      <c r="AV34" s="161"/>
      <c r="AW34" s="161"/>
      <c r="AX34" s="161"/>
      <c r="AY34" s="161"/>
      <c r="AZ34" s="161"/>
      <c r="BA34" s="161"/>
      <c r="BB34" s="161"/>
      <c r="BC34" s="161"/>
      <c r="BD34" s="161"/>
      <c r="BE34" s="161"/>
      <c r="BF34" s="161"/>
      <c r="BG34" s="160"/>
    </row>
    <row r="35" spans="2:59" hidden="1" x14ac:dyDescent="0.2">
      <c r="B35" s="222" t="str">
        <f>IF(Capacity!N28="","",Capacity!N28)</f>
        <v/>
      </c>
      <c r="C35" s="223" t="str">
        <f>IF(B35="","",Capacity!Q28)</f>
        <v/>
      </c>
      <c r="D35" s="317" t="str">
        <f>IF(B35="","",Capacity!R28)</f>
        <v/>
      </c>
      <c r="E35" s="223" t="str">
        <f>IF(B35="","",IF(COUNTIF(H35:BG35,"X")=0,SUM('Capacity calculation (hide)'!H123:BG123),COUNTIF(H35:BG35,"X")))</f>
        <v/>
      </c>
      <c r="F35" s="318" t="str">
        <f>'Capacity calculation (hide)'!BI123</f>
        <v/>
      </c>
      <c r="H35" s="157"/>
      <c r="I35" s="157"/>
      <c r="J35" s="157"/>
      <c r="K35" s="157"/>
      <c r="L35" s="157"/>
      <c r="M35" s="157"/>
      <c r="N35" s="157"/>
      <c r="O35" s="157"/>
      <c r="P35" s="157"/>
      <c r="Q35" s="157"/>
      <c r="R35" s="157"/>
      <c r="S35" s="157"/>
      <c r="T35" s="157"/>
      <c r="U35" s="157"/>
      <c r="V35" s="157"/>
      <c r="W35" s="157"/>
      <c r="X35" s="157"/>
      <c r="Y35" s="157"/>
      <c r="Z35" s="157"/>
      <c r="AA35" s="157"/>
      <c r="AB35" s="157"/>
      <c r="AC35" s="157"/>
      <c r="AD35" s="157"/>
      <c r="AE35" s="157"/>
      <c r="AF35" s="157"/>
      <c r="AG35" s="157"/>
      <c r="AH35" s="157"/>
      <c r="AI35" s="157"/>
      <c r="AJ35" s="157"/>
      <c r="AK35" s="157"/>
      <c r="AL35" s="157"/>
      <c r="AM35" s="157"/>
      <c r="AN35" s="157"/>
      <c r="AO35" s="157"/>
      <c r="AP35" s="157"/>
      <c r="AQ35" s="157"/>
      <c r="AR35" s="157"/>
      <c r="AS35" s="157"/>
      <c r="AT35" s="157"/>
      <c r="AU35" s="157"/>
      <c r="AV35" s="157"/>
      <c r="AW35" s="157"/>
      <c r="AX35" s="157"/>
      <c r="AY35" s="157"/>
      <c r="AZ35" s="157"/>
      <c r="BA35" s="157"/>
      <c r="BB35" s="157"/>
      <c r="BC35" s="157"/>
      <c r="BD35" s="157"/>
      <c r="BE35" s="157"/>
      <c r="BF35" s="157"/>
      <c r="BG35" s="157"/>
    </row>
    <row r="36" spans="2:59" hidden="1" x14ac:dyDescent="0.2">
      <c r="B36" s="222" t="str">
        <f>IF(Capacity!N29="","",Capacity!N29)</f>
        <v/>
      </c>
      <c r="C36" s="223" t="str">
        <f>IF(B36="","",Capacity!Q29)</f>
        <v/>
      </c>
      <c r="D36" s="317" t="str">
        <f>IF(B36="","",Capacity!R29)</f>
        <v/>
      </c>
      <c r="E36" s="223" t="str">
        <f>IF(B36="","",IF(COUNTIF(H36:BG36,"X")=0,SUM('Capacity calculation (hide)'!H124:BG124),COUNTIF(H36:BG36,"X")))</f>
        <v/>
      </c>
      <c r="F36" s="318" t="str">
        <f>'Capacity calculation (hide)'!BI124</f>
        <v/>
      </c>
      <c r="H36" s="157"/>
      <c r="I36" s="157"/>
      <c r="J36" s="157"/>
      <c r="K36" s="157"/>
      <c r="L36" s="157"/>
      <c r="M36" s="157"/>
      <c r="N36" s="157"/>
      <c r="O36" s="157"/>
      <c r="P36" s="157"/>
      <c r="Q36" s="157"/>
      <c r="R36" s="157"/>
      <c r="S36" s="157"/>
      <c r="T36" s="157"/>
      <c r="U36" s="157"/>
      <c r="V36" s="157"/>
      <c r="W36" s="157"/>
      <c r="X36" s="157"/>
      <c r="Y36" s="157"/>
      <c r="Z36" s="157"/>
      <c r="AA36" s="157"/>
      <c r="AB36" s="157"/>
      <c r="AC36" s="157"/>
      <c r="AD36" s="157"/>
      <c r="AE36" s="157"/>
      <c r="AF36" s="157"/>
      <c r="AG36" s="157"/>
      <c r="AH36" s="157"/>
      <c r="AI36" s="157"/>
      <c r="AJ36" s="157"/>
      <c r="AK36" s="157"/>
      <c r="AL36" s="157"/>
      <c r="AM36" s="157"/>
      <c r="AN36" s="157"/>
      <c r="AO36" s="157"/>
      <c r="AP36" s="157"/>
      <c r="AQ36" s="157"/>
      <c r="AR36" s="157"/>
      <c r="AS36" s="157"/>
      <c r="AT36" s="157"/>
      <c r="AU36" s="157"/>
      <c r="AV36" s="157"/>
      <c r="AW36" s="157"/>
      <c r="AX36" s="157"/>
      <c r="AY36" s="157"/>
      <c r="AZ36" s="157"/>
      <c r="BA36" s="157"/>
      <c r="BB36" s="157"/>
      <c r="BC36" s="157"/>
      <c r="BD36" s="157"/>
      <c r="BE36" s="157"/>
      <c r="BF36" s="157"/>
      <c r="BG36" s="157"/>
    </row>
    <row r="37" spans="2:59" hidden="1" x14ac:dyDescent="0.2">
      <c r="B37" s="222" t="str">
        <f>IF(Capacity!N30="","",Capacity!N30)</f>
        <v/>
      </c>
      <c r="C37" s="223" t="str">
        <f>IF(B37="","",Capacity!Q30)</f>
        <v/>
      </c>
      <c r="D37" s="317" t="str">
        <f>IF(B37="","",Capacity!R30)</f>
        <v/>
      </c>
      <c r="E37" s="223" t="str">
        <f>IF(B37="","",IF(COUNTIF(H37:BG37,"X")=0,SUM('Capacity calculation (hide)'!H125:BG125),COUNTIF(H37:BG37,"X")))</f>
        <v/>
      </c>
      <c r="F37" s="318" t="str">
        <f>'Capacity calculation (hide)'!BI125</f>
        <v/>
      </c>
      <c r="H37" s="160"/>
      <c r="I37" s="160"/>
      <c r="J37" s="160"/>
      <c r="K37" s="160"/>
      <c r="L37" s="160"/>
      <c r="M37" s="160"/>
      <c r="N37" s="160"/>
      <c r="O37" s="160"/>
      <c r="P37" s="160"/>
      <c r="Q37" s="160"/>
      <c r="R37" s="160"/>
      <c r="S37" s="160"/>
      <c r="T37" s="160"/>
      <c r="U37" s="160"/>
      <c r="V37" s="160"/>
      <c r="W37" s="160"/>
      <c r="X37" s="160"/>
      <c r="Y37" s="160"/>
      <c r="Z37" s="160"/>
      <c r="AA37" s="160"/>
      <c r="AB37" s="160"/>
      <c r="AC37" s="160"/>
      <c r="AD37" s="160"/>
      <c r="AE37" s="160"/>
      <c r="AF37" s="160"/>
      <c r="AG37" s="160"/>
      <c r="AH37" s="160"/>
      <c r="AI37" s="160"/>
      <c r="AJ37" s="160"/>
      <c r="AK37" s="160"/>
      <c r="AL37" s="160"/>
      <c r="AM37" s="160"/>
      <c r="AN37" s="160"/>
      <c r="AO37" s="160"/>
      <c r="AP37" s="160"/>
      <c r="AQ37" s="160"/>
      <c r="AR37" s="160"/>
      <c r="AS37" s="160"/>
      <c r="AT37" s="160"/>
      <c r="AU37" s="160"/>
      <c r="AV37" s="160"/>
      <c r="AW37" s="160"/>
      <c r="AX37" s="160"/>
      <c r="AY37" s="160"/>
      <c r="AZ37" s="160"/>
      <c r="BA37" s="160"/>
      <c r="BB37" s="160"/>
      <c r="BC37" s="160"/>
      <c r="BD37" s="160"/>
      <c r="BE37" s="160"/>
      <c r="BF37" s="160"/>
      <c r="BG37" s="160"/>
    </row>
    <row r="38" spans="2:59" hidden="1" x14ac:dyDescent="0.2">
      <c r="B38" s="222" t="str">
        <f>IF(Capacity!N31="","",Capacity!N31)</f>
        <v/>
      </c>
      <c r="C38" s="223" t="str">
        <f>IF(B38="","",Capacity!Q31)</f>
        <v/>
      </c>
      <c r="D38" s="317" t="str">
        <f>IF(B38="","",Capacity!R31)</f>
        <v/>
      </c>
      <c r="E38" s="223" t="str">
        <f>IF(B38="","",IF(COUNTIF(H38:BG38,"X")=0,SUM('Capacity calculation (hide)'!H126:BG126),COUNTIF(H38:BG38,"X")))</f>
        <v/>
      </c>
      <c r="F38" s="318" t="str">
        <f>'Capacity calculation (hide)'!BI126</f>
        <v/>
      </c>
      <c r="H38" s="160"/>
      <c r="I38" s="160"/>
      <c r="J38" s="160"/>
      <c r="K38" s="160"/>
      <c r="L38" s="160"/>
      <c r="M38" s="160"/>
      <c r="N38" s="160"/>
      <c r="O38" s="160"/>
      <c r="P38" s="160"/>
      <c r="Q38" s="160"/>
      <c r="R38" s="160"/>
      <c r="S38" s="160"/>
      <c r="T38" s="160"/>
      <c r="U38" s="160"/>
      <c r="V38" s="160"/>
      <c r="W38" s="160"/>
      <c r="X38" s="160"/>
      <c r="Y38" s="160"/>
      <c r="Z38" s="160"/>
      <c r="AA38" s="160"/>
      <c r="AB38" s="160"/>
      <c r="AC38" s="160"/>
      <c r="AD38" s="160"/>
      <c r="AE38" s="160"/>
      <c r="AF38" s="160"/>
      <c r="AG38" s="160"/>
      <c r="AH38" s="160"/>
      <c r="AI38" s="160"/>
      <c r="AJ38" s="160"/>
      <c r="AK38" s="160"/>
      <c r="AL38" s="160"/>
      <c r="AM38" s="160"/>
      <c r="AN38" s="160"/>
      <c r="AO38" s="160"/>
      <c r="AP38" s="160"/>
      <c r="AQ38" s="160"/>
      <c r="AR38" s="160"/>
      <c r="AS38" s="160"/>
      <c r="AT38" s="160"/>
      <c r="AU38" s="160"/>
      <c r="AV38" s="160"/>
      <c r="AW38" s="160"/>
      <c r="AX38" s="160"/>
      <c r="AY38" s="160"/>
      <c r="AZ38" s="160"/>
      <c r="BA38" s="160"/>
      <c r="BB38" s="160"/>
      <c r="BC38" s="160"/>
      <c r="BD38" s="160"/>
      <c r="BE38" s="160"/>
      <c r="BF38" s="160"/>
      <c r="BG38" s="160"/>
    </row>
    <row r="39" spans="2:59" hidden="1" x14ac:dyDescent="0.2">
      <c r="B39" s="222" t="str">
        <f>IF(Capacity!N32="","",Capacity!N32)</f>
        <v/>
      </c>
      <c r="C39" s="223" t="str">
        <f>IF(B39="","",Capacity!Q32)</f>
        <v/>
      </c>
      <c r="D39" s="317" t="str">
        <f>IF(B39="","",Capacity!R32)</f>
        <v/>
      </c>
      <c r="E39" s="223" t="str">
        <f>IF(B39="","",IF(COUNTIF(H39:BG39,"X")=0,SUM('Capacity calculation (hide)'!H127:BG127),COUNTIF(H39:BG39,"X")))</f>
        <v/>
      </c>
      <c r="F39" s="318" t="str">
        <f>'Capacity calculation (hide)'!BI127</f>
        <v/>
      </c>
      <c r="H39" s="160"/>
      <c r="I39" s="160"/>
      <c r="J39" s="160"/>
      <c r="K39" s="160"/>
      <c r="L39" s="160"/>
      <c r="M39" s="160"/>
      <c r="N39" s="160"/>
      <c r="O39" s="160"/>
      <c r="P39" s="160"/>
      <c r="Q39" s="160"/>
      <c r="R39" s="160"/>
      <c r="S39" s="160"/>
      <c r="T39" s="160"/>
      <c r="U39" s="160"/>
      <c r="V39" s="160"/>
      <c r="W39" s="160"/>
      <c r="X39" s="160"/>
      <c r="Y39" s="160"/>
      <c r="Z39" s="160"/>
      <c r="AA39" s="160"/>
      <c r="AB39" s="160"/>
      <c r="AC39" s="160"/>
      <c r="AD39" s="160"/>
      <c r="AE39" s="160"/>
      <c r="AF39" s="160"/>
      <c r="AG39" s="160"/>
      <c r="AH39" s="160"/>
      <c r="AI39" s="160"/>
      <c r="AJ39" s="160"/>
      <c r="AK39" s="160"/>
      <c r="AL39" s="160"/>
      <c r="AM39" s="160"/>
      <c r="AN39" s="160"/>
      <c r="AO39" s="160"/>
      <c r="AP39" s="160"/>
      <c r="AQ39" s="160"/>
      <c r="AR39" s="160"/>
      <c r="AS39" s="160"/>
      <c r="AT39" s="160"/>
      <c r="AU39" s="160"/>
      <c r="AV39" s="160"/>
      <c r="AW39" s="160"/>
      <c r="AX39" s="160"/>
      <c r="AY39" s="160"/>
      <c r="AZ39" s="160"/>
      <c r="BA39" s="160"/>
      <c r="BB39" s="160"/>
      <c r="BC39" s="160"/>
      <c r="BD39" s="160"/>
      <c r="BE39" s="160"/>
      <c r="BF39" s="160"/>
      <c r="BG39" s="160"/>
    </row>
    <row r="40" spans="2:59" hidden="1" x14ac:dyDescent="0.2">
      <c r="B40" s="222" t="str">
        <f>IF(Capacity!N33="","",Capacity!N33)</f>
        <v/>
      </c>
      <c r="C40" s="223" t="str">
        <f>IF(B40="","",Capacity!Q33)</f>
        <v/>
      </c>
      <c r="D40" s="317" t="str">
        <f>IF(B40="","",Capacity!R33)</f>
        <v/>
      </c>
      <c r="E40" s="223" t="str">
        <f>IF(B40="","",IF(COUNTIF(H40:BG40,"X")=0,SUM('Capacity calculation (hide)'!H128:BG128),COUNTIF(H40:BG40,"X")))</f>
        <v/>
      </c>
      <c r="F40" s="318" t="str">
        <f>'Capacity calculation (hide)'!BI128</f>
        <v/>
      </c>
      <c r="H40" s="160"/>
      <c r="I40" s="160"/>
      <c r="J40" s="160"/>
      <c r="K40" s="160"/>
      <c r="L40" s="160"/>
      <c r="M40" s="160"/>
      <c r="N40" s="160"/>
      <c r="O40" s="160"/>
      <c r="P40" s="160"/>
      <c r="Q40" s="160"/>
      <c r="R40" s="160"/>
      <c r="S40" s="160"/>
      <c r="T40" s="160"/>
      <c r="U40" s="160"/>
      <c r="V40" s="160"/>
      <c r="W40" s="160"/>
      <c r="X40" s="160"/>
      <c r="Y40" s="160"/>
      <c r="Z40" s="160"/>
      <c r="AA40" s="160"/>
      <c r="AB40" s="160"/>
      <c r="AC40" s="160"/>
      <c r="AD40" s="160"/>
      <c r="AE40" s="160"/>
      <c r="AF40" s="160"/>
      <c r="AG40" s="160"/>
      <c r="AH40" s="160"/>
      <c r="AI40" s="160"/>
      <c r="AJ40" s="160"/>
      <c r="AK40" s="160"/>
      <c r="AL40" s="160"/>
      <c r="AM40" s="160"/>
      <c r="AN40" s="160"/>
      <c r="AO40" s="160"/>
      <c r="AP40" s="160"/>
      <c r="AQ40" s="160"/>
      <c r="AR40" s="160"/>
      <c r="AS40" s="160"/>
      <c r="AT40" s="160"/>
      <c r="AU40" s="160"/>
      <c r="AV40" s="160"/>
      <c r="AW40" s="160"/>
      <c r="AX40" s="160"/>
      <c r="AY40" s="160"/>
      <c r="AZ40" s="160"/>
      <c r="BA40" s="160"/>
      <c r="BB40" s="160"/>
      <c r="BC40" s="160"/>
      <c r="BD40" s="160"/>
      <c r="BE40" s="160"/>
      <c r="BF40" s="160"/>
      <c r="BG40" s="160"/>
    </row>
    <row r="41" spans="2:59" hidden="1" x14ac:dyDescent="0.2">
      <c r="B41" s="222" t="str">
        <f>IF(Capacity!N34="","",Capacity!N34)</f>
        <v/>
      </c>
      <c r="C41" s="223" t="str">
        <f>IF(B41="","",Capacity!Q34)</f>
        <v/>
      </c>
      <c r="D41" s="317" t="str">
        <f>IF(B41="","",Capacity!R34)</f>
        <v/>
      </c>
      <c r="E41" s="223" t="str">
        <f>IF(B41="","",IF(COUNTIF(H41:BG41,"X")=0,SUM('Capacity calculation (hide)'!H129:BG129),COUNTIF(H41:BG41,"X")))</f>
        <v/>
      </c>
      <c r="F41" s="318" t="str">
        <f>'Capacity calculation (hide)'!BI129</f>
        <v/>
      </c>
      <c r="H41" s="160"/>
      <c r="I41" s="160"/>
      <c r="J41" s="160"/>
      <c r="K41" s="160"/>
      <c r="L41" s="160"/>
      <c r="M41" s="160"/>
      <c r="N41" s="160"/>
      <c r="O41" s="160"/>
      <c r="P41" s="160"/>
      <c r="Q41" s="160"/>
      <c r="R41" s="160"/>
      <c r="S41" s="160"/>
      <c r="T41" s="160"/>
      <c r="U41" s="160"/>
      <c r="V41" s="160"/>
      <c r="W41" s="160"/>
      <c r="X41" s="160"/>
      <c r="Y41" s="160"/>
      <c r="Z41" s="160"/>
      <c r="AA41" s="160"/>
      <c r="AB41" s="160"/>
      <c r="AC41" s="160"/>
      <c r="AD41" s="160"/>
      <c r="AE41" s="160"/>
      <c r="AF41" s="160"/>
      <c r="AG41" s="160"/>
      <c r="AH41" s="160"/>
      <c r="AI41" s="160"/>
      <c r="AJ41" s="160"/>
      <c r="AK41" s="160"/>
      <c r="AL41" s="160"/>
      <c r="AM41" s="160"/>
      <c r="AN41" s="160"/>
      <c r="AO41" s="160"/>
      <c r="AP41" s="160"/>
      <c r="AQ41" s="160"/>
      <c r="AR41" s="160"/>
      <c r="AS41" s="160"/>
      <c r="AT41" s="160"/>
      <c r="AU41" s="160"/>
      <c r="AV41" s="160"/>
      <c r="AW41" s="160"/>
      <c r="AX41" s="160"/>
      <c r="AY41" s="160"/>
      <c r="AZ41" s="160"/>
      <c r="BA41" s="160"/>
      <c r="BB41" s="160"/>
      <c r="BC41" s="160"/>
      <c r="BD41" s="160"/>
      <c r="BE41" s="160"/>
      <c r="BF41" s="160"/>
      <c r="BG41" s="160"/>
    </row>
    <row r="42" spans="2:59" hidden="1" x14ac:dyDescent="0.2">
      <c r="B42" s="222" t="str">
        <f>IF(Capacity!N35="","",Capacity!N35)</f>
        <v/>
      </c>
      <c r="C42" s="223" t="str">
        <f>IF(B42="","",Capacity!Q35)</f>
        <v/>
      </c>
      <c r="D42" s="317" t="str">
        <f>IF(B42="","",Capacity!R35)</f>
        <v/>
      </c>
      <c r="E42" s="223" t="str">
        <f>IF(B42="","",IF(COUNTIF(H42:BG42,"X")=0,SUM('Capacity calculation (hide)'!H130:BG130),COUNTIF(H42:BG42,"X")))</f>
        <v/>
      </c>
      <c r="F42" s="318" t="str">
        <f>'Capacity calculation (hide)'!BI130</f>
        <v/>
      </c>
      <c r="H42" s="160"/>
      <c r="I42" s="160"/>
      <c r="J42" s="160"/>
      <c r="K42" s="160"/>
      <c r="L42" s="160"/>
      <c r="M42" s="160"/>
      <c r="N42" s="160"/>
      <c r="O42" s="160"/>
      <c r="P42" s="160"/>
      <c r="Q42" s="160"/>
      <c r="R42" s="160"/>
      <c r="S42" s="160"/>
      <c r="T42" s="160"/>
      <c r="U42" s="160"/>
      <c r="V42" s="160"/>
      <c r="W42" s="160"/>
      <c r="X42" s="160"/>
      <c r="Y42" s="160"/>
      <c r="Z42" s="160"/>
      <c r="AA42" s="160"/>
      <c r="AB42" s="160"/>
      <c r="AC42" s="160"/>
      <c r="AD42" s="160"/>
      <c r="AE42" s="160"/>
      <c r="AF42" s="160"/>
      <c r="AG42" s="160"/>
      <c r="AH42" s="160"/>
      <c r="AI42" s="160"/>
      <c r="AJ42" s="160"/>
      <c r="AK42" s="160"/>
      <c r="AL42" s="160"/>
      <c r="AM42" s="160"/>
      <c r="AN42" s="160"/>
      <c r="AO42" s="160"/>
      <c r="AP42" s="160"/>
      <c r="AQ42" s="160"/>
      <c r="AR42" s="160"/>
      <c r="AS42" s="160"/>
      <c r="AT42" s="160"/>
      <c r="AU42" s="160"/>
      <c r="AV42" s="160"/>
      <c r="AW42" s="160"/>
      <c r="AX42" s="160"/>
      <c r="AY42" s="160"/>
      <c r="AZ42" s="160"/>
      <c r="BA42" s="160"/>
      <c r="BB42" s="160"/>
      <c r="BC42" s="160"/>
      <c r="BD42" s="160"/>
      <c r="BE42" s="160"/>
      <c r="BF42" s="160"/>
      <c r="BG42" s="160"/>
    </row>
    <row r="43" spans="2:59" hidden="1" x14ac:dyDescent="0.2">
      <c r="B43" s="222" t="str">
        <f>IF(Capacity!N36="","",Capacity!N36)</f>
        <v/>
      </c>
      <c r="C43" s="223" t="str">
        <f>IF(B43="","",Capacity!Q36)</f>
        <v/>
      </c>
      <c r="D43" s="317" t="str">
        <f>IF(B43="","",Capacity!R36)</f>
        <v/>
      </c>
      <c r="E43" s="223" t="str">
        <f>IF(B43="","",IF(COUNTIF(H43:BG43,"X")=0,SUM('Capacity calculation (hide)'!H131:BG131),COUNTIF(H43:BG43,"X")))</f>
        <v/>
      </c>
      <c r="F43" s="318" t="str">
        <f>'Capacity calculation (hide)'!BI131</f>
        <v/>
      </c>
      <c r="H43" s="160"/>
      <c r="I43" s="160"/>
      <c r="J43" s="160"/>
      <c r="K43" s="160"/>
      <c r="L43" s="160"/>
      <c r="M43" s="160"/>
      <c r="N43" s="160"/>
      <c r="O43" s="160"/>
      <c r="P43" s="160"/>
      <c r="Q43" s="160"/>
      <c r="R43" s="160"/>
      <c r="S43" s="160"/>
      <c r="T43" s="160"/>
      <c r="U43" s="160"/>
      <c r="V43" s="160"/>
      <c r="W43" s="160"/>
      <c r="X43" s="160"/>
      <c r="Y43" s="160"/>
      <c r="Z43" s="160"/>
      <c r="AA43" s="160"/>
      <c r="AB43" s="160"/>
      <c r="AC43" s="160"/>
      <c r="AD43" s="160"/>
      <c r="AE43" s="160"/>
      <c r="AF43" s="160"/>
      <c r="AG43" s="160"/>
      <c r="AH43" s="160"/>
      <c r="AI43" s="160"/>
      <c r="AJ43" s="160"/>
      <c r="AK43" s="160"/>
      <c r="AL43" s="160"/>
      <c r="AM43" s="160"/>
      <c r="AN43" s="160"/>
      <c r="AO43" s="160"/>
      <c r="AP43" s="160"/>
      <c r="AQ43" s="160"/>
      <c r="AR43" s="160"/>
      <c r="AS43" s="160"/>
      <c r="AT43" s="160"/>
      <c r="AU43" s="160"/>
      <c r="AV43" s="160"/>
      <c r="AW43" s="160"/>
      <c r="AX43" s="160"/>
      <c r="AY43" s="160"/>
      <c r="AZ43" s="160"/>
      <c r="BA43" s="160"/>
      <c r="BB43" s="160"/>
      <c r="BC43" s="160"/>
      <c r="BD43" s="160"/>
      <c r="BE43" s="160"/>
      <c r="BF43" s="160"/>
      <c r="BG43" s="160"/>
    </row>
    <row r="44" spans="2:59" hidden="1" x14ac:dyDescent="0.2">
      <c r="B44" s="222" t="str">
        <f>IF(Capacity!N37="","",Capacity!N37)</f>
        <v/>
      </c>
      <c r="C44" s="223" t="str">
        <f>IF(B44="","",Capacity!Q37)</f>
        <v/>
      </c>
      <c r="D44" s="317" t="str">
        <f>IF(B44="","",Capacity!R37)</f>
        <v/>
      </c>
      <c r="E44" s="223" t="str">
        <f>IF(B44="","",IF(COUNTIF(H44:BG44,"X")=0,SUM('Capacity calculation (hide)'!H132:BG132),COUNTIF(H44:BG44,"X")))</f>
        <v/>
      </c>
      <c r="F44" s="318" t="str">
        <f>'Capacity calculation (hide)'!BI132</f>
        <v/>
      </c>
      <c r="H44" s="160"/>
      <c r="I44" s="160"/>
      <c r="J44" s="160"/>
      <c r="K44" s="160"/>
      <c r="L44" s="160"/>
      <c r="M44" s="160"/>
      <c r="N44" s="160"/>
      <c r="O44" s="160"/>
      <c r="P44" s="160"/>
      <c r="Q44" s="160"/>
      <c r="R44" s="160"/>
      <c r="S44" s="160"/>
      <c r="T44" s="160"/>
      <c r="U44" s="160"/>
      <c r="V44" s="160"/>
      <c r="W44" s="160"/>
      <c r="X44" s="160"/>
      <c r="Y44" s="160"/>
      <c r="Z44" s="160"/>
      <c r="AA44" s="160"/>
      <c r="AB44" s="160"/>
      <c r="AC44" s="160"/>
      <c r="AD44" s="160"/>
      <c r="AE44" s="160"/>
      <c r="AF44" s="160"/>
      <c r="AG44" s="160"/>
      <c r="AH44" s="160"/>
      <c r="AI44" s="160"/>
      <c r="AJ44" s="160"/>
      <c r="AK44" s="160"/>
      <c r="AL44" s="160"/>
      <c r="AM44" s="160"/>
      <c r="AN44" s="160"/>
      <c r="AO44" s="160"/>
      <c r="AP44" s="160"/>
      <c r="AQ44" s="160"/>
      <c r="AR44" s="160"/>
      <c r="AS44" s="160"/>
      <c r="AT44" s="160"/>
      <c r="AU44" s="160"/>
      <c r="AV44" s="160"/>
      <c r="AW44" s="160"/>
      <c r="AX44" s="160"/>
      <c r="AY44" s="160"/>
      <c r="AZ44" s="160"/>
      <c r="BA44" s="160"/>
      <c r="BB44" s="160"/>
      <c r="BC44" s="160"/>
      <c r="BD44" s="160"/>
      <c r="BE44" s="160"/>
      <c r="BF44" s="160"/>
      <c r="BG44" s="160"/>
    </row>
    <row r="45" spans="2:59" hidden="1" x14ac:dyDescent="0.2">
      <c r="B45" s="222" t="str">
        <f>IF(Capacity!N38="","",Capacity!N38)</f>
        <v/>
      </c>
      <c r="C45" s="223" t="str">
        <f>IF(B45="","",Capacity!Q38)</f>
        <v/>
      </c>
      <c r="D45" s="317" t="str">
        <f>IF(B45="","",Capacity!R38)</f>
        <v/>
      </c>
      <c r="E45" s="223" t="str">
        <f>IF(B45="","",IF(COUNTIF(H45:BG45,"X")=0,SUM('Capacity calculation (hide)'!H133:BG133),COUNTIF(H45:BG45,"X")))</f>
        <v/>
      </c>
      <c r="F45" s="318" t="str">
        <f>'Capacity calculation (hide)'!BI133</f>
        <v/>
      </c>
      <c r="H45" s="160"/>
      <c r="I45" s="160"/>
      <c r="J45" s="160"/>
      <c r="K45" s="160"/>
      <c r="L45" s="160"/>
      <c r="M45" s="160"/>
      <c r="N45" s="160"/>
      <c r="O45" s="160"/>
      <c r="P45" s="160"/>
      <c r="Q45" s="160"/>
      <c r="R45" s="160"/>
      <c r="S45" s="160"/>
      <c r="T45" s="160"/>
      <c r="U45" s="160"/>
      <c r="V45" s="160"/>
      <c r="W45" s="160"/>
      <c r="X45" s="160"/>
      <c r="Y45" s="160"/>
      <c r="Z45" s="160"/>
      <c r="AA45" s="160"/>
      <c r="AB45" s="160"/>
      <c r="AC45" s="160"/>
      <c r="AD45" s="160"/>
      <c r="AE45" s="160"/>
      <c r="AF45" s="160"/>
      <c r="AG45" s="160"/>
      <c r="AH45" s="160"/>
      <c r="AI45" s="160"/>
      <c r="AJ45" s="160"/>
      <c r="AK45" s="160"/>
      <c r="AL45" s="160"/>
      <c r="AM45" s="160"/>
      <c r="AN45" s="160"/>
      <c r="AO45" s="160"/>
      <c r="AP45" s="160"/>
      <c r="AQ45" s="160"/>
      <c r="AR45" s="160"/>
      <c r="AS45" s="160"/>
      <c r="AT45" s="160"/>
      <c r="AU45" s="160"/>
      <c r="AV45" s="160"/>
      <c r="AW45" s="160"/>
      <c r="AX45" s="160"/>
      <c r="AY45" s="160"/>
      <c r="AZ45" s="160"/>
      <c r="BA45" s="160"/>
      <c r="BB45" s="160"/>
      <c r="BC45" s="160"/>
      <c r="BD45" s="160"/>
      <c r="BE45" s="160"/>
      <c r="BF45" s="160"/>
      <c r="BG45" s="160"/>
    </row>
    <row r="46" spans="2:59" hidden="1" x14ac:dyDescent="0.2">
      <c r="B46" s="222" t="str">
        <f>IF(Capacity!N39="","",Capacity!N39)</f>
        <v/>
      </c>
      <c r="C46" s="223" t="str">
        <f>IF(B46="","",Capacity!Q39)</f>
        <v/>
      </c>
      <c r="D46" s="317" t="str">
        <f>IF(B46="","",Capacity!R39)</f>
        <v/>
      </c>
      <c r="E46" s="223" t="str">
        <f>IF(B46="","",IF(COUNTIF(H46:BG46,"X")=0,SUM('Capacity calculation (hide)'!H134:BG134),COUNTIF(H46:BG46,"X")))</f>
        <v/>
      </c>
      <c r="F46" s="318" t="str">
        <f>'Capacity calculation (hide)'!BI134</f>
        <v/>
      </c>
      <c r="H46" s="160"/>
      <c r="I46" s="160"/>
      <c r="J46" s="160"/>
      <c r="K46" s="160"/>
      <c r="L46" s="160"/>
      <c r="M46" s="160"/>
      <c r="N46" s="160"/>
      <c r="O46" s="160"/>
      <c r="P46" s="160"/>
      <c r="Q46" s="160"/>
      <c r="R46" s="160"/>
      <c r="S46" s="160"/>
      <c r="T46" s="160"/>
      <c r="U46" s="160"/>
      <c r="V46" s="160"/>
      <c r="W46" s="160"/>
      <c r="X46" s="160"/>
      <c r="Y46" s="160"/>
      <c r="Z46" s="160"/>
      <c r="AA46" s="160"/>
      <c r="AB46" s="160"/>
      <c r="AC46" s="160"/>
      <c r="AD46" s="160"/>
      <c r="AE46" s="160"/>
      <c r="AF46" s="160"/>
      <c r="AG46" s="160"/>
      <c r="AH46" s="160"/>
      <c r="AI46" s="160"/>
      <c r="AJ46" s="160"/>
      <c r="AK46" s="160"/>
      <c r="AL46" s="160"/>
      <c r="AM46" s="160"/>
      <c r="AN46" s="160"/>
      <c r="AO46" s="160"/>
      <c r="AP46" s="160"/>
      <c r="AQ46" s="160"/>
      <c r="AR46" s="160"/>
      <c r="AS46" s="160"/>
      <c r="AT46" s="160"/>
      <c r="AU46" s="160"/>
      <c r="AV46" s="160"/>
      <c r="AW46" s="160"/>
      <c r="AX46" s="160"/>
      <c r="AY46" s="160"/>
      <c r="AZ46" s="160"/>
      <c r="BA46" s="160"/>
      <c r="BB46" s="160"/>
      <c r="BC46" s="160"/>
      <c r="BD46" s="160"/>
      <c r="BE46" s="160"/>
      <c r="BF46" s="160"/>
      <c r="BG46" s="160"/>
    </row>
    <row r="47" spans="2:59" hidden="1" x14ac:dyDescent="0.2">
      <c r="B47" s="222" t="str">
        <f>IF(Capacity!N40="","",Capacity!N40)</f>
        <v/>
      </c>
      <c r="C47" s="223" t="str">
        <f>IF(B47="","",Capacity!Q40)</f>
        <v/>
      </c>
      <c r="D47" s="317" t="str">
        <f>IF(B47="","",Capacity!R40)</f>
        <v/>
      </c>
      <c r="E47" s="223" t="str">
        <f>IF(B47="","",IF(COUNTIF(H47:BG47,"X")=0,SUM('Capacity calculation (hide)'!H135:BG135),COUNTIF(H47:BG47,"X")))</f>
        <v/>
      </c>
      <c r="F47" s="318" t="str">
        <f>'Capacity calculation (hide)'!BI135</f>
        <v/>
      </c>
      <c r="H47" s="160"/>
      <c r="I47" s="160"/>
      <c r="J47" s="160"/>
      <c r="K47" s="160"/>
      <c r="L47" s="160"/>
      <c r="M47" s="160"/>
      <c r="N47" s="160"/>
      <c r="O47" s="160"/>
      <c r="P47" s="160"/>
      <c r="Q47" s="160"/>
      <c r="R47" s="160"/>
      <c r="S47" s="160"/>
      <c r="T47" s="160"/>
      <c r="U47" s="160"/>
      <c r="V47" s="160"/>
      <c r="W47" s="160"/>
      <c r="X47" s="160"/>
      <c r="Y47" s="160"/>
      <c r="Z47" s="160"/>
      <c r="AA47" s="160"/>
      <c r="AB47" s="160"/>
      <c r="AC47" s="160"/>
      <c r="AD47" s="160"/>
      <c r="AE47" s="160"/>
      <c r="AF47" s="160"/>
      <c r="AG47" s="160"/>
      <c r="AH47" s="160"/>
      <c r="AI47" s="160"/>
      <c r="AJ47" s="160"/>
      <c r="AK47" s="160"/>
      <c r="AL47" s="160"/>
      <c r="AM47" s="160"/>
      <c r="AN47" s="160"/>
      <c r="AO47" s="160"/>
      <c r="AP47" s="160"/>
      <c r="AQ47" s="160"/>
      <c r="AR47" s="160"/>
      <c r="AS47" s="160"/>
      <c r="AT47" s="160"/>
      <c r="AU47" s="160"/>
      <c r="AV47" s="160"/>
      <c r="AW47" s="160"/>
      <c r="AX47" s="160"/>
      <c r="AY47" s="160"/>
      <c r="AZ47" s="160"/>
      <c r="BA47" s="160"/>
      <c r="BB47" s="160"/>
      <c r="BC47" s="160"/>
      <c r="BD47" s="160"/>
      <c r="BE47" s="160"/>
      <c r="BF47" s="160"/>
      <c r="BG47" s="160"/>
    </row>
    <row r="48" spans="2:59" hidden="1" x14ac:dyDescent="0.2">
      <c r="B48" s="222" t="str">
        <f>IF(Capacity!N41="","",Capacity!N41)</f>
        <v/>
      </c>
      <c r="C48" s="223" t="str">
        <f>IF(B48="","",Capacity!Q41)</f>
        <v/>
      </c>
      <c r="D48" s="317" t="str">
        <f>IF(B48="","",Capacity!R41)</f>
        <v/>
      </c>
      <c r="E48" s="223" t="str">
        <f>IF(B48="","",IF(COUNTIF(H48:BG48,"X")=0,SUM('Capacity calculation (hide)'!H136:BG136),COUNTIF(H48:BG48,"X")))</f>
        <v/>
      </c>
      <c r="F48" s="318" t="str">
        <f>'Capacity calculation (hide)'!BI136</f>
        <v/>
      </c>
      <c r="H48" s="160"/>
      <c r="I48" s="160"/>
      <c r="J48" s="160"/>
      <c r="K48" s="160"/>
      <c r="L48" s="160"/>
      <c r="M48" s="160"/>
      <c r="N48" s="160"/>
      <c r="O48" s="160"/>
      <c r="P48" s="160"/>
      <c r="Q48" s="160"/>
      <c r="R48" s="160"/>
      <c r="S48" s="160"/>
      <c r="T48" s="160"/>
      <c r="U48" s="160"/>
      <c r="V48" s="160"/>
      <c r="W48" s="160"/>
      <c r="X48" s="160"/>
      <c r="Y48" s="160"/>
      <c r="Z48" s="160"/>
      <c r="AA48" s="160"/>
      <c r="AB48" s="160"/>
      <c r="AC48" s="160"/>
      <c r="AD48" s="160"/>
      <c r="AE48" s="160"/>
      <c r="AF48" s="160"/>
      <c r="AG48" s="160"/>
      <c r="AH48" s="160"/>
      <c r="AI48" s="160"/>
      <c r="AJ48" s="160"/>
      <c r="AK48" s="160"/>
      <c r="AL48" s="160"/>
      <c r="AM48" s="160"/>
      <c r="AN48" s="160"/>
      <c r="AO48" s="160"/>
      <c r="AP48" s="160"/>
      <c r="AQ48" s="160"/>
      <c r="AR48" s="160"/>
      <c r="AS48" s="160"/>
      <c r="AT48" s="160"/>
      <c r="AU48" s="160"/>
      <c r="AV48" s="160"/>
      <c r="AW48" s="160"/>
      <c r="AX48" s="160"/>
      <c r="AY48" s="160"/>
      <c r="AZ48" s="160"/>
      <c r="BA48" s="160"/>
      <c r="BB48" s="160"/>
      <c r="BC48" s="160"/>
      <c r="BD48" s="160"/>
      <c r="BE48" s="160"/>
      <c r="BF48" s="160"/>
      <c r="BG48" s="160"/>
    </row>
    <row r="49" spans="2:59" hidden="1" x14ac:dyDescent="0.2">
      <c r="B49" s="222" t="str">
        <f>IF(Capacity!N42="","",Capacity!N42)</f>
        <v/>
      </c>
      <c r="C49" s="223" t="str">
        <f>IF(B49="","",Capacity!Q42)</f>
        <v/>
      </c>
      <c r="D49" s="317" t="str">
        <f>IF(B49="","",Capacity!R42)</f>
        <v/>
      </c>
      <c r="E49" s="223" t="str">
        <f>IF(B49="","",IF(COUNTIF(H49:BG49,"X")=0,SUM('Capacity calculation (hide)'!H137:BG137),COUNTIF(H49:BG49,"X")))</f>
        <v/>
      </c>
      <c r="F49" s="318" t="str">
        <f>'Capacity calculation (hide)'!BI137</f>
        <v/>
      </c>
      <c r="H49" s="160"/>
      <c r="I49" s="160"/>
      <c r="J49" s="160"/>
      <c r="K49" s="160"/>
      <c r="L49" s="160"/>
      <c r="M49" s="160"/>
      <c r="N49" s="160"/>
      <c r="O49" s="160"/>
      <c r="P49" s="160"/>
      <c r="Q49" s="160"/>
      <c r="R49" s="160"/>
      <c r="S49" s="160"/>
      <c r="T49" s="160"/>
      <c r="U49" s="160"/>
      <c r="V49" s="160"/>
      <c r="W49" s="160"/>
      <c r="X49" s="160"/>
      <c r="Y49" s="160"/>
      <c r="Z49" s="160"/>
      <c r="AA49" s="160"/>
      <c r="AB49" s="160"/>
      <c r="AC49" s="160"/>
      <c r="AD49" s="160"/>
      <c r="AE49" s="160"/>
      <c r="AF49" s="160"/>
      <c r="AG49" s="160"/>
      <c r="AH49" s="160"/>
      <c r="AI49" s="160"/>
      <c r="AJ49" s="160"/>
      <c r="AK49" s="160"/>
      <c r="AL49" s="160"/>
      <c r="AM49" s="160"/>
      <c r="AN49" s="160"/>
      <c r="AO49" s="160"/>
      <c r="AP49" s="160"/>
      <c r="AQ49" s="160"/>
      <c r="AR49" s="160"/>
      <c r="AS49" s="160"/>
      <c r="AT49" s="160"/>
      <c r="AU49" s="160"/>
      <c r="AV49" s="160"/>
      <c r="AW49" s="160"/>
      <c r="AX49" s="160"/>
      <c r="AY49" s="160"/>
      <c r="AZ49" s="160"/>
      <c r="BA49" s="160"/>
      <c r="BB49" s="160"/>
      <c r="BC49" s="160"/>
      <c r="BD49" s="160"/>
      <c r="BE49" s="160"/>
      <c r="BF49" s="160"/>
      <c r="BG49" s="160"/>
    </row>
    <row r="50" spans="2:59" hidden="1" x14ac:dyDescent="0.2">
      <c r="B50" s="222" t="str">
        <f>IF(Capacity!N43="","",Capacity!N43)</f>
        <v/>
      </c>
      <c r="C50" s="223" t="str">
        <f>IF(B50="","",Capacity!Q43)</f>
        <v/>
      </c>
      <c r="D50" s="317" t="str">
        <f>IF(B50="","",Capacity!R43)</f>
        <v/>
      </c>
      <c r="E50" s="223" t="str">
        <f>IF(B50="","",IF(COUNTIF(H50:BG50,"X")=0,SUM('Capacity calculation (hide)'!H138:BG138),COUNTIF(H50:BG50,"X")))</f>
        <v/>
      </c>
      <c r="F50" s="318" t="str">
        <f>'Capacity calculation (hide)'!BI138</f>
        <v/>
      </c>
      <c r="H50" s="160"/>
      <c r="I50" s="160"/>
      <c r="J50" s="160"/>
      <c r="K50" s="160"/>
      <c r="L50" s="160"/>
      <c r="M50" s="160"/>
      <c r="N50" s="160"/>
      <c r="O50" s="160"/>
      <c r="P50" s="160"/>
      <c r="Q50" s="160"/>
      <c r="R50" s="160"/>
      <c r="S50" s="160"/>
      <c r="T50" s="160"/>
      <c r="U50" s="160"/>
      <c r="V50" s="160"/>
      <c r="W50" s="160"/>
      <c r="X50" s="160"/>
      <c r="Y50" s="160"/>
      <c r="Z50" s="160"/>
      <c r="AA50" s="160"/>
      <c r="AB50" s="160"/>
      <c r="AC50" s="160"/>
      <c r="AD50" s="160"/>
      <c r="AE50" s="160"/>
      <c r="AF50" s="160"/>
      <c r="AG50" s="160"/>
      <c r="AH50" s="160"/>
      <c r="AI50" s="160"/>
      <c r="AJ50" s="160"/>
      <c r="AK50" s="160"/>
      <c r="AL50" s="160"/>
      <c r="AM50" s="160"/>
      <c r="AN50" s="160"/>
      <c r="AO50" s="160"/>
      <c r="AP50" s="160"/>
      <c r="AQ50" s="160"/>
      <c r="AR50" s="160"/>
      <c r="AS50" s="160"/>
      <c r="AT50" s="160"/>
      <c r="AU50" s="160"/>
      <c r="AV50" s="160"/>
      <c r="AW50" s="160"/>
      <c r="AX50" s="160"/>
      <c r="AY50" s="160"/>
      <c r="AZ50" s="160"/>
      <c r="BA50" s="160"/>
      <c r="BB50" s="160"/>
      <c r="BC50" s="160"/>
      <c r="BD50" s="160"/>
      <c r="BE50" s="160"/>
      <c r="BF50" s="160"/>
      <c r="BG50" s="160"/>
    </row>
    <row r="51" spans="2:59" hidden="1" x14ac:dyDescent="0.2">
      <c r="B51" s="222" t="str">
        <f>IF(Capacity!N44="","",Capacity!N44)</f>
        <v/>
      </c>
      <c r="C51" s="223" t="str">
        <f>IF(B51="","",Capacity!Q44)</f>
        <v/>
      </c>
      <c r="D51" s="317" t="str">
        <f>IF(B51="","",Capacity!R44)</f>
        <v/>
      </c>
      <c r="E51" s="223" t="str">
        <f>IF(B51="","",IF(COUNTIF(H51:BG51,"X")=0,SUM('Capacity calculation (hide)'!H139:BG139),COUNTIF(H51:BG51,"X")))</f>
        <v/>
      </c>
      <c r="F51" s="318" t="str">
        <f>'Capacity calculation (hide)'!BI139</f>
        <v/>
      </c>
      <c r="H51" s="160"/>
      <c r="I51" s="160"/>
      <c r="J51" s="160"/>
      <c r="K51" s="160"/>
      <c r="L51" s="160"/>
      <c r="M51" s="160"/>
      <c r="N51" s="160"/>
      <c r="O51" s="160"/>
      <c r="P51" s="160"/>
      <c r="Q51" s="160"/>
      <c r="R51" s="160"/>
      <c r="S51" s="160"/>
      <c r="T51" s="160"/>
      <c r="U51" s="160"/>
      <c r="V51" s="160"/>
      <c r="W51" s="160"/>
      <c r="X51" s="160"/>
      <c r="Y51" s="160"/>
      <c r="Z51" s="160"/>
      <c r="AA51" s="160"/>
      <c r="AB51" s="160"/>
      <c r="AC51" s="160"/>
      <c r="AD51" s="160"/>
      <c r="AE51" s="160"/>
      <c r="AF51" s="160"/>
      <c r="AG51" s="160"/>
      <c r="AH51" s="160"/>
      <c r="AI51" s="160"/>
      <c r="AJ51" s="160"/>
      <c r="AK51" s="160"/>
      <c r="AL51" s="160"/>
      <c r="AM51" s="160"/>
      <c r="AN51" s="160"/>
      <c r="AO51" s="160"/>
      <c r="AP51" s="160"/>
      <c r="AQ51" s="160"/>
      <c r="AR51" s="160"/>
      <c r="AS51" s="160"/>
      <c r="AT51" s="160"/>
      <c r="AU51" s="160"/>
      <c r="AV51" s="160"/>
      <c r="AW51" s="160"/>
      <c r="AX51" s="160"/>
      <c r="AY51" s="160"/>
      <c r="AZ51" s="160"/>
      <c r="BA51" s="160"/>
      <c r="BB51" s="160"/>
      <c r="BC51" s="160"/>
      <c r="BD51" s="160"/>
      <c r="BE51" s="160"/>
      <c r="BF51" s="160"/>
      <c r="BG51" s="160"/>
    </row>
    <row r="52" spans="2:59" hidden="1" x14ac:dyDescent="0.2">
      <c r="B52" s="222" t="str">
        <f>IF(Capacity!N45="","",Capacity!N45)</f>
        <v/>
      </c>
      <c r="C52" s="223" t="str">
        <f>IF(B52="","",Capacity!Q45)</f>
        <v/>
      </c>
      <c r="D52" s="317" t="str">
        <f>IF(B52="","",Capacity!R45)</f>
        <v/>
      </c>
      <c r="E52" s="223" t="str">
        <f>IF(B52="","",IF(COUNTIF(H52:BG52,"X")=0,SUM('Capacity calculation (hide)'!H140:BG140),COUNTIF(H52:BG52,"X")))</f>
        <v/>
      </c>
      <c r="F52" s="318" t="str">
        <f>'Capacity calculation (hide)'!BI140</f>
        <v/>
      </c>
      <c r="H52" s="160"/>
      <c r="I52" s="160"/>
      <c r="J52" s="160"/>
      <c r="K52" s="160"/>
      <c r="L52" s="160"/>
      <c r="M52" s="160"/>
      <c r="N52" s="160"/>
      <c r="O52" s="160"/>
      <c r="P52" s="160"/>
      <c r="Q52" s="160"/>
      <c r="R52" s="160"/>
      <c r="S52" s="160"/>
      <c r="T52" s="160"/>
      <c r="U52" s="160"/>
      <c r="V52" s="160"/>
      <c r="W52" s="160"/>
      <c r="X52" s="160"/>
      <c r="Y52" s="160"/>
      <c r="Z52" s="160"/>
      <c r="AA52" s="160"/>
      <c r="AB52" s="160"/>
      <c r="AC52" s="160"/>
      <c r="AD52" s="160"/>
      <c r="AE52" s="160"/>
      <c r="AF52" s="160"/>
      <c r="AG52" s="160"/>
      <c r="AH52" s="160"/>
      <c r="AI52" s="160"/>
      <c r="AJ52" s="160"/>
      <c r="AK52" s="160"/>
      <c r="AL52" s="160"/>
      <c r="AM52" s="160"/>
      <c r="AN52" s="160"/>
      <c r="AO52" s="160"/>
      <c r="AP52" s="160"/>
      <c r="AQ52" s="160"/>
      <c r="AR52" s="160"/>
      <c r="AS52" s="160"/>
      <c r="AT52" s="160"/>
      <c r="AU52" s="160"/>
      <c r="AV52" s="160"/>
      <c r="AW52" s="160"/>
      <c r="AX52" s="160"/>
      <c r="AY52" s="160"/>
      <c r="AZ52" s="160"/>
      <c r="BA52" s="160"/>
      <c r="BB52" s="160"/>
      <c r="BC52" s="160"/>
      <c r="BD52" s="160"/>
      <c r="BE52" s="160"/>
      <c r="BF52" s="160"/>
      <c r="BG52" s="160"/>
    </row>
    <row r="53" spans="2:59" hidden="1" x14ac:dyDescent="0.2">
      <c r="B53" s="222" t="str">
        <f>IF(Capacity!N46="","",Capacity!N46)</f>
        <v/>
      </c>
      <c r="C53" s="223" t="str">
        <f>IF(B53="","",Capacity!Q46)</f>
        <v/>
      </c>
      <c r="D53" s="317" t="str">
        <f>IF(B53="","",Capacity!R46)</f>
        <v/>
      </c>
      <c r="E53" s="223" t="str">
        <f>IF(B53="","",IF(COUNTIF(H53:BG53,"X")=0,SUM('Capacity calculation (hide)'!H141:BG141),COUNTIF(H53:BG53,"X")))</f>
        <v/>
      </c>
      <c r="F53" s="318" t="str">
        <f>'Capacity calculation (hide)'!BI141</f>
        <v/>
      </c>
      <c r="H53" s="160"/>
      <c r="I53" s="160"/>
      <c r="J53" s="160"/>
      <c r="K53" s="160"/>
      <c r="L53" s="160"/>
      <c r="M53" s="160"/>
      <c r="N53" s="160"/>
      <c r="O53" s="160"/>
      <c r="P53" s="160"/>
      <c r="Q53" s="160"/>
      <c r="R53" s="160"/>
      <c r="S53" s="160"/>
      <c r="T53" s="160"/>
      <c r="U53" s="160"/>
      <c r="V53" s="160"/>
      <c r="W53" s="160"/>
      <c r="X53" s="160"/>
      <c r="Y53" s="160"/>
      <c r="Z53" s="160"/>
      <c r="AA53" s="160"/>
      <c r="AB53" s="160"/>
      <c r="AC53" s="160"/>
      <c r="AD53" s="160"/>
      <c r="AE53" s="160"/>
      <c r="AF53" s="160"/>
      <c r="AG53" s="160"/>
      <c r="AH53" s="160"/>
      <c r="AI53" s="160"/>
      <c r="AJ53" s="160"/>
      <c r="AK53" s="160"/>
      <c r="AL53" s="160"/>
      <c r="AM53" s="160"/>
      <c r="AN53" s="160"/>
      <c r="AO53" s="160"/>
      <c r="AP53" s="160"/>
      <c r="AQ53" s="160"/>
      <c r="AR53" s="160"/>
      <c r="AS53" s="160"/>
      <c r="AT53" s="160"/>
      <c r="AU53" s="160"/>
      <c r="AV53" s="160"/>
      <c r="AW53" s="160"/>
      <c r="AX53" s="160"/>
      <c r="AY53" s="160"/>
      <c r="AZ53" s="160"/>
      <c r="BA53" s="160"/>
      <c r="BB53" s="160"/>
      <c r="BC53" s="160"/>
      <c r="BD53" s="160"/>
      <c r="BE53" s="160"/>
      <c r="BF53" s="160"/>
      <c r="BG53" s="160"/>
    </row>
    <row r="54" spans="2:59" hidden="1" x14ac:dyDescent="0.2">
      <c r="B54" s="222" t="str">
        <f>IF(Capacity!N47="","",Capacity!N47)</f>
        <v/>
      </c>
      <c r="C54" s="223" t="str">
        <f>IF(B54="","",Capacity!Q47)</f>
        <v/>
      </c>
      <c r="D54" s="317" t="str">
        <f>IF(B54="","",Capacity!R47)</f>
        <v/>
      </c>
      <c r="E54" s="223" t="str">
        <f>IF(B54="","",IF(COUNTIF(H54:BG54,"X")=0,SUM('Capacity calculation (hide)'!H142:BG142),COUNTIF(H54:BG54,"X")))</f>
        <v/>
      </c>
      <c r="F54" s="318" t="str">
        <f>'Capacity calculation (hide)'!BI142</f>
        <v/>
      </c>
      <c r="H54" s="160"/>
      <c r="I54" s="160"/>
      <c r="J54" s="160"/>
      <c r="K54" s="160"/>
      <c r="L54" s="160"/>
      <c r="M54" s="160"/>
      <c r="N54" s="160"/>
      <c r="O54" s="160"/>
      <c r="P54" s="160"/>
      <c r="Q54" s="160"/>
      <c r="R54" s="160"/>
      <c r="S54" s="160"/>
      <c r="T54" s="160"/>
      <c r="U54" s="160"/>
      <c r="V54" s="160"/>
      <c r="W54" s="160"/>
      <c r="X54" s="160"/>
      <c r="Y54" s="160"/>
      <c r="Z54" s="160"/>
      <c r="AA54" s="160"/>
      <c r="AB54" s="160"/>
      <c r="AC54" s="160"/>
      <c r="AD54" s="160"/>
      <c r="AE54" s="160"/>
      <c r="AF54" s="160"/>
      <c r="AG54" s="160"/>
      <c r="AH54" s="160"/>
      <c r="AI54" s="160"/>
      <c r="AJ54" s="160"/>
      <c r="AK54" s="160"/>
      <c r="AL54" s="160"/>
      <c r="AM54" s="160"/>
      <c r="AN54" s="160"/>
      <c r="AO54" s="160"/>
      <c r="AP54" s="160"/>
      <c r="AQ54" s="160"/>
      <c r="AR54" s="160"/>
      <c r="AS54" s="160"/>
      <c r="AT54" s="160"/>
      <c r="AU54" s="160"/>
      <c r="AV54" s="160"/>
      <c r="AW54" s="160"/>
      <c r="AX54" s="160"/>
      <c r="AY54" s="160"/>
      <c r="AZ54" s="160"/>
      <c r="BA54" s="160"/>
      <c r="BB54" s="160"/>
      <c r="BC54" s="160"/>
      <c r="BD54" s="160"/>
      <c r="BE54" s="160"/>
      <c r="BF54" s="160"/>
      <c r="BG54" s="160"/>
    </row>
    <row r="55" spans="2:59" hidden="1" x14ac:dyDescent="0.2">
      <c r="B55" s="222" t="str">
        <f>IF(Capacity!N48="","",Capacity!N48)</f>
        <v/>
      </c>
      <c r="C55" s="223" t="str">
        <f>IF(B55="","",Capacity!Q48)</f>
        <v/>
      </c>
      <c r="D55" s="317" t="str">
        <f>IF(B55="","",Capacity!R48)</f>
        <v/>
      </c>
      <c r="E55" s="223" t="str">
        <f>IF(B55="","",IF(COUNTIF(H55:BG55,"X")=0,SUM('Capacity calculation (hide)'!H143:BG143),COUNTIF(H55:BG55,"X")))</f>
        <v/>
      </c>
      <c r="F55" s="318" t="str">
        <f>'Capacity calculation (hide)'!BI143</f>
        <v/>
      </c>
      <c r="H55" s="160"/>
      <c r="I55" s="160"/>
      <c r="J55" s="160"/>
      <c r="K55" s="160"/>
      <c r="L55" s="160"/>
      <c r="M55" s="160"/>
      <c r="N55" s="160"/>
      <c r="O55" s="160"/>
      <c r="P55" s="160"/>
      <c r="Q55" s="160"/>
      <c r="R55" s="160"/>
      <c r="S55" s="160"/>
      <c r="T55" s="160"/>
      <c r="U55" s="160"/>
      <c r="V55" s="160"/>
      <c r="W55" s="160"/>
      <c r="X55" s="160"/>
      <c r="Y55" s="160"/>
      <c r="Z55" s="160"/>
      <c r="AA55" s="160"/>
      <c r="AB55" s="160"/>
      <c r="AC55" s="160"/>
      <c r="AD55" s="160"/>
      <c r="AE55" s="160"/>
      <c r="AF55" s="160"/>
      <c r="AG55" s="160"/>
      <c r="AH55" s="160"/>
      <c r="AI55" s="160"/>
      <c r="AJ55" s="160"/>
      <c r="AK55" s="160"/>
      <c r="AL55" s="160"/>
      <c r="AM55" s="160"/>
      <c r="AN55" s="160"/>
      <c r="AO55" s="160"/>
      <c r="AP55" s="160"/>
      <c r="AQ55" s="160"/>
      <c r="AR55" s="160"/>
      <c r="AS55" s="160"/>
      <c r="AT55" s="160"/>
      <c r="AU55" s="160"/>
      <c r="AV55" s="160"/>
      <c r="AW55" s="160"/>
      <c r="AX55" s="160"/>
      <c r="AY55" s="160"/>
      <c r="AZ55" s="160"/>
      <c r="BA55" s="160"/>
      <c r="BB55" s="160"/>
      <c r="BC55" s="160"/>
      <c r="BD55" s="160"/>
      <c r="BE55" s="160"/>
      <c r="BF55" s="160"/>
      <c r="BG55" s="160"/>
    </row>
    <row r="56" spans="2:59" hidden="1" x14ac:dyDescent="0.2">
      <c r="B56" s="222" t="str">
        <f>IF(Capacity!N49="","",Capacity!N49)</f>
        <v/>
      </c>
      <c r="C56" s="223" t="str">
        <f>IF(B56="","",Capacity!Q49)</f>
        <v/>
      </c>
      <c r="D56" s="317" t="str">
        <f>IF(B56="","",Capacity!R49)</f>
        <v/>
      </c>
      <c r="E56" s="223" t="str">
        <f>IF(B56="","",IF(COUNTIF(H56:BG56,"X")=0,SUM('Capacity calculation (hide)'!H144:BG144),COUNTIF(H56:BG56,"X")))</f>
        <v/>
      </c>
      <c r="F56" s="318" t="str">
        <f>'Capacity calculation (hide)'!BI144</f>
        <v/>
      </c>
      <c r="H56" s="160"/>
      <c r="I56" s="160"/>
      <c r="J56" s="160"/>
      <c r="K56" s="160"/>
      <c r="L56" s="160"/>
      <c r="M56" s="160"/>
      <c r="N56" s="160"/>
      <c r="O56" s="160"/>
      <c r="P56" s="160"/>
      <c r="Q56" s="160"/>
      <c r="R56" s="160"/>
      <c r="S56" s="160"/>
      <c r="T56" s="160"/>
      <c r="U56" s="160"/>
      <c r="V56" s="160"/>
      <c r="W56" s="160"/>
      <c r="X56" s="160"/>
      <c r="Y56" s="160"/>
      <c r="Z56" s="160"/>
      <c r="AA56" s="160"/>
      <c r="AB56" s="160"/>
      <c r="AC56" s="160"/>
      <c r="AD56" s="160"/>
      <c r="AE56" s="160"/>
      <c r="AF56" s="160"/>
      <c r="AG56" s="160"/>
      <c r="AH56" s="160"/>
      <c r="AI56" s="160"/>
      <c r="AJ56" s="160"/>
      <c r="AK56" s="160"/>
      <c r="AL56" s="160"/>
      <c r="AM56" s="160"/>
      <c r="AN56" s="160"/>
      <c r="AO56" s="160"/>
      <c r="AP56" s="160"/>
      <c r="AQ56" s="160"/>
      <c r="AR56" s="160"/>
      <c r="AS56" s="160"/>
      <c r="AT56" s="160"/>
      <c r="AU56" s="160"/>
      <c r="AV56" s="160"/>
      <c r="AW56" s="160"/>
      <c r="AX56" s="160"/>
      <c r="AY56" s="160"/>
      <c r="AZ56" s="160"/>
      <c r="BA56" s="160"/>
      <c r="BB56" s="160"/>
      <c r="BC56" s="160"/>
      <c r="BD56" s="160"/>
      <c r="BE56" s="160"/>
      <c r="BF56" s="160"/>
      <c r="BG56" s="160"/>
    </row>
    <row r="57" spans="2:59" hidden="1" x14ac:dyDescent="0.2">
      <c r="B57" s="222" t="str">
        <f>IF(Capacity!N50="","",Capacity!N50)</f>
        <v/>
      </c>
      <c r="C57" s="223" t="str">
        <f>IF(B57="","",Capacity!Q50)</f>
        <v/>
      </c>
      <c r="D57" s="317" t="str">
        <f>IF(B57="","",Capacity!R50)</f>
        <v/>
      </c>
      <c r="E57" s="223" t="str">
        <f>IF(B57="","",IF(COUNTIF(H57:BG57,"X")=0,SUM('Capacity calculation (hide)'!H145:BG145),COUNTIF(H57:BG57,"X")))</f>
        <v/>
      </c>
      <c r="F57" s="318" t="str">
        <f>'Capacity calculation (hide)'!BI145</f>
        <v/>
      </c>
      <c r="H57" s="160"/>
      <c r="I57" s="160"/>
      <c r="J57" s="160"/>
      <c r="K57" s="160"/>
      <c r="L57" s="160"/>
      <c r="M57" s="160"/>
      <c r="N57" s="160"/>
      <c r="O57" s="160"/>
      <c r="P57" s="160"/>
      <c r="Q57" s="160"/>
      <c r="R57" s="160"/>
      <c r="S57" s="160"/>
      <c r="T57" s="160"/>
      <c r="U57" s="160"/>
      <c r="V57" s="160"/>
      <c r="W57" s="160"/>
      <c r="X57" s="160"/>
      <c r="Y57" s="160"/>
      <c r="Z57" s="160"/>
      <c r="AA57" s="160"/>
      <c r="AB57" s="160"/>
      <c r="AC57" s="160"/>
      <c r="AD57" s="160"/>
      <c r="AE57" s="160"/>
      <c r="AF57" s="160"/>
      <c r="AG57" s="160"/>
      <c r="AH57" s="160"/>
      <c r="AI57" s="160"/>
      <c r="AJ57" s="160"/>
      <c r="AK57" s="160"/>
      <c r="AL57" s="160"/>
      <c r="AM57" s="160"/>
      <c r="AN57" s="160"/>
      <c r="AO57" s="160"/>
      <c r="AP57" s="160"/>
      <c r="AQ57" s="160"/>
      <c r="AR57" s="160"/>
      <c r="AS57" s="160"/>
      <c r="AT57" s="160"/>
      <c r="AU57" s="160"/>
      <c r="AV57" s="160"/>
      <c r="AW57" s="160"/>
      <c r="AX57" s="160"/>
      <c r="AY57" s="160"/>
      <c r="AZ57" s="160"/>
      <c r="BA57" s="160"/>
      <c r="BB57" s="160"/>
      <c r="BC57" s="160"/>
      <c r="BD57" s="160"/>
      <c r="BE57" s="160"/>
      <c r="BF57" s="160"/>
      <c r="BG57" s="160"/>
    </row>
    <row r="58" spans="2:59" hidden="1" x14ac:dyDescent="0.2">
      <c r="B58" s="222" t="str">
        <f>IF(Capacity!N51="","",Capacity!N51)</f>
        <v/>
      </c>
      <c r="C58" s="223" t="str">
        <f>IF(B58="","",Capacity!Q51)</f>
        <v/>
      </c>
      <c r="D58" s="317" t="str">
        <f>IF(B58="","",Capacity!R51)</f>
        <v/>
      </c>
      <c r="E58" s="223" t="str">
        <f>IF(B58="","",IF(COUNTIF(H58:BG58,"X")=0,SUM('Capacity calculation (hide)'!H146:BG146),COUNTIF(H58:BG58,"X")))</f>
        <v/>
      </c>
      <c r="F58" s="318" t="str">
        <f>'Capacity calculation (hide)'!BI146</f>
        <v/>
      </c>
      <c r="H58" s="160"/>
      <c r="I58" s="160"/>
      <c r="J58" s="160"/>
      <c r="K58" s="160"/>
      <c r="L58" s="160"/>
      <c r="M58" s="160"/>
      <c r="N58" s="160"/>
      <c r="O58" s="160"/>
      <c r="P58" s="160"/>
      <c r="Q58" s="160"/>
      <c r="R58" s="160"/>
      <c r="S58" s="160"/>
      <c r="T58" s="160"/>
      <c r="U58" s="160"/>
      <c r="V58" s="160"/>
      <c r="W58" s="160"/>
      <c r="X58" s="160"/>
      <c r="Y58" s="160"/>
      <c r="Z58" s="160"/>
      <c r="AA58" s="160"/>
      <c r="AB58" s="160"/>
      <c r="AC58" s="160"/>
      <c r="AD58" s="160"/>
      <c r="AE58" s="160"/>
      <c r="AF58" s="160"/>
      <c r="AG58" s="160"/>
      <c r="AH58" s="160"/>
      <c r="AI58" s="160"/>
      <c r="AJ58" s="160"/>
      <c r="AK58" s="160"/>
      <c r="AL58" s="160"/>
      <c r="AM58" s="160"/>
      <c r="AN58" s="160"/>
      <c r="AO58" s="160"/>
      <c r="AP58" s="160"/>
      <c r="AQ58" s="160"/>
      <c r="AR58" s="160"/>
      <c r="AS58" s="160"/>
      <c r="AT58" s="160"/>
      <c r="AU58" s="160"/>
      <c r="AV58" s="160"/>
      <c r="AW58" s="160"/>
      <c r="AX58" s="160"/>
      <c r="AY58" s="160"/>
      <c r="AZ58" s="160"/>
      <c r="BA58" s="160"/>
      <c r="BB58" s="160"/>
      <c r="BC58" s="160"/>
      <c r="BD58" s="160"/>
      <c r="BE58" s="160"/>
      <c r="BF58" s="160"/>
      <c r="BG58" s="160"/>
    </row>
    <row r="59" spans="2:59" hidden="1" x14ac:dyDescent="0.2">
      <c r="B59" s="222" t="str">
        <f>IF(Capacity!N52="","",Capacity!N52)</f>
        <v/>
      </c>
      <c r="C59" s="223" t="str">
        <f>IF(B59="","",Capacity!Q52)</f>
        <v/>
      </c>
      <c r="D59" s="317" t="str">
        <f>IF(B59="","",Capacity!R52)</f>
        <v/>
      </c>
      <c r="E59" s="223" t="str">
        <f>IF(B59="","",IF(COUNTIF(H59:BG59,"X")=0,SUM('Capacity calculation (hide)'!H147:BG147),COUNTIF(H59:BG59,"X")))</f>
        <v/>
      </c>
      <c r="F59" s="318" t="str">
        <f>'Capacity calculation (hide)'!BI147</f>
        <v/>
      </c>
      <c r="H59" s="160"/>
      <c r="I59" s="160"/>
      <c r="J59" s="160"/>
      <c r="K59" s="160"/>
      <c r="L59" s="160"/>
      <c r="M59" s="160"/>
      <c r="N59" s="160"/>
      <c r="O59" s="160"/>
      <c r="P59" s="160"/>
      <c r="Q59" s="160"/>
      <c r="R59" s="160"/>
      <c r="S59" s="160"/>
      <c r="T59" s="160"/>
      <c r="U59" s="160"/>
      <c r="V59" s="160"/>
      <c r="W59" s="160"/>
      <c r="X59" s="160"/>
      <c r="Y59" s="160"/>
      <c r="Z59" s="160"/>
      <c r="AA59" s="160"/>
      <c r="AB59" s="160"/>
      <c r="AC59" s="160"/>
      <c r="AD59" s="160"/>
      <c r="AE59" s="160"/>
      <c r="AF59" s="160"/>
      <c r="AG59" s="160"/>
      <c r="AH59" s="160"/>
      <c r="AI59" s="160"/>
      <c r="AJ59" s="160"/>
      <c r="AK59" s="160"/>
      <c r="AL59" s="160"/>
      <c r="AM59" s="160"/>
      <c r="AN59" s="160"/>
      <c r="AO59" s="160"/>
      <c r="AP59" s="160"/>
      <c r="AQ59" s="160"/>
      <c r="AR59" s="160"/>
      <c r="AS59" s="160"/>
      <c r="AT59" s="160"/>
      <c r="AU59" s="160"/>
      <c r="AV59" s="160"/>
      <c r="AW59" s="160"/>
      <c r="AX59" s="160"/>
      <c r="AY59" s="160"/>
      <c r="AZ59" s="160"/>
      <c r="BA59" s="160"/>
      <c r="BB59" s="160"/>
      <c r="BC59" s="160"/>
      <c r="BD59" s="160"/>
      <c r="BE59" s="160"/>
      <c r="BF59" s="160"/>
      <c r="BG59" s="160"/>
    </row>
    <row r="60" spans="2:59" hidden="1" x14ac:dyDescent="0.2">
      <c r="B60" s="222" t="str">
        <f>IF(Capacity!N53="","",Capacity!N53)</f>
        <v/>
      </c>
      <c r="C60" s="223" t="str">
        <f>IF(B60="","",Capacity!Q53)</f>
        <v/>
      </c>
      <c r="D60" s="317" t="str">
        <f>IF(B60="","",Capacity!R53)</f>
        <v/>
      </c>
      <c r="E60" s="223" t="str">
        <f>IF(B60="","",IF(COUNTIF(H60:BG60,"X")=0,SUM('Capacity calculation (hide)'!H148:BG148),COUNTIF(H60:BG60,"X")))</f>
        <v/>
      </c>
      <c r="F60" s="318" t="str">
        <f>'Capacity calculation (hide)'!BI148</f>
        <v/>
      </c>
      <c r="H60" s="160"/>
      <c r="I60" s="160"/>
      <c r="J60" s="160"/>
      <c r="K60" s="160"/>
      <c r="L60" s="160"/>
      <c r="M60" s="160"/>
      <c r="N60" s="160"/>
      <c r="O60" s="160"/>
      <c r="P60" s="160"/>
      <c r="Q60" s="160"/>
      <c r="R60" s="160"/>
      <c r="S60" s="160"/>
      <c r="T60" s="160"/>
      <c r="U60" s="160"/>
      <c r="V60" s="160"/>
      <c r="W60" s="160"/>
      <c r="X60" s="160"/>
      <c r="Y60" s="160"/>
      <c r="Z60" s="160"/>
      <c r="AA60" s="160"/>
      <c r="AB60" s="160"/>
      <c r="AC60" s="160"/>
      <c r="AD60" s="160"/>
      <c r="AE60" s="160"/>
      <c r="AF60" s="160"/>
      <c r="AG60" s="160"/>
      <c r="AH60" s="160"/>
      <c r="AI60" s="160"/>
      <c r="AJ60" s="160"/>
      <c r="AK60" s="160"/>
      <c r="AL60" s="160"/>
      <c r="AM60" s="160"/>
      <c r="AN60" s="160"/>
      <c r="AO60" s="160"/>
      <c r="AP60" s="160"/>
      <c r="AQ60" s="160"/>
      <c r="AR60" s="160"/>
      <c r="AS60" s="160"/>
      <c r="AT60" s="160"/>
      <c r="AU60" s="160"/>
      <c r="AV60" s="160"/>
      <c r="AW60" s="160"/>
      <c r="AX60" s="160"/>
      <c r="AY60" s="160"/>
      <c r="AZ60" s="160"/>
      <c r="BA60" s="160"/>
      <c r="BB60" s="160"/>
      <c r="BC60" s="160"/>
      <c r="BD60" s="160"/>
      <c r="BE60" s="160"/>
      <c r="BF60" s="160"/>
      <c r="BG60" s="160"/>
    </row>
    <row r="61" spans="2:59" hidden="1" x14ac:dyDescent="0.2">
      <c r="B61" s="222" t="str">
        <f>IF(Capacity!N54="","",Capacity!N54)</f>
        <v/>
      </c>
      <c r="C61" s="223" t="str">
        <f>IF(B61="","",Capacity!Q54)</f>
        <v/>
      </c>
      <c r="D61" s="317" t="str">
        <f>IF(B61="","",Capacity!R54)</f>
        <v/>
      </c>
      <c r="E61" s="223" t="str">
        <f>IF(B61="","",IF(COUNTIF(H61:BG61,"X")=0,SUM('Capacity calculation (hide)'!H149:BG149),COUNTIF(H61:BG61,"X")))</f>
        <v/>
      </c>
      <c r="F61" s="318" t="str">
        <f>'Capacity calculation (hide)'!BI149</f>
        <v/>
      </c>
      <c r="H61" s="160"/>
      <c r="I61" s="160"/>
      <c r="J61" s="160"/>
      <c r="K61" s="160"/>
      <c r="L61" s="160"/>
      <c r="M61" s="160"/>
      <c r="N61" s="160"/>
      <c r="O61" s="160"/>
      <c r="P61" s="160"/>
      <c r="Q61" s="160"/>
      <c r="R61" s="160"/>
      <c r="S61" s="160"/>
      <c r="T61" s="160"/>
      <c r="U61" s="160"/>
      <c r="V61" s="160"/>
      <c r="W61" s="160"/>
      <c r="X61" s="160"/>
      <c r="Y61" s="160"/>
      <c r="Z61" s="160"/>
      <c r="AA61" s="160"/>
      <c r="AB61" s="160"/>
      <c r="AC61" s="160"/>
      <c r="AD61" s="160"/>
      <c r="AE61" s="160"/>
      <c r="AF61" s="160"/>
      <c r="AG61" s="160"/>
      <c r="AH61" s="160"/>
      <c r="AI61" s="160"/>
      <c r="AJ61" s="160"/>
      <c r="AK61" s="160"/>
      <c r="AL61" s="160"/>
      <c r="AM61" s="160"/>
      <c r="AN61" s="160"/>
      <c r="AO61" s="160"/>
      <c r="AP61" s="160"/>
      <c r="AQ61" s="160"/>
      <c r="AR61" s="160"/>
      <c r="AS61" s="160"/>
      <c r="AT61" s="160"/>
      <c r="AU61" s="160"/>
      <c r="AV61" s="160"/>
      <c r="AW61" s="160"/>
      <c r="AX61" s="160"/>
      <c r="AY61" s="160"/>
      <c r="AZ61" s="160"/>
      <c r="BA61" s="160"/>
      <c r="BB61" s="160"/>
      <c r="BC61" s="160"/>
      <c r="BD61" s="160"/>
      <c r="BE61" s="160"/>
      <c r="BF61" s="160"/>
      <c r="BG61" s="160"/>
    </row>
    <row r="62" spans="2:59" hidden="1" x14ac:dyDescent="0.2">
      <c r="B62" s="222" t="str">
        <f>IF(Capacity!N55="","",Capacity!N55)</f>
        <v/>
      </c>
      <c r="C62" s="223" t="str">
        <f>IF(B62="","",Capacity!Q55)</f>
        <v/>
      </c>
      <c r="D62" s="317" t="str">
        <f>IF(B62="","",Capacity!R55)</f>
        <v/>
      </c>
      <c r="E62" s="223" t="str">
        <f>IF(B62="","",IF(COUNTIF(H62:BG62,"X")=0,SUM('Capacity calculation (hide)'!H150:BG150),COUNTIF(H62:BG62,"X")))</f>
        <v/>
      </c>
      <c r="F62" s="318" t="str">
        <f>'Capacity calculation (hide)'!BI150</f>
        <v/>
      </c>
      <c r="H62" s="160"/>
      <c r="I62" s="160"/>
      <c r="J62" s="160"/>
      <c r="K62" s="160"/>
      <c r="L62" s="160"/>
      <c r="M62" s="160"/>
      <c r="N62" s="160"/>
      <c r="O62" s="160"/>
      <c r="P62" s="160"/>
      <c r="Q62" s="160"/>
      <c r="R62" s="160"/>
      <c r="S62" s="160"/>
      <c r="T62" s="160"/>
      <c r="U62" s="160"/>
      <c r="V62" s="160"/>
      <c r="W62" s="160"/>
      <c r="X62" s="160"/>
      <c r="Y62" s="160"/>
      <c r="Z62" s="160"/>
      <c r="AA62" s="160"/>
      <c r="AB62" s="160"/>
      <c r="AC62" s="160"/>
      <c r="AD62" s="160"/>
      <c r="AE62" s="160"/>
      <c r="AF62" s="160"/>
      <c r="AG62" s="160"/>
      <c r="AH62" s="160"/>
      <c r="AI62" s="160"/>
      <c r="AJ62" s="160"/>
      <c r="AK62" s="160"/>
      <c r="AL62" s="160"/>
      <c r="AM62" s="160"/>
      <c r="AN62" s="160"/>
      <c r="AO62" s="160"/>
      <c r="AP62" s="160"/>
      <c r="AQ62" s="160"/>
      <c r="AR62" s="160"/>
      <c r="AS62" s="160"/>
      <c r="AT62" s="160"/>
      <c r="AU62" s="160"/>
      <c r="AV62" s="160"/>
      <c r="AW62" s="160"/>
      <c r="AX62" s="160"/>
      <c r="AY62" s="160"/>
      <c r="AZ62" s="160"/>
      <c r="BA62" s="160"/>
      <c r="BB62" s="160"/>
      <c r="BC62" s="160"/>
      <c r="BD62" s="160"/>
      <c r="BE62" s="160"/>
      <c r="BF62" s="160"/>
      <c r="BG62" s="160"/>
    </row>
    <row r="63" spans="2:59" hidden="1" x14ac:dyDescent="0.2">
      <c r="B63" s="222" t="str">
        <f>IF(Capacity!N56="","",Capacity!N56)</f>
        <v/>
      </c>
      <c r="C63" s="223" t="str">
        <f>IF(B63="","",Capacity!Q56)</f>
        <v/>
      </c>
      <c r="D63" s="317" t="str">
        <f>IF(B63="","",Capacity!R56)</f>
        <v/>
      </c>
      <c r="E63" s="223" t="str">
        <f>IF(B63="","",IF(COUNTIF(H63:BG63,"X")=0,SUM('Capacity calculation (hide)'!H151:BG151),COUNTIF(H63:BG63,"X")))</f>
        <v/>
      </c>
      <c r="F63" s="318" t="str">
        <f>'Capacity calculation (hide)'!BI151</f>
        <v/>
      </c>
      <c r="H63" s="160"/>
      <c r="I63" s="160"/>
      <c r="J63" s="160"/>
      <c r="K63" s="160"/>
      <c r="L63" s="160"/>
      <c r="M63" s="160"/>
      <c r="N63" s="160"/>
      <c r="O63" s="160"/>
      <c r="P63" s="160"/>
      <c r="Q63" s="160"/>
      <c r="R63" s="160"/>
      <c r="S63" s="160"/>
      <c r="T63" s="160"/>
      <c r="U63" s="160"/>
      <c r="V63" s="160"/>
      <c r="W63" s="160"/>
      <c r="X63" s="160"/>
      <c r="Y63" s="160"/>
      <c r="Z63" s="160"/>
      <c r="AA63" s="160"/>
      <c r="AB63" s="160"/>
      <c r="AC63" s="160"/>
      <c r="AD63" s="160"/>
      <c r="AE63" s="160"/>
      <c r="AF63" s="160"/>
      <c r="AG63" s="160"/>
      <c r="AH63" s="160"/>
      <c r="AI63" s="160"/>
      <c r="AJ63" s="160"/>
      <c r="AK63" s="160"/>
      <c r="AL63" s="160"/>
      <c r="AM63" s="160"/>
      <c r="AN63" s="160"/>
      <c r="AO63" s="160"/>
      <c r="AP63" s="160"/>
      <c r="AQ63" s="160"/>
      <c r="AR63" s="160"/>
      <c r="AS63" s="160"/>
      <c r="AT63" s="160"/>
      <c r="AU63" s="160"/>
      <c r="AV63" s="160"/>
      <c r="AW63" s="160"/>
      <c r="AX63" s="160"/>
      <c r="AY63" s="160"/>
      <c r="AZ63" s="160"/>
      <c r="BA63" s="160"/>
      <c r="BB63" s="160"/>
      <c r="BC63" s="160"/>
      <c r="BD63" s="160"/>
      <c r="BE63" s="160"/>
      <c r="BF63" s="160"/>
      <c r="BG63" s="160"/>
    </row>
    <row r="64" spans="2:59" hidden="1" x14ac:dyDescent="0.2">
      <c r="B64" s="222" t="str">
        <f>IF(Capacity!N57="","",Capacity!N57)</f>
        <v/>
      </c>
      <c r="C64" s="223" t="str">
        <f>IF(B64="","",Capacity!Q57)</f>
        <v/>
      </c>
      <c r="D64" s="317" t="str">
        <f>IF(B64="","",Capacity!R57)</f>
        <v/>
      </c>
      <c r="E64" s="223" t="str">
        <f>IF(B64="","",IF(COUNTIF(H64:BG64,"X")=0,SUM('Capacity calculation (hide)'!H152:BG152),COUNTIF(H64:BG64,"X")))</f>
        <v/>
      </c>
      <c r="F64" s="318" t="str">
        <f>'Capacity calculation (hide)'!BI152</f>
        <v/>
      </c>
      <c r="H64" s="160"/>
      <c r="I64" s="160"/>
      <c r="J64" s="160"/>
      <c r="K64" s="160"/>
      <c r="L64" s="160"/>
      <c r="M64" s="160"/>
      <c r="N64" s="160"/>
      <c r="O64" s="160"/>
      <c r="P64" s="160"/>
      <c r="Q64" s="160"/>
      <c r="R64" s="160"/>
      <c r="S64" s="160"/>
      <c r="T64" s="160"/>
      <c r="U64" s="160"/>
      <c r="V64" s="160"/>
      <c r="W64" s="160"/>
      <c r="X64" s="160"/>
      <c r="Y64" s="160"/>
      <c r="Z64" s="160"/>
      <c r="AA64" s="160"/>
      <c r="AB64" s="160"/>
      <c r="AC64" s="160"/>
      <c r="AD64" s="160"/>
      <c r="AE64" s="160"/>
      <c r="AF64" s="160"/>
      <c r="AG64" s="160"/>
      <c r="AH64" s="160"/>
      <c r="AI64" s="160"/>
      <c r="AJ64" s="160"/>
      <c r="AK64" s="160"/>
      <c r="AL64" s="160"/>
      <c r="AM64" s="160"/>
      <c r="AN64" s="160"/>
      <c r="AO64" s="160"/>
      <c r="AP64" s="160"/>
      <c r="AQ64" s="160"/>
      <c r="AR64" s="160"/>
      <c r="AS64" s="160"/>
      <c r="AT64" s="160"/>
      <c r="AU64" s="160"/>
      <c r="AV64" s="160"/>
      <c r="AW64" s="160"/>
      <c r="AX64" s="160"/>
      <c r="AY64" s="160"/>
      <c r="AZ64" s="160"/>
      <c r="BA64" s="160"/>
      <c r="BB64" s="160"/>
      <c r="BC64" s="160"/>
      <c r="BD64" s="160"/>
      <c r="BE64" s="160"/>
      <c r="BF64" s="160"/>
      <c r="BG64" s="160"/>
    </row>
    <row r="65" spans="2:59" hidden="1" x14ac:dyDescent="0.2">
      <c r="B65" s="222" t="str">
        <f>IF(Capacity!N58="","",Capacity!N58)</f>
        <v/>
      </c>
      <c r="C65" s="223" t="str">
        <f>IF(B65="","",Capacity!Q58)</f>
        <v/>
      </c>
      <c r="D65" s="317" t="str">
        <f>IF(B65="","",Capacity!R58)</f>
        <v/>
      </c>
      <c r="E65" s="223" t="str">
        <f>IF(B65="","",IF(COUNTIF(H65:BG65,"X")=0,SUM('Capacity calculation (hide)'!H153:BG153),COUNTIF(H65:BG65,"X")))</f>
        <v/>
      </c>
      <c r="F65" s="318" t="str">
        <f>'Capacity calculation (hide)'!BI153</f>
        <v/>
      </c>
      <c r="H65" s="160"/>
      <c r="I65" s="160"/>
      <c r="J65" s="160"/>
      <c r="K65" s="160"/>
      <c r="L65" s="160"/>
      <c r="M65" s="160"/>
      <c r="N65" s="160"/>
      <c r="O65" s="160"/>
      <c r="P65" s="160"/>
      <c r="Q65" s="160"/>
      <c r="R65" s="160"/>
      <c r="S65" s="160"/>
      <c r="T65" s="160"/>
      <c r="U65" s="160"/>
      <c r="V65" s="160"/>
      <c r="W65" s="160"/>
      <c r="X65" s="160"/>
      <c r="Y65" s="160"/>
      <c r="Z65" s="160"/>
      <c r="AA65" s="160"/>
      <c r="AB65" s="160"/>
      <c r="AC65" s="160"/>
      <c r="AD65" s="160"/>
      <c r="AE65" s="160"/>
      <c r="AF65" s="160"/>
      <c r="AG65" s="160"/>
      <c r="AH65" s="160"/>
      <c r="AI65" s="160"/>
      <c r="AJ65" s="160"/>
      <c r="AK65" s="160"/>
      <c r="AL65" s="160"/>
      <c r="AM65" s="160"/>
      <c r="AN65" s="160"/>
      <c r="AO65" s="160"/>
      <c r="AP65" s="160"/>
      <c r="AQ65" s="160"/>
      <c r="AR65" s="160"/>
      <c r="AS65" s="160"/>
      <c r="AT65" s="160"/>
      <c r="AU65" s="160"/>
      <c r="AV65" s="160"/>
      <c r="AW65" s="160"/>
      <c r="AX65" s="160"/>
      <c r="AY65" s="160"/>
      <c r="AZ65" s="160"/>
      <c r="BA65" s="160"/>
      <c r="BB65" s="160"/>
      <c r="BC65" s="160"/>
      <c r="BD65" s="160"/>
      <c r="BE65" s="160"/>
      <c r="BF65" s="160"/>
      <c r="BG65" s="160"/>
    </row>
    <row r="66" spans="2:59" hidden="1" x14ac:dyDescent="0.2">
      <c r="B66" s="222" t="str">
        <f>IF(Capacity!N59="","",Capacity!N59)</f>
        <v/>
      </c>
      <c r="C66" s="223" t="str">
        <f>IF(B66="","",Capacity!Q59)</f>
        <v/>
      </c>
      <c r="D66" s="317" t="str">
        <f>IF(B66="","",Capacity!R59)</f>
        <v/>
      </c>
      <c r="E66" s="223" t="str">
        <f>IF(B66="","",IF(COUNTIF(H66:BG66,"X")=0,SUM('Capacity calculation (hide)'!H154:BG154),COUNTIF(H66:BG66,"X")))</f>
        <v/>
      </c>
      <c r="F66" s="318" t="str">
        <f>'Capacity calculation (hide)'!BI154</f>
        <v/>
      </c>
      <c r="H66" s="160"/>
      <c r="I66" s="160"/>
      <c r="J66" s="160"/>
      <c r="K66" s="160"/>
      <c r="L66" s="160"/>
      <c r="M66" s="160"/>
      <c r="N66" s="160"/>
      <c r="O66" s="160"/>
      <c r="P66" s="160"/>
      <c r="Q66" s="160"/>
      <c r="R66" s="160"/>
      <c r="S66" s="160"/>
      <c r="T66" s="160"/>
      <c r="U66" s="160"/>
      <c r="V66" s="160"/>
      <c r="W66" s="160"/>
      <c r="X66" s="160"/>
      <c r="Y66" s="160"/>
      <c r="Z66" s="160"/>
      <c r="AA66" s="160"/>
      <c r="AB66" s="160"/>
      <c r="AC66" s="160"/>
      <c r="AD66" s="160"/>
      <c r="AE66" s="160"/>
      <c r="AF66" s="160"/>
      <c r="AG66" s="160"/>
      <c r="AH66" s="160"/>
      <c r="AI66" s="160"/>
      <c r="AJ66" s="160"/>
      <c r="AK66" s="160"/>
      <c r="AL66" s="160"/>
      <c r="AM66" s="160"/>
      <c r="AN66" s="160"/>
      <c r="AO66" s="160"/>
      <c r="AP66" s="160"/>
      <c r="AQ66" s="160"/>
      <c r="AR66" s="160"/>
      <c r="AS66" s="160"/>
      <c r="AT66" s="160"/>
      <c r="AU66" s="160"/>
      <c r="AV66" s="160"/>
      <c r="AW66" s="160"/>
      <c r="AX66" s="160"/>
      <c r="AY66" s="160"/>
      <c r="AZ66" s="160"/>
      <c r="BA66" s="160"/>
      <c r="BB66" s="160"/>
      <c r="BC66" s="160"/>
      <c r="BD66" s="160"/>
      <c r="BE66" s="160"/>
      <c r="BF66" s="160"/>
      <c r="BG66" s="160"/>
    </row>
    <row r="67" spans="2:59" hidden="1" x14ac:dyDescent="0.2">
      <c r="B67" s="222" t="str">
        <f>IF(Capacity!N60="","",Capacity!N60)</f>
        <v/>
      </c>
      <c r="C67" s="223" t="str">
        <f>IF(B67="","",Capacity!Q60)</f>
        <v/>
      </c>
      <c r="D67" s="317" t="str">
        <f>IF(B67="","",Capacity!R60)</f>
        <v/>
      </c>
      <c r="E67" s="223" t="str">
        <f>IF(B67="","",IF(COUNTIF(H67:BG67,"X")=0,SUM('Capacity calculation (hide)'!H155:BG155),COUNTIF(H67:BG67,"X")))</f>
        <v/>
      </c>
      <c r="F67" s="318" t="str">
        <f>'Capacity calculation (hide)'!BI155</f>
        <v/>
      </c>
      <c r="H67" s="160"/>
      <c r="I67" s="160"/>
      <c r="J67" s="160"/>
      <c r="K67" s="160"/>
      <c r="L67" s="160"/>
      <c r="M67" s="160"/>
      <c r="N67" s="160"/>
      <c r="O67" s="160"/>
      <c r="P67" s="160"/>
      <c r="Q67" s="160"/>
      <c r="R67" s="160"/>
      <c r="S67" s="160"/>
      <c r="T67" s="160"/>
      <c r="U67" s="160"/>
      <c r="V67" s="160"/>
      <c r="W67" s="160"/>
      <c r="X67" s="160"/>
      <c r="Y67" s="160"/>
      <c r="Z67" s="160"/>
      <c r="AA67" s="160"/>
      <c r="AB67" s="160"/>
      <c r="AC67" s="160"/>
      <c r="AD67" s="160"/>
      <c r="AE67" s="160"/>
      <c r="AF67" s="160"/>
      <c r="AG67" s="160"/>
      <c r="AH67" s="160"/>
      <c r="AI67" s="160"/>
      <c r="AJ67" s="160"/>
      <c r="AK67" s="160"/>
      <c r="AL67" s="160"/>
      <c r="AM67" s="160"/>
      <c r="AN67" s="160"/>
      <c r="AO67" s="160"/>
      <c r="AP67" s="160"/>
      <c r="AQ67" s="160"/>
      <c r="AR67" s="160"/>
      <c r="AS67" s="160"/>
      <c r="AT67" s="160"/>
      <c r="AU67" s="160"/>
      <c r="AV67" s="160"/>
      <c r="AW67" s="160"/>
      <c r="AX67" s="160"/>
      <c r="AY67" s="160"/>
      <c r="AZ67" s="160"/>
      <c r="BA67" s="160"/>
      <c r="BB67" s="160"/>
      <c r="BC67" s="160"/>
      <c r="BD67" s="160"/>
      <c r="BE67" s="160"/>
      <c r="BF67" s="160"/>
      <c r="BG67" s="160"/>
    </row>
    <row r="68" spans="2:59" hidden="1" x14ac:dyDescent="0.2">
      <c r="B68" s="222" t="str">
        <f>IF(Capacity!N61="","",Capacity!N61)</f>
        <v/>
      </c>
      <c r="C68" s="223" t="str">
        <f>IF(B68="","",Capacity!Q61)</f>
        <v/>
      </c>
      <c r="D68" s="317" t="str">
        <f>IF(B68="","",Capacity!R61)</f>
        <v/>
      </c>
      <c r="E68" s="223" t="str">
        <f>IF(B68="","",IF(COUNTIF(H68:BG68,"X")=0,SUM('Capacity calculation (hide)'!H156:BG156),COUNTIF(H68:BG68,"X")))</f>
        <v/>
      </c>
      <c r="F68" s="318" t="str">
        <f>'Capacity calculation (hide)'!BI156</f>
        <v/>
      </c>
      <c r="H68" s="160"/>
      <c r="I68" s="160"/>
      <c r="J68" s="160"/>
      <c r="K68" s="160"/>
      <c r="L68" s="160"/>
      <c r="M68" s="160"/>
      <c r="N68" s="160"/>
      <c r="O68" s="160"/>
      <c r="P68" s="160"/>
      <c r="Q68" s="160"/>
      <c r="R68" s="160"/>
      <c r="S68" s="160"/>
      <c r="T68" s="160"/>
      <c r="U68" s="160"/>
      <c r="V68" s="160"/>
      <c r="W68" s="160"/>
      <c r="X68" s="160"/>
      <c r="Y68" s="160"/>
      <c r="Z68" s="160"/>
      <c r="AA68" s="160"/>
      <c r="AB68" s="160"/>
      <c r="AC68" s="160"/>
      <c r="AD68" s="160"/>
      <c r="AE68" s="160"/>
      <c r="AF68" s="160"/>
      <c r="AG68" s="160"/>
      <c r="AH68" s="160"/>
      <c r="AI68" s="160"/>
      <c r="AJ68" s="160"/>
      <c r="AK68" s="160"/>
      <c r="AL68" s="160"/>
      <c r="AM68" s="160"/>
      <c r="AN68" s="160"/>
      <c r="AO68" s="160"/>
      <c r="AP68" s="160"/>
      <c r="AQ68" s="160"/>
      <c r="AR68" s="160"/>
      <c r="AS68" s="160"/>
      <c r="AT68" s="160"/>
      <c r="AU68" s="160"/>
      <c r="AV68" s="160"/>
      <c r="AW68" s="160"/>
      <c r="AX68" s="160"/>
      <c r="AY68" s="160"/>
      <c r="AZ68" s="160"/>
      <c r="BA68" s="160"/>
      <c r="BB68" s="160"/>
      <c r="BC68" s="160"/>
      <c r="BD68" s="160"/>
      <c r="BE68" s="160"/>
      <c r="BF68" s="160"/>
      <c r="BG68" s="160"/>
    </row>
    <row r="69" spans="2:59" hidden="1" x14ac:dyDescent="0.2">
      <c r="B69" s="222" t="str">
        <f>IF(Capacity!N62="","",Capacity!N62)</f>
        <v/>
      </c>
      <c r="C69" s="223" t="str">
        <f>IF(B69="","",Capacity!Q62)</f>
        <v/>
      </c>
      <c r="D69" s="317" t="str">
        <f>IF(B69="","",Capacity!R62)</f>
        <v/>
      </c>
      <c r="E69" s="223" t="str">
        <f>IF(B69="","",IF(COUNTIF(H69:BG69,"X")=0,SUM('Capacity calculation (hide)'!H157:BG157),COUNTIF(H69:BG69,"X")))</f>
        <v/>
      </c>
      <c r="F69" s="318" t="str">
        <f>'Capacity calculation (hide)'!BI157</f>
        <v/>
      </c>
      <c r="H69" s="160"/>
      <c r="I69" s="160"/>
      <c r="J69" s="160"/>
      <c r="K69" s="160"/>
      <c r="L69" s="160"/>
      <c r="M69" s="160"/>
      <c r="N69" s="160"/>
      <c r="O69" s="160"/>
      <c r="P69" s="160"/>
      <c r="Q69" s="160"/>
      <c r="R69" s="160"/>
      <c r="S69" s="160"/>
      <c r="T69" s="160"/>
      <c r="U69" s="160"/>
      <c r="V69" s="160"/>
      <c r="W69" s="160"/>
      <c r="X69" s="160"/>
      <c r="Y69" s="160"/>
      <c r="Z69" s="160"/>
      <c r="AA69" s="160"/>
      <c r="AB69" s="160"/>
      <c r="AC69" s="160"/>
      <c r="AD69" s="160"/>
      <c r="AE69" s="160"/>
      <c r="AF69" s="160"/>
      <c r="AG69" s="160"/>
      <c r="AH69" s="160"/>
      <c r="AI69" s="160"/>
      <c r="AJ69" s="160"/>
      <c r="AK69" s="160"/>
      <c r="AL69" s="160"/>
      <c r="AM69" s="160"/>
      <c r="AN69" s="160"/>
      <c r="AO69" s="160"/>
      <c r="AP69" s="160"/>
      <c r="AQ69" s="160"/>
      <c r="AR69" s="160"/>
      <c r="AS69" s="160"/>
      <c r="AT69" s="160"/>
      <c r="AU69" s="160"/>
      <c r="AV69" s="160"/>
      <c r="AW69" s="160"/>
      <c r="AX69" s="160"/>
      <c r="AY69" s="160"/>
      <c r="AZ69" s="160"/>
      <c r="BA69" s="160"/>
      <c r="BB69" s="160"/>
      <c r="BC69" s="160"/>
      <c r="BD69" s="160"/>
      <c r="BE69" s="160"/>
      <c r="BF69" s="160"/>
      <c r="BG69" s="160"/>
    </row>
    <row r="70" spans="2:59" hidden="1" x14ac:dyDescent="0.2">
      <c r="B70" s="222" t="str">
        <f>IF(Capacity!N63="","",Capacity!N63)</f>
        <v/>
      </c>
      <c r="C70" s="223" t="str">
        <f>IF(B70="","",Capacity!Q63)</f>
        <v/>
      </c>
      <c r="D70" s="317" t="str">
        <f>IF(B70="","",Capacity!R63)</f>
        <v/>
      </c>
      <c r="E70" s="223" t="str">
        <f>IF(B70="","",IF(COUNTIF(H70:BG70,"X")=0,SUM('Capacity calculation (hide)'!H158:BG158),COUNTIF(H70:BG70,"X")))</f>
        <v/>
      </c>
      <c r="F70" s="318" t="str">
        <f>'Capacity calculation (hide)'!BI158</f>
        <v/>
      </c>
      <c r="H70" s="160"/>
      <c r="I70" s="160"/>
      <c r="J70" s="160"/>
      <c r="K70" s="160"/>
      <c r="L70" s="160"/>
      <c r="M70" s="160"/>
      <c r="N70" s="160"/>
      <c r="O70" s="160"/>
      <c r="P70" s="160"/>
      <c r="Q70" s="160"/>
      <c r="R70" s="160"/>
      <c r="S70" s="160"/>
      <c r="T70" s="160"/>
      <c r="U70" s="160"/>
      <c r="V70" s="160"/>
      <c r="W70" s="160"/>
      <c r="X70" s="160"/>
      <c r="Y70" s="160"/>
      <c r="Z70" s="160"/>
      <c r="AA70" s="160"/>
      <c r="AB70" s="160"/>
      <c r="AC70" s="160"/>
      <c r="AD70" s="160"/>
      <c r="AE70" s="160"/>
      <c r="AF70" s="160"/>
      <c r="AG70" s="160"/>
      <c r="AH70" s="160"/>
      <c r="AI70" s="160"/>
      <c r="AJ70" s="160"/>
      <c r="AK70" s="160"/>
      <c r="AL70" s="160"/>
      <c r="AM70" s="160"/>
      <c r="AN70" s="160"/>
      <c r="AO70" s="160"/>
      <c r="AP70" s="160"/>
      <c r="AQ70" s="160"/>
      <c r="AR70" s="160"/>
      <c r="AS70" s="160"/>
      <c r="AT70" s="160"/>
      <c r="AU70" s="160"/>
      <c r="AV70" s="160"/>
      <c r="AW70" s="160"/>
      <c r="AX70" s="160"/>
      <c r="AY70" s="160"/>
      <c r="AZ70" s="160"/>
      <c r="BA70" s="160"/>
      <c r="BB70" s="160"/>
      <c r="BC70" s="160"/>
      <c r="BD70" s="160"/>
      <c r="BE70" s="160"/>
      <c r="BF70" s="160"/>
      <c r="BG70" s="160"/>
    </row>
    <row r="71" spans="2:59" hidden="1" x14ac:dyDescent="0.2">
      <c r="B71" s="222" t="str">
        <f>IF(Capacity!N64="","",Capacity!N64)</f>
        <v/>
      </c>
      <c r="C71" s="223" t="str">
        <f>IF(B71="","",Capacity!Q64)</f>
        <v/>
      </c>
      <c r="D71" s="317" t="str">
        <f>IF(B71="","",Capacity!R64)</f>
        <v/>
      </c>
      <c r="E71" s="223" t="str">
        <f>IF(B71="","",IF(COUNTIF(H71:BG71,"X")=0,SUM('Capacity calculation (hide)'!H159:BG159),COUNTIF(H71:BG71,"X")))</f>
        <v/>
      </c>
      <c r="F71" s="318" t="str">
        <f>'Capacity calculation (hide)'!BI159</f>
        <v/>
      </c>
      <c r="H71" s="160"/>
      <c r="I71" s="160"/>
      <c r="J71" s="160"/>
      <c r="K71" s="160"/>
      <c r="L71" s="160"/>
      <c r="M71" s="160"/>
      <c r="N71" s="160"/>
      <c r="O71" s="160"/>
      <c r="P71" s="160"/>
      <c r="Q71" s="160"/>
      <c r="R71" s="160"/>
      <c r="S71" s="160"/>
      <c r="T71" s="160"/>
      <c r="U71" s="160"/>
      <c r="V71" s="160"/>
      <c r="W71" s="160"/>
      <c r="X71" s="160"/>
      <c r="Y71" s="160"/>
      <c r="Z71" s="160"/>
      <c r="AA71" s="160"/>
      <c r="AB71" s="160"/>
      <c r="AC71" s="160"/>
      <c r="AD71" s="160"/>
      <c r="AE71" s="160"/>
      <c r="AF71" s="160"/>
      <c r="AG71" s="160"/>
      <c r="AH71" s="160"/>
      <c r="AI71" s="160"/>
      <c r="AJ71" s="160"/>
      <c r="AK71" s="160"/>
      <c r="AL71" s="160"/>
      <c r="AM71" s="160"/>
      <c r="AN71" s="160"/>
      <c r="AO71" s="160"/>
      <c r="AP71" s="160"/>
      <c r="AQ71" s="160"/>
      <c r="AR71" s="160"/>
      <c r="AS71" s="160"/>
      <c r="AT71" s="160"/>
      <c r="AU71" s="160"/>
      <c r="AV71" s="160"/>
      <c r="AW71" s="160"/>
      <c r="AX71" s="160"/>
      <c r="AY71" s="160"/>
      <c r="AZ71" s="160"/>
      <c r="BA71" s="160"/>
      <c r="BB71" s="160"/>
      <c r="BC71" s="160"/>
      <c r="BD71" s="160"/>
      <c r="BE71" s="160"/>
      <c r="BF71" s="160"/>
      <c r="BG71" s="160"/>
    </row>
    <row r="72" spans="2:59" hidden="1" x14ac:dyDescent="0.2">
      <c r="B72" s="222" t="str">
        <f>IF(Capacity!N65="","",Capacity!N65)</f>
        <v/>
      </c>
      <c r="C72" s="223" t="str">
        <f>IF(B72="","",Capacity!Q65)</f>
        <v/>
      </c>
      <c r="D72" s="317" t="str">
        <f>IF(B72="","",Capacity!R65)</f>
        <v/>
      </c>
      <c r="E72" s="223" t="str">
        <f>IF(B72="","",IF(COUNTIF(H72:BG72,"X")=0,SUM('Capacity calculation (hide)'!H160:BG160),COUNTIF(H72:BG72,"X")))</f>
        <v/>
      </c>
      <c r="F72" s="318" t="str">
        <f>'Capacity calculation (hide)'!BI160</f>
        <v/>
      </c>
      <c r="H72" s="160"/>
      <c r="I72" s="160"/>
      <c r="J72" s="160"/>
      <c r="K72" s="160"/>
      <c r="L72" s="160"/>
      <c r="M72" s="160"/>
      <c r="N72" s="160"/>
      <c r="O72" s="160"/>
      <c r="P72" s="160"/>
      <c r="Q72" s="160"/>
      <c r="R72" s="160"/>
      <c r="S72" s="160"/>
      <c r="T72" s="160"/>
      <c r="U72" s="160"/>
      <c r="V72" s="160"/>
      <c r="W72" s="160"/>
      <c r="X72" s="160"/>
      <c r="Y72" s="160"/>
      <c r="Z72" s="160"/>
      <c r="AA72" s="160"/>
      <c r="AB72" s="160"/>
      <c r="AC72" s="160"/>
      <c r="AD72" s="160"/>
      <c r="AE72" s="160"/>
      <c r="AF72" s="160"/>
      <c r="AG72" s="160"/>
      <c r="AH72" s="160"/>
      <c r="AI72" s="160"/>
      <c r="AJ72" s="160"/>
      <c r="AK72" s="160"/>
      <c r="AL72" s="160"/>
      <c r="AM72" s="160"/>
      <c r="AN72" s="160"/>
      <c r="AO72" s="160"/>
      <c r="AP72" s="160"/>
      <c r="AQ72" s="160"/>
      <c r="AR72" s="160"/>
      <c r="AS72" s="160"/>
      <c r="AT72" s="160"/>
      <c r="AU72" s="160"/>
      <c r="AV72" s="160"/>
      <c r="AW72" s="160"/>
      <c r="AX72" s="160"/>
      <c r="AY72" s="160"/>
      <c r="AZ72" s="160"/>
      <c r="BA72" s="160"/>
      <c r="BB72" s="160"/>
      <c r="BC72" s="160"/>
      <c r="BD72" s="160"/>
      <c r="BE72" s="160"/>
      <c r="BF72" s="160"/>
      <c r="BG72" s="160"/>
    </row>
    <row r="73" spans="2:59" hidden="1" x14ac:dyDescent="0.2">
      <c r="B73" s="222" t="str">
        <f>IF(Capacity!N66="","",Capacity!N66)</f>
        <v/>
      </c>
      <c r="C73" s="223" t="str">
        <f>IF(B73="","",Capacity!Q66)</f>
        <v/>
      </c>
      <c r="D73" s="317" t="str">
        <f>IF(B73="","",Capacity!R66)</f>
        <v/>
      </c>
      <c r="E73" s="223" t="str">
        <f>IF(B73="","",IF(COUNTIF(H73:BG73,"X")=0,SUM('Capacity calculation (hide)'!H161:BG161),COUNTIF(H73:BG73,"X")))</f>
        <v/>
      </c>
      <c r="F73" s="318" t="str">
        <f>'Capacity calculation (hide)'!BI161</f>
        <v/>
      </c>
      <c r="H73" s="160"/>
      <c r="I73" s="160"/>
      <c r="J73" s="160"/>
      <c r="K73" s="160"/>
      <c r="L73" s="160"/>
      <c r="M73" s="160"/>
      <c r="N73" s="160"/>
      <c r="O73" s="160"/>
      <c r="P73" s="160"/>
      <c r="Q73" s="160"/>
      <c r="R73" s="160"/>
      <c r="S73" s="160"/>
      <c r="T73" s="160"/>
      <c r="U73" s="160"/>
      <c r="V73" s="160"/>
      <c r="W73" s="160"/>
      <c r="X73" s="160"/>
      <c r="Y73" s="160"/>
      <c r="Z73" s="160"/>
      <c r="AA73" s="160"/>
      <c r="AB73" s="160"/>
      <c r="AC73" s="160"/>
      <c r="AD73" s="160"/>
      <c r="AE73" s="160"/>
      <c r="AF73" s="160"/>
      <c r="AG73" s="160"/>
      <c r="AH73" s="160"/>
      <c r="AI73" s="160"/>
      <c r="AJ73" s="160"/>
      <c r="AK73" s="160"/>
      <c r="AL73" s="160"/>
      <c r="AM73" s="160"/>
      <c r="AN73" s="160"/>
      <c r="AO73" s="160"/>
      <c r="AP73" s="160"/>
      <c r="AQ73" s="160"/>
      <c r="AR73" s="160"/>
      <c r="AS73" s="160"/>
      <c r="AT73" s="160"/>
      <c r="AU73" s="160"/>
      <c r="AV73" s="160"/>
      <c r="AW73" s="160"/>
      <c r="AX73" s="160"/>
      <c r="AY73" s="160"/>
      <c r="AZ73" s="160"/>
      <c r="BA73" s="160"/>
      <c r="BB73" s="160"/>
      <c r="BC73" s="160"/>
      <c r="BD73" s="160"/>
      <c r="BE73" s="160"/>
      <c r="BF73" s="160"/>
      <c r="BG73" s="160"/>
    </row>
    <row r="74" spans="2:59" hidden="1" x14ac:dyDescent="0.2">
      <c r="B74" s="222" t="str">
        <f>IF(Capacity!N67="","",Capacity!N67)</f>
        <v/>
      </c>
      <c r="C74" s="223" t="str">
        <f>IF(B74="","",Capacity!Q67)</f>
        <v/>
      </c>
      <c r="D74" s="317" t="str">
        <f>IF(B74="","",Capacity!R67)</f>
        <v/>
      </c>
      <c r="E74" s="223" t="str">
        <f>IF(B74="","",IF(COUNTIF(H74:BG74,"X")=0,SUM('Capacity calculation (hide)'!H162:BG162),COUNTIF(H74:BG74,"X")))</f>
        <v/>
      </c>
      <c r="F74" s="318" t="str">
        <f>'Capacity calculation (hide)'!BI162</f>
        <v/>
      </c>
      <c r="H74" s="160"/>
      <c r="I74" s="160"/>
      <c r="J74" s="160"/>
      <c r="K74" s="160"/>
      <c r="L74" s="160"/>
      <c r="M74" s="160"/>
      <c r="N74" s="160"/>
      <c r="O74" s="160"/>
      <c r="P74" s="160"/>
      <c r="Q74" s="160"/>
      <c r="R74" s="160"/>
      <c r="S74" s="160"/>
      <c r="T74" s="160"/>
      <c r="U74" s="160"/>
      <c r="V74" s="160"/>
      <c r="W74" s="160"/>
      <c r="X74" s="160"/>
      <c r="Y74" s="160"/>
      <c r="Z74" s="160"/>
      <c r="AA74" s="160"/>
      <c r="AB74" s="160"/>
      <c r="AC74" s="160"/>
      <c r="AD74" s="160"/>
      <c r="AE74" s="160"/>
      <c r="AF74" s="160"/>
      <c r="AG74" s="160"/>
      <c r="AH74" s="160"/>
      <c r="AI74" s="160"/>
      <c r="AJ74" s="160"/>
      <c r="AK74" s="160"/>
      <c r="AL74" s="160"/>
      <c r="AM74" s="160"/>
      <c r="AN74" s="160"/>
      <c r="AO74" s="160"/>
      <c r="AP74" s="160"/>
      <c r="AQ74" s="160"/>
      <c r="AR74" s="160"/>
      <c r="AS74" s="160"/>
      <c r="AT74" s="160"/>
      <c r="AU74" s="160"/>
      <c r="AV74" s="160"/>
      <c r="AW74" s="160"/>
      <c r="AX74" s="160"/>
      <c r="AY74" s="160"/>
      <c r="AZ74" s="160"/>
      <c r="BA74" s="160"/>
      <c r="BB74" s="160"/>
      <c r="BC74" s="160"/>
      <c r="BD74" s="160"/>
      <c r="BE74" s="160"/>
      <c r="BF74" s="160"/>
      <c r="BG74" s="160"/>
    </row>
    <row r="75" spans="2:59" hidden="1" x14ac:dyDescent="0.2">
      <c r="B75" s="222" t="str">
        <f>IF(Capacity!N68="","",Capacity!N68)</f>
        <v/>
      </c>
      <c r="C75" s="223" t="str">
        <f>IF(B75="","",Capacity!Q68)</f>
        <v/>
      </c>
      <c r="D75" s="317" t="str">
        <f>IF(B75="","",Capacity!R68)</f>
        <v/>
      </c>
      <c r="E75" s="223" t="str">
        <f>IF(B75="","",IF(COUNTIF(H75:BG75,"X")=0,SUM('Capacity calculation (hide)'!H163:BG163),COUNTIF(H75:BG75,"X")))</f>
        <v/>
      </c>
      <c r="F75" s="318" t="str">
        <f>'Capacity calculation (hide)'!BI163</f>
        <v/>
      </c>
      <c r="H75" s="160"/>
      <c r="I75" s="160"/>
      <c r="J75" s="160"/>
      <c r="K75" s="160"/>
      <c r="L75" s="160"/>
      <c r="M75" s="160"/>
      <c r="N75" s="160"/>
      <c r="O75" s="160"/>
      <c r="P75" s="160"/>
      <c r="Q75" s="160"/>
      <c r="R75" s="160"/>
      <c r="S75" s="160"/>
      <c r="T75" s="160"/>
      <c r="U75" s="160"/>
      <c r="V75" s="160"/>
      <c r="W75" s="160"/>
      <c r="X75" s="160"/>
      <c r="Y75" s="160"/>
      <c r="Z75" s="160"/>
      <c r="AA75" s="160"/>
      <c r="AB75" s="160"/>
      <c r="AC75" s="160"/>
      <c r="AD75" s="160"/>
      <c r="AE75" s="160"/>
      <c r="AF75" s="160"/>
      <c r="AG75" s="160"/>
      <c r="AH75" s="160"/>
      <c r="AI75" s="160"/>
      <c r="AJ75" s="160"/>
      <c r="AK75" s="160"/>
      <c r="AL75" s="160"/>
      <c r="AM75" s="160"/>
      <c r="AN75" s="160"/>
      <c r="AO75" s="160"/>
      <c r="AP75" s="160"/>
      <c r="AQ75" s="160"/>
      <c r="AR75" s="160"/>
      <c r="AS75" s="160"/>
      <c r="AT75" s="160"/>
      <c r="AU75" s="160"/>
      <c r="AV75" s="160"/>
      <c r="AW75" s="160"/>
      <c r="AX75" s="160"/>
      <c r="AY75" s="160"/>
      <c r="AZ75" s="160"/>
      <c r="BA75" s="160"/>
      <c r="BB75" s="160"/>
      <c r="BC75" s="160"/>
      <c r="BD75" s="160"/>
      <c r="BE75" s="160"/>
      <c r="BF75" s="160"/>
      <c r="BG75" s="160"/>
    </row>
    <row r="76" spans="2:59" hidden="1" x14ac:dyDescent="0.2">
      <c r="B76" s="222" t="str">
        <f>IF(Capacity!N69="","",Capacity!N69)</f>
        <v/>
      </c>
      <c r="C76" s="223" t="str">
        <f>IF(B76="","",Capacity!Q69)</f>
        <v/>
      </c>
      <c r="D76" s="317" t="str">
        <f>IF(B76="","",Capacity!R69)</f>
        <v/>
      </c>
      <c r="E76" s="223" t="str">
        <f>IF(B76="","",IF(COUNTIF(H76:BG76,"X")=0,SUM('Capacity calculation (hide)'!H164:BG164),COUNTIF(H76:BG76,"X")))</f>
        <v/>
      </c>
      <c r="F76" s="318" t="str">
        <f>'Capacity calculation (hide)'!BI164</f>
        <v/>
      </c>
      <c r="H76" s="160"/>
      <c r="I76" s="160"/>
      <c r="J76" s="160"/>
      <c r="K76" s="160"/>
      <c r="L76" s="160"/>
      <c r="M76" s="160"/>
      <c r="N76" s="160"/>
      <c r="O76" s="160"/>
      <c r="P76" s="160"/>
      <c r="Q76" s="160"/>
      <c r="R76" s="160"/>
      <c r="S76" s="160"/>
      <c r="T76" s="160"/>
      <c r="U76" s="160"/>
      <c r="V76" s="160"/>
      <c r="W76" s="160"/>
      <c r="X76" s="160"/>
      <c r="Y76" s="160"/>
      <c r="Z76" s="160"/>
      <c r="AA76" s="160"/>
      <c r="AB76" s="160"/>
      <c r="AC76" s="160"/>
      <c r="AD76" s="160"/>
      <c r="AE76" s="160"/>
      <c r="AF76" s="160"/>
      <c r="AG76" s="160"/>
      <c r="AH76" s="160"/>
      <c r="AI76" s="160"/>
      <c r="AJ76" s="160"/>
      <c r="AK76" s="160"/>
      <c r="AL76" s="160"/>
      <c r="AM76" s="160"/>
      <c r="AN76" s="160"/>
      <c r="AO76" s="160"/>
      <c r="AP76" s="160"/>
      <c r="AQ76" s="160"/>
      <c r="AR76" s="160"/>
      <c r="AS76" s="160"/>
      <c r="AT76" s="160"/>
      <c r="AU76" s="160"/>
      <c r="AV76" s="160"/>
      <c r="AW76" s="160"/>
      <c r="AX76" s="160"/>
      <c r="AY76" s="160"/>
      <c r="AZ76" s="160"/>
      <c r="BA76" s="160"/>
      <c r="BB76" s="160"/>
      <c r="BC76" s="160"/>
      <c r="BD76" s="160"/>
      <c r="BE76" s="160"/>
      <c r="BF76" s="160"/>
      <c r="BG76" s="160"/>
    </row>
    <row r="77" spans="2:59" hidden="1" x14ac:dyDescent="0.2">
      <c r="B77" s="222" t="str">
        <f>IF(Capacity!N70="","",Capacity!N70)</f>
        <v/>
      </c>
      <c r="C77" s="223" t="str">
        <f>IF(B77="","",Capacity!Q70)</f>
        <v/>
      </c>
      <c r="D77" s="317" t="str">
        <f>IF(B77="","",Capacity!R70)</f>
        <v/>
      </c>
      <c r="E77" s="223" t="str">
        <f>IF(B77="","",IF(COUNTIF(H77:BG77,"X")=0,SUM('Capacity calculation (hide)'!H165:BG165),COUNTIF(H77:BG77,"X")))</f>
        <v/>
      </c>
      <c r="F77" s="318" t="str">
        <f>'Capacity calculation (hide)'!BI165</f>
        <v/>
      </c>
      <c r="H77" s="160"/>
      <c r="I77" s="160"/>
      <c r="J77" s="160"/>
      <c r="K77" s="160"/>
      <c r="L77" s="160"/>
      <c r="M77" s="160"/>
      <c r="N77" s="160"/>
      <c r="O77" s="160"/>
      <c r="P77" s="160"/>
      <c r="Q77" s="160"/>
      <c r="R77" s="160"/>
      <c r="S77" s="160"/>
      <c r="T77" s="160"/>
      <c r="U77" s="160"/>
      <c r="V77" s="160"/>
      <c r="W77" s="160"/>
      <c r="X77" s="160"/>
      <c r="Y77" s="160"/>
      <c r="Z77" s="160"/>
      <c r="AA77" s="160"/>
      <c r="AB77" s="160"/>
      <c r="AC77" s="160"/>
      <c r="AD77" s="160"/>
      <c r="AE77" s="160"/>
      <c r="AF77" s="160"/>
      <c r="AG77" s="160"/>
      <c r="AH77" s="160"/>
      <c r="AI77" s="160"/>
      <c r="AJ77" s="160"/>
      <c r="AK77" s="160"/>
      <c r="AL77" s="160"/>
      <c r="AM77" s="160"/>
      <c r="AN77" s="160"/>
      <c r="AO77" s="160"/>
      <c r="AP77" s="160"/>
      <c r="AQ77" s="160"/>
      <c r="AR77" s="160"/>
      <c r="AS77" s="160"/>
      <c r="AT77" s="160"/>
      <c r="AU77" s="160"/>
      <c r="AV77" s="160"/>
      <c r="AW77" s="160"/>
      <c r="AX77" s="160"/>
      <c r="AY77" s="160"/>
      <c r="AZ77" s="160"/>
      <c r="BA77" s="160"/>
      <c r="BB77" s="160"/>
      <c r="BC77" s="160"/>
      <c r="BD77" s="160"/>
      <c r="BE77" s="160"/>
      <c r="BF77" s="160"/>
      <c r="BG77" s="160"/>
    </row>
    <row r="78" spans="2:59" hidden="1" x14ac:dyDescent="0.2">
      <c r="B78" s="222" t="str">
        <f>IF(Capacity!N71="","",Capacity!N71)</f>
        <v/>
      </c>
      <c r="C78" s="223" t="str">
        <f>IF(B78="","",Capacity!Q71)</f>
        <v/>
      </c>
      <c r="D78" s="317" t="str">
        <f>IF(B78="","",Capacity!R71)</f>
        <v/>
      </c>
      <c r="E78" s="223" t="str">
        <f>IF(B78="","",IF(COUNTIF(H78:BG78,"X")=0,SUM('Capacity calculation (hide)'!H166:BG166),COUNTIF(H78:BG78,"X")))</f>
        <v/>
      </c>
      <c r="F78" s="318" t="str">
        <f>'Capacity calculation (hide)'!BI166</f>
        <v/>
      </c>
      <c r="H78" s="160"/>
      <c r="I78" s="160"/>
      <c r="J78" s="160"/>
      <c r="K78" s="160"/>
      <c r="L78" s="160"/>
      <c r="M78" s="160"/>
      <c r="N78" s="160"/>
      <c r="O78" s="160"/>
      <c r="P78" s="160"/>
      <c r="Q78" s="160"/>
      <c r="R78" s="160"/>
      <c r="S78" s="160"/>
      <c r="T78" s="160"/>
      <c r="U78" s="160"/>
      <c r="V78" s="160"/>
      <c r="W78" s="160"/>
      <c r="X78" s="160"/>
      <c r="Y78" s="160"/>
      <c r="Z78" s="160"/>
      <c r="AA78" s="160"/>
      <c r="AB78" s="160"/>
      <c r="AC78" s="160"/>
      <c r="AD78" s="160"/>
      <c r="AE78" s="160"/>
      <c r="AF78" s="160"/>
      <c r="AG78" s="160"/>
      <c r="AH78" s="160"/>
      <c r="AI78" s="160"/>
      <c r="AJ78" s="160"/>
      <c r="AK78" s="160"/>
      <c r="AL78" s="160"/>
      <c r="AM78" s="160"/>
      <c r="AN78" s="160"/>
      <c r="AO78" s="160"/>
      <c r="AP78" s="160"/>
      <c r="AQ78" s="160"/>
      <c r="AR78" s="160"/>
      <c r="AS78" s="160"/>
      <c r="AT78" s="160"/>
      <c r="AU78" s="160"/>
      <c r="AV78" s="160"/>
      <c r="AW78" s="160"/>
      <c r="AX78" s="160"/>
      <c r="AY78" s="160"/>
      <c r="AZ78" s="160"/>
      <c r="BA78" s="160"/>
      <c r="BB78" s="160"/>
      <c r="BC78" s="160"/>
      <c r="BD78" s="160"/>
      <c r="BE78" s="160"/>
      <c r="BF78" s="160"/>
      <c r="BG78" s="160"/>
    </row>
    <row r="79" spans="2:59" hidden="1" x14ac:dyDescent="0.2">
      <c r="B79" s="222" t="str">
        <f>IF(Capacity!N72="","",Capacity!N72)</f>
        <v/>
      </c>
      <c r="C79" s="223" t="str">
        <f>IF(B79="","",Capacity!Q72)</f>
        <v/>
      </c>
      <c r="D79" s="317" t="str">
        <f>IF(B79="","",Capacity!R72)</f>
        <v/>
      </c>
      <c r="E79" s="223" t="str">
        <f>IF(B79="","",IF(COUNTIF(H79:BG79,"X")=0,SUM('Capacity calculation (hide)'!H167:BG167),COUNTIF(H79:BG79,"X")))</f>
        <v/>
      </c>
      <c r="F79" s="318" t="str">
        <f>'Capacity calculation (hide)'!BI167</f>
        <v/>
      </c>
      <c r="H79" s="160"/>
      <c r="I79" s="160"/>
      <c r="J79" s="160"/>
      <c r="K79" s="160"/>
      <c r="L79" s="160"/>
      <c r="M79" s="160"/>
      <c r="N79" s="160"/>
      <c r="O79" s="160"/>
      <c r="P79" s="160"/>
      <c r="Q79" s="160"/>
      <c r="R79" s="160"/>
      <c r="S79" s="160"/>
      <c r="T79" s="160"/>
      <c r="U79" s="160"/>
      <c r="V79" s="160"/>
      <c r="W79" s="160"/>
      <c r="X79" s="160"/>
      <c r="Y79" s="160"/>
      <c r="Z79" s="160"/>
      <c r="AA79" s="160"/>
      <c r="AB79" s="160"/>
      <c r="AC79" s="160"/>
      <c r="AD79" s="160"/>
      <c r="AE79" s="160"/>
      <c r="AF79" s="160"/>
      <c r="AG79" s="160"/>
      <c r="AH79" s="160"/>
      <c r="AI79" s="160"/>
      <c r="AJ79" s="160"/>
      <c r="AK79" s="160"/>
      <c r="AL79" s="160"/>
      <c r="AM79" s="160"/>
      <c r="AN79" s="160"/>
      <c r="AO79" s="160"/>
      <c r="AP79" s="160"/>
      <c r="AQ79" s="160"/>
      <c r="AR79" s="160"/>
      <c r="AS79" s="160"/>
      <c r="AT79" s="160"/>
      <c r="AU79" s="160"/>
      <c r="AV79" s="160"/>
      <c r="AW79" s="160"/>
      <c r="AX79" s="160"/>
      <c r="AY79" s="160"/>
      <c r="AZ79" s="160"/>
      <c r="BA79" s="160"/>
      <c r="BB79" s="160"/>
      <c r="BC79" s="160"/>
      <c r="BD79" s="160"/>
      <c r="BE79" s="160"/>
      <c r="BF79" s="160"/>
      <c r="BG79" s="160"/>
    </row>
    <row r="80" spans="2:59" hidden="1" x14ac:dyDescent="0.2">
      <c r="B80" s="222" t="str">
        <f>IF(Capacity!N73="","",Capacity!N73)</f>
        <v/>
      </c>
      <c r="C80" s="223" t="str">
        <f>IF(B80="","",Capacity!Q73)</f>
        <v/>
      </c>
      <c r="D80" s="317" t="str">
        <f>IF(B80="","",Capacity!R73)</f>
        <v/>
      </c>
      <c r="E80" s="223" t="str">
        <f>IF(B80="","",IF(COUNTIF(H80:BG80,"X")=0,SUM('Capacity calculation (hide)'!H168:BG168),COUNTIF(H80:BG80,"X")))</f>
        <v/>
      </c>
      <c r="F80" s="318" t="str">
        <f>'Capacity calculation (hide)'!BI168</f>
        <v/>
      </c>
      <c r="H80" s="160"/>
      <c r="I80" s="160"/>
      <c r="J80" s="160"/>
      <c r="K80" s="160"/>
      <c r="L80" s="160"/>
      <c r="M80" s="160"/>
      <c r="N80" s="160"/>
      <c r="O80" s="160"/>
      <c r="P80" s="160"/>
      <c r="Q80" s="160"/>
      <c r="R80" s="160"/>
      <c r="S80" s="160"/>
      <c r="T80" s="160"/>
      <c r="U80" s="160"/>
      <c r="V80" s="160"/>
      <c r="W80" s="160"/>
      <c r="X80" s="160"/>
      <c r="Y80" s="160"/>
      <c r="Z80" s="160"/>
      <c r="AA80" s="160"/>
      <c r="AB80" s="160"/>
      <c r="AC80" s="160"/>
      <c r="AD80" s="160"/>
      <c r="AE80" s="160"/>
      <c r="AF80" s="160"/>
      <c r="AG80" s="160"/>
      <c r="AH80" s="160"/>
      <c r="AI80" s="160"/>
      <c r="AJ80" s="160"/>
      <c r="AK80" s="160"/>
      <c r="AL80" s="160"/>
      <c r="AM80" s="160"/>
      <c r="AN80" s="160"/>
      <c r="AO80" s="160"/>
      <c r="AP80" s="160"/>
      <c r="AQ80" s="160"/>
      <c r="AR80" s="160"/>
      <c r="AS80" s="160"/>
      <c r="AT80" s="160"/>
      <c r="AU80" s="160"/>
      <c r="AV80" s="160"/>
      <c r="AW80" s="160"/>
      <c r="AX80" s="160"/>
      <c r="AY80" s="160"/>
      <c r="AZ80" s="160"/>
      <c r="BA80" s="160"/>
      <c r="BB80" s="160"/>
      <c r="BC80" s="160"/>
      <c r="BD80" s="160"/>
      <c r="BE80" s="160"/>
      <c r="BF80" s="160"/>
      <c r="BG80" s="160"/>
    </row>
    <row r="81" spans="2:59" hidden="1" x14ac:dyDescent="0.2">
      <c r="B81" s="222" t="str">
        <f>IF(Capacity!N74="","",Capacity!N74)</f>
        <v/>
      </c>
      <c r="C81" s="223" t="str">
        <f>IF(B81="","",Capacity!Q74)</f>
        <v/>
      </c>
      <c r="D81" s="317" t="str">
        <f>IF(B81="","",Capacity!R74)</f>
        <v/>
      </c>
      <c r="E81" s="223" t="str">
        <f>IF(B81="","",IF(COUNTIF(H81:BG81,"X")=0,SUM('Capacity calculation (hide)'!H169:BG169),COUNTIF(H81:BG81,"X")))</f>
        <v/>
      </c>
      <c r="F81" s="318" t="str">
        <f>'Capacity calculation (hide)'!BI169</f>
        <v/>
      </c>
      <c r="H81" s="160"/>
      <c r="I81" s="160"/>
      <c r="J81" s="160"/>
      <c r="K81" s="160"/>
      <c r="L81" s="160"/>
      <c r="M81" s="160"/>
      <c r="N81" s="160"/>
      <c r="O81" s="160"/>
      <c r="P81" s="160"/>
      <c r="Q81" s="160"/>
      <c r="R81" s="160"/>
      <c r="S81" s="160"/>
      <c r="T81" s="160"/>
      <c r="U81" s="160"/>
      <c r="V81" s="160"/>
      <c r="W81" s="160"/>
      <c r="X81" s="160"/>
      <c r="Y81" s="160"/>
      <c r="Z81" s="160"/>
      <c r="AA81" s="160"/>
      <c r="AB81" s="160"/>
      <c r="AC81" s="160"/>
      <c r="AD81" s="160"/>
      <c r="AE81" s="160"/>
      <c r="AF81" s="160"/>
      <c r="AG81" s="160"/>
      <c r="AH81" s="160"/>
      <c r="AI81" s="160"/>
      <c r="AJ81" s="160"/>
      <c r="AK81" s="160"/>
      <c r="AL81" s="160"/>
      <c r="AM81" s="160"/>
      <c r="AN81" s="160"/>
      <c r="AO81" s="160"/>
      <c r="AP81" s="160"/>
      <c r="AQ81" s="160"/>
      <c r="AR81" s="160"/>
      <c r="AS81" s="160"/>
      <c r="AT81" s="160"/>
      <c r="AU81" s="160"/>
      <c r="AV81" s="160"/>
      <c r="AW81" s="160"/>
      <c r="AX81" s="160"/>
      <c r="AY81" s="160"/>
      <c r="AZ81" s="160"/>
      <c r="BA81" s="160"/>
      <c r="BB81" s="160"/>
      <c r="BC81" s="160"/>
      <c r="BD81" s="160"/>
      <c r="BE81" s="160"/>
      <c r="BF81" s="160"/>
      <c r="BG81" s="160"/>
    </row>
    <row r="82" spans="2:59" hidden="1" x14ac:dyDescent="0.2">
      <c r="B82" s="222" t="str">
        <f>IF(Capacity!N75="","",Capacity!N75)</f>
        <v/>
      </c>
      <c r="C82" s="223" t="str">
        <f>IF(B82="","",Capacity!Q75)</f>
        <v/>
      </c>
      <c r="D82" s="317" t="str">
        <f>IF(B82="","",Capacity!R75)</f>
        <v/>
      </c>
      <c r="E82" s="223" t="str">
        <f>IF(B82="","",IF(COUNTIF(H82:BG82,"X")=0,SUM('Capacity calculation (hide)'!H170:BG170),COUNTIF(H82:BG82,"X")))</f>
        <v/>
      </c>
      <c r="F82" s="318" t="str">
        <f>'Capacity calculation (hide)'!BI170</f>
        <v/>
      </c>
      <c r="H82" s="160"/>
      <c r="I82" s="160"/>
      <c r="J82" s="160"/>
      <c r="K82" s="160"/>
      <c r="L82" s="160"/>
      <c r="M82" s="160"/>
      <c r="N82" s="160"/>
      <c r="O82" s="160"/>
      <c r="P82" s="160"/>
      <c r="Q82" s="160"/>
      <c r="R82" s="160"/>
      <c r="S82" s="160"/>
      <c r="T82" s="160"/>
      <c r="U82" s="160"/>
      <c r="V82" s="160"/>
      <c r="W82" s="160"/>
      <c r="X82" s="160"/>
      <c r="Y82" s="160"/>
      <c r="Z82" s="160"/>
      <c r="AA82" s="160"/>
      <c r="AB82" s="160"/>
      <c r="AC82" s="160"/>
      <c r="AD82" s="160"/>
      <c r="AE82" s="160"/>
      <c r="AF82" s="160"/>
      <c r="AG82" s="160"/>
      <c r="AH82" s="160"/>
      <c r="AI82" s="160"/>
      <c r="AJ82" s="160"/>
      <c r="AK82" s="160"/>
      <c r="AL82" s="160"/>
      <c r="AM82" s="160"/>
      <c r="AN82" s="160"/>
      <c r="AO82" s="160"/>
      <c r="AP82" s="160"/>
      <c r="AQ82" s="160"/>
      <c r="AR82" s="160"/>
      <c r="AS82" s="160"/>
      <c r="AT82" s="160"/>
      <c r="AU82" s="160"/>
      <c r="AV82" s="160"/>
      <c r="AW82" s="160"/>
      <c r="AX82" s="160"/>
      <c r="AY82" s="160"/>
      <c r="AZ82" s="160"/>
      <c r="BA82" s="160"/>
      <c r="BB82" s="160"/>
      <c r="BC82" s="160"/>
      <c r="BD82" s="160"/>
      <c r="BE82" s="160"/>
      <c r="BF82" s="160"/>
      <c r="BG82" s="160"/>
    </row>
    <row r="83" spans="2:59" hidden="1" x14ac:dyDescent="0.2">
      <c r="B83" s="222" t="str">
        <f>IF(Capacity!N76="","",Capacity!N76)</f>
        <v/>
      </c>
      <c r="C83" s="223" t="str">
        <f>IF(B83="","",Capacity!Q76)</f>
        <v/>
      </c>
      <c r="D83" s="317" t="str">
        <f>IF(B83="","",Capacity!R76)</f>
        <v/>
      </c>
      <c r="E83" s="223" t="str">
        <f>IF(B83="","",IF(COUNTIF(H83:BG83,"X")=0,SUM('Capacity calculation (hide)'!H171:BG171),COUNTIF(H83:BG83,"X")))</f>
        <v/>
      </c>
      <c r="F83" s="318" t="str">
        <f>'Capacity calculation (hide)'!BI171</f>
        <v/>
      </c>
      <c r="H83" s="160"/>
      <c r="I83" s="160"/>
      <c r="J83" s="160"/>
      <c r="K83" s="160"/>
      <c r="L83" s="160"/>
      <c r="M83" s="160"/>
      <c r="N83" s="160"/>
      <c r="O83" s="160"/>
      <c r="P83" s="160"/>
      <c r="Q83" s="160"/>
      <c r="R83" s="160"/>
      <c r="S83" s="160"/>
      <c r="T83" s="160"/>
      <c r="U83" s="160"/>
      <c r="V83" s="160"/>
      <c r="W83" s="160"/>
      <c r="X83" s="160"/>
      <c r="Y83" s="160"/>
      <c r="Z83" s="160"/>
      <c r="AA83" s="160"/>
      <c r="AB83" s="160"/>
      <c r="AC83" s="160"/>
      <c r="AD83" s="160"/>
      <c r="AE83" s="160"/>
      <c r="AF83" s="160"/>
      <c r="AG83" s="160"/>
      <c r="AH83" s="160"/>
      <c r="AI83" s="160"/>
      <c r="AJ83" s="160"/>
      <c r="AK83" s="160"/>
      <c r="AL83" s="160"/>
      <c r="AM83" s="160"/>
      <c r="AN83" s="160"/>
      <c r="AO83" s="160"/>
      <c r="AP83" s="160"/>
      <c r="AQ83" s="160"/>
      <c r="AR83" s="160"/>
      <c r="AS83" s="160"/>
      <c r="AT83" s="160"/>
      <c r="AU83" s="160"/>
      <c r="AV83" s="160"/>
      <c r="AW83" s="160"/>
      <c r="AX83" s="160"/>
      <c r="AY83" s="160"/>
      <c r="AZ83" s="160"/>
      <c r="BA83" s="160"/>
      <c r="BB83" s="160"/>
      <c r="BC83" s="160"/>
      <c r="BD83" s="160"/>
      <c r="BE83" s="160"/>
      <c r="BF83" s="160"/>
      <c r="BG83" s="160"/>
    </row>
    <row r="84" spans="2:59" hidden="1" x14ac:dyDescent="0.2">
      <c r="B84" s="222" t="str">
        <f>IF(Capacity!N77="","",Capacity!N77)</f>
        <v/>
      </c>
      <c r="C84" s="223" t="str">
        <f>IF(B84="","",Capacity!Q77)</f>
        <v/>
      </c>
      <c r="D84" s="317" t="str">
        <f>IF(B84="","",Capacity!R77)</f>
        <v/>
      </c>
      <c r="E84" s="223" t="str">
        <f>IF(B84="","",IF(COUNTIF(H84:BG84,"X")=0,SUM('Capacity calculation (hide)'!H172:BG172),COUNTIF(H84:BG84,"X")))</f>
        <v/>
      </c>
      <c r="F84" s="318" t="str">
        <f>'Capacity calculation (hide)'!BI172</f>
        <v/>
      </c>
      <c r="H84" s="160"/>
      <c r="I84" s="160"/>
      <c r="J84" s="160"/>
      <c r="K84" s="160"/>
      <c r="L84" s="160"/>
      <c r="M84" s="160"/>
      <c r="N84" s="160"/>
      <c r="O84" s="160"/>
      <c r="P84" s="160"/>
      <c r="Q84" s="160"/>
      <c r="R84" s="160"/>
      <c r="S84" s="160"/>
      <c r="T84" s="160"/>
      <c r="U84" s="160"/>
      <c r="V84" s="160"/>
      <c r="W84" s="160"/>
      <c r="X84" s="160"/>
      <c r="Y84" s="160"/>
      <c r="Z84" s="160"/>
      <c r="AA84" s="160"/>
      <c r="AB84" s="160"/>
      <c r="AC84" s="160"/>
      <c r="AD84" s="160"/>
      <c r="AE84" s="160"/>
      <c r="AF84" s="160"/>
      <c r="AG84" s="160"/>
      <c r="AH84" s="160"/>
      <c r="AI84" s="160"/>
      <c r="AJ84" s="160"/>
      <c r="AK84" s="160"/>
      <c r="AL84" s="160"/>
      <c r="AM84" s="160"/>
      <c r="AN84" s="160"/>
      <c r="AO84" s="160"/>
      <c r="AP84" s="160"/>
      <c r="AQ84" s="160"/>
      <c r="AR84" s="160"/>
      <c r="AS84" s="160"/>
      <c r="AT84" s="160"/>
      <c r="AU84" s="160"/>
      <c r="AV84" s="160"/>
      <c r="AW84" s="160"/>
      <c r="AX84" s="160"/>
      <c r="AY84" s="160"/>
      <c r="AZ84" s="160"/>
      <c r="BA84" s="160"/>
      <c r="BB84" s="160"/>
      <c r="BC84" s="160"/>
      <c r="BD84" s="160"/>
      <c r="BE84" s="160"/>
      <c r="BF84" s="160"/>
      <c r="BG84" s="160"/>
    </row>
    <row r="85" spans="2:59" hidden="1" x14ac:dyDescent="0.2">
      <c r="B85" s="222" t="str">
        <f>IF(Capacity!N78="","",Capacity!N78)</f>
        <v/>
      </c>
      <c r="C85" s="223" t="str">
        <f>IF(B85="","",Capacity!Q78)</f>
        <v/>
      </c>
      <c r="D85" s="317" t="str">
        <f>IF(B85="","",Capacity!R78)</f>
        <v/>
      </c>
      <c r="E85" s="223" t="str">
        <f>IF(B85="","",IF(COUNTIF(H85:BG85,"X")=0,SUM('Capacity calculation (hide)'!H173:BG173),COUNTIF(H85:BG85,"X")))</f>
        <v/>
      </c>
      <c r="F85" s="318" t="str">
        <f>'Capacity calculation (hide)'!BI173</f>
        <v/>
      </c>
      <c r="H85" s="160"/>
      <c r="I85" s="160"/>
      <c r="J85" s="160"/>
      <c r="K85" s="160"/>
      <c r="L85" s="160"/>
      <c r="M85" s="160"/>
      <c r="N85" s="160"/>
      <c r="O85" s="160"/>
      <c r="P85" s="160"/>
      <c r="Q85" s="160"/>
      <c r="R85" s="160"/>
      <c r="S85" s="160"/>
      <c r="T85" s="160"/>
      <c r="U85" s="160"/>
      <c r="V85" s="160"/>
      <c r="W85" s="160"/>
      <c r="X85" s="160"/>
      <c r="Y85" s="160"/>
      <c r="Z85" s="160"/>
      <c r="AA85" s="160"/>
      <c r="AB85" s="160"/>
      <c r="AC85" s="160"/>
      <c r="AD85" s="160"/>
      <c r="AE85" s="160"/>
      <c r="AF85" s="160"/>
      <c r="AG85" s="160"/>
      <c r="AH85" s="160"/>
      <c r="AI85" s="160"/>
      <c r="AJ85" s="160"/>
      <c r="AK85" s="160"/>
      <c r="AL85" s="160"/>
      <c r="AM85" s="160"/>
      <c r="AN85" s="160"/>
      <c r="AO85" s="160"/>
      <c r="AP85" s="160"/>
      <c r="AQ85" s="160"/>
      <c r="AR85" s="160"/>
      <c r="AS85" s="160"/>
      <c r="AT85" s="160"/>
      <c r="AU85" s="160"/>
      <c r="AV85" s="160"/>
      <c r="AW85" s="160"/>
      <c r="AX85" s="160"/>
      <c r="AY85" s="160"/>
      <c r="AZ85" s="160"/>
      <c r="BA85" s="160"/>
      <c r="BB85" s="160"/>
      <c r="BC85" s="160"/>
      <c r="BD85" s="160"/>
      <c r="BE85" s="160"/>
      <c r="BF85" s="160"/>
      <c r="BG85" s="160"/>
    </row>
    <row r="86" spans="2:59" hidden="1" x14ac:dyDescent="0.2">
      <c r="B86" s="222" t="str">
        <f>IF(Capacity!N79="","",Capacity!N79)</f>
        <v/>
      </c>
      <c r="C86" s="223" t="str">
        <f>IF(B86="","",Capacity!Q79)</f>
        <v/>
      </c>
      <c r="D86" s="317" t="str">
        <f>IF(B86="","",Capacity!R79)</f>
        <v/>
      </c>
      <c r="E86" s="223" t="str">
        <f>IF(B86="","",IF(COUNTIF(H86:BG86,"X")=0,SUM('Capacity calculation (hide)'!H174:BG174),COUNTIF(H86:BG86,"X")))</f>
        <v/>
      </c>
      <c r="F86" s="318" t="str">
        <f>'Capacity calculation (hide)'!BI174</f>
        <v/>
      </c>
      <c r="H86" s="160"/>
      <c r="I86" s="160"/>
      <c r="J86" s="160"/>
      <c r="K86" s="160"/>
      <c r="L86" s="160"/>
      <c r="M86" s="160"/>
      <c r="N86" s="160"/>
      <c r="O86" s="160"/>
      <c r="P86" s="160"/>
      <c r="Q86" s="160"/>
      <c r="R86" s="160"/>
      <c r="S86" s="160"/>
      <c r="T86" s="160"/>
      <c r="U86" s="160"/>
      <c r="V86" s="160"/>
      <c r="W86" s="160"/>
      <c r="X86" s="160"/>
      <c r="Y86" s="160"/>
      <c r="Z86" s="160"/>
      <c r="AA86" s="160"/>
      <c r="AB86" s="160"/>
      <c r="AC86" s="160"/>
      <c r="AD86" s="160"/>
      <c r="AE86" s="160"/>
      <c r="AF86" s="160"/>
      <c r="AG86" s="160"/>
      <c r="AH86" s="160"/>
      <c r="AI86" s="160"/>
      <c r="AJ86" s="160"/>
      <c r="AK86" s="160"/>
      <c r="AL86" s="160"/>
      <c r="AM86" s="160"/>
      <c r="AN86" s="160"/>
      <c r="AO86" s="160"/>
      <c r="AP86" s="160"/>
      <c r="AQ86" s="160"/>
      <c r="AR86" s="160"/>
      <c r="AS86" s="160"/>
      <c r="AT86" s="160"/>
      <c r="AU86" s="160"/>
      <c r="AV86" s="160"/>
      <c r="AW86" s="160"/>
      <c r="AX86" s="160"/>
      <c r="AY86" s="160"/>
      <c r="AZ86" s="160"/>
      <c r="BA86" s="160"/>
      <c r="BB86" s="160"/>
      <c r="BC86" s="160"/>
      <c r="BD86" s="160"/>
      <c r="BE86" s="160"/>
      <c r="BF86" s="160"/>
      <c r="BG86" s="160"/>
    </row>
    <row r="87" spans="2:59" hidden="1" x14ac:dyDescent="0.2">
      <c r="B87" s="222" t="str">
        <f>IF(Capacity!N80="","",Capacity!N80)</f>
        <v/>
      </c>
      <c r="C87" s="223" t="str">
        <f>IF(B87="","",Capacity!Q80)</f>
        <v/>
      </c>
      <c r="D87" s="317" t="str">
        <f>IF(B87="","",Capacity!R80)</f>
        <v/>
      </c>
      <c r="E87" s="223" t="str">
        <f>IF(B87="","",IF(COUNTIF(H87:BG87,"X")=0,SUM('Capacity calculation (hide)'!H175:BG175),COUNTIF(H87:BG87,"X")))</f>
        <v/>
      </c>
      <c r="F87" s="318" t="str">
        <f>'Capacity calculation (hide)'!BI175</f>
        <v/>
      </c>
      <c r="H87" s="160"/>
      <c r="I87" s="160"/>
      <c r="J87" s="160"/>
      <c r="K87" s="160"/>
      <c r="L87" s="160"/>
      <c r="M87" s="160"/>
      <c r="N87" s="160"/>
      <c r="O87" s="160"/>
      <c r="P87" s="160"/>
      <c r="Q87" s="160"/>
      <c r="R87" s="160"/>
      <c r="S87" s="160"/>
      <c r="T87" s="160"/>
      <c r="U87" s="160"/>
      <c r="V87" s="160"/>
      <c r="W87" s="160"/>
      <c r="X87" s="160"/>
      <c r="Y87" s="160"/>
      <c r="Z87" s="160"/>
      <c r="AA87" s="160"/>
      <c r="AB87" s="160"/>
      <c r="AC87" s="160"/>
      <c r="AD87" s="160"/>
      <c r="AE87" s="160"/>
      <c r="AF87" s="160"/>
      <c r="AG87" s="160"/>
      <c r="AH87" s="160"/>
      <c r="AI87" s="160"/>
      <c r="AJ87" s="160"/>
      <c r="AK87" s="160"/>
      <c r="AL87" s="160"/>
      <c r="AM87" s="160"/>
      <c r="AN87" s="160"/>
      <c r="AO87" s="160"/>
      <c r="AP87" s="160"/>
      <c r="AQ87" s="160"/>
      <c r="AR87" s="160"/>
      <c r="AS87" s="160"/>
      <c r="AT87" s="160"/>
      <c r="AU87" s="160"/>
      <c r="AV87" s="160"/>
      <c r="AW87" s="160"/>
      <c r="AX87" s="160"/>
      <c r="AY87" s="160"/>
      <c r="AZ87" s="160"/>
      <c r="BA87" s="160"/>
      <c r="BB87" s="160"/>
      <c r="BC87" s="160"/>
      <c r="BD87" s="160"/>
      <c r="BE87" s="160"/>
      <c r="BF87" s="160"/>
      <c r="BG87" s="160"/>
    </row>
    <row r="88" spans="2:59" hidden="1" x14ac:dyDescent="0.2">
      <c r="B88" s="222" t="str">
        <f>IF(Capacity!N81="","",Capacity!N81)</f>
        <v/>
      </c>
      <c r="C88" s="223" t="str">
        <f>IF(B88="","",Capacity!Q81)</f>
        <v/>
      </c>
      <c r="D88" s="317" t="str">
        <f>IF(B88="","",Capacity!R81)</f>
        <v/>
      </c>
      <c r="E88" s="223" t="str">
        <f>IF(B88="","",IF(COUNTIF(H88:BG88,"X")=0,SUM('Capacity calculation (hide)'!H176:BG176),COUNTIF(H88:BG88,"X")))</f>
        <v/>
      </c>
      <c r="F88" s="318" t="str">
        <f>'Capacity calculation (hide)'!BI176</f>
        <v/>
      </c>
      <c r="H88" s="160"/>
      <c r="I88" s="160"/>
      <c r="J88" s="160"/>
      <c r="K88" s="160"/>
      <c r="L88" s="160"/>
      <c r="M88" s="160"/>
      <c r="N88" s="160"/>
      <c r="O88" s="160"/>
      <c r="P88" s="160"/>
      <c r="Q88" s="160"/>
      <c r="R88" s="160"/>
      <c r="S88" s="160"/>
      <c r="T88" s="160"/>
      <c r="U88" s="160"/>
      <c r="V88" s="160"/>
      <c r="W88" s="160"/>
      <c r="X88" s="160"/>
      <c r="Y88" s="160"/>
      <c r="Z88" s="160"/>
      <c r="AA88" s="160"/>
      <c r="AB88" s="160"/>
      <c r="AC88" s="160"/>
      <c r="AD88" s="160"/>
      <c r="AE88" s="160"/>
      <c r="AF88" s="160"/>
      <c r="AG88" s="160"/>
      <c r="AH88" s="160"/>
      <c r="AI88" s="160"/>
      <c r="AJ88" s="160"/>
      <c r="AK88" s="160"/>
      <c r="AL88" s="160"/>
      <c r="AM88" s="160"/>
      <c r="AN88" s="160"/>
      <c r="AO88" s="160"/>
      <c r="AP88" s="160"/>
      <c r="AQ88" s="160"/>
      <c r="AR88" s="160"/>
      <c r="AS88" s="160"/>
      <c r="AT88" s="160"/>
      <c r="AU88" s="160"/>
      <c r="AV88" s="160"/>
      <c r="AW88" s="160"/>
      <c r="AX88" s="160"/>
      <c r="AY88" s="160"/>
      <c r="AZ88" s="160"/>
      <c r="BA88" s="160"/>
      <c r="BB88" s="160"/>
      <c r="BC88" s="160"/>
      <c r="BD88" s="160"/>
      <c r="BE88" s="160"/>
      <c r="BF88" s="160"/>
      <c r="BG88" s="160"/>
    </row>
    <row r="89" spans="2:59" hidden="1" x14ac:dyDescent="0.2">
      <c r="B89" s="222" t="str">
        <f>IF(Capacity!N82="","",Capacity!N82)</f>
        <v/>
      </c>
      <c r="C89" s="223" t="str">
        <f>IF(B89="","",Capacity!Q82)</f>
        <v/>
      </c>
      <c r="D89" s="317" t="str">
        <f>IF(B89="","",Capacity!R82)</f>
        <v/>
      </c>
      <c r="E89" s="223" t="str">
        <f>IF(B89="","",IF(COUNTIF(H89:BG89,"X")=0,SUM('Capacity calculation (hide)'!H177:BG177),COUNTIF(H89:BG89,"X")))</f>
        <v/>
      </c>
      <c r="F89" s="318" t="str">
        <f>'Capacity calculation (hide)'!BI177</f>
        <v/>
      </c>
      <c r="H89" s="160"/>
      <c r="I89" s="160"/>
      <c r="J89" s="160"/>
      <c r="K89" s="160"/>
      <c r="L89" s="160"/>
      <c r="M89" s="160"/>
      <c r="N89" s="160"/>
      <c r="O89" s="160"/>
      <c r="P89" s="160"/>
      <c r="Q89" s="160"/>
      <c r="R89" s="160"/>
      <c r="S89" s="160"/>
      <c r="T89" s="160"/>
      <c r="U89" s="160"/>
      <c r="V89" s="160"/>
      <c r="W89" s="160"/>
      <c r="X89" s="160"/>
      <c r="Y89" s="160"/>
      <c r="Z89" s="160"/>
      <c r="AA89" s="160"/>
      <c r="AB89" s="160"/>
      <c r="AC89" s="160"/>
      <c r="AD89" s="160"/>
      <c r="AE89" s="160"/>
      <c r="AF89" s="160"/>
      <c r="AG89" s="160"/>
      <c r="AH89" s="160"/>
      <c r="AI89" s="160"/>
      <c r="AJ89" s="160"/>
      <c r="AK89" s="160"/>
      <c r="AL89" s="160"/>
      <c r="AM89" s="160"/>
      <c r="AN89" s="160"/>
      <c r="AO89" s="160"/>
      <c r="AP89" s="160"/>
      <c r="AQ89" s="160"/>
      <c r="AR89" s="160"/>
      <c r="AS89" s="160"/>
      <c r="AT89" s="160"/>
      <c r="AU89" s="160"/>
      <c r="AV89" s="160"/>
      <c r="AW89" s="160"/>
      <c r="AX89" s="160"/>
      <c r="AY89" s="160"/>
      <c r="AZ89" s="160"/>
      <c r="BA89" s="160"/>
      <c r="BB89" s="160"/>
      <c r="BC89" s="160"/>
      <c r="BD89" s="160"/>
      <c r="BE89" s="160"/>
      <c r="BF89" s="160"/>
      <c r="BG89" s="160"/>
    </row>
    <row r="90" spans="2:59" hidden="1" x14ac:dyDescent="0.2">
      <c r="B90" s="222" t="str">
        <f>IF(Capacity!N83="","",Capacity!N83)</f>
        <v/>
      </c>
      <c r="C90" s="223" t="str">
        <f>IF(B90="","",Capacity!Q83)</f>
        <v/>
      </c>
      <c r="D90" s="317" t="str">
        <f>IF(B90="","",Capacity!R83)</f>
        <v/>
      </c>
      <c r="E90" s="223" t="str">
        <f>IF(B90="","",IF(COUNTIF(H90:BG90,"X")=0,SUM('Capacity calculation (hide)'!H178:BG178),COUNTIF(H90:BG90,"X")))</f>
        <v/>
      </c>
      <c r="F90" s="318" t="str">
        <f>'Capacity calculation (hide)'!BI178</f>
        <v/>
      </c>
      <c r="H90" s="160"/>
      <c r="I90" s="160"/>
      <c r="J90" s="160"/>
      <c r="K90" s="160"/>
      <c r="L90" s="160"/>
      <c r="M90" s="160"/>
      <c r="N90" s="160"/>
      <c r="O90" s="160"/>
      <c r="P90" s="160"/>
      <c r="Q90" s="160"/>
      <c r="R90" s="160"/>
      <c r="S90" s="160"/>
      <c r="T90" s="160"/>
      <c r="U90" s="160"/>
      <c r="V90" s="160"/>
      <c r="W90" s="160"/>
      <c r="X90" s="160"/>
      <c r="Y90" s="160"/>
      <c r="Z90" s="160"/>
      <c r="AA90" s="160"/>
      <c r="AB90" s="160"/>
      <c r="AC90" s="160"/>
      <c r="AD90" s="160"/>
      <c r="AE90" s="160"/>
      <c r="AF90" s="160"/>
      <c r="AG90" s="160"/>
      <c r="AH90" s="160"/>
      <c r="AI90" s="160"/>
      <c r="AJ90" s="160"/>
      <c r="AK90" s="160"/>
      <c r="AL90" s="160"/>
      <c r="AM90" s="160"/>
      <c r="AN90" s="160"/>
      <c r="AO90" s="160"/>
      <c r="AP90" s="160"/>
      <c r="AQ90" s="160"/>
      <c r="AR90" s="160"/>
      <c r="AS90" s="160"/>
      <c r="AT90" s="160"/>
      <c r="AU90" s="160"/>
      <c r="AV90" s="160"/>
      <c r="AW90" s="160"/>
      <c r="AX90" s="160"/>
      <c r="AY90" s="160"/>
      <c r="AZ90" s="160"/>
      <c r="BA90" s="160"/>
      <c r="BB90" s="160"/>
      <c r="BC90" s="160"/>
      <c r="BD90" s="160"/>
      <c r="BE90" s="160"/>
      <c r="BF90" s="160"/>
      <c r="BG90" s="160"/>
    </row>
    <row r="91" spans="2:59" hidden="1" x14ac:dyDescent="0.2">
      <c r="B91" s="222" t="str">
        <f>IF(Capacity!N84="","",Capacity!N84)</f>
        <v/>
      </c>
      <c r="C91" s="223" t="str">
        <f>IF(B91="","",Capacity!Q84)</f>
        <v/>
      </c>
      <c r="D91" s="317" t="str">
        <f>IF(B91="","",Capacity!R84)</f>
        <v/>
      </c>
      <c r="E91" s="223" t="str">
        <f>IF(B91="","",IF(COUNTIF(H91:BG91,"X")=0,SUM('Capacity calculation (hide)'!H179:BG179),COUNTIF(H91:BG91,"X")))</f>
        <v/>
      </c>
      <c r="F91" s="318" t="str">
        <f>'Capacity calculation (hide)'!BI179</f>
        <v/>
      </c>
      <c r="H91" s="160"/>
      <c r="I91" s="160"/>
      <c r="J91" s="160"/>
      <c r="K91" s="160"/>
      <c r="L91" s="160"/>
      <c r="M91" s="160"/>
      <c r="N91" s="160"/>
      <c r="O91" s="160"/>
      <c r="P91" s="160"/>
      <c r="Q91" s="160"/>
      <c r="R91" s="160"/>
      <c r="S91" s="160"/>
      <c r="T91" s="160"/>
      <c r="U91" s="160"/>
      <c r="V91" s="160"/>
      <c r="W91" s="160"/>
      <c r="X91" s="160"/>
      <c r="Y91" s="160"/>
      <c r="Z91" s="160"/>
      <c r="AA91" s="160"/>
      <c r="AB91" s="160"/>
      <c r="AC91" s="160"/>
      <c r="AD91" s="160"/>
      <c r="AE91" s="160"/>
      <c r="AF91" s="160"/>
      <c r="AG91" s="160"/>
      <c r="AH91" s="160"/>
      <c r="AI91" s="160"/>
      <c r="AJ91" s="160"/>
      <c r="AK91" s="160"/>
      <c r="AL91" s="160"/>
      <c r="AM91" s="160"/>
      <c r="AN91" s="160"/>
      <c r="AO91" s="160"/>
      <c r="AP91" s="160"/>
      <c r="AQ91" s="160"/>
      <c r="AR91" s="160"/>
      <c r="AS91" s="160"/>
      <c r="AT91" s="160"/>
      <c r="AU91" s="160"/>
      <c r="AV91" s="160"/>
      <c r="AW91" s="160"/>
      <c r="AX91" s="160"/>
      <c r="AY91" s="160"/>
      <c r="AZ91" s="160"/>
      <c r="BA91" s="160"/>
      <c r="BB91" s="160"/>
      <c r="BC91" s="160"/>
      <c r="BD91" s="160"/>
      <c r="BE91" s="160"/>
      <c r="BF91" s="160"/>
      <c r="BG91" s="160"/>
    </row>
    <row r="92" spans="2:59" hidden="1" x14ac:dyDescent="0.2">
      <c r="B92" s="222" t="str">
        <f>IF(Capacity!N85="","",Capacity!N85)</f>
        <v/>
      </c>
      <c r="C92" s="223" t="str">
        <f>IF(B92="","",Capacity!Q85)</f>
        <v/>
      </c>
      <c r="D92" s="317" t="str">
        <f>IF(B92="","",Capacity!R85)</f>
        <v/>
      </c>
      <c r="E92" s="223" t="str">
        <f>IF(B92="","",IF(COUNTIF(H92:BG92,"X")=0,SUM('Capacity calculation (hide)'!H180:BG180),COUNTIF(H92:BG92,"X")))</f>
        <v/>
      </c>
      <c r="F92" s="318" t="str">
        <f>'Capacity calculation (hide)'!BI180</f>
        <v/>
      </c>
      <c r="H92" s="160"/>
      <c r="I92" s="160"/>
      <c r="J92" s="160"/>
      <c r="K92" s="160"/>
      <c r="L92" s="160"/>
      <c r="M92" s="160"/>
      <c r="N92" s="160"/>
      <c r="O92" s="160"/>
      <c r="P92" s="160"/>
      <c r="Q92" s="160"/>
      <c r="R92" s="160"/>
      <c r="S92" s="160"/>
      <c r="T92" s="160"/>
      <c r="U92" s="160"/>
      <c r="V92" s="160"/>
      <c r="W92" s="160"/>
      <c r="X92" s="160"/>
      <c r="Y92" s="160"/>
      <c r="Z92" s="160"/>
      <c r="AA92" s="160"/>
      <c r="AB92" s="160"/>
      <c r="AC92" s="160"/>
      <c r="AD92" s="160"/>
      <c r="AE92" s="160"/>
      <c r="AF92" s="160"/>
      <c r="AG92" s="160"/>
      <c r="AH92" s="160"/>
      <c r="AI92" s="160"/>
      <c r="AJ92" s="160"/>
      <c r="AK92" s="160"/>
      <c r="AL92" s="160"/>
      <c r="AM92" s="160"/>
      <c r="AN92" s="160"/>
      <c r="AO92" s="160"/>
      <c r="AP92" s="160"/>
      <c r="AQ92" s="160"/>
      <c r="AR92" s="160"/>
      <c r="AS92" s="160"/>
      <c r="AT92" s="160"/>
      <c r="AU92" s="160"/>
      <c r="AV92" s="160"/>
      <c r="AW92" s="160"/>
      <c r="AX92" s="160"/>
      <c r="AY92" s="160"/>
      <c r="AZ92" s="160"/>
      <c r="BA92" s="160"/>
      <c r="BB92" s="160"/>
      <c r="BC92" s="160"/>
      <c r="BD92" s="160"/>
      <c r="BE92" s="160"/>
      <c r="BF92" s="160"/>
      <c r="BG92" s="160"/>
    </row>
    <row r="93" spans="2:59" hidden="1" x14ac:dyDescent="0.2">
      <c r="B93" s="222" t="str">
        <f>IF(Capacity!N86="","",Capacity!N86)</f>
        <v/>
      </c>
      <c r="C93" s="223" t="str">
        <f>IF(B93="","",Capacity!Q86)</f>
        <v/>
      </c>
      <c r="D93" s="317" t="str">
        <f>IF(B93="","",Capacity!R86)</f>
        <v/>
      </c>
      <c r="E93" s="223" t="str">
        <f>IF(B93="","",IF(COUNTIF(H93:BG93,"X")=0,SUM('Capacity calculation (hide)'!H181:BG181),COUNTIF(H93:BG93,"X")))</f>
        <v/>
      </c>
      <c r="F93" s="318" t="str">
        <f>'Capacity calculation (hide)'!BI181</f>
        <v/>
      </c>
      <c r="H93" s="160"/>
      <c r="I93" s="160"/>
      <c r="J93" s="160"/>
      <c r="K93" s="160"/>
      <c r="L93" s="160"/>
      <c r="M93" s="160"/>
      <c r="N93" s="160"/>
      <c r="O93" s="160"/>
      <c r="P93" s="160"/>
      <c r="Q93" s="160"/>
      <c r="R93" s="160"/>
      <c r="S93" s="160"/>
      <c r="T93" s="160"/>
      <c r="U93" s="160"/>
      <c r="V93" s="160"/>
      <c r="W93" s="160"/>
      <c r="X93" s="160"/>
      <c r="Y93" s="160"/>
      <c r="Z93" s="160"/>
      <c r="AA93" s="160"/>
      <c r="AB93" s="160"/>
      <c r="AC93" s="160"/>
      <c r="AD93" s="160"/>
      <c r="AE93" s="160"/>
      <c r="AF93" s="160"/>
      <c r="AG93" s="160"/>
      <c r="AH93" s="160"/>
      <c r="AI93" s="160"/>
      <c r="AJ93" s="160"/>
      <c r="AK93" s="160"/>
      <c r="AL93" s="160"/>
      <c r="AM93" s="160"/>
      <c r="AN93" s="160"/>
      <c r="AO93" s="160"/>
      <c r="AP93" s="160"/>
      <c r="AQ93" s="160"/>
      <c r="AR93" s="160"/>
      <c r="AS93" s="160"/>
      <c r="AT93" s="160"/>
      <c r="AU93" s="160"/>
      <c r="AV93" s="160"/>
      <c r="AW93" s="160"/>
      <c r="AX93" s="160"/>
      <c r="AY93" s="160"/>
      <c r="AZ93" s="160"/>
      <c r="BA93" s="160"/>
      <c r="BB93" s="160"/>
      <c r="BC93" s="160"/>
      <c r="BD93" s="160"/>
      <c r="BE93" s="160"/>
      <c r="BF93" s="160"/>
      <c r="BG93" s="160"/>
    </row>
    <row r="94" spans="2:59" hidden="1" x14ac:dyDescent="0.2">
      <c r="B94" s="222" t="str">
        <f>IF(Capacity!N87="","",Capacity!N87)</f>
        <v/>
      </c>
      <c r="C94" s="223" t="str">
        <f>IF(B94="","",Capacity!Q87)</f>
        <v/>
      </c>
      <c r="D94" s="317" t="str">
        <f>IF(B94="","",Capacity!R87)</f>
        <v/>
      </c>
      <c r="E94" s="223" t="str">
        <f>IF(B94="","",IF(COUNTIF(H94:BG94,"X")=0,SUM('Capacity calculation (hide)'!H182:BG182),COUNTIF(H94:BG94,"X")))</f>
        <v/>
      </c>
      <c r="F94" s="318" t="str">
        <f>'Capacity calculation (hide)'!BI182</f>
        <v/>
      </c>
      <c r="H94" s="160"/>
      <c r="I94" s="160"/>
      <c r="J94" s="160"/>
      <c r="K94" s="160"/>
      <c r="L94" s="160"/>
      <c r="M94" s="160"/>
      <c r="N94" s="160"/>
      <c r="O94" s="160"/>
      <c r="P94" s="160"/>
      <c r="Q94" s="160"/>
      <c r="R94" s="160"/>
      <c r="S94" s="160"/>
      <c r="T94" s="160"/>
      <c r="U94" s="160"/>
      <c r="V94" s="160"/>
      <c r="W94" s="160"/>
      <c r="X94" s="160"/>
      <c r="Y94" s="160"/>
      <c r="Z94" s="160"/>
      <c r="AA94" s="160"/>
      <c r="AB94" s="160"/>
      <c r="AC94" s="160"/>
      <c r="AD94" s="160"/>
      <c r="AE94" s="160"/>
      <c r="AF94" s="160"/>
      <c r="AG94" s="160"/>
      <c r="AH94" s="160"/>
      <c r="AI94" s="160"/>
      <c r="AJ94" s="160"/>
      <c r="AK94" s="160"/>
      <c r="AL94" s="160"/>
      <c r="AM94" s="160"/>
      <c r="AN94" s="160"/>
      <c r="AO94" s="160"/>
      <c r="AP94" s="160"/>
      <c r="AQ94" s="160"/>
      <c r="AR94" s="160"/>
      <c r="AS94" s="160"/>
      <c r="AT94" s="160"/>
      <c r="AU94" s="160"/>
      <c r="AV94" s="160"/>
      <c r="AW94" s="160"/>
      <c r="AX94" s="160"/>
      <c r="AY94" s="160"/>
      <c r="AZ94" s="160"/>
      <c r="BA94" s="160"/>
      <c r="BB94" s="160"/>
      <c r="BC94" s="160"/>
      <c r="BD94" s="160"/>
      <c r="BE94" s="160"/>
      <c r="BF94" s="160"/>
      <c r="BG94" s="160"/>
    </row>
    <row r="95" spans="2:59" hidden="1" x14ac:dyDescent="0.2">
      <c r="B95" s="222" t="str">
        <f>IF(Capacity!N88="","",Capacity!N88)</f>
        <v/>
      </c>
      <c r="C95" s="223" t="str">
        <f>IF(B95="","",Capacity!Q88)</f>
        <v/>
      </c>
      <c r="D95" s="317" t="str">
        <f>IF(B95="","",Capacity!R88)</f>
        <v/>
      </c>
      <c r="E95" s="223" t="str">
        <f>IF(B95="","",IF(COUNTIF(H95:BG95,"X")=0,SUM('Capacity calculation (hide)'!H183:BG183),COUNTIF(H95:BG95,"X")))</f>
        <v/>
      </c>
      <c r="F95" s="318" t="str">
        <f>'Capacity calculation (hide)'!BI183</f>
        <v/>
      </c>
      <c r="H95" s="160"/>
      <c r="I95" s="160"/>
      <c r="J95" s="160"/>
      <c r="K95" s="160"/>
      <c r="L95" s="160"/>
      <c r="M95" s="160"/>
      <c r="N95" s="160"/>
      <c r="O95" s="160"/>
      <c r="P95" s="160"/>
      <c r="Q95" s="160"/>
      <c r="R95" s="160"/>
      <c r="S95" s="160"/>
      <c r="T95" s="160"/>
      <c r="U95" s="160"/>
      <c r="V95" s="160"/>
      <c r="W95" s="160"/>
      <c r="X95" s="160"/>
      <c r="Y95" s="160"/>
      <c r="Z95" s="160"/>
      <c r="AA95" s="160"/>
      <c r="AB95" s="160"/>
      <c r="AC95" s="160"/>
      <c r="AD95" s="160"/>
      <c r="AE95" s="160"/>
      <c r="AF95" s="160"/>
      <c r="AG95" s="160"/>
      <c r="AH95" s="160"/>
      <c r="AI95" s="160"/>
      <c r="AJ95" s="160"/>
      <c r="AK95" s="160"/>
      <c r="AL95" s="160"/>
      <c r="AM95" s="160"/>
      <c r="AN95" s="160"/>
      <c r="AO95" s="160"/>
      <c r="AP95" s="160"/>
      <c r="AQ95" s="160"/>
      <c r="AR95" s="160"/>
      <c r="AS95" s="160"/>
      <c r="AT95" s="160"/>
      <c r="AU95" s="160"/>
      <c r="AV95" s="160"/>
      <c r="AW95" s="160"/>
      <c r="AX95" s="160"/>
      <c r="AY95" s="160"/>
      <c r="AZ95" s="160"/>
      <c r="BA95" s="160"/>
      <c r="BB95" s="160"/>
      <c r="BC95" s="160"/>
      <c r="BD95" s="160"/>
      <c r="BE95" s="160"/>
      <c r="BF95" s="160"/>
      <c r="BG95" s="160"/>
    </row>
    <row r="96" spans="2:59" hidden="1" x14ac:dyDescent="0.2">
      <c r="B96" s="222" t="str">
        <f>IF(Capacity!N89="","",Capacity!N89)</f>
        <v/>
      </c>
      <c r="C96" s="223" t="str">
        <f>IF(B96="","",Capacity!Q89)</f>
        <v/>
      </c>
      <c r="D96" s="317" t="str">
        <f>IF(B96="","",Capacity!R89)</f>
        <v/>
      </c>
      <c r="E96" s="223" t="str">
        <f>IF(B96="","",IF(COUNTIF(H96:BG96,"X")=0,SUM('Capacity calculation (hide)'!H184:BG184),COUNTIF(H96:BG96,"X")))</f>
        <v/>
      </c>
      <c r="F96" s="318" t="str">
        <f>'Capacity calculation (hide)'!BI184</f>
        <v/>
      </c>
      <c r="H96" s="160"/>
      <c r="I96" s="160"/>
      <c r="J96" s="160"/>
      <c r="K96" s="160"/>
      <c r="L96" s="160"/>
      <c r="M96" s="160"/>
      <c r="N96" s="160"/>
      <c r="O96" s="160"/>
      <c r="P96" s="160"/>
      <c r="Q96" s="160"/>
      <c r="R96" s="160"/>
      <c r="S96" s="160"/>
      <c r="T96" s="160"/>
      <c r="U96" s="160"/>
      <c r="V96" s="160"/>
      <c r="W96" s="160"/>
      <c r="X96" s="160"/>
      <c r="Y96" s="160"/>
      <c r="Z96" s="160"/>
      <c r="AA96" s="160"/>
      <c r="AB96" s="160"/>
      <c r="AC96" s="160"/>
      <c r="AD96" s="160"/>
      <c r="AE96" s="160"/>
      <c r="AF96" s="160"/>
      <c r="AG96" s="160"/>
      <c r="AH96" s="160"/>
      <c r="AI96" s="160"/>
      <c r="AJ96" s="160"/>
      <c r="AK96" s="160"/>
      <c r="AL96" s="160"/>
      <c r="AM96" s="160"/>
      <c r="AN96" s="160"/>
      <c r="AO96" s="160"/>
      <c r="AP96" s="160"/>
      <c r="AQ96" s="160"/>
      <c r="AR96" s="160"/>
      <c r="AS96" s="160"/>
      <c r="AT96" s="160"/>
      <c r="AU96" s="160"/>
      <c r="AV96" s="160"/>
      <c r="AW96" s="160"/>
      <c r="AX96" s="160"/>
      <c r="AY96" s="160"/>
      <c r="AZ96" s="160"/>
      <c r="BA96" s="160"/>
      <c r="BB96" s="160"/>
      <c r="BC96" s="160"/>
      <c r="BD96" s="160"/>
      <c r="BE96" s="160"/>
      <c r="BF96" s="160"/>
      <c r="BG96" s="160"/>
    </row>
    <row r="97" spans="2:59" hidden="1" x14ac:dyDescent="0.2">
      <c r="B97" s="222" t="str">
        <f>IF(Capacity!N90="","",Capacity!N90)</f>
        <v/>
      </c>
      <c r="C97" s="223" t="str">
        <f>IF(B97="","",Capacity!Q90)</f>
        <v/>
      </c>
      <c r="D97" s="317" t="str">
        <f>IF(B97="","",Capacity!R90)</f>
        <v/>
      </c>
      <c r="E97" s="223" t="str">
        <f>IF(B97="","",IF(COUNTIF(H97:BG97,"X")=0,SUM('Capacity calculation (hide)'!H185:BG185),COUNTIF(H97:BG97,"X")))</f>
        <v/>
      </c>
      <c r="F97" s="318" t="str">
        <f>'Capacity calculation (hide)'!BI185</f>
        <v/>
      </c>
      <c r="H97" s="160"/>
      <c r="I97" s="160"/>
      <c r="J97" s="160"/>
      <c r="K97" s="160"/>
      <c r="L97" s="160"/>
      <c r="M97" s="160"/>
      <c r="N97" s="160"/>
      <c r="O97" s="160"/>
      <c r="P97" s="160"/>
      <c r="Q97" s="160"/>
      <c r="R97" s="160"/>
      <c r="S97" s="160"/>
      <c r="T97" s="160"/>
      <c r="U97" s="160"/>
      <c r="V97" s="160"/>
      <c r="W97" s="160"/>
      <c r="X97" s="160"/>
      <c r="Y97" s="160"/>
      <c r="Z97" s="160"/>
      <c r="AA97" s="160"/>
      <c r="AB97" s="160"/>
      <c r="AC97" s="160"/>
      <c r="AD97" s="160"/>
      <c r="AE97" s="160"/>
      <c r="AF97" s="160"/>
      <c r="AG97" s="160"/>
      <c r="AH97" s="160"/>
      <c r="AI97" s="160"/>
      <c r="AJ97" s="160"/>
      <c r="AK97" s="160"/>
      <c r="AL97" s="160"/>
      <c r="AM97" s="160"/>
      <c r="AN97" s="160"/>
      <c r="AO97" s="160"/>
      <c r="AP97" s="160"/>
      <c r="AQ97" s="160"/>
      <c r="AR97" s="160"/>
      <c r="AS97" s="160"/>
      <c r="AT97" s="160"/>
      <c r="AU97" s="160"/>
      <c r="AV97" s="160"/>
      <c r="AW97" s="160"/>
      <c r="AX97" s="160"/>
      <c r="AY97" s="160"/>
      <c r="AZ97" s="160"/>
      <c r="BA97" s="160"/>
      <c r="BB97" s="160"/>
      <c r="BC97" s="160"/>
      <c r="BD97" s="160"/>
      <c r="BE97" s="160"/>
      <c r="BF97" s="160"/>
      <c r="BG97" s="160"/>
    </row>
    <row r="98" spans="2:59" hidden="1" x14ac:dyDescent="0.2">
      <c r="B98" s="222" t="str">
        <f>IF(Capacity!N91="","",Capacity!N91)</f>
        <v/>
      </c>
      <c r="C98" s="223" t="str">
        <f>IF(B98="","",Capacity!Q91)</f>
        <v/>
      </c>
      <c r="D98" s="317" t="str">
        <f>IF(B98="","",Capacity!R91)</f>
        <v/>
      </c>
      <c r="E98" s="223" t="str">
        <f>IF(B98="","",IF(COUNTIF(H98:BG98,"X")=0,SUM('Capacity calculation (hide)'!H186:BG186),COUNTIF(H98:BG98,"X")))</f>
        <v/>
      </c>
      <c r="F98" s="318" t="str">
        <f>'Capacity calculation (hide)'!BI186</f>
        <v/>
      </c>
      <c r="H98" s="160"/>
      <c r="I98" s="160"/>
      <c r="J98" s="160"/>
      <c r="K98" s="160"/>
      <c r="L98" s="160"/>
      <c r="M98" s="160"/>
      <c r="N98" s="160"/>
      <c r="O98" s="160"/>
      <c r="P98" s="160"/>
      <c r="Q98" s="160"/>
      <c r="R98" s="160"/>
      <c r="S98" s="160"/>
      <c r="T98" s="160"/>
      <c r="U98" s="160"/>
      <c r="V98" s="160"/>
      <c r="W98" s="160"/>
      <c r="X98" s="160"/>
      <c r="Y98" s="160"/>
      <c r="Z98" s="160"/>
      <c r="AA98" s="160"/>
      <c r="AB98" s="160"/>
      <c r="AC98" s="160"/>
      <c r="AD98" s="160"/>
      <c r="AE98" s="160"/>
      <c r="AF98" s="160"/>
      <c r="AG98" s="160"/>
      <c r="AH98" s="160"/>
      <c r="AI98" s="160"/>
      <c r="AJ98" s="160"/>
      <c r="AK98" s="160"/>
      <c r="AL98" s="160"/>
      <c r="AM98" s="160"/>
      <c r="AN98" s="160"/>
      <c r="AO98" s="160"/>
      <c r="AP98" s="160"/>
      <c r="AQ98" s="160"/>
      <c r="AR98" s="160"/>
      <c r="AS98" s="160"/>
      <c r="AT98" s="160"/>
      <c r="AU98" s="160"/>
      <c r="AV98" s="160"/>
      <c r="AW98" s="160"/>
      <c r="AX98" s="160"/>
      <c r="AY98" s="160"/>
      <c r="AZ98" s="160"/>
      <c r="BA98" s="160"/>
      <c r="BB98" s="160"/>
      <c r="BC98" s="160"/>
      <c r="BD98" s="160"/>
      <c r="BE98" s="160"/>
      <c r="BF98" s="160"/>
      <c r="BG98" s="160"/>
    </row>
    <row r="99" spans="2:59" hidden="1" x14ac:dyDescent="0.2">
      <c r="B99" s="222" t="str">
        <f>IF(Capacity!N92="","",Capacity!N92)</f>
        <v/>
      </c>
      <c r="C99" s="223" t="str">
        <f>IF(B99="","",Capacity!Q92)</f>
        <v/>
      </c>
      <c r="D99" s="317" t="str">
        <f>IF(B99="","",Capacity!R92)</f>
        <v/>
      </c>
      <c r="E99" s="223" t="str">
        <f>IF(B99="","",IF(COUNTIF(H99:BG99,"X")=0,SUM('Capacity calculation (hide)'!H187:BG187),COUNTIF(H99:BG99,"X")))</f>
        <v/>
      </c>
      <c r="F99" s="318" t="str">
        <f>'Capacity calculation (hide)'!BI187</f>
        <v/>
      </c>
      <c r="H99" s="160"/>
      <c r="I99" s="160"/>
      <c r="J99" s="160"/>
      <c r="K99" s="160"/>
      <c r="L99" s="160"/>
      <c r="M99" s="160"/>
      <c r="N99" s="160"/>
      <c r="O99" s="160"/>
      <c r="P99" s="160"/>
      <c r="Q99" s="160"/>
      <c r="R99" s="160"/>
      <c r="S99" s="160"/>
      <c r="T99" s="160"/>
      <c r="U99" s="160"/>
      <c r="V99" s="160"/>
      <c r="W99" s="160"/>
      <c r="X99" s="160"/>
      <c r="Y99" s="160"/>
      <c r="Z99" s="160"/>
      <c r="AA99" s="160"/>
      <c r="AB99" s="160"/>
      <c r="AC99" s="160"/>
      <c r="AD99" s="160"/>
      <c r="AE99" s="160"/>
      <c r="AF99" s="160"/>
      <c r="AG99" s="160"/>
      <c r="AH99" s="160"/>
      <c r="AI99" s="160"/>
      <c r="AJ99" s="160"/>
      <c r="AK99" s="160"/>
      <c r="AL99" s="160"/>
      <c r="AM99" s="160"/>
      <c r="AN99" s="160"/>
      <c r="AO99" s="160"/>
      <c r="AP99" s="160"/>
      <c r="AQ99" s="160"/>
      <c r="AR99" s="160"/>
      <c r="AS99" s="160"/>
      <c r="AT99" s="160"/>
      <c r="AU99" s="160"/>
      <c r="AV99" s="160"/>
      <c r="AW99" s="160"/>
      <c r="AX99" s="160"/>
      <c r="AY99" s="160"/>
      <c r="AZ99" s="160"/>
      <c r="BA99" s="160"/>
      <c r="BB99" s="160"/>
      <c r="BC99" s="160"/>
      <c r="BD99" s="160"/>
      <c r="BE99" s="160"/>
      <c r="BF99" s="160"/>
      <c r="BG99" s="160"/>
    </row>
    <row r="100" spans="2:59" hidden="1" x14ac:dyDescent="0.2">
      <c r="B100" s="222" t="str">
        <f>IF(Capacity!N93="","",Capacity!N93)</f>
        <v/>
      </c>
      <c r="C100" s="223" t="str">
        <f>IF(B100="","",Capacity!Q93)</f>
        <v/>
      </c>
      <c r="D100" s="317" t="str">
        <f>IF(B100="","",Capacity!R93)</f>
        <v/>
      </c>
      <c r="E100" s="223" t="str">
        <f>IF(B100="","",IF(COUNTIF(H100:BG100,"X")=0,SUM('Capacity calculation (hide)'!H188:BG188),COUNTIF(H100:BG100,"X")))</f>
        <v/>
      </c>
      <c r="F100" s="318" t="str">
        <f>'Capacity calculation (hide)'!BI188</f>
        <v/>
      </c>
      <c r="H100" s="160"/>
      <c r="I100" s="160"/>
      <c r="J100" s="160"/>
      <c r="K100" s="160"/>
      <c r="L100" s="160"/>
      <c r="M100" s="160"/>
      <c r="N100" s="160"/>
      <c r="O100" s="160"/>
      <c r="P100" s="160"/>
      <c r="Q100" s="160"/>
      <c r="R100" s="160"/>
      <c r="S100" s="160"/>
      <c r="T100" s="160"/>
      <c r="U100" s="160"/>
      <c r="V100" s="160"/>
      <c r="W100" s="160"/>
      <c r="X100" s="160"/>
      <c r="Y100" s="160"/>
      <c r="Z100" s="160"/>
      <c r="AA100" s="160"/>
      <c r="AB100" s="160"/>
      <c r="AC100" s="160"/>
      <c r="AD100" s="160"/>
      <c r="AE100" s="160"/>
      <c r="AF100" s="160"/>
      <c r="AG100" s="160"/>
      <c r="AH100" s="160"/>
      <c r="AI100" s="160"/>
      <c r="AJ100" s="160"/>
      <c r="AK100" s="160"/>
      <c r="AL100" s="160"/>
      <c r="AM100" s="160"/>
      <c r="AN100" s="160"/>
      <c r="AO100" s="160"/>
      <c r="AP100" s="160"/>
      <c r="AQ100" s="160"/>
      <c r="AR100" s="160"/>
      <c r="AS100" s="160"/>
      <c r="AT100" s="160"/>
      <c r="AU100" s="160"/>
      <c r="AV100" s="160"/>
      <c r="AW100" s="160"/>
      <c r="AX100" s="160"/>
      <c r="AY100" s="160"/>
      <c r="AZ100" s="160"/>
      <c r="BA100" s="160"/>
      <c r="BB100" s="160"/>
      <c r="BC100" s="160"/>
      <c r="BD100" s="160"/>
      <c r="BE100" s="160"/>
      <c r="BF100" s="160"/>
      <c r="BG100" s="160"/>
    </row>
    <row r="101" spans="2:59" hidden="1" x14ac:dyDescent="0.2">
      <c r="B101" s="222" t="str">
        <f>IF(Capacity!N94="","",Capacity!N94)</f>
        <v/>
      </c>
      <c r="C101" s="223" t="str">
        <f>IF(B101="","",Capacity!Q94)</f>
        <v/>
      </c>
      <c r="D101" s="317" t="str">
        <f>IF(B101="","",Capacity!R94)</f>
        <v/>
      </c>
      <c r="E101" s="223" t="str">
        <f>IF(B101="","",IF(COUNTIF(H101:BG101,"X")=0,SUM('Capacity calculation (hide)'!H189:BG189),COUNTIF(H101:BG101,"X")))</f>
        <v/>
      </c>
      <c r="F101" s="318" t="str">
        <f>'Capacity calculation (hide)'!BI189</f>
        <v/>
      </c>
      <c r="H101" s="160"/>
      <c r="I101" s="160"/>
      <c r="J101" s="160"/>
      <c r="K101" s="160"/>
      <c r="L101" s="160"/>
      <c r="M101" s="160"/>
      <c r="N101" s="160"/>
      <c r="O101" s="160"/>
      <c r="P101" s="160"/>
      <c r="Q101" s="160"/>
      <c r="R101" s="160"/>
      <c r="S101" s="160"/>
      <c r="T101" s="160"/>
      <c r="U101" s="160"/>
      <c r="V101" s="160"/>
      <c r="W101" s="160"/>
      <c r="X101" s="160"/>
      <c r="Y101" s="160"/>
      <c r="Z101" s="160"/>
      <c r="AA101" s="160"/>
      <c r="AB101" s="160"/>
      <c r="AC101" s="160"/>
      <c r="AD101" s="160"/>
      <c r="AE101" s="160"/>
      <c r="AF101" s="160"/>
      <c r="AG101" s="160"/>
      <c r="AH101" s="160"/>
      <c r="AI101" s="160"/>
      <c r="AJ101" s="160"/>
      <c r="AK101" s="160"/>
      <c r="AL101" s="160"/>
      <c r="AM101" s="160"/>
      <c r="AN101" s="160"/>
      <c r="AO101" s="160"/>
      <c r="AP101" s="160"/>
      <c r="AQ101" s="160"/>
      <c r="AR101" s="160"/>
      <c r="AS101" s="160"/>
      <c r="AT101" s="160"/>
      <c r="AU101" s="160"/>
      <c r="AV101" s="160"/>
      <c r="AW101" s="160"/>
      <c r="AX101" s="160"/>
      <c r="AY101" s="160"/>
      <c r="AZ101" s="160"/>
      <c r="BA101" s="160"/>
      <c r="BB101" s="160"/>
      <c r="BC101" s="160"/>
      <c r="BD101" s="160"/>
      <c r="BE101" s="160"/>
      <c r="BF101" s="160"/>
      <c r="BG101" s="160"/>
    </row>
    <row r="102" spans="2:59" hidden="1" x14ac:dyDescent="0.2">
      <c r="B102" s="222" t="str">
        <f>IF(Capacity!N95="","",Capacity!N95)</f>
        <v/>
      </c>
      <c r="C102" s="223" t="str">
        <f>IF(B102="","",Capacity!Q95)</f>
        <v/>
      </c>
      <c r="D102" s="317" t="str">
        <f>IF(B102="","",Capacity!R95)</f>
        <v/>
      </c>
      <c r="E102" s="223" t="str">
        <f>IF(B102="","",IF(COUNTIF(H102:BG102,"X")=0,SUM('Capacity calculation (hide)'!H190:BG190),COUNTIF(H102:BG102,"X")))</f>
        <v/>
      </c>
      <c r="F102" s="318" t="str">
        <f>'Capacity calculation (hide)'!BI190</f>
        <v/>
      </c>
      <c r="H102" s="160"/>
      <c r="I102" s="160"/>
      <c r="J102" s="160"/>
      <c r="K102" s="160"/>
      <c r="L102" s="160"/>
      <c r="M102" s="160"/>
      <c r="N102" s="160"/>
      <c r="O102" s="160"/>
      <c r="P102" s="160"/>
      <c r="Q102" s="160"/>
      <c r="R102" s="160"/>
      <c r="S102" s="160"/>
      <c r="T102" s="160"/>
      <c r="U102" s="160"/>
      <c r="V102" s="160"/>
      <c r="W102" s="160"/>
      <c r="X102" s="160"/>
      <c r="Y102" s="160"/>
      <c r="Z102" s="160"/>
      <c r="AA102" s="160"/>
      <c r="AB102" s="160"/>
      <c r="AC102" s="160"/>
      <c r="AD102" s="160"/>
      <c r="AE102" s="160"/>
      <c r="AF102" s="160"/>
      <c r="AG102" s="160"/>
      <c r="AH102" s="160"/>
      <c r="AI102" s="160"/>
      <c r="AJ102" s="160"/>
      <c r="AK102" s="160"/>
      <c r="AL102" s="160"/>
      <c r="AM102" s="160"/>
      <c r="AN102" s="160"/>
      <c r="AO102" s="160"/>
      <c r="AP102" s="160"/>
      <c r="AQ102" s="160"/>
      <c r="AR102" s="160"/>
      <c r="AS102" s="160"/>
      <c r="AT102" s="160"/>
      <c r="AU102" s="160"/>
      <c r="AV102" s="160"/>
      <c r="AW102" s="160"/>
      <c r="AX102" s="160"/>
      <c r="AY102" s="160"/>
      <c r="AZ102" s="160"/>
      <c r="BA102" s="160"/>
      <c r="BB102" s="160"/>
      <c r="BC102" s="160"/>
      <c r="BD102" s="160"/>
      <c r="BE102" s="160"/>
      <c r="BF102" s="160"/>
      <c r="BG102" s="160"/>
    </row>
    <row r="103" spans="2:59" hidden="1" x14ac:dyDescent="0.2">
      <c r="B103" s="222" t="str">
        <f>IF(Capacity!N96="","",Capacity!N96)</f>
        <v/>
      </c>
      <c r="C103" s="223" t="str">
        <f>IF(B103="","",Capacity!Q96)</f>
        <v/>
      </c>
      <c r="D103" s="317" t="str">
        <f>IF(B103="","",Capacity!R96)</f>
        <v/>
      </c>
      <c r="E103" s="223" t="str">
        <f>IF(B103="","",IF(COUNTIF(H103:BG103,"X")=0,SUM('Capacity calculation (hide)'!H191:BG191),COUNTIF(H103:BG103,"X")))</f>
        <v/>
      </c>
      <c r="F103" s="318" t="str">
        <f>'Capacity calculation (hide)'!BI191</f>
        <v/>
      </c>
      <c r="H103" s="160"/>
      <c r="I103" s="160"/>
      <c r="J103" s="160"/>
      <c r="K103" s="160"/>
      <c r="L103" s="160"/>
      <c r="M103" s="160"/>
      <c r="N103" s="160"/>
      <c r="O103" s="160"/>
      <c r="P103" s="160"/>
      <c r="Q103" s="160"/>
      <c r="R103" s="160"/>
      <c r="S103" s="160"/>
      <c r="T103" s="160"/>
      <c r="U103" s="160"/>
      <c r="V103" s="160"/>
      <c r="W103" s="160"/>
      <c r="X103" s="160"/>
      <c r="Y103" s="160"/>
      <c r="Z103" s="160"/>
      <c r="AA103" s="160"/>
      <c r="AB103" s="160"/>
      <c r="AC103" s="160"/>
      <c r="AD103" s="160"/>
      <c r="AE103" s="160"/>
      <c r="AF103" s="160"/>
      <c r="AG103" s="160"/>
      <c r="AH103" s="160"/>
      <c r="AI103" s="160"/>
      <c r="AJ103" s="160"/>
      <c r="AK103" s="160"/>
      <c r="AL103" s="160"/>
      <c r="AM103" s="160"/>
      <c r="AN103" s="160"/>
      <c r="AO103" s="160"/>
      <c r="AP103" s="160"/>
      <c r="AQ103" s="160"/>
      <c r="AR103" s="160"/>
      <c r="AS103" s="160"/>
      <c r="AT103" s="160"/>
      <c r="AU103" s="160"/>
      <c r="AV103" s="160"/>
      <c r="AW103" s="160"/>
      <c r="AX103" s="160"/>
      <c r="AY103" s="160"/>
      <c r="AZ103" s="160"/>
      <c r="BA103" s="160"/>
      <c r="BB103" s="160"/>
      <c r="BC103" s="160"/>
      <c r="BD103" s="160"/>
      <c r="BE103" s="160"/>
      <c r="BF103" s="160"/>
      <c r="BG103" s="160"/>
    </row>
    <row r="104" spans="2:59" hidden="1" x14ac:dyDescent="0.2">
      <c r="B104" s="222" t="str">
        <f>IF(Capacity!N97="","",Capacity!N97)</f>
        <v/>
      </c>
      <c r="C104" s="223" t="str">
        <f>IF(B104="","",Capacity!Q97)</f>
        <v/>
      </c>
      <c r="D104" s="317" t="str">
        <f>IF(B104="","",Capacity!R97)</f>
        <v/>
      </c>
      <c r="E104" s="223" t="str">
        <f>IF(B104="","",IF(COUNTIF(H104:BG104,"X")=0,SUM('Capacity calculation (hide)'!H192:BG192),COUNTIF(H104:BG104,"X")))</f>
        <v/>
      </c>
      <c r="F104" s="318" t="str">
        <f>'Capacity calculation (hide)'!BI192</f>
        <v/>
      </c>
      <c r="H104" s="160"/>
      <c r="I104" s="160"/>
      <c r="J104" s="160"/>
      <c r="K104" s="160"/>
      <c r="L104" s="160"/>
      <c r="M104" s="160"/>
      <c r="N104" s="160"/>
      <c r="O104" s="160"/>
      <c r="P104" s="160"/>
      <c r="Q104" s="160"/>
      <c r="R104" s="160"/>
      <c r="S104" s="160"/>
      <c r="T104" s="160"/>
      <c r="U104" s="160"/>
      <c r="V104" s="160"/>
      <c r="W104" s="160"/>
      <c r="X104" s="160"/>
      <c r="Y104" s="160"/>
      <c r="Z104" s="160"/>
      <c r="AA104" s="160"/>
      <c r="AB104" s="160"/>
      <c r="AC104" s="160"/>
      <c r="AD104" s="160"/>
      <c r="AE104" s="160"/>
      <c r="AF104" s="160"/>
      <c r="AG104" s="160"/>
      <c r="AH104" s="160"/>
      <c r="AI104" s="160"/>
      <c r="AJ104" s="160"/>
      <c r="AK104" s="160"/>
      <c r="AL104" s="160"/>
      <c r="AM104" s="160"/>
      <c r="AN104" s="160"/>
      <c r="AO104" s="160"/>
      <c r="AP104" s="160"/>
      <c r="AQ104" s="160"/>
      <c r="AR104" s="160"/>
      <c r="AS104" s="160"/>
      <c r="AT104" s="160"/>
      <c r="AU104" s="160"/>
      <c r="AV104" s="160"/>
      <c r="AW104" s="160"/>
      <c r="AX104" s="160"/>
      <c r="AY104" s="160"/>
      <c r="AZ104" s="160"/>
      <c r="BA104" s="160"/>
      <c r="BB104" s="160"/>
      <c r="BC104" s="160"/>
      <c r="BD104" s="160"/>
      <c r="BE104" s="160"/>
      <c r="BF104" s="160"/>
      <c r="BG104" s="160"/>
    </row>
    <row r="105" spans="2:59" hidden="1" x14ac:dyDescent="0.2">
      <c r="B105" s="222" t="str">
        <f>IF(Capacity!N98="","",Capacity!N98)</f>
        <v/>
      </c>
      <c r="C105" s="223" t="str">
        <f>IF(B105="","",Capacity!Q98)</f>
        <v/>
      </c>
      <c r="D105" s="317" t="str">
        <f>IF(B105="","",Capacity!R98)</f>
        <v/>
      </c>
      <c r="E105" s="223" t="str">
        <f>IF(B105="","",IF(COUNTIF(H105:BG105,"X")=0,SUM('Capacity calculation (hide)'!H193:BG193),COUNTIF(H105:BG105,"X")))</f>
        <v/>
      </c>
      <c r="F105" s="318" t="str">
        <f>'Capacity calculation (hide)'!BI193</f>
        <v/>
      </c>
      <c r="H105" s="160"/>
      <c r="I105" s="160"/>
      <c r="J105" s="160"/>
      <c r="K105" s="160"/>
      <c r="L105" s="160"/>
      <c r="M105" s="160"/>
      <c r="N105" s="160"/>
      <c r="O105" s="160"/>
      <c r="P105" s="160"/>
      <c r="Q105" s="160"/>
      <c r="R105" s="160"/>
      <c r="S105" s="160"/>
      <c r="T105" s="160"/>
      <c r="U105" s="160"/>
      <c r="V105" s="160"/>
      <c r="W105" s="160"/>
      <c r="X105" s="160"/>
      <c r="Y105" s="160"/>
      <c r="Z105" s="160"/>
      <c r="AA105" s="160"/>
      <c r="AB105" s="160"/>
      <c r="AC105" s="160"/>
      <c r="AD105" s="160"/>
      <c r="AE105" s="160"/>
      <c r="AF105" s="160"/>
      <c r="AG105" s="160"/>
      <c r="AH105" s="160"/>
      <c r="AI105" s="160"/>
      <c r="AJ105" s="160"/>
      <c r="AK105" s="160"/>
      <c r="AL105" s="160"/>
      <c r="AM105" s="160"/>
      <c r="AN105" s="160"/>
      <c r="AO105" s="160"/>
      <c r="AP105" s="160"/>
      <c r="AQ105" s="160"/>
      <c r="AR105" s="160"/>
      <c r="AS105" s="160"/>
      <c r="AT105" s="160"/>
      <c r="AU105" s="160"/>
      <c r="AV105" s="160"/>
      <c r="AW105" s="160"/>
      <c r="AX105" s="160"/>
      <c r="AY105" s="160"/>
      <c r="AZ105" s="160"/>
      <c r="BA105" s="160"/>
      <c r="BB105" s="160"/>
      <c r="BC105" s="160"/>
      <c r="BD105" s="160"/>
      <c r="BE105" s="160"/>
      <c r="BF105" s="160"/>
      <c r="BG105" s="160"/>
    </row>
    <row r="106" spans="2:59" hidden="1" x14ac:dyDescent="0.2">
      <c r="B106" s="222" t="str">
        <f>IF(Capacity!N99="","",Capacity!N99)</f>
        <v/>
      </c>
      <c r="C106" s="223" t="str">
        <f>IF(B106="","",Capacity!Q99)</f>
        <v/>
      </c>
      <c r="D106" s="317" t="str">
        <f>IF(B106="","",Capacity!R99)</f>
        <v/>
      </c>
      <c r="E106" s="223" t="str">
        <f>IF(B106="","",IF(COUNTIF(H106:BG106,"X")=0,SUM('Capacity calculation (hide)'!H194:BG194),COUNTIF(H106:BG106,"X")))</f>
        <v/>
      </c>
      <c r="F106" s="318" t="str">
        <f>'Capacity calculation (hide)'!BI194</f>
        <v/>
      </c>
      <c r="H106" s="160"/>
      <c r="I106" s="160"/>
      <c r="J106" s="160"/>
      <c r="K106" s="160"/>
      <c r="L106" s="160"/>
      <c r="M106" s="160"/>
      <c r="N106" s="160"/>
      <c r="O106" s="160"/>
      <c r="P106" s="160"/>
      <c r="Q106" s="160"/>
      <c r="R106" s="160"/>
      <c r="S106" s="160"/>
      <c r="T106" s="160"/>
      <c r="U106" s="160"/>
      <c r="V106" s="160"/>
      <c r="W106" s="160"/>
      <c r="X106" s="160"/>
      <c r="Y106" s="160"/>
      <c r="Z106" s="160"/>
      <c r="AA106" s="160"/>
      <c r="AB106" s="160"/>
      <c r="AC106" s="160"/>
      <c r="AD106" s="160"/>
      <c r="AE106" s="160"/>
      <c r="AF106" s="160"/>
      <c r="AG106" s="160"/>
      <c r="AH106" s="160"/>
      <c r="AI106" s="160"/>
      <c r="AJ106" s="160"/>
      <c r="AK106" s="160"/>
      <c r="AL106" s="160"/>
      <c r="AM106" s="160"/>
      <c r="AN106" s="160"/>
      <c r="AO106" s="160"/>
      <c r="AP106" s="160"/>
      <c r="AQ106" s="160"/>
      <c r="AR106" s="160"/>
      <c r="AS106" s="160"/>
      <c r="AT106" s="160"/>
      <c r="AU106" s="160"/>
      <c r="AV106" s="160"/>
      <c r="AW106" s="160"/>
      <c r="AX106" s="160"/>
      <c r="AY106" s="160"/>
      <c r="AZ106" s="160"/>
      <c r="BA106" s="160"/>
      <c r="BB106" s="160"/>
      <c r="BC106" s="160"/>
      <c r="BD106" s="160"/>
      <c r="BE106" s="160"/>
      <c r="BF106" s="160"/>
      <c r="BG106" s="160"/>
    </row>
    <row r="107" spans="2:59" hidden="1" x14ac:dyDescent="0.2">
      <c r="B107" s="222" t="str">
        <f>IF(Capacity!N100="","",Capacity!N100)</f>
        <v/>
      </c>
      <c r="C107" s="223" t="str">
        <f>IF(B107="","",Capacity!Q100)</f>
        <v/>
      </c>
      <c r="D107" s="317" t="str">
        <f>IF(B107="","",Capacity!R100)</f>
        <v/>
      </c>
      <c r="E107" s="223" t="str">
        <f>IF(B107="","",IF(COUNTIF(H107:BG107,"X")=0,SUM('Capacity calculation (hide)'!H195:BG195),COUNTIF(H107:BG107,"X")))</f>
        <v/>
      </c>
      <c r="F107" s="318" t="str">
        <f>'Capacity calculation (hide)'!BI195</f>
        <v/>
      </c>
      <c r="H107" s="160"/>
      <c r="I107" s="160"/>
      <c r="J107" s="160"/>
      <c r="K107" s="160"/>
      <c r="L107" s="160"/>
      <c r="M107" s="160"/>
      <c r="N107" s="160"/>
      <c r="O107" s="160"/>
      <c r="P107" s="160"/>
      <c r="Q107" s="160"/>
      <c r="R107" s="160"/>
      <c r="S107" s="160"/>
      <c r="T107" s="160"/>
      <c r="U107" s="160"/>
      <c r="V107" s="160"/>
      <c r="W107" s="160"/>
      <c r="X107" s="160"/>
      <c r="Y107" s="160"/>
      <c r="Z107" s="160"/>
      <c r="AA107" s="160"/>
      <c r="AB107" s="160"/>
      <c r="AC107" s="160"/>
      <c r="AD107" s="160"/>
      <c r="AE107" s="160"/>
      <c r="AF107" s="160"/>
      <c r="AG107" s="160"/>
      <c r="AH107" s="160"/>
      <c r="AI107" s="160"/>
      <c r="AJ107" s="160"/>
      <c r="AK107" s="160"/>
      <c r="AL107" s="160"/>
      <c r="AM107" s="160"/>
      <c r="AN107" s="160"/>
      <c r="AO107" s="160"/>
      <c r="AP107" s="160"/>
      <c r="AQ107" s="160"/>
      <c r="AR107" s="160"/>
      <c r="AS107" s="160"/>
      <c r="AT107" s="160"/>
      <c r="AU107" s="160"/>
      <c r="AV107" s="160"/>
      <c r="AW107" s="160"/>
      <c r="AX107" s="160"/>
      <c r="AY107" s="160"/>
      <c r="AZ107" s="160"/>
      <c r="BA107" s="160"/>
      <c r="BB107" s="160"/>
      <c r="BC107" s="160"/>
      <c r="BD107" s="160"/>
      <c r="BE107" s="160"/>
      <c r="BF107" s="160"/>
      <c r="BG107" s="160"/>
    </row>
    <row r="108" spans="2:59" hidden="1" x14ac:dyDescent="0.2">
      <c r="B108" s="222" t="str">
        <f>IF(Capacity!N101="","",Capacity!N101)</f>
        <v/>
      </c>
      <c r="C108" s="223" t="str">
        <f>IF(B108="","",Capacity!Q101)</f>
        <v/>
      </c>
      <c r="D108" s="317" t="str">
        <f>IF(B108="","",Capacity!R101)</f>
        <v/>
      </c>
      <c r="E108" s="223" t="str">
        <f>IF(B108="","",IF(COUNTIF(H108:BG108,"X")=0,SUM('Capacity calculation (hide)'!H196:BG196),COUNTIF(H108:BG108,"X")))</f>
        <v/>
      </c>
      <c r="F108" s="318" t="str">
        <f>'Capacity calculation (hide)'!BI196</f>
        <v/>
      </c>
      <c r="H108" s="160"/>
      <c r="I108" s="160"/>
      <c r="J108" s="160"/>
      <c r="K108" s="160"/>
      <c r="L108" s="160"/>
      <c r="M108" s="160"/>
      <c r="N108" s="160"/>
      <c r="O108" s="160"/>
      <c r="P108" s="160"/>
      <c r="Q108" s="160"/>
      <c r="R108" s="160"/>
      <c r="S108" s="160"/>
      <c r="T108" s="160"/>
      <c r="U108" s="160"/>
      <c r="V108" s="160"/>
      <c r="W108" s="160"/>
      <c r="X108" s="160"/>
      <c r="Y108" s="160"/>
      <c r="Z108" s="160"/>
      <c r="AA108" s="160"/>
      <c r="AB108" s="160"/>
      <c r="AC108" s="160"/>
      <c r="AD108" s="160"/>
      <c r="AE108" s="160"/>
      <c r="AF108" s="160"/>
      <c r="AG108" s="160"/>
      <c r="AH108" s="160"/>
      <c r="AI108" s="160"/>
      <c r="AJ108" s="160"/>
      <c r="AK108" s="160"/>
      <c r="AL108" s="160"/>
      <c r="AM108" s="160"/>
      <c r="AN108" s="160"/>
      <c r="AO108" s="160"/>
      <c r="AP108" s="160"/>
      <c r="AQ108" s="160"/>
      <c r="AR108" s="160"/>
      <c r="AS108" s="160"/>
      <c r="AT108" s="160"/>
      <c r="AU108" s="160"/>
      <c r="AV108" s="160"/>
      <c r="AW108" s="160"/>
      <c r="AX108" s="160"/>
      <c r="AY108" s="160"/>
      <c r="AZ108" s="160"/>
      <c r="BA108" s="160"/>
      <c r="BB108" s="160"/>
      <c r="BC108" s="160"/>
      <c r="BD108" s="160"/>
      <c r="BE108" s="160"/>
      <c r="BF108" s="160"/>
      <c r="BG108" s="160"/>
    </row>
    <row r="109" spans="2:59" hidden="1" x14ac:dyDescent="0.2">
      <c r="B109" s="222" t="str">
        <f>IF(Capacity!N102="","",Capacity!N102)</f>
        <v/>
      </c>
      <c r="C109" s="223" t="str">
        <f>IF(B109="","",Capacity!Q102)</f>
        <v/>
      </c>
      <c r="D109" s="317" t="str">
        <f>IF(B109="","",Capacity!R102)</f>
        <v/>
      </c>
      <c r="E109" s="223" t="str">
        <f>IF(B109="","",IF(COUNTIF(H109:BG109,"X")=0,SUM('Capacity calculation (hide)'!H197:BG197),COUNTIF(H109:BG109,"X")))</f>
        <v/>
      </c>
      <c r="F109" s="318" t="str">
        <f>'Capacity calculation (hide)'!BI197</f>
        <v/>
      </c>
      <c r="H109" s="160"/>
      <c r="I109" s="160"/>
      <c r="J109" s="160"/>
      <c r="K109" s="160"/>
      <c r="L109" s="160"/>
      <c r="M109" s="160"/>
      <c r="N109" s="160"/>
      <c r="O109" s="160"/>
      <c r="P109" s="160"/>
      <c r="Q109" s="160"/>
      <c r="R109" s="160"/>
      <c r="S109" s="160"/>
      <c r="T109" s="160"/>
      <c r="U109" s="160"/>
      <c r="V109" s="160"/>
      <c r="W109" s="160"/>
      <c r="X109" s="160"/>
      <c r="Y109" s="160"/>
      <c r="Z109" s="160"/>
      <c r="AA109" s="160"/>
      <c r="AB109" s="160"/>
      <c r="AC109" s="160"/>
      <c r="AD109" s="160"/>
      <c r="AE109" s="160"/>
      <c r="AF109" s="160"/>
      <c r="AG109" s="160"/>
      <c r="AH109" s="160"/>
      <c r="AI109" s="160"/>
      <c r="AJ109" s="160"/>
      <c r="AK109" s="160"/>
      <c r="AL109" s="160"/>
      <c r="AM109" s="160"/>
      <c r="AN109" s="160"/>
      <c r="AO109" s="160"/>
      <c r="AP109" s="160"/>
      <c r="AQ109" s="160"/>
      <c r="AR109" s="160"/>
      <c r="AS109" s="160"/>
      <c r="AT109" s="160"/>
      <c r="AU109" s="160"/>
      <c r="AV109" s="160"/>
      <c r="AW109" s="160"/>
      <c r="AX109" s="160"/>
      <c r="AY109" s="160"/>
      <c r="AZ109" s="160"/>
      <c r="BA109" s="160"/>
      <c r="BB109" s="160"/>
      <c r="BC109" s="160"/>
      <c r="BD109" s="160"/>
      <c r="BE109" s="160"/>
      <c r="BF109" s="160"/>
      <c r="BG109" s="160"/>
    </row>
    <row r="110" spans="2:59" hidden="1" x14ac:dyDescent="0.2">
      <c r="B110" s="222" t="str">
        <f>IF(Capacity!N103="","",Capacity!N103)</f>
        <v/>
      </c>
      <c r="C110" s="223" t="str">
        <f>IF(B110="","",Capacity!Q103)</f>
        <v/>
      </c>
      <c r="D110" s="317" t="str">
        <f>IF(B110="","",Capacity!R103)</f>
        <v/>
      </c>
      <c r="E110" s="223" t="str">
        <f>IF(B110="","",IF(COUNTIF(H110:BG110,"X")=0,SUM('Capacity calculation (hide)'!H198:BG198),COUNTIF(H110:BG110,"X")))</f>
        <v/>
      </c>
      <c r="F110" s="318" t="str">
        <f>'Capacity calculation (hide)'!BI198</f>
        <v/>
      </c>
      <c r="H110" s="160"/>
      <c r="I110" s="160"/>
      <c r="J110" s="160"/>
      <c r="K110" s="160"/>
      <c r="L110" s="160"/>
      <c r="M110" s="160"/>
      <c r="N110" s="160"/>
      <c r="O110" s="160"/>
      <c r="P110" s="160"/>
      <c r="Q110" s="160"/>
      <c r="R110" s="160"/>
      <c r="S110" s="160"/>
      <c r="T110" s="160"/>
      <c r="U110" s="160"/>
      <c r="V110" s="160"/>
      <c r="W110" s="160"/>
      <c r="X110" s="160"/>
      <c r="Y110" s="160"/>
      <c r="Z110" s="160"/>
      <c r="AA110" s="160"/>
      <c r="AB110" s="160"/>
      <c r="AC110" s="160"/>
      <c r="AD110" s="160"/>
      <c r="AE110" s="160"/>
      <c r="AF110" s="160"/>
      <c r="AG110" s="160"/>
      <c r="AH110" s="160"/>
      <c r="AI110" s="160"/>
      <c r="AJ110" s="160"/>
      <c r="AK110" s="160"/>
      <c r="AL110" s="160"/>
      <c r="AM110" s="160"/>
      <c r="AN110" s="160"/>
      <c r="AO110" s="160"/>
      <c r="AP110" s="160"/>
      <c r="AQ110" s="160"/>
      <c r="AR110" s="160"/>
      <c r="AS110" s="160"/>
      <c r="AT110" s="160"/>
      <c r="AU110" s="160"/>
      <c r="AV110" s="160"/>
      <c r="AW110" s="160"/>
      <c r="AX110" s="160"/>
      <c r="AY110" s="160"/>
      <c r="AZ110" s="160"/>
      <c r="BA110" s="160"/>
      <c r="BB110" s="160"/>
      <c r="BC110" s="160"/>
      <c r="BD110" s="160"/>
      <c r="BE110" s="160"/>
      <c r="BF110" s="160"/>
      <c r="BG110" s="160"/>
    </row>
    <row r="111" spans="2:59" hidden="1" x14ac:dyDescent="0.2">
      <c r="B111" s="222" t="str">
        <f>IF(Capacity!N104="","",Capacity!N104)</f>
        <v/>
      </c>
      <c r="C111" s="223" t="str">
        <f>IF(B111="","",Capacity!Q104)</f>
        <v/>
      </c>
      <c r="D111" s="317" t="str">
        <f>IF(B111="","",Capacity!R104)</f>
        <v/>
      </c>
      <c r="E111" s="223" t="str">
        <f>IF(B111="","",IF(COUNTIF(H111:BG111,"X")=0,SUM('Capacity calculation (hide)'!H199:BG199),COUNTIF(H111:BG111,"X")))</f>
        <v/>
      </c>
      <c r="F111" s="318" t="str">
        <f>'Capacity calculation (hide)'!BI199</f>
        <v/>
      </c>
      <c r="H111" s="160"/>
      <c r="I111" s="160"/>
      <c r="J111" s="160"/>
      <c r="K111" s="160"/>
      <c r="L111" s="160"/>
      <c r="M111" s="160"/>
      <c r="N111" s="160"/>
      <c r="O111" s="160"/>
      <c r="P111" s="160"/>
      <c r="Q111" s="160"/>
      <c r="R111" s="160"/>
      <c r="S111" s="160"/>
      <c r="T111" s="160"/>
      <c r="U111" s="160"/>
      <c r="V111" s="160"/>
      <c r="W111" s="160"/>
      <c r="X111" s="160"/>
      <c r="Y111" s="160"/>
      <c r="Z111" s="160"/>
      <c r="AA111" s="160"/>
      <c r="AB111" s="160"/>
      <c r="AC111" s="160"/>
      <c r="AD111" s="160"/>
      <c r="AE111" s="160"/>
      <c r="AF111" s="160"/>
      <c r="AG111" s="160"/>
      <c r="AH111" s="160"/>
      <c r="AI111" s="160"/>
      <c r="AJ111" s="160"/>
      <c r="AK111" s="160"/>
      <c r="AL111" s="160"/>
      <c r="AM111" s="160"/>
      <c r="AN111" s="160"/>
      <c r="AO111" s="160"/>
      <c r="AP111" s="160"/>
      <c r="AQ111" s="160"/>
      <c r="AR111" s="160"/>
      <c r="AS111" s="160"/>
      <c r="AT111" s="160"/>
      <c r="AU111" s="160"/>
      <c r="AV111" s="160"/>
      <c r="AW111" s="160"/>
      <c r="AX111" s="160"/>
      <c r="AY111" s="160"/>
      <c r="AZ111" s="160"/>
      <c r="BA111" s="160"/>
      <c r="BB111" s="160"/>
      <c r="BC111" s="160"/>
      <c r="BD111" s="160"/>
      <c r="BE111" s="160"/>
      <c r="BF111" s="160"/>
      <c r="BG111" s="160"/>
    </row>
    <row r="112" spans="2:59" hidden="1" x14ac:dyDescent="0.2">
      <c r="B112" s="222" t="str">
        <f>IF(Capacity!N105="","",Capacity!N105)</f>
        <v/>
      </c>
      <c r="C112" s="223" t="str">
        <f>IF(B112="","",Capacity!Q105)</f>
        <v/>
      </c>
      <c r="D112" s="317" t="str">
        <f>IF(B112="","",Capacity!R105)</f>
        <v/>
      </c>
      <c r="E112" s="223" t="str">
        <f>IF(B112="","",IF(COUNTIF(H112:BG112,"X")=0,SUM('Capacity calculation (hide)'!H200:BG200),COUNTIF(H112:BG112,"X")))</f>
        <v/>
      </c>
      <c r="F112" s="318" t="str">
        <f>'Capacity calculation (hide)'!BI200</f>
        <v/>
      </c>
      <c r="H112" s="160"/>
      <c r="I112" s="160"/>
      <c r="J112" s="160"/>
      <c r="K112" s="160"/>
      <c r="L112" s="160"/>
      <c r="M112" s="160"/>
      <c r="N112" s="160"/>
      <c r="O112" s="160"/>
      <c r="P112" s="160"/>
      <c r="Q112" s="160"/>
      <c r="R112" s="160"/>
      <c r="S112" s="160"/>
      <c r="T112" s="160"/>
      <c r="U112" s="160"/>
      <c r="V112" s="160"/>
      <c r="W112" s="160"/>
      <c r="X112" s="160"/>
      <c r="Y112" s="160"/>
      <c r="Z112" s="160"/>
      <c r="AA112" s="160"/>
      <c r="AB112" s="160"/>
      <c r="AC112" s="160"/>
      <c r="AD112" s="160"/>
      <c r="AE112" s="160"/>
      <c r="AF112" s="160"/>
      <c r="AG112" s="160"/>
      <c r="AH112" s="160"/>
      <c r="AI112" s="160"/>
      <c r="AJ112" s="160"/>
      <c r="AK112" s="160"/>
      <c r="AL112" s="160"/>
      <c r="AM112" s="160"/>
      <c r="AN112" s="160"/>
      <c r="AO112" s="160"/>
      <c r="AP112" s="160"/>
      <c r="AQ112" s="160"/>
      <c r="AR112" s="160"/>
      <c r="AS112" s="160"/>
      <c r="AT112" s="160"/>
      <c r="AU112" s="160"/>
      <c r="AV112" s="160"/>
      <c r="AW112" s="160"/>
      <c r="AX112" s="160"/>
      <c r="AY112" s="160"/>
      <c r="AZ112" s="160"/>
      <c r="BA112" s="160"/>
      <c r="BB112" s="160"/>
      <c r="BC112" s="160"/>
      <c r="BD112" s="160"/>
      <c r="BE112" s="160"/>
      <c r="BF112" s="160"/>
      <c r="BG112" s="160"/>
    </row>
    <row r="113" spans="2:59" hidden="1" x14ac:dyDescent="0.2">
      <c r="B113" s="222" t="str">
        <f>IF(Capacity!N106="","",Capacity!N106)</f>
        <v/>
      </c>
      <c r="C113" s="223" t="str">
        <f>IF(B113="","",Capacity!Q106)</f>
        <v/>
      </c>
      <c r="D113" s="317" t="str">
        <f>IF(B113="","",Capacity!R106)</f>
        <v/>
      </c>
      <c r="E113" s="223" t="str">
        <f>IF(B113="","",IF(COUNTIF(H113:BG113,"X")=0,SUM('Capacity calculation (hide)'!H201:BG201),COUNTIF(H113:BG113,"X")))</f>
        <v/>
      </c>
      <c r="F113" s="318" t="str">
        <f>'Capacity calculation (hide)'!BI201</f>
        <v/>
      </c>
      <c r="H113" s="160"/>
      <c r="I113" s="160"/>
      <c r="J113" s="160"/>
      <c r="K113" s="160"/>
      <c r="L113" s="160"/>
      <c r="M113" s="160"/>
      <c r="N113" s="160"/>
      <c r="O113" s="160"/>
      <c r="P113" s="160"/>
      <c r="Q113" s="160"/>
      <c r="R113" s="160"/>
      <c r="S113" s="160"/>
      <c r="T113" s="160"/>
      <c r="U113" s="160"/>
      <c r="V113" s="160"/>
      <c r="W113" s="160"/>
      <c r="X113" s="160"/>
      <c r="Y113" s="160"/>
      <c r="Z113" s="160"/>
      <c r="AA113" s="160"/>
      <c r="AB113" s="160"/>
      <c r="AC113" s="160"/>
      <c r="AD113" s="160"/>
      <c r="AE113" s="160"/>
      <c r="AF113" s="160"/>
      <c r="AG113" s="160"/>
      <c r="AH113" s="160"/>
      <c r="AI113" s="160"/>
      <c r="AJ113" s="160"/>
      <c r="AK113" s="160"/>
      <c r="AL113" s="160"/>
      <c r="AM113" s="160"/>
      <c r="AN113" s="160"/>
      <c r="AO113" s="160"/>
      <c r="AP113" s="160"/>
      <c r="AQ113" s="160"/>
      <c r="AR113" s="160"/>
      <c r="AS113" s="160"/>
      <c r="AT113" s="160"/>
      <c r="AU113" s="160"/>
      <c r="AV113" s="160"/>
      <c r="AW113" s="160"/>
      <c r="AX113" s="160"/>
      <c r="AY113" s="160"/>
      <c r="AZ113" s="160"/>
      <c r="BA113" s="160"/>
      <c r="BB113" s="160"/>
      <c r="BC113" s="160"/>
      <c r="BD113" s="160"/>
      <c r="BE113" s="160"/>
      <c r="BF113" s="160"/>
      <c r="BG113" s="160"/>
    </row>
    <row r="114" spans="2:59" hidden="1" x14ac:dyDescent="0.2">
      <c r="B114" s="222" t="str">
        <f>IF(Capacity!N107="","",Capacity!N107)</f>
        <v/>
      </c>
      <c r="C114" s="223" t="str">
        <f>IF(B114="","",Capacity!Q107)</f>
        <v/>
      </c>
      <c r="D114" s="317" t="str">
        <f>IF(B114="","",Capacity!R107)</f>
        <v/>
      </c>
      <c r="E114" s="223" t="str">
        <f>IF(B114="","",IF(COUNTIF(H114:BG114,"X")=0,SUM('Capacity calculation (hide)'!H202:BG202),COUNTIF(H114:BG114,"X")))</f>
        <v/>
      </c>
      <c r="F114" s="318" t="str">
        <f>'Capacity calculation (hide)'!BI202</f>
        <v/>
      </c>
      <c r="H114" s="160"/>
      <c r="I114" s="160"/>
      <c r="J114" s="160"/>
      <c r="K114" s="160"/>
      <c r="L114" s="160"/>
      <c r="M114" s="160"/>
      <c r="N114" s="160"/>
      <c r="O114" s="160"/>
      <c r="P114" s="160"/>
      <c r="Q114" s="160"/>
      <c r="R114" s="160"/>
      <c r="S114" s="160"/>
      <c r="T114" s="160"/>
      <c r="U114" s="160"/>
      <c r="V114" s="160"/>
      <c r="W114" s="160"/>
      <c r="X114" s="160"/>
      <c r="Y114" s="160"/>
      <c r="Z114" s="160"/>
      <c r="AA114" s="160"/>
      <c r="AB114" s="160"/>
      <c r="AC114" s="160"/>
      <c r="AD114" s="160"/>
      <c r="AE114" s="160"/>
      <c r="AF114" s="160"/>
      <c r="AG114" s="160"/>
      <c r="AH114" s="160"/>
      <c r="AI114" s="160"/>
      <c r="AJ114" s="160"/>
      <c r="AK114" s="160"/>
      <c r="AL114" s="160"/>
      <c r="AM114" s="160"/>
      <c r="AN114" s="160"/>
      <c r="AO114" s="160"/>
      <c r="AP114" s="160"/>
      <c r="AQ114" s="160"/>
      <c r="AR114" s="160"/>
      <c r="AS114" s="160"/>
      <c r="AT114" s="160"/>
      <c r="AU114" s="160"/>
      <c r="AV114" s="160"/>
      <c r="AW114" s="160"/>
      <c r="AX114" s="160"/>
      <c r="AY114" s="160"/>
      <c r="AZ114" s="160"/>
      <c r="BA114" s="160"/>
      <c r="BB114" s="160"/>
      <c r="BC114" s="160"/>
      <c r="BD114" s="160"/>
      <c r="BE114" s="160"/>
      <c r="BF114" s="160"/>
      <c r="BG114" s="160"/>
    </row>
    <row r="115" spans="2:59" hidden="1" x14ac:dyDescent="0.2">
      <c r="B115" s="222" t="str">
        <f>IF(Capacity!N108="","",Capacity!N108)</f>
        <v/>
      </c>
      <c r="C115" s="223" t="str">
        <f>IF(B115="","",Capacity!Q108)</f>
        <v/>
      </c>
      <c r="D115" s="317" t="str">
        <f>IF(B115="","",Capacity!R108)</f>
        <v/>
      </c>
      <c r="E115" s="223" t="str">
        <f>IF(B115="","",IF(COUNTIF(H115:BG115,"X")=0,SUM('Capacity calculation (hide)'!H203:BG203),COUNTIF(H115:BG115,"X")))</f>
        <v/>
      </c>
      <c r="F115" s="318" t="str">
        <f>'Capacity calculation (hide)'!BI203</f>
        <v/>
      </c>
      <c r="H115" s="160"/>
      <c r="I115" s="160"/>
      <c r="J115" s="160"/>
      <c r="K115" s="160"/>
      <c r="L115" s="160"/>
      <c r="M115" s="160"/>
      <c r="N115" s="160"/>
      <c r="O115" s="160"/>
      <c r="P115" s="160"/>
      <c r="Q115" s="160"/>
      <c r="R115" s="160"/>
      <c r="S115" s="160"/>
      <c r="T115" s="160"/>
      <c r="U115" s="160"/>
      <c r="V115" s="160"/>
      <c r="W115" s="160"/>
      <c r="X115" s="160"/>
      <c r="Y115" s="160"/>
      <c r="Z115" s="160"/>
      <c r="AA115" s="160"/>
      <c r="AB115" s="160"/>
      <c r="AC115" s="160"/>
      <c r="AD115" s="160"/>
      <c r="AE115" s="160"/>
      <c r="AF115" s="160"/>
      <c r="AG115" s="160"/>
      <c r="AH115" s="160"/>
      <c r="AI115" s="160"/>
      <c r="AJ115" s="160"/>
      <c r="AK115" s="160"/>
      <c r="AL115" s="160"/>
      <c r="AM115" s="160"/>
      <c r="AN115" s="160"/>
      <c r="AO115" s="160"/>
      <c r="AP115" s="160"/>
      <c r="AQ115" s="160"/>
      <c r="AR115" s="160"/>
      <c r="AS115" s="160"/>
      <c r="AT115" s="160"/>
      <c r="AU115" s="160"/>
      <c r="AV115" s="160"/>
      <c r="AW115" s="160"/>
      <c r="AX115" s="160"/>
      <c r="AY115" s="160"/>
      <c r="AZ115" s="160"/>
      <c r="BA115" s="160"/>
      <c r="BB115" s="160"/>
      <c r="BC115" s="160"/>
      <c r="BD115" s="160"/>
      <c r="BE115" s="160"/>
      <c r="BF115" s="160"/>
      <c r="BG115" s="160"/>
    </row>
    <row r="116" spans="2:59" hidden="1" x14ac:dyDescent="0.2">
      <c r="B116" s="222" t="str">
        <f>IF(Capacity!N109="","",Capacity!N109)</f>
        <v/>
      </c>
      <c r="C116" s="223" t="str">
        <f>IF(B116="","",Capacity!Q109)</f>
        <v/>
      </c>
      <c r="D116" s="317" t="str">
        <f>IF(B116="","",Capacity!R109)</f>
        <v/>
      </c>
      <c r="E116" s="223" t="str">
        <f>IF(B116="","",IF(COUNTIF(H116:BG116,"X")=0,SUM('Capacity calculation (hide)'!H204:BG204),COUNTIF(H116:BG116,"X")))</f>
        <v/>
      </c>
      <c r="F116" s="318" t="str">
        <f>'Capacity calculation (hide)'!BI204</f>
        <v/>
      </c>
      <c r="H116" s="160"/>
      <c r="I116" s="160"/>
      <c r="J116" s="160"/>
      <c r="K116" s="160"/>
      <c r="L116" s="160"/>
      <c r="M116" s="160"/>
      <c r="N116" s="160"/>
      <c r="O116" s="160"/>
      <c r="P116" s="160"/>
      <c r="Q116" s="160"/>
      <c r="R116" s="160"/>
      <c r="S116" s="160"/>
      <c r="T116" s="160"/>
      <c r="U116" s="160"/>
      <c r="V116" s="160"/>
      <c r="W116" s="160"/>
      <c r="X116" s="160"/>
      <c r="Y116" s="160"/>
      <c r="Z116" s="160"/>
      <c r="AA116" s="160"/>
      <c r="AB116" s="160"/>
      <c r="AC116" s="160"/>
      <c r="AD116" s="160"/>
      <c r="AE116" s="160"/>
      <c r="AF116" s="160"/>
      <c r="AG116" s="160"/>
      <c r="AH116" s="160"/>
      <c r="AI116" s="160"/>
      <c r="AJ116" s="160"/>
      <c r="AK116" s="160"/>
      <c r="AL116" s="160"/>
      <c r="AM116" s="160"/>
      <c r="AN116" s="160"/>
      <c r="AO116" s="160"/>
      <c r="AP116" s="160"/>
      <c r="AQ116" s="160"/>
      <c r="AR116" s="160"/>
      <c r="AS116" s="160"/>
      <c r="AT116" s="160"/>
      <c r="AU116" s="160"/>
      <c r="AV116" s="160"/>
      <c r="AW116" s="160"/>
      <c r="AX116" s="160"/>
      <c r="AY116" s="160"/>
      <c r="AZ116" s="160"/>
      <c r="BA116" s="160"/>
      <c r="BB116" s="160"/>
      <c r="BC116" s="160"/>
      <c r="BD116" s="160"/>
      <c r="BE116" s="160"/>
      <c r="BF116" s="160"/>
      <c r="BG116" s="160"/>
    </row>
    <row r="117" spans="2:59" hidden="1" x14ac:dyDescent="0.2">
      <c r="B117" s="222" t="str">
        <f>IF(Capacity!N110="","",Capacity!N110)</f>
        <v/>
      </c>
      <c r="C117" s="223" t="str">
        <f>IF(B117="","",Capacity!Q110)</f>
        <v/>
      </c>
      <c r="D117" s="317" t="str">
        <f>IF(B117="","",Capacity!R110)</f>
        <v/>
      </c>
      <c r="E117" s="223" t="str">
        <f>IF(B117="","",IF(COUNTIF(H117:BG117,"X")=0,SUM('Capacity calculation (hide)'!H205:BG205),COUNTIF(H117:BG117,"X")))</f>
        <v/>
      </c>
      <c r="F117" s="318" t="str">
        <f>'Capacity calculation (hide)'!BI205</f>
        <v/>
      </c>
      <c r="H117" s="160"/>
      <c r="I117" s="160"/>
      <c r="J117" s="160"/>
      <c r="K117" s="160"/>
      <c r="L117" s="160"/>
      <c r="M117" s="160"/>
      <c r="N117" s="160"/>
      <c r="O117" s="160"/>
      <c r="P117" s="160"/>
      <c r="Q117" s="160"/>
      <c r="R117" s="160"/>
      <c r="S117" s="160"/>
      <c r="T117" s="160"/>
      <c r="U117" s="160"/>
      <c r="V117" s="160"/>
      <c r="W117" s="160"/>
      <c r="X117" s="160"/>
      <c r="Y117" s="160"/>
      <c r="Z117" s="160"/>
      <c r="AA117" s="160"/>
      <c r="AB117" s="160"/>
      <c r="AC117" s="160"/>
      <c r="AD117" s="160"/>
      <c r="AE117" s="160"/>
      <c r="AF117" s="160"/>
      <c r="AG117" s="160"/>
      <c r="AH117" s="160"/>
      <c r="AI117" s="160"/>
      <c r="AJ117" s="160"/>
      <c r="AK117" s="160"/>
      <c r="AL117" s="160"/>
      <c r="AM117" s="160"/>
      <c r="AN117" s="160"/>
      <c r="AO117" s="160"/>
      <c r="AP117" s="160"/>
      <c r="AQ117" s="160"/>
      <c r="AR117" s="160"/>
      <c r="AS117" s="160"/>
      <c r="AT117" s="160"/>
      <c r="AU117" s="160"/>
      <c r="AV117" s="160"/>
      <c r="AW117" s="160"/>
      <c r="AX117" s="160"/>
      <c r="AY117" s="160"/>
      <c r="AZ117" s="160"/>
      <c r="BA117" s="160"/>
      <c r="BB117" s="160"/>
      <c r="BC117" s="160"/>
      <c r="BD117" s="160"/>
      <c r="BE117" s="160"/>
      <c r="BF117" s="160"/>
      <c r="BG117" s="160"/>
    </row>
    <row r="118" spans="2:59" hidden="1" x14ac:dyDescent="0.2">
      <c r="B118" s="222" t="str">
        <f>IF(Capacity!N111="","",Capacity!N111)</f>
        <v/>
      </c>
      <c r="C118" s="223" t="str">
        <f>IF(B118="","",Capacity!Q111)</f>
        <v/>
      </c>
      <c r="D118" s="317" t="str">
        <f>IF(B118="","",Capacity!R111)</f>
        <v/>
      </c>
      <c r="E118" s="223" t="str">
        <f>IF(B118="","",IF(COUNTIF(H118:BG118,"X")=0,SUM('Capacity calculation (hide)'!H206:BG206),COUNTIF(H118:BG118,"X")))</f>
        <v/>
      </c>
      <c r="F118" s="318" t="str">
        <f>'Capacity calculation (hide)'!BI206</f>
        <v/>
      </c>
      <c r="H118" s="160"/>
      <c r="I118" s="160"/>
      <c r="J118" s="160"/>
      <c r="K118" s="160"/>
      <c r="L118" s="160"/>
      <c r="M118" s="160"/>
      <c r="N118" s="160"/>
      <c r="O118" s="160"/>
      <c r="P118" s="160"/>
      <c r="Q118" s="160"/>
      <c r="R118" s="160"/>
      <c r="S118" s="160"/>
      <c r="T118" s="160"/>
      <c r="U118" s="160"/>
      <c r="V118" s="160"/>
      <c r="W118" s="160"/>
      <c r="X118" s="160"/>
      <c r="Y118" s="160"/>
      <c r="Z118" s="160"/>
      <c r="AA118" s="160"/>
      <c r="AB118" s="160"/>
      <c r="AC118" s="160"/>
      <c r="AD118" s="160"/>
      <c r="AE118" s="160"/>
      <c r="AF118" s="160"/>
      <c r="AG118" s="160"/>
      <c r="AH118" s="160"/>
      <c r="AI118" s="160"/>
      <c r="AJ118" s="160"/>
      <c r="AK118" s="160"/>
      <c r="AL118" s="160"/>
      <c r="AM118" s="160"/>
      <c r="AN118" s="160"/>
      <c r="AO118" s="160"/>
      <c r="AP118" s="160"/>
      <c r="AQ118" s="160"/>
      <c r="AR118" s="160"/>
      <c r="AS118" s="160"/>
      <c r="AT118" s="160"/>
      <c r="AU118" s="160"/>
      <c r="AV118" s="160"/>
      <c r="AW118" s="160"/>
      <c r="AX118" s="160"/>
      <c r="AY118" s="160"/>
      <c r="AZ118" s="160"/>
      <c r="BA118" s="160"/>
      <c r="BB118" s="160"/>
      <c r="BC118" s="160"/>
      <c r="BD118" s="160"/>
      <c r="BE118" s="160"/>
      <c r="BF118" s="160"/>
      <c r="BG118" s="160"/>
    </row>
    <row r="119" spans="2:59" hidden="1" x14ac:dyDescent="0.2">
      <c r="B119" s="222" t="str">
        <f>IF(Capacity!N112="","",Capacity!N112)</f>
        <v/>
      </c>
      <c r="C119" s="223" t="str">
        <f>IF(B119="","",Capacity!Q112)</f>
        <v/>
      </c>
      <c r="D119" s="317" t="str">
        <f>IF(B119="","",Capacity!R112)</f>
        <v/>
      </c>
      <c r="E119" s="223" t="str">
        <f>IF(B119="","",IF(COUNTIF(H119:BG119,"X")=0,SUM('Capacity calculation (hide)'!H207:BG207),COUNTIF(H119:BG119,"X")))</f>
        <v/>
      </c>
      <c r="F119" s="318" t="str">
        <f>'Capacity calculation (hide)'!BI207</f>
        <v/>
      </c>
      <c r="H119" s="160"/>
      <c r="I119" s="160"/>
      <c r="J119" s="160"/>
      <c r="K119" s="160"/>
      <c r="L119" s="160"/>
      <c r="M119" s="160"/>
      <c r="N119" s="160"/>
      <c r="O119" s="160"/>
      <c r="P119" s="160"/>
      <c r="Q119" s="160"/>
      <c r="R119" s="160"/>
      <c r="S119" s="160"/>
      <c r="T119" s="160"/>
      <c r="U119" s="160"/>
      <c r="V119" s="160"/>
      <c r="W119" s="160"/>
      <c r="X119" s="160"/>
      <c r="Y119" s="160"/>
      <c r="Z119" s="160"/>
      <c r="AA119" s="160"/>
      <c r="AB119" s="160"/>
      <c r="AC119" s="160"/>
      <c r="AD119" s="160"/>
      <c r="AE119" s="160"/>
      <c r="AF119" s="160"/>
      <c r="AG119" s="160"/>
      <c r="AH119" s="160"/>
      <c r="AI119" s="160"/>
      <c r="AJ119" s="160"/>
      <c r="AK119" s="160"/>
      <c r="AL119" s="160"/>
      <c r="AM119" s="160"/>
      <c r="AN119" s="160"/>
      <c r="AO119" s="160"/>
      <c r="AP119" s="160"/>
      <c r="AQ119" s="160"/>
      <c r="AR119" s="160"/>
      <c r="AS119" s="160"/>
      <c r="AT119" s="160"/>
      <c r="AU119" s="160"/>
      <c r="AV119" s="160"/>
      <c r="AW119" s="160"/>
      <c r="AX119" s="160"/>
      <c r="AY119" s="160"/>
      <c r="AZ119" s="160"/>
      <c r="BA119" s="160"/>
      <c r="BB119" s="160"/>
      <c r="BC119" s="160"/>
      <c r="BD119" s="160"/>
      <c r="BE119" s="160"/>
      <c r="BF119" s="160"/>
      <c r="BG119" s="160"/>
    </row>
    <row r="120" spans="2:59" hidden="1" x14ac:dyDescent="0.2">
      <c r="B120" s="222" t="str">
        <f>IF(Capacity!N113="","",Capacity!N113)</f>
        <v/>
      </c>
      <c r="C120" s="223" t="str">
        <f>IF(B120="","",Capacity!Q113)</f>
        <v/>
      </c>
      <c r="D120" s="317" t="str">
        <f>IF(B120="","",Capacity!R113)</f>
        <v/>
      </c>
      <c r="E120" s="223" t="str">
        <f>IF(B120="","",IF(COUNTIF(H120:BG120,"X")=0,SUM('Capacity calculation (hide)'!H208:BG208),COUNTIF(H120:BG120,"X")))</f>
        <v/>
      </c>
      <c r="F120" s="318" t="str">
        <f>'Capacity calculation (hide)'!BI208</f>
        <v/>
      </c>
      <c r="H120" s="160"/>
      <c r="I120" s="160"/>
      <c r="J120" s="160"/>
      <c r="K120" s="160"/>
      <c r="L120" s="160"/>
      <c r="M120" s="160"/>
      <c r="N120" s="160"/>
      <c r="O120" s="160"/>
      <c r="P120" s="160"/>
      <c r="Q120" s="160"/>
      <c r="R120" s="160"/>
      <c r="S120" s="160"/>
      <c r="T120" s="160"/>
      <c r="U120" s="160"/>
      <c r="V120" s="160"/>
      <c r="W120" s="160"/>
      <c r="X120" s="160"/>
      <c r="Y120" s="160"/>
      <c r="Z120" s="160"/>
      <c r="AA120" s="160"/>
      <c r="AB120" s="160"/>
      <c r="AC120" s="160"/>
      <c r="AD120" s="160"/>
      <c r="AE120" s="160"/>
      <c r="AF120" s="160"/>
      <c r="AG120" s="160"/>
      <c r="AH120" s="160"/>
      <c r="AI120" s="160"/>
      <c r="AJ120" s="160"/>
      <c r="AK120" s="160"/>
      <c r="AL120" s="160"/>
      <c r="AM120" s="160"/>
      <c r="AN120" s="160"/>
      <c r="AO120" s="160"/>
      <c r="AP120" s="160"/>
      <c r="AQ120" s="160"/>
      <c r="AR120" s="160"/>
      <c r="AS120" s="160"/>
      <c r="AT120" s="160"/>
      <c r="AU120" s="160"/>
      <c r="AV120" s="160"/>
      <c r="AW120" s="160"/>
      <c r="AX120" s="160"/>
      <c r="AY120" s="160"/>
      <c r="AZ120" s="160"/>
      <c r="BA120" s="160"/>
      <c r="BB120" s="160"/>
      <c r="BC120" s="160"/>
      <c r="BD120" s="160"/>
      <c r="BE120" s="160"/>
      <c r="BF120" s="160"/>
      <c r="BG120" s="160"/>
    </row>
    <row r="121" spans="2:59" hidden="1" x14ac:dyDescent="0.2">
      <c r="B121" s="222" t="str">
        <f>IF(Capacity!N114="","",Capacity!N114)</f>
        <v/>
      </c>
      <c r="C121" s="223" t="str">
        <f>IF(B121="","",Capacity!Q114)</f>
        <v/>
      </c>
      <c r="D121" s="317" t="str">
        <f>IF(B121="","",Capacity!R114)</f>
        <v/>
      </c>
      <c r="E121" s="223" t="str">
        <f>IF(B121="","",IF(COUNTIF(H121:BG121,"X")=0,SUM('Capacity calculation (hide)'!H209:BG209),COUNTIF(H121:BG121,"X")))</f>
        <v/>
      </c>
      <c r="F121" s="318" t="str">
        <f>'Capacity calculation (hide)'!BI209</f>
        <v/>
      </c>
      <c r="H121" s="160"/>
      <c r="I121" s="160"/>
      <c r="J121" s="160"/>
      <c r="K121" s="160"/>
      <c r="L121" s="160"/>
      <c r="M121" s="160"/>
      <c r="N121" s="160"/>
      <c r="O121" s="160"/>
      <c r="P121" s="160"/>
      <c r="Q121" s="160"/>
      <c r="R121" s="160"/>
      <c r="S121" s="160"/>
      <c r="T121" s="160"/>
      <c r="U121" s="160"/>
      <c r="V121" s="160"/>
      <c r="W121" s="160"/>
      <c r="X121" s="160"/>
      <c r="Y121" s="160"/>
      <c r="Z121" s="160"/>
      <c r="AA121" s="160"/>
      <c r="AB121" s="160"/>
      <c r="AC121" s="160"/>
      <c r="AD121" s="160"/>
      <c r="AE121" s="160"/>
      <c r="AF121" s="160"/>
      <c r="AG121" s="160"/>
      <c r="AH121" s="160"/>
      <c r="AI121" s="160"/>
      <c r="AJ121" s="160"/>
      <c r="AK121" s="160"/>
      <c r="AL121" s="160"/>
      <c r="AM121" s="160"/>
      <c r="AN121" s="160"/>
      <c r="AO121" s="160"/>
      <c r="AP121" s="160"/>
      <c r="AQ121" s="160"/>
      <c r="AR121" s="160"/>
      <c r="AS121" s="160"/>
      <c r="AT121" s="160"/>
      <c r="AU121" s="160"/>
      <c r="AV121" s="160"/>
      <c r="AW121" s="160"/>
      <c r="AX121" s="160"/>
      <c r="AY121" s="160"/>
      <c r="AZ121" s="160"/>
      <c r="BA121" s="160"/>
      <c r="BB121" s="160"/>
      <c r="BC121" s="160"/>
      <c r="BD121" s="160"/>
      <c r="BE121" s="160"/>
      <c r="BF121" s="160"/>
      <c r="BG121" s="160"/>
    </row>
    <row r="122" spans="2:59" hidden="1" x14ac:dyDescent="0.2">
      <c r="B122" s="222" t="str">
        <f>IF(Capacity!N115="","",Capacity!N115)</f>
        <v/>
      </c>
      <c r="C122" s="223" t="str">
        <f>IF(B122="","",Capacity!Q115)</f>
        <v/>
      </c>
      <c r="D122" s="317" t="str">
        <f>IF(B122="","",Capacity!R115)</f>
        <v/>
      </c>
      <c r="E122" s="223" t="str">
        <f>IF(B122="","",IF(COUNTIF(H122:BG122,"X")=0,SUM('Capacity calculation (hide)'!H210:BG210),COUNTIF(H122:BG122,"X")))</f>
        <v/>
      </c>
      <c r="F122" s="318" t="str">
        <f>'Capacity calculation (hide)'!BI210</f>
        <v/>
      </c>
      <c r="H122" s="160"/>
      <c r="I122" s="160"/>
      <c r="J122" s="160"/>
      <c r="K122" s="160"/>
      <c r="L122" s="160"/>
      <c r="M122" s="160"/>
      <c r="N122" s="160"/>
      <c r="O122" s="160"/>
      <c r="P122" s="160"/>
      <c r="Q122" s="160"/>
      <c r="R122" s="160"/>
      <c r="S122" s="160"/>
      <c r="T122" s="160"/>
      <c r="U122" s="160"/>
      <c r="V122" s="160"/>
      <c r="W122" s="160"/>
      <c r="X122" s="160"/>
      <c r="Y122" s="160"/>
      <c r="Z122" s="160"/>
      <c r="AA122" s="160"/>
      <c r="AB122" s="160"/>
      <c r="AC122" s="160"/>
      <c r="AD122" s="160"/>
      <c r="AE122" s="160"/>
      <c r="AF122" s="160"/>
      <c r="AG122" s="160"/>
      <c r="AH122" s="160"/>
      <c r="AI122" s="160"/>
      <c r="AJ122" s="160"/>
      <c r="AK122" s="160"/>
      <c r="AL122" s="160"/>
      <c r="AM122" s="160"/>
      <c r="AN122" s="160"/>
      <c r="AO122" s="160"/>
      <c r="AP122" s="160"/>
      <c r="AQ122" s="160"/>
      <c r="AR122" s="160"/>
      <c r="AS122" s="160"/>
      <c r="AT122" s="160"/>
      <c r="AU122" s="160"/>
      <c r="AV122" s="160"/>
      <c r="AW122" s="160"/>
      <c r="AX122" s="160"/>
      <c r="AY122" s="160"/>
      <c r="AZ122" s="160"/>
      <c r="BA122" s="160"/>
      <c r="BB122" s="160"/>
      <c r="BC122" s="160"/>
      <c r="BD122" s="160"/>
      <c r="BE122" s="160"/>
      <c r="BF122" s="160"/>
      <c r="BG122" s="160"/>
    </row>
    <row r="123" spans="2:59" hidden="1" x14ac:dyDescent="0.2">
      <c r="B123" s="222" t="str">
        <f>IF(Capacity!N116="","",Capacity!N116)</f>
        <v/>
      </c>
      <c r="C123" s="223" t="str">
        <f>IF(B123="","",Capacity!Q116)</f>
        <v/>
      </c>
      <c r="D123" s="317" t="str">
        <f>IF(B123="","",Capacity!R116)</f>
        <v/>
      </c>
      <c r="E123" s="223" t="str">
        <f>IF(B123="","",IF(COUNTIF(H123:BG123,"X")=0,SUM('Capacity calculation (hide)'!H211:BG211),COUNTIF(H123:BG123,"X")))</f>
        <v/>
      </c>
      <c r="F123" s="318" t="str">
        <f>'Capacity calculation (hide)'!BI211</f>
        <v/>
      </c>
      <c r="H123" s="160"/>
      <c r="I123" s="160"/>
      <c r="J123" s="160"/>
      <c r="K123" s="160"/>
      <c r="L123" s="160"/>
      <c r="M123" s="160"/>
      <c r="N123" s="160"/>
      <c r="O123" s="160"/>
      <c r="P123" s="160"/>
      <c r="Q123" s="160"/>
      <c r="R123" s="160"/>
      <c r="S123" s="160"/>
      <c r="T123" s="160"/>
      <c r="U123" s="160"/>
      <c r="V123" s="160"/>
      <c r="W123" s="160"/>
      <c r="X123" s="160"/>
      <c r="Y123" s="160"/>
      <c r="Z123" s="160"/>
      <c r="AA123" s="160"/>
      <c r="AB123" s="160"/>
      <c r="AC123" s="160"/>
      <c r="AD123" s="160"/>
      <c r="AE123" s="160"/>
      <c r="AF123" s="160"/>
      <c r="AG123" s="160"/>
      <c r="AH123" s="160"/>
      <c r="AI123" s="160"/>
      <c r="AJ123" s="160"/>
      <c r="AK123" s="160"/>
      <c r="AL123" s="160"/>
      <c r="AM123" s="160"/>
      <c r="AN123" s="160"/>
      <c r="AO123" s="160"/>
      <c r="AP123" s="160"/>
      <c r="AQ123" s="160"/>
      <c r="AR123" s="160"/>
      <c r="AS123" s="160"/>
      <c r="AT123" s="160"/>
      <c r="AU123" s="160"/>
      <c r="AV123" s="160"/>
      <c r="AW123" s="160"/>
      <c r="AX123" s="160"/>
      <c r="AY123" s="160"/>
      <c r="AZ123" s="160"/>
      <c r="BA123" s="160"/>
      <c r="BB123" s="160"/>
      <c r="BC123" s="160"/>
      <c r="BD123" s="160"/>
      <c r="BE123" s="160"/>
      <c r="BF123" s="160"/>
      <c r="BG123" s="160"/>
    </row>
    <row r="124" spans="2:59" x14ac:dyDescent="0.2">
      <c r="B124" s="68" t="str">
        <f>IF(Capacity!B17="","",Capacity!B17)</f>
        <v>Core Clinic 1</v>
      </c>
      <c r="C124" s="223">
        <f>IF(B124="","",Capacity!E17)</f>
        <v>30</v>
      </c>
      <c r="D124" s="317">
        <f>IF(B124="","",Capacity!F17)</f>
        <v>9</v>
      </c>
      <c r="E124" s="223">
        <f ca="1">IF(B124="","",IF(COUNTIF(H124:BG124,"X")=0,SUM('Capacity calculation (hide)'!H5:BG5),COUNTIF(H124:BG124,"X")))</f>
        <v>52</v>
      </c>
      <c r="F124" s="318">
        <f ca="1">'Capacity calculation (hide)'!BI5</f>
        <v>5.1923076923076925</v>
      </c>
      <c r="H124" s="160"/>
      <c r="I124" s="160"/>
      <c r="J124" s="160"/>
      <c r="K124" s="160"/>
      <c r="L124" s="160"/>
      <c r="M124" s="160"/>
      <c r="N124" s="160"/>
      <c r="O124" s="160"/>
      <c r="P124" s="160"/>
      <c r="Q124" s="160"/>
      <c r="R124" s="160"/>
      <c r="S124" s="160"/>
      <c r="T124" s="160"/>
      <c r="U124" s="160"/>
      <c r="V124" s="160"/>
      <c r="W124" s="160"/>
      <c r="X124" s="160"/>
      <c r="Y124" s="160"/>
      <c r="Z124" s="160"/>
      <c r="AA124" s="160"/>
      <c r="AB124" s="160"/>
      <c r="AC124" s="160"/>
      <c r="AD124" s="160"/>
      <c r="AE124" s="160"/>
      <c r="AF124" s="160"/>
      <c r="AG124" s="160"/>
      <c r="AH124" s="160"/>
      <c r="AI124" s="160"/>
      <c r="AJ124" s="160"/>
      <c r="AK124" s="160"/>
      <c r="AL124" s="160"/>
      <c r="AM124" s="160"/>
      <c r="AN124" s="160"/>
      <c r="AO124" s="160"/>
      <c r="AP124" s="160"/>
      <c r="AQ124" s="160"/>
      <c r="AR124" s="160"/>
      <c r="AS124" s="160"/>
      <c r="AT124" s="160"/>
      <c r="AU124" s="160"/>
      <c r="AV124" s="160"/>
      <c r="AW124" s="160"/>
      <c r="AX124" s="160"/>
      <c r="AY124" s="160"/>
      <c r="AZ124" s="160"/>
      <c r="BA124" s="160"/>
      <c r="BB124" s="160"/>
      <c r="BC124" s="160"/>
      <c r="BD124" s="160"/>
      <c r="BE124" s="160"/>
      <c r="BF124" s="160"/>
      <c r="BG124" s="160"/>
    </row>
    <row r="125" spans="2:59" x14ac:dyDescent="0.2">
      <c r="B125" s="68" t="str">
        <f>IF(Capacity!B18="","",Capacity!B18)</f>
        <v>Core Clinic 2</v>
      </c>
      <c r="C125" s="223">
        <f>IF(B125="","",Capacity!E18)</f>
        <v>30</v>
      </c>
      <c r="D125" s="317">
        <f>IF(B125="","",Capacity!F18)</f>
        <v>9</v>
      </c>
      <c r="E125" s="223">
        <f ca="1">IF(B125="","",IF(COUNTIF(H125:BG125,"X")=0,SUM('Capacity calculation (hide)'!H6:BG6),COUNTIF(H125:BG125,"X")))</f>
        <v>52</v>
      </c>
      <c r="F125" s="318">
        <f ca="1">'Capacity calculation (hide)'!BI6</f>
        <v>5.1923076923076925</v>
      </c>
      <c r="H125" s="160"/>
      <c r="I125" s="160"/>
      <c r="J125" s="160"/>
      <c r="K125" s="160"/>
      <c r="L125" s="160"/>
      <c r="M125" s="160"/>
      <c r="N125" s="160"/>
      <c r="O125" s="160"/>
      <c r="P125" s="160"/>
      <c r="Q125" s="160"/>
      <c r="R125" s="160"/>
      <c r="S125" s="160"/>
      <c r="T125" s="160"/>
      <c r="U125" s="160"/>
      <c r="V125" s="160"/>
      <c r="W125" s="160"/>
      <c r="X125" s="160"/>
      <c r="Y125" s="160"/>
      <c r="Z125" s="160"/>
      <c r="AA125" s="160"/>
      <c r="AB125" s="160"/>
      <c r="AC125" s="160"/>
      <c r="AD125" s="160"/>
      <c r="AE125" s="160"/>
      <c r="AF125" s="160"/>
      <c r="AG125" s="160"/>
      <c r="AH125" s="160"/>
      <c r="AI125" s="160"/>
      <c r="AJ125" s="160"/>
      <c r="AK125" s="160"/>
      <c r="AL125" s="160"/>
      <c r="AM125" s="160"/>
      <c r="AN125" s="160"/>
      <c r="AO125" s="160"/>
      <c r="AP125" s="160"/>
      <c r="AQ125" s="160"/>
      <c r="AR125" s="160"/>
      <c r="AS125" s="160"/>
      <c r="AT125" s="160"/>
      <c r="AU125" s="160"/>
      <c r="AV125" s="160"/>
      <c r="AW125" s="160"/>
      <c r="AX125" s="160"/>
      <c r="AY125" s="160"/>
      <c r="AZ125" s="160"/>
      <c r="BA125" s="160"/>
      <c r="BB125" s="160"/>
      <c r="BC125" s="160"/>
      <c r="BD125" s="160"/>
      <c r="BE125" s="160"/>
      <c r="BF125" s="160"/>
      <c r="BG125" s="160"/>
    </row>
    <row r="126" spans="2:59" x14ac:dyDescent="0.2">
      <c r="B126" s="68" t="str">
        <f>IF(Capacity!B19="","",Capacity!B19)</f>
        <v>Core Clinic 3</v>
      </c>
      <c r="C126" s="223">
        <f>IF(B126="","",Capacity!E19)</f>
        <v>21</v>
      </c>
      <c r="D126" s="317">
        <f>IF(B126="","",Capacity!F19)</f>
        <v>6</v>
      </c>
      <c r="E126" s="223">
        <f ca="1">IF(B126="","",IF(COUNTIF(H126:BG126,"X")=0,SUM('Capacity calculation (hide)'!H7:BG7),COUNTIF(H126:BG126,"X")))</f>
        <v>52</v>
      </c>
      <c r="F126" s="318">
        <f ca="1">'Capacity calculation (hide)'!BI7</f>
        <v>2.4230769230769229</v>
      </c>
      <c r="H126" s="160"/>
      <c r="I126" s="160"/>
      <c r="J126" s="160"/>
      <c r="K126" s="160"/>
      <c r="L126" s="160"/>
      <c r="M126" s="160"/>
      <c r="N126" s="160"/>
      <c r="O126" s="160"/>
      <c r="P126" s="160"/>
      <c r="Q126" s="160"/>
      <c r="R126" s="160"/>
      <c r="S126" s="160"/>
      <c r="T126" s="160"/>
      <c r="U126" s="160"/>
      <c r="V126" s="160"/>
      <c r="W126" s="160"/>
      <c r="X126" s="160"/>
      <c r="Y126" s="160"/>
      <c r="Z126" s="160"/>
      <c r="AA126" s="160"/>
      <c r="AB126" s="160"/>
      <c r="AC126" s="160"/>
      <c r="AD126" s="160"/>
      <c r="AE126" s="160"/>
      <c r="AF126" s="160"/>
      <c r="AG126" s="160"/>
      <c r="AH126" s="160"/>
      <c r="AI126" s="160"/>
      <c r="AJ126" s="160"/>
      <c r="AK126" s="160"/>
      <c r="AL126" s="160"/>
      <c r="AM126" s="160"/>
      <c r="AN126" s="160"/>
      <c r="AO126" s="160"/>
      <c r="AP126" s="160"/>
      <c r="AQ126" s="160"/>
      <c r="AR126" s="160"/>
      <c r="AS126" s="160"/>
      <c r="AT126" s="160"/>
      <c r="AU126" s="160"/>
      <c r="AV126" s="160"/>
      <c r="AW126" s="160"/>
      <c r="AX126" s="160"/>
      <c r="AY126" s="160"/>
      <c r="AZ126" s="160"/>
      <c r="BA126" s="160"/>
      <c r="BB126" s="160"/>
      <c r="BC126" s="160"/>
      <c r="BD126" s="160"/>
      <c r="BE126" s="160"/>
      <c r="BF126" s="160"/>
      <c r="BG126" s="160"/>
    </row>
    <row r="127" spans="2:59" x14ac:dyDescent="0.2">
      <c r="B127" s="68" t="str">
        <f>IF(Capacity!B20="","",Capacity!B20)</f>
        <v>Core Clinic 4</v>
      </c>
      <c r="C127" s="223">
        <f>IF(B127="","",Capacity!E20)</f>
        <v>12</v>
      </c>
      <c r="D127" s="317">
        <f>IF(B127="","",Capacity!F20)</f>
        <v>6</v>
      </c>
      <c r="E127" s="223">
        <f ca="1">IF(B127="","",IF(COUNTIF(H127:BG127,"X")=0,SUM('Capacity calculation (hide)'!H8:BG8),COUNTIF(H127:BG127,"X")))</f>
        <v>52</v>
      </c>
      <c r="F127" s="318">
        <f ca="1">'Capacity calculation (hide)'!BI8</f>
        <v>1.3846153846153846</v>
      </c>
      <c r="H127" s="160"/>
      <c r="I127" s="160"/>
      <c r="J127" s="160"/>
      <c r="K127" s="160"/>
      <c r="L127" s="160"/>
      <c r="M127" s="160"/>
      <c r="N127" s="160"/>
      <c r="O127" s="160"/>
      <c r="P127" s="160"/>
      <c r="Q127" s="160"/>
      <c r="R127" s="160"/>
      <c r="S127" s="160"/>
      <c r="T127" s="160"/>
      <c r="U127" s="160"/>
      <c r="V127" s="160"/>
      <c r="W127" s="160"/>
      <c r="X127" s="160"/>
      <c r="Y127" s="160"/>
      <c r="Z127" s="160"/>
      <c r="AA127" s="160"/>
      <c r="AB127" s="160"/>
      <c r="AC127" s="160"/>
      <c r="AD127" s="160"/>
      <c r="AE127" s="160"/>
      <c r="AF127" s="160"/>
      <c r="AG127" s="160"/>
      <c r="AH127" s="160"/>
      <c r="AI127" s="160"/>
      <c r="AJ127" s="160"/>
      <c r="AK127" s="160"/>
      <c r="AL127" s="160"/>
      <c r="AM127" s="160"/>
      <c r="AN127" s="160"/>
      <c r="AO127" s="160"/>
      <c r="AP127" s="160"/>
      <c r="AQ127" s="160"/>
      <c r="AR127" s="160"/>
      <c r="AS127" s="160"/>
      <c r="AT127" s="160"/>
      <c r="AU127" s="160"/>
      <c r="AV127" s="160"/>
      <c r="AW127" s="160"/>
      <c r="AX127" s="160"/>
      <c r="AY127" s="160"/>
      <c r="AZ127" s="160"/>
      <c r="BA127" s="160"/>
      <c r="BB127" s="160"/>
      <c r="BC127" s="160"/>
      <c r="BD127" s="160"/>
      <c r="BE127" s="160"/>
      <c r="BF127" s="160"/>
      <c r="BG127" s="160"/>
    </row>
    <row r="128" spans="2:59" x14ac:dyDescent="0.2">
      <c r="B128" s="68" t="str">
        <f>IF(Capacity!B21="","",Capacity!B21)</f>
        <v/>
      </c>
      <c r="C128" s="223" t="str">
        <f>IF(B128="","",Capacity!E21)</f>
        <v/>
      </c>
      <c r="D128" s="317" t="str">
        <f>IF(B128="","",Capacity!F21)</f>
        <v/>
      </c>
      <c r="E128" s="223" t="str">
        <f>IF(B128="","",IF(COUNTIF(H128:BG128,"X")=0,SUM('Capacity calculation (hide)'!H9:BG9),COUNTIF(H128:BG128,"X")))</f>
        <v/>
      </c>
      <c r="F128" s="318" t="str">
        <f>'Capacity calculation (hide)'!BI9</f>
        <v/>
      </c>
      <c r="H128" s="160"/>
      <c r="I128" s="160"/>
      <c r="J128" s="160"/>
      <c r="K128" s="160"/>
      <c r="L128" s="160"/>
      <c r="M128" s="160"/>
      <c r="N128" s="160"/>
      <c r="O128" s="160"/>
      <c r="P128" s="160"/>
      <c r="Q128" s="160"/>
      <c r="R128" s="160"/>
      <c r="S128" s="160"/>
      <c r="T128" s="160"/>
      <c r="U128" s="160"/>
      <c r="V128" s="160"/>
      <c r="W128" s="160"/>
      <c r="X128" s="160"/>
      <c r="Y128" s="160"/>
      <c r="Z128" s="160"/>
      <c r="AA128" s="160"/>
      <c r="AB128" s="160"/>
      <c r="AC128" s="160"/>
      <c r="AD128" s="160"/>
      <c r="AE128" s="160"/>
      <c r="AF128" s="160"/>
      <c r="AG128" s="160"/>
      <c r="AH128" s="160"/>
      <c r="AI128" s="160"/>
      <c r="AJ128" s="160"/>
      <c r="AK128" s="160"/>
      <c r="AL128" s="160"/>
      <c r="AM128" s="160"/>
      <c r="AN128" s="160"/>
      <c r="AO128" s="160"/>
      <c r="AP128" s="160"/>
      <c r="AQ128" s="160"/>
      <c r="AR128" s="160"/>
      <c r="AS128" s="160"/>
      <c r="AT128" s="160"/>
      <c r="AU128" s="160"/>
      <c r="AV128" s="160"/>
      <c r="AW128" s="160"/>
      <c r="AX128" s="160"/>
      <c r="AY128" s="160"/>
      <c r="AZ128" s="160"/>
      <c r="BA128" s="160"/>
      <c r="BB128" s="160"/>
      <c r="BC128" s="160"/>
      <c r="BD128" s="160"/>
      <c r="BE128" s="160"/>
      <c r="BF128" s="160"/>
      <c r="BG128" s="160"/>
    </row>
    <row r="129" spans="2:59" x14ac:dyDescent="0.2">
      <c r="B129" s="68" t="str">
        <f>IF(Capacity!B22="","",Capacity!B22)</f>
        <v/>
      </c>
      <c r="C129" s="223" t="str">
        <f>IF(B129="","",Capacity!E22)</f>
        <v/>
      </c>
      <c r="D129" s="317" t="str">
        <f>IF(B129="","",Capacity!F22)</f>
        <v/>
      </c>
      <c r="E129" s="223" t="str">
        <f>IF(B129="","",IF(COUNTIF(H129:BG129,"X")=0,SUM('Capacity calculation (hide)'!H10:BG10),COUNTIF(H129:BG129,"X")))</f>
        <v/>
      </c>
      <c r="F129" s="318" t="str">
        <f>'Capacity calculation (hide)'!BI10</f>
        <v/>
      </c>
      <c r="H129" s="160"/>
      <c r="I129" s="160"/>
      <c r="J129" s="160"/>
      <c r="K129" s="160"/>
      <c r="L129" s="160"/>
      <c r="M129" s="160"/>
      <c r="N129" s="160"/>
      <c r="O129" s="160"/>
      <c r="P129" s="160"/>
      <c r="Q129" s="160"/>
      <c r="R129" s="160"/>
      <c r="S129" s="160"/>
      <c r="T129" s="160"/>
      <c r="U129" s="160"/>
      <c r="V129" s="160"/>
      <c r="W129" s="160"/>
      <c r="X129" s="160"/>
      <c r="Y129" s="160"/>
      <c r="Z129" s="160"/>
      <c r="AA129" s="160"/>
      <c r="AB129" s="160"/>
      <c r="AC129" s="160"/>
      <c r="AD129" s="160"/>
      <c r="AE129" s="160"/>
      <c r="AF129" s="160"/>
      <c r="AG129" s="160"/>
      <c r="AH129" s="160"/>
      <c r="AI129" s="160"/>
      <c r="AJ129" s="160"/>
      <c r="AK129" s="160"/>
      <c r="AL129" s="160"/>
      <c r="AM129" s="160"/>
      <c r="AN129" s="160"/>
      <c r="AO129" s="160"/>
      <c r="AP129" s="160"/>
      <c r="AQ129" s="160"/>
      <c r="AR129" s="160"/>
      <c r="AS129" s="160"/>
      <c r="AT129" s="160"/>
      <c r="AU129" s="160"/>
      <c r="AV129" s="160"/>
      <c r="AW129" s="160"/>
      <c r="AX129" s="160"/>
      <c r="AY129" s="160"/>
      <c r="AZ129" s="160"/>
      <c r="BA129" s="160"/>
      <c r="BB129" s="160"/>
      <c r="BC129" s="160"/>
      <c r="BD129" s="160"/>
      <c r="BE129" s="160"/>
      <c r="BF129" s="160"/>
      <c r="BG129" s="160"/>
    </row>
    <row r="130" spans="2:59" x14ac:dyDescent="0.2">
      <c r="B130" s="68" t="str">
        <f>IF(Capacity!B23="","",Capacity!B23)</f>
        <v/>
      </c>
      <c r="C130" s="223" t="str">
        <f>IF(B130="","",Capacity!E23)</f>
        <v/>
      </c>
      <c r="D130" s="317" t="str">
        <f>IF(B130="","",Capacity!F23)</f>
        <v/>
      </c>
      <c r="E130" s="223" t="str">
        <f>IF(B130="","",IF(COUNTIF(H130:BG130,"X")=0,SUM('Capacity calculation (hide)'!H11:BG11),COUNTIF(H130:BG130,"X")))</f>
        <v/>
      </c>
      <c r="F130" s="318" t="str">
        <f>'Capacity calculation (hide)'!BI11</f>
        <v/>
      </c>
      <c r="H130" s="160"/>
      <c r="I130" s="160"/>
      <c r="J130" s="160"/>
      <c r="K130" s="160"/>
      <c r="L130" s="160"/>
      <c r="M130" s="160"/>
      <c r="N130" s="160"/>
      <c r="O130" s="160"/>
      <c r="P130" s="160"/>
      <c r="Q130" s="160"/>
      <c r="R130" s="160"/>
      <c r="S130" s="160"/>
      <c r="T130" s="160"/>
      <c r="U130" s="160"/>
      <c r="V130" s="160"/>
      <c r="W130" s="160"/>
      <c r="X130" s="160"/>
      <c r="Y130" s="160"/>
      <c r="Z130" s="160"/>
      <c r="AA130" s="160"/>
      <c r="AB130" s="160"/>
      <c r="AC130" s="160"/>
      <c r="AD130" s="160"/>
      <c r="AE130" s="160"/>
      <c r="AF130" s="160"/>
      <c r="AG130" s="160"/>
      <c r="AH130" s="160"/>
      <c r="AI130" s="160"/>
      <c r="AJ130" s="160"/>
      <c r="AK130" s="160"/>
      <c r="AL130" s="160"/>
      <c r="AM130" s="160"/>
      <c r="AN130" s="160"/>
      <c r="AO130" s="160"/>
      <c r="AP130" s="160"/>
      <c r="AQ130" s="160"/>
      <c r="AR130" s="160"/>
      <c r="AS130" s="160"/>
      <c r="AT130" s="160"/>
      <c r="AU130" s="160"/>
      <c r="AV130" s="160"/>
      <c r="AW130" s="160"/>
      <c r="AX130" s="160"/>
      <c r="AY130" s="160"/>
      <c r="AZ130" s="160"/>
      <c r="BA130" s="160"/>
      <c r="BB130" s="160"/>
      <c r="BC130" s="160"/>
      <c r="BD130" s="160"/>
      <c r="BE130" s="160"/>
      <c r="BF130" s="160"/>
      <c r="BG130" s="160"/>
    </row>
    <row r="131" spans="2:59" x14ac:dyDescent="0.2">
      <c r="B131" s="68" t="str">
        <f>IF(Capacity!B24="","",Capacity!B24)</f>
        <v/>
      </c>
      <c r="C131" s="223" t="str">
        <f>IF(B131="","",Capacity!E24)</f>
        <v/>
      </c>
      <c r="D131" s="317" t="str">
        <f>IF(B131="","",Capacity!F24)</f>
        <v/>
      </c>
      <c r="E131" s="223" t="str">
        <f>IF(B131="","",IF(COUNTIF(H131:BG131,"X")=0,SUM('Capacity calculation (hide)'!H12:BG12),COUNTIF(H131:BG131,"X")))</f>
        <v/>
      </c>
      <c r="F131" s="318" t="str">
        <f>'Capacity calculation (hide)'!BI12</f>
        <v/>
      </c>
      <c r="H131" s="160"/>
      <c r="I131" s="160"/>
      <c r="J131" s="160"/>
      <c r="K131" s="160"/>
      <c r="L131" s="160"/>
      <c r="M131" s="160"/>
      <c r="N131" s="160"/>
      <c r="O131" s="160"/>
      <c r="P131" s="160"/>
      <c r="Q131" s="160"/>
      <c r="R131" s="160"/>
      <c r="S131" s="160"/>
      <c r="T131" s="160"/>
      <c r="U131" s="160"/>
      <c r="V131" s="160"/>
      <c r="W131" s="160"/>
      <c r="X131" s="160"/>
      <c r="Y131" s="160"/>
      <c r="Z131" s="160"/>
      <c r="AA131" s="160"/>
      <c r="AB131" s="160"/>
      <c r="AC131" s="160"/>
      <c r="AD131" s="160"/>
      <c r="AE131" s="160"/>
      <c r="AF131" s="160"/>
      <c r="AG131" s="160"/>
      <c r="AH131" s="160"/>
      <c r="AI131" s="160"/>
      <c r="AJ131" s="160"/>
      <c r="AK131" s="160"/>
      <c r="AL131" s="160"/>
      <c r="AM131" s="160"/>
      <c r="AN131" s="160"/>
      <c r="AO131" s="160"/>
      <c r="AP131" s="160"/>
      <c r="AQ131" s="160"/>
      <c r="AR131" s="160"/>
      <c r="AS131" s="160"/>
      <c r="AT131" s="160"/>
      <c r="AU131" s="160"/>
      <c r="AV131" s="160"/>
      <c r="AW131" s="160"/>
      <c r="AX131" s="160"/>
      <c r="AY131" s="160"/>
      <c r="AZ131" s="160"/>
      <c r="BA131" s="160"/>
      <c r="BB131" s="160"/>
      <c r="BC131" s="160"/>
      <c r="BD131" s="160"/>
      <c r="BE131" s="160"/>
      <c r="BF131" s="160"/>
      <c r="BG131" s="160"/>
    </row>
    <row r="132" spans="2:59" x14ac:dyDescent="0.2">
      <c r="B132" s="68" t="str">
        <f>IF(Capacity!B25="","",Capacity!B25)</f>
        <v/>
      </c>
      <c r="C132" s="223" t="str">
        <f>IF(B132="","",Capacity!E25)</f>
        <v/>
      </c>
      <c r="D132" s="317" t="str">
        <f>IF(B132="","",Capacity!F25)</f>
        <v/>
      </c>
      <c r="E132" s="223" t="str">
        <f>IF(B132="","",IF(COUNTIF(H132:BG132,"X")=0,SUM('Capacity calculation (hide)'!H13:BG13),COUNTIF(H132:BG132,"X")))</f>
        <v/>
      </c>
      <c r="F132" s="318" t="str">
        <f>'Capacity calculation (hide)'!BI13</f>
        <v/>
      </c>
      <c r="H132" s="160"/>
      <c r="I132" s="160"/>
      <c r="J132" s="160"/>
      <c r="K132" s="160"/>
      <c r="L132" s="160"/>
      <c r="M132" s="160"/>
      <c r="N132" s="160"/>
      <c r="O132" s="160"/>
      <c r="P132" s="160"/>
      <c r="Q132" s="160"/>
      <c r="R132" s="160"/>
      <c r="S132" s="160"/>
      <c r="T132" s="160"/>
      <c r="U132" s="160"/>
      <c r="V132" s="160"/>
      <c r="W132" s="160"/>
      <c r="X132" s="160"/>
      <c r="Y132" s="160"/>
      <c r="Z132" s="160"/>
      <c r="AA132" s="160"/>
      <c r="AB132" s="160"/>
      <c r="AC132" s="160"/>
      <c r="AD132" s="160"/>
      <c r="AE132" s="160"/>
      <c r="AF132" s="160"/>
      <c r="AG132" s="160"/>
      <c r="AH132" s="160"/>
      <c r="AI132" s="160"/>
      <c r="AJ132" s="160"/>
      <c r="AK132" s="160"/>
      <c r="AL132" s="160"/>
      <c r="AM132" s="160"/>
      <c r="AN132" s="160"/>
      <c r="AO132" s="160"/>
      <c r="AP132" s="160"/>
      <c r="AQ132" s="160"/>
      <c r="AR132" s="160"/>
      <c r="AS132" s="160"/>
      <c r="AT132" s="160"/>
      <c r="AU132" s="160"/>
      <c r="AV132" s="160"/>
      <c r="AW132" s="160"/>
      <c r="AX132" s="160"/>
      <c r="AY132" s="160"/>
      <c r="AZ132" s="160"/>
      <c r="BA132" s="160"/>
      <c r="BB132" s="160"/>
      <c r="BC132" s="160"/>
      <c r="BD132" s="160"/>
      <c r="BE132" s="160"/>
      <c r="BF132" s="160"/>
      <c r="BG132" s="160"/>
    </row>
    <row r="133" spans="2:59" x14ac:dyDescent="0.2">
      <c r="B133" s="68" t="str">
        <f>IF(Capacity!B26="","",Capacity!B26)</f>
        <v/>
      </c>
      <c r="C133" s="223" t="str">
        <f>IF(B133="","",Capacity!E26)</f>
        <v/>
      </c>
      <c r="D133" s="317" t="str">
        <f>IF(B133="","",Capacity!F26)</f>
        <v/>
      </c>
      <c r="E133" s="223" t="str">
        <f>IF(B133="","",IF(COUNTIF(H133:BG133,"X")=0,SUM('Capacity calculation (hide)'!H14:BG14),COUNTIF(H133:BG133,"X")))</f>
        <v/>
      </c>
      <c r="F133" s="318" t="str">
        <f>'Capacity calculation (hide)'!BI14</f>
        <v/>
      </c>
      <c r="H133" s="160"/>
      <c r="I133" s="160"/>
      <c r="J133" s="160"/>
      <c r="K133" s="160"/>
      <c r="L133" s="160"/>
      <c r="M133" s="160"/>
      <c r="N133" s="160"/>
      <c r="O133" s="160"/>
      <c r="P133" s="160"/>
      <c r="Q133" s="160"/>
      <c r="R133" s="160"/>
      <c r="S133" s="160"/>
      <c r="T133" s="160"/>
      <c r="U133" s="160"/>
      <c r="V133" s="160"/>
      <c r="W133" s="160"/>
      <c r="X133" s="160"/>
      <c r="Y133" s="160"/>
      <c r="Z133" s="160"/>
      <c r="AA133" s="160"/>
      <c r="AB133" s="160"/>
      <c r="AC133" s="160"/>
      <c r="AD133" s="160"/>
      <c r="AE133" s="160"/>
      <c r="AF133" s="160"/>
      <c r="AG133" s="160"/>
      <c r="AH133" s="160"/>
      <c r="AI133" s="160"/>
      <c r="AJ133" s="160"/>
      <c r="AK133" s="160"/>
      <c r="AL133" s="160"/>
      <c r="AM133" s="160"/>
      <c r="AN133" s="160"/>
      <c r="AO133" s="160"/>
      <c r="AP133" s="160"/>
      <c r="AQ133" s="160"/>
      <c r="AR133" s="160"/>
      <c r="AS133" s="160"/>
      <c r="AT133" s="160"/>
      <c r="AU133" s="160"/>
      <c r="AV133" s="160"/>
      <c r="AW133" s="160"/>
      <c r="AX133" s="160"/>
      <c r="AY133" s="160"/>
      <c r="AZ133" s="160"/>
      <c r="BA133" s="160"/>
      <c r="BB133" s="160"/>
      <c r="BC133" s="160"/>
      <c r="BD133" s="160"/>
      <c r="BE133" s="160"/>
      <c r="BF133" s="160"/>
      <c r="BG133" s="160"/>
    </row>
    <row r="134" spans="2:59" x14ac:dyDescent="0.2">
      <c r="B134" s="68" t="str">
        <f>IF(Capacity!B27="","",Capacity!B27)</f>
        <v/>
      </c>
      <c r="C134" s="223" t="str">
        <f>IF(B134="","",Capacity!E27)</f>
        <v/>
      </c>
      <c r="D134" s="317" t="str">
        <f>IF(B134="","",Capacity!F27)</f>
        <v/>
      </c>
      <c r="E134" s="223" t="str">
        <f>IF(B134="","",IF(COUNTIF(H134:BG134,"X")=0,SUM('Capacity calculation (hide)'!H15:BG15),COUNTIF(H134:BG134,"X")))</f>
        <v/>
      </c>
      <c r="F134" s="318" t="str">
        <f>'Capacity calculation (hide)'!BI15</f>
        <v/>
      </c>
      <c r="H134" s="160"/>
      <c r="I134" s="160"/>
      <c r="J134" s="160"/>
      <c r="K134" s="160"/>
      <c r="L134" s="160"/>
      <c r="M134" s="160"/>
      <c r="N134" s="160"/>
      <c r="O134" s="160"/>
      <c r="P134" s="160"/>
      <c r="Q134" s="160"/>
      <c r="R134" s="160"/>
      <c r="S134" s="160"/>
      <c r="T134" s="160"/>
      <c r="U134" s="160"/>
      <c r="V134" s="160"/>
      <c r="W134" s="160"/>
      <c r="X134" s="160"/>
      <c r="Y134" s="160"/>
      <c r="Z134" s="160"/>
      <c r="AA134" s="160"/>
      <c r="AB134" s="160"/>
      <c r="AC134" s="160"/>
      <c r="AD134" s="160"/>
      <c r="AE134" s="160"/>
      <c r="AF134" s="160"/>
      <c r="AG134" s="160"/>
      <c r="AH134" s="160"/>
      <c r="AI134" s="160"/>
      <c r="AJ134" s="160"/>
      <c r="AK134" s="160"/>
      <c r="AL134" s="160"/>
      <c r="AM134" s="160"/>
      <c r="AN134" s="160"/>
      <c r="AO134" s="160"/>
      <c r="AP134" s="160"/>
      <c r="AQ134" s="160"/>
      <c r="AR134" s="160"/>
      <c r="AS134" s="160"/>
      <c r="AT134" s="160"/>
      <c r="AU134" s="160"/>
      <c r="AV134" s="160"/>
      <c r="AW134" s="160"/>
      <c r="AX134" s="160"/>
      <c r="AY134" s="160"/>
      <c r="AZ134" s="160"/>
      <c r="BA134" s="160"/>
      <c r="BB134" s="160"/>
      <c r="BC134" s="160"/>
      <c r="BD134" s="160"/>
      <c r="BE134" s="160"/>
      <c r="BF134" s="160"/>
      <c r="BG134" s="160"/>
    </row>
    <row r="135" spans="2:59" x14ac:dyDescent="0.2">
      <c r="B135" s="68" t="str">
        <f>IF(Capacity!B28="","",Capacity!B28)</f>
        <v/>
      </c>
      <c r="C135" s="223" t="str">
        <f>IF(B135="","",Capacity!E28)</f>
        <v/>
      </c>
      <c r="D135" s="317" t="str">
        <f>IF(B135="","",Capacity!F28)</f>
        <v/>
      </c>
      <c r="E135" s="223" t="str">
        <f>IF(B135="","",IF(COUNTIF(H135:BG135,"X")=0,SUM('Capacity calculation (hide)'!H16:BG16),COUNTIF(H135:BG135,"X")))</f>
        <v/>
      </c>
      <c r="F135" s="318" t="str">
        <f>'Capacity calculation (hide)'!BI16</f>
        <v/>
      </c>
      <c r="H135" s="160"/>
      <c r="I135" s="160"/>
      <c r="J135" s="160"/>
      <c r="K135" s="160"/>
      <c r="L135" s="160"/>
      <c r="M135" s="160"/>
      <c r="N135" s="160"/>
      <c r="O135" s="160"/>
      <c r="P135" s="160"/>
      <c r="Q135" s="160"/>
      <c r="R135" s="160"/>
      <c r="S135" s="160"/>
      <c r="T135" s="160"/>
      <c r="U135" s="160"/>
      <c r="V135" s="160"/>
      <c r="W135" s="160"/>
      <c r="X135" s="160"/>
      <c r="Y135" s="160"/>
      <c r="Z135" s="160"/>
      <c r="AA135" s="160"/>
      <c r="AB135" s="160"/>
      <c r="AC135" s="160"/>
      <c r="AD135" s="160"/>
      <c r="AE135" s="160"/>
      <c r="AF135" s="160"/>
      <c r="AG135" s="160"/>
      <c r="AH135" s="160"/>
      <c r="AI135" s="160"/>
      <c r="AJ135" s="160"/>
      <c r="AK135" s="160"/>
      <c r="AL135" s="160"/>
      <c r="AM135" s="160"/>
      <c r="AN135" s="160"/>
      <c r="AO135" s="160"/>
      <c r="AP135" s="160"/>
      <c r="AQ135" s="160"/>
      <c r="AR135" s="160"/>
      <c r="AS135" s="160"/>
      <c r="AT135" s="160"/>
      <c r="AU135" s="160"/>
      <c r="AV135" s="160"/>
      <c r="AW135" s="160"/>
      <c r="AX135" s="160"/>
      <c r="AY135" s="160"/>
      <c r="AZ135" s="160"/>
      <c r="BA135" s="160"/>
      <c r="BB135" s="160"/>
      <c r="BC135" s="160"/>
      <c r="BD135" s="160"/>
      <c r="BE135" s="160"/>
      <c r="BF135" s="160"/>
      <c r="BG135" s="160"/>
    </row>
    <row r="136" spans="2:59" x14ac:dyDescent="0.2">
      <c r="B136" s="68" t="str">
        <f>IF(Capacity!B29="","",Capacity!B29)</f>
        <v/>
      </c>
      <c r="C136" s="223" t="str">
        <f>IF(B136="","",Capacity!E29)</f>
        <v/>
      </c>
      <c r="D136" s="317" t="str">
        <f>IF(B136="","",Capacity!F29)</f>
        <v/>
      </c>
      <c r="E136" s="223" t="str">
        <f>IF(B136="","",IF(COUNTIF(H136:BG136,"X")=0,SUM('Capacity calculation (hide)'!H17:BG17),COUNTIF(H136:BG136,"X")))</f>
        <v/>
      </c>
      <c r="F136" s="318" t="str">
        <f>'Capacity calculation (hide)'!BI17</f>
        <v/>
      </c>
      <c r="H136" s="160"/>
      <c r="I136" s="160"/>
      <c r="J136" s="160"/>
      <c r="K136" s="160"/>
      <c r="L136" s="160"/>
      <c r="M136" s="160"/>
      <c r="N136" s="160"/>
      <c r="O136" s="160"/>
      <c r="P136" s="160"/>
      <c r="Q136" s="160"/>
      <c r="R136" s="160"/>
      <c r="S136" s="160"/>
      <c r="T136" s="160"/>
      <c r="U136" s="160"/>
      <c r="V136" s="160"/>
      <c r="W136" s="160"/>
      <c r="X136" s="160"/>
      <c r="Y136" s="160"/>
      <c r="Z136" s="160"/>
      <c r="AA136" s="160"/>
      <c r="AB136" s="160"/>
      <c r="AC136" s="160"/>
      <c r="AD136" s="160"/>
      <c r="AE136" s="160"/>
      <c r="AF136" s="160"/>
      <c r="AG136" s="160"/>
      <c r="AH136" s="160"/>
      <c r="AI136" s="160"/>
      <c r="AJ136" s="160"/>
      <c r="AK136" s="160"/>
      <c r="AL136" s="160"/>
      <c r="AM136" s="160"/>
      <c r="AN136" s="160"/>
      <c r="AO136" s="160"/>
      <c r="AP136" s="160"/>
      <c r="AQ136" s="160"/>
      <c r="AR136" s="160"/>
      <c r="AS136" s="160"/>
      <c r="AT136" s="160"/>
      <c r="AU136" s="160"/>
      <c r="AV136" s="160"/>
      <c r="AW136" s="160"/>
      <c r="AX136" s="160"/>
      <c r="AY136" s="160"/>
      <c r="AZ136" s="160"/>
      <c r="BA136" s="160"/>
      <c r="BB136" s="160"/>
      <c r="BC136" s="160"/>
      <c r="BD136" s="160"/>
      <c r="BE136" s="160"/>
      <c r="BF136" s="160"/>
      <c r="BG136" s="160"/>
    </row>
    <row r="137" spans="2:59" x14ac:dyDescent="0.2">
      <c r="B137" s="68" t="str">
        <f>IF(Capacity!B30="","",Capacity!B30)</f>
        <v/>
      </c>
      <c r="C137" s="223" t="str">
        <f>IF(B137="","",Capacity!E30)</f>
        <v/>
      </c>
      <c r="D137" s="317" t="str">
        <f>IF(B137="","",Capacity!F30)</f>
        <v/>
      </c>
      <c r="E137" s="223" t="str">
        <f>IF(B137="","",IF(COUNTIF(H137:BG137,"X")=0,SUM('Capacity calculation (hide)'!H18:BG18),COUNTIF(H137:BG137,"X")))</f>
        <v/>
      </c>
      <c r="F137" s="318" t="str">
        <f>'Capacity calculation (hide)'!BI18</f>
        <v/>
      </c>
      <c r="H137" s="160"/>
      <c r="I137" s="160"/>
      <c r="J137" s="160"/>
      <c r="K137" s="160"/>
      <c r="L137" s="160"/>
      <c r="M137" s="160"/>
      <c r="N137" s="160"/>
      <c r="O137" s="160"/>
      <c r="P137" s="160"/>
      <c r="Q137" s="160"/>
      <c r="R137" s="160"/>
      <c r="S137" s="160"/>
      <c r="T137" s="160"/>
      <c r="U137" s="160"/>
      <c r="V137" s="160"/>
      <c r="W137" s="160"/>
      <c r="X137" s="160"/>
      <c r="Y137" s="160"/>
      <c r="Z137" s="160"/>
      <c r="AA137" s="160"/>
      <c r="AB137" s="160"/>
      <c r="AC137" s="160"/>
      <c r="AD137" s="160"/>
      <c r="AE137" s="160"/>
      <c r="AF137" s="160"/>
      <c r="AG137" s="160"/>
      <c r="AH137" s="160"/>
      <c r="AI137" s="160"/>
      <c r="AJ137" s="160"/>
      <c r="AK137" s="160"/>
      <c r="AL137" s="160"/>
      <c r="AM137" s="160"/>
      <c r="AN137" s="160"/>
      <c r="AO137" s="160"/>
      <c r="AP137" s="160"/>
      <c r="AQ137" s="160"/>
      <c r="AR137" s="160"/>
      <c r="AS137" s="160"/>
      <c r="AT137" s="160"/>
      <c r="AU137" s="160"/>
      <c r="AV137" s="160"/>
      <c r="AW137" s="160"/>
      <c r="AX137" s="160"/>
      <c r="AY137" s="160"/>
      <c r="AZ137" s="160"/>
      <c r="BA137" s="160"/>
      <c r="BB137" s="160"/>
      <c r="BC137" s="160"/>
      <c r="BD137" s="160"/>
      <c r="BE137" s="160"/>
      <c r="BF137" s="160"/>
      <c r="BG137" s="160"/>
    </row>
    <row r="138" spans="2:59" x14ac:dyDescent="0.2">
      <c r="B138" s="68" t="str">
        <f>IF(Capacity!B31="","",Capacity!B31)</f>
        <v/>
      </c>
      <c r="C138" s="223" t="str">
        <f>IF(B138="","",Capacity!E31)</f>
        <v/>
      </c>
      <c r="D138" s="317" t="str">
        <f>IF(B138="","",Capacity!F31)</f>
        <v/>
      </c>
      <c r="E138" s="223" t="str">
        <f>IF(B138="","",IF(COUNTIF(H138:BG138,"X")=0,SUM('Capacity calculation (hide)'!H19:BG19),COUNTIF(H138:BG138,"X")))</f>
        <v/>
      </c>
      <c r="F138" s="318" t="str">
        <f>'Capacity calculation (hide)'!BI19</f>
        <v/>
      </c>
      <c r="H138" s="160"/>
      <c r="I138" s="160"/>
      <c r="J138" s="160"/>
      <c r="K138" s="160"/>
      <c r="L138" s="160"/>
      <c r="M138" s="160"/>
      <c r="N138" s="160"/>
      <c r="O138" s="160"/>
      <c r="P138" s="160"/>
      <c r="Q138" s="160"/>
      <c r="R138" s="160"/>
      <c r="S138" s="160"/>
      <c r="T138" s="160"/>
      <c r="U138" s="160"/>
      <c r="V138" s="160"/>
      <c r="W138" s="160"/>
      <c r="X138" s="160"/>
      <c r="Y138" s="160"/>
      <c r="Z138" s="160"/>
      <c r="AA138" s="160"/>
      <c r="AB138" s="160"/>
      <c r="AC138" s="160"/>
      <c r="AD138" s="160"/>
      <c r="AE138" s="160"/>
      <c r="AF138" s="160"/>
      <c r="AG138" s="160"/>
      <c r="AH138" s="160"/>
      <c r="AI138" s="160"/>
      <c r="AJ138" s="160"/>
      <c r="AK138" s="160"/>
      <c r="AL138" s="160"/>
      <c r="AM138" s="160"/>
      <c r="AN138" s="160"/>
      <c r="AO138" s="160"/>
      <c r="AP138" s="160"/>
      <c r="AQ138" s="160"/>
      <c r="AR138" s="160"/>
      <c r="AS138" s="160"/>
      <c r="AT138" s="160"/>
      <c r="AU138" s="160"/>
      <c r="AV138" s="160"/>
      <c r="AW138" s="160"/>
      <c r="AX138" s="160"/>
      <c r="AY138" s="160"/>
      <c r="AZ138" s="160"/>
      <c r="BA138" s="160"/>
      <c r="BB138" s="160"/>
      <c r="BC138" s="160"/>
      <c r="BD138" s="160"/>
      <c r="BE138" s="160"/>
      <c r="BF138" s="160"/>
      <c r="BG138" s="160"/>
    </row>
    <row r="139" spans="2:59" x14ac:dyDescent="0.2">
      <c r="B139" s="68" t="str">
        <f>IF(Capacity!B32="","",Capacity!B32)</f>
        <v/>
      </c>
      <c r="C139" s="223" t="str">
        <f>IF(B139="","",Capacity!E32)</f>
        <v/>
      </c>
      <c r="D139" s="317" t="str">
        <f>IF(B139="","",Capacity!F32)</f>
        <v/>
      </c>
      <c r="E139" s="223" t="str">
        <f>IF(B139="","",IF(COUNTIF(H139:BG139,"X")=0,SUM('Capacity calculation (hide)'!H20:BG20),COUNTIF(H139:BG139,"X")))</f>
        <v/>
      </c>
      <c r="F139" s="318" t="str">
        <f>'Capacity calculation (hide)'!BI20</f>
        <v/>
      </c>
      <c r="H139" s="160"/>
      <c r="I139" s="160"/>
      <c r="J139" s="160"/>
      <c r="K139" s="160"/>
      <c r="L139" s="160"/>
      <c r="M139" s="160"/>
      <c r="N139" s="160"/>
      <c r="O139" s="160"/>
      <c r="P139" s="160"/>
      <c r="Q139" s="160"/>
      <c r="R139" s="160"/>
      <c r="S139" s="160"/>
      <c r="T139" s="160"/>
      <c r="U139" s="160"/>
      <c r="V139" s="160"/>
      <c r="W139" s="160"/>
      <c r="X139" s="160"/>
      <c r="Y139" s="160"/>
      <c r="Z139" s="160"/>
      <c r="AA139" s="160"/>
      <c r="AB139" s="160"/>
      <c r="AC139" s="160"/>
      <c r="AD139" s="160"/>
      <c r="AE139" s="160"/>
      <c r="AF139" s="160"/>
      <c r="AG139" s="160"/>
      <c r="AH139" s="160"/>
      <c r="AI139" s="160"/>
      <c r="AJ139" s="160"/>
      <c r="AK139" s="160"/>
      <c r="AL139" s="160"/>
      <c r="AM139" s="160"/>
      <c r="AN139" s="160"/>
      <c r="AO139" s="160"/>
      <c r="AP139" s="160"/>
      <c r="AQ139" s="160"/>
      <c r="AR139" s="160"/>
      <c r="AS139" s="160"/>
      <c r="AT139" s="160"/>
      <c r="AU139" s="160"/>
      <c r="AV139" s="160"/>
      <c r="AW139" s="160"/>
      <c r="AX139" s="160"/>
      <c r="AY139" s="160"/>
      <c r="AZ139" s="160"/>
      <c r="BA139" s="160"/>
      <c r="BB139" s="160"/>
      <c r="BC139" s="160"/>
      <c r="BD139" s="160"/>
      <c r="BE139" s="160"/>
      <c r="BF139" s="160"/>
      <c r="BG139" s="160"/>
    </row>
    <row r="140" spans="2:59" x14ac:dyDescent="0.2">
      <c r="B140" s="68" t="str">
        <f>IF(Capacity!B33="","",Capacity!B33)</f>
        <v/>
      </c>
      <c r="C140" s="223" t="str">
        <f>IF(B140="","",Capacity!E33)</f>
        <v/>
      </c>
      <c r="D140" s="317" t="str">
        <f>IF(B140="","",Capacity!F33)</f>
        <v/>
      </c>
      <c r="E140" s="223" t="str">
        <f>IF(B140="","",IF(COUNTIF(H140:BG140,"X")=0,SUM('Capacity calculation (hide)'!H21:BG21),COUNTIF(H140:BG140,"X")))</f>
        <v/>
      </c>
      <c r="F140" s="318" t="str">
        <f>'Capacity calculation (hide)'!BI21</f>
        <v/>
      </c>
      <c r="H140" s="160"/>
      <c r="I140" s="160"/>
      <c r="J140" s="160"/>
      <c r="K140" s="160"/>
      <c r="L140" s="160"/>
      <c r="M140" s="160"/>
      <c r="N140" s="160"/>
      <c r="O140" s="160"/>
      <c r="P140" s="160"/>
      <c r="Q140" s="160"/>
      <c r="R140" s="160"/>
      <c r="S140" s="160"/>
      <c r="T140" s="160"/>
      <c r="U140" s="160"/>
      <c r="V140" s="160"/>
      <c r="W140" s="160"/>
      <c r="X140" s="160"/>
      <c r="Y140" s="160"/>
      <c r="Z140" s="160"/>
      <c r="AA140" s="160"/>
      <c r="AB140" s="160"/>
      <c r="AC140" s="160"/>
      <c r="AD140" s="160"/>
      <c r="AE140" s="160"/>
      <c r="AF140" s="160"/>
      <c r="AG140" s="160"/>
      <c r="AH140" s="160"/>
      <c r="AI140" s="160"/>
      <c r="AJ140" s="160"/>
      <c r="AK140" s="160"/>
      <c r="AL140" s="160"/>
      <c r="AM140" s="160"/>
      <c r="AN140" s="160"/>
      <c r="AO140" s="160"/>
      <c r="AP140" s="160"/>
      <c r="AQ140" s="160"/>
      <c r="AR140" s="160"/>
      <c r="AS140" s="160"/>
      <c r="AT140" s="160"/>
      <c r="AU140" s="160"/>
      <c r="AV140" s="160"/>
      <c r="AW140" s="160"/>
      <c r="AX140" s="160"/>
      <c r="AY140" s="160"/>
      <c r="AZ140" s="160"/>
      <c r="BA140" s="160"/>
      <c r="BB140" s="160"/>
      <c r="BC140" s="160"/>
      <c r="BD140" s="160"/>
      <c r="BE140" s="160"/>
      <c r="BF140" s="160"/>
      <c r="BG140" s="160"/>
    </row>
    <row r="141" spans="2:59" x14ac:dyDescent="0.2">
      <c r="B141" s="68" t="str">
        <f>IF(Capacity!B34="","",Capacity!B34)</f>
        <v/>
      </c>
      <c r="C141" s="223" t="str">
        <f>IF(B141="","",Capacity!E34)</f>
        <v/>
      </c>
      <c r="D141" s="317" t="str">
        <f>IF(B141="","",Capacity!F34)</f>
        <v/>
      </c>
      <c r="E141" s="223" t="str">
        <f>IF(B141="","",IF(COUNTIF(H141:BG141,"X")=0,SUM('Capacity calculation (hide)'!H22:BG22),COUNTIF(H141:BG141,"X")))</f>
        <v/>
      </c>
      <c r="F141" s="318" t="str">
        <f>'Capacity calculation (hide)'!BI22</f>
        <v/>
      </c>
      <c r="H141" s="160"/>
      <c r="I141" s="160"/>
      <c r="J141" s="160"/>
      <c r="K141" s="160"/>
      <c r="L141" s="160"/>
      <c r="M141" s="160"/>
      <c r="N141" s="160"/>
      <c r="O141" s="160"/>
      <c r="P141" s="160"/>
      <c r="Q141" s="160"/>
      <c r="R141" s="160"/>
      <c r="S141" s="160"/>
      <c r="T141" s="160"/>
      <c r="U141" s="160"/>
      <c r="V141" s="160"/>
      <c r="W141" s="160"/>
      <c r="X141" s="160"/>
      <c r="Y141" s="160"/>
      <c r="Z141" s="160"/>
      <c r="AA141" s="160"/>
      <c r="AB141" s="160"/>
      <c r="AC141" s="160"/>
      <c r="AD141" s="160"/>
      <c r="AE141" s="160"/>
      <c r="AF141" s="160"/>
      <c r="AG141" s="160"/>
      <c r="AH141" s="160"/>
      <c r="AI141" s="160"/>
      <c r="AJ141" s="160"/>
      <c r="AK141" s="160"/>
      <c r="AL141" s="160"/>
      <c r="AM141" s="160"/>
      <c r="AN141" s="160"/>
      <c r="AO141" s="160"/>
      <c r="AP141" s="160"/>
      <c r="AQ141" s="160"/>
      <c r="AR141" s="160"/>
      <c r="AS141" s="160"/>
      <c r="AT141" s="160"/>
      <c r="AU141" s="160"/>
      <c r="AV141" s="160"/>
      <c r="AW141" s="160"/>
      <c r="AX141" s="160"/>
      <c r="AY141" s="160"/>
      <c r="AZ141" s="160"/>
      <c r="BA141" s="160"/>
      <c r="BB141" s="160"/>
      <c r="BC141" s="160"/>
      <c r="BD141" s="160"/>
      <c r="BE141" s="160"/>
      <c r="BF141" s="160"/>
      <c r="BG141" s="160"/>
    </row>
    <row r="142" spans="2:59" x14ac:dyDescent="0.2">
      <c r="B142" s="68" t="str">
        <f>IF(Capacity!B35="","",Capacity!B35)</f>
        <v/>
      </c>
      <c r="C142" s="223" t="str">
        <f>IF(B142="","",Capacity!E35)</f>
        <v/>
      </c>
      <c r="D142" s="317" t="str">
        <f>IF(B142="","",Capacity!F35)</f>
        <v/>
      </c>
      <c r="E142" s="223" t="str">
        <f>IF(B142="","",IF(COUNTIF(H142:BG142,"X")=0,SUM('Capacity calculation (hide)'!H23:BG23),COUNTIF(H142:BG142,"X")))</f>
        <v/>
      </c>
      <c r="F142" s="318" t="str">
        <f>'Capacity calculation (hide)'!BI23</f>
        <v/>
      </c>
      <c r="H142" s="160"/>
      <c r="I142" s="160"/>
      <c r="J142" s="160"/>
      <c r="K142" s="160"/>
      <c r="L142" s="160"/>
      <c r="M142" s="160"/>
      <c r="N142" s="160"/>
      <c r="O142" s="160"/>
      <c r="P142" s="160"/>
      <c r="Q142" s="160"/>
      <c r="R142" s="160"/>
      <c r="S142" s="160"/>
      <c r="T142" s="160"/>
      <c r="U142" s="160"/>
      <c r="V142" s="160"/>
      <c r="W142" s="160"/>
      <c r="X142" s="160"/>
      <c r="Y142" s="160"/>
      <c r="Z142" s="160"/>
      <c r="AA142" s="160"/>
      <c r="AB142" s="160"/>
      <c r="AC142" s="160"/>
      <c r="AD142" s="160"/>
      <c r="AE142" s="160"/>
      <c r="AF142" s="160"/>
      <c r="AG142" s="160"/>
      <c r="AH142" s="160"/>
      <c r="AI142" s="160"/>
      <c r="AJ142" s="160"/>
      <c r="AK142" s="160"/>
      <c r="AL142" s="160"/>
      <c r="AM142" s="160"/>
      <c r="AN142" s="160"/>
      <c r="AO142" s="160"/>
      <c r="AP142" s="160"/>
      <c r="AQ142" s="160"/>
      <c r="AR142" s="160"/>
      <c r="AS142" s="160"/>
      <c r="AT142" s="160"/>
      <c r="AU142" s="160"/>
      <c r="AV142" s="160"/>
      <c r="AW142" s="160"/>
      <c r="AX142" s="160"/>
      <c r="AY142" s="160"/>
      <c r="AZ142" s="160"/>
      <c r="BA142" s="160"/>
      <c r="BB142" s="160"/>
      <c r="BC142" s="160"/>
      <c r="BD142" s="160"/>
      <c r="BE142" s="160"/>
      <c r="BF142" s="160"/>
      <c r="BG142" s="160"/>
    </row>
    <row r="143" spans="2:59" x14ac:dyDescent="0.2">
      <c r="B143" s="68" t="str">
        <f>IF(Capacity!B36="","",Capacity!B36)</f>
        <v/>
      </c>
      <c r="C143" s="223" t="str">
        <f>IF(B143="","",Capacity!E36)</f>
        <v/>
      </c>
      <c r="D143" s="317" t="str">
        <f>IF(B143="","",Capacity!F36)</f>
        <v/>
      </c>
      <c r="E143" s="223" t="str">
        <f>IF(B143="","",IF(COUNTIF(H143:BG143,"X")=0,SUM('Capacity calculation (hide)'!H24:BG24),COUNTIF(H143:BG143,"X")))</f>
        <v/>
      </c>
      <c r="F143" s="318" t="str">
        <f>'Capacity calculation (hide)'!BI24</f>
        <v/>
      </c>
      <c r="H143" s="160"/>
      <c r="I143" s="160"/>
      <c r="J143" s="160"/>
      <c r="K143" s="160"/>
      <c r="L143" s="160"/>
      <c r="M143" s="160"/>
      <c r="N143" s="160"/>
      <c r="O143" s="160"/>
      <c r="P143" s="160"/>
      <c r="Q143" s="160"/>
      <c r="R143" s="160"/>
      <c r="S143" s="160"/>
      <c r="T143" s="160"/>
      <c r="U143" s="160"/>
      <c r="V143" s="160"/>
      <c r="W143" s="160"/>
      <c r="X143" s="160"/>
      <c r="Y143" s="160"/>
      <c r="Z143" s="160"/>
      <c r="AA143" s="160"/>
      <c r="AB143" s="160"/>
      <c r="AC143" s="160"/>
      <c r="AD143" s="160"/>
      <c r="AE143" s="160"/>
      <c r="AF143" s="160"/>
      <c r="AG143" s="160"/>
      <c r="AH143" s="160"/>
      <c r="AI143" s="160"/>
      <c r="AJ143" s="160"/>
      <c r="AK143" s="160"/>
      <c r="AL143" s="160"/>
      <c r="AM143" s="160"/>
      <c r="AN143" s="160"/>
      <c r="AO143" s="160"/>
      <c r="AP143" s="160"/>
      <c r="AQ143" s="160"/>
      <c r="AR143" s="160"/>
      <c r="AS143" s="160"/>
      <c r="AT143" s="160"/>
      <c r="AU143" s="160"/>
      <c r="AV143" s="160"/>
      <c r="AW143" s="160"/>
      <c r="AX143" s="160"/>
      <c r="AY143" s="160"/>
      <c r="AZ143" s="160"/>
      <c r="BA143" s="160"/>
      <c r="BB143" s="160"/>
      <c r="BC143" s="160"/>
      <c r="BD143" s="160"/>
      <c r="BE143" s="160"/>
      <c r="BF143" s="160"/>
      <c r="BG143" s="160"/>
    </row>
    <row r="144" spans="2:59" x14ac:dyDescent="0.2">
      <c r="B144" s="68" t="str">
        <f>IF(Capacity!B37="","",Capacity!B37)</f>
        <v/>
      </c>
      <c r="C144" s="223" t="str">
        <f>IF(B144="","",Capacity!E37)</f>
        <v/>
      </c>
      <c r="D144" s="317" t="str">
        <f>IF(B144="","",Capacity!F37)</f>
        <v/>
      </c>
      <c r="E144" s="223" t="str">
        <f>IF(B144="","",IF(COUNTIF(H144:BG144,"X")=0,SUM('Capacity calculation (hide)'!H25:BG25),COUNTIF(H144:BG144,"X")))</f>
        <v/>
      </c>
      <c r="F144" s="318" t="str">
        <f>'Capacity calculation (hide)'!BI25</f>
        <v/>
      </c>
      <c r="H144" s="160"/>
      <c r="I144" s="160"/>
      <c r="J144" s="160"/>
      <c r="K144" s="160"/>
      <c r="L144" s="160"/>
      <c r="M144" s="160"/>
      <c r="N144" s="160"/>
      <c r="O144" s="160"/>
      <c r="P144" s="160"/>
      <c r="Q144" s="160"/>
      <c r="R144" s="160"/>
      <c r="S144" s="160"/>
      <c r="T144" s="160"/>
      <c r="U144" s="160"/>
      <c r="V144" s="160"/>
      <c r="W144" s="160"/>
      <c r="X144" s="160"/>
      <c r="Y144" s="160"/>
      <c r="Z144" s="160"/>
      <c r="AA144" s="160"/>
      <c r="AB144" s="160"/>
      <c r="AC144" s="160"/>
      <c r="AD144" s="160"/>
      <c r="AE144" s="160"/>
      <c r="AF144" s="160"/>
      <c r="AG144" s="160"/>
      <c r="AH144" s="160"/>
      <c r="AI144" s="160"/>
      <c r="AJ144" s="160"/>
      <c r="AK144" s="160"/>
      <c r="AL144" s="160"/>
      <c r="AM144" s="160"/>
      <c r="AN144" s="160"/>
      <c r="AO144" s="160"/>
      <c r="AP144" s="160"/>
      <c r="AQ144" s="160"/>
      <c r="AR144" s="160"/>
      <c r="AS144" s="160"/>
      <c r="AT144" s="160"/>
      <c r="AU144" s="160"/>
      <c r="AV144" s="160"/>
      <c r="AW144" s="160"/>
      <c r="AX144" s="160"/>
      <c r="AY144" s="160"/>
      <c r="AZ144" s="160"/>
      <c r="BA144" s="160"/>
      <c r="BB144" s="160"/>
      <c r="BC144" s="160"/>
      <c r="BD144" s="160"/>
      <c r="BE144" s="160"/>
      <c r="BF144" s="160"/>
      <c r="BG144" s="160"/>
    </row>
    <row r="145" spans="2:59" x14ac:dyDescent="0.2">
      <c r="B145" s="68" t="str">
        <f>IF(Capacity!B38="","",Capacity!B38)</f>
        <v/>
      </c>
      <c r="C145" s="223" t="str">
        <f>IF(B145="","",Capacity!E38)</f>
        <v/>
      </c>
      <c r="D145" s="317" t="str">
        <f>IF(B145="","",Capacity!F38)</f>
        <v/>
      </c>
      <c r="E145" s="223" t="str">
        <f>IF(B145="","",IF(COUNTIF(H145:BG145,"X")=0,SUM('Capacity calculation (hide)'!H26:BG26),COUNTIF(H145:BG145,"X")))</f>
        <v/>
      </c>
      <c r="F145" s="318" t="str">
        <f>'Capacity calculation (hide)'!BI26</f>
        <v/>
      </c>
      <c r="H145" s="160"/>
      <c r="I145" s="160"/>
      <c r="J145" s="160"/>
      <c r="K145" s="160"/>
      <c r="L145" s="160"/>
      <c r="M145" s="160"/>
      <c r="N145" s="160"/>
      <c r="O145" s="160"/>
      <c r="P145" s="160"/>
      <c r="Q145" s="160"/>
      <c r="R145" s="160"/>
      <c r="S145" s="160"/>
      <c r="T145" s="160"/>
      <c r="U145" s="160"/>
      <c r="V145" s="160"/>
      <c r="W145" s="160"/>
      <c r="X145" s="160"/>
      <c r="Y145" s="160"/>
      <c r="Z145" s="160"/>
      <c r="AA145" s="160"/>
      <c r="AB145" s="160"/>
      <c r="AC145" s="160"/>
      <c r="AD145" s="160"/>
      <c r="AE145" s="160"/>
      <c r="AF145" s="160"/>
      <c r="AG145" s="160"/>
      <c r="AH145" s="160"/>
      <c r="AI145" s="160"/>
      <c r="AJ145" s="160"/>
      <c r="AK145" s="160"/>
      <c r="AL145" s="160"/>
      <c r="AM145" s="160"/>
      <c r="AN145" s="160"/>
      <c r="AO145" s="160"/>
      <c r="AP145" s="160"/>
      <c r="AQ145" s="160"/>
      <c r="AR145" s="160"/>
      <c r="AS145" s="160"/>
      <c r="AT145" s="160"/>
      <c r="AU145" s="160"/>
      <c r="AV145" s="160"/>
      <c r="AW145" s="160"/>
      <c r="AX145" s="160"/>
      <c r="AY145" s="160"/>
      <c r="AZ145" s="160"/>
      <c r="BA145" s="160"/>
      <c r="BB145" s="160"/>
      <c r="BC145" s="160"/>
      <c r="BD145" s="160"/>
      <c r="BE145" s="160"/>
      <c r="BF145" s="160"/>
      <c r="BG145" s="160"/>
    </row>
    <row r="146" spans="2:59" x14ac:dyDescent="0.2">
      <c r="B146" s="68" t="str">
        <f>IF(Capacity!B39="","",Capacity!B39)</f>
        <v/>
      </c>
      <c r="C146" s="223" t="str">
        <f>IF(B146="","",Capacity!E39)</f>
        <v/>
      </c>
      <c r="D146" s="317" t="str">
        <f>IF(B146="","",Capacity!F39)</f>
        <v/>
      </c>
      <c r="E146" s="223" t="str">
        <f>IF(B146="","",IF(COUNTIF(H146:BG146,"X")=0,SUM('Capacity calculation (hide)'!H27:BG27),COUNTIF(H146:BG146,"X")))</f>
        <v/>
      </c>
      <c r="F146" s="318" t="str">
        <f>'Capacity calculation (hide)'!BI27</f>
        <v/>
      </c>
      <c r="H146" s="160"/>
      <c r="I146" s="160"/>
      <c r="J146" s="160"/>
      <c r="K146" s="160"/>
      <c r="L146" s="160"/>
      <c r="M146" s="160"/>
      <c r="N146" s="160"/>
      <c r="O146" s="160"/>
      <c r="P146" s="160"/>
      <c r="Q146" s="160"/>
      <c r="R146" s="160"/>
      <c r="S146" s="160"/>
      <c r="T146" s="160"/>
      <c r="U146" s="160"/>
      <c r="V146" s="160"/>
      <c r="W146" s="160"/>
      <c r="X146" s="160"/>
      <c r="Y146" s="160"/>
      <c r="Z146" s="160"/>
      <c r="AA146" s="160"/>
      <c r="AB146" s="160"/>
      <c r="AC146" s="160"/>
      <c r="AD146" s="160"/>
      <c r="AE146" s="160"/>
      <c r="AF146" s="160"/>
      <c r="AG146" s="160"/>
      <c r="AH146" s="160"/>
      <c r="AI146" s="160"/>
      <c r="AJ146" s="160"/>
      <c r="AK146" s="160"/>
      <c r="AL146" s="160"/>
      <c r="AM146" s="160"/>
      <c r="AN146" s="160"/>
      <c r="AO146" s="160"/>
      <c r="AP146" s="160"/>
      <c r="AQ146" s="160"/>
      <c r="AR146" s="160"/>
      <c r="AS146" s="160"/>
      <c r="AT146" s="160"/>
      <c r="AU146" s="160"/>
      <c r="AV146" s="160"/>
      <c r="AW146" s="160"/>
      <c r="AX146" s="160"/>
      <c r="AY146" s="160"/>
      <c r="AZ146" s="160"/>
      <c r="BA146" s="160"/>
      <c r="BB146" s="160"/>
      <c r="BC146" s="160"/>
      <c r="BD146" s="160"/>
      <c r="BE146" s="160"/>
      <c r="BF146" s="160"/>
      <c r="BG146" s="160"/>
    </row>
    <row r="147" spans="2:59" x14ac:dyDescent="0.2">
      <c r="B147" s="68" t="str">
        <f>IF(Capacity!B40="","",Capacity!B40)</f>
        <v/>
      </c>
      <c r="C147" s="223" t="str">
        <f>IF(B147="","",Capacity!E40)</f>
        <v/>
      </c>
      <c r="D147" s="317" t="str">
        <f>IF(B147="","",Capacity!F40)</f>
        <v/>
      </c>
      <c r="E147" s="223" t="str">
        <f>IF(B147="","",IF(COUNTIF(H147:BG147,"X")=0,SUM('Capacity calculation (hide)'!H28:BG28),COUNTIF(H147:BG147,"X")))</f>
        <v/>
      </c>
      <c r="F147" s="318" t="str">
        <f>'Capacity calculation (hide)'!BI28</f>
        <v/>
      </c>
      <c r="H147" s="160"/>
      <c r="I147" s="160"/>
      <c r="J147" s="160"/>
      <c r="K147" s="160"/>
      <c r="L147" s="160"/>
      <c r="M147" s="160"/>
      <c r="N147" s="160"/>
      <c r="O147" s="160"/>
      <c r="P147" s="160"/>
      <c r="Q147" s="160"/>
      <c r="R147" s="160"/>
      <c r="S147" s="160"/>
      <c r="T147" s="160"/>
      <c r="U147" s="160"/>
      <c r="V147" s="160"/>
      <c r="W147" s="160"/>
      <c r="X147" s="160"/>
      <c r="Y147" s="160"/>
      <c r="Z147" s="160"/>
      <c r="AA147" s="160"/>
      <c r="AB147" s="160"/>
      <c r="AC147" s="160"/>
      <c r="AD147" s="160"/>
      <c r="AE147" s="160"/>
      <c r="AF147" s="160"/>
      <c r="AG147" s="160"/>
      <c r="AH147" s="160"/>
      <c r="AI147" s="160"/>
      <c r="AJ147" s="160"/>
      <c r="AK147" s="160"/>
      <c r="AL147" s="160"/>
      <c r="AM147" s="160"/>
      <c r="AN147" s="160"/>
      <c r="AO147" s="160"/>
      <c r="AP147" s="160"/>
      <c r="AQ147" s="160"/>
      <c r="AR147" s="160"/>
      <c r="AS147" s="160"/>
      <c r="AT147" s="160"/>
      <c r="AU147" s="160"/>
      <c r="AV147" s="160"/>
      <c r="AW147" s="160"/>
      <c r="AX147" s="160"/>
      <c r="AY147" s="160"/>
      <c r="AZ147" s="160"/>
      <c r="BA147" s="160"/>
      <c r="BB147" s="160"/>
      <c r="BC147" s="160"/>
      <c r="BD147" s="160"/>
      <c r="BE147" s="160"/>
      <c r="BF147" s="160"/>
      <c r="BG147" s="160"/>
    </row>
    <row r="148" spans="2:59" x14ac:dyDescent="0.2">
      <c r="B148" s="68" t="str">
        <f>IF(Capacity!B41="","",Capacity!B41)</f>
        <v/>
      </c>
      <c r="C148" s="223" t="str">
        <f>IF(B148="","",Capacity!E41)</f>
        <v/>
      </c>
      <c r="D148" s="317" t="str">
        <f>IF(B148="","",Capacity!F41)</f>
        <v/>
      </c>
      <c r="E148" s="223" t="str">
        <f>IF(B148="","",IF(COUNTIF(H148:BG148,"X")=0,SUM('Capacity calculation (hide)'!H29:BG29),COUNTIF(H148:BG148,"X")))</f>
        <v/>
      </c>
      <c r="F148" s="318" t="str">
        <f>'Capacity calculation (hide)'!BI29</f>
        <v/>
      </c>
      <c r="H148" s="160"/>
      <c r="I148" s="160"/>
      <c r="J148" s="160"/>
      <c r="K148" s="160"/>
      <c r="L148" s="160"/>
      <c r="M148" s="160"/>
      <c r="N148" s="160"/>
      <c r="O148" s="160"/>
      <c r="P148" s="160"/>
      <c r="Q148" s="160"/>
      <c r="R148" s="160"/>
      <c r="S148" s="160"/>
      <c r="T148" s="160"/>
      <c r="U148" s="160"/>
      <c r="V148" s="160"/>
      <c r="W148" s="160"/>
      <c r="X148" s="160"/>
      <c r="Y148" s="160"/>
      <c r="Z148" s="160"/>
      <c r="AA148" s="160"/>
      <c r="AB148" s="160"/>
      <c r="AC148" s="160"/>
      <c r="AD148" s="160"/>
      <c r="AE148" s="160"/>
      <c r="AF148" s="160"/>
      <c r="AG148" s="160"/>
      <c r="AH148" s="160"/>
      <c r="AI148" s="160"/>
      <c r="AJ148" s="160"/>
      <c r="AK148" s="160"/>
      <c r="AL148" s="160"/>
      <c r="AM148" s="160"/>
      <c r="AN148" s="160"/>
      <c r="AO148" s="160"/>
      <c r="AP148" s="160"/>
      <c r="AQ148" s="160"/>
      <c r="AR148" s="160"/>
      <c r="AS148" s="160"/>
      <c r="AT148" s="160"/>
      <c r="AU148" s="160"/>
      <c r="AV148" s="160"/>
      <c r="AW148" s="160"/>
      <c r="AX148" s="160"/>
      <c r="AY148" s="160"/>
      <c r="AZ148" s="160"/>
      <c r="BA148" s="160"/>
      <c r="BB148" s="160"/>
      <c r="BC148" s="160"/>
      <c r="BD148" s="160"/>
      <c r="BE148" s="160"/>
      <c r="BF148" s="160"/>
      <c r="BG148" s="160"/>
    </row>
    <row r="149" spans="2:59" x14ac:dyDescent="0.2">
      <c r="B149" s="68" t="str">
        <f>IF(Capacity!B42="","",Capacity!B42)</f>
        <v/>
      </c>
      <c r="C149" s="223" t="str">
        <f>IF(B149="","",Capacity!E42)</f>
        <v/>
      </c>
      <c r="D149" s="317" t="str">
        <f>IF(B149="","",Capacity!F42)</f>
        <v/>
      </c>
      <c r="E149" s="223" t="str">
        <f>IF(B149="","",IF(COUNTIF(H149:BG149,"X")=0,SUM('Capacity calculation (hide)'!H30:BG30),COUNTIF(H149:BG149,"X")))</f>
        <v/>
      </c>
      <c r="F149" s="318" t="str">
        <f>'Capacity calculation (hide)'!BI30</f>
        <v/>
      </c>
      <c r="H149" s="160"/>
      <c r="I149" s="160"/>
      <c r="J149" s="160"/>
      <c r="K149" s="160"/>
      <c r="L149" s="160"/>
      <c r="M149" s="160"/>
      <c r="N149" s="160"/>
      <c r="O149" s="160"/>
      <c r="P149" s="160"/>
      <c r="Q149" s="160"/>
      <c r="R149" s="160"/>
      <c r="S149" s="160"/>
      <c r="T149" s="160"/>
      <c r="U149" s="160"/>
      <c r="V149" s="160"/>
      <c r="W149" s="160"/>
      <c r="X149" s="160"/>
      <c r="Y149" s="160"/>
      <c r="Z149" s="160"/>
      <c r="AA149" s="160"/>
      <c r="AB149" s="160"/>
      <c r="AC149" s="160"/>
      <c r="AD149" s="160"/>
      <c r="AE149" s="160"/>
      <c r="AF149" s="160"/>
      <c r="AG149" s="160"/>
      <c r="AH149" s="160"/>
      <c r="AI149" s="160"/>
      <c r="AJ149" s="160"/>
      <c r="AK149" s="160"/>
      <c r="AL149" s="160"/>
      <c r="AM149" s="160"/>
      <c r="AN149" s="160"/>
      <c r="AO149" s="160"/>
      <c r="AP149" s="160"/>
      <c r="AQ149" s="160"/>
      <c r="AR149" s="160"/>
      <c r="AS149" s="160"/>
      <c r="AT149" s="160"/>
      <c r="AU149" s="160"/>
      <c r="AV149" s="160"/>
      <c r="AW149" s="160"/>
      <c r="AX149" s="160"/>
      <c r="AY149" s="160"/>
      <c r="AZ149" s="160"/>
      <c r="BA149" s="160"/>
      <c r="BB149" s="160"/>
      <c r="BC149" s="160"/>
      <c r="BD149" s="160"/>
      <c r="BE149" s="160"/>
      <c r="BF149" s="160"/>
      <c r="BG149" s="160"/>
    </row>
    <row r="150" spans="2:59" x14ac:dyDescent="0.2">
      <c r="B150" s="68" t="str">
        <f>IF(Capacity!B43="","",Capacity!B43)</f>
        <v/>
      </c>
      <c r="C150" s="223" t="str">
        <f>IF(B150="","",Capacity!E43)</f>
        <v/>
      </c>
      <c r="D150" s="317" t="str">
        <f>IF(B150="","",Capacity!F43)</f>
        <v/>
      </c>
      <c r="E150" s="223" t="str">
        <f>IF(B150="","",IF(COUNTIF(H150:BG150,"X")=0,SUM('Capacity calculation (hide)'!H31:BG31),COUNTIF(H150:BG150,"X")))</f>
        <v/>
      </c>
      <c r="F150" s="318" t="str">
        <f>'Capacity calculation (hide)'!BI31</f>
        <v/>
      </c>
      <c r="H150" s="160"/>
      <c r="I150" s="160"/>
      <c r="J150" s="160"/>
      <c r="K150" s="160"/>
      <c r="L150" s="160"/>
      <c r="M150" s="160"/>
      <c r="N150" s="160"/>
      <c r="O150" s="160"/>
      <c r="P150" s="160"/>
      <c r="Q150" s="160"/>
      <c r="R150" s="160"/>
      <c r="S150" s="160"/>
      <c r="T150" s="160"/>
      <c r="U150" s="160"/>
      <c r="V150" s="160"/>
      <c r="W150" s="160"/>
      <c r="X150" s="160"/>
      <c r="Y150" s="160"/>
      <c r="Z150" s="160"/>
      <c r="AA150" s="160"/>
      <c r="AB150" s="160"/>
      <c r="AC150" s="160"/>
      <c r="AD150" s="160"/>
      <c r="AE150" s="160"/>
      <c r="AF150" s="160"/>
      <c r="AG150" s="160"/>
      <c r="AH150" s="160"/>
      <c r="AI150" s="160"/>
      <c r="AJ150" s="160"/>
      <c r="AK150" s="160"/>
      <c r="AL150" s="160"/>
      <c r="AM150" s="160"/>
      <c r="AN150" s="160"/>
      <c r="AO150" s="160"/>
      <c r="AP150" s="160"/>
      <c r="AQ150" s="160"/>
      <c r="AR150" s="160"/>
      <c r="AS150" s="160"/>
      <c r="AT150" s="160"/>
      <c r="AU150" s="160"/>
      <c r="AV150" s="160"/>
      <c r="AW150" s="160"/>
      <c r="AX150" s="160"/>
      <c r="AY150" s="160"/>
      <c r="AZ150" s="160"/>
      <c r="BA150" s="160"/>
      <c r="BB150" s="160"/>
      <c r="BC150" s="160"/>
      <c r="BD150" s="160"/>
      <c r="BE150" s="160"/>
      <c r="BF150" s="160"/>
      <c r="BG150" s="160"/>
    </row>
    <row r="151" spans="2:59" x14ac:dyDescent="0.2">
      <c r="B151" s="68" t="str">
        <f>IF(Capacity!B44="","",Capacity!B44)</f>
        <v/>
      </c>
      <c r="C151" s="223" t="str">
        <f>IF(B151="","",Capacity!E44)</f>
        <v/>
      </c>
      <c r="D151" s="317" t="str">
        <f>IF(B151="","",Capacity!F44)</f>
        <v/>
      </c>
      <c r="E151" s="223" t="str">
        <f>IF(B151="","",IF(COUNTIF(H151:BG151,"X")=0,SUM('Capacity calculation (hide)'!H32:BG32),COUNTIF(H151:BG151,"X")))</f>
        <v/>
      </c>
      <c r="F151" s="318" t="str">
        <f>'Capacity calculation (hide)'!BI32</f>
        <v/>
      </c>
      <c r="H151" s="160"/>
      <c r="I151" s="160"/>
      <c r="J151" s="160"/>
      <c r="K151" s="160"/>
      <c r="L151" s="160"/>
      <c r="M151" s="160"/>
      <c r="N151" s="160"/>
      <c r="O151" s="160"/>
      <c r="P151" s="160"/>
      <c r="Q151" s="160"/>
      <c r="R151" s="160"/>
      <c r="S151" s="160"/>
      <c r="T151" s="160"/>
      <c r="U151" s="160"/>
      <c r="V151" s="160"/>
      <c r="W151" s="160"/>
      <c r="X151" s="160"/>
      <c r="Y151" s="160"/>
      <c r="Z151" s="160"/>
      <c r="AA151" s="160"/>
      <c r="AB151" s="160"/>
      <c r="AC151" s="160"/>
      <c r="AD151" s="160"/>
      <c r="AE151" s="160"/>
      <c r="AF151" s="160"/>
      <c r="AG151" s="160"/>
      <c r="AH151" s="160"/>
      <c r="AI151" s="160"/>
      <c r="AJ151" s="160"/>
      <c r="AK151" s="160"/>
      <c r="AL151" s="160"/>
      <c r="AM151" s="160"/>
      <c r="AN151" s="160"/>
      <c r="AO151" s="160"/>
      <c r="AP151" s="160"/>
      <c r="AQ151" s="160"/>
      <c r="AR151" s="160"/>
      <c r="AS151" s="160"/>
      <c r="AT151" s="160"/>
      <c r="AU151" s="160"/>
      <c r="AV151" s="160"/>
      <c r="AW151" s="160"/>
      <c r="AX151" s="160"/>
      <c r="AY151" s="160"/>
      <c r="AZ151" s="160"/>
      <c r="BA151" s="160"/>
      <c r="BB151" s="160"/>
      <c r="BC151" s="160"/>
      <c r="BD151" s="160"/>
      <c r="BE151" s="160"/>
      <c r="BF151" s="160"/>
      <c r="BG151" s="160"/>
    </row>
    <row r="152" spans="2:59" x14ac:dyDescent="0.2">
      <c r="B152" s="68" t="str">
        <f>IF(Capacity!B45="","",Capacity!B45)</f>
        <v/>
      </c>
      <c r="C152" s="223" t="str">
        <f>IF(B152="","",Capacity!E45)</f>
        <v/>
      </c>
      <c r="D152" s="317" t="str">
        <f>IF(B152="","",Capacity!F45)</f>
        <v/>
      </c>
      <c r="E152" s="223" t="str">
        <f>IF(B152="","",IF(COUNTIF(H152:BG152,"X")=0,SUM('Capacity calculation (hide)'!H33:BG33),COUNTIF(H152:BG152,"X")))</f>
        <v/>
      </c>
      <c r="F152" s="318" t="str">
        <f>'Capacity calculation (hide)'!BI33</f>
        <v/>
      </c>
      <c r="H152" s="160"/>
      <c r="I152" s="160"/>
      <c r="J152" s="160"/>
      <c r="K152" s="160"/>
      <c r="L152" s="160"/>
      <c r="M152" s="160"/>
      <c r="N152" s="160"/>
      <c r="O152" s="160"/>
      <c r="P152" s="160"/>
      <c r="Q152" s="160"/>
      <c r="R152" s="160"/>
      <c r="S152" s="160"/>
      <c r="T152" s="160"/>
      <c r="U152" s="160"/>
      <c r="V152" s="160"/>
      <c r="W152" s="160"/>
      <c r="X152" s="160"/>
      <c r="Y152" s="160"/>
      <c r="Z152" s="160"/>
      <c r="AA152" s="160"/>
      <c r="AB152" s="160"/>
      <c r="AC152" s="160"/>
      <c r="AD152" s="160"/>
      <c r="AE152" s="160"/>
      <c r="AF152" s="160"/>
      <c r="AG152" s="160"/>
      <c r="AH152" s="160"/>
      <c r="AI152" s="160"/>
      <c r="AJ152" s="160"/>
      <c r="AK152" s="160"/>
      <c r="AL152" s="160"/>
      <c r="AM152" s="160"/>
      <c r="AN152" s="160"/>
      <c r="AO152" s="160"/>
      <c r="AP152" s="160"/>
      <c r="AQ152" s="160"/>
      <c r="AR152" s="160"/>
      <c r="AS152" s="160"/>
      <c r="AT152" s="160"/>
      <c r="AU152" s="160"/>
      <c r="AV152" s="160"/>
      <c r="AW152" s="160"/>
      <c r="AX152" s="160"/>
      <c r="AY152" s="160"/>
      <c r="AZ152" s="160"/>
      <c r="BA152" s="160"/>
      <c r="BB152" s="160"/>
      <c r="BC152" s="160"/>
      <c r="BD152" s="160"/>
      <c r="BE152" s="160"/>
      <c r="BF152" s="160"/>
      <c r="BG152" s="160"/>
    </row>
    <row r="153" spans="2:59" x14ac:dyDescent="0.2">
      <c r="B153" s="68" t="str">
        <f>IF(Capacity!B46="","",Capacity!B46)</f>
        <v/>
      </c>
      <c r="C153" s="223" t="str">
        <f>IF(B153="","",Capacity!E46)</f>
        <v/>
      </c>
      <c r="D153" s="317" t="str">
        <f>IF(B153="","",Capacity!F46)</f>
        <v/>
      </c>
      <c r="E153" s="223" t="str">
        <f>IF(B153="","",IF(COUNTIF(H153:BG153,"X")=0,SUM('Capacity calculation (hide)'!H34:BG34),COUNTIF(H153:BG153,"X")))</f>
        <v/>
      </c>
      <c r="F153" s="318" t="str">
        <f>'Capacity calculation (hide)'!BI34</f>
        <v/>
      </c>
      <c r="H153" s="160"/>
      <c r="I153" s="160"/>
      <c r="J153" s="160"/>
      <c r="K153" s="160"/>
      <c r="L153" s="160"/>
      <c r="M153" s="160"/>
      <c r="N153" s="160"/>
      <c r="O153" s="160"/>
      <c r="P153" s="160"/>
      <c r="Q153" s="160"/>
      <c r="R153" s="160"/>
      <c r="S153" s="160"/>
      <c r="T153" s="160"/>
      <c r="U153" s="160"/>
      <c r="V153" s="160"/>
      <c r="W153" s="160"/>
      <c r="X153" s="160"/>
      <c r="Y153" s="160"/>
      <c r="Z153" s="160"/>
      <c r="AA153" s="160"/>
      <c r="AB153" s="160"/>
      <c r="AC153" s="160"/>
      <c r="AD153" s="160"/>
      <c r="AE153" s="160"/>
      <c r="AF153" s="160"/>
      <c r="AG153" s="160"/>
      <c r="AH153" s="160"/>
      <c r="AI153" s="160"/>
      <c r="AJ153" s="160"/>
      <c r="AK153" s="160"/>
      <c r="AL153" s="160"/>
      <c r="AM153" s="160"/>
      <c r="AN153" s="160"/>
      <c r="AO153" s="160"/>
      <c r="AP153" s="160"/>
      <c r="AQ153" s="160"/>
      <c r="AR153" s="160"/>
      <c r="AS153" s="160"/>
      <c r="AT153" s="160"/>
      <c r="AU153" s="160"/>
      <c r="AV153" s="160"/>
      <c r="AW153" s="160"/>
      <c r="AX153" s="160"/>
      <c r="AY153" s="160"/>
      <c r="AZ153" s="160"/>
      <c r="BA153" s="160"/>
      <c r="BB153" s="160"/>
      <c r="BC153" s="160"/>
      <c r="BD153" s="160"/>
      <c r="BE153" s="160"/>
      <c r="BF153" s="160"/>
      <c r="BG153" s="160"/>
    </row>
    <row r="154" spans="2:59" x14ac:dyDescent="0.2">
      <c r="B154" s="68" t="str">
        <f>IF(Capacity!B47="","",Capacity!B47)</f>
        <v/>
      </c>
      <c r="C154" s="223" t="str">
        <f>IF(B154="","",Capacity!E47)</f>
        <v/>
      </c>
      <c r="D154" s="317" t="str">
        <f>IF(B154="","",Capacity!F47)</f>
        <v/>
      </c>
      <c r="E154" s="223" t="str">
        <f>IF(B154="","",IF(COUNTIF(H154:BG154,"X")=0,SUM('Capacity calculation (hide)'!H35:BG35),COUNTIF(H154:BG154,"X")))</f>
        <v/>
      </c>
      <c r="F154" s="318" t="str">
        <f>'Capacity calculation (hide)'!BI35</f>
        <v/>
      </c>
      <c r="H154" s="160"/>
      <c r="I154" s="160"/>
      <c r="J154" s="160"/>
      <c r="K154" s="160"/>
      <c r="L154" s="160"/>
      <c r="M154" s="160"/>
      <c r="N154" s="160"/>
      <c r="O154" s="160"/>
      <c r="P154" s="160"/>
      <c r="Q154" s="160"/>
      <c r="R154" s="160"/>
      <c r="S154" s="160"/>
      <c r="T154" s="160"/>
      <c r="U154" s="160"/>
      <c r="V154" s="160"/>
      <c r="W154" s="160"/>
      <c r="X154" s="160"/>
      <c r="Y154" s="160"/>
      <c r="Z154" s="160"/>
      <c r="AA154" s="160"/>
      <c r="AB154" s="160"/>
      <c r="AC154" s="160"/>
      <c r="AD154" s="160"/>
      <c r="AE154" s="160"/>
      <c r="AF154" s="160"/>
      <c r="AG154" s="160"/>
      <c r="AH154" s="160"/>
      <c r="AI154" s="160"/>
      <c r="AJ154" s="160"/>
      <c r="AK154" s="160"/>
      <c r="AL154" s="160"/>
      <c r="AM154" s="160"/>
      <c r="AN154" s="160"/>
      <c r="AO154" s="160"/>
      <c r="AP154" s="160"/>
      <c r="AQ154" s="160"/>
      <c r="AR154" s="160"/>
      <c r="AS154" s="160"/>
      <c r="AT154" s="160"/>
      <c r="AU154" s="160"/>
      <c r="AV154" s="160"/>
      <c r="AW154" s="160"/>
      <c r="AX154" s="160"/>
      <c r="AY154" s="160"/>
      <c r="AZ154" s="160"/>
      <c r="BA154" s="160"/>
      <c r="BB154" s="160"/>
      <c r="BC154" s="160"/>
      <c r="BD154" s="160"/>
      <c r="BE154" s="160"/>
      <c r="BF154" s="160"/>
      <c r="BG154" s="160"/>
    </row>
    <row r="155" spans="2:59" x14ac:dyDescent="0.2">
      <c r="B155" s="68" t="str">
        <f>IF(Capacity!B48="","",Capacity!B48)</f>
        <v/>
      </c>
      <c r="C155" s="223" t="str">
        <f>IF(B155="","",Capacity!E48)</f>
        <v/>
      </c>
      <c r="D155" s="317" t="str">
        <f>IF(B155="","",Capacity!F48)</f>
        <v/>
      </c>
      <c r="E155" s="223" t="str">
        <f>IF(B155="","",IF(COUNTIF(H155:BG155,"X")=0,SUM('Capacity calculation (hide)'!H36:BG36),COUNTIF(H155:BG155,"X")))</f>
        <v/>
      </c>
      <c r="F155" s="318" t="str">
        <f>'Capacity calculation (hide)'!BI36</f>
        <v/>
      </c>
      <c r="H155" s="160"/>
      <c r="I155" s="160"/>
      <c r="J155" s="160"/>
      <c r="K155" s="160"/>
      <c r="L155" s="160"/>
      <c r="M155" s="160"/>
      <c r="N155" s="160"/>
      <c r="O155" s="160"/>
      <c r="P155" s="160"/>
      <c r="Q155" s="160"/>
      <c r="R155" s="160"/>
      <c r="S155" s="160"/>
      <c r="T155" s="160"/>
      <c r="U155" s="160"/>
      <c r="V155" s="160"/>
      <c r="W155" s="160"/>
      <c r="X155" s="160"/>
      <c r="Y155" s="160"/>
      <c r="Z155" s="160"/>
      <c r="AA155" s="160"/>
      <c r="AB155" s="160"/>
      <c r="AC155" s="160"/>
      <c r="AD155" s="160"/>
      <c r="AE155" s="160"/>
      <c r="AF155" s="160"/>
      <c r="AG155" s="160"/>
      <c r="AH155" s="160"/>
      <c r="AI155" s="160"/>
      <c r="AJ155" s="160"/>
      <c r="AK155" s="160"/>
      <c r="AL155" s="160"/>
      <c r="AM155" s="160"/>
      <c r="AN155" s="160"/>
      <c r="AO155" s="160"/>
      <c r="AP155" s="160"/>
      <c r="AQ155" s="160"/>
      <c r="AR155" s="160"/>
      <c r="AS155" s="160"/>
      <c r="AT155" s="160"/>
      <c r="AU155" s="160"/>
      <c r="AV155" s="160"/>
      <c r="AW155" s="160"/>
      <c r="AX155" s="160"/>
      <c r="AY155" s="160"/>
      <c r="AZ155" s="160"/>
      <c r="BA155" s="160"/>
      <c r="BB155" s="160"/>
      <c r="BC155" s="160"/>
      <c r="BD155" s="160"/>
      <c r="BE155" s="160"/>
      <c r="BF155" s="160"/>
      <c r="BG155" s="160"/>
    </row>
    <row r="156" spans="2:59" x14ac:dyDescent="0.2">
      <c r="B156" s="68" t="str">
        <f>IF(Capacity!B49="","",Capacity!B49)</f>
        <v/>
      </c>
      <c r="C156" s="223" t="str">
        <f>IF(B156="","",Capacity!E49)</f>
        <v/>
      </c>
      <c r="D156" s="317" t="str">
        <f>IF(B156="","",Capacity!F49)</f>
        <v/>
      </c>
      <c r="E156" s="223" t="str">
        <f>IF(B156="","",IF(COUNTIF(H156:BG156,"X")=0,SUM('Capacity calculation (hide)'!H37:BG37),COUNTIF(H156:BG156,"X")))</f>
        <v/>
      </c>
      <c r="F156" s="318" t="str">
        <f>'Capacity calculation (hide)'!BI37</f>
        <v/>
      </c>
      <c r="H156" s="160"/>
      <c r="I156" s="160"/>
      <c r="J156" s="160"/>
      <c r="K156" s="160"/>
      <c r="L156" s="160"/>
      <c r="M156" s="160"/>
      <c r="N156" s="160"/>
      <c r="O156" s="160"/>
      <c r="P156" s="160"/>
      <c r="Q156" s="160"/>
      <c r="R156" s="160"/>
      <c r="S156" s="160"/>
      <c r="T156" s="160"/>
      <c r="U156" s="160"/>
      <c r="V156" s="160"/>
      <c r="W156" s="160"/>
      <c r="X156" s="160"/>
      <c r="Y156" s="160"/>
      <c r="Z156" s="160"/>
      <c r="AA156" s="160"/>
      <c r="AB156" s="160"/>
      <c r="AC156" s="160"/>
      <c r="AD156" s="160"/>
      <c r="AE156" s="160"/>
      <c r="AF156" s="160"/>
      <c r="AG156" s="160"/>
      <c r="AH156" s="160"/>
      <c r="AI156" s="160"/>
      <c r="AJ156" s="160"/>
      <c r="AK156" s="160"/>
      <c r="AL156" s="160"/>
      <c r="AM156" s="160"/>
      <c r="AN156" s="160"/>
      <c r="AO156" s="160"/>
      <c r="AP156" s="160"/>
      <c r="AQ156" s="160"/>
      <c r="AR156" s="160"/>
      <c r="AS156" s="160"/>
      <c r="AT156" s="160"/>
      <c r="AU156" s="160"/>
      <c r="AV156" s="160"/>
      <c r="AW156" s="160"/>
      <c r="AX156" s="160"/>
      <c r="AY156" s="160"/>
      <c r="AZ156" s="160"/>
      <c r="BA156" s="160"/>
      <c r="BB156" s="160"/>
      <c r="BC156" s="160"/>
      <c r="BD156" s="160"/>
      <c r="BE156" s="160"/>
      <c r="BF156" s="160"/>
      <c r="BG156" s="160"/>
    </row>
    <row r="157" spans="2:59" x14ac:dyDescent="0.2">
      <c r="B157" s="68" t="str">
        <f>IF(Capacity!B50="","",Capacity!B50)</f>
        <v/>
      </c>
      <c r="C157" s="223" t="str">
        <f>IF(B157="","",Capacity!E50)</f>
        <v/>
      </c>
      <c r="D157" s="317" t="str">
        <f>IF(B157="","",Capacity!F50)</f>
        <v/>
      </c>
      <c r="E157" s="223" t="str">
        <f>IF(B157="","",IF(COUNTIF(H157:BG157,"X")=0,SUM('Capacity calculation (hide)'!H38:BG38),COUNTIF(H157:BG157,"X")))</f>
        <v/>
      </c>
      <c r="F157" s="318" t="str">
        <f>'Capacity calculation (hide)'!BI38</f>
        <v/>
      </c>
      <c r="H157" s="160"/>
      <c r="I157" s="160"/>
      <c r="J157" s="160"/>
      <c r="K157" s="160"/>
      <c r="L157" s="160"/>
      <c r="M157" s="160"/>
      <c r="N157" s="160"/>
      <c r="O157" s="160"/>
      <c r="P157" s="160"/>
      <c r="Q157" s="160"/>
      <c r="R157" s="160"/>
      <c r="S157" s="160"/>
      <c r="T157" s="160"/>
      <c r="U157" s="160"/>
      <c r="V157" s="160"/>
      <c r="W157" s="160"/>
      <c r="X157" s="160"/>
      <c r="Y157" s="160"/>
      <c r="Z157" s="160"/>
      <c r="AA157" s="160"/>
      <c r="AB157" s="160"/>
      <c r="AC157" s="160"/>
      <c r="AD157" s="160"/>
      <c r="AE157" s="160"/>
      <c r="AF157" s="160"/>
      <c r="AG157" s="160"/>
      <c r="AH157" s="160"/>
      <c r="AI157" s="160"/>
      <c r="AJ157" s="160"/>
      <c r="AK157" s="160"/>
      <c r="AL157" s="160"/>
      <c r="AM157" s="160"/>
      <c r="AN157" s="160"/>
      <c r="AO157" s="160"/>
      <c r="AP157" s="160"/>
      <c r="AQ157" s="160"/>
      <c r="AR157" s="160"/>
      <c r="AS157" s="160"/>
      <c r="AT157" s="160"/>
      <c r="AU157" s="160"/>
      <c r="AV157" s="160"/>
      <c r="AW157" s="160"/>
      <c r="AX157" s="160"/>
      <c r="AY157" s="160"/>
      <c r="AZ157" s="160"/>
      <c r="BA157" s="160"/>
      <c r="BB157" s="160"/>
      <c r="BC157" s="160"/>
      <c r="BD157" s="160"/>
      <c r="BE157" s="160"/>
      <c r="BF157" s="160"/>
      <c r="BG157" s="160"/>
    </row>
    <row r="158" spans="2:59" x14ac:dyDescent="0.2">
      <c r="B158" s="68" t="str">
        <f>IF(Capacity!B51="","",Capacity!B51)</f>
        <v/>
      </c>
      <c r="C158" s="223" t="str">
        <f>IF(B158="","",Capacity!E51)</f>
        <v/>
      </c>
      <c r="D158" s="317" t="str">
        <f>IF(B158="","",Capacity!F51)</f>
        <v/>
      </c>
      <c r="E158" s="223" t="str">
        <f>IF(B158="","",IF(COUNTIF(H158:BG158,"X")=0,SUM('Capacity calculation (hide)'!H39:BG39),COUNTIF(H158:BG158,"X")))</f>
        <v/>
      </c>
      <c r="F158" s="318" t="str">
        <f>'Capacity calculation (hide)'!BI39</f>
        <v/>
      </c>
      <c r="H158" s="160"/>
      <c r="I158" s="160"/>
      <c r="J158" s="160"/>
      <c r="K158" s="160"/>
      <c r="L158" s="160"/>
      <c r="M158" s="160"/>
      <c r="N158" s="160"/>
      <c r="O158" s="160"/>
      <c r="P158" s="160"/>
      <c r="Q158" s="160"/>
      <c r="R158" s="160"/>
      <c r="S158" s="160"/>
      <c r="T158" s="160"/>
      <c r="U158" s="160"/>
      <c r="V158" s="160"/>
      <c r="W158" s="160"/>
      <c r="X158" s="160"/>
      <c r="Y158" s="160"/>
      <c r="Z158" s="160"/>
      <c r="AA158" s="160"/>
      <c r="AB158" s="160"/>
      <c r="AC158" s="160"/>
      <c r="AD158" s="160"/>
      <c r="AE158" s="160"/>
      <c r="AF158" s="160"/>
      <c r="AG158" s="160"/>
      <c r="AH158" s="160"/>
      <c r="AI158" s="160"/>
      <c r="AJ158" s="160"/>
      <c r="AK158" s="160"/>
      <c r="AL158" s="160"/>
      <c r="AM158" s="160"/>
      <c r="AN158" s="160"/>
      <c r="AO158" s="160"/>
      <c r="AP158" s="160"/>
      <c r="AQ158" s="160"/>
      <c r="AR158" s="160"/>
      <c r="AS158" s="160"/>
      <c r="AT158" s="160"/>
      <c r="AU158" s="160"/>
      <c r="AV158" s="160"/>
      <c r="AW158" s="160"/>
      <c r="AX158" s="160"/>
      <c r="AY158" s="160"/>
      <c r="AZ158" s="160"/>
      <c r="BA158" s="160"/>
      <c r="BB158" s="160"/>
      <c r="BC158" s="160"/>
      <c r="BD158" s="160"/>
      <c r="BE158" s="160"/>
      <c r="BF158" s="160"/>
      <c r="BG158" s="160"/>
    </row>
    <row r="159" spans="2:59" x14ac:dyDescent="0.2">
      <c r="B159" s="68" t="str">
        <f>IF(Capacity!B52="","",Capacity!B52)</f>
        <v/>
      </c>
      <c r="C159" s="223" t="str">
        <f>IF(B159="","",Capacity!E52)</f>
        <v/>
      </c>
      <c r="D159" s="317" t="str">
        <f>IF(B159="","",Capacity!F52)</f>
        <v/>
      </c>
      <c r="E159" s="223" t="str">
        <f>IF(B159="","",IF(COUNTIF(H159:BG159,"X")=0,SUM('Capacity calculation (hide)'!H40:BG40),COUNTIF(H159:BG159,"X")))</f>
        <v/>
      </c>
      <c r="F159" s="318" t="str">
        <f>'Capacity calculation (hide)'!BI40</f>
        <v/>
      </c>
      <c r="H159" s="160"/>
      <c r="I159" s="160"/>
      <c r="J159" s="160"/>
      <c r="K159" s="160"/>
      <c r="L159" s="160"/>
      <c r="M159" s="160"/>
      <c r="N159" s="160"/>
      <c r="O159" s="160"/>
      <c r="P159" s="160"/>
      <c r="Q159" s="160"/>
      <c r="R159" s="160"/>
      <c r="S159" s="160"/>
      <c r="T159" s="160"/>
      <c r="U159" s="160"/>
      <c r="V159" s="160"/>
      <c r="W159" s="160"/>
      <c r="X159" s="160"/>
      <c r="Y159" s="160"/>
      <c r="Z159" s="160"/>
      <c r="AA159" s="160"/>
      <c r="AB159" s="160"/>
      <c r="AC159" s="160"/>
      <c r="AD159" s="160"/>
      <c r="AE159" s="160"/>
      <c r="AF159" s="160"/>
      <c r="AG159" s="160"/>
      <c r="AH159" s="160"/>
      <c r="AI159" s="160"/>
      <c r="AJ159" s="160"/>
      <c r="AK159" s="160"/>
      <c r="AL159" s="160"/>
      <c r="AM159" s="160"/>
      <c r="AN159" s="160"/>
      <c r="AO159" s="160"/>
      <c r="AP159" s="160"/>
      <c r="AQ159" s="160"/>
      <c r="AR159" s="160"/>
      <c r="AS159" s="160"/>
      <c r="AT159" s="160"/>
      <c r="AU159" s="160"/>
      <c r="AV159" s="160"/>
      <c r="AW159" s="160"/>
      <c r="AX159" s="160"/>
      <c r="AY159" s="160"/>
      <c r="AZ159" s="160"/>
      <c r="BA159" s="160"/>
      <c r="BB159" s="160"/>
      <c r="BC159" s="160"/>
      <c r="BD159" s="160"/>
      <c r="BE159" s="160"/>
      <c r="BF159" s="160"/>
      <c r="BG159" s="160"/>
    </row>
    <row r="160" spans="2:59" x14ac:dyDescent="0.2">
      <c r="B160" s="68" t="str">
        <f>IF(Capacity!B53="","",Capacity!B53)</f>
        <v/>
      </c>
      <c r="C160" s="223" t="str">
        <f>IF(B160="","",Capacity!E53)</f>
        <v/>
      </c>
      <c r="D160" s="317" t="str">
        <f>IF(B160="","",Capacity!F53)</f>
        <v/>
      </c>
      <c r="E160" s="223" t="str">
        <f>IF(B160="","",IF(COUNTIF(H160:BG160,"X")=0,SUM('Capacity calculation (hide)'!H41:BG41),COUNTIF(H160:BG160,"X")))</f>
        <v/>
      </c>
      <c r="F160" s="318" t="str">
        <f>'Capacity calculation (hide)'!BI41</f>
        <v/>
      </c>
      <c r="H160" s="160"/>
      <c r="I160" s="160"/>
      <c r="J160" s="160"/>
      <c r="K160" s="160"/>
      <c r="L160" s="160"/>
      <c r="M160" s="160"/>
      <c r="N160" s="160"/>
      <c r="O160" s="160"/>
      <c r="P160" s="160"/>
      <c r="Q160" s="160"/>
      <c r="R160" s="160"/>
      <c r="S160" s="160"/>
      <c r="T160" s="160"/>
      <c r="U160" s="160"/>
      <c r="V160" s="160"/>
      <c r="W160" s="160"/>
      <c r="X160" s="160"/>
      <c r="Y160" s="160"/>
      <c r="Z160" s="160"/>
      <c r="AA160" s="160"/>
      <c r="AB160" s="160"/>
      <c r="AC160" s="160"/>
      <c r="AD160" s="160"/>
      <c r="AE160" s="160"/>
      <c r="AF160" s="160"/>
      <c r="AG160" s="160"/>
      <c r="AH160" s="160"/>
      <c r="AI160" s="160"/>
      <c r="AJ160" s="160"/>
      <c r="AK160" s="160"/>
      <c r="AL160" s="160"/>
      <c r="AM160" s="160"/>
      <c r="AN160" s="160"/>
      <c r="AO160" s="160"/>
      <c r="AP160" s="160"/>
      <c r="AQ160" s="160"/>
      <c r="AR160" s="160"/>
      <c r="AS160" s="160"/>
      <c r="AT160" s="160"/>
      <c r="AU160" s="160"/>
      <c r="AV160" s="160"/>
      <c r="AW160" s="160"/>
      <c r="AX160" s="160"/>
      <c r="AY160" s="160"/>
      <c r="AZ160" s="160"/>
      <c r="BA160" s="160"/>
      <c r="BB160" s="160"/>
      <c r="BC160" s="160"/>
      <c r="BD160" s="160"/>
      <c r="BE160" s="160"/>
      <c r="BF160" s="160"/>
      <c r="BG160" s="160"/>
    </row>
    <row r="161" spans="2:59" x14ac:dyDescent="0.2">
      <c r="B161" s="68" t="str">
        <f>IF(Capacity!B54="","",Capacity!B54)</f>
        <v/>
      </c>
      <c r="C161" s="223" t="str">
        <f>IF(B161="","",Capacity!E54)</f>
        <v/>
      </c>
      <c r="D161" s="317" t="str">
        <f>IF(B161="","",Capacity!F54)</f>
        <v/>
      </c>
      <c r="E161" s="223" t="str">
        <f>IF(B161="","",IF(COUNTIF(H161:BG161,"X")=0,SUM('Capacity calculation (hide)'!H42:BG42),COUNTIF(H161:BG161,"X")))</f>
        <v/>
      </c>
      <c r="F161" s="318" t="str">
        <f>'Capacity calculation (hide)'!BI42</f>
        <v/>
      </c>
      <c r="H161" s="160"/>
      <c r="I161" s="160"/>
      <c r="J161" s="160"/>
      <c r="K161" s="160"/>
      <c r="L161" s="160"/>
      <c r="M161" s="160"/>
      <c r="N161" s="160"/>
      <c r="O161" s="160"/>
      <c r="P161" s="160"/>
      <c r="Q161" s="160"/>
      <c r="R161" s="160"/>
      <c r="S161" s="160"/>
      <c r="T161" s="160"/>
      <c r="U161" s="160"/>
      <c r="V161" s="160"/>
      <c r="W161" s="160"/>
      <c r="X161" s="160"/>
      <c r="Y161" s="160"/>
      <c r="Z161" s="160"/>
      <c r="AA161" s="160"/>
      <c r="AB161" s="160"/>
      <c r="AC161" s="160"/>
      <c r="AD161" s="160"/>
      <c r="AE161" s="160"/>
      <c r="AF161" s="160"/>
      <c r="AG161" s="160"/>
      <c r="AH161" s="160"/>
      <c r="AI161" s="160"/>
      <c r="AJ161" s="160"/>
      <c r="AK161" s="160"/>
      <c r="AL161" s="160"/>
      <c r="AM161" s="160"/>
      <c r="AN161" s="160"/>
      <c r="AO161" s="160"/>
      <c r="AP161" s="160"/>
      <c r="AQ161" s="160"/>
      <c r="AR161" s="160"/>
      <c r="AS161" s="160"/>
      <c r="AT161" s="160"/>
      <c r="AU161" s="160"/>
      <c r="AV161" s="160"/>
      <c r="AW161" s="160"/>
      <c r="AX161" s="160"/>
      <c r="AY161" s="160"/>
      <c r="AZ161" s="160"/>
      <c r="BA161" s="160"/>
      <c r="BB161" s="160"/>
      <c r="BC161" s="160"/>
      <c r="BD161" s="160"/>
      <c r="BE161" s="160"/>
      <c r="BF161" s="160"/>
      <c r="BG161" s="160"/>
    </row>
    <row r="162" spans="2:59" x14ac:dyDescent="0.2">
      <c r="B162" s="68" t="str">
        <f>IF(Capacity!B55="","",Capacity!B55)</f>
        <v/>
      </c>
      <c r="C162" s="223" t="str">
        <f>IF(B162="","",Capacity!E55)</f>
        <v/>
      </c>
      <c r="D162" s="317" t="str">
        <f>IF(B162="","",Capacity!F55)</f>
        <v/>
      </c>
      <c r="E162" s="223" t="str">
        <f>IF(B162="","",IF(COUNTIF(H162:BG162,"X")=0,SUM('Capacity calculation (hide)'!H43:BG43),COUNTIF(H162:BG162,"X")))</f>
        <v/>
      </c>
      <c r="F162" s="318" t="str">
        <f>'Capacity calculation (hide)'!BI43</f>
        <v/>
      </c>
      <c r="H162" s="160"/>
      <c r="I162" s="160"/>
      <c r="J162" s="160"/>
      <c r="K162" s="160"/>
      <c r="L162" s="160"/>
      <c r="M162" s="160"/>
      <c r="N162" s="160"/>
      <c r="O162" s="160"/>
      <c r="P162" s="160"/>
      <c r="Q162" s="160"/>
      <c r="R162" s="160"/>
      <c r="S162" s="160"/>
      <c r="T162" s="160"/>
      <c r="U162" s="160"/>
      <c r="V162" s="160"/>
      <c r="W162" s="160"/>
      <c r="X162" s="160"/>
      <c r="Y162" s="160"/>
      <c r="Z162" s="160"/>
      <c r="AA162" s="160"/>
      <c r="AB162" s="160"/>
      <c r="AC162" s="160"/>
      <c r="AD162" s="160"/>
      <c r="AE162" s="160"/>
      <c r="AF162" s="160"/>
      <c r="AG162" s="160"/>
      <c r="AH162" s="160"/>
      <c r="AI162" s="160"/>
      <c r="AJ162" s="160"/>
      <c r="AK162" s="160"/>
      <c r="AL162" s="160"/>
      <c r="AM162" s="160"/>
      <c r="AN162" s="160"/>
      <c r="AO162" s="160"/>
      <c r="AP162" s="160"/>
      <c r="AQ162" s="160"/>
      <c r="AR162" s="160"/>
      <c r="AS162" s="160"/>
      <c r="AT162" s="160"/>
      <c r="AU162" s="160"/>
      <c r="AV162" s="160"/>
      <c r="AW162" s="160"/>
      <c r="AX162" s="160"/>
      <c r="AY162" s="160"/>
      <c r="AZ162" s="160"/>
      <c r="BA162" s="160"/>
      <c r="BB162" s="160"/>
      <c r="BC162" s="160"/>
      <c r="BD162" s="160"/>
      <c r="BE162" s="160"/>
      <c r="BF162" s="160"/>
      <c r="BG162" s="160"/>
    </row>
    <row r="163" spans="2:59" x14ac:dyDescent="0.2">
      <c r="B163" s="68" t="str">
        <f>IF(Capacity!B56="","",Capacity!B56)</f>
        <v/>
      </c>
      <c r="C163" s="223" t="str">
        <f>IF(B163="","",Capacity!E56)</f>
        <v/>
      </c>
      <c r="D163" s="317" t="str">
        <f>IF(B163="","",Capacity!F56)</f>
        <v/>
      </c>
      <c r="E163" s="223" t="str">
        <f>IF(B163="","",IF(COUNTIF(H163:BG163,"X")=0,SUM('Capacity calculation (hide)'!H44:BG44),COUNTIF(H163:BG163,"X")))</f>
        <v/>
      </c>
      <c r="F163" s="318" t="str">
        <f>'Capacity calculation (hide)'!BI44</f>
        <v/>
      </c>
      <c r="H163" s="160"/>
      <c r="I163" s="160"/>
      <c r="J163" s="160"/>
      <c r="K163" s="160"/>
      <c r="L163" s="160"/>
      <c r="M163" s="160"/>
      <c r="N163" s="160"/>
      <c r="O163" s="160"/>
      <c r="P163" s="160"/>
      <c r="Q163" s="160"/>
      <c r="R163" s="160"/>
      <c r="S163" s="160"/>
      <c r="T163" s="160"/>
      <c r="U163" s="160"/>
      <c r="V163" s="160"/>
      <c r="W163" s="160"/>
      <c r="X163" s="160"/>
      <c r="Y163" s="160"/>
      <c r="Z163" s="160"/>
      <c r="AA163" s="160"/>
      <c r="AB163" s="160"/>
      <c r="AC163" s="160"/>
      <c r="AD163" s="160"/>
      <c r="AE163" s="160"/>
      <c r="AF163" s="160"/>
      <c r="AG163" s="160"/>
      <c r="AH163" s="160"/>
      <c r="AI163" s="160"/>
      <c r="AJ163" s="160"/>
      <c r="AK163" s="160"/>
      <c r="AL163" s="160"/>
      <c r="AM163" s="160"/>
      <c r="AN163" s="160"/>
      <c r="AO163" s="160"/>
      <c r="AP163" s="160"/>
      <c r="AQ163" s="160"/>
      <c r="AR163" s="160"/>
      <c r="AS163" s="160"/>
      <c r="AT163" s="160"/>
      <c r="AU163" s="160"/>
      <c r="AV163" s="160"/>
      <c r="AW163" s="160"/>
      <c r="AX163" s="160"/>
      <c r="AY163" s="160"/>
      <c r="AZ163" s="160"/>
      <c r="BA163" s="160"/>
      <c r="BB163" s="160"/>
      <c r="BC163" s="160"/>
      <c r="BD163" s="160"/>
      <c r="BE163" s="160"/>
      <c r="BF163" s="160"/>
      <c r="BG163" s="160"/>
    </row>
    <row r="164" spans="2:59" x14ac:dyDescent="0.2">
      <c r="B164" s="68" t="str">
        <f>IF(Capacity!B57="","",Capacity!B57)</f>
        <v/>
      </c>
      <c r="C164" s="223" t="str">
        <f>IF(B164="","",Capacity!E57)</f>
        <v/>
      </c>
      <c r="D164" s="317" t="str">
        <f>IF(B164="","",Capacity!F57)</f>
        <v/>
      </c>
      <c r="E164" s="223" t="str">
        <f>IF(B164="","",IF(COUNTIF(H164:BG164,"X")=0,SUM('Capacity calculation (hide)'!H45:BG45),COUNTIF(H164:BG164,"X")))</f>
        <v/>
      </c>
      <c r="F164" s="318" t="str">
        <f>'Capacity calculation (hide)'!BI45</f>
        <v/>
      </c>
      <c r="H164" s="160"/>
      <c r="I164" s="160"/>
      <c r="J164" s="160"/>
      <c r="K164" s="160"/>
      <c r="L164" s="160"/>
      <c r="M164" s="160"/>
      <c r="N164" s="160"/>
      <c r="O164" s="160"/>
      <c r="P164" s="160"/>
      <c r="Q164" s="160"/>
      <c r="R164" s="160"/>
      <c r="S164" s="160"/>
      <c r="T164" s="160"/>
      <c r="U164" s="160"/>
      <c r="V164" s="160"/>
      <c r="W164" s="160"/>
      <c r="X164" s="160"/>
      <c r="Y164" s="160"/>
      <c r="Z164" s="160"/>
      <c r="AA164" s="160"/>
      <c r="AB164" s="160"/>
      <c r="AC164" s="160"/>
      <c r="AD164" s="160"/>
      <c r="AE164" s="160"/>
      <c r="AF164" s="160"/>
      <c r="AG164" s="160"/>
      <c r="AH164" s="160"/>
      <c r="AI164" s="160"/>
      <c r="AJ164" s="160"/>
      <c r="AK164" s="160"/>
      <c r="AL164" s="160"/>
      <c r="AM164" s="160"/>
      <c r="AN164" s="160"/>
      <c r="AO164" s="160"/>
      <c r="AP164" s="160"/>
      <c r="AQ164" s="160"/>
      <c r="AR164" s="160"/>
      <c r="AS164" s="160"/>
      <c r="AT164" s="160"/>
      <c r="AU164" s="160"/>
      <c r="AV164" s="160"/>
      <c r="AW164" s="160"/>
      <c r="AX164" s="160"/>
      <c r="AY164" s="160"/>
      <c r="AZ164" s="160"/>
      <c r="BA164" s="160"/>
      <c r="BB164" s="160"/>
      <c r="BC164" s="160"/>
      <c r="BD164" s="160"/>
      <c r="BE164" s="160"/>
      <c r="BF164" s="160"/>
      <c r="BG164" s="160"/>
    </row>
    <row r="165" spans="2:59" x14ac:dyDescent="0.2">
      <c r="B165" s="68" t="str">
        <f>IF(Capacity!B58="","",Capacity!B58)</f>
        <v/>
      </c>
      <c r="C165" s="223" t="str">
        <f>IF(B165="","",Capacity!E58)</f>
        <v/>
      </c>
      <c r="D165" s="317" t="str">
        <f>IF(B165="","",Capacity!F58)</f>
        <v/>
      </c>
      <c r="E165" s="223" t="str">
        <f>IF(B165="","",IF(COUNTIF(H165:BG165,"X")=0,SUM('Capacity calculation (hide)'!H46:BG46),COUNTIF(H165:BG165,"X")))</f>
        <v/>
      </c>
      <c r="F165" s="318" t="str">
        <f>'Capacity calculation (hide)'!BI46</f>
        <v/>
      </c>
      <c r="H165" s="160"/>
      <c r="I165" s="160"/>
      <c r="J165" s="160"/>
      <c r="K165" s="160"/>
      <c r="L165" s="160"/>
      <c r="M165" s="160"/>
      <c r="N165" s="160"/>
      <c r="O165" s="160"/>
      <c r="P165" s="160"/>
      <c r="Q165" s="160"/>
      <c r="R165" s="160"/>
      <c r="S165" s="160"/>
      <c r="T165" s="160"/>
      <c r="U165" s="160"/>
      <c r="V165" s="160"/>
      <c r="W165" s="160"/>
      <c r="X165" s="160"/>
      <c r="Y165" s="160"/>
      <c r="Z165" s="160"/>
      <c r="AA165" s="160"/>
      <c r="AB165" s="160"/>
      <c r="AC165" s="160"/>
      <c r="AD165" s="160"/>
      <c r="AE165" s="160"/>
      <c r="AF165" s="160"/>
      <c r="AG165" s="160"/>
      <c r="AH165" s="160"/>
      <c r="AI165" s="160"/>
      <c r="AJ165" s="160"/>
      <c r="AK165" s="160"/>
      <c r="AL165" s="160"/>
      <c r="AM165" s="160"/>
      <c r="AN165" s="160"/>
      <c r="AO165" s="160"/>
      <c r="AP165" s="160"/>
      <c r="AQ165" s="160"/>
      <c r="AR165" s="160"/>
      <c r="AS165" s="160"/>
      <c r="AT165" s="160"/>
      <c r="AU165" s="160"/>
      <c r="AV165" s="160"/>
      <c r="AW165" s="160"/>
      <c r="AX165" s="160"/>
      <c r="AY165" s="160"/>
      <c r="AZ165" s="160"/>
      <c r="BA165" s="160"/>
      <c r="BB165" s="160"/>
      <c r="BC165" s="160"/>
      <c r="BD165" s="160"/>
      <c r="BE165" s="160"/>
      <c r="BF165" s="160"/>
      <c r="BG165" s="160"/>
    </row>
    <row r="166" spans="2:59" x14ac:dyDescent="0.2">
      <c r="B166" s="68" t="str">
        <f>IF(Capacity!B59="","",Capacity!B59)</f>
        <v/>
      </c>
      <c r="C166" s="223" t="str">
        <f>IF(B166="","",Capacity!E59)</f>
        <v/>
      </c>
      <c r="D166" s="317" t="str">
        <f>IF(B166="","",Capacity!F59)</f>
        <v/>
      </c>
      <c r="E166" s="223" t="str">
        <f>IF(B166="","",IF(COUNTIF(H166:BG166,"X")=0,SUM('Capacity calculation (hide)'!H47:BG47),COUNTIF(H166:BG166,"X")))</f>
        <v/>
      </c>
      <c r="F166" s="318" t="str">
        <f>'Capacity calculation (hide)'!BI47</f>
        <v/>
      </c>
      <c r="H166" s="160"/>
      <c r="I166" s="160"/>
      <c r="J166" s="160"/>
      <c r="K166" s="160"/>
      <c r="L166" s="160"/>
      <c r="M166" s="160"/>
      <c r="N166" s="160"/>
      <c r="O166" s="160"/>
      <c r="P166" s="160"/>
      <c r="Q166" s="160"/>
      <c r="R166" s="160"/>
      <c r="S166" s="160"/>
      <c r="T166" s="160"/>
      <c r="U166" s="160"/>
      <c r="V166" s="160"/>
      <c r="W166" s="160"/>
      <c r="X166" s="160"/>
      <c r="Y166" s="160"/>
      <c r="Z166" s="160"/>
      <c r="AA166" s="160"/>
      <c r="AB166" s="160"/>
      <c r="AC166" s="160"/>
      <c r="AD166" s="160"/>
      <c r="AE166" s="160"/>
      <c r="AF166" s="160"/>
      <c r="AG166" s="160"/>
      <c r="AH166" s="160"/>
      <c r="AI166" s="160"/>
      <c r="AJ166" s="160"/>
      <c r="AK166" s="160"/>
      <c r="AL166" s="160"/>
      <c r="AM166" s="160"/>
      <c r="AN166" s="160"/>
      <c r="AO166" s="160"/>
      <c r="AP166" s="160"/>
      <c r="AQ166" s="160"/>
      <c r="AR166" s="160"/>
      <c r="AS166" s="160"/>
      <c r="AT166" s="160"/>
      <c r="AU166" s="160"/>
      <c r="AV166" s="160"/>
      <c r="AW166" s="160"/>
      <c r="AX166" s="160"/>
      <c r="AY166" s="160"/>
      <c r="AZ166" s="160"/>
      <c r="BA166" s="160"/>
      <c r="BB166" s="160"/>
      <c r="BC166" s="160"/>
      <c r="BD166" s="160"/>
      <c r="BE166" s="160"/>
      <c r="BF166" s="160"/>
      <c r="BG166" s="160"/>
    </row>
    <row r="167" spans="2:59" x14ac:dyDescent="0.2">
      <c r="B167" s="68" t="str">
        <f>IF(Capacity!B60="","",Capacity!B60)</f>
        <v/>
      </c>
      <c r="C167" s="223" t="str">
        <f>IF(B167="","",Capacity!E60)</f>
        <v/>
      </c>
      <c r="D167" s="317" t="str">
        <f>IF(B167="","",Capacity!F60)</f>
        <v/>
      </c>
      <c r="E167" s="223" t="str">
        <f>IF(B167="","",IF(COUNTIF(H167:BG167,"X")=0,SUM('Capacity calculation (hide)'!H48:BG48),COUNTIF(H167:BG167,"X")))</f>
        <v/>
      </c>
      <c r="F167" s="318" t="str">
        <f>'Capacity calculation (hide)'!BI48</f>
        <v/>
      </c>
      <c r="H167" s="160"/>
      <c r="I167" s="160"/>
      <c r="J167" s="160"/>
      <c r="K167" s="160"/>
      <c r="L167" s="160"/>
      <c r="M167" s="160"/>
      <c r="N167" s="160"/>
      <c r="O167" s="160"/>
      <c r="P167" s="160"/>
      <c r="Q167" s="160"/>
      <c r="R167" s="160"/>
      <c r="S167" s="160"/>
      <c r="T167" s="160"/>
      <c r="U167" s="160"/>
      <c r="V167" s="160"/>
      <c r="W167" s="160"/>
      <c r="X167" s="160"/>
      <c r="Y167" s="160"/>
      <c r="Z167" s="160"/>
      <c r="AA167" s="160"/>
      <c r="AB167" s="160"/>
      <c r="AC167" s="160"/>
      <c r="AD167" s="160"/>
      <c r="AE167" s="160"/>
      <c r="AF167" s="160"/>
      <c r="AG167" s="160"/>
      <c r="AH167" s="160"/>
      <c r="AI167" s="160"/>
      <c r="AJ167" s="160"/>
      <c r="AK167" s="160"/>
      <c r="AL167" s="160"/>
      <c r="AM167" s="160"/>
      <c r="AN167" s="160"/>
      <c r="AO167" s="160"/>
      <c r="AP167" s="160"/>
      <c r="AQ167" s="160"/>
      <c r="AR167" s="160"/>
      <c r="AS167" s="160"/>
      <c r="AT167" s="160"/>
      <c r="AU167" s="160"/>
      <c r="AV167" s="160"/>
      <c r="AW167" s="160"/>
      <c r="AX167" s="160"/>
      <c r="AY167" s="160"/>
      <c r="AZ167" s="160"/>
      <c r="BA167" s="160"/>
      <c r="BB167" s="160"/>
      <c r="BC167" s="160"/>
      <c r="BD167" s="160"/>
      <c r="BE167" s="160"/>
      <c r="BF167" s="160"/>
      <c r="BG167" s="160"/>
    </row>
    <row r="168" spans="2:59" x14ac:dyDescent="0.2">
      <c r="B168" s="68" t="str">
        <f>IF(Capacity!B61="","",Capacity!B61)</f>
        <v/>
      </c>
      <c r="C168" s="223" t="str">
        <f>IF(B168="","",Capacity!E61)</f>
        <v/>
      </c>
      <c r="D168" s="317" t="str">
        <f>IF(B168="","",Capacity!F61)</f>
        <v/>
      </c>
      <c r="E168" s="223" t="str">
        <f>IF(B168="","",IF(COUNTIF(H168:BG168,"X")=0,SUM('Capacity calculation (hide)'!H49:BG49),COUNTIF(H168:BG168,"X")))</f>
        <v/>
      </c>
      <c r="F168" s="318" t="str">
        <f>'Capacity calculation (hide)'!BI49</f>
        <v/>
      </c>
      <c r="H168" s="160"/>
      <c r="I168" s="160"/>
      <c r="J168" s="160"/>
      <c r="K168" s="160"/>
      <c r="L168" s="160"/>
      <c r="M168" s="160"/>
      <c r="N168" s="160"/>
      <c r="O168" s="160"/>
      <c r="P168" s="160"/>
      <c r="Q168" s="160"/>
      <c r="R168" s="160"/>
      <c r="S168" s="160"/>
      <c r="T168" s="160"/>
      <c r="U168" s="160"/>
      <c r="V168" s="160"/>
      <c r="W168" s="160"/>
      <c r="X168" s="160"/>
      <c r="Y168" s="160"/>
      <c r="Z168" s="160"/>
      <c r="AA168" s="160"/>
      <c r="AB168" s="160"/>
      <c r="AC168" s="160"/>
      <c r="AD168" s="160"/>
      <c r="AE168" s="160"/>
      <c r="AF168" s="160"/>
      <c r="AG168" s="160"/>
      <c r="AH168" s="160"/>
      <c r="AI168" s="160"/>
      <c r="AJ168" s="160"/>
      <c r="AK168" s="160"/>
      <c r="AL168" s="160"/>
      <c r="AM168" s="160"/>
      <c r="AN168" s="160"/>
      <c r="AO168" s="160"/>
      <c r="AP168" s="160"/>
      <c r="AQ168" s="160"/>
      <c r="AR168" s="160"/>
      <c r="AS168" s="160"/>
      <c r="AT168" s="160"/>
      <c r="AU168" s="160"/>
      <c r="AV168" s="160"/>
      <c r="AW168" s="160"/>
      <c r="AX168" s="160"/>
      <c r="AY168" s="160"/>
      <c r="AZ168" s="160"/>
      <c r="BA168" s="160"/>
      <c r="BB168" s="160"/>
      <c r="BC168" s="160"/>
      <c r="BD168" s="160"/>
      <c r="BE168" s="160"/>
      <c r="BF168" s="160"/>
      <c r="BG168" s="160"/>
    </row>
    <row r="169" spans="2:59" x14ac:dyDescent="0.2">
      <c r="B169" s="68" t="str">
        <f>IF(Capacity!B62="","",Capacity!B62)</f>
        <v/>
      </c>
      <c r="C169" s="223" t="str">
        <f>IF(B169="","",Capacity!E62)</f>
        <v/>
      </c>
      <c r="D169" s="317" t="str">
        <f>IF(B169="","",Capacity!F62)</f>
        <v/>
      </c>
      <c r="E169" s="223" t="str">
        <f>IF(B169="","",IF(COUNTIF(H169:BG169,"X")=0,SUM('Capacity calculation (hide)'!H50:BG50),COUNTIF(H169:BG169,"X")))</f>
        <v/>
      </c>
      <c r="F169" s="318" t="str">
        <f>'Capacity calculation (hide)'!BI50</f>
        <v/>
      </c>
      <c r="H169" s="160"/>
      <c r="I169" s="160"/>
      <c r="J169" s="160"/>
      <c r="K169" s="160"/>
      <c r="L169" s="160"/>
      <c r="M169" s="160"/>
      <c r="N169" s="160"/>
      <c r="O169" s="160"/>
      <c r="P169" s="160"/>
      <c r="Q169" s="160"/>
      <c r="R169" s="160"/>
      <c r="S169" s="160"/>
      <c r="T169" s="160"/>
      <c r="U169" s="160"/>
      <c r="V169" s="160"/>
      <c r="W169" s="160"/>
      <c r="X169" s="160"/>
      <c r="Y169" s="160"/>
      <c r="Z169" s="160"/>
      <c r="AA169" s="160"/>
      <c r="AB169" s="160"/>
      <c r="AC169" s="160"/>
      <c r="AD169" s="160"/>
      <c r="AE169" s="160"/>
      <c r="AF169" s="160"/>
      <c r="AG169" s="160"/>
      <c r="AH169" s="160"/>
      <c r="AI169" s="160"/>
      <c r="AJ169" s="160"/>
      <c r="AK169" s="160"/>
      <c r="AL169" s="160"/>
      <c r="AM169" s="160"/>
      <c r="AN169" s="160"/>
      <c r="AO169" s="160"/>
      <c r="AP169" s="160"/>
      <c r="AQ169" s="160"/>
      <c r="AR169" s="160"/>
      <c r="AS169" s="160"/>
      <c r="AT169" s="160"/>
      <c r="AU169" s="160"/>
      <c r="AV169" s="160"/>
      <c r="AW169" s="160"/>
      <c r="AX169" s="160"/>
      <c r="AY169" s="160"/>
      <c r="AZ169" s="160"/>
      <c r="BA169" s="160"/>
      <c r="BB169" s="160"/>
      <c r="BC169" s="160"/>
      <c r="BD169" s="160"/>
      <c r="BE169" s="160"/>
      <c r="BF169" s="160"/>
      <c r="BG169" s="160"/>
    </row>
    <row r="170" spans="2:59" x14ac:dyDescent="0.2">
      <c r="B170" s="68" t="str">
        <f>IF(Capacity!B63="","",Capacity!B63)</f>
        <v/>
      </c>
      <c r="C170" s="223" t="str">
        <f>IF(B170="","",Capacity!E63)</f>
        <v/>
      </c>
      <c r="D170" s="317" t="str">
        <f>IF(B170="","",Capacity!F63)</f>
        <v/>
      </c>
      <c r="E170" s="223" t="str">
        <f>IF(B170="","",IF(COUNTIF(H170:BG170,"X")=0,SUM('Capacity calculation (hide)'!H51:BG51),COUNTIF(H170:BG170,"X")))</f>
        <v/>
      </c>
      <c r="F170" s="318" t="str">
        <f>'Capacity calculation (hide)'!BI51</f>
        <v/>
      </c>
      <c r="H170" s="160"/>
      <c r="I170" s="160"/>
      <c r="J170" s="160"/>
      <c r="K170" s="160"/>
      <c r="L170" s="160"/>
      <c r="M170" s="160"/>
      <c r="N170" s="160"/>
      <c r="O170" s="160"/>
      <c r="P170" s="160"/>
      <c r="Q170" s="160"/>
      <c r="R170" s="160"/>
      <c r="S170" s="160"/>
      <c r="T170" s="160"/>
      <c r="U170" s="160"/>
      <c r="V170" s="160"/>
      <c r="W170" s="160"/>
      <c r="X170" s="160"/>
      <c r="Y170" s="160"/>
      <c r="Z170" s="160"/>
      <c r="AA170" s="160"/>
      <c r="AB170" s="160"/>
      <c r="AC170" s="160"/>
      <c r="AD170" s="160"/>
      <c r="AE170" s="160"/>
      <c r="AF170" s="160"/>
      <c r="AG170" s="160"/>
      <c r="AH170" s="160"/>
      <c r="AI170" s="160"/>
      <c r="AJ170" s="160"/>
      <c r="AK170" s="160"/>
      <c r="AL170" s="160"/>
      <c r="AM170" s="160"/>
      <c r="AN170" s="160"/>
      <c r="AO170" s="160"/>
      <c r="AP170" s="160"/>
      <c r="AQ170" s="160"/>
      <c r="AR170" s="160"/>
      <c r="AS170" s="160"/>
      <c r="AT170" s="160"/>
      <c r="AU170" s="160"/>
      <c r="AV170" s="160"/>
      <c r="AW170" s="160"/>
      <c r="AX170" s="160"/>
      <c r="AY170" s="160"/>
      <c r="AZ170" s="160"/>
      <c r="BA170" s="160"/>
      <c r="BB170" s="160"/>
      <c r="BC170" s="160"/>
      <c r="BD170" s="160"/>
      <c r="BE170" s="160"/>
      <c r="BF170" s="160"/>
      <c r="BG170" s="160"/>
    </row>
    <row r="171" spans="2:59" x14ac:dyDescent="0.2">
      <c r="B171" s="68" t="str">
        <f>IF(Capacity!B64="","",Capacity!B64)</f>
        <v/>
      </c>
      <c r="C171" s="223" t="str">
        <f>IF(B171="","",Capacity!E64)</f>
        <v/>
      </c>
      <c r="D171" s="317" t="str">
        <f>IF(B171="","",Capacity!F64)</f>
        <v/>
      </c>
      <c r="E171" s="223" t="str">
        <f>IF(B171="","",IF(COUNTIF(H171:BG171,"X")=0,SUM('Capacity calculation (hide)'!H52:BG52),COUNTIF(H171:BG171,"X")))</f>
        <v/>
      </c>
      <c r="F171" s="318" t="str">
        <f>'Capacity calculation (hide)'!BI52</f>
        <v/>
      </c>
      <c r="H171" s="160"/>
      <c r="I171" s="160"/>
      <c r="J171" s="160"/>
      <c r="K171" s="160"/>
      <c r="L171" s="160"/>
      <c r="M171" s="160"/>
      <c r="N171" s="160"/>
      <c r="O171" s="160"/>
      <c r="P171" s="160"/>
      <c r="Q171" s="160"/>
      <c r="R171" s="160"/>
      <c r="S171" s="160"/>
      <c r="T171" s="160"/>
      <c r="U171" s="160"/>
      <c r="V171" s="160"/>
      <c r="W171" s="160"/>
      <c r="X171" s="160"/>
      <c r="Y171" s="160"/>
      <c r="Z171" s="160"/>
      <c r="AA171" s="160"/>
      <c r="AB171" s="160"/>
      <c r="AC171" s="160"/>
      <c r="AD171" s="160"/>
      <c r="AE171" s="160"/>
      <c r="AF171" s="160"/>
      <c r="AG171" s="160"/>
      <c r="AH171" s="160"/>
      <c r="AI171" s="160"/>
      <c r="AJ171" s="160"/>
      <c r="AK171" s="160"/>
      <c r="AL171" s="160"/>
      <c r="AM171" s="160"/>
      <c r="AN171" s="160"/>
      <c r="AO171" s="160"/>
      <c r="AP171" s="160"/>
      <c r="AQ171" s="160"/>
      <c r="AR171" s="160"/>
      <c r="AS171" s="160"/>
      <c r="AT171" s="160"/>
      <c r="AU171" s="160"/>
      <c r="AV171" s="160"/>
      <c r="AW171" s="160"/>
      <c r="AX171" s="160"/>
      <c r="AY171" s="160"/>
      <c r="AZ171" s="160"/>
      <c r="BA171" s="160"/>
      <c r="BB171" s="160"/>
      <c r="BC171" s="160"/>
      <c r="BD171" s="160"/>
      <c r="BE171" s="160"/>
      <c r="BF171" s="160"/>
      <c r="BG171" s="160"/>
    </row>
    <row r="172" spans="2:59" x14ac:dyDescent="0.2">
      <c r="B172" s="68" t="str">
        <f>IF(Capacity!B65="","",Capacity!B65)</f>
        <v/>
      </c>
      <c r="C172" s="223" t="str">
        <f>IF(B172="","",Capacity!E65)</f>
        <v/>
      </c>
      <c r="D172" s="317" t="str">
        <f>IF(B172="","",Capacity!F65)</f>
        <v/>
      </c>
      <c r="E172" s="223" t="str">
        <f>IF(B172="","",IF(COUNTIF(H172:BG172,"X")=0,SUM('Capacity calculation (hide)'!H53:BG53),COUNTIF(H172:BG172,"X")))</f>
        <v/>
      </c>
      <c r="F172" s="318" t="str">
        <f>'Capacity calculation (hide)'!BI53</f>
        <v/>
      </c>
      <c r="H172" s="160"/>
      <c r="I172" s="160"/>
      <c r="J172" s="160"/>
      <c r="K172" s="160"/>
      <c r="L172" s="160"/>
      <c r="M172" s="160"/>
      <c r="N172" s="160"/>
      <c r="O172" s="160"/>
      <c r="P172" s="160"/>
      <c r="Q172" s="160"/>
      <c r="R172" s="160"/>
      <c r="S172" s="160"/>
      <c r="T172" s="160"/>
      <c r="U172" s="160"/>
      <c r="V172" s="160"/>
      <c r="W172" s="160"/>
      <c r="X172" s="160"/>
      <c r="Y172" s="160"/>
      <c r="Z172" s="160"/>
      <c r="AA172" s="160"/>
      <c r="AB172" s="160"/>
      <c r="AC172" s="160"/>
      <c r="AD172" s="160"/>
      <c r="AE172" s="160"/>
      <c r="AF172" s="160"/>
      <c r="AG172" s="160"/>
      <c r="AH172" s="160"/>
      <c r="AI172" s="160"/>
      <c r="AJ172" s="160"/>
      <c r="AK172" s="160"/>
      <c r="AL172" s="160"/>
      <c r="AM172" s="160"/>
      <c r="AN172" s="160"/>
      <c r="AO172" s="160"/>
      <c r="AP172" s="160"/>
      <c r="AQ172" s="160"/>
      <c r="AR172" s="160"/>
      <c r="AS172" s="160"/>
      <c r="AT172" s="160"/>
      <c r="AU172" s="160"/>
      <c r="AV172" s="160"/>
      <c r="AW172" s="160"/>
      <c r="AX172" s="160"/>
      <c r="AY172" s="160"/>
      <c r="AZ172" s="160"/>
      <c r="BA172" s="160"/>
      <c r="BB172" s="160"/>
      <c r="BC172" s="160"/>
      <c r="BD172" s="160"/>
      <c r="BE172" s="160"/>
      <c r="BF172" s="160"/>
      <c r="BG172" s="160"/>
    </row>
    <row r="173" spans="2:59" x14ac:dyDescent="0.2">
      <c r="B173" s="68" t="str">
        <f>IF(Capacity!B66="","",Capacity!B66)</f>
        <v/>
      </c>
      <c r="C173" s="223" t="str">
        <f>IF(B173="","",Capacity!E66)</f>
        <v/>
      </c>
      <c r="D173" s="317" t="str">
        <f>IF(B173="","",Capacity!F66)</f>
        <v/>
      </c>
      <c r="E173" s="223" t="str">
        <f>IF(B173="","",IF(COUNTIF(H173:BG173,"X")=0,SUM('Capacity calculation (hide)'!H54:BG54),COUNTIF(H173:BG173,"X")))</f>
        <v/>
      </c>
      <c r="F173" s="318" t="str">
        <f>'Capacity calculation (hide)'!BI54</f>
        <v/>
      </c>
      <c r="H173" s="160"/>
      <c r="I173" s="160"/>
      <c r="J173" s="160"/>
      <c r="K173" s="160"/>
      <c r="L173" s="160"/>
      <c r="M173" s="160"/>
      <c r="N173" s="160"/>
      <c r="O173" s="160"/>
      <c r="P173" s="160"/>
      <c r="Q173" s="160"/>
      <c r="R173" s="160"/>
      <c r="S173" s="160"/>
      <c r="T173" s="160"/>
      <c r="U173" s="160"/>
      <c r="V173" s="160"/>
      <c r="W173" s="160"/>
      <c r="X173" s="160"/>
      <c r="Y173" s="160"/>
      <c r="Z173" s="160"/>
      <c r="AA173" s="160"/>
      <c r="AB173" s="160"/>
      <c r="AC173" s="160"/>
      <c r="AD173" s="160"/>
      <c r="AE173" s="160"/>
      <c r="AF173" s="160"/>
      <c r="AG173" s="160"/>
      <c r="AH173" s="160"/>
      <c r="AI173" s="160"/>
      <c r="AJ173" s="160"/>
      <c r="AK173" s="160"/>
      <c r="AL173" s="160"/>
      <c r="AM173" s="160"/>
      <c r="AN173" s="160"/>
      <c r="AO173" s="160"/>
      <c r="AP173" s="160"/>
      <c r="AQ173" s="160"/>
      <c r="AR173" s="160"/>
      <c r="AS173" s="160"/>
      <c r="AT173" s="160"/>
      <c r="AU173" s="160"/>
      <c r="AV173" s="160"/>
      <c r="AW173" s="160"/>
      <c r="AX173" s="160"/>
      <c r="AY173" s="160"/>
      <c r="AZ173" s="160"/>
      <c r="BA173" s="160"/>
      <c r="BB173" s="160"/>
      <c r="BC173" s="160"/>
      <c r="BD173" s="160"/>
      <c r="BE173" s="160"/>
      <c r="BF173" s="160"/>
      <c r="BG173" s="160"/>
    </row>
    <row r="174" spans="2:59" x14ac:dyDescent="0.2">
      <c r="B174" s="68" t="str">
        <f>IF(Capacity!B67="","",Capacity!B67)</f>
        <v/>
      </c>
      <c r="C174" s="223" t="str">
        <f>IF(B174="","",Capacity!E67)</f>
        <v/>
      </c>
      <c r="D174" s="317" t="str">
        <f>IF(B174="","",Capacity!F67)</f>
        <v/>
      </c>
      <c r="E174" s="223" t="str">
        <f>IF(B174="","",IF(COUNTIF(H174:BG174,"X")=0,SUM('Capacity calculation (hide)'!H55:BG55),COUNTIF(H174:BG174,"X")))</f>
        <v/>
      </c>
      <c r="F174" s="318" t="str">
        <f>'Capacity calculation (hide)'!BI55</f>
        <v/>
      </c>
      <c r="H174" s="160"/>
      <c r="I174" s="160"/>
      <c r="J174" s="160"/>
      <c r="K174" s="160"/>
      <c r="L174" s="160"/>
      <c r="M174" s="160"/>
      <c r="N174" s="160"/>
      <c r="O174" s="160"/>
      <c r="P174" s="160"/>
      <c r="Q174" s="160"/>
      <c r="R174" s="160"/>
      <c r="S174" s="160"/>
      <c r="T174" s="160"/>
      <c r="U174" s="160"/>
      <c r="V174" s="160"/>
      <c r="W174" s="160"/>
      <c r="X174" s="160"/>
      <c r="Y174" s="160"/>
      <c r="Z174" s="160"/>
      <c r="AA174" s="160"/>
      <c r="AB174" s="160"/>
      <c r="AC174" s="160"/>
      <c r="AD174" s="160"/>
      <c r="AE174" s="160"/>
      <c r="AF174" s="160"/>
      <c r="AG174" s="160"/>
      <c r="AH174" s="160"/>
      <c r="AI174" s="160"/>
      <c r="AJ174" s="160"/>
      <c r="AK174" s="160"/>
      <c r="AL174" s="160"/>
      <c r="AM174" s="160"/>
      <c r="AN174" s="160"/>
      <c r="AO174" s="160"/>
      <c r="AP174" s="160"/>
      <c r="AQ174" s="160"/>
      <c r="AR174" s="160"/>
      <c r="AS174" s="160"/>
      <c r="AT174" s="160"/>
      <c r="AU174" s="160"/>
      <c r="AV174" s="160"/>
      <c r="AW174" s="160"/>
      <c r="AX174" s="160"/>
      <c r="AY174" s="160"/>
      <c r="AZ174" s="160"/>
      <c r="BA174" s="160"/>
      <c r="BB174" s="160"/>
      <c r="BC174" s="160"/>
      <c r="BD174" s="160"/>
      <c r="BE174" s="160"/>
      <c r="BF174" s="160"/>
      <c r="BG174" s="160"/>
    </row>
    <row r="175" spans="2:59" x14ac:dyDescent="0.2">
      <c r="B175" s="68" t="str">
        <f>IF(Capacity!B68="","",Capacity!B68)</f>
        <v/>
      </c>
      <c r="C175" s="223" t="str">
        <f>IF(B175="","",Capacity!E68)</f>
        <v/>
      </c>
      <c r="D175" s="317" t="str">
        <f>IF(B175="","",Capacity!F68)</f>
        <v/>
      </c>
      <c r="E175" s="223" t="str">
        <f>IF(B175="","",IF(COUNTIF(H175:BG175,"X")=0,SUM('Capacity calculation (hide)'!H56:BG56),COUNTIF(H175:BG175,"X")))</f>
        <v/>
      </c>
      <c r="F175" s="318" t="str">
        <f>'Capacity calculation (hide)'!BI56</f>
        <v/>
      </c>
      <c r="H175" s="160"/>
      <c r="I175" s="160"/>
      <c r="J175" s="160"/>
      <c r="K175" s="160"/>
      <c r="L175" s="160"/>
      <c r="M175" s="160"/>
      <c r="N175" s="160"/>
      <c r="O175" s="160"/>
      <c r="P175" s="160"/>
      <c r="Q175" s="160"/>
      <c r="R175" s="160"/>
      <c r="S175" s="160"/>
      <c r="T175" s="160"/>
      <c r="U175" s="160"/>
      <c r="V175" s="160"/>
      <c r="W175" s="160"/>
      <c r="X175" s="160"/>
      <c r="Y175" s="160"/>
      <c r="Z175" s="160"/>
      <c r="AA175" s="160"/>
      <c r="AB175" s="160"/>
      <c r="AC175" s="160"/>
      <c r="AD175" s="160"/>
      <c r="AE175" s="160"/>
      <c r="AF175" s="160"/>
      <c r="AG175" s="160"/>
      <c r="AH175" s="160"/>
      <c r="AI175" s="160"/>
      <c r="AJ175" s="160"/>
      <c r="AK175" s="160"/>
      <c r="AL175" s="160"/>
      <c r="AM175" s="160"/>
      <c r="AN175" s="160"/>
      <c r="AO175" s="160"/>
      <c r="AP175" s="160"/>
      <c r="AQ175" s="160"/>
      <c r="AR175" s="160"/>
      <c r="AS175" s="160"/>
      <c r="AT175" s="160"/>
      <c r="AU175" s="160"/>
      <c r="AV175" s="160"/>
      <c r="AW175" s="160"/>
      <c r="AX175" s="160"/>
      <c r="AY175" s="160"/>
      <c r="AZ175" s="160"/>
      <c r="BA175" s="160"/>
      <c r="BB175" s="160"/>
      <c r="BC175" s="160"/>
      <c r="BD175" s="160"/>
      <c r="BE175" s="160"/>
      <c r="BF175" s="160"/>
      <c r="BG175" s="160"/>
    </row>
    <row r="176" spans="2:59" x14ac:dyDescent="0.2">
      <c r="B176" s="68" t="str">
        <f>IF(Capacity!B69="","",Capacity!B69)</f>
        <v/>
      </c>
      <c r="C176" s="223" t="str">
        <f>IF(B176="","",Capacity!E69)</f>
        <v/>
      </c>
      <c r="D176" s="317" t="str">
        <f>IF(B176="","",Capacity!F69)</f>
        <v/>
      </c>
      <c r="E176" s="223" t="str">
        <f>IF(B176="","",IF(COUNTIF(H176:BG176,"X")=0,SUM('Capacity calculation (hide)'!H57:BG57),COUNTIF(H176:BG176,"X")))</f>
        <v/>
      </c>
      <c r="F176" s="318" t="str">
        <f>'Capacity calculation (hide)'!BI57</f>
        <v/>
      </c>
      <c r="H176" s="160"/>
      <c r="I176" s="160"/>
      <c r="J176" s="160"/>
      <c r="K176" s="160"/>
      <c r="L176" s="160"/>
      <c r="M176" s="160"/>
      <c r="N176" s="160"/>
      <c r="O176" s="160"/>
      <c r="P176" s="160"/>
      <c r="Q176" s="160"/>
      <c r="R176" s="160"/>
      <c r="S176" s="160"/>
      <c r="T176" s="160"/>
      <c r="U176" s="160"/>
      <c r="V176" s="160"/>
      <c r="W176" s="160"/>
      <c r="X176" s="160"/>
      <c r="Y176" s="160"/>
      <c r="Z176" s="160"/>
      <c r="AA176" s="160"/>
      <c r="AB176" s="160"/>
      <c r="AC176" s="160"/>
      <c r="AD176" s="160"/>
      <c r="AE176" s="160"/>
      <c r="AF176" s="160"/>
      <c r="AG176" s="160"/>
      <c r="AH176" s="160"/>
      <c r="AI176" s="160"/>
      <c r="AJ176" s="160"/>
      <c r="AK176" s="160"/>
      <c r="AL176" s="160"/>
      <c r="AM176" s="160"/>
      <c r="AN176" s="160"/>
      <c r="AO176" s="160"/>
      <c r="AP176" s="160"/>
      <c r="AQ176" s="160"/>
      <c r="AR176" s="160"/>
      <c r="AS176" s="160"/>
      <c r="AT176" s="160"/>
      <c r="AU176" s="160"/>
      <c r="AV176" s="160"/>
      <c r="AW176" s="160"/>
      <c r="AX176" s="160"/>
      <c r="AY176" s="160"/>
      <c r="AZ176" s="160"/>
      <c r="BA176" s="160"/>
      <c r="BB176" s="160"/>
      <c r="BC176" s="160"/>
      <c r="BD176" s="160"/>
      <c r="BE176" s="160"/>
      <c r="BF176" s="160"/>
      <c r="BG176" s="160"/>
    </row>
    <row r="177" spans="2:59" x14ac:dyDescent="0.2">
      <c r="B177" s="68" t="str">
        <f>IF(Capacity!B70="","",Capacity!B70)</f>
        <v/>
      </c>
      <c r="C177" s="223" t="str">
        <f>IF(B177="","",Capacity!E70)</f>
        <v/>
      </c>
      <c r="D177" s="317" t="str">
        <f>IF(B177="","",Capacity!F70)</f>
        <v/>
      </c>
      <c r="E177" s="223" t="str">
        <f>IF(B177="","",IF(COUNTIF(H177:BG177,"X")=0,SUM('Capacity calculation (hide)'!H58:BG58),COUNTIF(H177:BG177,"X")))</f>
        <v/>
      </c>
      <c r="F177" s="318" t="str">
        <f>'Capacity calculation (hide)'!BI58</f>
        <v/>
      </c>
      <c r="H177" s="160"/>
      <c r="I177" s="160"/>
      <c r="J177" s="160"/>
      <c r="K177" s="160"/>
      <c r="L177" s="160"/>
      <c r="M177" s="160"/>
      <c r="N177" s="160"/>
      <c r="O177" s="160"/>
      <c r="P177" s="160"/>
      <c r="Q177" s="160"/>
      <c r="R177" s="160"/>
      <c r="S177" s="160"/>
      <c r="T177" s="160"/>
      <c r="U177" s="160"/>
      <c r="V177" s="160"/>
      <c r="W177" s="160"/>
      <c r="X177" s="160"/>
      <c r="Y177" s="160"/>
      <c r="Z177" s="160"/>
      <c r="AA177" s="160"/>
      <c r="AB177" s="160"/>
      <c r="AC177" s="160"/>
      <c r="AD177" s="160"/>
      <c r="AE177" s="160"/>
      <c r="AF177" s="160"/>
      <c r="AG177" s="160"/>
      <c r="AH177" s="160"/>
      <c r="AI177" s="160"/>
      <c r="AJ177" s="160"/>
      <c r="AK177" s="160"/>
      <c r="AL177" s="160"/>
      <c r="AM177" s="160"/>
      <c r="AN177" s="160"/>
      <c r="AO177" s="160"/>
      <c r="AP177" s="160"/>
      <c r="AQ177" s="160"/>
      <c r="AR177" s="160"/>
      <c r="AS177" s="160"/>
      <c r="AT177" s="160"/>
      <c r="AU177" s="160"/>
      <c r="AV177" s="160"/>
      <c r="AW177" s="160"/>
      <c r="AX177" s="160"/>
      <c r="AY177" s="160"/>
      <c r="AZ177" s="160"/>
      <c r="BA177" s="160"/>
      <c r="BB177" s="160"/>
      <c r="BC177" s="160"/>
      <c r="BD177" s="160"/>
      <c r="BE177" s="160"/>
      <c r="BF177" s="160"/>
      <c r="BG177" s="160"/>
    </row>
    <row r="178" spans="2:59" x14ac:dyDescent="0.2">
      <c r="B178" s="68" t="str">
        <f>IF(Capacity!B71="","",Capacity!B71)</f>
        <v/>
      </c>
      <c r="C178" s="223" t="str">
        <f>IF(B178="","",Capacity!E71)</f>
        <v/>
      </c>
      <c r="D178" s="317" t="str">
        <f>IF(B178="","",Capacity!F71)</f>
        <v/>
      </c>
      <c r="E178" s="223" t="str">
        <f>IF(B178="","",IF(COUNTIF(H178:BG178,"X")=0,SUM('Capacity calculation (hide)'!H59:BG59),COUNTIF(H178:BG178,"X")))</f>
        <v/>
      </c>
      <c r="F178" s="318" t="str">
        <f>'Capacity calculation (hide)'!BI59</f>
        <v/>
      </c>
      <c r="H178" s="160"/>
      <c r="I178" s="160"/>
      <c r="J178" s="160"/>
      <c r="K178" s="160"/>
      <c r="L178" s="160"/>
      <c r="M178" s="160"/>
      <c r="N178" s="160"/>
      <c r="O178" s="160"/>
      <c r="P178" s="160"/>
      <c r="Q178" s="160"/>
      <c r="R178" s="160"/>
      <c r="S178" s="160"/>
      <c r="T178" s="160"/>
      <c r="U178" s="160"/>
      <c r="V178" s="160"/>
      <c r="W178" s="160"/>
      <c r="X178" s="160"/>
      <c r="Y178" s="160"/>
      <c r="Z178" s="160"/>
      <c r="AA178" s="160"/>
      <c r="AB178" s="160"/>
      <c r="AC178" s="160"/>
      <c r="AD178" s="160"/>
      <c r="AE178" s="160"/>
      <c r="AF178" s="160"/>
      <c r="AG178" s="160"/>
      <c r="AH178" s="160"/>
      <c r="AI178" s="160"/>
      <c r="AJ178" s="160"/>
      <c r="AK178" s="160"/>
      <c r="AL178" s="160"/>
      <c r="AM178" s="160"/>
      <c r="AN178" s="160"/>
      <c r="AO178" s="160"/>
      <c r="AP178" s="160"/>
      <c r="AQ178" s="160"/>
      <c r="AR178" s="160"/>
      <c r="AS178" s="160"/>
      <c r="AT178" s="160"/>
      <c r="AU178" s="160"/>
      <c r="AV178" s="160"/>
      <c r="AW178" s="160"/>
      <c r="AX178" s="160"/>
      <c r="AY178" s="160"/>
      <c r="AZ178" s="160"/>
      <c r="BA178" s="160"/>
      <c r="BB178" s="160"/>
      <c r="BC178" s="160"/>
      <c r="BD178" s="160"/>
      <c r="BE178" s="160"/>
      <c r="BF178" s="160"/>
      <c r="BG178" s="160"/>
    </row>
    <row r="179" spans="2:59" x14ac:dyDescent="0.2">
      <c r="B179" s="68" t="str">
        <f>IF(Capacity!B72="","",Capacity!B72)</f>
        <v/>
      </c>
      <c r="C179" s="223" t="str">
        <f>IF(B179="","",Capacity!E72)</f>
        <v/>
      </c>
      <c r="D179" s="317" t="str">
        <f>IF(B179="","",Capacity!F72)</f>
        <v/>
      </c>
      <c r="E179" s="223" t="str">
        <f>IF(B179="","",IF(COUNTIF(H179:BG179,"X")=0,SUM('Capacity calculation (hide)'!H60:BG60),COUNTIF(H179:BG179,"X")))</f>
        <v/>
      </c>
      <c r="F179" s="318" t="str">
        <f>'Capacity calculation (hide)'!BI60</f>
        <v/>
      </c>
      <c r="H179" s="160"/>
      <c r="I179" s="160"/>
      <c r="J179" s="160"/>
      <c r="K179" s="160"/>
      <c r="L179" s="160"/>
      <c r="M179" s="160"/>
      <c r="N179" s="160"/>
      <c r="O179" s="160"/>
      <c r="P179" s="160"/>
      <c r="Q179" s="160"/>
      <c r="R179" s="160"/>
      <c r="S179" s="160"/>
      <c r="T179" s="160"/>
      <c r="U179" s="160"/>
      <c r="V179" s="160"/>
      <c r="W179" s="160"/>
      <c r="X179" s="160"/>
      <c r="Y179" s="160"/>
      <c r="Z179" s="160"/>
      <c r="AA179" s="160"/>
      <c r="AB179" s="160"/>
      <c r="AC179" s="160"/>
      <c r="AD179" s="160"/>
      <c r="AE179" s="160"/>
      <c r="AF179" s="160"/>
      <c r="AG179" s="160"/>
      <c r="AH179" s="160"/>
      <c r="AI179" s="160"/>
      <c r="AJ179" s="160"/>
      <c r="AK179" s="160"/>
      <c r="AL179" s="160"/>
      <c r="AM179" s="160"/>
      <c r="AN179" s="160"/>
      <c r="AO179" s="160"/>
      <c r="AP179" s="160"/>
      <c r="AQ179" s="160"/>
      <c r="AR179" s="160"/>
      <c r="AS179" s="160"/>
      <c r="AT179" s="160"/>
      <c r="AU179" s="160"/>
      <c r="AV179" s="160"/>
      <c r="AW179" s="160"/>
      <c r="AX179" s="160"/>
      <c r="AY179" s="160"/>
      <c r="AZ179" s="160"/>
      <c r="BA179" s="160"/>
      <c r="BB179" s="160"/>
      <c r="BC179" s="160"/>
      <c r="BD179" s="160"/>
      <c r="BE179" s="160"/>
      <c r="BF179" s="160"/>
      <c r="BG179" s="160"/>
    </row>
    <row r="180" spans="2:59" x14ac:dyDescent="0.2">
      <c r="B180" s="68" t="str">
        <f>IF(Capacity!B73="","",Capacity!B73)</f>
        <v/>
      </c>
      <c r="C180" s="223" t="str">
        <f>IF(B180="","",Capacity!E73)</f>
        <v/>
      </c>
      <c r="D180" s="317" t="str">
        <f>IF(B180="","",Capacity!F73)</f>
        <v/>
      </c>
      <c r="E180" s="223" t="str">
        <f>IF(B180="","",IF(COUNTIF(H180:BG180,"X")=0,SUM('Capacity calculation (hide)'!H61:BG61),COUNTIF(H180:BG180,"X")))</f>
        <v/>
      </c>
      <c r="F180" s="318" t="str">
        <f>'Capacity calculation (hide)'!BI61</f>
        <v/>
      </c>
      <c r="H180" s="160"/>
      <c r="I180" s="160"/>
      <c r="J180" s="160"/>
      <c r="K180" s="160"/>
      <c r="L180" s="160"/>
      <c r="M180" s="160"/>
      <c r="N180" s="160"/>
      <c r="O180" s="160"/>
      <c r="P180" s="160"/>
      <c r="Q180" s="160"/>
      <c r="R180" s="160"/>
      <c r="S180" s="160"/>
      <c r="T180" s="160"/>
      <c r="U180" s="160"/>
      <c r="V180" s="160"/>
      <c r="W180" s="160"/>
      <c r="X180" s="160"/>
      <c r="Y180" s="160"/>
      <c r="Z180" s="160"/>
      <c r="AA180" s="160"/>
      <c r="AB180" s="160"/>
      <c r="AC180" s="160"/>
      <c r="AD180" s="160"/>
      <c r="AE180" s="160"/>
      <c r="AF180" s="160"/>
      <c r="AG180" s="160"/>
      <c r="AH180" s="160"/>
      <c r="AI180" s="160"/>
      <c r="AJ180" s="160"/>
      <c r="AK180" s="160"/>
      <c r="AL180" s="160"/>
      <c r="AM180" s="160"/>
      <c r="AN180" s="160"/>
      <c r="AO180" s="160"/>
      <c r="AP180" s="160"/>
      <c r="AQ180" s="160"/>
      <c r="AR180" s="160"/>
      <c r="AS180" s="160"/>
      <c r="AT180" s="160"/>
      <c r="AU180" s="160"/>
      <c r="AV180" s="160"/>
      <c r="AW180" s="160"/>
      <c r="AX180" s="160"/>
      <c r="AY180" s="160"/>
      <c r="AZ180" s="160"/>
      <c r="BA180" s="160"/>
      <c r="BB180" s="160"/>
      <c r="BC180" s="160"/>
      <c r="BD180" s="160"/>
      <c r="BE180" s="160"/>
      <c r="BF180" s="160"/>
      <c r="BG180" s="160"/>
    </row>
    <row r="181" spans="2:59" x14ac:dyDescent="0.2">
      <c r="B181" s="68" t="str">
        <f>IF(Capacity!B74="","",Capacity!B74)</f>
        <v/>
      </c>
      <c r="C181" s="223" t="str">
        <f>IF(B181="","",Capacity!E74)</f>
        <v/>
      </c>
      <c r="D181" s="317" t="str">
        <f>IF(B181="","",Capacity!F74)</f>
        <v/>
      </c>
      <c r="E181" s="223" t="str">
        <f>IF(B181="","",IF(COUNTIF(H181:BG181,"X")=0,SUM('Capacity calculation (hide)'!H62:BG62),COUNTIF(H181:BG181,"X")))</f>
        <v/>
      </c>
      <c r="F181" s="318" t="str">
        <f>'Capacity calculation (hide)'!BI62</f>
        <v/>
      </c>
      <c r="H181" s="160"/>
      <c r="I181" s="160"/>
      <c r="J181" s="160"/>
      <c r="K181" s="160"/>
      <c r="L181" s="160"/>
      <c r="M181" s="160"/>
      <c r="N181" s="160"/>
      <c r="O181" s="160"/>
      <c r="P181" s="160"/>
      <c r="Q181" s="160"/>
      <c r="R181" s="160"/>
      <c r="S181" s="160"/>
      <c r="T181" s="160"/>
      <c r="U181" s="160"/>
      <c r="V181" s="160"/>
      <c r="W181" s="160"/>
      <c r="X181" s="160"/>
      <c r="Y181" s="160"/>
      <c r="Z181" s="160"/>
      <c r="AA181" s="160"/>
      <c r="AB181" s="160"/>
      <c r="AC181" s="160"/>
      <c r="AD181" s="160"/>
      <c r="AE181" s="160"/>
      <c r="AF181" s="160"/>
      <c r="AG181" s="160"/>
      <c r="AH181" s="160"/>
      <c r="AI181" s="160"/>
      <c r="AJ181" s="160"/>
      <c r="AK181" s="160"/>
      <c r="AL181" s="160"/>
      <c r="AM181" s="160"/>
      <c r="AN181" s="160"/>
      <c r="AO181" s="160"/>
      <c r="AP181" s="160"/>
      <c r="AQ181" s="160"/>
      <c r="AR181" s="160"/>
      <c r="AS181" s="160"/>
      <c r="AT181" s="160"/>
      <c r="AU181" s="160"/>
      <c r="AV181" s="160"/>
      <c r="AW181" s="160"/>
      <c r="AX181" s="160"/>
      <c r="AY181" s="160"/>
      <c r="AZ181" s="160"/>
      <c r="BA181" s="160"/>
      <c r="BB181" s="160"/>
      <c r="BC181" s="160"/>
      <c r="BD181" s="160"/>
      <c r="BE181" s="160"/>
      <c r="BF181" s="160"/>
      <c r="BG181" s="160"/>
    </row>
    <row r="182" spans="2:59" x14ac:dyDescent="0.2">
      <c r="B182" s="68" t="str">
        <f>IF(Capacity!B75="","",Capacity!B75)</f>
        <v/>
      </c>
      <c r="C182" s="223" t="str">
        <f>IF(B182="","",Capacity!E75)</f>
        <v/>
      </c>
      <c r="D182" s="317" t="str">
        <f>IF(B182="","",Capacity!F75)</f>
        <v/>
      </c>
      <c r="E182" s="223" t="str">
        <f>IF(B182="","",IF(COUNTIF(H182:BG182,"X")=0,SUM('Capacity calculation (hide)'!H63:BG63),COUNTIF(H182:BG182,"X")))</f>
        <v/>
      </c>
      <c r="F182" s="318" t="str">
        <f>'Capacity calculation (hide)'!BI63</f>
        <v/>
      </c>
      <c r="H182" s="160"/>
      <c r="I182" s="160"/>
      <c r="J182" s="160"/>
      <c r="K182" s="160"/>
      <c r="L182" s="160"/>
      <c r="M182" s="160"/>
      <c r="N182" s="160"/>
      <c r="O182" s="160"/>
      <c r="P182" s="160"/>
      <c r="Q182" s="160"/>
      <c r="R182" s="160"/>
      <c r="S182" s="160"/>
      <c r="T182" s="160"/>
      <c r="U182" s="160"/>
      <c r="V182" s="160"/>
      <c r="W182" s="160"/>
      <c r="X182" s="160"/>
      <c r="Y182" s="160"/>
      <c r="Z182" s="160"/>
      <c r="AA182" s="160"/>
      <c r="AB182" s="160"/>
      <c r="AC182" s="160"/>
      <c r="AD182" s="160"/>
      <c r="AE182" s="160"/>
      <c r="AF182" s="160"/>
      <c r="AG182" s="160"/>
      <c r="AH182" s="160"/>
      <c r="AI182" s="160"/>
      <c r="AJ182" s="160"/>
      <c r="AK182" s="160"/>
      <c r="AL182" s="160"/>
      <c r="AM182" s="160"/>
      <c r="AN182" s="160"/>
      <c r="AO182" s="160"/>
      <c r="AP182" s="160"/>
      <c r="AQ182" s="160"/>
      <c r="AR182" s="160"/>
      <c r="AS182" s="160"/>
      <c r="AT182" s="160"/>
      <c r="AU182" s="160"/>
      <c r="AV182" s="160"/>
      <c r="AW182" s="160"/>
      <c r="AX182" s="160"/>
      <c r="AY182" s="160"/>
      <c r="AZ182" s="160"/>
      <c r="BA182" s="160"/>
      <c r="BB182" s="160"/>
      <c r="BC182" s="160"/>
      <c r="BD182" s="160"/>
      <c r="BE182" s="160"/>
      <c r="BF182" s="160"/>
      <c r="BG182" s="160"/>
    </row>
    <row r="183" spans="2:59" x14ac:dyDescent="0.2">
      <c r="B183" s="68" t="str">
        <f>IF(Capacity!B76="","",Capacity!B76)</f>
        <v/>
      </c>
      <c r="C183" s="223" t="str">
        <f>IF(B183="","",Capacity!E76)</f>
        <v/>
      </c>
      <c r="D183" s="317" t="str">
        <f>IF(B183="","",Capacity!F76)</f>
        <v/>
      </c>
      <c r="E183" s="223" t="str">
        <f>IF(B183="","",IF(COUNTIF(H183:BG183,"X")=0,SUM('Capacity calculation (hide)'!H64:BG64),COUNTIF(H183:BG183,"X")))</f>
        <v/>
      </c>
      <c r="F183" s="318" t="str">
        <f>'Capacity calculation (hide)'!BI64</f>
        <v/>
      </c>
      <c r="H183" s="160"/>
      <c r="I183" s="160"/>
      <c r="J183" s="160"/>
      <c r="K183" s="160"/>
      <c r="L183" s="160"/>
      <c r="M183" s="160"/>
      <c r="N183" s="160"/>
      <c r="O183" s="160"/>
      <c r="P183" s="160"/>
      <c r="Q183" s="160"/>
      <c r="R183" s="160"/>
      <c r="S183" s="160"/>
      <c r="T183" s="160"/>
      <c r="U183" s="160"/>
      <c r="V183" s="160"/>
      <c r="W183" s="160"/>
      <c r="X183" s="160"/>
      <c r="Y183" s="160"/>
      <c r="Z183" s="160"/>
      <c r="AA183" s="160"/>
      <c r="AB183" s="160"/>
      <c r="AC183" s="160"/>
      <c r="AD183" s="160"/>
      <c r="AE183" s="160"/>
      <c r="AF183" s="160"/>
      <c r="AG183" s="160"/>
      <c r="AH183" s="160"/>
      <c r="AI183" s="160"/>
      <c r="AJ183" s="160"/>
      <c r="AK183" s="160"/>
      <c r="AL183" s="160"/>
      <c r="AM183" s="160"/>
      <c r="AN183" s="160"/>
      <c r="AO183" s="160"/>
      <c r="AP183" s="160"/>
      <c r="AQ183" s="160"/>
      <c r="AR183" s="160"/>
      <c r="AS183" s="160"/>
      <c r="AT183" s="160"/>
      <c r="AU183" s="160"/>
      <c r="AV183" s="160"/>
      <c r="AW183" s="160"/>
      <c r="AX183" s="160"/>
      <c r="AY183" s="160"/>
      <c r="AZ183" s="160"/>
      <c r="BA183" s="160"/>
      <c r="BB183" s="160"/>
      <c r="BC183" s="160"/>
      <c r="BD183" s="160"/>
      <c r="BE183" s="160"/>
      <c r="BF183" s="160"/>
      <c r="BG183" s="160"/>
    </row>
    <row r="184" spans="2:59" x14ac:dyDescent="0.2">
      <c r="B184" s="68" t="str">
        <f>IF(Capacity!B77="","",Capacity!B77)</f>
        <v/>
      </c>
      <c r="C184" s="223" t="str">
        <f>IF(B184="","",Capacity!E77)</f>
        <v/>
      </c>
      <c r="D184" s="317" t="str">
        <f>IF(B184="","",Capacity!F77)</f>
        <v/>
      </c>
      <c r="E184" s="223" t="str">
        <f>IF(B184="","",IF(COUNTIF(H184:BG184,"X")=0,SUM('Capacity calculation (hide)'!H65:BG65),COUNTIF(H184:BG184,"X")))</f>
        <v/>
      </c>
      <c r="F184" s="318" t="str">
        <f>'Capacity calculation (hide)'!BI65</f>
        <v/>
      </c>
      <c r="H184" s="160"/>
      <c r="I184" s="160"/>
      <c r="J184" s="160"/>
      <c r="K184" s="160"/>
      <c r="L184" s="160"/>
      <c r="M184" s="160"/>
      <c r="N184" s="160"/>
      <c r="O184" s="160"/>
      <c r="P184" s="160"/>
      <c r="Q184" s="160"/>
      <c r="R184" s="160"/>
      <c r="S184" s="160"/>
      <c r="T184" s="160"/>
      <c r="U184" s="160"/>
      <c r="V184" s="160"/>
      <c r="W184" s="160"/>
      <c r="X184" s="160"/>
      <c r="Y184" s="160"/>
      <c r="Z184" s="160"/>
      <c r="AA184" s="160"/>
      <c r="AB184" s="160"/>
      <c r="AC184" s="160"/>
      <c r="AD184" s="160"/>
      <c r="AE184" s="160"/>
      <c r="AF184" s="160"/>
      <c r="AG184" s="160"/>
      <c r="AH184" s="160"/>
      <c r="AI184" s="160"/>
      <c r="AJ184" s="160"/>
      <c r="AK184" s="160"/>
      <c r="AL184" s="160"/>
      <c r="AM184" s="160"/>
      <c r="AN184" s="160"/>
      <c r="AO184" s="160"/>
      <c r="AP184" s="160"/>
      <c r="AQ184" s="160"/>
      <c r="AR184" s="160"/>
      <c r="AS184" s="160"/>
      <c r="AT184" s="160"/>
      <c r="AU184" s="160"/>
      <c r="AV184" s="160"/>
      <c r="AW184" s="160"/>
      <c r="AX184" s="160"/>
      <c r="AY184" s="160"/>
      <c r="AZ184" s="160"/>
      <c r="BA184" s="160"/>
      <c r="BB184" s="160"/>
      <c r="BC184" s="160"/>
      <c r="BD184" s="160"/>
      <c r="BE184" s="160"/>
      <c r="BF184" s="160"/>
      <c r="BG184" s="160"/>
    </row>
    <row r="185" spans="2:59" x14ac:dyDescent="0.2">
      <c r="B185" s="68" t="str">
        <f>IF(Capacity!B78="","",Capacity!B78)</f>
        <v/>
      </c>
      <c r="C185" s="223" t="str">
        <f>IF(B185="","",Capacity!E78)</f>
        <v/>
      </c>
      <c r="D185" s="317" t="str">
        <f>IF(B185="","",Capacity!F78)</f>
        <v/>
      </c>
      <c r="E185" s="223" t="str">
        <f>IF(B185="","",IF(COUNTIF(H185:BG185,"X")=0,SUM('Capacity calculation (hide)'!H66:BG66),COUNTIF(H185:BG185,"X")))</f>
        <v/>
      </c>
      <c r="F185" s="318" t="str">
        <f>'Capacity calculation (hide)'!BI66</f>
        <v/>
      </c>
      <c r="H185" s="160"/>
      <c r="I185" s="160"/>
      <c r="J185" s="160"/>
      <c r="K185" s="160"/>
      <c r="L185" s="160"/>
      <c r="M185" s="160"/>
      <c r="N185" s="160"/>
      <c r="O185" s="160"/>
      <c r="P185" s="160"/>
      <c r="Q185" s="160"/>
      <c r="R185" s="160"/>
      <c r="S185" s="160"/>
      <c r="T185" s="160"/>
      <c r="U185" s="160"/>
      <c r="V185" s="160"/>
      <c r="W185" s="160"/>
      <c r="X185" s="160"/>
      <c r="Y185" s="160"/>
      <c r="Z185" s="160"/>
      <c r="AA185" s="160"/>
      <c r="AB185" s="160"/>
      <c r="AC185" s="160"/>
      <c r="AD185" s="160"/>
      <c r="AE185" s="160"/>
      <c r="AF185" s="160"/>
      <c r="AG185" s="160"/>
      <c r="AH185" s="160"/>
      <c r="AI185" s="160"/>
      <c r="AJ185" s="160"/>
      <c r="AK185" s="160"/>
      <c r="AL185" s="160"/>
      <c r="AM185" s="160"/>
      <c r="AN185" s="160"/>
      <c r="AO185" s="160"/>
      <c r="AP185" s="160"/>
      <c r="AQ185" s="160"/>
      <c r="AR185" s="160"/>
      <c r="AS185" s="160"/>
      <c r="AT185" s="160"/>
      <c r="AU185" s="160"/>
      <c r="AV185" s="160"/>
      <c r="AW185" s="160"/>
      <c r="AX185" s="160"/>
      <c r="AY185" s="160"/>
      <c r="AZ185" s="160"/>
      <c r="BA185" s="160"/>
      <c r="BB185" s="160"/>
      <c r="BC185" s="160"/>
      <c r="BD185" s="160"/>
      <c r="BE185" s="160"/>
      <c r="BF185" s="160"/>
      <c r="BG185" s="160"/>
    </row>
    <row r="186" spans="2:59" x14ac:dyDescent="0.2">
      <c r="B186" s="68" t="str">
        <f>IF(Capacity!B79="","",Capacity!B79)</f>
        <v/>
      </c>
      <c r="C186" s="223" t="str">
        <f>IF(B186="","",Capacity!E79)</f>
        <v/>
      </c>
      <c r="D186" s="317" t="str">
        <f>IF(B186="","",Capacity!F79)</f>
        <v/>
      </c>
      <c r="E186" s="223" t="str">
        <f>IF(B186="","",IF(COUNTIF(H186:BG186,"X")=0,SUM('Capacity calculation (hide)'!H67:BG67),COUNTIF(H186:BG186,"X")))</f>
        <v/>
      </c>
      <c r="F186" s="318" t="str">
        <f>'Capacity calculation (hide)'!BI67</f>
        <v/>
      </c>
      <c r="H186" s="160"/>
      <c r="I186" s="160"/>
      <c r="J186" s="160"/>
      <c r="K186" s="160"/>
      <c r="L186" s="160"/>
      <c r="M186" s="160"/>
      <c r="N186" s="160"/>
      <c r="O186" s="160"/>
      <c r="P186" s="160"/>
      <c r="Q186" s="160"/>
      <c r="R186" s="160"/>
      <c r="S186" s="160"/>
      <c r="T186" s="160"/>
      <c r="U186" s="160"/>
      <c r="V186" s="160"/>
      <c r="W186" s="160"/>
      <c r="X186" s="160"/>
      <c r="Y186" s="160"/>
      <c r="Z186" s="160"/>
      <c r="AA186" s="160"/>
      <c r="AB186" s="160"/>
      <c r="AC186" s="160"/>
      <c r="AD186" s="160"/>
      <c r="AE186" s="160"/>
      <c r="AF186" s="160"/>
      <c r="AG186" s="160"/>
      <c r="AH186" s="160"/>
      <c r="AI186" s="160"/>
      <c r="AJ186" s="160"/>
      <c r="AK186" s="160"/>
      <c r="AL186" s="160"/>
      <c r="AM186" s="160"/>
      <c r="AN186" s="160"/>
      <c r="AO186" s="160"/>
      <c r="AP186" s="160"/>
      <c r="AQ186" s="160"/>
      <c r="AR186" s="160"/>
      <c r="AS186" s="160"/>
      <c r="AT186" s="160"/>
      <c r="AU186" s="160"/>
      <c r="AV186" s="160"/>
      <c r="AW186" s="160"/>
      <c r="AX186" s="160"/>
      <c r="AY186" s="160"/>
      <c r="AZ186" s="160"/>
      <c r="BA186" s="160"/>
      <c r="BB186" s="160"/>
      <c r="BC186" s="160"/>
      <c r="BD186" s="160"/>
      <c r="BE186" s="160"/>
      <c r="BF186" s="160"/>
      <c r="BG186" s="160"/>
    </row>
    <row r="187" spans="2:59" x14ac:dyDescent="0.2">
      <c r="B187" s="68" t="str">
        <f>IF(Capacity!B80="","",Capacity!B80)</f>
        <v/>
      </c>
      <c r="C187" s="223" t="str">
        <f>IF(B187="","",Capacity!E80)</f>
        <v/>
      </c>
      <c r="D187" s="317" t="str">
        <f>IF(B187="","",Capacity!F80)</f>
        <v/>
      </c>
      <c r="E187" s="223" t="str">
        <f>IF(B187="","",IF(COUNTIF(H187:BG187,"X")=0,SUM('Capacity calculation (hide)'!H68:BG68),COUNTIF(H187:BG187,"X")))</f>
        <v/>
      </c>
      <c r="F187" s="318" t="str">
        <f>'Capacity calculation (hide)'!BI68</f>
        <v/>
      </c>
      <c r="H187" s="160"/>
      <c r="I187" s="160"/>
      <c r="J187" s="160"/>
      <c r="K187" s="160"/>
      <c r="L187" s="160"/>
      <c r="M187" s="160"/>
      <c r="N187" s="160"/>
      <c r="O187" s="160"/>
      <c r="P187" s="160"/>
      <c r="Q187" s="160"/>
      <c r="R187" s="160"/>
      <c r="S187" s="160"/>
      <c r="T187" s="160"/>
      <c r="U187" s="160"/>
      <c r="V187" s="160"/>
      <c r="W187" s="160"/>
      <c r="X187" s="160"/>
      <c r="Y187" s="160"/>
      <c r="Z187" s="160"/>
      <c r="AA187" s="160"/>
      <c r="AB187" s="160"/>
      <c r="AC187" s="160"/>
      <c r="AD187" s="160"/>
      <c r="AE187" s="160"/>
      <c r="AF187" s="160"/>
      <c r="AG187" s="160"/>
      <c r="AH187" s="160"/>
      <c r="AI187" s="160"/>
      <c r="AJ187" s="160"/>
      <c r="AK187" s="160"/>
      <c r="AL187" s="160"/>
      <c r="AM187" s="160"/>
      <c r="AN187" s="160"/>
      <c r="AO187" s="160"/>
      <c r="AP187" s="160"/>
      <c r="AQ187" s="160"/>
      <c r="AR187" s="160"/>
      <c r="AS187" s="160"/>
      <c r="AT187" s="160"/>
      <c r="AU187" s="160"/>
      <c r="AV187" s="160"/>
      <c r="AW187" s="160"/>
      <c r="AX187" s="160"/>
      <c r="AY187" s="160"/>
      <c r="AZ187" s="160"/>
      <c r="BA187" s="160"/>
      <c r="BB187" s="160"/>
      <c r="BC187" s="160"/>
      <c r="BD187" s="160"/>
      <c r="BE187" s="160"/>
      <c r="BF187" s="160"/>
      <c r="BG187" s="160"/>
    </row>
    <row r="188" spans="2:59" x14ac:dyDescent="0.2">
      <c r="B188" s="68" t="str">
        <f>IF(Capacity!B81="","",Capacity!B81)</f>
        <v/>
      </c>
      <c r="C188" s="223" t="str">
        <f>IF(B188="","",Capacity!E81)</f>
        <v/>
      </c>
      <c r="D188" s="317" t="str">
        <f>IF(B188="","",Capacity!F81)</f>
        <v/>
      </c>
      <c r="E188" s="223" t="str">
        <f>IF(B188="","",IF(COUNTIF(H188:BG188,"X")=0,SUM('Capacity calculation (hide)'!H69:BG69),COUNTIF(H188:BG188,"X")))</f>
        <v/>
      </c>
      <c r="F188" s="318" t="str">
        <f>'Capacity calculation (hide)'!BI69</f>
        <v/>
      </c>
      <c r="H188" s="160"/>
      <c r="I188" s="160"/>
      <c r="J188" s="160"/>
      <c r="K188" s="160"/>
      <c r="L188" s="160"/>
      <c r="M188" s="160"/>
      <c r="N188" s="160"/>
      <c r="O188" s="160"/>
      <c r="P188" s="160"/>
      <c r="Q188" s="160"/>
      <c r="R188" s="160"/>
      <c r="S188" s="160"/>
      <c r="T188" s="160"/>
      <c r="U188" s="160"/>
      <c r="V188" s="160"/>
      <c r="W188" s="160"/>
      <c r="X188" s="160"/>
      <c r="Y188" s="160"/>
      <c r="Z188" s="160"/>
      <c r="AA188" s="160"/>
      <c r="AB188" s="160"/>
      <c r="AC188" s="160"/>
      <c r="AD188" s="160"/>
      <c r="AE188" s="160"/>
      <c r="AF188" s="160"/>
      <c r="AG188" s="160"/>
      <c r="AH188" s="160"/>
      <c r="AI188" s="160"/>
      <c r="AJ188" s="160"/>
      <c r="AK188" s="160"/>
      <c r="AL188" s="160"/>
      <c r="AM188" s="160"/>
      <c r="AN188" s="160"/>
      <c r="AO188" s="160"/>
      <c r="AP188" s="160"/>
      <c r="AQ188" s="160"/>
      <c r="AR188" s="160"/>
      <c r="AS188" s="160"/>
      <c r="AT188" s="160"/>
      <c r="AU188" s="160"/>
      <c r="AV188" s="160"/>
      <c r="AW188" s="160"/>
      <c r="AX188" s="160"/>
      <c r="AY188" s="160"/>
      <c r="AZ188" s="160"/>
      <c r="BA188" s="160"/>
      <c r="BB188" s="160"/>
      <c r="BC188" s="160"/>
      <c r="BD188" s="160"/>
      <c r="BE188" s="160"/>
      <c r="BF188" s="160"/>
      <c r="BG188" s="160"/>
    </row>
    <row r="189" spans="2:59" x14ac:dyDescent="0.2">
      <c r="B189" s="68" t="str">
        <f>IF(Capacity!B82="","",Capacity!B82)</f>
        <v/>
      </c>
      <c r="C189" s="223" t="str">
        <f>IF(B189="","",Capacity!E82)</f>
        <v/>
      </c>
      <c r="D189" s="317" t="str">
        <f>IF(B189="","",Capacity!F82)</f>
        <v/>
      </c>
      <c r="E189" s="223" t="str">
        <f>IF(B189="","",IF(COUNTIF(H189:BG189,"X")=0,SUM('Capacity calculation (hide)'!H70:BG70),COUNTIF(H189:BG189,"X")))</f>
        <v/>
      </c>
      <c r="F189" s="318" t="str">
        <f>'Capacity calculation (hide)'!BI70</f>
        <v/>
      </c>
      <c r="H189" s="160"/>
      <c r="I189" s="160"/>
      <c r="J189" s="160"/>
      <c r="K189" s="160"/>
      <c r="L189" s="160"/>
      <c r="M189" s="160"/>
      <c r="N189" s="160"/>
      <c r="O189" s="160"/>
      <c r="P189" s="160"/>
      <c r="Q189" s="160"/>
      <c r="R189" s="160"/>
      <c r="S189" s="160"/>
      <c r="T189" s="160"/>
      <c r="U189" s="160"/>
      <c r="V189" s="160"/>
      <c r="W189" s="160"/>
      <c r="X189" s="160"/>
      <c r="Y189" s="160"/>
      <c r="Z189" s="160"/>
      <c r="AA189" s="160"/>
      <c r="AB189" s="160"/>
      <c r="AC189" s="160"/>
      <c r="AD189" s="160"/>
      <c r="AE189" s="160"/>
      <c r="AF189" s="160"/>
      <c r="AG189" s="160"/>
      <c r="AH189" s="160"/>
      <c r="AI189" s="160"/>
      <c r="AJ189" s="160"/>
      <c r="AK189" s="160"/>
      <c r="AL189" s="160"/>
      <c r="AM189" s="160"/>
      <c r="AN189" s="160"/>
      <c r="AO189" s="160"/>
      <c r="AP189" s="160"/>
      <c r="AQ189" s="160"/>
      <c r="AR189" s="160"/>
      <c r="AS189" s="160"/>
      <c r="AT189" s="160"/>
      <c r="AU189" s="160"/>
      <c r="AV189" s="160"/>
      <c r="AW189" s="160"/>
      <c r="AX189" s="160"/>
      <c r="AY189" s="160"/>
      <c r="AZ189" s="160"/>
      <c r="BA189" s="160"/>
      <c r="BB189" s="160"/>
      <c r="BC189" s="160"/>
      <c r="BD189" s="160"/>
      <c r="BE189" s="160"/>
      <c r="BF189" s="160"/>
      <c r="BG189" s="160"/>
    </row>
    <row r="190" spans="2:59" x14ac:dyDescent="0.2">
      <c r="B190" s="68" t="str">
        <f>IF(Capacity!B83="","",Capacity!B83)</f>
        <v/>
      </c>
      <c r="C190" s="223" t="str">
        <f>IF(B190="","",Capacity!E83)</f>
        <v/>
      </c>
      <c r="D190" s="317" t="str">
        <f>IF(B190="","",Capacity!F83)</f>
        <v/>
      </c>
      <c r="E190" s="223" t="str">
        <f>IF(B190="","",IF(COUNTIF(H190:BG190,"X")=0,SUM('Capacity calculation (hide)'!H71:BG71),COUNTIF(H190:BG190,"X")))</f>
        <v/>
      </c>
      <c r="F190" s="318" t="str">
        <f>'Capacity calculation (hide)'!BI71</f>
        <v/>
      </c>
      <c r="H190" s="160"/>
      <c r="I190" s="160"/>
      <c r="J190" s="160"/>
      <c r="K190" s="160"/>
      <c r="L190" s="160"/>
      <c r="M190" s="160"/>
      <c r="N190" s="160"/>
      <c r="O190" s="160"/>
      <c r="P190" s="160"/>
      <c r="Q190" s="160"/>
      <c r="R190" s="160"/>
      <c r="S190" s="160"/>
      <c r="T190" s="160"/>
      <c r="U190" s="160"/>
      <c r="V190" s="160"/>
      <c r="W190" s="160"/>
      <c r="X190" s="160"/>
      <c r="Y190" s="160"/>
      <c r="Z190" s="160"/>
      <c r="AA190" s="160"/>
      <c r="AB190" s="160"/>
      <c r="AC190" s="160"/>
      <c r="AD190" s="160"/>
      <c r="AE190" s="160"/>
      <c r="AF190" s="160"/>
      <c r="AG190" s="160"/>
      <c r="AH190" s="160"/>
      <c r="AI190" s="160"/>
      <c r="AJ190" s="160"/>
      <c r="AK190" s="160"/>
      <c r="AL190" s="160"/>
      <c r="AM190" s="160"/>
      <c r="AN190" s="160"/>
      <c r="AO190" s="160"/>
      <c r="AP190" s="160"/>
      <c r="AQ190" s="160"/>
      <c r="AR190" s="160"/>
      <c r="AS190" s="160"/>
      <c r="AT190" s="160"/>
      <c r="AU190" s="160"/>
      <c r="AV190" s="160"/>
      <c r="AW190" s="160"/>
      <c r="AX190" s="160"/>
      <c r="AY190" s="160"/>
      <c r="AZ190" s="160"/>
      <c r="BA190" s="160"/>
      <c r="BB190" s="160"/>
      <c r="BC190" s="160"/>
      <c r="BD190" s="160"/>
      <c r="BE190" s="160"/>
      <c r="BF190" s="160"/>
      <c r="BG190" s="160"/>
    </row>
    <row r="191" spans="2:59" x14ac:dyDescent="0.2">
      <c r="B191" s="68" t="str">
        <f>IF(Capacity!B84="","",Capacity!B84)</f>
        <v/>
      </c>
      <c r="C191" s="223" t="str">
        <f>IF(B191="","",Capacity!E84)</f>
        <v/>
      </c>
      <c r="D191" s="317" t="str">
        <f>IF(B191="","",Capacity!F84)</f>
        <v/>
      </c>
      <c r="E191" s="223" t="str">
        <f>IF(B191="","",IF(COUNTIF(H191:BG191,"X")=0,SUM('Capacity calculation (hide)'!H72:BG72),COUNTIF(H191:BG191,"X")))</f>
        <v/>
      </c>
      <c r="F191" s="318" t="str">
        <f>'Capacity calculation (hide)'!BI72</f>
        <v/>
      </c>
      <c r="H191" s="160"/>
      <c r="I191" s="160"/>
      <c r="J191" s="160"/>
      <c r="K191" s="160"/>
      <c r="L191" s="160"/>
      <c r="M191" s="160"/>
      <c r="N191" s="160"/>
      <c r="O191" s="160"/>
      <c r="P191" s="160"/>
      <c r="Q191" s="160"/>
      <c r="R191" s="160"/>
      <c r="S191" s="160"/>
      <c r="T191" s="160"/>
      <c r="U191" s="160"/>
      <c r="V191" s="160"/>
      <c r="W191" s="160"/>
      <c r="X191" s="160"/>
      <c r="Y191" s="160"/>
      <c r="Z191" s="160"/>
      <c r="AA191" s="160"/>
      <c r="AB191" s="160"/>
      <c r="AC191" s="160"/>
      <c r="AD191" s="160"/>
      <c r="AE191" s="160"/>
      <c r="AF191" s="160"/>
      <c r="AG191" s="160"/>
      <c r="AH191" s="160"/>
      <c r="AI191" s="160"/>
      <c r="AJ191" s="160"/>
      <c r="AK191" s="160"/>
      <c r="AL191" s="160"/>
      <c r="AM191" s="160"/>
      <c r="AN191" s="160"/>
      <c r="AO191" s="160"/>
      <c r="AP191" s="160"/>
      <c r="AQ191" s="160"/>
      <c r="AR191" s="160"/>
      <c r="AS191" s="160"/>
      <c r="AT191" s="160"/>
      <c r="AU191" s="160"/>
      <c r="AV191" s="160"/>
      <c r="AW191" s="160"/>
      <c r="AX191" s="160"/>
      <c r="AY191" s="160"/>
      <c r="AZ191" s="160"/>
      <c r="BA191" s="160"/>
      <c r="BB191" s="160"/>
      <c r="BC191" s="160"/>
      <c r="BD191" s="160"/>
      <c r="BE191" s="160"/>
      <c r="BF191" s="160"/>
      <c r="BG191" s="160"/>
    </row>
    <row r="192" spans="2:59" x14ac:dyDescent="0.2">
      <c r="B192" s="68" t="str">
        <f>IF(Capacity!B85="","",Capacity!B85)</f>
        <v/>
      </c>
      <c r="C192" s="223" t="str">
        <f>IF(B192="","",Capacity!E85)</f>
        <v/>
      </c>
      <c r="D192" s="317" t="str">
        <f>IF(B192="","",Capacity!F85)</f>
        <v/>
      </c>
      <c r="E192" s="223" t="str">
        <f>IF(B192="","",IF(COUNTIF(H192:BG192,"X")=0,SUM('Capacity calculation (hide)'!H73:BG73),COUNTIF(H192:BG192,"X")))</f>
        <v/>
      </c>
      <c r="F192" s="318" t="str">
        <f>'Capacity calculation (hide)'!BI73</f>
        <v/>
      </c>
      <c r="H192" s="160"/>
      <c r="I192" s="160"/>
      <c r="J192" s="160"/>
      <c r="K192" s="160"/>
      <c r="L192" s="160"/>
      <c r="M192" s="160"/>
      <c r="N192" s="160"/>
      <c r="O192" s="160"/>
      <c r="P192" s="160"/>
      <c r="Q192" s="160"/>
      <c r="R192" s="160"/>
      <c r="S192" s="160"/>
      <c r="T192" s="160"/>
      <c r="U192" s="160"/>
      <c r="V192" s="160"/>
      <c r="W192" s="160"/>
      <c r="X192" s="160"/>
      <c r="Y192" s="160"/>
      <c r="Z192" s="160"/>
      <c r="AA192" s="160"/>
      <c r="AB192" s="160"/>
      <c r="AC192" s="160"/>
      <c r="AD192" s="160"/>
      <c r="AE192" s="160"/>
      <c r="AF192" s="160"/>
      <c r="AG192" s="160"/>
      <c r="AH192" s="160"/>
      <c r="AI192" s="160"/>
      <c r="AJ192" s="160"/>
      <c r="AK192" s="160"/>
      <c r="AL192" s="160"/>
      <c r="AM192" s="160"/>
      <c r="AN192" s="160"/>
      <c r="AO192" s="160"/>
      <c r="AP192" s="160"/>
      <c r="AQ192" s="160"/>
      <c r="AR192" s="160"/>
      <c r="AS192" s="160"/>
      <c r="AT192" s="160"/>
      <c r="AU192" s="160"/>
      <c r="AV192" s="160"/>
      <c r="AW192" s="160"/>
      <c r="AX192" s="160"/>
      <c r="AY192" s="160"/>
      <c r="AZ192" s="160"/>
      <c r="BA192" s="160"/>
      <c r="BB192" s="160"/>
      <c r="BC192" s="160"/>
      <c r="BD192" s="160"/>
      <c r="BE192" s="160"/>
      <c r="BF192" s="160"/>
      <c r="BG192" s="160"/>
    </row>
    <row r="193" spans="2:59" x14ac:dyDescent="0.2">
      <c r="B193" s="68" t="str">
        <f>IF(Capacity!B86="","",Capacity!B86)</f>
        <v/>
      </c>
      <c r="C193" s="223" t="str">
        <f>IF(B193="","",Capacity!E86)</f>
        <v/>
      </c>
      <c r="D193" s="317" t="str">
        <f>IF(B193="","",Capacity!F86)</f>
        <v/>
      </c>
      <c r="E193" s="223" t="str">
        <f>IF(B193="","",IF(COUNTIF(H193:BG193,"X")=0,SUM('Capacity calculation (hide)'!H74:BG74),COUNTIF(H193:BG193,"X")))</f>
        <v/>
      </c>
      <c r="F193" s="318" t="str">
        <f>'Capacity calculation (hide)'!BI74</f>
        <v/>
      </c>
      <c r="H193" s="160"/>
      <c r="I193" s="160"/>
      <c r="J193" s="160"/>
      <c r="K193" s="160"/>
      <c r="L193" s="160"/>
      <c r="M193" s="160"/>
      <c r="N193" s="160"/>
      <c r="O193" s="160"/>
      <c r="P193" s="160"/>
      <c r="Q193" s="160"/>
      <c r="R193" s="160"/>
      <c r="S193" s="160"/>
      <c r="T193" s="160"/>
      <c r="U193" s="160"/>
      <c r="V193" s="160"/>
      <c r="W193" s="160"/>
      <c r="X193" s="160"/>
      <c r="Y193" s="160"/>
      <c r="Z193" s="160"/>
      <c r="AA193" s="160"/>
      <c r="AB193" s="160"/>
      <c r="AC193" s="160"/>
      <c r="AD193" s="160"/>
      <c r="AE193" s="160"/>
      <c r="AF193" s="160"/>
      <c r="AG193" s="160"/>
      <c r="AH193" s="160"/>
      <c r="AI193" s="160"/>
      <c r="AJ193" s="160"/>
      <c r="AK193" s="160"/>
      <c r="AL193" s="160"/>
      <c r="AM193" s="160"/>
      <c r="AN193" s="160"/>
      <c r="AO193" s="160"/>
      <c r="AP193" s="160"/>
      <c r="AQ193" s="160"/>
      <c r="AR193" s="160"/>
      <c r="AS193" s="160"/>
      <c r="AT193" s="160"/>
      <c r="AU193" s="160"/>
      <c r="AV193" s="160"/>
      <c r="AW193" s="160"/>
      <c r="AX193" s="160"/>
      <c r="AY193" s="160"/>
      <c r="AZ193" s="160"/>
      <c r="BA193" s="160"/>
      <c r="BB193" s="160"/>
      <c r="BC193" s="160"/>
      <c r="BD193" s="160"/>
      <c r="BE193" s="160"/>
      <c r="BF193" s="160"/>
      <c r="BG193" s="160"/>
    </row>
    <row r="194" spans="2:59" x14ac:dyDescent="0.2">
      <c r="B194" s="68" t="str">
        <f>IF(Capacity!B87="","",Capacity!B87)</f>
        <v/>
      </c>
      <c r="C194" s="223" t="str">
        <f>IF(B194="","",Capacity!E87)</f>
        <v/>
      </c>
      <c r="D194" s="317" t="str">
        <f>IF(B194="","",Capacity!F87)</f>
        <v/>
      </c>
      <c r="E194" s="223" t="str">
        <f>IF(B194="","",IF(COUNTIF(H194:BG194,"X")=0,SUM('Capacity calculation (hide)'!H75:BG75),COUNTIF(H194:BG194,"X")))</f>
        <v/>
      </c>
      <c r="F194" s="318" t="str">
        <f>'Capacity calculation (hide)'!BI75</f>
        <v/>
      </c>
      <c r="H194" s="160"/>
      <c r="I194" s="160"/>
      <c r="J194" s="160"/>
      <c r="K194" s="160"/>
      <c r="L194" s="160"/>
      <c r="M194" s="160"/>
      <c r="N194" s="160"/>
      <c r="O194" s="160"/>
      <c r="P194" s="160"/>
      <c r="Q194" s="160"/>
      <c r="R194" s="160"/>
      <c r="S194" s="160"/>
      <c r="T194" s="160"/>
      <c r="U194" s="160"/>
      <c r="V194" s="160"/>
      <c r="W194" s="160"/>
      <c r="X194" s="160"/>
      <c r="Y194" s="160"/>
      <c r="Z194" s="160"/>
      <c r="AA194" s="160"/>
      <c r="AB194" s="160"/>
      <c r="AC194" s="160"/>
      <c r="AD194" s="160"/>
      <c r="AE194" s="160"/>
      <c r="AF194" s="160"/>
      <c r="AG194" s="160"/>
      <c r="AH194" s="160"/>
      <c r="AI194" s="160"/>
      <c r="AJ194" s="160"/>
      <c r="AK194" s="160"/>
      <c r="AL194" s="160"/>
      <c r="AM194" s="160"/>
      <c r="AN194" s="160"/>
      <c r="AO194" s="160"/>
      <c r="AP194" s="160"/>
      <c r="AQ194" s="160"/>
      <c r="AR194" s="160"/>
      <c r="AS194" s="160"/>
      <c r="AT194" s="160"/>
      <c r="AU194" s="160"/>
      <c r="AV194" s="160"/>
      <c r="AW194" s="160"/>
      <c r="AX194" s="160"/>
      <c r="AY194" s="160"/>
      <c r="AZ194" s="160"/>
      <c r="BA194" s="160"/>
      <c r="BB194" s="160"/>
      <c r="BC194" s="160"/>
      <c r="BD194" s="160"/>
      <c r="BE194" s="160"/>
      <c r="BF194" s="160"/>
      <c r="BG194" s="160"/>
    </row>
    <row r="195" spans="2:59" x14ac:dyDescent="0.2">
      <c r="B195" s="68" t="str">
        <f>IF(Capacity!B88="","",Capacity!B88)</f>
        <v/>
      </c>
      <c r="C195" s="223" t="str">
        <f>IF(B195="","",Capacity!E88)</f>
        <v/>
      </c>
      <c r="D195" s="317" t="str">
        <f>IF(B195="","",Capacity!F88)</f>
        <v/>
      </c>
      <c r="E195" s="223" t="str">
        <f>IF(B195="","",IF(COUNTIF(H195:BG195,"X")=0,SUM('Capacity calculation (hide)'!H76:BG76),COUNTIF(H195:BG195,"X")))</f>
        <v/>
      </c>
      <c r="F195" s="318" t="str">
        <f>'Capacity calculation (hide)'!BI76</f>
        <v/>
      </c>
      <c r="H195" s="160"/>
      <c r="I195" s="160"/>
      <c r="J195" s="160"/>
      <c r="K195" s="160"/>
      <c r="L195" s="160"/>
      <c r="M195" s="160"/>
      <c r="N195" s="160"/>
      <c r="O195" s="160"/>
      <c r="P195" s="160"/>
      <c r="Q195" s="160"/>
      <c r="R195" s="160"/>
      <c r="S195" s="160"/>
      <c r="T195" s="160"/>
      <c r="U195" s="160"/>
      <c r="V195" s="160"/>
      <c r="W195" s="160"/>
      <c r="X195" s="160"/>
      <c r="Y195" s="160"/>
      <c r="Z195" s="160"/>
      <c r="AA195" s="160"/>
      <c r="AB195" s="160"/>
      <c r="AC195" s="160"/>
      <c r="AD195" s="160"/>
      <c r="AE195" s="160"/>
      <c r="AF195" s="160"/>
      <c r="AG195" s="160"/>
      <c r="AH195" s="160"/>
      <c r="AI195" s="160"/>
      <c r="AJ195" s="160"/>
      <c r="AK195" s="160"/>
      <c r="AL195" s="160"/>
      <c r="AM195" s="160"/>
      <c r="AN195" s="160"/>
      <c r="AO195" s="160"/>
      <c r="AP195" s="160"/>
      <c r="AQ195" s="160"/>
      <c r="AR195" s="160"/>
      <c r="AS195" s="160"/>
      <c r="AT195" s="160"/>
      <c r="AU195" s="160"/>
      <c r="AV195" s="160"/>
      <c r="AW195" s="160"/>
      <c r="AX195" s="160"/>
      <c r="AY195" s="160"/>
      <c r="AZ195" s="160"/>
      <c r="BA195" s="160"/>
      <c r="BB195" s="160"/>
      <c r="BC195" s="160"/>
      <c r="BD195" s="160"/>
      <c r="BE195" s="160"/>
      <c r="BF195" s="160"/>
      <c r="BG195" s="160"/>
    </row>
    <row r="196" spans="2:59" x14ac:dyDescent="0.2">
      <c r="B196" s="68" t="str">
        <f>IF(Capacity!B89="","",Capacity!B89)</f>
        <v/>
      </c>
      <c r="C196" s="223" t="str">
        <f>IF(B196="","",Capacity!E89)</f>
        <v/>
      </c>
      <c r="D196" s="317" t="str">
        <f>IF(B196="","",Capacity!F89)</f>
        <v/>
      </c>
      <c r="E196" s="223" t="str">
        <f>IF(B196="","",IF(COUNTIF(H196:BG196,"X")=0,SUM('Capacity calculation (hide)'!H77:BG77),COUNTIF(H196:BG196,"X")))</f>
        <v/>
      </c>
      <c r="F196" s="318" t="str">
        <f>'Capacity calculation (hide)'!BI77</f>
        <v/>
      </c>
      <c r="H196" s="160"/>
      <c r="I196" s="160"/>
      <c r="J196" s="160"/>
      <c r="K196" s="160"/>
      <c r="L196" s="160"/>
      <c r="M196" s="160"/>
      <c r="N196" s="160"/>
      <c r="O196" s="160"/>
      <c r="P196" s="160"/>
      <c r="Q196" s="160"/>
      <c r="R196" s="160"/>
      <c r="S196" s="160"/>
      <c r="T196" s="160"/>
      <c r="U196" s="160"/>
      <c r="V196" s="160"/>
      <c r="W196" s="160"/>
      <c r="X196" s="160"/>
      <c r="Y196" s="160"/>
      <c r="Z196" s="160"/>
      <c r="AA196" s="160"/>
      <c r="AB196" s="160"/>
      <c r="AC196" s="160"/>
      <c r="AD196" s="160"/>
      <c r="AE196" s="160"/>
      <c r="AF196" s="160"/>
      <c r="AG196" s="160"/>
      <c r="AH196" s="160"/>
      <c r="AI196" s="160"/>
      <c r="AJ196" s="160"/>
      <c r="AK196" s="160"/>
      <c r="AL196" s="160"/>
      <c r="AM196" s="160"/>
      <c r="AN196" s="160"/>
      <c r="AO196" s="160"/>
      <c r="AP196" s="160"/>
      <c r="AQ196" s="160"/>
      <c r="AR196" s="160"/>
      <c r="AS196" s="160"/>
      <c r="AT196" s="160"/>
      <c r="AU196" s="160"/>
      <c r="AV196" s="160"/>
      <c r="AW196" s="160"/>
      <c r="AX196" s="160"/>
      <c r="AY196" s="160"/>
      <c r="AZ196" s="160"/>
      <c r="BA196" s="160"/>
      <c r="BB196" s="160"/>
      <c r="BC196" s="160"/>
      <c r="BD196" s="160"/>
      <c r="BE196" s="160"/>
      <c r="BF196" s="160"/>
      <c r="BG196" s="160"/>
    </row>
    <row r="197" spans="2:59" x14ac:dyDescent="0.2">
      <c r="B197" s="68" t="str">
        <f>IF(Capacity!B90="","",Capacity!B90)</f>
        <v/>
      </c>
      <c r="C197" s="223" t="str">
        <f>IF(B197="","",Capacity!E90)</f>
        <v/>
      </c>
      <c r="D197" s="317" t="str">
        <f>IF(B197="","",Capacity!F90)</f>
        <v/>
      </c>
      <c r="E197" s="223" t="str">
        <f>IF(B197="","",IF(COUNTIF(H197:BG197,"X")=0,SUM('Capacity calculation (hide)'!H78:BG78),COUNTIF(H197:BG197,"X")))</f>
        <v/>
      </c>
      <c r="F197" s="318" t="str">
        <f>'Capacity calculation (hide)'!BI78</f>
        <v/>
      </c>
      <c r="H197" s="160"/>
      <c r="I197" s="160"/>
      <c r="J197" s="160"/>
      <c r="K197" s="160"/>
      <c r="L197" s="160"/>
      <c r="M197" s="160"/>
      <c r="N197" s="160"/>
      <c r="O197" s="160"/>
      <c r="P197" s="160"/>
      <c r="Q197" s="160"/>
      <c r="R197" s="160"/>
      <c r="S197" s="160"/>
      <c r="T197" s="160"/>
      <c r="U197" s="160"/>
      <c r="V197" s="160"/>
      <c r="W197" s="160"/>
      <c r="X197" s="160"/>
      <c r="Y197" s="160"/>
      <c r="Z197" s="160"/>
      <c r="AA197" s="160"/>
      <c r="AB197" s="160"/>
      <c r="AC197" s="160"/>
      <c r="AD197" s="160"/>
      <c r="AE197" s="160"/>
      <c r="AF197" s="160"/>
      <c r="AG197" s="160"/>
      <c r="AH197" s="160"/>
      <c r="AI197" s="160"/>
      <c r="AJ197" s="160"/>
      <c r="AK197" s="160"/>
      <c r="AL197" s="160"/>
      <c r="AM197" s="160"/>
      <c r="AN197" s="160"/>
      <c r="AO197" s="160"/>
      <c r="AP197" s="160"/>
      <c r="AQ197" s="160"/>
      <c r="AR197" s="160"/>
      <c r="AS197" s="160"/>
      <c r="AT197" s="160"/>
      <c r="AU197" s="160"/>
      <c r="AV197" s="160"/>
      <c r="AW197" s="160"/>
      <c r="AX197" s="160"/>
      <c r="AY197" s="160"/>
      <c r="AZ197" s="160"/>
      <c r="BA197" s="160"/>
      <c r="BB197" s="160"/>
      <c r="BC197" s="160"/>
      <c r="BD197" s="160"/>
      <c r="BE197" s="160"/>
      <c r="BF197" s="160"/>
      <c r="BG197" s="160"/>
    </row>
    <row r="198" spans="2:59" x14ac:dyDescent="0.2">
      <c r="B198" s="68" t="str">
        <f>IF(Capacity!B91="","",Capacity!B91)</f>
        <v/>
      </c>
      <c r="C198" s="223" t="str">
        <f>IF(B198="","",Capacity!E91)</f>
        <v/>
      </c>
      <c r="D198" s="317" t="str">
        <f>IF(B198="","",Capacity!F91)</f>
        <v/>
      </c>
      <c r="E198" s="223" t="str">
        <f>IF(B198="","",IF(COUNTIF(H198:BG198,"X")=0,SUM('Capacity calculation (hide)'!H79:BG79),COUNTIF(H198:BG198,"X")))</f>
        <v/>
      </c>
      <c r="F198" s="318" t="str">
        <f>'Capacity calculation (hide)'!BI79</f>
        <v/>
      </c>
      <c r="H198" s="160"/>
      <c r="I198" s="160"/>
      <c r="J198" s="160"/>
      <c r="K198" s="160"/>
      <c r="L198" s="160"/>
      <c r="M198" s="160"/>
      <c r="N198" s="160"/>
      <c r="O198" s="160"/>
      <c r="P198" s="160"/>
      <c r="Q198" s="160"/>
      <c r="R198" s="160"/>
      <c r="S198" s="160"/>
      <c r="T198" s="160"/>
      <c r="U198" s="160"/>
      <c r="V198" s="160"/>
      <c r="W198" s="160"/>
      <c r="X198" s="160"/>
      <c r="Y198" s="160"/>
      <c r="Z198" s="160"/>
      <c r="AA198" s="160"/>
      <c r="AB198" s="160"/>
      <c r="AC198" s="160"/>
      <c r="AD198" s="160"/>
      <c r="AE198" s="160"/>
      <c r="AF198" s="160"/>
      <c r="AG198" s="160"/>
      <c r="AH198" s="160"/>
      <c r="AI198" s="160"/>
      <c r="AJ198" s="160"/>
      <c r="AK198" s="160"/>
      <c r="AL198" s="160"/>
      <c r="AM198" s="160"/>
      <c r="AN198" s="160"/>
      <c r="AO198" s="160"/>
      <c r="AP198" s="160"/>
      <c r="AQ198" s="160"/>
      <c r="AR198" s="160"/>
      <c r="AS198" s="160"/>
      <c r="AT198" s="160"/>
      <c r="AU198" s="160"/>
      <c r="AV198" s="160"/>
      <c r="AW198" s="160"/>
      <c r="AX198" s="160"/>
      <c r="AY198" s="160"/>
      <c r="AZ198" s="160"/>
      <c r="BA198" s="160"/>
      <c r="BB198" s="160"/>
      <c r="BC198" s="160"/>
      <c r="BD198" s="160"/>
      <c r="BE198" s="160"/>
      <c r="BF198" s="160"/>
      <c r="BG198" s="160"/>
    </row>
    <row r="199" spans="2:59" x14ac:dyDescent="0.2">
      <c r="B199" s="68" t="str">
        <f>IF(Capacity!B92="","",Capacity!B92)</f>
        <v/>
      </c>
      <c r="C199" s="223" t="str">
        <f>IF(B199="","",Capacity!E92)</f>
        <v/>
      </c>
      <c r="D199" s="317" t="str">
        <f>IF(B199="","",Capacity!F92)</f>
        <v/>
      </c>
      <c r="E199" s="223" t="str">
        <f>IF(B199="","",IF(COUNTIF(H199:BG199,"X")=0,SUM('Capacity calculation (hide)'!H80:BG80),COUNTIF(H199:BG199,"X")))</f>
        <v/>
      </c>
      <c r="F199" s="318" t="str">
        <f>'Capacity calculation (hide)'!BI80</f>
        <v/>
      </c>
      <c r="H199" s="160"/>
      <c r="I199" s="160"/>
      <c r="J199" s="160"/>
      <c r="K199" s="160"/>
      <c r="L199" s="160"/>
      <c r="M199" s="160"/>
      <c r="N199" s="160"/>
      <c r="O199" s="160"/>
      <c r="P199" s="160"/>
      <c r="Q199" s="160"/>
      <c r="R199" s="160"/>
      <c r="S199" s="160"/>
      <c r="T199" s="160"/>
      <c r="U199" s="160"/>
      <c r="V199" s="160"/>
      <c r="W199" s="160"/>
      <c r="X199" s="160"/>
      <c r="Y199" s="160"/>
      <c r="Z199" s="160"/>
      <c r="AA199" s="160"/>
      <c r="AB199" s="160"/>
      <c r="AC199" s="160"/>
      <c r="AD199" s="160"/>
      <c r="AE199" s="160"/>
      <c r="AF199" s="160"/>
      <c r="AG199" s="160"/>
      <c r="AH199" s="160"/>
      <c r="AI199" s="160"/>
      <c r="AJ199" s="160"/>
      <c r="AK199" s="160"/>
      <c r="AL199" s="160"/>
      <c r="AM199" s="160"/>
      <c r="AN199" s="160"/>
      <c r="AO199" s="160"/>
      <c r="AP199" s="160"/>
      <c r="AQ199" s="160"/>
      <c r="AR199" s="160"/>
      <c r="AS199" s="160"/>
      <c r="AT199" s="160"/>
      <c r="AU199" s="160"/>
      <c r="AV199" s="160"/>
      <c r="AW199" s="160"/>
      <c r="AX199" s="160"/>
      <c r="AY199" s="160"/>
      <c r="AZ199" s="160"/>
      <c r="BA199" s="160"/>
      <c r="BB199" s="160"/>
      <c r="BC199" s="160"/>
      <c r="BD199" s="160"/>
      <c r="BE199" s="160"/>
      <c r="BF199" s="160"/>
      <c r="BG199" s="160"/>
    </row>
    <row r="200" spans="2:59" x14ac:dyDescent="0.2">
      <c r="B200" s="68" t="str">
        <f>IF(Capacity!B93="","",Capacity!B93)</f>
        <v/>
      </c>
      <c r="C200" s="223" t="str">
        <f>IF(B200="","",Capacity!E93)</f>
        <v/>
      </c>
      <c r="D200" s="317" t="str">
        <f>IF(B200="","",Capacity!F93)</f>
        <v/>
      </c>
      <c r="E200" s="223" t="str">
        <f>IF(B200="","",IF(COUNTIF(H200:BG200,"X")=0,SUM('Capacity calculation (hide)'!H81:BG81),COUNTIF(H200:BG200,"X")))</f>
        <v/>
      </c>
      <c r="F200" s="318" t="str">
        <f>'Capacity calculation (hide)'!BI81</f>
        <v/>
      </c>
      <c r="H200" s="160"/>
      <c r="I200" s="160"/>
      <c r="J200" s="160"/>
      <c r="K200" s="160"/>
      <c r="L200" s="160"/>
      <c r="M200" s="160"/>
      <c r="N200" s="160"/>
      <c r="O200" s="160"/>
      <c r="P200" s="160"/>
      <c r="Q200" s="160"/>
      <c r="R200" s="160"/>
      <c r="S200" s="160"/>
      <c r="T200" s="160"/>
      <c r="U200" s="160"/>
      <c r="V200" s="160"/>
      <c r="W200" s="160"/>
      <c r="X200" s="160"/>
      <c r="Y200" s="160"/>
      <c r="Z200" s="160"/>
      <c r="AA200" s="160"/>
      <c r="AB200" s="160"/>
      <c r="AC200" s="160"/>
      <c r="AD200" s="160"/>
      <c r="AE200" s="160"/>
      <c r="AF200" s="160"/>
      <c r="AG200" s="160"/>
      <c r="AH200" s="160"/>
      <c r="AI200" s="160"/>
      <c r="AJ200" s="160"/>
      <c r="AK200" s="160"/>
      <c r="AL200" s="160"/>
      <c r="AM200" s="160"/>
      <c r="AN200" s="160"/>
      <c r="AO200" s="160"/>
      <c r="AP200" s="160"/>
      <c r="AQ200" s="160"/>
      <c r="AR200" s="160"/>
      <c r="AS200" s="160"/>
      <c r="AT200" s="160"/>
      <c r="AU200" s="160"/>
      <c r="AV200" s="160"/>
      <c r="AW200" s="160"/>
      <c r="AX200" s="160"/>
      <c r="AY200" s="160"/>
      <c r="AZ200" s="160"/>
      <c r="BA200" s="160"/>
      <c r="BB200" s="160"/>
      <c r="BC200" s="160"/>
      <c r="BD200" s="160"/>
      <c r="BE200" s="160"/>
      <c r="BF200" s="160"/>
      <c r="BG200" s="160"/>
    </row>
    <row r="201" spans="2:59" x14ac:dyDescent="0.2">
      <c r="B201" s="68" t="str">
        <f>IF(Capacity!B94="","",Capacity!B94)</f>
        <v/>
      </c>
      <c r="C201" s="223" t="str">
        <f>IF(B201="","",Capacity!E94)</f>
        <v/>
      </c>
      <c r="D201" s="317" t="str">
        <f>IF(B201="","",Capacity!F94)</f>
        <v/>
      </c>
      <c r="E201" s="223" t="str">
        <f>IF(B201="","",IF(COUNTIF(H201:BG201,"X")=0,SUM('Capacity calculation (hide)'!H82:BG82),COUNTIF(H201:BG201,"X")))</f>
        <v/>
      </c>
      <c r="F201" s="318" t="str">
        <f>'Capacity calculation (hide)'!BI82</f>
        <v/>
      </c>
      <c r="H201" s="160"/>
      <c r="I201" s="160"/>
      <c r="J201" s="160"/>
      <c r="K201" s="160"/>
      <c r="L201" s="160"/>
      <c r="M201" s="160"/>
      <c r="N201" s="160"/>
      <c r="O201" s="160"/>
      <c r="P201" s="160"/>
      <c r="Q201" s="160"/>
      <c r="R201" s="160"/>
      <c r="S201" s="160"/>
      <c r="T201" s="160"/>
      <c r="U201" s="160"/>
      <c r="V201" s="160"/>
      <c r="W201" s="160"/>
      <c r="X201" s="160"/>
      <c r="Y201" s="160"/>
      <c r="Z201" s="160"/>
      <c r="AA201" s="160"/>
      <c r="AB201" s="160"/>
      <c r="AC201" s="160"/>
      <c r="AD201" s="160"/>
      <c r="AE201" s="160"/>
      <c r="AF201" s="160"/>
      <c r="AG201" s="160"/>
      <c r="AH201" s="160"/>
      <c r="AI201" s="160"/>
      <c r="AJ201" s="160"/>
      <c r="AK201" s="160"/>
      <c r="AL201" s="160"/>
      <c r="AM201" s="160"/>
      <c r="AN201" s="160"/>
      <c r="AO201" s="160"/>
      <c r="AP201" s="160"/>
      <c r="AQ201" s="160"/>
      <c r="AR201" s="160"/>
      <c r="AS201" s="160"/>
      <c r="AT201" s="160"/>
      <c r="AU201" s="160"/>
      <c r="AV201" s="160"/>
      <c r="AW201" s="160"/>
      <c r="AX201" s="160"/>
      <c r="AY201" s="160"/>
      <c r="AZ201" s="160"/>
      <c r="BA201" s="160"/>
      <c r="BB201" s="160"/>
      <c r="BC201" s="160"/>
      <c r="BD201" s="160"/>
      <c r="BE201" s="160"/>
      <c r="BF201" s="160"/>
      <c r="BG201" s="160"/>
    </row>
    <row r="202" spans="2:59" x14ac:dyDescent="0.2">
      <c r="B202" s="68" t="str">
        <f>IF(Capacity!B95="","",Capacity!B95)</f>
        <v/>
      </c>
      <c r="C202" s="223" t="str">
        <f>IF(B202="","",Capacity!E95)</f>
        <v/>
      </c>
      <c r="D202" s="317" t="str">
        <f>IF(B202="","",Capacity!F95)</f>
        <v/>
      </c>
      <c r="E202" s="223" t="str">
        <f>IF(B202="","",IF(COUNTIF(H202:BG202,"X")=0,SUM('Capacity calculation (hide)'!H83:BG83),COUNTIF(H202:BG202,"X")))</f>
        <v/>
      </c>
      <c r="F202" s="318" t="str">
        <f>'Capacity calculation (hide)'!BI83</f>
        <v/>
      </c>
      <c r="H202" s="160"/>
      <c r="I202" s="160"/>
      <c r="J202" s="160"/>
      <c r="K202" s="160"/>
      <c r="L202" s="160"/>
      <c r="M202" s="160"/>
      <c r="N202" s="160"/>
      <c r="O202" s="160"/>
      <c r="P202" s="160"/>
      <c r="Q202" s="160"/>
      <c r="R202" s="160"/>
      <c r="S202" s="160"/>
      <c r="T202" s="160"/>
      <c r="U202" s="160"/>
      <c r="V202" s="160"/>
      <c r="W202" s="160"/>
      <c r="X202" s="160"/>
      <c r="Y202" s="160"/>
      <c r="Z202" s="160"/>
      <c r="AA202" s="160"/>
      <c r="AB202" s="160"/>
      <c r="AC202" s="160"/>
      <c r="AD202" s="160"/>
      <c r="AE202" s="160"/>
      <c r="AF202" s="160"/>
      <c r="AG202" s="160"/>
      <c r="AH202" s="160"/>
      <c r="AI202" s="160"/>
      <c r="AJ202" s="160"/>
      <c r="AK202" s="160"/>
      <c r="AL202" s="160"/>
      <c r="AM202" s="160"/>
      <c r="AN202" s="160"/>
      <c r="AO202" s="160"/>
      <c r="AP202" s="160"/>
      <c r="AQ202" s="160"/>
      <c r="AR202" s="160"/>
      <c r="AS202" s="160"/>
      <c r="AT202" s="160"/>
      <c r="AU202" s="160"/>
      <c r="AV202" s="160"/>
      <c r="AW202" s="160"/>
      <c r="AX202" s="160"/>
      <c r="AY202" s="160"/>
      <c r="AZ202" s="160"/>
      <c r="BA202" s="160"/>
      <c r="BB202" s="160"/>
      <c r="BC202" s="160"/>
      <c r="BD202" s="160"/>
      <c r="BE202" s="160"/>
      <c r="BF202" s="160"/>
      <c r="BG202" s="160"/>
    </row>
    <row r="203" spans="2:59" x14ac:dyDescent="0.2">
      <c r="B203" s="68" t="str">
        <f>IF(Capacity!B96="","",Capacity!B96)</f>
        <v/>
      </c>
      <c r="C203" s="223" t="str">
        <f>IF(B203="","",Capacity!E96)</f>
        <v/>
      </c>
      <c r="D203" s="317" t="str">
        <f>IF(B203="","",Capacity!F96)</f>
        <v/>
      </c>
      <c r="E203" s="223" t="str">
        <f>IF(B203="","",IF(COUNTIF(H203:BG203,"X")=0,SUM('Capacity calculation (hide)'!H84:BG84),COUNTIF(H203:BG203,"X")))</f>
        <v/>
      </c>
      <c r="F203" s="318" t="str">
        <f>'Capacity calculation (hide)'!BI84</f>
        <v/>
      </c>
      <c r="H203" s="160"/>
      <c r="I203" s="160"/>
      <c r="J203" s="160"/>
      <c r="K203" s="160"/>
      <c r="L203" s="160"/>
      <c r="M203" s="160"/>
      <c r="N203" s="160"/>
      <c r="O203" s="160"/>
      <c r="P203" s="160"/>
      <c r="Q203" s="160"/>
      <c r="R203" s="160"/>
      <c r="S203" s="160"/>
      <c r="T203" s="160"/>
      <c r="U203" s="160"/>
      <c r="V203" s="160"/>
      <c r="W203" s="160"/>
      <c r="X203" s="160"/>
      <c r="Y203" s="160"/>
      <c r="Z203" s="160"/>
      <c r="AA203" s="160"/>
      <c r="AB203" s="160"/>
      <c r="AC203" s="160"/>
      <c r="AD203" s="160"/>
      <c r="AE203" s="160"/>
      <c r="AF203" s="160"/>
      <c r="AG203" s="160"/>
      <c r="AH203" s="160"/>
      <c r="AI203" s="160"/>
      <c r="AJ203" s="160"/>
      <c r="AK203" s="160"/>
      <c r="AL203" s="160"/>
      <c r="AM203" s="160"/>
      <c r="AN203" s="160"/>
      <c r="AO203" s="160"/>
      <c r="AP203" s="160"/>
      <c r="AQ203" s="160"/>
      <c r="AR203" s="160"/>
      <c r="AS203" s="160"/>
      <c r="AT203" s="160"/>
      <c r="AU203" s="160"/>
      <c r="AV203" s="160"/>
      <c r="AW203" s="160"/>
      <c r="AX203" s="160"/>
      <c r="AY203" s="160"/>
      <c r="AZ203" s="160"/>
      <c r="BA203" s="160"/>
      <c r="BB203" s="160"/>
      <c r="BC203" s="160"/>
      <c r="BD203" s="160"/>
      <c r="BE203" s="160"/>
      <c r="BF203" s="160"/>
      <c r="BG203" s="160"/>
    </row>
    <row r="204" spans="2:59" x14ac:dyDescent="0.2">
      <c r="B204" s="68" t="str">
        <f>IF(Capacity!B97="","",Capacity!B97)</f>
        <v/>
      </c>
      <c r="C204" s="223" t="str">
        <f>IF(B204="","",Capacity!E97)</f>
        <v/>
      </c>
      <c r="D204" s="317" t="str">
        <f>IF(B204="","",Capacity!F97)</f>
        <v/>
      </c>
      <c r="E204" s="223" t="str">
        <f>IF(B204="","",IF(COUNTIF(H204:BG204,"X")=0,SUM('Capacity calculation (hide)'!H85:BG85),COUNTIF(H204:BG204,"X")))</f>
        <v/>
      </c>
      <c r="F204" s="318" t="str">
        <f>'Capacity calculation (hide)'!BI85</f>
        <v/>
      </c>
      <c r="H204" s="160"/>
      <c r="I204" s="160"/>
      <c r="J204" s="160"/>
      <c r="K204" s="160"/>
      <c r="L204" s="160"/>
      <c r="M204" s="160"/>
      <c r="N204" s="160"/>
      <c r="O204" s="160"/>
      <c r="P204" s="160"/>
      <c r="Q204" s="160"/>
      <c r="R204" s="160"/>
      <c r="S204" s="160"/>
      <c r="T204" s="160"/>
      <c r="U204" s="160"/>
      <c r="V204" s="160"/>
      <c r="W204" s="160"/>
      <c r="X204" s="160"/>
      <c r="Y204" s="160"/>
      <c r="Z204" s="160"/>
      <c r="AA204" s="160"/>
      <c r="AB204" s="160"/>
      <c r="AC204" s="160"/>
      <c r="AD204" s="160"/>
      <c r="AE204" s="160"/>
      <c r="AF204" s="160"/>
      <c r="AG204" s="160"/>
      <c r="AH204" s="160"/>
      <c r="AI204" s="160"/>
      <c r="AJ204" s="160"/>
      <c r="AK204" s="160"/>
      <c r="AL204" s="160"/>
      <c r="AM204" s="160"/>
      <c r="AN204" s="160"/>
      <c r="AO204" s="160"/>
      <c r="AP204" s="160"/>
      <c r="AQ204" s="160"/>
      <c r="AR204" s="160"/>
      <c r="AS204" s="160"/>
      <c r="AT204" s="160"/>
      <c r="AU204" s="160"/>
      <c r="AV204" s="160"/>
      <c r="AW204" s="160"/>
      <c r="AX204" s="160"/>
      <c r="AY204" s="160"/>
      <c r="AZ204" s="160"/>
      <c r="BA204" s="160"/>
      <c r="BB204" s="160"/>
      <c r="BC204" s="160"/>
      <c r="BD204" s="160"/>
      <c r="BE204" s="160"/>
      <c r="BF204" s="160"/>
      <c r="BG204" s="160"/>
    </row>
    <row r="205" spans="2:59" x14ac:dyDescent="0.2">
      <c r="B205" s="68" t="str">
        <f>IF(Capacity!B98="","",Capacity!B98)</f>
        <v/>
      </c>
      <c r="C205" s="223" t="str">
        <f>IF(B205="","",Capacity!E98)</f>
        <v/>
      </c>
      <c r="D205" s="317" t="str">
        <f>IF(B205="","",Capacity!F98)</f>
        <v/>
      </c>
      <c r="E205" s="223" t="str">
        <f>IF(B205="","",IF(COUNTIF(H205:BG205,"X")=0,SUM('Capacity calculation (hide)'!H86:BG86),COUNTIF(H205:BG205,"X")))</f>
        <v/>
      </c>
      <c r="F205" s="318" t="str">
        <f>'Capacity calculation (hide)'!BI86</f>
        <v/>
      </c>
      <c r="H205" s="160"/>
      <c r="I205" s="160"/>
      <c r="J205" s="160"/>
      <c r="K205" s="160"/>
      <c r="L205" s="160"/>
      <c r="M205" s="160"/>
      <c r="N205" s="160"/>
      <c r="O205" s="160"/>
      <c r="P205" s="160"/>
      <c r="Q205" s="160"/>
      <c r="R205" s="160"/>
      <c r="S205" s="160"/>
      <c r="T205" s="160"/>
      <c r="U205" s="160"/>
      <c r="V205" s="160"/>
      <c r="W205" s="160"/>
      <c r="X205" s="160"/>
      <c r="Y205" s="160"/>
      <c r="Z205" s="160"/>
      <c r="AA205" s="160"/>
      <c r="AB205" s="160"/>
      <c r="AC205" s="160"/>
      <c r="AD205" s="160"/>
      <c r="AE205" s="160"/>
      <c r="AF205" s="160"/>
      <c r="AG205" s="160"/>
      <c r="AH205" s="160"/>
      <c r="AI205" s="160"/>
      <c r="AJ205" s="160"/>
      <c r="AK205" s="160"/>
      <c r="AL205" s="160"/>
      <c r="AM205" s="160"/>
      <c r="AN205" s="160"/>
      <c r="AO205" s="160"/>
      <c r="AP205" s="160"/>
      <c r="AQ205" s="160"/>
      <c r="AR205" s="160"/>
      <c r="AS205" s="160"/>
      <c r="AT205" s="160"/>
      <c r="AU205" s="160"/>
      <c r="AV205" s="160"/>
      <c r="AW205" s="160"/>
      <c r="AX205" s="160"/>
      <c r="AY205" s="160"/>
      <c r="AZ205" s="160"/>
      <c r="BA205" s="160"/>
      <c r="BB205" s="160"/>
      <c r="BC205" s="160"/>
      <c r="BD205" s="160"/>
      <c r="BE205" s="160"/>
      <c r="BF205" s="160"/>
      <c r="BG205" s="160"/>
    </row>
    <row r="206" spans="2:59" x14ac:dyDescent="0.2">
      <c r="B206" s="68" t="str">
        <f>IF(Capacity!B99="","",Capacity!B99)</f>
        <v/>
      </c>
      <c r="C206" s="223" t="str">
        <f>IF(B206="","",Capacity!E99)</f>
        <v/>
      </c>
      <c r="D206" s="317" t="str">
        <f>IF(B206="","",Capacity!F99)</f>
        <v/>
      </c>
      <c r="E206" s="223" t="str">
        <f>IF(B206="","",IF(COUNTIF(H206:BG206,"X")=0,SUM('Capacity calculation (hide)'!H87:BG87),COUNTIF(H206:BG206,"X")))</f>
        <v/>
      </c>
      <c r="F206" s="318" t="str">
        <f>'Capacity calculation (hide)'!BI87</f>
        <v/>
      </c>
      <c r="H206" s="160"/>
      <c r="I206" s="160"/>
      <c r="J206" s="160"/>
      <c r="K206" s="160"/>
      <c r="L206" s="160"/>
      <c r="M206" s="160"/>
      <c r="N206" s="160"/>
      <c r="O206" s="160"/>
      <c r="P206" s="160"/>
      <c r="Q206" s="160"/>
      <c r="R206" s="160"/>
      <c r="S206" s="160"/>
      <c r="T206" s="160"/>
      <c r="U206" s="160"/>
      <c r="V206" s="160"/>
      <c r="W206" s="160"/>
      <c r="X206" s="160"/>
      <c r="Y206" s="160"/>
      <c r="Z206" s="160"/>
      <c r="AA206" s="160"/>
      <c r="AB206" s="160"/>
      <c r="AC206" s="160"/>
      <c r="AD206" s="160"/>
      <c r="AE206" s="160"/>
      <c r="AF206" s="160"/>
      <c r="AG206" s="160"/>
      <c r="AH206" s="160"/>
      <c r="AI206" s="160"/>
      <c r="AJ206" s="160"/>
      <c r="AK206" s="160"/>
      <c r="AL206" s="160"/>
      <c r="AM206" s="160"/>
      <c r="AN206" s="160"/>
      <c r="AO206" s="160"/>
      <c r="AP206" s="160"/>
      <c r="AQ206" s="160"/>
      <c r="AR206" s="160"/>
      <c r="AS206" s="160"/>
      <c r="AT206" s="160"/>
      <c r="AU206" s="160"/>
      <c r="AV206" s="160"/>
      <c r="AW206" s="160"/>
      <c r="AX206" s="160"/>
      <c r="AY206" s="160"/>
      <c r="AZ206" s="160"/>
      <c r="BA206" s="160"/>
      <c r="BB206" s="160"/>
      <c r="BC206" s="160"/>
      <c r="BD206" s="160"/>
      <c r="BE206" s="160"/>
      <c r="BF206" s="160"/>
      <c r="BG206" s="160"/>
    </row>
    <row r="207" spans="2:59" x14ac:dyDescent="0.2">
      <c r="B207" s="68" t="str">
        <f>IF(Capacity!B100="","",Capacity!B100)</f>
        <v/>
      </c>
      <c r="C207" s="223" t="str">
        <f>IF(B207="","",Capacity!E100)</f>
        <v/>
      </c>
      <c r="D207" s="317" t="str">
        <f>IF(B207="","",Capacity!F100)</f>
        <v/>
      </c>
      <c r="E207" s="223" t="str">
        <f>IF(B207="","",IF(COUNTIF(H207:BG207,"X")=0,SUM('Capacity calculation (hide)'!H88:BG88),COUNTIF(H207:BG207,"X")))</f>
        <v/>
      </c>
      <c r="F207" s="318" t="str">
        <f>'Capacity calculation (hide)'!BI88</f>
        <v/>
      </c>
      <c r="H207" s="160"/>
      <c r="I207" s="160"/>
      <c r="J207" s="160"/>
      <c r="K207" s="160"/>
      <c r="L207" s="160"/>
      <c r="M207" s="160"/>
      <c r="N207" s="160"/>
      <c r="O207" s="160"/>
      <c r="P207" s="160"/>
      <c r="Q207" s="160"/>
      <c r="R207" s="160"/>
      <c r="S207" s="160"/>
      <c r="T207" s="160"/>
      <c r="U207" s="160"/>
      <c r="V207" s="160"/>
      <c r="W207" s="160"/>
      <c r="X207" s="160"/>
      <c r="Y207" s="160"/>
      <c r="Z207" s="160"/>
      <c r="AA207" s="160"/>
      <c r="AB207" s="160"/>
      <c r="AC207" s="160"/>
      <c r="AD207" s="160"/>
      <c r="AE207" s="160"/>
      <c r="AF207" s="160"/>
      <c r="AG207" s="160"/>
      <c r="AH207" s="160"/>
      <c r="AI207" s="160"/>
      <c r="AJ207" s="160"/>
      <c r="AK207" s="160"/>
      <c r="AL207" s="160"/>
      <c r="AM207" s="160"/>
      <c r="AN207" s="160"/>
      <c r="AO207" s="160"/>
      <c r="AP207" s="160"/>
      <c r="AQ207" s="160"/>
      <c r="AR207" s="160"/>
      <c r="AS207" s="160"/>
      <c r="AT207" s="160"/>
      <c r="AU207" s="160"/>
      <c r="AV207" s="160"/>
      <c r="AW207" s="160"/>
      <c r="AX207" s="160"/>
      <c r="AY207" s="160"/>
      <c r="AZ207" s="160"/>
      <c r="BA207" s="160"/>
      <c r="BB207" s="160"/>
      <c r="BC207" s="160"/>
      <c r="BD207" s="160"/>
      <c r="BE207" s="160"/>
      <c r="BF207" s="160"/>
      <c r="BG207" s="160"/>
    </row>
    <row r="208" spans="2:59" x14ac:dyDescent="0.2">
      <c r="B208" s="68" t="str">
        <f>IF(Capacity!B101="","",Capacity!B101)</f>
        <v/>
      </c>
      <c r="C208" s="223" t="str">
        <f>IF(B208="","",Capacity!E101)</f>
        <v/>
      </c>
      <c r="D208" s="317" t="str">
        <f>IF(B208="","",Capacity!F101)</f>
        <v/>
      </c>
      <c r="E208" s="223" t="str">
        <f>IF(B208="","",IF(COUNTIF(H208:BG208,"X")=0,SUM('Capacity calculation (hide)'!H89:BG89),COUNTIF(H208:BG208,"X")))</f>
        <v/>
      </c>
      <c r="F208" s="318" t="str">
        <f>'Capacity calculation (hide)'!BI89</f>
        <v/>
      </c>
      <c r="H208" s="160"/>
      <c r="I208" s="160"/>
      <c r="J208" s="160"/>
      <c r="K208" s="160"/>
      <c r="L208" s="160"/>
      <c r="M208" s="160"/>
      <c r="N208" s="160"/>
      <c r="O208" s="160"/>
      <c r="P208" s="160"/>
      <c r="Q208" s="160"/>
      <c r="R208" s="160"/>
      <c r="S208" s="160"/>
      <c r="T208" s="160"/>
      <c r="U208" s="160"/>
      <c r="V208" s="160"/>
      <c r="W208" s="160"/>
      <c r="X208" s="160"/>
      <c r="Y208" s="160"/>
      <c r="Z208" s="160"/>
      <c r="AA208" s="160"/>
      <c r="AB208" s="160"/>
      <c r="AC208" s="160"/>
      <c r="AD208" s="160"/>
      <c r="AE208" s="160"/>
      <c r="AF208" s="160"/>
      <c r="AG208" s="160"/>
      <c r="AH208" s="160"/>
      <c r="AI208" s="160"/>
      <c r="AJ208" s="160"/>
      <c r="AK208" s="160"/>
      <c r="AL208" s="160"/>
      <c r="AM208" s="160"/>
      <c r="AN208" s="160"/>
      <c r="AO208" s="160"/>
      <c r="AP208" s="160"/>
      <c r="AQ208" s="160"/>
      <c r="AR208" s="160"/>
      <c r="AS208" s="160"/>
      <c r="AT208" s="160"/>
      <c r="AU208" s="160"/>
      <c r="AV208" s="160"/>
      <c r="AW208" s="160"/>
      <c r="AX208" s="160"/>
      <c r="AY208" s="160"/>
      <c r="AZ208" s="160"/>
      <c r="BA208" s="160"/>
      <c r="BB208" s="160"/>
      <c r="BC208" s="160"/>
      <c r="BD208" s="160"/>
      <c r="BE208" s="160"/>
      <c r="BF208" s="160"/>
      <c r="BG208" s="160"/>
    </row>
    <row r="209" spans="2:59" x14ac:dyDescent="0.2">
      <c r="B209" s="68" t="str">
        <f>IF(Capacity!B102="","",Capacity!B102)</f>
        <v/>
      </c>
      <c r="C209" s="223" t="str">
        <f>IF(B209="","",Capacity!E102)</f>
        <v/>
      </c>
      <c r="D209" s="317" t="str">
        <f>IF(B209="","",Capacity!F102)</f>
        <v/>
      </c>
      <c r="E209" s="223" t="str">
        <f>IF(B209="","",IF(COUNTIF(H209:BG209,"X")=0,SUM('Capacity calculation (hide)'!H90:BG90),COUNTIF(H209:BG209,"X")))</f>
        <v/>
      </c>
      <c r="F209" s="318" t="str">
        <f>'Capacity calculation (hide)'!BI90</f>
        <v/>
      </c>
      <c r="H209" s="160"/>
      <c r="I209" s="160"/>
      <c r="J209" s="160"/>
      <c r="K209" s="160"/>
      <c r="L209" s="160"/>
      <c r="M209" s="160"/>
      <c r="N209" s="160"/>
      <c r="O209" s="160"/>
      <c r="P209" s="160"/>
      <c r="Q209" s="160"/>
      <c r="R209" s="160"/>
      <c r="S209" s="160"/>
      <c r="T209" s="160"/>
      <c r="U209" s="160"/>
      <c r="V209" s="160"/>
      <c r="W209" s="160"/>
      <c r="X209" s="160"/>
      <c r="Y209" s="160"/>
      <c r="Z209" s="160"/>
      <c r="AA209" s="160"/>
      <c r="AB209" s="160"/>
      <c r="AC209" s="160"/>
      <c r="AD209" s="160"/>
      <c r="AE209" s="160"/>
      <c r="AF209" s="160"/>
      <c r="AG209" s="160"/>
      <c r="AH209" s="160"/>
      <c r="AI209" s="160"/>
      <c r="AJ209" s="160"/>
      <c r="AK209" s="160"/>
      <c r="AL209" s="160"/>
      <c r="AM209" s="160"/>
      <c r="AN209" s="160"/>
      <c r="AO209" s="160"/>
      <c r="AP209" s="160"/>
      <c r="AQ209" s="160"/>
      <c r="AR209" s="160"/>
      <c r="AS209" s="160"/>
      <c r="AT209" s="160"/>
      <c r="AU209" s="160"/>
      <c r="AV209" s="160"/>
      <c r="AW209" s="160"/>
      <c r="AX209" s="160"/>
      <c r="AY209" s="160"/>
      <c r="AZ209" s="160"/>
      <c r="BA209" s="160"/>
      <c r="BB209" s="160"/>
      <c r="BC209" s="160"/>
      <c r="BD209" s="160"/>
      <c r="BE209" s="160"/>
      <c r="BF209" s="160"/>
      <c r="BG209" s="160"/>
    </row>
    <row r="210" spans="2:59" x14ac:dyDescent="0.2">
      <c r="B210" s="68" t="str">
        <f>IF(Capacity!B103="","",Capacity!B103)</f>
        <v/>
      </c>
      <c r="C210" s="223" t="str">
        <f>IF(B210="","",Capacity!E103)</f>
        <v/>
      </c>
      <c r="D210" s="317" t="str">
        <f>IF(B210="","",Capacity!F103)</f>
        <v/>
      </c>
      <c r="E210" s="223" t="str">
        <f>IF(B210="","",IF(COUNTIF(H210:BG210,"X")=0,SUM('Capacity calculation (hide)'!H91:BG91),COUNTIF(H210:BG210,"X")))</f>
        <v/>
      </c>
      <c r="F210" s="318" t="str">
        <f>'Capacity calculation (hide)'!BI91</f>
        <v/>
      </c>
      <c r="H210" s="160"/>
      <c r="I210" s="160"/>
      <c r="J210" s="160"/>
      <c r="K210" s="160"/>
      <c r="L210" s="160"/>
      <c r="M210" s="160"/>
      <c r="N210" s="160"/>
      <c r="O210" s="160"/>
      <c r="P210" s="160"/>
      <c r="Q210" s="160"/>
      <c r="R210" s="160"/>
      <c r="S210" s="160"/>
      <c r="T210" s="160"/>
      <c r="U210" s="160"/>
      <c r="V210" s="160"/>
      <c r="W210" s="160"/>
      <c r="X210" s="160"/>
      <c r="Y210" s="160"/>
      <c r="Z210" s="160"/>
      <c r="AA210" s="160"/>
      <c r="AB210" s="160"/>
      <c r="AC210" s="160"/>
      <c r="AD210" s="160"/>
      <c r="AE210" s="160"/>
      <c r="AF210" s="160"/>
      <c r="AG210" s="160"/>
      <c r="AH210" s="160"/>
      <c r="AI210" s="160"/>
      <c r="AJ210" s="160"/>
      <c r="AK210" s="160"/>
      <c r="AL210" s="160"/>
      <c r="AM210" s="160"/>
      <c r="AN210" s="160"/>
      <c r="AO210" s="160"/>
      <c r="AP210" s="160"/>
      <c r="AQ210" s="160"/>
      <c r="AR210" s="160"/>
      <c r="AS210" s="160"/>
      <c r="AT210" s="160"/>
      <c r="AU210" s="160"/>
      <c r="AV210" s="160"/>
      <c r="AW210" s="160"/>
      <c r="AX210" s="160"/>
      <c r="AY210" s="160"/>
      <c r="AZ210" s="160"/>
      <c r="BA210" s="160"/>
      <c r="BB210" s="160"/>
      <c r="BC210" s="160"/>
      <c r="BD210" s="160"/>
      <c r="BE210" s="160"/>
      <c r="BF210" s="160"/>
      <c r="BG210" s="160"/>
    </row>
    <row r="211" spans="2:59" x14ac:dyDescent="0.2">
      <c r="B211" s="68" t="str">
        <f>IF(Capacity!B104="","",Capacity!B104)</f>
        <v/>
      </c>
      <c r="C211" s="223" t="str">
        <f>IF(B211="","",Capacity!E104)</f>
        <v/>
      </c>
      <c r="D211" s="317" t="str">
        <f>IF(B211="","",Capacity!F104)</f>
        <v/>
      </c>
      <c r="E211" s="223" t="str">
        <f>IF(B211="","",IF(COUNTIF(H211:BG211,"X")=0,SUM('Capacity calculation (hide)'!H92:BG92),COUNTIF(H211:BG211,"X")))</f>
        <v/>
      </c>
      <c r="F211" s="318" t="str">
        <f>'Capacity calculation (hide)'!BI92</f>
        <v/>
      </c>
      <c r="H211" s="160"/>
      <c r="I211" s="160"/>
      <c r="J211" s="160"/>
      <c r="K211" s="160"/>
      <c r="L211" s="160"/>
      <c r="M211" s="160"/>
      <c r="N211" s="160"/>
      <c r="O211" s="160"/>
      <c r="P211" s="160"/>
      <c r="Q211" s="160"/>
      <c r="R211" s="160"/>
      <c r="S211" s="160"/>
      <c r="T211" s="160"/>
      <c r="U211" s="160"/>
      <c r="V211" s="160"/>
      <c r="W211" s="160"/>
      <c r="X211" s="160"/>
      <c r="Y211" s="160"/>
      <c r="Z211" s="160"/>
      <c r="AA211" s="160"/>
      <c r="AB211" s="160"/>
      <c r="AC211" s="160"/>
      <c r="AD211" s="160"/>
      <c r="AE211" s="160"/>
      <c r="AF211" s="160"/>
      <c r="AG211" s="160"/>
      <c r="AH211" s="160"/>
      <c r="AI211" s="160"/>
      <c r="AJ211" s="160"/>
      <c r="AK211" s="160"/>
      <c r="AL211" s="160"/>
      <c r="AM211" s="160"/>
      <c r="AN211" s="160"/>
      <c r="AO211" s="160"/>
      <c r="AP211" s="160"/>
      <c r="AQ211" s="160"/>
      <c r="AR211" s="160"/>
      <c r="AS211" s="160"/>
      <c r="AT211" s="160"/>
      <c r="AU211" s="160"/>
      <c r="AV211" s="160"/>
      <c r="AW211" s="160"/>
      <c r="AX211" s="160"/>
      <c r="AY211" s="160"/>
      <c r="AZ211" s="160"/>
      <c r="BA211" s="160"/>
      <c r="BB211" s="160"/>
      <c r="BC211" s="160"/>
      <c r="BD211" s="160"/>
      <c r="BE211" s="160"/>
      <c r="BF211" s="160"/>
      <c r="BG211" s="160"/>
    </row>
    <row r="212" spans="2:59" x14ac:dyDescent="0.2">
      <c r="B212" s="68" t="str">
        <f>IF(Capacity!B105="","",Capacity!B105)</f>
        <v/>
      </c>
      <c r="C212" s="223" t="str">
        <f>IF(B212="","",Capacity!E105)</f>
        <v/>
      </c>
      <c r="D212" s="317" t="str">
        <f>IF(B212="","",Capacity!F105)</f>
        <v/>
      </c>
      <c r="E212" s="223" t="str">
        <f>IF(B212="","",IF(COUNTIF(H212:BG212,"X")=0,SUM('Capacity calculation (hide)'!H93:BG93),COUNTIF(H212:BG212,"X")))</f>
        <v/>
      </c>
      <c r="F212" s="318" t="str">
        <f>'Capacity calculation (hide)'!BI93</f>
        <v/>
      </c>
      <c r="H212" s="160"/>
      <c r="I212" s="160"/>
      <c r="J212" s="160"/>
      <c r="K212" s="160"/>
      <c r="L212" s="160"/>
      <c r="M212" s="160"/>
      <c r="N212" s="160"/>
      <c r="O212" s="160"/>
      <c r="P212" s="160"/>
      <c r="Q212" s="160"/>
      <c r="R212" s="160"/>
      <c r="S212" s="160"/>
      <c r="T212" s="160"/>
      <c r="U212" s="160"/>
      <c r="V212" s="160"/>
      <c r="W212" s="160"/>
      <c r="X212" s="160"/>
      <c r="Y212" s="160"/>
      <c r="Z212" s="160"/>
      <c r="AA212" s="160"/>
      <c r="AB212" s="160"/>
      <c r="AC212" s="160"/>
      <c r="AD212" s="160"/>
      <c r="AE212" s="160"/>
      <c r="AF212" s="160"/>
      <c r="AG212" s="160"/>
      <c r="AH212" s="160"/>
      <c r="AI212" s="160"/>
      <c r="AJ212" s="160"/>
      <c r="AK212" s="160"/>
      <c r="AL212" s="160"/>
      <c r="AM212" s="160"/>
      <c r="AN212" s="160"/>
      <c r="AO212" s="160"/>
      <c r="AP212" s="160"/>
      <c r="AQ212" s="160"/>
      <c r="AR212" s="160"/>
      <c r="AS212" s="160"/>
      <c r="AT212" s="160"/>
      <c r="AU212" s="160"/>
      <c r="AV212" s="160"/>
      <c r="AW212" s="160"/>
      <c r="AX212" s="160"/>
      <c r="AY212" s="160"/>
      <c r="AZ212" s="160"/>
      <c r="BA212" s="160"/>
      <c r="BB212" s="160"/>
      <c r="BC212" s="160"/>
      <c r="BD212" s="160"/>
      <c r="BE212" s="160"/>
      <c r="BF212" s="160"/>
      <c r="BG212" s="160"/>
    </row>
    <row r="213" spans="2:59" x14ac:dyDescent="0.2">
      <c r="B213" s="68" t="str">
        <f>IF(Capacity!B106="","",Capacity!B106)</f>
        <v/>
      </c>
      <c r="C213" s="223" t="str">
        <f>IF(B213="","",Capacity!E106)</f>
        <v/>
      </c>
      <c r="D213" s="317" t="str">
        <f>IF(B213="","",Capacity!F106)</f>
        <v/>
      </c>
      <c r="E213" s="223" t="str">
        <f>IF(B213="","",IF(COUNTIF(H213:BG213,"X")=0,SUM('Capacity calculation (hide)'!H94:BG94),COUNTIF(H213:BG213,"X")))</f>
        <v/>
      </c>
      <c r="F213" s="318" t="str">
        <f>'Capacity calculation (hide)'!BI94</f>
        <v/>
      </c>
      <c r="H213" s="160"/>
      <c r="I213" s="160"/>
      <c r="J213" s="160"/>
      <c r="K213" s="160"/>
      <c r="L213" s="160"/>
      <c r="M213" s="160"/>
      <c r="N213" s="160"/>
      <c r="O213" s="160"/>
      <c r="P213" s="160"/>
      <c r="Q213" s="160"/>
      <c r="R213" s="160"/>
      <c r="S213" s="160"/>
      <c r="T213" s="160"/>
      <c r="U213" s="160"/>
      <c r="V213" s="160"/>
      <c r="W213" s="160"/>
      <c r="X213" s="160"/>
      <c r="Y213" s="160"/>
      <c r="Z213" s="160"/>
      <c r="AA213" s="160"/>
      <c r="AB213" s="160"/>
      <c r="AC213" s="160"/>
      <c r="AD213" s="160"/>
      <c r="AE213" s="160"/>
      <c r="AF213" s="160"/>
      <c r="AG213" s="160"/>
      <c r="AH213" s="160"/>
      <c r="AI213" s="160"/>
      <c r="AJ213" s="160"/>
      <c r="AK213" s="160"/>
      <c r="AL213" s="160"/>
      <c r="AM213" s="160"/>
      <c r="AN213" s="160"/>
      <c r="AO213" s="160"/>
      <c r="AP213" s="160"/>
      <c r="AQ213" s="160"/>
      <c r="AR213" s="160"/>
      <c r="AS213" s="160"/>
      <c r="AT213" s="160"/>
      <c r="AU213" s="160"/>
      <c r="AV213" s="160"/>
      <c r="AW213" s="160"/>
      <c r="AX213" s="160"/>
      <c r="AY213" s="160"/>
      <c r="AZ213" s="160"/>
      <c r="BA213" s="160"/>
      <c r="BB213" s="160"/>
      <c r="BC213" s="160"/>
      <c r="BD213" s="160"/>
      <c r="BE213" s="160"/>
      <c r="BF213" s="160"/>
      <c r="BG213" s="160"/>
    </row>
    <row r="214" spans="2:59" x14ac:dyDescent="0.2">
      <c r="B214" s="68" t="str">
        <f>IF(Capacity!B107="","",Capacity!B107)</f>
        <v/>
      </c>
      <c r="C214" s="223" t="str">
        <f>IF(B214="","",Capacity!E107)</f>
        <v/>
      </c>
      <c r="D214" s="317" t="str">
        <f>IF(B214="","",Capacity!F107)</f>
        <v/>
      </c>
      <c r="E214" s="223" t="str">
        <f>IF(B214="","",IF(COUNTIF(H214:BG214,"X")=0,SUM('Capacity calculation (hide)'!H95:BG95),COUNTIF(H214:BG214,"X")))</f>
        <v/>
      </c>
      <c r="F214" s="318" t="str">
        <f>'Capacity calculation (hide)'!BI95</f>
        <v/>
      </c>
      <c r="H214" s="160"/>
      <c r="I214" s="160"/>
      <c r="J214" s="160"/>
      <c r="K214" s="160"/>
      <c r="L214" s="160"/>
      <c r="M214" s="160"/>
      <c r="N214" s="160"/>
      <c r="O214" s="160"/>
      <c r="P214" s="160"/>
      <c r="Q214" s="160"/>
      <c r="R214" s="160"/>
      <c r="S214" s="160"/>
      <c r="T214" s="160"/>
      <c r="U214" s="160"/>
      <c r="V214" s="160"/>
      <c r="W214" s="160"/>
      <c r="X214" s="160"/>
      <c r="Y214" s="160"/>
      <c r="Z214" s="160"/>
      <c r="AA214" s="160"/>
      <c r="AB214" s="160"/>
      <c r="AC214" s="160"/>
      <c r="AD214" s="160"/>
      <c r="AE214" s="160"/>
      <c r="AF214" s="160"/>
      <c r="AG214" s="160"/>
      <c r="AH214" s="160"/>
      <c r="AI214" s="160"/>
      <c r="AJ214" s="160"/>
      <c r="AK214" s="160"/>
      <c r="AL214" s="160"/>
      <c r="AM214" s="160"/>
      <c r="AN214" s="160"/>
      <c r="AO214" s="160"/>
      <c r="AP214" s="160"/>
      <c r="AQ214" s="160"/>
      <c r="AR214" s="160"/>
      <c r="AS214" s="160"/>
      <c r="AT214" s="160"/>
      <c r="AU214" s="160"/>
      <c r="AV214" s="160"/>
      <c r="AW214" s="160"/>
      <c r="AX214" s="160"/>
      <c r="AY214" s="160"/>
      <c r="AZ214" s="160"/>
      <c r="BA214" s="160"/>
      <c r="BB214" s="160"/>
      <c r="BC214" s="160"/>
      <c r="BD214" s="160"/>
      <c r="BE214" s="160"/>
      <c r="BF214" s="160"/>
      <c r="BG214" s="160"/>
    </row>
    <row r="215" spans="2:59" x14ac:dyDescent="0.2">
      <c r="B215" s="68" t="str">
        <f>IF(Capacity!B108="","",Capacity!B108)</f>
        <v/>
      </c>
      <c r="C215" s="223" t="str">
        <f>IF(B215="","",Capacity!E108)</f>
        <v/>
      </c>
      <c r="D215" s="317" t="str">
        <f>IF(B215="","",Capacity!F108)</f>
        <v/>
      </c>
      <c r="E215" s="223" t="str">
        <f>IF(B215="","",IF(COUNTIF(H215:BG215,"X")=0,SUM('Capacity calculation (hide)'!H96:BG96),COUNTIF(H215:BG215,"X")))</f>
        <v/>
      </c>
      <c r="F215" s="318" t="str">
        <f>'Capacity calculation (hide)'!BI96</f>
        <v/>
      </c>
      <c r="H215" s="160"/>
      <c r="I215" s="160"/>
      <c r="J215" s="160"/>
      <c r="K215" s="160"/>
      <c r="L215" s="160"/>
      <c r="M215" s="160"/>
      <c r="N215" s="160"/>
      <c r="O215" s="160"/>
      <c r="P215" s="160"/>
      <c r="Q215" s="160"/>
      <c r="R215" s="160"/>
      <c r="S215" s="160"/>
      <c r="T215" s="160"/>
      <c r="U215" s="160"/>
      <c r="V215" s="160"/>
      <c r="W215" s="160"/>
      <c r="X215" s="160"/>
      <c r="Y215" s="160"/>
      <c r="Z215" s="160"/>
      <c r="AA215" s="160"/>
      <c r="AB215" s="160"/>
      <c r="AC215" s="160"/>
      <c r="AD215" s="160"/>
      <c r="AE215" s="160"/>
      <c r="AF215" s="160"/>
      <c r="AG215" s="160"/>
      <c r="AH215" s="160"/>
      <c r="AI215" s="160"/>
      <c r="AJ215" s="160"/>
      <c r="AK215" s="160"/>
      <c r="AL215" s="160"/>
      <c r="AM215" s="160"/>
      <c r="AN215" s="160"/>
      <c r="AO215" s="160"/>
      <c r="AP215" s="160"/>
      <c r="AQ215" s="160"/>
      <c r="AR215" s="160"/>
      <c r="AS215" s="160"/>
      <c r="AT215" s="160"/>
      <c r="AU215" s="160"/>
      <c r="AV215" s="160"/>
      <c r="AW215" s="160"/>
      <c r="AX215" s="160"/>
      <c r="AY215" s="160"/>
      <c r="AZ215" s="160"/>
      <c r="BA215" s="160"/>
      <c r="BB215" s="160"/>
      <c r="BC215" s="160"/>
      <c r="BD215" s="160"/>
      <c r="BE215" s="160"/>
      <c r="BF215" s="160"/>
      <c r="BG215" s="160"/>
    </row>
    <row r="216" spans="2:59" x14ac:dyDescent="0.2">
      <c r="B216" s="68" t="str">
        <f>IF(Capacity!B109="","",Capacity!B109)</f>
        <v/>
      </c>
      <c r="C216" s="223" t="str">
        <f>IF(B216="","",Capacity!E109)</f>
        <v/>
      </c>
      <c r="D216" s="317" t="str">
        <f>IF(B216="","",Capacity!F109)</f>
        <v/>
      </c>
      <c r="E216" s="223" t="str">
        <f>IF(B216="","",IF(COUNTIF(H216:BG216,"X")=0,SUM('Capacity calculation (hide)'!H97:BG97),COUNTIF(H216:BG216,"X")))</f>
        <v/>
      </c>
      <c r="F216" s="318" t="str">
        <f>'Capacity calculation (hide)'!BI97</f>
        <v/>
      </c>
      <c r="H216" s="160"/>
      <c r="I216" s="160"/>
      <c r="J216" s="160"/>
      <c r="K216" s="160"/>
      <c r="L216" s="160"/>
      <c r="M216" s="160"/>
      <c r="N216" s="160"/>
      <c r="O216" s="160"/>
      <c r="P216" s="160"/>
      <c r="Q216" s="160"/>
      <c r="R216" s="160"/>
      <c r="S216" s="160"/>
      <c r="T216" s="160"/>
      <c r="U216" s="160"/>
      <c r="V216" s="160"/>
      <c r="W216" s="160"/>
      <c r="X216" s="160"/>
      <c r="Y216" s="160"/>
      <c r="Z216" s="160"/>
      <c r="AA216" s="160"/>
      <c r="AB216" s="160"/>
      <c r="AC216" s="160"/>
      <c r="AD216" s="160"/>
      <c r="AE216" s="160"/>
      <c r="AF216" s="160"/>
      <c r="AG216" s="160"/>
      <c r="AH216" s="160"/>
      <c r="AI216" s="160"/>
      <c r="AJ216" s="160"/>
      <c r="AK216" s="160"/>
      <c r="AL216" s="160"/>
      <c r="AM216" s="160"/>
      <c r="AN216" s="160"/>
      <c r="AO216" s="160"/>
      <c r="AP216" s="160"/>
      <c r="AQ216" s="160"/>
      <c r="AR216" s="160"/>
      <c r="AS216" s="160"/>
      <c r="AT216" s="160"/>
      <c r="AU216" s="160"/>
      <c r="AV216" s="160"/>
      <c r="AW216" s="160"/>
      <c r="AX216" s="160"/>
      <c r="AY216" s="160"/>
      <c r="AZ216" s="160"/>
      <c r="BA216" s="160"/>
      <c r="BB216" s="160"/>
      <c r="BC216" s="160"/>
      <c r="BD216" s="160"/>
      <c r="BE216" s="160"/>
      <c r="BF216" s="160"/>
      <c r="BG216" s="160"/>
    </row>
    <row r="217" spans="2:59" x14ac:dyDescent="0.2">
      <c r="B217" s="68" t="str">
        <f>IF(Capacity!B110="","",Capacity!B110)</f>
        <v/>
      </c>
      <c r="C217" s="223" t="str">
        <f>IF(B217="","",Capacity!E110)</f>
        <v/>
      </c>
      <c r="D217" s="317" t="str">
        <f>IF(B217="","",Capacity!F110)</f>
        <v/>
      </c>
      <c r="E217" s="223" t="str">
        <f>IF(B217="","",IF(COUNTIF(H217:BG217,"X")=0,SUM('Capacity calculation (hide)'!H98:BG98),COUNTIF(H217:BG217,"X")))</f>
        <v/>
      </c>
      <c r="F217" s="318" t="str">
        <f>'Capacity calculation (hide)'!BI98</f>
        <v/>
      </c>
      <c r="H217" s="160"/>
      <c r="I217" s="160"/>
      <c r="J217" s="160"/>
      <c r="K217" s="160"/>
      <c r="L217" s="160"/>
      <c r="M217" s="160"/>
      <c r="N217" s="160"/>
      <c r="O217" s="160"/>
      <c r="P217" s="160"/>
      <c r="Q217" s="160"/>
      <c r="R217" s="160"/>
      <c r="S217" s="160"/>
      <c r="T217" s="160"/>
      <c r="U217" s="160"/>
      <c r="V217" s="160"/>
      <c r="W217" s="160"/>
      <c r="X217" s="160"/>
      <c r="Y217" s="160"/>
      <c r="Z217" s="160"/>
      <c r="AA217" s="160"/>
      <c r="AB217" s="160"/>
      <c r="AC217" s="160"/>
      <c r="AD217" s="160"/>
      <c r="AE217" s="160"/>
      <c r="AF217" s="160"/>
      <c r="AG217" s="160"/>
      <c r="AH217" s="160"/>
      <c r="AI217" s="160"/>
      <c r="AJ217" s="160"/>
      <c r="AK217" s="160"/>
      <c r="AL217" s="160"/>
      <c r="AM217" s="160"/>
      <c r="AN217" s="160"/>
      <c r="AO217" s="160"/>
      <c r="AP217" s="160"/>
      <c r="AQ217" s="160"/>
      <c r="AR217" s="160"/>
      <c r="AS217" s="160"/>
      <c r="AT217" s="160"/>
      <c r="AU217" s="160"/>
      <c r="AV217" s="160"/>
      <c r="AW217" s="160"/>
      <c r="AX217" s="160"/>
      <c r="AY217" s="160"/>
      <c r="AZ217" s="160"/>
      <c r="BA217" s="160"/>
      <c r="BB217" s="160"/>
      <c r="BC217" s="160"/>
      <c r="BD217" s="160"/>
      <c r="BE217" s="160"/>
      <c r="BF217" s="160"/>
      <c r="BG217" s="160"/>
    </row>
    <row r="218" spans="2:59" x14ac:dyDescent="0.2">
      <c r="B218" s="68" t="str">
        <f>IF(Capacity!B111="","",Capacity!B111)</f>
        <v/>
      </c>
      <c r="C218" s="223" t="str">
        <f>IF(B218="","",Capacity!E111)</f>
        <v/>
      </c>
      <c r="D218" s="317" t="str">
        <f>IF(B218="","",Capacity!F111)</f>
        <v/>
      </c>
      <c r="E218" s="223" t="str">
        <f>IF(B218="","",IF(COUNTIF(H218:BG218,"X")=0,SUM('Capacity calculation (hide)'!H99:BG99),COUNTIF(H218:BG218,"X")))</f>
        <v/>
      </c>
      <c r="F218" s="318" t="str">
        <f>'Capacity calculation (hide)'!BI99</f>
        <v/>
      </c>
      <c r="H218" s="160"/>
      <c r="I218" s="160"/>
      <c r="J218" s="160"/>
      <c r="K218" s="160"/>
      <c r="L218" s="160"/>
      <c r="M218" s="160"/>
      <c r="N218" s="160"/>
      <c r="O218" s="160"/>
      <c r="P218" s="160"/>
      <c r="Q218" s="160"/>
      <c r="R218" s="160"/>
      <c r="S218" s="160"/>
      <c r="T218" s="160"/>
      <c r="U218" s="160"/>
      <c r="V218" s="160"/>
      <c r="W218" s="160"/>
      <c r="X218" s="160"/>
      <c r="Y218" s="160"/>
      <c r="Z218" s="160"/>
      <c r="AA218" s="160"/>
      <c r="AB218" s="160"/>
      <c r="AC218" s="160"/>
      <c r="AD218" s="160"/>
      <c r="AE218" s="160"/>
      <c r="AF218" s="160"/>
      <c r="AG218" s="160"/>
      <c r="AH218" s="160"/>
      <c r="AI218" s="160"/>
      <c r="AJ218" s="160"/>
      <c r="AK218" s="160"/>
      <c r="AL218" s="160"/>
      <c r="AM218" s="160"/>
      <c r="AN218" s="160"/>
      <c r="AO218" s="160"/>
      <c r="AP218" s="160"/>
      <c r="AQ218" s="160"/>
      <c r="AR218" s="160"/>
      <c r="AS218" s="160"/>
      <c r="AT218" s="160"/>
      <c r="AU218" s="160"/>
      <c r="AV218" s="160"/>
      <c r="AW218" s="160"/>
      <c r="AX218" s="160"/>
      <c r="AY218" s="160"/>
      <c r="AZ218" s="160"/>
      <c r="BA218" s="160"/>
      <c r="BB218" s="160"/>
      <c r="BC218" s="160"/>
      <c r="BD218" s="160"/>
      <c r="BE218" s="160"/>
      <c r="BF218" s="160"/>
      <c r="BG218" s="160"/>
    </row>
    <row r="219" spans="2:59" x14ac:dyDescent="0.2">
      <c r="B219" s="68" t="str">
        <f>IF(Capacity!B112="","",Capacity!B112)</f>
        <v/>
      </c>
      <c r="C219" s="223" t="str">
        <f>IF(B219="","",Capacity!E112)</f>
        <v/>
      </c>
      <c r="D219" s="317" t="str">
        <f>IF(B219="","",Capacity!F112)</f>
        <v/>
      </c>
      <c r="E219" s="223" t="str">
        <f>IF(B219="","",IF(COUNTIF(H219:BG219,"X")=0,SUM('Capacity calculation (hide)'!H100:BG100),COUNTIF(H219:BG219,"X")))</f>
        <v/>
      </c>
      <c r="F219" s="318" t="str">
        <f>'Capacity calculation (hide)'!BI100</f>
        <v/>
      </c>
      <c r="H219" s="160"/>
      <c r="I219" s="160"/>
      <c r="J219" s="160"/>
      <c r="K219" s="160"/>
      <c r="L219" s="160"/>
      <c r="M219" s="160"/>
      <c r="N219" s="160"/>
      <c r="O219" s="160"/>
      <c r="P219" s="160"/>
      <c r="Q219" s="160"/>
      <c r="R219" s="160"/>
      <c r="S219" s="160"/>
      <c r="T219" s="160"/>
      <c r="U219" s="160"/>
      <c r="V219" s="160"/>
      <c r="W219" s="160"/>
      <c r="X219" s="160"/>
      <c r="Y219" s="160"/>
      <c r="Z219" s="160"/>
      <c r="AA219" s="160"/>
      <c r="AB219" s="160"/>
      <c r="AC219" s="160"/>
      <c r="AD219" s="160"/>
      <c r="AE219" s="160"/>
      <c r="AF219" s="160"/>
      <c r="AG219" s="160"/>
      <c r="AH219" s="160"/>
      <c r="AI219" s="160"/>
      <c r="AJ219" s="160"/>
      <c r="AK219" s="160"/>
      <c r="AL219" s="160"/>
      <c r="AM219" s="160"/>
      <c r="AN219" s="160"/>
      <c r="AO219" s="160"/>
      <c r="AP219" s="160"/>
      <c r="AQ219" s="160"/>
      <c r="AR219" s="160"/>
      <c r="AS219" s="160"/>
      <c r="AT219" s="160"/>
      <c r="AU219" s="160"/>
      <c r="AV219" s="160"/>
      <c r="AW219" s="160"/>
      <c r="AX219" s="160"/>
      <c r="AY219" s="160"/>
      <c r="AZ219" s="160"/>
      <c r="BA219" s="160"/>
      <c r="BB219" s="160"/>
      <c r="BC219" s="160"/>
      <c r="BD219" s="160"/>
      <c r="BE219" s="160"/>
      <c r="BF219" s="160"/>
      <c r="BG219" s="160"/>
    </row>
    <row r="220" spans="2:59" x14ac:dyDescent="0.2">
      <c r="B220" s="68" t="str">
        <f>IF(Capacity!B113="","",Capacity!B113)</f>
        <v/>
      </c>
      <c r="C220" s="223" t="str">
        <f>IF(B220="","",Capacity!E113)</f>
        <v/>
      </c>
      <c r="D220" s="317" t="str">
        <f>IF(B220="","",Capacity!F113)</f>
        <v/>
      </c>
      <c r="E220" s="223" t="str">
        <f>IF(B220="","",IF(COUNTIF(H220:BG220,"X")=0,SUM('Capacity calculation (hide)'!H101:BG101),COUNTIF(H220:BG220,"X")))</f>
        <v/>
      </c>
      <c r="F220" s="318" t="str">
        <f>'Capacity calculation (hide)'!BI101</f>
        <v/>
      </c>
      <c r="H220" s="160"/>
      <c r="I220" s="160"/>
      <c r="J220" s="160"/>
      <c r="K220" s="160"/>
      <c r="L220" s="160"/>
      <c r="M220" s="160"/>
      <c r="N220" s="160"/>
      <c r="O220" s="160"/>
      <c r="P220" s="160"/>
      <c r="Q220" s="160"/>
      <c r="R220" s="160"/>
      <c r="S220" s="160"/>
      <c r="T220" s="160"/>
      <c r="U220" s="160"/>
      <c r="V220" s="160"/>
      <c r="W220" s="160"/>
      <c r="X220" s="160"/>
      <c r="Y220" s="160"/>
      <c r="Z220" s="160"/>
      <c r="AA220" s="160"/>
      <c r="AB220" s="160"/>
      <c r="AC220" s="160"/>
      <c r="AD220" s="160"/>
      <c r="AE220" s="160"/>
      <c r="AF220" s="160"/>
      <c r="AG220" s="160"/>
      <c r="AH220" s="160"/>
      <c r="AI220" s="160"/>
      <c r="AJ220" s="160"/>
      <c r="AK220" s="160"/>
      <c r="AL220" s="160"/>
      <c r="AM220" s="160"/>
      <c r="AN220" s="160"/>
      <c r="AO220" s="160"/>
      <c r="AP220" s="160"/>
      <c r="AQ220" s="160"/>
      <c r="AR220" s="160"/>
      <c r="AS220" s="160"/>
      <c r="AT220" s="160"/>
      <c r="AU220" s="160"/>
      <c r="AV220" s="160"/>
      <c r="AW220" s="160"/>
      <c r="AX220" s="160"/>
      <c r="AY220" s="160"/>
      <c r="AZ220" s="160"/>
      <c r="BA220" s="160"/>
      <c r="BB220" s="160"/>
      <c r="BC220" s="160"/>
      <c r="BD220" s="160"/>
      <c r="BE220" s="160"/>
      <c r="BF220" s="160"/>
      <c r="BG220" s="160"/>
    </row>
    <row r="221" spans="2:59" x14ac:dyDescent="0.2">
      <c r="B221" s="68" t="str">
        <f>IF(Capacity!B114="","",Capacity!B114)</f>
        <v/>
      </c>
      <c r="C221" s="223" t="str">
        <f>IF(B221="","",Capacity!E114)</f>
        <v/>
      </c>
      <c r="D221" s="317" t="str">
        <f>IF(B221="","",Capacity!F114)</f>
        <v/>
      </c>
      <c r="E221" s="223" t="str">
        <f>IF(B221="","",IF(COUNTIF(H221:BG221,"X")=0,SUM('Capacity calculation (hide)'!H102:BG102),COUNTIF(H221:BG221,"X")))</f>
        <v/>
      </c>
      <c r="F221" s="318" t="str">
        <f>'Capacity calculation (hide)'!BI102</f>
        <v/>
      </c>
      <c r="H221" s="160"/>
      <c r="I221" s="160"/>
      <c r="J221" s="160"/>
      <c r="K221" s="160"/>
      <c r="L221" s="160"/>
      <c r="M221" s="160"/>
      <c r="N221" s="160"/>
      <c r="O221" s="160"/>
      <c r="P221" s="160"/>
      <c r="Q221" s="160"/>
      <c r="R221" s="160"/>
      <c r="S221" s="160"/>
      <c r="T221" s="160"/>
      <c r="U221" s="160"/>
      <c r="V221" s="160"/>
      <c r="W221" s="160"/>
      <c r="X221" s="160"/>
      <c r="Y221" s="160"/>
      <c r="Z221" s="160"/>
      <c r="AA221" s="160"/>
      <c r="AB221" s="160"/>
      <c r="AC221" s="160"/>
      <c r="AD221" s="160"/>
      <c r="AE221" s="160"/>
      <c r="AF221" s="160"/>
      <c r="AG221" s="160"/>
      <c r="AH221" s="160"/>
      <c r="AI221" s="160"/>
      <c r="AJ221" s="160"/>
      <c r="AK221" s="160"/>
      <c r="AL221" s="160"/>
      <c r="AM221" s="160"/>
      <c r="AN221" s="160"/>
      <c r="AO221" s="160"/>
      <c r="AP221" s="160"/>
      <c r="AQ221" s="160"/>
      <c r="AR221" s="160"/>
      <c r="AS221" s="160"/>
      <c r="AT221" s="160"/>
      <c r="AU221" s="160"/>
      <c r="AV221" s="160"/>
      <c r="AW221" s="160"/>
      <c r="AX221" s="160"/>
      <c r="AY221" s="160"/>
      <c r="AZ221" s="160"/>
      <c r="BA221" s="160"/>
      <c r="BB221" s="160"/>
      <c r="BC221" s="160"/>
      <c r="BD221" s="160"/>
      <c r="BE221" s="160"/>
      <c r="BF221" s="160"/>
      <c r="BG221" s="160"/>
    </row>
    <row r="222" spans="2:59" x14ac:dyDescent="0.2">
      <c r="B222" s="68" t="str">
        <f>IF(Capacity!B115="","",Capacity!B115)</f>
        <v/>
      </c>
      <c r="C222" s="223" t="str">
        <f>IF(B222="","",Capacity!E115)</f>
        <v/>
      </c>
      <c r="D222" s="317" t="str">
        <f>IF(B222="","",Capacity!F115)</f>
        <v/>
      </c>
      <c r="E222" s="223" t="str">
        <f>IF(B222="","",IF(COUNTIF(H222:BG222,"X")=0,SUM('Capacity calculation (hide)'!H103:BG103),COUNTIF(H222:BG222,"X")))</f>
        <v/>
      </c>
      <c r="F222" s="318" t="str">
        <f>'Capacity calculation (hide)'!BI103</f>
        <v/>
      </c>
      <c r="H222" s="160"/>
      <c r="I222" s="160"/>
      <c r="J222" s="160"/>
      <c r="K222" s="160"/>
      <c r="L222" s="160"/>
      <c r="M222" s="160"/>
      <c r="N222" s="160"/>
      <c r="O222" s="160"/>
      <c r="P222" s="160"/>
      <c r="Q222" s="160"/>
      <c r="R222" s="160"/>
      <c r="S222" s="160"/>
      <c r="T222" s="160"/>
      <c r="U222" s="160"/>
      <c r="V222" s="160"/>
      <c r="W222" s="160"/>
      <c r="X222" s="160"/>
      <c r="Y222" s="160"/>
      <c r="Z222" s="160"/>
      <c r="AA222" s="160"/>
      <c r="AB222" s="160"/>
      <c r="AC222" s="160"/>
      <c r="AD222" s="160"/>
      <c r="AE222" s="160"/>
      <c r="AF222" s="160"/>
      <c r="AG222" s="160"/>
      <c r="AH222" s="160"/>
      <c r="AI222" s="160"/>
      <c r="AJ222" s="160"/>
      <c r="AK222" s="160"/>
      <c r="AL222" s="160"/>
      <c r="AM222" s="160"/>
      <c r="AN222" s="160"/>
      <c r="AO222" s="160"/>
      <c r="AP222" s="160"/>
      <c r="AQ222" s="160"/>
      <c r="AR222" s="160"/>
      <c r="AS222" s="160"/>
      <c r="AT222" s="160"/>
      <c r="AU222" s="160"/>
      <c r="AV222" s="160"/>
      <c r="AW222" s="160"/>
      <c r="AX222" s="160"/>
      <c r="AY222" s="160"/>
      <c r="AZ222" s="160"/>
      <c r="BA222" s="160"/>
      <c r="BB222" s="160"/>
      <c r="BC222" s="160"/>
      <c r="BD222" s="160"/>
      <c r="BE222" s="160"/>
      <c r="BF222" s="160"/>
      <c r="BG222" s="160"/>
    </row>
    <row r="223" spans="2:59" x14ac:dyDescent="0.2">
      <c r="B223" s="68" t="str">
        <f>IF(Capacity!B116="","",Capacity!B116)</f>
        <v/>
      </c>
      <c r="C223" s="223" t="str">
        <f>IF(B223="","",Capacity!E116)</f>
        <v/>
      </c>
      <c r="D223" s="317" t="str">
        <f>IF(B223="","",Capacity!F116)</f>
        <v/>
      </c>
      <c r="E223" s="223" t="str">
        <f>IF(B223="","",IF(COUNTIF(H223:BG223,"X")=0,SUM('Capacity calculation (hide)'!H104:BG104),COUNTIF(H223:BG223,"X")))</f>
        <v/>
      </c>
      <c r="F223" s="318" t="str">
        <f>'Capacity calculation (hide)'!BI104</f>
        <v/>
      </c>
      <c r="H223" s="160"/>
      <c r="I223" s="160"/>
      <c r="J223" s="160"/>
      <c r="K223" s="160"/>
      <c r="L223" s="160"/>
      <c r="M223" s="160"/>
      <c r="N223" s="160"/>
      <c r="O223" s="160"/>
      <c r="P223" s="160"/>
      <c r="Q223" s="160"/>
      <c r="R223" s="160"/>
      <c r="S223" s="160"/>
      <c r="T223" s="160"/>
      <c r="U223" s="160"/>
      <c r="V223" s="160"/>
      <c r="W223" s="160"/>
      <c r="X223" s="160"/>
      <c r="Y223" s="160"/>
      <c r="Z223" s="160"/>
      <c r="AA223" s="160"/>
      <c r="AB223" s="160"/>
      <c r="AC223" s="160"/>
      <c r="AD223" s="160"/>
      <c r="AE223" s="160"/>
      <c r="AF223" s="160"/>
      <c r="AG223" s="160"/>
      <c r="AH223" s="160"/>
      <c r="AI223" s="160"/>
      <c r="AJ223" s="160"/>
      <c r="AK223" s="160"/>
      <c r="AL223" s="160"/>
      <c r="AM223" s="160"/>
      <c r="AN223" s="160"/>
      <c r="AO223" s="160"/>
      <c r="AP223" s="160"/>
      <c r="AQ223" s="160"/>
      <c r="AR223" s="160"/>
      <c r="AS223" s="160"/>
      <c r="AT223" s="160"/>
      <c r="AU223" s="160"/>
      <c r="AV223" s="160"/>
      <c r="AW223" s="160"/>
      <c r="AX223" s="160"/>
      <c r="AY223" s="160"/>
      <c r="AZ223" s="160"/>
      <c r="BA223" s="160"/>
      <c r="BB223" s="160"/>
      <c r="BC223" s="160"/>
      <c r="BD223" s="160"/>
      <c r="BE223" s="160"/>
      <c r="BF223" s="160"/>
      <c r="BG223" s="160"/>
    </row>
  </sheetData>
  <sheetProtection algorithmName="SHA-512" hashValue="DuU5OnpFimm7c5iJPA3p4omdzYIGopdMiryyLfwRWP/d3j/wU2RQS1QWvpnbE9hOshX6u7QdXFWhLS0G24xQog==" saltValue="2VhBYjnosmD+zw0Whie+DA==" spinCount="100000" sheet="1" objects="1" scenarios="1"/>
  <mergeCells count="5">
    <mergeCell ref="B21:B23"/>
    <mergeCell ref="C21:D22"/>
    <mergeCell ref="E21:F22"/>
    <mergeCell ref="C10:E10"/>
    <mergeCell ref="C11:E11"/>
  </mergeCells>
  <conditionalFormatting sqref="H24:BG123 B24:F123">
    <cfRule type="expression" dxfId="14" priority="7">
      <formula>IF($B24="",FALSE,TRUE)</formula>
    </cfRule>
  </conditionalFormatting>
  <conditionalFormatting sqref="B24:F123">
    <cfRule type="expression" dxfId="13" priority="6">
      <formula>IF($B24&lt;&gt;"",TRUE,FALSE)</formula>
    </cfRule>
  </conditionalFormatting>
  <conditionalFormatting sqref="C21:F23">
    <cfRule type="expression" dxfId="12" priority="5">
      <formula>IF($B$21="Core session",TRUE,FALSE)</formula>
    </cfRule>
  </conditionalFormatting>
  <conditionalFormatting sqref="B124:F223">
    <cfRule type="expression" dxfId="11" priority="3">
      <formula>IF($B124&lt;&gt;"",TRUE,FALSE)</formula>
    </cfRule>
    <cfRule type="expression" dxfId="10" priority="4">
      <formula>IF($B124="",FALSE,TRUE)</formula>
    </cfRule>
  </conditionalFormatting>
  <conditionalFormatting sqref="H124:BG223">
    <cfRule type="expression" dxfId="9" priority="2">
      <formula>IF($B124="", FALSE, TRUE)</formula>
    </cfRule>
  </conditionalFormatting>
  <dataValidations count="1">
    <dataValidation type="list" allowBlank="1" showInputMessage="1" showErrorMessage="1" sqref="B21:B23" xr:uid="{00000000-0002-0000-0F00-000000000000}">
      <formula1>"Ad hoc session, Core session"</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4841" r:id="rId4" name="CAP_Simplified">
              <controlPr defaultSize="0" autoFill="0" autoLine="0" autoPict="0" macro="[0]!Simplified_Calculator_Click">
                <anchor moveWithCells="1">
                  <from>
                    <xdr:col>1</xdr:col>
                    <xdr:colOff>638175</xdr:colOff>
                    <xdr:row>5</xdr:row>
                    <xdr:rowOff>161925</xdr:rowOff>
                  </from>
                  <to>
                    <xdr:col>1</xdr:col>
                    <xdr:colOff>942975</xdr:colOff>
                    <xdr:row>7</xdr:row>
                    <xdr:rowOff>28575</xdr:rowOff>
                  </to>
                </anchor>
              </controlPr>
            </control>
          </mc:Choice>
        </mc:AlternateContent>
        <mc:AlternateContent xmlns:mc="http://schemas.openxmlformats.org/markup-compatibility/2006">
          <mc:Choice Requires="x14">
            <control shapeId="64842" r:id="rId5" name="CAP_Advanced">
              <controlPr defaultSize="0" autoFill="0" autoLine="0" autoPict="0" macro="[0]!Advanced_Calculator_Click">
                <anchor moveWithCells="1">
                  <from>
                    <xdr:col>2</xdr:col>
                    <xdr:colOff>247650</xdr:colOff>
                    <xdr:row>5</xdr:row>
                    <xdr:rowOff>161925</xdr:rowOff>
                  </from>
                  <to>
                    <xdr:col>2</xdr:col>
                    <xdr:colOff>552450</xdr:colOff>
                    <xdr:row>7</xdr:row>
                    <xdr:rowOff>28575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 id="{C604E358-9099-4C3C-8FED-C263D58C96AD}">
            <xm:f>IF(AND('Capacity calculation (hide)'!$E$1=2,'Capacity calculation (hide)'!H112=0),TRUE,FALSE)</xm:f>
            <x14:dxf>
              <fill>
                <patternFill>
                  <bgColor theme="0" tint="-0.34998626667073579"/>
                </patternFill>
              </fill>
            </x14:dxf>
          </x14:cfRule>
          <xm:sqref>H24:BG123</xm:sqref>
        </x14:conditionalFormatting>
        <x14:conditionalFormatting xmlns:xm="http://schemas.microsoft.com/office/excel/2006/main">
          <x14:cfRule type="expression" priority="1" id="{2D5FDE64-7C03-4AE0-9001-41E3F5212F90}">
            <xm:f>IF('Capacity calculation (hide)'!H5=1,FALSE, TRUE)</xm:f>
            <x14:dxf>
              <fill>
                <patternFill>
                  <bgColor theme="0" tint="-0.34998626667073579"/>
                </patternFill>
              </fill>
            </x14:dxf>
          </x14:cfRule>
          <xm:sqref>H124:BG223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F00-000001000000}">
          <x14:formula1>
            <xm:f>OFFSET('Control sheet (hide)'!$AE$2,0,0,Capacity!$A$16+1,1)</xm:f>
          </x14:formula1>
          <xm:sqref>C10</xm:sqref>
        </x14:dataValidation>
        <x14:dataValidation type="list" allowBlank="1" showInputMessage="1" showErrorMessage="1" xr:uid="{00000000-0002-0000-0F00-000002000000}">
          <x14:formula1>
            <xm:f>'Control sheet (hide)'!$C$3:$C$4</xm:f>
          </x14:formula1>
          <xm:sqref>C14:D14</xm:sqref>
        </x14:dataValidation>
        <x14:dataValidation type="list" allowBlank="1" showInputMessage="1" showErrorMessage="1" xr:uid="{00000000-0002-0000-0F00-000003000000}">
          <x14:formula1>
            <xm:f>OFFSET('Capacity calculation (hide)'!$C$111,0,0,Capacity!$M$16+1,1)</xm:f>
          </x14:formula1>
          <xm:sqref>C11</xm:sqref>
        </x14:dataValidation>
        <x14:dataValidation type="list" allowBlank="1" showInputMessage="1" showErrorMessage="1" xr:uid="{00000000-0002-0000-0F00-000004000000}">
          <x14:formula1>
            <xm:f>IF(Setup!$I$17="Patients",'Control sheet (hide)'!$E$2,IF(Setup!$I$17="Minutes",'Control sheet (hide)'!$E$9:$E$10,'Control sheet (hide)'!$E$6:$E$7))</xm:f>
          </x14:formula1>
          <xm:sqref>C16</xm:sqref>
        </x14:dataValidation>
        <x14:dataValidation type="list" allowBlank="1" showInputMessage="1" showErrorMessage="1" xr:uid="{00000000-0002-0000-0F00-000005000000}">
          <x14:formula1>
            <xm:f>IF(OR(AND('Capacity calculation (hide)'!$E$1=2,'Capacity calculation (hide)'!H112=1),'Capacity calculation (hide)'!$E$1=1),'Control sheet (hide)'!$E$28:$E$29,'Control sheet (hide)'!$E$28)</xm:f>
          </x14:formula1>
          <xm:sqref>H24:BG123</xm:sqref>
        </x14:dataValidation>
        <x14:dataValidation type="list" allowBlank="1" showInputMessage="1" showErrorMessage="1" xr:uid="{00000000-0002-0000-0F00-000006000000}">
          <x14:formula1>
            <xm:f>IF(OR(AND('Capacity calculation (hide)'!$E$1=2,'Capacity calculation (hide)'!H5=1),'Capacity calculation (hide)'!$E$1=1),'Control sheet (hide)'!$E$28:$E$29,'Control sheet (hide)'!$E$28)</xm:f>
          </x14:formula1>
          <xm:sqref>H124:BG223</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dimension ref="A1:GY297"/>
  <sheetViews>
    <sheetView workbookViewId="0">
      <selection activeCell="H6" sqref="H6"/>
    </sheetView>
  </sheetViews>
  <sheetFormatPr defaultColWidth="9" defaultRowHeight="14.25" x14ac:dyDescent="0.2"/>
  <cols>
    <col min="1" max="1" width="9.875" style="68" bestFit="1" customWidth="1"/>
    <col min="2" max="2" width="17.875" style="68" bestFit="1" customWidth="1"/>
    <col min="3" max="6" width="10.375" style="68" customWidth="1"/>
    <col min="7" max="7" width="16.625" style="68" customWidth="1"/>
    <col min="8" max="9" width="10.375" style="68" customWidth="1"/>
    <col min="10" max="19" width="9" style="68" customWidth="1"/>
    <col min="20" max="20" width="14.875" style="68" customWidth="1"/>
    <col min="21" max="100" width="9" style="68" customWidth="1"/>
    <col min="101" max="101" width="9.875" style="68" bestFit="1" customWidth="1"/>
    <col min="102" max="103" width="9" style="68"/>
    <col min="104" max="104" width="10" style="68" bestFit="1" customWidth="1"/>
    <col min="105" max="208" width="9" style="68" customWidth="1"/>
    <col min="209" max="16384" width="9" style="68"/>
  </cols>
  <sheetData>
    <row r="1" spans="1:72" x14ac:dyDescent="0.2">
      <c r="B1" s="68" t="s">
        <v>294</v>
      </c>
      <c r="C1" s="68">
        <v>1</v>
      </c>
    </row>
    <row r="2" spans="1:72" x14ac:dyDescent="0.2">
      <c r="A2" s="68" t="s">
        <v>445</v>
      </c>
      <c r="H2" s="68" t="s">
        <v>1176</v>
      </c>
      <c r="I2" s="68">
        <f t="array" aca="1" ref="I2" ca="1">IF(OR(I6:I105-H6:H105&lt;0,K6:K105-J6:J105&lt;0,M6:M105-L6:L105&lt;0,O6:O105-N6:N105&lt;0,Q6:Q105-P6:P105&lt;0),1,0)</f>
        <v>0</v>
      </c>
    </row>
    <row r="3" spans="1:72" x14ac:dyDescent="0.2">
      <c r="T3" s="68" t="s">
        <v>452</v>
      </c>
    </row>
    <row r="4" spans="1:72" ht="15" x14ac:dyDescent="0.25">
      <c r="B4" s="2"/>
      <c r="C4" s="2"/>
      <c r="D4" s="2" t="s">
        <v>471</v>
      </c>
      <c r="E4" s="2"/>
      <c r="F4" s="2"/>
      <c r="G4" s="117"/>
      <c r="H4" s="2" t="s">
        <v>447</v>
      </c>
      <c r="I4" s="2"/>
      <c r="J4" s="2" t="s">
        <v>448</v>
      </c>
      <c r="K4" s="2"/>
      <c r="L4" s="2" t="s">
        <v>449</v>
      </c>
      <c r="M4" s="2"/>
      <c r="N4" s="2" t="s">
        <v>450</v>
      </c>
      <c r="O4" s="2"/>
      <c r="P4" s="2" t="s">
        <v>451</v>
      </c>
      <c r="Q4" s="2"/>
      <c r="U4" s="2" t="s">
        <v>250</v>
      </c>
    </row>
    <row r="5" spans="1:72" ht="15" x14ac:dyDescent="0.25">
      <c r="A5" s="68" t="s">
        <v>1175</v>
      </c>
      <c r="B5" s="2" t="s">
        <v>295</v>
      </c>
      <c r="C5" s="2" t="s">
        <v>250</v>
      </c>
      <c r="D5" s="2" t="s">
        <v>130</v>
      </c>
      <c r="E5" s="2" t="s">
        <v>430</v>
      </c>
      <c r="F5" s="2"/>
      <c r="G5" s="2" t="s">
        <v>446</v>
      </c>
      <c r="H5" s="2" t="s">
        <v>150</v>
      </c>
      <c r="I5" s="2" t="s">
        <v>151</v>
      </c>
      <c r="J5" s="2" t="s">
        <v>150</v>
      </c>
      <c r="K5" s="2" t="s">
        <v>151</v>
      </c>
      <c r="L5" s="2" t="s">
        <v>150</v>
      </c>
      <c r="M5" s="2" t="s">
        <v>151</v>
      </c>
      <c r="N5" s="2" t="s">
        <v>150</v>
      </c>
      <c r="O5" s="2" t="s">
        <v>151</v>
      </c>
      <c r="P5" s="2" t="s">
        <v>150</v>
      </c>
      <c r="Q5" s="2" t="s">
        <v>151</v>
      </c>
      <c r="T5" s="2" t="s">
        <v>453</v>
      </c>
      <c r="U5" s="68">
        <v>1</v>
      </c>
      <c r="V5" s="68">
        <v>2</v>
      </c>
      <c r="W5" s="68">
        <v>3</v>
      </c>
      <c r="X5" s="68">
        <v>4</v>
      </c>
      <c r="Y5" s="68">
        <v>5</v>
      </c>
      <c r="Z5" s="68">
        <v>6</v>
      </c>
      <c r="AA5" s="68">
        <v>7</v>
      </c>
      <c r="AB5" s="68">
        <v>8</v>
      </c>
      <c r="AC5" s="68">
        <v>9</v>
      </c>
      <c r="AD5" s="68">
        <v>10</v>
      </c>
      <c r="AE5" s="68">
        <v>11</v>
      </c>
      <c r="AF5" s="68">
        <v>12</v>
      </c>
      <c r="AG5" s="68">
        <v>13</v>
      </c>
      <c r="AH5" s="68">
        <v>14</v>
      </c>
      <c r="AI5" s="68">
        <v>15</v>
      </c>
      <c r="AJ5" s="68">
        <v>16</v>
      </c>
      <c r="AK5" s="68">
        <v>17</v>
      </c>
      <c r="AL5" s="68">
        <v>18</v>
      </c>
      <c r="AM5" s="68">
        <v>19</v>
      </c>
      <c r="AN5" s="68">
        <v>20</v>
      </c>
      <c r="AO5" s="68">
        <v>21</v>
      </c>
      <c r="AP5" s="68">
        <v>22</v>
      </c>
      <c r="AQ5" s="68">
        <v>23</v>
      </c>
      <c r="AR5" s="68">
        <v>24</v>
      </c>
      <c r="AS5" s="68">
        <v>25</v>
      </c>
      <c r="AT5" s="68">
        <v>26</v>
      </c>
      <c r="AU5" s="68">
        <v>27</v>
      </c>
      <c r="AV5" s="68">
        <v>28</v>
      </c>
      <c r="AW5" s="68">
        <v>29</v>
      </c>
      <c r="AX5" s="68">
        <v>30</v>
      </c>
      <c r="AY5" s="68">
        <v>31</v>
      </c>
      <c r="AZ5" s="68">
        <v>32</v>
      </c>
      <c r="BA5" s="68">
        <v>33</v>
      </c>
      <c r="BB5" s="68">
        <v>34</v>
      </c>
      <c r="BC5" s="68">
        <v>35</v>
      </c>
      <c r="BD5" s="68">
        <v>36</v>
      </c>
      <c r="BE5" s="68">
        <v>37</v>
      </c>
      <c r="BF5" s="68">
        <v>38</v>
      </c>
      <c r="BG5" s="68">
        <v>39</v>
      </c>
      <c r="BH5" s="68">
        <v>40</v>
      </c>
      <c r="BI5" s="68">
        <v>41</v>
      </c>
      <c r="BJ5" s="68">
        <v>42</v>
      </c>
      <c r="BK5" s="68">
        <v>43</v>
      </c>
      <c r="BL5" s="68">
        <v>44</v>
      </c>
      <c r="BM5" s="68">
        <v>45</v>
      </c>
      <c r="BN5" s="68">
        <v>46</v>
      </c>
      <c r="BO5" s="68">
        <v>47</v>
      </c>
      <c r="BP5" s="68">
        <v>48</v>
      </c>
      <c r="BQ5" s="68">
        <v>49</v>
      </c>
      <c r="BR5" s="68">
        <v>50</v>
      </c>
      <c r="BS5" s="68">
        <v>51</v>
      </c>
      <c r="BT5" s="68">
        <v>52</v>
      </c>
    </row>
    <row r="6" spans="1:72" x14ac:dyDescent="0.2">
      <c r="A6" s="327">
        <f ca="1">B6+6</f>
        <v>43590</v>
      </c>
      <c r="B6" s="88">
        <f ca="1">IF('Critical resources'!$D$3="",TODAY()-WEEKDAY(TODAY(),3)+7,'Critical resources'!D3-WEEKDAY('Critical resources'!D3,3))</f>
        <v>43584</v>
      </c>
      <c r="C6" s="68">
        <v>1</v>
      </c>
      <c r="D6" s="68">
        <f ca="1">YEAR(B6)</f>
        <v>2019</v>
      </c>
      <c r="E6" s="68" t="str">
        <f t="shared" ref="E6:E54" ca="1" si="0">IF(TEXT(B6,"MMM")=TEXT(B5,"MMM")," ",TEXT(B6,"MMM"))</f>
        <v>Apr</v>
      </c>
      <c r="F6" s="68">
        <f ca="1">WEEKNUM(B6,21)</f>
        <v>18</v>
      </c>
      <c r="G6" s="68" t="str">
        <f>ROW(A1)&amp;". "&amp;'Critical resources'!B12</f>
        <v>1. Consultant: Mr Smith</v>
      </c>
      <c r="H6" s="68">
        <f ca="1">IFERROR(VLOOKUP('Critical resources'!D12,$B$6:$C$57,2,0),0)</f>
        <v>1</v>
      </c>
      <c r="I6" s="68">
        <f ca="1">IFERROR(VLOOKUP('Critical resources'!E12,$A$6:$C$57,3,0),0)</f>
        <v>2</v>
      </c>
      <c r="J6" s="68">
        <f ca="1">IFERROR(VLOOKUP('Critical resources'!G12,$B$6:$C$57,2,0),0)</f>
        <v>3</v>
      </c>
      <c r="K6" s="68">
        <f ca="1">IFERROR(VLOOKUP('Critical resources'!H12,$A$6:$C$57,3,0),0)</f>
        <v>5</v>
      </c>
      <c r="L6" s="68">
        <f ca="1">IFERROR(VLOOKUP('Critical resources'!J12,$B$6:$C$57,2,0),0)</f>
        <v>21</v>
      </c>
      <c r="M6" s="68">
        <f ca="1">IFERROR(VLOOKUP('Critical resources'!K12,$A$6:$C$57,3,0),0)</f>
        <v>24</v>
      </c>
      <c r="N6" s="68">
        <f ca="1">IFERROR(VLOOKUP('Critical resources'!M12,$B$6:$C$57,2,0),0)</f>
        <v>41</v>
      </c>
      <c r="O6" s="68">
        <f ca="1">IFERROR(VLOOKUP('Critical resources'!N12,$A$6:$C$57,3,0),0)</f>
        <v>41</v>
      </c>
      <c r="P6" s="68">
        <f ca="1">IFERROR(VLOOKUP('Critical resources'!P12,$B$6:$C$57,2,0),0)</f>
        <v>0</v>
      </c>
      <c r="Q6" s="68">
        <f ca="1">IFERROR(VLOOKUP('Critical resources'!Q12,$A$6:$C$57,3,0),0)</f>
        <v>0</v>
      </c>
      <c r="T6" s="68" t="str">
        <f t="shared" ref="T6:T37" si="1">G6</f>
        <v>1. Consultant: Mr Smith</v>
      </c>
      <c r="U6" s="68">
        <f ca="1">SUM(IFERROR(IF(AND(U$5&gt;=$H6,U$5&lt;=$I6),1,0),0),IFERROR(IF(AND(U$5&gt;=$J6,U$5&lt;=$K6),1,0),0),IFERROR(IF(AND(U$5&gt;=$L6,U$5&lt;=$M6),1,0),0),IFERROR(IF(AND(U$5&gt;=$N6,U$5&lt;=$O6),1,0),0),IFERROR(IF(AND(U$5&gt;=$P6,U$5&lt;=$Q6),1,0),0))</f>
        <v>1</v>
      </c>
      <c r="V6" s="68">
        <f t="shared" ref="V6:AK21" ca="1" si="2">SUM(IFERROR(IF(AND(V$5&gt;=$H6,V$5&lt;=$I6),1,0),0),IFERROR(IF(AND(V$5&gt;=$J6,V$5&lt;=$K6),1,0),0),IFERROR(IF(AND(V$5&gt;=$L6,V$5&lt;=$M6),1,0),0),IFERROR(IF(AND(V$5&gt;=$N6,V$5&lt;=$O6),1,0),0),IFERROR(IF(AND(V$5&gt;=$P6,V$5&lt;=$Q6),1,0),0))</f>
        <v>1</v>
      </c>
      <c r="W6" s="68">
        <f t="shared" ca="1" si="2"/>
        <v>1</v>
      </c>
      <c r="X6" s="68">
        <f t="shared" ca="1" si="2"/>
        <v>1</v>
      </c>
      <c r="Y6" s="68">
        <f t="shared" ca="1" si="2"/>
        <v>1</v>
      </c>
      <c r="Z6" s="68">
        <f t="shared" ca="1" si="2"/>
        <v>0</v>
      </c>
      <c r="AA6" s="68">
        <f t="shared" ca="1" si="2"/>
        <v>0</v>
      </c>
      <c r="AB6" s="68">
        <f t="shared" ca="1" si="2"/>
        <v>0</v>
      </c>
      <c r="AC6" s="68">
        <f t="shared" ca="1" si="2"/>
        <v>0</v>
      </c>
      <c r="AD6" s="68">
        <f t="shared" ca="1" si="2"/>
        <v>0</v>
      </c>
      <c r="AE6" s="68">
        <f t="shared" ca="1" si="2"/>
        <v>0</v>
      </c>
      <c r="AF6" s="68">
        <f t="shared" ca="1" si="2"/>
        <v>0</v>
      </c>
      <c r="AG6" s="68">
        <f t="shared" ca="1" si="2"/>
        <v>0</v>
      </c>
      <c r="AH6" s="68">
        <f t="shared" ca="1" si="2"/>
        <v>0</v>
      </c>
      <c r="AI6" s="68">
        <f t="shared" ca="1" si="2"/>
        <v>0</v>
      </c>
      <c r="AJ6" s="68">
        <f t="shared" ca="1" si="2"/>
        <v>0</v>
      </c>
      <c r="AK6" s="68">
        <f t="shared" ca="1" si="2"/>
        <v>0</v>
      </c>
      <c r="AL6" s="68">
        <f t="shared" ref="AL6:BA21" ca="1" si="3">SUM(IFERROR(IF(AND(AL$5&gt;=$H6,AL$5&lt;=$I6),1,0),0),IFERROR(IF(AND(AL$5&gt;=$J6,AL$5&lt;=$K6),1,0),0),IFERROR(IF(AND(AL$5&gt;=$L6,AL$5&lt;=$M6),1,0),0),IFERROR(IF(AND(AL$5&gt;=$N6,AL$5&lt;=$O6),1,0),0),IFERROR(IF(AND(AL$5&gt;=$P6,AL$5&lt;=$Q6),1,0),0))</f>
        <v>0</v>
      </c>
      <c r="AM6" s="68">
        <f t="shared" ca="1" si="3"/>
        <v>0</v>
      </c>
      <c r="AN6" s="68">
        <f t="shared" ca="1" si="3"/>
        <v>0</v>
      </c>
      <c r="AO6" s="68">
        <f t="shared" ca="1" si="3"/>
        <v>1</v>
      </c>
      <c r="AP6" s="68">
        <f t="shared" ca="1" si="3"/>
        <v>1</v>
      </c>
      <c r="AQ6" s="68">
        <f t="shared" ca="1" si="3"/>
        <v>1</v>
      </c>
      <c r="AR6" s="68">
        <f t="shared" ca="1" si="3"/>
        <v>1</v>
      </c>
      <c r="AS6" s="68">
        <f t="shared" ca="1" si="3"/>
        <v>0</v>
      </c>
      <c r="AT6" s="68">
        <f t="shared" ca="1" si="3"/>
        <v>0</v>
      </c>
      <c r="AU6" s="68">
        <f t="shared" ca="1" si="3"/>
        <v>0</v>
      </c>
      <c r="AV6" s="68">
        <f t="shared" ca="1" si="3"/>
        <v>0</v>
      </c>
      <c r="AW6" s="68">
        <f t="shared" ca="1" si="3"/>
        <v>0</v>
      </c>
      <c r="AX6" s="68">
        <f t="shared" ca="1" si="3"/>
        <v>0</v>
      </c>
      <c r="AY6" s="68">
        <f t="shared" ca="1" si="3"/>
        <v>0</v>
      </c>
      <c r="AZ6" s="68">
        <f t="shared" ca="1" si="3"/>
        <v>0</v>
      </c>
      <c r="BA6" s="68">
        <f t="shared" ca="1" si="3"/>
        <v>0</v>
      </c>
      <c r="BB6" s="68">
        <f t="shared" ref="BB6:BQ21" ca="1" si="4">SUM(IFERROR(IF(AND(BB$5&gt;=$H6,BB$5&lt;=$I6),1,0),0),IFERROR(IF(AND(BB$5&gt;=$J6,BB$5&lt;=$K6),1,0),0),IFERROR(IF(AND(BB$5&gt;=$L6,BB$5&lt;=$M6),1,0),0),IFERROR(IF(AND(BB$5&gt;=$N6,BB$5&lt;=$O6),1,0),0),IFERROR(IF(AND(BB$5&gt;=$P6,BB$5&lt;=$Q6),1,0),0))</f>
        <v>0</v>
      </c>
      <c r="BC6" s="68">
        <f t="shared" ca="1" si="4"/>
        <v>0</v>
      </c>
      <c r="BD6" s="68">
        <f t="shared" ca="1" si="4"/>
        <v>0</v>
      </c>
      <c r="BE6" s="68">
        <f t="shared" ca="1" si="4"/>
        <v>0</v>
      </c>
      <c r="BF6" s="68">
        <f t="shared" ca="1" si="4"/>
        <v>0</v>
      </c>
      <c r="BG6" s="68">
        <f t="shared" ca="1" si="4"/>
        <v>0</v>
      </c>
      <c r="BH6" s="68">
        <f t="shared" ca="1" si="4"/>
        <v>0</v>
      </c>
      <c r="BI6" s="68">
        <f t="shared" ca="1" si="4"/>
        <v>1</v>
      </c>
      <c r="BJ6" s="68">
        <f t="shared" ca="1" si="4"/>
        <v>0</v>
      </c>
      <c r="BK6" s="68">
        <f t="shared" ca="1" si="4"/>
        <v>0</v>
      </c>
      <c r="BL6" s="68">
        <f t="shared" ca="1" si="4"/>
        <v>0</v>
      </c>
      <c r="BM6" s="68">
        <f t="shared" ca="1" si="4"/>
        <v>0</v>
      </c>
      <c r="BN6" s="68">
        <f t="shared" ca="1" si="4"/>
        <v>0</v>
      </c>
      <c r="BO6" s="68">
        <f t="shared" ca="1" si="4"/>
        <v>0</v>
      </c>
      <c r="BP6" s="68">
        <f t="shared" ca="1" si="4"/>
        <v>0</v>
      </c>
      <c r="BQ6" s="68">
        <f t="shared" ca="1" si="4"/>
        <v>0</v>
      </c>
      <c r="BR6" s="68">
        <f t="shared" ref="BR6:BT25" ca="1" si="5">SUM(IFERROR(IF(AND(BR$5&gt;=$H6,BR$5&lt;=$I6),1,0),0),IFERROR(IF(AND(BR$5&gt;=$J6,BR$5&lt;=$K6),1,0),0),IFERROR(IF(AND(BR$5&gt;=$L6,BR$5&lt;=$M6),1,0),0),IFERROR(IF(AND(BR$5&gt;=$N6,BR$5&lt;=$O6),1,0),0),IFERROR(IF(AND(BR$5&gt;=$P6,BR$5&lt;=$Q6),1,0),0))</f>
        <v>0</v>
      </c>
      <c r="BS6" s="68">
        <f t="shared" ca="1" si="5"/>
        <v>0</v>
      </c>
      <c r="BT6" s="68">
        <f t="shared" ca="1" si="5"/>
        <v>0</v>
      </c>
    </row>
    <row r="7" spans="1:72" x14ac:dyDescent="0.2">
      <c r="A7" s="327">
        <f t="shared" ref="A7:A57" ca="1" si="6">B7+6</f>
        <v>43597</v>
      </c>
      <c r="B7" s="88">
        <f ca="1">B6+7</f>
        <v>43591</v>
      </c>
      <c r="C7" s="68">
        <v>2</v>
      </c>
      <c r="D7" s="68" t="str">
        <f ca="1">IF(YEAR(B7)=YEAR(B6),"",YEAR(B7))</f>
        <v/>
      </c>
      <c r="E7" s="68" t="str">
        <f t="shared" ca="1" si="0"/>
        <v>May</v>
      </c>
      <c r="F7" s="68">
        <f t="shared" ref="F7:F57" ca="1" si="7">WEEKNUM(B7,21)</f>
        <v>19</v>
      </c>
      <c r="G7" s="68" t="str">
        <f>ROW(A2)&amp;". "&amp;'Critical resources'!B13</f>
        <v>2. Consultant: Ms Taylor</v>
      </c>
      <c r="H7" s="68">
        <f ca="1">IFERROR(VLOOKUP('Critical resources'!D13,$B$6:$C$57,2,0),0)</f>
        <v>34</v>
      </c>
      <c r="I7" s="68">
        <f ca="1">IFERROR(VLOOKUP('Critical resources'!E13,$A$6:$C$57,3,0),0)</f>
        <v>38</v>
      </c>
      <c r="J7" s="68">
        <f ca="1">IFERROR(VLOOKUP('Critical resources'!G13,$B$6:$C$57,2,0),0)</f>
        <v>0</v>
      </c>
      <c r="K7" s="68">
        <f ca="1">IFERROR(VLOOKUP('Critical resources'!H13,$B$6:$C$57,2,0),0)</f>
        <v>0</v>
      </c>
      <c r="L7" s="68">
        <f ca="1">IFERROR(VLOOKUP('Critical resources'!J13,$B$6:$C$57,2,0),0)</f>
        <v>0</v>
      </c>
      <c r="M7" s="68">
        <f ca="1">IFERROR(VLOOKUP('Critical resources'!K13,$A$6:$C$57,3,0),0)</f>
        <v>0</v>
      </c>
      <c r="N7" s="68">
        <f ca="1">IFERROR(VLOOKUP('Critical resources'!M13,$B$6:$C$57,2,0),0)</f>
        <v>0</v>
      </c>
      <c r="O7" s="68">
        <f ca="1">IFERROR(VLOOKUP('Critical resources'!N13,$A$6:$C$57,3,0),0)</f>
        <v>0</v>
      </c>
      <c r="P7" s="68">
        <f ca="1">IFERROR(VLOOKUP('Critical resources'!P13,$B$6:$C$57,2,0),0)</f>
        <v>0</v>
      </c>
      <c r="Q7" s="68">
        <f ca="1">IFERROR(VLOOKUP('Critical resources'!Q13,$A$6:$C$57,3,0),0)</f>
        <v>0</v>
      </c>
      <c r="T7" s="68" t="str">
        <f t="shared" si="1"/>
        <v>2. Consultant: Ms Taylor</v>
      </c>
      <c r="U7" s="68">
        <f t="shared" ref="U7:AJ22" ca="1" si="8">SUM(IFERROR(IF(AND(U$5&gt;=$H7,U$5&lt;=$I7),1,0),0),IFERROR(IF(AND(U$5&gt;=$J7,U$5&lt;=$K7),1,0),0),IFERROR(IF(AND(U$5&gt;=$L7,U$5&lt;=$M7),1,0),0),IFERROR(IF(AND(U$5&gt;=$N7,U$5&lt;=$O7),1,0),0),IFERROR(IF(AND(U$5&gt;=$P7,U$5&lt;=$Q7),1,0),0))</f>
        <v>0</v>
      </c>
      <c r="V7" s="68">
        <f t="shared" ca="1" si="2"/>
        <v>0</v>
      </c>
      <c r="W7" s="68">
        <f t="shared" ca="1" si="2"/>
        <v>0</v>
      </c>
      <c r="X7" s="68">
        <f t="shared" ca="1" si="2"/>
        <v>0</v>
      </c>
      <c r="Y7" s="68">
        <f t="shared" ca="1" si="2"/>
        <v>0</v>
      </c>
      <c r="Z7" s="68">
        <f t="shared" ca="1" si="2"/>
        <v>0</v>
      </c>
      <c r="AA7" s="68">
        <f t="shared" ca="1" si="2"/>
        <v>0</v>
      </c>
      <c r="AB7" s="68">
        <f t="shared" ca="1" si="2"/>
        <v>0</v>
      </c>
      <c r="AC7" s="68">
        <f t="shared" ca="1" si="2"/>
        <v>0</v>
      </c>
      <c r="AD7" s="68">
        <f t="shared" ca="1" si="2"/>
        <v>0</v>
      </c>
      <c r="AE7" s="68">
        <f t="shared" ca="1" si="2"/>
        <v>0</v>
      </c>
      <c r="AF7" s="68">
        <f t="shared" ca="1" si="2"/>
        <v>0</v>
      </c>
      <c r="AG7" s="68">
        <f t="shared" ca="1" si="2"/>
        <v>0</v>
      </c>
      <c r="AH7" s="68">
        <f t="shared" ca="1" si="2"/>
        <v>0</v>
      </c>
      <c r="AI7" s="68">
        <f t="shared" ca="1" si="2"/>
        <v>0</v>
      </c>
      <c r="AJ7" s="68">
        <f t="shared" ca="1" si="2"/>
        <v>0</v>
      </c>
      <c r="AK7" s="68">
        <f t="shared" ca="1" si="2"/>
        <v>0</v>
      </c>
      <c r="AL7" s="68">
        <f t="shared" ca="1" si="3"/>
        <v>0</v>
      </c>
      <c r="AM7" s="68">
        <f t="shared" ca="1" si="3"/>
        <v>0</v>
      </c>
      <c r="AN7" s="68">
        <f t="shared" ca="1" si="3"/>
        <v>0</v>
      </c>
      <c r="AO7" s="68">
        <f t="shared" ca="1" si="3"/>
        <v>0</v>
      </c>
      <c r="AP7" s="68">
        <f t="shared" ca="1" si="3"/>
        <v>0</v>
      </c>
      <c r="AQ7" s="68">
        <f t="shared" ca="1" si="3"/>
        <v>0</v>
      </c>
      <c r="AR7" s="68">
        <f t="shared" ca="1" si="3"/>
        <v>0</v>
      </c>
      <c r="AS7" s="68">
        <f t="shared" ca="1" si="3"/>
        <v>0</v>
      </c>
      <c r="AT7" s="68">
        <f t="shared" ca="1" si="3"/>
        <v>0</v>
      </c>
      <c r="AU7" s="68">
        <f t="shared" ca="1" si="3"/>
        <v>0</v>
      </c>
      <c r="AV7" s="68">
        <f t="shared" ca="1" si="3"/>
        <v>0</v>
      </c>
      <c r="AW7" s="68">
        <f t="shared" ca="1" si="3"/>
        <v>0</v>
      </c>
      <c r="AX7" s="68">
        <f t="shared" ca="1" si="3"/>
        <v>0</v>
      </c>
      <c r="AY7" s="68">
        <f t="shared" ca="1" si="3"/>
        <v>0</v>
      </c>
      <c r="AZ7" s="68">
        <f t="shared" ca="1" si="3"/>
        <v>0</v>
      </c>
      <c r="BA7" s="68">
        <f t="shared" ca="1" si="3"/>
        <v>0</v>
      </c>
      <c r="BB7" s="68">
        <f t="shared" ca="1" si="4"/>
        <v>1</v>
      </c>
      <c r="BC7" s="68">
        <f t="shared" ca="1" si="4"/>
        <v>1</v>
      </c>
      <c r="BD7" s="68">
        <f t="shared" ca="1" si="4"/>
        <v>1</v>
      </c>
      <c r="BE7" s="68">
        <f t="shared" ca="1" si="4"/>
        <v>1</v>
      </c>
      <c r="BF7" s="68">
        <f t="shared" ca="1" si="4"/>
        <v>1</v>
      </c>
      <c r="BG7" s="68">
        <f t="shared" ca="1" si="4"/>
        <v>0</v>
      </c>
      <c r="BH7" s="68">
        <f t="shared" ca="1" si="4"/>
        <v>0</v>
      </c>
      <c r="BI7" s="68">
        <f t="shared" ca="1" si="4"/>
        <v>0</v>
      </c>
      <c r="BJ7" s="68">
        <f t="shared" ca="1" si="4"/>
        <v>0</v>
      </c>
      <c r="BK7" s="68">
        <f t="shared" ca="1" si="4"/>
        <v>0</v>
      </c>
      <c r="BL7" s="68">
        <f t="shared" ca="1" si="4"/>
        <v>0</v>
      </c>
      <c r="BM7" s="68">
        <f t="shared" ca="1" si="4"/>
        <v>0</v>
      </c>
      <c r="BN7" s="68">
        <f t="shared" ca="1" si="4"/>
        <v>0</v>
      </c>
      <c r="BO7" s="68">
        <f t="shared" ca="1" si="4"/>
        <v>0</v>
      </c>
      <c r="BP7" s="68">
        <f t="shared" ca="1" si="4"/>
        <v>0</v>
      </c>
      <c r="BQ7" s="68">
        <f t="shared" ca="1" si="4"/>
        <v>0</v>
      </c>
      <c r="BR7" s="68">
        <f t="shared" ca="1" si="5"/>
        <v>0</v>
      </c>
      <c r="BS7" s="68">
        <f t="shared" ca="1" si="5"/>
        <v>0</v>
      </c>
      <c r="BT7" s="68">
        <f t="shared" ca="1" si="5"/>
        <v>0</v>
      </c>
    </row>
    <row r="8" spans="1:72" x14ac:dyDescent="0.2">
      <c r="A8" s="327">
        <f t="shared" ca="1" si="6"/>
        <v>43604</v>
      </c>
      <c r="B8" s="88">
        <f t="shared" ref="B8:B57" ca="1" si="9">B7+7</f>
        <v>43598</v>
      </c>
      <c r="C8" s="68">
        <v>3</v>
      </c>
      <c r="D8" s="68" t="str">
        <f t="shared" ref="D8:D57" ca="1" si="10">IF(YEAR(B8)=YEAR(B7),"",YEAR(B8))</f>
        <v/>
      </c>
      <c r="E8" s="68" t="str">
        <f t="shared" ca="1" si="0"/>
        <v xml:space="preserve"> </v>
      </c>
      <c r="F8" s="68">
        <f t="shared" ca="1" si="7"/>
        <v>20</v>
      </c>
      <c r="G8" s="68" t="str">
        <f>ROW(A3)&amp;". "&amp;'Critical resources'!B14</f>
        <v>3. CT Scanner 1</v>
      </c>
      <c r="H8" s="68">
        <f ca="1">IFERROR(VLOOKUP('Critical resources'!D14,$B$6:$C$57,2,0),0)</f>
        <v>15</v>
      </c>
      <c r="I8" s="68">
        <f ca="1">IFERROR(VLOOKUP('Critical resources'!E14,$A$6:$C$57,3,0),0)</f>
        <v>20</v>
      </c>
      <c r="J8" s="68">
        <f ca="1">IFERROR(VLOOKUP('Critical resources'!G14,$B$6:$C$57,2,0),0)</f>
        <v>0</v>
      </c>
      <c r="K8" s="68">
        <f ca="1">IFERROR(VLOOKUP('Critical resources'!H14,$B$6:$C$57,2,0),0)</f>
        <v>0</v>
      </c>
      <c r="L8" s="68">
        <f ca="1">IFERROR(VLOOKUP('Critical resources'!J14,$B$6:$C$57,2,0),0)</f>
        <v>0</v>
      </c>
      <c r="M8" s="68">
        <f ca="1">IFERROR(VLOOKUP('Critical resources'!K14,$A$6:$C$57,3,0),0)</f>
        <v>0</v>
      </c>
      <c r="N8" s="68">
        <f ca="1">IFERROR(VLOOKUP('Critical resources'!M14,$B$6:$C$57,2,0),0)</f>
        <v>0</v>
      </c>
      <c r="O8" s="68">
        <f ca="1">IFERROR(VLOOKUP('Critical resources'!N14,$A$6:$C$57,3,0),0)</f>
        <v>0</v>
      </c>
      <c r="P8" s="68">
        <f ca="1">IFERROR(VLOOKUP('Critical resources'!P14,$B$6:$C$57,2,0),0)</f>
        <v>0</v>
      </c>
      <c r="Q8" s="68">
        <f ca="1">IFERROR(VLOOKUP('Critical resources'!Q14,$A$6:$C$57,3,0),0)</f>
        <v>0</v>
      </c>
      <c r="T8" s="68" t="str">
        <f t="shared" si="1"/>
        <v>3. CT Scanner 1</v>
      </c>
      <c r="U8" s="68">
        <f t="shared" ca="1" si="8"/>
        <v>0</v>
      </c>
      <c r="V8" s="68">
        <f t="shared" ca="1" si="2"/>
        <v>0</v>
      </c>
      <c r="W8" s="68">
        <f t="shared" ca="1" si="2"/>
        <v>0</v>
      </c>
      <c r="X8" s="68">
        <f t="shared" ca="1" si="2"/>
        <v>0</v>
      </c>
      <c r="Y8" s="68">
        <f t="shared" ca="1" si="2"/>
        <v>0</v>
      </c>
      <c r="Z8" s="68">
        <f t="shared" ca="1" si="2"/>
        <v>0</v>
      </c>
      <c r="AA8" s="68">
        <f t="shared" ca="1" si="2"/>
        <v>0</v>
      </c>
      <c r="AB8" s="68">
        <f t="shared" ca="1" si="2"/>
        <v>0</v>
      </c>
      <c r="AC8" s="68">
        <f t="shared" ca="1" si="2"/>
        <v>0</v>
      </c>
      <c r="AD8" s="68">
        <f t="shared" ca="1" si="2"/>
        <v>0</v>
      </c>
      <c r="AE8" s="68">
        <f t="shared" ca="1" si="2"/>
        <v>0</v>
      </c>
      <c r="AF8" s="68">
        <f t="shared" ca="1" si="2"/>
        <v>0</v>
      </c>
      <c r="AG8" s="68">
        <f t="shared" ca="1" si="2"/>
        <v>0</v>
      </c>
      <c r="AH8" s="68">
        <f t="shared" ca="1" si="2"/>
        <v>0</v>
      </c>
      <c r="AI8" s="68">
        <f t="shared" ca="1" si="2"/>
        <v>1</v>
      </c>
      <c r="AJ8" s="68">
        <f t="shared" ca="1" si="2"/>
        <v>1</v>
      </c>
      <c r="AK8" s="68">
        <f t="shared" ca="1" si="2"/>
        <v>1</v>
      </c>
      <c r="AL8" s="68">
        <f t="shared" ca="1" si="3"/>
        <v>1</v>
      </c>
      <c r="AM8" s="68">
        <f t="shared" ca="1" si="3"/>
        <v>1</v>
      </c>
      <c r="AN8" s="68">
        <f t="shared" ca="1" si="3"/>
        <v>1</v>
      </c>
      <c r="AO8" s="68">
        <f t="shared" ca="1" si="3"/>
        <v>0</v>
      </c>
      <c r="AP8" s="68">
        <f t="shared" ca="1" si="3"/>
        <v>0</v>
      </c>
      <c r="AQ8" s="68">
        <f t="shared" ca="1" si="3"/>
        <v>0</v>
      </c>
      <c r="AR8" s="68">
        <f t="shared" ca="1" si="3"/>
        <v>0</v>
      </c>
      <c r="AS8" s="68">
        <f t="shared" ca="1" si="3"/>
        <v>0</v>
      </c>
      <c r="AT8" s="68">
        <f t="shared" ca="1" si="3"/>
        <v>0</v>
      </c>
      <c r="AU8" s="68">
        <f t="shared" ca="1" si="3"/>
        <v>0</v>
      </c>
      <c r="AV8" s="68">
        <f t="shared" ca="1" si="3"/>
        <v>0</v>
      </c>
      <c r="AW8" s="68">
        <f t="shared" ca="1" si="3"/>
        <v>0</v>
      </c>
      <c r="AX8" s="68">
        <f t="shared" ca="1" si="3"/>
        <v>0</v>
      </c>
      <c r="AY8" s="68">
        <f t="shared" ca="1" si="3"/>
        <v>0</v>
      </c>
      <c r="AZ8" s="68">
        <f t="shared" ca="1" si="3"/>
        <v>0</v>
      </c>
      <c r="BA8" s="68">
        <f t="shared" ca="1" si="3"/>
        <v>0</v>
      </c>
      <c r="BB8" s="68">
        <f t="shared" ca="1" si="4"/>
        <v>0</v>
      </c>
      <c r="BC8" s="68">
        <f t="shared" ca="1" si="4"/>
        <v>0</v>
      </c>
      <c r="BD8" s="68">
        <f t="shared" ca="1" si="4"/>
        <v>0</v>
      </c>
      <c r="BE8" s="68">
        <f t="shared" ca="1" si="4"/>
        <v>0</v>
      </c>
      <c r="BF8" s="68">
        <f t="shared" ca="1" si="4"/>
        <v>0</v>
      </c>
      <c r="BG8" s="68">
        <f t="shared" ca="1" si="4"/>
        <v>0</v>
      </c>
      <c r="BH8" s="68">
        <f t="shared" ca="1" si="4"/>
        <v>0</v>
      </c>
      <c r="BI8" s="68">
        <f t="shared" ca="1" si="4"/>
        <v>0</v>
      </c>
      <c r="BJ8" s="68">
        <f t="shared" ca="1" si="4"/>
        <v>0</v>
      </c>
      <c r="BK8" s="68">
        <f t="shared" ca="1" si="4"/>
        <v>0</v>
      </c>
      <c r="BL8" s="68">
        <f t="shared" ca="1" si="4"/>
        <v>0</v>
      </c>
      <c r="BM8" s="68">
        <f t="shared" ca="1" si="4"/>
        <v>0</v>
      </c>
      <c r="BN8" s="68">
        <f t="shared" ca="1" si="4"/>
        <v>0</v>
      </c>
      <c r="BO8" s="68">
        <f t="shared" ca="1" si="4"/>
        <v>0</v>
      </c>
      <c r="BP8" s="68">
        <f t="shared" ca="1" si="4"/>
        <v>0</v>
      </c>
      <c r="BQ8" s="68">
        <f t="shared" ca="1" si="4"/>
        <v>0</v>
      </c>
      <c r="BR8" s="68">
        <f t="shared" ca="1" si="5"/>
        <v>0</v>
      </c>
      <c r="BS8" s="68">
        <f t="shared" ca="1" si="5"/>
        <v>0</v>
      </c>
      <c r="BT8" s="68">
        <f t="shared" ca="1" si="5"/>
        <v>0</v>
      </c>
    </row>
    <row r="9" spans="1:72" x14ac:dyDescent="0.2">
      <c r="A9" s="327">
        <f t="shared" ca="1" si="6"/>
        <v>43611</v>
      </c>
      <c r="B9" s="88">
        <f t="shared" ca="1" si="9"/>
        <v>43605</v>
      </c>
      <c r="C9" s="68">
        <v>4</v>
      </c>
      <c r="D9" s="68" t="str">
        <f t="shared" ca="1" si="10"/>
        <v/>
      </c>
      <c r="E9" s="68" t="str">
        <f t="shared" ca="1" si="0"/>
        <v xml:space="preserve"> </v>
      </c>
      <c r="F9" s="68">
        <f t="shared" ca="1" si="7"/>
        <v>21</v>
      </c>
      <c r="G9" s="68" t="str">
        <f>ROW(A4)&amp;". "&amp;'Critical resources'!B15</f>
        <v>4. CT Scanner 2</v>
      </c>
      <c r="H9" s="68">
        <f ca="1">IFERROR(VLOOKUP('Critical resources'!D15,$B$6:$C$57,2,0),0)</f>
        <v>0</v>
      </c>
      <c r="I9" s="68">
        <f ca="1">IFERROR(VLOOKUP('Critical resources'!E15,$A$6:$C$57,3,0),0)</f>
        <v>0</v>
      </c>
      <c r="J9" s="68">
        <f ca="1">IFERROR(VLOOKUP('Critical resources'!G15,$B$6:$C$57,2,0),0)</f>
        <v>0</v>
      </c>
      <c r="K9" s="68">
        <f ca="1">IFERROR(VLOOKUP('Critical resources'!H15,$B$6:$C$57,2,0),0)</f>
        <v>0</v>
      </c>
      <c r="L9" s="68">
        <f ca="1">IFERROR(VLOOKUP('Critical resources'!J15,$B$6:$C$57,2,0),0)</f>
        <v>0</v>
      </c>
      <c r="M9" s="68">
        <f ca="1">IFERROR(VLOOKUP('Critical resources'!K15,$A$6:$C$57,3,0),0)</f>
        <v>0</v>
      </c>
      <c r="N9" s="68">
        <f ca="1">IFERROR(VLOOKUP('Critical resources'!M15,$B$6:$C$57,2,0),0)</f>
        <v>0</v>
      </c>
      <c r="O9" s="68">
        <f ca="1">IFERROR(VLOOKUP('Critical resources'!N15,$A$6:$C$57,3,0),0)</f>
        <v>0</v>
      </c>
      <c r="P9" s="68">
        <f ca="1">IFERROR(VLOOKUP('Critical resources'!P15,$B$6:$C$57,2,0),0)</f>
        <v>0</v>
      </c>
      <c r="Q9" s="68">
        <f ca="1">IFERROR(VLOOKUP('Critical resources'!Q15,$A$6:$C$57,3,0),0)</f>
        <v>0</v>
      </c>
      <c r="T9" s="68" t="str">
        <f t="shared" si="1"/>
        <v>4. CT Scanner 2</v>
      </c>
      <c r="U9" s="68">
        <f t="shared" ca="1" si="8"/>
        <v>0</v>
      </c>
      <c r="V9" s="68">
        <f t="shared" ca="1" si="2"/>
        <v>0</v>
      </c>
      <c r="W9" s="68">
        <f t="shared" ca="1" si="2"/>
        <v>0</v>
      </c>
      <c r="X9" s="68">
        <f t="shared" ca="1" si="2"/>
        <v>0</v>
      </c>
      <c r="Y9" s="68">
        <f t="shared" ca="1" si="2"/>
        <v>0</v>
      </c>
      <c r="Z9" s="68">
        <f t="shared" ca="1" si="2"/>
        <v>0</v>
      </c>
      <c r="AA9" s="68">
        <f t="shared" ca="1" si="2"/>
        <v>0</v>
      </c>
      <c r="AB9" s="68">
        <f t="shared" ca="1" si="2"/>
        <v>0</v>
      </c>
      <c r="AC9" s="68">
        <f t="shared" ca="1" si="2"/>
        <v>0</v>
      </c>
      <c r="AD9" s="68">
        <f t="shared" ca="1" si="2"/>
        <v>0</v>
      </c>
      <c r="AE9" s="68">
        <f t="shared" ca="1" si="2"/>
        <v>0</v>
      </c>
      <c r="AF9" s="68">
        <f t="shared" ca="1" si="2"/>
        <v>0</v>
      </c>
      <c r="AG9" s="68">
        <f t="shared" ca="1" si="2"/>
        <v>0</v>
      </c>
      <c r="AH9" s="68">
        <f t="shared" ca="1" si="2"/>
        <v>0</v>
      </c>
      <c r="AI9" s="68">
        <f t="shared" ca="1" si="2"/>
        <v>0</v>
      </c>
      <c r="AJ9" s="68">
        <f t="shared" ca="1" si="2"/>
        <v>0</v>
      </c>
      <c r="AK9" s="68">
        <f t="shared" ca="1" si="2"/>
        <v>0</v>
      </c>
      <c r="AL9" s="68">
        <f t="shared" ca="1" si="3"/>
        <v>0</v>
      </c>
      <c r="AM9" s="68">
        <f t="shared" ca="1" si="3"/>
        <v>0</v>
      </c>
      <c r="AN9" s="68">
        <f t="shared" ca="1" si="3"/>
        <v>0</v>
      </c>
      <c r="AO9" s="68">
        <f t="shared" ca="1" si="3"/>
        <v>0</v>
      </c>
      <c r="AP9" s="68">
        <f t="shared" ca="1" si="3"/>
        <v>0</v>
      </c>
      <c r="AQ9" s="68">
        <f t="shared" ca="1" si="3"/>
        <v>0</v>
      </c>
      <c r="AR9" s="68">
        <f t="shared" ca="1" si="3"/>
        <v>0</v>
      </c>
      <c r="AS9" s="68">
        <f t="shared" ca="1" si="3"/>
        <v>0</v>
      </c>
      <c r="AT9" s="68">
        <f t="shared" ca="1" si="3"/>
        <v>0</v>
      </c>
      <c r="AU9" s="68">
        <f t="shared" ca="1" si="3"/>
        <v>0</v>
      </c>
      <c r="AV9" s="68">
        <f t="shared" ca="1" si="3"/>
        <v>0</v>
      </c>
      <c r="AW9" s="68">
        <f t="shared" ca="1" si="3"/>
        <v>0</v>
      </c>
      <c r="AX9" s="68">
        <f t="shared" ca="1" si="3"/>
        <v>0</v>
      </c>
      <c r="AY9" s="68">
        <f t="shared" ca="1" si="3"/>
        <v>0</v>
      </c>
      <c r="AZ9" s="68">
        <f t="shared" ca="1" si="3"/>
        <v>0</v>
      </c>
      <c r="BA9" s="68">
        <f t="shared" ca="1" si="3"/>
        <v>0</v>
      </c>
      <c r="BB9" s="68">
        <f t="shared" ca="1" si="4"/>
        <v>0</v>
      </c>
      <c r="BC9" s="68">
        <f t="shared" ca="1" si="4"/>
        <v>0</v>
      </c>
      <c r="BD9" s="68">
        <f t="shared" ca="1" si="4"/>
        <v>0</v>
      </c>
      <c r="BE9" s="68">
        <f t="shared" ca="1" si="4"/>
        <v>0</v>
      </c>
      <c r="BF9" s="68">
        <f t="shared" ca="1" si="4"/>
        <v>0</v>
      </c>
      <c r="BG9" s="68">
        <f t="shared" ca="1" si="4"/>
        <v>0</v>
      </c>
      <c r="BH9" s="68">
        <f t="shared" ca="1" si="4"/>
        <v>0</v>
      </c>
      <c r="BI9" s="68">
        <f t="shared" ca="1" si="4"/>
        <v>0</v>
      </c>
      <c r="BJ9" s="68">
        <f t="shared" ca="1" si="4"/>
        <v>0</v>
      </c>
      <c r="BK9" s="68">
        <f t="shared" ca="1" si="4"/>
        <v>0</v>
      </c>
      <c r="BL9" s="68">
        <f t="shared" ca="1" si="4"/>
        <v>0</v>
      </c>
      <c r="BM9" s="68">
        <f t="shared" ca="1" si="4"/>
        <v>0</v>
      </c>
      <c r="BN9" s="68">
        <f t="shared" ca="1" si="4"/>
        <v>0</v>
      </c>
      <c r="BO9" s="68">
        <f t="shared" ca="1" si="4"/>
        <v>0</v>
      </c>
      <c r="BP9" s="68">
        <f t="shared" ca="1" si="4"/>
        <v>0</v>
      </c>
      <c r="BQ9" s="68">
        <f t="shared" ca="1" si="4"/>
        <v>0</v>
      </c>
      <c r="BR9" s="68">
        <f t="shared" ca="1" si="5"/>
        <v>0</v>
      </c>
      <c r="BS9" s="68">
        <f t="shared" ca="1" si="5"/>
        <v>0</v>
      </c>
      <c r="BT9" s="68">
        <f t="shared" ca="1" si="5"/>
        <v>0</v>
      </c>
    </row>
    <row r="10" spans="1:72" x14ac:dyDescent="0.2">
      <c r="A10" s="327">
        <f t="shared" ca="1" si="6"/>
        <v>43618</v>
      </c>
      <c r="B10" s="88">
        <f t="shared" ca="1" si="9"/>
        <v>43612</v>
      </c>
      <c r="C10" s="68">
        <v>5</v>
      </c>
      <c r="D10" s="68" t="str">
        <f t="shared" ca="1" si="10"/>
        <v/>
      </c>
      <c r="E10" s="68" t="str">
        <f t="shared" ca="1" si="0"/>
        <v xml:space="preserve"> </v>
      </c>
      <c r="F10" s="68">
        <f t="shared" ca="1" si="7"/>
        <v>22</v>
      </c>
      <c r="G10" s="68" t="str">
        <f>ROW(A5)&amp;". "&amp;'Critical resources'!B16</f>
        <v>5. CT Scanner 3</v>
      </c>
      <c r="H10" s="68">
        <f ca="1">IFERROR(VLOOKUP('Critical resources'!D16,$B$6:$C$57,2,0),0)</f>
        <v>0</v>
      </c>
      <c r="I10" s="68">
        <f ca="1">IFERROR(VLOOKUP('Critical resources'!E16,$A$6:$C$57,3,0),0)</f>
        <v>0</v>
      </c>
      <c r="J10" s="68">
        <f ca="1">IFERROR(VLOOKUP('Critical resources'!G16,$B$6:$C$57,2,0),0)</f>
        <v>0</v>
      </c>
      <c r="K10" s="68">
        <f ca="1">IFERROR(VLOOKUP('Critical resources'!H16,$B$6:$C$57,2,0),0)</f>
        <v>0</v>
      </c>
      <c r="L10" s="68">
        <f ca="1">IFERROR(VLOOKUP('Critical resources'!J16,$B$6:$C$57,2,0),0)</f>
        <v>0</v>
      </c>
      <c r="M10" s="68">
        <f ca="1">IFERROR(VLOOKUP('Critical resources'!K16,$A$6:$C$57,3,0),0)</f>
        <v>0</v>
      </c>
      <c r="N10" s="68">
        <f ca="1">IFERROR(VLOOKUP('Critical resources'!M16,$B$6:$C$57,2,0),0)</f>
        <v>0</v>
      </c>
      <c r="O10" s="68">
        <f ca="1">IFERROR(VLOOKUP('Critical resources'!N16,$A$6:$C$57,3,0),0)</f>
        <v>0</v>
      </c>
      <c r="P10" s="68">
        <f ca="1">IFERROR(VLOOKUP('Critical resources'!P16,$B$6:$C$57,2,0),0)</f>
        <v>0</v>
      </c>
      <c r="Q10" s="68">
        <f ca="1">IFERROR(VLOOKUP('Critical resources'!Q16,$A$6:$C$57,3,0),0)</f>
        <v>0</v>
      </c>
      <c r="T10" s="68" t="str">
        <f t="shared" si="1"/>
        <v>5. CT Scanner 3</v>
      </c>
      <c r="U10" s="68">
        <f t="shared" ca="1" si="8"/>
        <v>0</v>
      </c>
      <c r="V10" s="68">
        <f t="shared" ca="1" si="2"/>
        <v>0</v>
      </c>
      <c r="W10" s="68">
        <f t="shared" ca="1" si="2"/>
        <v>0</v>
      </c>
      <c r="X10" s="68">
        <f t="shared" ca="1" si="2"/>
        <v>0</v>
      </c>
      <c r="Y10" s="68">
        <f t="shared" ca="1" si="2"/>
        <v>0</v>
      </c>
      <c r="Z10" s="68">
        <f t="shared" ca="1" si="2"/>
        <v>0</v>
      </c>
      <c r="AA10" s="68">
        <f t="shared" ca="1" si="2"/>
        <v>0</v>
      </c>
      <c r="AB10" s="68">
        <f t="shared" ca="1" si="2"/>
        <v>0</v>
      </c>
      <c r="AC10" s="68">
        <f t="shared" ca="1" si="2"/>
        <v>0</v>
      </c>
      <c r="AD10" s="68">
        <f t="shared" ca="1" si="2"/>
        <v>0</v>
      </c>
      <c r="AE10" s="68">
        <f t="shared" ca="1" si="2"/>
        <v>0</v>
      </c>
      <c r="AF10" s="68">
        <f t="shared" ca="1" si="2"/>
        <v>0</v>
      </c>
      <c r="AG10" s="68">
        <f t="shared" ca="1" si="2"/>
        <v>0</v>
      </c>
      <c r="AH10" s="68">
        <f t="shared" ca="1" si="2"/>
        <v>0</v>
      </c>
      <c r="AI10" s="68">
        <f t="shared" ca="1" si="2"/>
        <v>0</v>
      </c>
      <c r="AJ10" s="68">
        <f t="shared" ca="1" si="2"/>
        <v>0</v>
      </c>
      <c r="AK10" s="68">
        <f t="shared" ca="1" si="2"/>
        <v>0</v>
      </c>
      <c r="AL10" s="68">
        <f t="shared" ca="1" si="3"/>
        <v>0</v>
      </c>
      <c r="AM10" s="68">
        <f t="shared" ca="1" si="3"/>
        <v>0</v>
      </c>
      <c r="AN10" s="68">
        <f t="shared" ca="1" si="3"/>
        <v>0</v>
      </c>
      <c r="AO10" s="68">
        <f t="shared" ca="1" si="3"/>
        <v>0</v>
      </c>
      <c r="AP10" s="68">
        <f t="shared" ca="1" si="3"/>
        <v>0</v>
      </c>
      <c r="AQ10" s="68">
        <f t="shared" ca="1" si="3"/>
        <v>0</v>
      </c>
      <c r="AR10" s="68">
        <f t="shared" ca="1" si="3"/>
        <v>0</v>
      </c>
      <c r="AS10" s="68">
        <f t="shared" ca="1" si="3"/>
        <v>0</v>
      </c>
      <c r="AT10" s="68">
        <f t="shared" ca="1" si="3"/>
        <v>0</v>
      </c>
      <c r="AU10" s="68">
        <f t="shared" ca="1" si="3"/>
        <v>0</v>
      </c>
      <c r="AV10" s="68">
        <f t="shared" ca="1" si="3"/>
        <v>0</v>
      </c>
      <c r="AW10" s="68">
        <f t="shared" ca="1" si="3"/>
        <v>0</v>
      </c>
      <c r="AX10" s="68">
        <f t="shared" ca="1" si="3"/>
        <v>0</v>
      </c>
      <c r="AY10" s="68">
        <f t="shared" ca="1" si="3"/>
        <v>0</v>
      </c>
      <c r="AZ10" s="68">
        <f t="shared" ca="1" si="3"/>
        <v>0</v>
      </c>
      <c r="BA10" s="68">
        <f t="shared" ca="1" si="3"/>
        <v>0</v>
      </c>
      <c r="BB10" s="68">
        <f t="shared" ca="1" si="4"/>
        <v>0</v>
      </c>
      <c r="BC10" s="68">
        <f t="shared" ca="1" si="4"/>
        <v>0</v>
      </c>
      <c r="BD10" s="68">
        <f t="shared" ca="1" si="4"/>
        <v>0</v>
      </c>
      <c r="BE10" s="68">
        <f t="shared" ca="1" si="4"/>
        <v>0</v>
      </c>
      <c r="BF10" s="68">
        <f t="shared" ca="1" si="4"/>
        <v>0</v>
      </c>
      <c r="BG10" s="68">
        <f t="shared" ca="1" si="4"/>
        <v>0</v>
      </c>
      <c r="BH10" s="68">
        <f t="shared" ca="1" si="4"/>
        <v>0</v>
      </c>
      <c r="BI10" s="68">
        <f t="shared" ca="1" si="4"/>
        <v>0</v>
      </c>
      <c r="BJ10" s="68">
        <f t="shared" ca="1" si="4"/>
        <v>0</v>
      </c>
      <c r="BK10" s="68">
        <f t="shared" ca="1" si="4"/>
        <v>0</v>
      </c>
      <c r="BL10" s="68">
        <f t="shared" ca="1" si="4"/>
        <v>0</v>
      </c>
      <c r="BM10" s="68">
        <f t="shared" ca="1" si="4"/>
        <v>0</v>
      </c>
      <c r="BN10" s="68">
        <f t="shared" ca="1" si="4"/>
        <v>0</v>
      </c>
      <c r="BO10" s="68">
        <f t="shared" ca="1" si="4"/>
        <v>0</v>
      </c>
      <c r="BP10" s="68">
        <f t="shared" ca="1" si="4"/>
        <v>0</v>
      </c>
      <c r="BQ10" s="68">
        <f t="shared" ca="1" si="4"/>
        <v>0</v>
      </c>
      <c r="BR10" s="68">
        <f t="shared" ca="1" si="5"/>
        <v>0</v>
      </c>
      <c r="BS10" s="68">
        <f t="shared" ca="1" si="5"/>
        <v>0</v>
      </c>
      <c r="BT10" s="68">
        <f t="shared" ca="1" si="5"/>
        <v>0</v>
      </c>
    </row>
    <row r="11" spans="1:72" x14ac:dyDescent="0.2">
      <c r="A11" s="327">
        <f t="shared" ca="1" si="6"/>
        <v>43625</v>
      </c>
      <c r="B11" s="88">
        <f t="shared" ca="1" si="9"/>
        <v>43619</v>
      </c>
      <c r="C11" s="68">
        <v>6</v>
      </c>
      <c r="D11" s="68" t="str">
        <f t="shared" ca="1" si="10"/>
        <v/>
      </c>
      <c r="E11" s="68" t="str">
        <f t="shared" ca="1" si="0"/>
        <v>Jun</v>
      </c>
      <c r="F11" s="68">
        <f t="shared" ca="1" si="7"/>
        <v>23</v>
      </c>
      <c r="G11" s="68" t="str">
        <f>ROW(A6)&amp;". "&amp;'Critical resources'!B17</f>
        <v xml:space="preserve">6. </v>
      </c>
      <c r="H11" s="68">
        <f ca="1">IFERROR(VLOOKUP('Critical resources'!D17,$B$6:$C$57,2,0),0)</f>
        <v>0</v>
      </c>
      <c r="I11" s="68">
        <f ca="1">IFERROR(VLOOKUP('Critical resources'!E17,$A$6:$C$57,3,0),0)</f>
        <v>0</v>
      </c>
      <c r="J11" s="68">
        <f ca="1">IFERROR(VLOOKUP('Critical resources'!G17,$B$6:$C$57,2,0),0)</f>
        <v>0</v>
      </c>
      <c r="K11" s="68">
        <f ca="1">IFERROR(VLOOKUP('Critical resources'!H17,$B$6:$C$57,2,0),0)</f>
        <v>0</v>
      </c>
      <c r="L11" s="68">
        <f ca="1">IFERROR(VLOOKUP('Critical resources'!J17,$B$6:$C$57,2,0),0)</f>
        <v>0</v>
      </c>
      <c r="M11" s="68">
        <f ca="1">IFERROR(VLOOKUP('Critical resources'!K17,$A$6:$C$57,3,0),0)</f>
        <v>0</v>
      </c>
      <c r="N11" s="68">
        <f ca="1">IFERROR(VLOOKUP('Critical resources'!M17,$B$6:$C$57,2,0),0)</f>
        <v>0</v>
      </c>
      <c r="O11" s="68">
        <f ca="1">IFERROR(VLOOKUP('Critical resources'!N17,$A$6:$C$57,3,0),0)</f>
        <v>0</v>
      </c>
      <c r="P11" s="68">
        <f ca="1">IFERROR(VLOOKUP('Critical resources'!P17,$B$6:$C$57,2,0),0)</f>
        <v>0</v>
      </c>
      <c r="Q11" s="68">
        <f ca="1">IFERROR(VLOOKUP('Critical resources'!Q17,$A$6:$C$57,3,0),0)</f>
        <v>0</v>
      </c>
      <c r="T11" s="68" t="str">
        <f t="shared" si="1"/>
        <v xml:space="preserve">6. </v>
      </c>
      <c r="U11" s="68">
        <f t="shared" ca="1" si="8"/>
        <v>0</v>
      </c>
      <c r="V11" s="68">
        <f t="shared" ca="1" si="2"/>
        <v>0</v>
      </c>
      <c r="W11" s="68">
        <f t="shared" ca="1" si="2"/>
        <v>0</v>
      </c>
      <c r="X11" s="68">
        <f t="shared" ca="1" si="2"/>
        <v>0</v>
      </c>
      <c r="Y11" s="68">
        <f t="shared" ca="1" si="2"/>
        <v>0</v>
      </c>
      <c r="Z11" s="68">
        <f t="shared" ca="1" si="2"/>
        <v>0</v>
      </c>
      <c r="AA11" s="68">
        <f t="shared" ca="1" si="2"/>
        <v>0</v>
      </c>
      <c r="AB11" s="68">
        <f t="shared" ca="1" si="2"/>
        <v>0</v>
      </c>
      <c r="AC11" s="68">
        <f t="shared" ca="1" si="2"/>
        <v>0</v>
      </c>
      <c r="AD11" s="68">
        <f t="shared" ca="1" si="2"/>
        <v>0</v>
      </c>
      <c r="AE11" s="68">
        <f t="shared" ca="1" si="2"/>
        <v>0</v>
      </c>
      <c r="AF11" s="68">
        <f t="shared" ca="1" si="2"/>
        <v>0</v>
      </c>
      <c r="AG11" s="68">
        <f t="shared" ca="1" si="2"/>
        <v>0</v>
      </c>
      <c r="AH11" s="68">
        <f t="shared" ca="1" si="2"/>
        <v>0</v>
      </c>
      <c r="AI11" s="68">
        <f t="shared" ca="1" si="2"/>
        <v>0</v>
      </c>
      <c r="AJ11" s="68">
        <f t="shared" ca="1" si="2"/>
        <v>0</v>
      </c>
      <c r="AK11" s="68">
        <f t="shared" ca="1" si="2"/>
        <v>0</v>
      </c>
      <c r="AL11" s="68">
        <f t="shared" ca="1" si="3"/>
        <v>0</v>
      </c>
      <c r="AM11" s="68">
        <f t="shared" ca="1" si="3"/>
        <v>0</v>
      </c>
      <c r="AN11" s="68">
        <f t="shared" ca="1" si="3"/>
        <v>0</v>
      </c>
      <c r="AO11" s="68">
        <f t="shared" ca="1" si="3"/>
        <v>0</v>
      </c>
      <c r="AP11" s="68">
        <f t="shared" ca="1" si="3"/>
        <v>0</v>
      </c>
      <c r="AQ11" s="68">
        <f t="shared" ca="1" si="3"/>
        <v>0</v>
      </c>
      <c r="AR11" s="68">
        <f t="shared" ca="1" si="3"/>
        <v>0</v>
      </c>
      <c r="AS11" s="68">
        <f t="shared" ca="1" si="3"/>
        <v>0</v>
      </c>
      <c r="AT11" s="68">
        <f t="shared" ca="1" si="3"/>
        <v>0</v>
      </c>
      <c r="AU11" s="68">
        <f t="shared" ca="1" si="3"/>
        <v>0</v>
      </c>
      <c r="AV11" s="68">
        <f t="shared" ca="1" si="3"/>
        <v>0</v>
      </c>
      <c r="AW11" s="68">
        <f t="shared" ca="1" si="3"/>
        <v>0</v>
      </c>
      <c r="AX11" s="68">
        <f t="shared" ca="1" si="3"/>
        <v>0</v>
      </c>
      <c r="AY11" s="68">
        <f t="shared" ca="1" si="3"/>
        <v>0</v>
      </c>
      <c r="AZ11" s="68">
        <f t="shared" ca="1" si="3"/>
        <v>0</v>
      </c>
      <c r="BA11" s="68">
        <f t="shared" ca="1" si="3"/>
        <v>0</v>
      </c>
      <c r="BB11" s="68">
        <f t="shared" ca="1" si="4"/>
        <v>0</v>
      </c>
      <c r="BC11" s="68">
        <f t="shared" ca="1" si="4"/>
        <v>0</v>
      </c>
      <c r="BD11" s="68">
        <f t="shared" ca="1" si="4"/>
        <v>0</v>
      </c>
      <c r="BE11" s="68">
        <f t="shared" ca="1" si="4"/>
        <v>0</v>
      </c>
      <c r="BF11" s="68">
        <f t="shared" ca="1" si="4"/>
        <v>0</v>
      </c>
      <c r="BG11" s="68">
        <f t="shared" ca="1" si="4"/>
        <v>0</v>
      </c>
      <c r="BH11" s="68">
        <f t="shared" ca="1" si="4"/>
        <v>0</v>
      </c>
      <c r="BI11" s="68">
        <f t="shared" ca="1" si="4"/>
        <v>0</v>
      </c>
      <c r="BJ11" s="68">
        <f t="shared" ca="1" si="4"/>
        <v>0</v>
      </c>
      <c r="BK11" s="68">
        <f t="shared" ca="1" si="4"/>
        <v>0</v>
      </c>
      <c r="BL11" s="68">
        <f t="shared" ca="1" si="4"/>
        <v>0</v>
      </c>
      <c r="BM11" s="68">
        <f t="shared" ca="1" si="4"/>
        <v>0</v>
      </c>
      <c r="BN11" s="68">
        <f t="shared" ca="1" si="4"/>
        <v>0</v>
      </c>
      <c r="BO11" s="68">
        <f t="shared" ca="1" si="4"/>
        <v>0</v>
      </c>
      <c r="BP11" s="68">
        <f t="shared" ca="1" si="4"/>
        <v>0</v>
      </c>
      <c r="BQ11" s="68">
        <f t="shared" ca="1" si="4"/>
        <v>0</v>
      </c>
      <c r="BR11" s="68">
        <f t="shared" ca="1" si="5"/>
        <v>0</v>
      </c>
      <c r="BS11" s="68">
        <f t="shared" ca="1" si="5"/>
        <v>0</v>
      </c>
      <c r="BT11" s="68">
        <f t="shared" ca="1" si="5"/>
        <v>0</v>
      </c>
    </row>
    <row r="12" spans="1:72" x14ac:dyDescent="0.2">
      <c r="A12" s="327">
        <f t="shared" ca="1" si="6"/>
        <v>43632</v>
      </c>
      <c r="B12" s="88">
        <f t="shared" ca="1" si="9"/>
        <v>43626</v>
      </c>
      <c r="C12" s="68">
        <v>7</v>
      </c>
      <c r="D12" s="68" t="str">
        <f t="shared" ca="1" si="10"/>
        <v/>
      </c>
      <c r="E12" s="68" t="str">
        <f t="shared" ca="1" si="0"/>
        <v xml:space="preserve"> </v>
      </c>
      <c r="F12" s="68">
        <f t="shared" ca="1" si="7"/>
        <v>24</v>
      </c>
      <c r="G12" s="68" t="str">
        <f>ROW(A7)&amp;". "&amp;'Critical resources'!B18</f>
        <v xml:space="preserve">7. </v>
      </c>
      <c r="H12" s="68">
        <f ca="1">IFERROR(VLOOKUP('Critical resources'!D18,$B$6:$C$57,2,0),0)</f>
        <v>0</v>
      </c>
      <c r="I12" s="68">
        <f ca="1">IFERROR(VLOOKUP('Critical resources'!E18,$A$6:$C$57,3,0),0)</f>
        <v>0</v>
      </c>
      <c r="J12" s="68">
        <f ca="1">IFERROR(VLOOKUP('Critical resources'!G18,$B$6:$C$57,2,0),0)</f>
        <v>0</v>
      </c>
      <c r="K12" s="68">
        <f ca="1">IFERROR(VLOOKUP('Critical resources'!H18,$B$6:$C$57,2,0),0)</f>
        <v>0</v>
      </c>
      <c r="L12" s="68">
        <f ca="1">IFERROR(VLOOKUP('Critical resources'!J18,$B$6:$C$57,2,0),0)</f>
        <v>0</v>
      </c>
      <c r="M12" s="68">
        <f ca="1">IFERROR(VLOOKUP('Critical resources'!K18,$A$6:$C$57,3,0),0)</f>
        <v>0</v>
      </c>
      <c r="N12" s="68">
        <f ca="1">IFERROR(VLOOKUP('Critical resources'!M18,$B$6:$C$57,2,0),0)</f>
        <v>0</v>
      </c>
      <c r="O12" s="68">
        <f ca="1">IFERROR(VLOOKUP('Critical resources'!N18,$A$6:$C$57,3,0),0)</f>
        <v>0</v>
      </c>
      <c r="P12" s="68">
        <f ca="1">IFERROR(VLOOKUP('Critical resources'!P18,$B$6:$C$57,2,0),0)</f>
        <v>0</v>
      </c>
      <c r="Q12" s="68">
        <f ca="1">IFERROR(VLOOKUP('Critical resources'!Q18,$A$6:$C$57,3,0),0)</f>
        <v>0</v>
      </c>
      <c r="T12" s="68" t="str">
        <f t="shared" si="1"/>
        <v xml:space="preserve">7. </v>
      </c>
      <c r="U12" s="68">
        <f t="shared" ca="1" si="8"/>
        <v>0</v>
      </c>
      <c r="V12" s="68">
        <f t="shared" ca="1" si="2"/>
        <v>0</v>
      </c>
      <c r="W12" s="68">
        <f t="shared" ca="1" si="2"/>
        <v>0</v>
      </c>
      <c r="X12" s="68">
        <f t="shared" ca="1" si="2"/>
        <v>0</v>
      </c>
      <c r="Y12" s="68">
        <f t="shared" ca="1" si="2"/>
        <v>0</v>
      </c>
      <c r="Z12" s="68">
        <f t="shared" ca="1" si="2"/>
        <v>0</v>
      </c>
      <c r="AA12" s="68">
        <f t="shared" ca="1" si="2"/>
        <v>0</v>
      </c>
      <c r="AB12" s="68">
        <f t="shared" ca="1" si="2"/>
        <v>0</v>
      </c>
      <c r="AC12" s="68">
        <f t="shared" ca="1" si="2"/>
        <v>0</v>
      </c>
      <c r="AD12" s="68">
        <f t="shared" ca="1" si="2"/>
        <v>0</v>
      </c>
      <c r="AE12" s="68">
        <f t="shared" ca="1" si="2"/>
        <v>0</v>
      </c>
      <c r="AF12" s="68">
        <f t="shared" ca="1" si="2"/>
        <v>0</v>
      </c>
      <c r="AG12" s="68">
        <f t="shared" ca="1" si="2"/>
        <v>0</v>
      </c>
      <c r="AH12" s="68">
        <f t="shared" ca="1" si="2"/>
        <v>0</v>
      </c>
      <c r="AI12" s="68">
        <f t="shared" ca="1" si="2"/>
        <v>0</v>
      </c>
      <c r="AJ12" s="68">
        <f t="shared" ca="1" si="2"/>
        <v>0</v>
      </c>
      <c r="AK12" s="68">
        <f t="shared" ca="1" si="2"/>
        <v>0</v>
      </c>
      <c r="AL12" s="68">
        <f t="shared" ca="1" si="3"/>
        <v>0</v>
      </c>
      <c r="AM12" s="68">
        <f t="shared" ca="1" si="3"/>
        <v>0</v>
      </c>
      <c r="AN12" s="68">
        <f t="shared" ca="1" si="3"/>
        <v>0</v>
      </c>
      <c r="AO12" s="68">
        <f t="shared" ca="1" si="3"/>
        <v>0</v>
      </c>
      <c r="AP12" s="68">
        <f t="shared" ca="1" si="3"/>
        <v>0</v>
      </c>
      <c r="AQ12" s="68">
        <f t="shared" ca="1" si="3"/>
        <v>0</v>
      </c>
      <c r="AR12" s="68">
        <f t="shared" ca="1" si="3"/>
        <v>0</v>
      </c>
      <c r="AS12" s="68">
        <f t="shared" ca="1" si="3"/>
        <v>0</v>
      </c>
      <c r="AT12" s="68">
        <f t="shared" ca="1" si="3"/>
        <v>0</v>
      </c>
      <c r="AU12" s="68">
        <f t="shared" ca="1" si="3"/>
        <v>0</v>
      </c>
      <c r="AV12" s="68">
        <f t="shared" ca="1" si="3"/>
        <v>0</v>
      </c>
      <c r="AW12" s="68">
        <f t="shared" ca="1" si="3"/>
        <v>0</v>
      </c>
      <c r="AX12" s="68">
        <f t="shared" ca="1" si="3"/>
        <v>0</v>
      </c>
      <c r="AY12" s="68">
        <f t="shared" ca="1" si="3"/>
        <v>0</v>
      </c>
      <c r="AZ12" s="68">
        <f t="shared" ca="1" si="3"/>
        <v>0</v>
      </c>
      <c r="BA12" s="68">
        <f t="shared" ca="1" si="3"/>
        <v>0</v>
      </c>
      <c r="BB12" s="68">
        <f t="shared" ca="1" si="4"/>
        <v>0</v>
      </c>
      <c r="BC12" s="68">
        <f t="shared" ca="1" si="4"/>
        <v>0</v>
      </c>
      <c r="BD12" s="68">
        <f t="shared" ca="1" si="4"/>
        <v>0</v>
      </c>
      <c r="BE12" s="68">
        <f t="shared" ca="1" si="4"/>
        <v>0</v>
      </c>
      <c r="BF12" s="68">
        <f t="shared" ca="1" si="4"/>
        <v>0</v>
      </c>
      <c r="BG12" s="68">
        <f t="shared" ca="1" si="4"/>
        <v>0</v>
      </c>
      <c r="BH12" s="68">
        <f t="shared" ca="1" si="4"/>
        <v>0</v>
      </c>
      <c r="BI12" s="68">
        <f t="shared" ca="1" si="4"/>
        <v>0</v>
      </c>
      <c r="BJ12" s="68">
        <f t="shared" ca="1" si="4"/>
        <v>0</v>
      </c>
      <c r="BK12" s="68">
        <f t="shared" ca="1" si="4"/>
        <v>0</v>
      </c>
      <c r="BL12" s="68">
        <f t="shared" ca="1" si="4"/>
        <v>0</v>
      </c>
      <c r="BM12" s="68">
        <f t="shared" ca="1" si="4"/>
        <v>0</v>
      </c>
      <c r="BN12" s="68">
        <f t="shared" ca="1" si="4"/>
        <v>0</v>
      </c>
      <c r="BO12" s="68">
        <f t="shared" ca="1" si="4"/>
        <v>0</v>
      </c>
      <c r="BP12" s="68">
        <f t="shared" ca="1" si="4"/>
        <v>0</v>
      </c>
      <c r="BQ12" s="68">
        <f t="shared" ca="1" si="4"/>
        <v>0</v>
      </c>
      <c r="BR12" s="68">
        <f t="shared" ca="1" si="5"/>
        <v>0</v>
      </c>
      <c r="BS12" s="68">
        <f t="shared" ca="1" si="5"/>
        <v>0</v>
      </c>
      <c r="BT12" s="68">
        <f t="shared" ca="1" si="5"/>
        <v>0</v>
      </c>
    </row>
    <row r="13" spans="1:72" x14ac:dyDescent="0.2">
      <c r="A13" s="327">
        <f t="shared" ca="1" si="6"/>
        <v>43639</v>
      </c>
      <c r="B13" s="88">
        <f t="shared" ca="1" si="9"/>
        <v>43633</v>
      </c>
      <c r="C13" s="68">
        <v>8</v>
      </c>
      <c r="D13" s="68" t="str">
        <f t="shared" ca="1" si="10"/>
        <v/>
      </c>
      <c r="E13" s="68" t="str">
        <f t="shared" ca="1" si="0"/>
        <v xml:space="preserve"> </v>
      </c>
      <c r="F13" s="68">
        <f t="shared" ca="1" si="7"/>
        <v>25</v>
      </c>
      <c r="G13" s="68" t="str">
        <f>ROW(A8)&amp;". "&amp;'Critical resources'!B19</f>
        <v xml:space="preserve">8. </v>
      </c>
      <c r="H13" s="68">
        <f ca="1">IFERROR(VLOOKUP('Critical resources'!D19,$B$6:$C$57,2,0),0)</f>
        <v>0</v>
      </c>
      <c r="I13" s="68">
        <f ca="1">IFERROR(VLOOKUP('Critical resources'!E19,$A$6:$C$57,3,0),0)</f>
        <v>0</v>
      </c>
      <c r="J13" s="68">
        <f ca="1">IFERROR(VLOOKUP('Critical resources'!G19,$B$6:$C$57,2,0),0)</f>
        <v>0</v>
      </c>
      <c r="K13" s="68">
        <f ca="1">IFERROR(VLOOKUP('Critical resources'!H19,$B$6:$C$57,2,0),0)</f>
        <v>0</v>
      </c>
      <c r="L13" s="68">
        <f ca="1">IFERROR(VLOOKUP('Critical resources'!J19,$B$6:$C$57,2,0),0)</f>
        <v>0</v>
      </c>
      <c r="M13" s="68">
        <f ca="1">IFERROR(VLOOKUP('Critical resources'!K19,$A$6:$C$57,3,0),0)</f>
        <v>0</v>
      </c>
      <c r="N13" s="68">
        <f ca="1">IFERROR(VLOOKUP('Critical resources'!M19,$B$6:$C$57,2,0),0)</f>
        <v>0</v>
      </c>
      <c r="O13" s="68">
        <f ca="1">IFERROR(VLOOKUP('Critical resources'!N19,$A$6:$C$57,3,0),0)</f>
        <v>0</v>
      </c>
      <c r="P13" s="68">
        <f ca="1">IFERROR(VLOOKUP('Critical resources'!P19,$B$6:$C$57,2,0),0)</f>
        <v>0</v>
      </c>
      <c r="Q13" s="68">
        <f ca="1">IFERROR(VLOOKUP('Critical resources'!Q19,$A$6:$C$57,3,0),0)</f>
        <v>0</v>
      </c>
      <c r="T13" s="68" t="str">
        <f t="shared" si="1"/>
        <v xml:space="preserve">8. </v>
      </c>
      <c r="U13" s="68">
        <f t="shared" ca="1" si="8"/>
        <v>0</v>
      </c>
      <c r="V13" s="68">
        <f t="shared" ca="1" si="2"/>
        <v>0</v>
      </c>
      <c r="W13" s="68">
        <f t="shared" ca="1" si="2"/>
        <v>0</v>
      </c>
      <c r="X13" s="68">
        <f t="shared" ca="1" si="2"/>
        <v>0</v>
      </c>
      <c r="Y13" s="68">
        <f t="shared" ca="1" si="2"/>
        <v>0</v>
      </c>
      <c r="Z13" s="68">
        <f t="shared" ca="1" si="2"/>
        <v>0</v>
      </c>
      <c r="AA13" s="68">
        <f t="shared" ca="1" si="2"/>
        <v>0</v>
      </c>
      <c r="AB13" s="68">
        <f t="shared" ca="1" si="2"/>
        <v>0</v>
      </c>
      <c r="AC13" s="68">
        <f t="shared" ca="1" si="2"/>
        <v>0</v>
      </c>
      <c r="AD13" s="68">
        <f t="shared" ca="1" si="2"/>
        <v>0</v>
      </c>
      <c r="AE13" s="68">
        <f t="shared" ca="1" si="2"/>
        <v>0</v>
      </c>
      <c r="AF13" s="68">
        <f t="shared" ca="1" si="2"/>
        <v>0</v>
      </c>
      <c r="AG13" s="68">
        <f t="shared" ca="1" si="2"/>
        <v>0</v>
      </c>
      <c r="AH13" s="68">
        <f t="shared" ca="1" si="2"/>
        <v>0</v>
      </c>
      <c r="AI13" s="68">
        <f t="shared" ca="1" si="2"/>
        <v>0</v>
      </c>
      <c r="AJ13" s="68">
        <f t="shared" ca="1" si="2"/>
        <v>0</v>
      </c>
      <c r="AK13" s="68">
        <f t="shared" ca="1" si="2"/>
        <v>0</v>
      </c>
      <c r="AL13" s="68">
        <f t="shared" ca="1" si="3"/>
        <v>0</v>
      </c>
      <c r="AM13" s="68">
        <f t="shared" ca="1" si="3"/>
        <v>0</v>
      </c>
      <c r="AN13" s="68">
        <f t="shared" ca="1" si="3"/>
        <v>0</v>
      </c>
      <c r="AO13" s="68">
        <f t="shared" ca="1" si="3"/>
        <v>0</v>
      </c>
      <c r="AP13" s="68">
        <f t="shared" ca="1" si="3"/>
        <v>0</v>
      </c>
      <c r="AQ13" s="68">
        <f t="shared" ca="1" si="3"/>
        <v>0</v>
      </c>
      <c r="AR13" s="68">
        <f t="shared" ca="1" si="3"/>
        <v>0</v>
      </c>
      <c r="AS13" s="68">
        <f t="shared" ca="1" si="3"/>
        <v>0</v>
      </c>
      <c r="AT13" s="68">
        <f t="shared" ca="1" si="3"/>
        <v>0</v>
      </c>
      <c r="AU13" s="68">
        <f t="shared" ca="1" si="3"/>
        <v>0</v>
      </c>
      <c r="AV13" s="68">
        <f t="shared" ca="1" si="3"/>
        <v>0</v>
      </c>
      <c r="AW13" s="68">
        <f t="shared" ca="1" si="3"/>
        <v>0</v>
      </c>
      <c r="AX13" s="68">
        <f t="shared" ca="1" si="3"/>
        <v>0</v>
      </c>
      <c r="AY13" s="68">
        <f t="shared" ca="1" si="3"/>
        <v>0</v>
      </c>
      <c r="AZ13" s="68">
        <f t="shared" ca="1" si="3"/>
        <v>0</v>
      </c>
      <c r="BA13" s="68">
        <f t="shared" ca="1" si="3"/>
        <v>0</v>
      </c>
      <c r="BB13" s="68">
        <f t="shared" ca="1" si="4"/>
        <v>0</v>
      </c>
      <c r="BC13" s="68">
        <f t="shared" ca="1" si="4"/>
        <v>0</v>
      </c>
      <c r="BD13" s="68">
        <f t="shared" ca="1" si="4"/>
        <v>0</v>
      </c>
      <c r="BE13" s="68">
        <f t="shared" ca="1" si="4"/>
        <v>0</v>
      </c>
      <c r="BF13" s="68">
        <f t="shared" ca="1" si="4"/>
        <v>0</v>
      </c>
      <c r="BG13" s="68">
        <f t="shared" ca="1" si="4"/>
        <v>0</v>
      </c>
      <c r="BH13" s="68">
        <f t="shared" ca="1" si="4"/>
        <v>0</v>
      </c>
      <c r="BI13" s="68">
        <f t="shared" ca="1" si="4"/>
        <v>0</v>
      </c>
      <c r="BJ13" s="68">
        <f t="shared" ca="1" si="4"/>
        <v>0</v>
      </c>
      <c r="BK13" s="68">
        <f t="shared" ca="1" si="4"/>
        <v>0</v>
      </c>
      <c r="BL13" s="68">
        <f t="shared" ca="1" si="4"/>
        <v>0</v>
      </c>
      <c r="BM13" s="68">
        <f t="shared" ca="1" si="4"/>
        <v>0</v>
      </c>
      <c r="BN13" s="68">
        <f t="shared" ca="1" si="4"/>
        <v>0</v>
      </c>
      <c r="BO13" s="68">
        <f t="shared" ca="1" si="4"/>
        <v>0</v>
      </c>
      <c r="BP13" s="68">
        <f t="shared" ca="1" si="4"/>
        <v>0</v>
      </c>
      <c r="BQ13" s="68">
        <f t="shared" ca="1" si="4"/>
        <v>0</v>
      </c>
      <c r="BR13" s="68">
        <f t="shared" ca="1" si="5"/>
        <v>0</v>
      </c>
      <c r="BS13" s="68">
        <f t="shared" ca="1" si="5"/>
        <v>0</v>
      </c>
      <c r="BT13" s="68">
        <f t="shared" ca="1" si="5"/>
        <v>0</v>
      </c>
    </row>
    <row r="14" spans="1:72" x14ac:dyDescent="0.2">
      <c r="A14" s="327">
        <f t="shared" ca="1" si="6"/>
        <v>43646</v>
      </c>
      <c r="B14" s="88">
        <f t="shared" ca="1" si="9"/>
        <v>43640</v>
      </c>
      <c r="C14" s="68">
        <v>9</v>
      </c>
      <c r="D14" s="68" t="str">
        <f t="shared" ca="1" si="10"/>
        <v/>
      </c>
      <c r="E14" s="68" t="str">
        <f t="shared" ca="1" si="0"/>
        <v xml:space="preserve"> </v>
      </c>
      <c r="F14" s="68">
        <f t="shared" ca="1" si="7"/>
        <v>26</v>
      </c>
      <c r="G14" s="68" t="str">
        <f>ROW(A9)&amp;". "&amp;'Critical resources'!B20</f>
        <v xml:space="preserve">9. </v>
      </c>
      <c r="H14" s="68">
        <f ca="1">IFERROR(VLOOKUP('Critical resources'!D20,$B$6:$C$57,2,0),0)</f>
        <v>0</v>
      </c>
      <c r="I14" s="68">
        <f ca="1">IFERROR(VLOOKUP('Critical resources'!E20,$A$6:$C$57,3,0),0)</f>
        <v>0</v>
      </c>
      <c r="J14" s="68">
        <f ca="1">IFERROR(VLOOKUP('Critical resources'!G20,$B$6:$C$57,2,0),0)</f>
        <v>0</v>
      </c>
      <c r="K14" s="68">
        <f ca="1">IFERROR(VLOOKUP('Critical resources'!H20,$B$6:$C$57,2,0),0)</f>
        <v>0</v>
      </c>
      <c r="L14" s="68">
        <f ca="1">IFERROR(VLOOKUP('Critical resources'!J20,$B$6:$C$57,2,0),0)</f>
        <v>0</v>
      </c>
      <c r="M14" s="68">
        <f ca="1">IFERROR(VLOOKUP('Critical resources'!K20,$A$6:$C$57,3,0),0)</f>
        <v>0</v>
      </c>
      <c r="N14" s="68">
        <f ca="1">IFERROR(VLOOKUP('Critical resources'!M20,$B$6:$C$57,2,0),0)</f>
        <v>0</v>
      </c>
      <c r="O14" s="68">
        <f ca="1">IFERROR(VLOOKUP('Critical resources'!N20,$A$6:$C$57,3,0),0)</f>
        <v>0</v>
      </c>
      <c r="P14" s="68">
        <f ca="1">IFERROR(VLOOKUP('Critical resources'!P20,$B$6:$C$57,2,0),0)</f>
        <v>0</v>
      </c>
      <c r="Q14" s="68">
        <f ca="1">IFERROR(VLOOKUP('Critical resources'!Q20,$A$6:$C$57,3,0),0)</f>
        <v>0</v>
      </c>
      <c r="T14" s="68" t="str">
        <f t="shared" si="1"/>
        <v xml:space="preserve">9. </v>
      </c>
      <c r="U14" s="68">
        <f t="shared" ca="1" si="8"/>
        <v>0</v>
      </c>
      <c r="V14" s="68">
        <f t="shared" ca="1" si="2"/>
        <v>0</v>
      </c>
      <c r="W14" s="68">
        <f t="shared" ca="1" si="2"/>
        <v>0</v>
      </c>
      <c r="X14" s="68">
        <f t="shared" ca="1" si="2"/>
        <v>0</v>
      </c>
      <c r="Y14" s="68">
        <f t="shared" ca="1" si="2"/>
        <v>0</v>
      </c>
      <c r="Z14" s="68">
        <f t="shared" ca="1" si="2"/>
        <v>0</v>
      </c>
      <c r="AA14" s="68">
        <f t="shared" ca="1" si="2"/>
        <v>0</v>
      </c>
      <c r="AB14" s="68">
        <f t="shared" ca="1" si="2"/>
        <v>0</v>
      </c>
      <c r="AC14" s="68">
        <f t="shared" ca="1" si="2"/>
        <v>0</v>
      </c>
      <c r="AD14" s="68">
        <f t="shared" ca="1" si="2"/>
        <v>0</v>
      </c>
      <c r="AE14" s="68">
        <f t="shared" ca="1" si="2"/>
        <v>0</v>
      </c>
      <c r="AF14" s="68">
        <f t="shared" ca="1" si="2"/>
        <v>0</v>
      </c>
      <c r="AG14" s="68">
        <f t="shared" ca="1" si="2"/>
        <v>0</v>
      </c>
      <c r="AH14" s="68">
        <f t="shared" ca="1" si="2"/>
        <v>0</v>
      </c>
      <c r="AI14" s="68">
        <f t="shared" ca="1" si="2"/>
        <v>0</v>
      </c>
      <c r="AJ14" s="68">
        <f t="shared" ca="1" si="2"/>
        <v>0</v>
      </c>
      <c r="AK14" s="68">
        <f t="shared" ca="1" si="2"/>
        <v>0</v>
      </c>
      <c r="AL14" s="68">
        <f t="shared" ca="1" si="3"/>
        <v>0</v>
      </c>
      <c r="AM14" s="68">
        <f t="shared" ca="1" si="3"/>
        <v>0</v>
      </c>
      <c r="AN14" s="68">
        <f t="shared" ca="1" si="3"/>
        <v>0</v>
      </c>
      <c r="AO14" s="68">
        <f t="shared" ca="1" si="3"/>
        <v>0</v>
      </c>
      <c r="AP14" s="68">
        <f t="shared" ca="1" si="3"/>
        <v>0</v>
      </c>
      <c r="AQ14" s="68">
        <f t="shared" ca="1" si="3"/>
        <v>0</v>
      </c>
      <c r="AR14" s="68">
        <f t="shared" ca="1" si="3"/>
        <v>0</v>
      </c>
      <c r="AS14" s="68">
        <f t="shared" ca="1" si="3"/>
        <v>0</v>
      </c>
      <c r="AT14" s="68">
        <f t="shared" ca="1" si="3"/>
        <v>0</v>
      </c>
      <c r="AU14" s="68">
        <f t="shared" ca="1" si="3"/>
        <v>0</v>
      </c>
      <c r="AV14" s="68">
        <f t="shared" ca="1" si="3"/>
        <v>0</v>
      </c>
      <c r="AW14" s="68">
        <f t="shared" ca="1" si="3"/>
        <v>0</v>
      </c>
      <c r="AX14" s="68">
        <f t="shared" ca="1" si="3"/>
        <v>0</v>
      </c>
      <c r="AY14" s="68">
        <f t="shared" ca="1" si="3"/>
        <v>0</v>
      </c>
      <c r="AZ14" s="68">
        <f t="shared" ca="1" si="3"/>
        <v>0</v>
      </c>
      <c r="BA14" s="68">
        <f t="shared" ca="1" si="3"/>
        <v>0</v>
      </c>
      <c r="BB14" s="68">
        <f t="shared" ca="1" si="4"/>
        <v>0</v>
      </c>
      <c r="BC14" s="68">
        <f t="shared" ca="1" si="4"/>
        <v>0</v>
      </c>
      <c r="BD14" s="68">
        <f t="shared" ca="1" si="4"/>
        <v>0</v>
      </c>
      <c r="BE14" s="68">
        <f t="shared" ca="1" si="4"/>
        <v>0</v>
      </c>
      <c r="BF14" s="68">
        <f t="shared" ca="1" si="4"/>
        <v>0</v>
      </c>
      <c r="BG14" s="68">
        <f t="shared" ca="1" si="4"/>
        <v>0</v>
      </c>
      <c r="BH14" s="68">
        <f t="shared" ca="1" si="4"/>
        <v>0</v>
      </c>
      <c r="BI14" s="68">
        <f t="shared" ca="1" si="4"/>
        <v>0</v>
      </c>
      <c r="BJ14" s="68">
        <f t="shared" ca="1" si="4"/>
        <v>0</v>
      </c>
      <c r="BK14" s="68">
        <f t="shared" ca="1" si="4"/>
        <v>0</v>
      </c>
      <c r="BL14" s="68">
        <f t="shared" ca="1" si="4"/>
        <v>0</v>
      </c>
      <c r="BM14" s="68">
        <f t="shared" ca="1" si="4"/>
        <v>0</v>
      </c>
      <c r="BN14" s="68">
        <f t="shared" ca="1" si="4"/>
        <v>0</v>
      </c>
      <c r="BO14" s="68">
        <f t="shared" ca="1" si="4"/>
        <v>0</v>
      </c>
      <c r="BP14" s="68">
        <f t="shared" ca="1" si="4"/>
        <v>0</v>
      </c>
      <c r="BQ14" s="68">
        <f t="shared" ca="1" si="4"/>
        <v>0</v>
      </c>
      <c r="BR14" s="68">
        <f t="shared" ca="1" si="5"/>
        <v>0</v>
      </c>
      <c r="BS14" s="68">
        <f t="shared" ca="1" si="5"/>
        <v>0</v>
      </c>
      <c r="BT14" s="68">
        <f t="shared" ca="1" si="5"/>
        <v>0</v>
      </c>
    </row>
    <row r="15" spans="1:72" x14ac:dyDescent="0.2">
      <c r="A15" s="327">
        <f t="shared" ca="1" si="6"/>
        <v>43653</v>
      </c>
      <c r="B15" s="88">
        <f t="shared" ca="1" si="9"/>
        <v>43647</v>
      </c>
      <c r="C15" s="68">
        <v>10</v>
      </c>
      <c r="D15" s="68" t="str">
        <f t="shared" ca="1" si="10"/>
        <v/>
      </c>
      <c r="E15" s="68" t="str">
        <f t="shared" ca="1" si="0"/>
        <v>Jul</v>
      </c>
      <c r="F15" s="68">
        <f t="shared" ca="1" si="7"/>
        <v>27</v>
      </c>
      <c r="G15" s="68" t="str">
        <f>ROW(A10)&amp;". "&amp;'Critical resources'!B21</f>
        <v xml:space="preserve">10. </v>
      </c>
      <c r="H15" s="68">
        <f ca="1">IFERROR(VLOOKUP('Critical resources'!D21,$B$6:$C$57,2,0),0)</f>
        <v>0</v>
      </c>
      <c r="I15" s="68">
        <f ca="1">IFERROR(VLOOKUP('Critical resources'!E21,$A$6:$C$57,3,0),0)</f>
        <v>0</v>
      </c>
      <c r="J15" s="68">
        <f ca="1">IFERROR(VLOOKUP('Critical resources'!G21,$B$6:$C$57,2,0),0)</f>
        <v>0</v>
      </c>
      <c r="K15" s="68">
        <f ca="1">IFERROR(VLOOKUP('Critical resources'!H21,$B$6:$C$57,2,0),0)</f>
        <v>0</v>
      </c>
      <c r="L15" s="68">
        <f ca="1">IFERROR(VLOOKUP('Critical resources'!J21,$B$6:$C$57,2,0),0)</f>
        <v>0</v>
      </c>
      <c r="M15" s="68">
        <f ca="1">IFERROR(VLOOKUP('Critical resources'!K21,$A$6:$C$57,3,0),0)</f>
        <v>0</v>
      </c>
      <c r="N15" s="68">
        <f ca="1">IFERROR(VLOOKUP('Critical resources'!M21,$B$6:$C$57,2,0),0)</f>
        <v>0</v>
      </c>
      <c r="O15" s="68">
        <f ca="1">IFERROR(VLOOKUP('Critical resources'!N21,$A$6:$C$57,3,0),0)</f>
        <v>0</v>
      </c>
      <c r="P15" s="68">
        <f ca="1">IFERROR(VLOOKUP('Critical resources'!P21,$B$6:$C$57,2,0),0)</f>
        <v>0</v>
      </c>
      <c r="Q15" s="68">
        <f ca="1">IFERROR(VLOOKUP('Critical resources'!Q21,$A$6:$C$57,3,0),0)</f>
        <v>0</v>
      </c>
      <c r="T15" s="68" t="str">
        <f t="shared" si="1"/>
        <v xml:space="preserve">10. </v>
      </c>
      <c r="U15" s="68">
        <f t="shared" ca="1" si="8"/>
        <v>0</v>
      </c>
      <c r="V15" s="68">
        <f t="shared" ca="1" si="2"/>
        <v>0</v>
      </c>
      <c r="W15" s="68">
        <f t="shared" ca="1" si="2"/>
        <v>0</v>
      </c>
      <c r="X15" s="68">
        <f t="shared" ca="1" si="2"/>
        <v>0</v>
      </c>
      <c r="Y15" s="68">
        <f t="shared" ca="1" si="2"/>
        <v>0</v>
      </c>
      <c r="Z15" s="68">
        <f t="shared" ca="1" si="2"/>
        <v>0</v>
      </c>
      <c r="AA15" s="68">
        <f t="shared" ca="1" si="2"/>
        <v>0</v>
      </c>
      <c r="AB15" s="68">
        <f t="shared" ca="1" si="2"/>
        <v>0</v>
      </c>
      <c r="AC15" s="68">
        <f t="shared" ca="1" si="2"/>
        <v>0</v>
      </c>
      <c r="AD15" s="68">
        <f t="shared" ca="1" si="2"/>
        <v>0</v>
      </c>
      <c r="AE15" s="68">
        <f t="shared" ca="1" si="2"/>
        <v>0</v>
      </c>
      <c r="AF15" s="68">
        <f t="shared" ca="1" si="2"/>
        <v>0</v>
      </c>
      <c r="AG15" s="68">
        <f t="shared" ca="1" si="2"/>
        <v>0</v>
      </c>
      <c r="AH15" s="68">
        <f t="shared" ca="1" si="2"/>
        <v>0</v>
      </c>
      <c r="AI15" s="68">
        <f t="shared" ca="1" si="2"/>
        <v>0</v>
      </c>
      <c r="AJ15" s="68">
        <f t="shared" ca="1" si="2"/>
        <v>0</v>
      </c>
      <c r="AK15" s="68">
        <f t="shared" ca="1" si="2"/>
        <v>0</v>
      </c>
      <c r="AL15" s="68">
        <f t="shared" ca="1" si="3"/>
        <v>0</v>
      </c>
      <c r="AM15" s="68">
        <f t="shared" ca="1" si="3"/>
        <v>0</v>
      </c>
      <c r="AN15" s="68">
        <f t="shared" ca="1" si="3"/>
        <v>0</v>
      </c>
      <c r="AO15" s="68">
        <f t="shared" ca="1" si="3"/>
        <v>0</v>
      </c>
      <c r="AP15" s="68">
        <f t="shared" ca="1" si="3"/>
        <v>0</v>
      </c>
      <c r="AQ15" s="68">
        <f t="shared" ca="1" si="3"/>
        <v>0</v>
      </c>
      <c r="AR15" s="68">
        <f t="shared" ca="1" si="3"/>
        <v>0</v>
      </c>
      <c r="AS15" s="68">
        <f t="shared" ca="1" si="3"/>
        <v>0</v>
      </c>
      <c r="AT15" s="68">
        <f t="shared" ca="1" si="3"/>
        <v>0</v>
      </c>
      <c r="AU15" s="68">
        <f t="shared" ca="1" si="3"/>
        <v>0</v>
      </c>
      <c r="AV15" s="68">
        <f t="shared" ca="1" si="3"/>
        <v>0</v>
      </c>
      <c r="AW15" s="68">
        <f t="shared" ca="1" si="3"/>
        <v>0</v>
      </c>
      <c r="AX15" s="68">
        <f t="shared" ca="1" si="3"/>
        <v>0</v>
      </c>
      <c r="AY15" s="68">
        <f t="shared" ca="1" si="3"/>
        <v>0</v>
      </c>
      <c r="AZ15" s="68">
        <f t="shared" ca="1" si="3"/>
        <v>0</v>
      </c>
      <c r="BA15" s="68">
        <f t="shared" ca="1" si="3"/>
        <v>0</v>
      </c>
      <c r="BB15" s="68">
        <f t="shared" ca="1" si="4"/>
        <v>0</v>
      </c>
      <c r="BC15" s="68">
        <f t="shared" ca="1" si="4"/>
        <v>0</v>
      </c>
      <c r="BD15" s="68">
        <f t="shared" ca="1" si="4"/>
        <v>0</v>
      </c>
      <c r="BE15" s="68">
        <f t="shared" ca="1" si="4"/>
        <v>0</v>
      </c>
      <c r="BF15" s="68">
        <f t="shared" ca="1" si="4"/>
        <v>0</v>
      </c>
      <c r="BG15" s="68">
        <f t="shared" ca="1" si="4"/>
        <v>0</v>
      </c>
      <c r="BH15" s="68">
        <f t="shared" ca="1" si="4"/>
        <v>0</v>
      </c>
      <c r="BI15" s="68">
        <f t="shared" ca="1" si="4"/>
        <v>0</v>
      </c>
      <c r="BJ15" s="68">
        <f t="shared" ca="1" si="4"/>
        <v>0</v>
      </c>
      <c r="BK15" s="68">
        <f t="shared" ca="1" si="4"/>
        <v>0</v>
      </c>
      <c r="BL15" s="68">
        <f t="shared" ca="1" si="4"/>
        <v>0</v>
      </c>
      <c r="BM15" s="68">
        <f t="shared" ca="1" si="4"/>
        <v>0</v>
      </c>
      <c r="BN15" s="68">
        <f t="shared" ca="1" si="4"/>
        <v>0</v>
      </c>
      <c r="BO15" s="68">
        <f t="shared" ca="1" si="4"/>
        <v>0</v>
      </c>
      <c r="BP15" s="68">
        <f t="shared" ca="1" si="4"/>
        <v>0</v>
      </c>
      <c r="BQ15" s="68">
        <f t="shared" ca="1" si="4"/>
        <v>0</v>
      </c>
      <c r="BR15" s="68">
        <f t="shared" ca="1" si="5"/>
        <v>0</v>
      </c>
      <c r="BS15" s="68">
        <f t="shared" ca="1" si="5"/>
        <v>0</v>
      </c>
      <c r="BT15" s="68">
        <f t="shared" ca="1" si="5"/>
        <v>0</v>
      </c>
    </row>
    <row r="16" spans="1:72" x14ac:dyDescent="0.2">
      <c r="A16" s="327">
        <f t="shared" ca="1" si="6"/>
        <v>43660</v>
      </c>
      <c r="B16" s="88">
        <f t="shared" ca="1" si="9"/>
        <v>43654</v>
      </c>
      <c r="C16" s="68">
        <v>11</v>
      </c>
      <c r="D16" s="68" t="str">
        <f t="shared" ca="1" si="10"/>
        <v/>
      </c>
      <c r="E16" s="68" t="str">
        <f t="shared" ca="1" si="0"/>
        <v xml:space="preserve"> </v>
      </c>
      <c r="F16" s="68">
        <f t="shared" ca="1" si="7"/>
        <v>28</v>
      </c>
      <c r="G16" s="68" t="str">
        <f>ROW(A11)&amp;". "&amp;'Critical resources'!B22</f>
        <v xml:space="preserve">11. </v>
      </c>
      <c r="H16" s="68">
        <f ca="1">IFERROR(VLOOKUP('Critical resources'!D22,$B$6:$C$57,2,0),0)</f>
        <v>0</v>
      </c>
      <c r="I16" s="68">
        <f ca="1">IFERROR(VLOOKUP('Critical resources'!E22,$A$6:$C$57,3,0),0)</f>
        <v>0</v>
      </c>
      <c r="J16" s="68">
        <f ca="1">IFERROR(VLOOKUP('Critical resources'!G22,$B$6:$C$57,2,0),0)</f>
        <v>0</v>
      </c>
      <c r="K16" s="68">
        <f ca="1">IFERROR(VLOOKUP('Critical resources'!H22,$B$6:$C$57,2,0),0)</f>
        <v>0</v>
      </c>
      <c r="L16" s="68">
        <f ca="1">IFERROR(VLOOKUP('Critical resources'!J22,$B$6:$C$57,2,0),0)</f>
        <v>0</v>
      </c>
      <c r="M16" s="68">
        <f ca="1">IFERROR(VLOOKUP('Critical resources'!K22,$A$6:$C$57,3,0),0)</f>
        <v>0</v>
      </c>
      <c r="N16" s="68">
        <f ca="1">IFERROR(VLOOKUP('Critical resources'!M22,$B$6:$C$57,2,0),0)</f>
        <v>0</v>
      </c>
      <c r="O16" s="68">
        <f ca="1">IFERROR(VLOOKUP('Critical resources'!N22,$A$6:$C$57,3,0),0)</f>
        <v>0</v>
      </c>
      <c r="P16" s="68">
        <f ca="1">IFERROR(VLOOKUP('Critical resources'!P22,$B$6:$C$57,2,0),0)</f>
        <v>0</v>
      </c>
      <c r="Q16" s="68">
        <f ca="1">IFERROR(VLOOKUP('Critical resources'!Q22,$A$6:$C$57,3,0),0)</f>
        <v>0</v>
      </c>
      <c r="T16" s="68" t="str">
        <f t="shared" si="1"/>
        <v xml:space="preserve">11. </v>
      </c>
      <c r="U16" s="68">
        <f t="shared" ca="1" si="8"/>
        <v>0</v>
      </c>
      <c r="V16" s="68">
        <f t="shared" ca="1" si="2"/>
        <v>0</v>
      </c>
      <c r="W16" s="68">
        <f t="shared" ca="1" si="2"/>
        <v>0</v>
      </c>
      <c r="X16" s="68">
        <f t="shared" ca="1" si="2"/>
        <v>0</v>
      </c>
      <c r="Y16" s="68">
        <f t="shared" ca="1" si="2"/>
        <v>0</v>
      </c>
      <c r="Z16" s="68">
        <f t="shared" ca="1" si="2"/>
        <v>0</v>
      </c>
      <c r="AA16" s="68">
        <f t="shared" ca="1" si="2"/>
        <v>0</v>
      </c>
      <c r="AB16" s="68">
        <f t="shared" ca="1" si="2"/>
        <v>0</v>
      </c>
      <c r="AC16" s="68">
        <f t="shared" ca="1" si="2"/>
        <v>0</v>
      </c>
      <c r="AD16" s="68">
        <f t="shared" ca="1" si="2"/>
        <v>0</v>
      </c>
      <c r="AE16" s="68">
        <f t="shared" ca="1" si="2"/>
        <v>0</v>
      </c>
      <c r="AF16" s="68">
        <f t="shared" ca="1" si="2"/>
        <v>0</v>
      </c>
      <c r="AG16" s="68">
        <f t="shared" ca="1" si="2"/>
        <v>0</v>
      </c>
      <c r="AH16" s="68">
        <f t="shared" ca="1" si="2"/>
        <v>0</v>
      </c>
      <c r="AI16" s="68">
        <f t="shared" ca="1" si="2"/>
        <v>0</v>
      </c>
      <c r="AJ16" s="68">
        <f t="shared" ca="1" si="2"/>
        <v>0</v>
      </c>
      <c r="AK16" s="68">
        <f t="shared" ca="1" si="2"/>
        <v>0</v>
      </c>
      <c r="AL16" s="68">
        <f t="shared" ca="1" si="3"/>
        <v>0</v>
      </c>
      <c r="AM16" s="68">
        <f t="shared" ca="1" si="3"/>
        <v>0</v>
      </c>
      <c r="AN16" s="68">
        <f t="shared" ca="1" si="3"/>
        <v>0</v>
      </c>
      <c r="AO16" s="68">
        <f t="shared" ca="1" si="3"/>
        <v>0</v>
      </c>
      <c r="AP16" s="68">
        <f t="shared" ca="1" si="3"/>
        <v>0</v>
      </c>
      <c r="AQ16" s="68">
        <f t="shared" ca="1" si="3"/>
        <v>0</v>
      </c>
      <c r="AR16" s="68">
        <f t="shared" ca="1" si="3"/>
        <v>0</v>
      </c>
      <c r="AS16" s="68">
        <f t="shared" ca="1" si="3"/>
        <v>0</v>
      </c>
      <c r="AT16" s="68">
        <f t="shared" ca="1" si="3"/>
        <v>0</v>
      </c>
      <c r="AU16" s="68">
        <f t="shared" ca="1" si="3"/>
        <v>0</v>
      </c>
      <c r="AV16" s="68">
        <f t="shared" ca="1" si="3"/>
        <v>0</v>
      </c>
      <c r="AW16" s="68">
        <f t="shared" ca="1" si="3"/>
        <v>0</v>
      </c>
      <c r="AX16" s="68">
        <f t="shared" ca="1" si="3"/>
        <v>0</v>
      </c>
      <c r="AY16" s="68">
        <f t="shared" ca="1" si="3"/>
        <v>0</v>
      </c>
      <c r="AZ16" s="68">
        <f t="shared" ca="1" si="3"/>
        <v>0</v>
      </c>
      <c r="BA16" s="68">
        <f t="shared" ca="1" si="3"/>
        <v>0</v>
      </c>
      <c r="BB16" s="68">
        <f t="shared" ca="1" si="4"/>
        <v>0</v>
      </c>
      <c r="BC16" s="68">
        <f t="shared" ca="1" si="4"/>
        <v>0</v>
      </c>
      <c r="BD16" s="68">
        <f t="shared" ca="1" si="4"/>
        <v>0</v>
      </c>
      <c r="BE16" s="68">
        <f t="shared" ca="1" si="4"/>
        <v>0</v>
      </c>
      <c r="BF16" s="68">
        <f t="shared" ca="1" si="4"/>
        <v>0</v>
      </c>
      <c r="BG16" s="68">
        <f t="shared" ca="1" si="4"/>
        <v>0</v>
      </c>
      <c r="BH16" s="68">
        <f t="shared" ca="1" si="4"/>
        <v>0</v>
      </c>
      <c r="BI16" s="68">
        <f t="shared" ca="1" si="4"/>
        <v>0</v>
      </c>
      <c r="BJ16" s="68">
        <f t="shared" ca="1" si="4"/>
        <v>0</v>
      </c>
      <c r="BK16" s="68">
        <f t="shared" ca="1" si="4"/>
        <v>0</v>
      </c>
      <c r="BL16" s="68">
        <f t="shared" ca="1" si="4"/>
        <v>0</v>
      </c>
      <c r="BM16" s="68">
        <f t="shared" ca="1" si="4"/>
        <v>0</v>
      </c>
      <c r="BN16" s="68">
        <f t="shared" ca="1" si="4"/>
        <v>0</v>
      </c>
      <c r="BO16" s="68">
        <f t="shared" ca="1" si="4"/>
        <v>0</v>
      </c>
      <c r="BP16" s="68">
        <f t="shared" ca="1" si="4"/>
        <v>0</v>
      </c>
      <c r="BQ16" s="68">
        <f t="shared" ca="1" si="4"/>
        <v>0</v>
      </c>
      <c r="BR16" s="68">
        <f t="shared" ca="1" si="5"/>
        <v>0</v>
      </c>
      <c r="BS16" s="68">
        <f t="shared" ca="1" si="5"/>
        <v>0</v>
      </c>
      <c r="BT16" s="68">
        <f t="shared" ca="1" si="5"/>
        <v>0</v>
      </c>
    </row>
    <row r="17" spans="1:72" x14ac:dyDescent="0.2">
      <c r="A17" s="327">
        <f t="shared" ca="1" si="6"/>
        <v>43667</v>
      </c>
      <c r="B17" s="88">
        <f t="shared" ca="1" si="9"/>
        <v>43661</v>
      </c>
      <c r="C17" s="68">
        <v>12</v>
      </c>
      <c r="D17" s="68" t="str">
        <f t="shared" ca="1" si="10"/>
        <v/>
      </c>
      <c r="E17" s="68" t="str">
        <f t="shared" ca="1" si="0"/>
        <v xml:space="preserve"> </v>
      </c>
      <c r="F17" s="68">
        <f t="shared" ca="1" si="7"/>
        <v>29</v>
      </c>
      <c r="G17" s="68" t="str">
        <f>ROW(A12)&amp;". "&amp;'Critical resources'!B23</f>
        <v xml:space="preserve">12. </v>
      </c>
      <c r="H17" s="68">
        <f ca="1">IFERROR(VLOOKUP('Critical resources'!D23,$B$6:$C$57,2,0),0)</f>
        <v>0</v>
      </c>
      <c r="I17" s="68">
        <f ca="1">IFERROR(VLOOKUP('Critical resources'!E23,$A$6:$C$57,3,0),0)</f>
        <v>0</v>
      </c>
      <c r="J17" s="68">
        <f ca="1">IFERROR(VLOOKUP('Critical resources'!G23,$B$6:$C$57,2,0),0)</f>
        <v>0</v>
      </c>
      <c r="K17" s="68">
        <f ca="1">IFERROR(VLOOKUP('Critical resources'!H23,$B$6:$C$57,2,0),0)</f>
        <v>0</v>
      </c>
      <c r="L17" s="68">
        <f ca="1">IFERROR(VLOOKUP('Critical resources'!J23,$B$6:$C$57,2,0),0)</f>
        <v>0</v>
      </c>
      <c r="M17" s="68">
        <f ca="1">IFERROR(VLOOKUP('Critical resources'!K23,$A$6:$C$57,3,0),0)</f>
        <v>0</v>
      </c>
      <c r="N17" s="68">
        <f ca="1">IFERROR(VLOOKUP('Critical resources'!M23,$B$6:$C$57,2,0),0)</f>
        <v>0</v>
      </c>
      <c r="O17" s="68">
        <f ca="1">IFERROR(VLOOKUP('Critical resources'!N23,$A$6:$C$57,3,0),0)</f>
        <v>0</v>
      </c>
      <c r="P17" s="68">
        <f ca="1">IFERROR(VLOOKUP('Critical resources'!P23,$B$6:$C$57,2,0),0)</f>
        <v>0</v>
      </c>
      <c r="Q17" s="68">
        <f ca="1">IFERROR(VLOOKUP('Critical resources'!Q23,$A$6:$C$57,3,0),0)</f>
        <v>0</v>
      </c>
      <c r="T17" s="68" t="str">
        <f t="shared" si="1"/>
        <v xml:space="preserve">12. </v>
      </c>
      <c r="U17" s="68">
        <f t="shared" ca="1" si="8"/>
        <v>0</v>
      </c>
      <c r="V17" s="68">
        <f t="shared" ca="1" si="2"/>
        <v>0</v>
      </c>
      <c r="W17" s="68">
        <f t="shared" ca="1" si="2"/>
        <v>0</v>
      </c>
      <c r="X17" s="68">
        <f t="shared" ca="1" si="2"/>
        <v>0</v>
      </c>
      <c r="Y17" s="68">
        <f t="shared" ca="1" si="2"/>
        <v>0</v>
      </c>
      <c r="Z17" s="68">
        <f t="shared" ca="1" si="2"/>
        <v>0</v>
      </c>
      <c r="AA17" s="68">
        <f t="shared" ca="1" si="2"/>
        <v>0</v>
      </c>
      <c r="AB17" s="68">
        <f t="shared" ca="1" si="2"/>
        <v>0</v>
      </c>
      <c r="AC17" s="68">
        <f t="shared" ca="1" si="2"/>
        <v>0</v>
      </c>
      <c r="AD17" s="68">
        <f t="shared" ca="1" si="2"/>
        <v>0</v>
      </c>
      <c r="AE17" s="68">
        <f t="shared" ca="1" si="2"/>
        <v>0</v>
      </c>
      <c r="AF17" s="68">
        <f t="shared" ca="1" si="2"/>
        <v>0</v>
      </c>
      <c r="AG17" s="68">
        <f t="shared" ca="1" si="2"/>
        <v>0</v>
      </c>
      <c r="AH17" s="68">
        <f t="shared" ca="1" si="2"/>
        <v>0</v>
      </c>
      <c r="AI17" s="68">
        <f t="shared" ca="1" si="2"/>
        <v>0</v>
      </c>
      <c r="AJ17" s="68">
        <f t="shared" ca="1" si="2"/>
        <v>0</v>
      </c>
      <c r="AK17" s="68">
        <f t="shared" ca="1" si="2"/>
        <v>0</v>
      </c>
      <c r="AL17" s="68">
        <f t="shared" ca="1" si="3"/>
        <v>0</v>
      </c>
      <c r="AM17" s="68">
        <f t="shared" ca="1" si="3"/>
        <v>0</v>
      </c>
      <c r="AN17" s="68">
        <f t="shared" ca="1" si="3"/>
        <v>0</v>
      </c>
      <c r="AO17" s="68">
        <f t="shared" ca="1" si="3"/>
        <v>0</v>
      </c>
      <c r="AP17" s="68">
        <f t="shared" ca="1" si="3"/>
        <v>0</v>
      </c>
      <c r="AQ17" s="68">
        <f t="shared" ca="1" si="3"/>
        <v>0</v>
      </c>
      <c r="AR17" s="68">
        <f t="shared" ca="1" si="3"/>
        <v>0</v>
      </c>
      <c r="AS17" s="68">
        <f t="shared" ca="1" si="3"/>
        <v>0</v>
      </c>
      <c r="AT17" s="68">
        <f t="shared" ca="1" si="3"/>
        <v>0</v>
      </c>
      <c r="AU17" s="68">
        <f t="shared" ca="1" si="3"/>
        <v>0</v>
      </c>
      <c r="AV17" s="68">
        <f t="shared" ca="1" si="3"/>
        <v>0</v>
      </c>
      <c r="AW17" s="68">
        <f t="shared" ca="1" si="3"/>
        <v>0</v>
      </c>
      <c r="AX17" s="68">
        <f t="shared" ca="1" si="3"/>
        <v>0</v>
      </c>
      <c r="AY17" s="68">
        <f t="shared" ca="1" si="3"/>
        <v>0</v>
      </c>
      <c r="AZ17" s="68">
        <f t="shared" ca="1" si="3"/>
        <v>0</v>
      </c>
      <c r="BA17" s="68">
        <f t="shared" ca="1" si="3"/>
        <v>0</v>
      </c>
      <c r="BB17" s="68">
        <f t="shared" ca="1" si="4"/>
        <v>0</v>
      </c>
      <c r="BC17" s="68">
        <f t="shared" ca="1" si="4"/>
        <v>0</v>
      </c>
      <c r="BD17" s="68">
        <f t="shared" ca="1" si="4"/>
        <v>0</v>
      </c>
      <c r="BE17" s="68">
        <f t="shared" ca="1" si="4"/>
        <v>0</v>
      </c>
      <c r="BF17" s="68">
        <f t="shared" ca="1" si="4"/>
        <v>0</v>
      </c>
      <c r="BG17" s="68">
        <f t="shared" ca="1" si="4"/>
        <v>0</v>
      </c>
      <c r="BH17" s="68">
        <f t="shared" ca="1" si="4"/>
        <v>0</v>
      </c>
      <c r="BI17" s="68">
        <f t="shared" ca="1" si="4"/>
        <v>0</v>
      </c>
      <c r="BJ17" s="68">
        <f t="shared" ca="1" si="4"/>
        <v>0</v>
      </c>
      <c r="BK17" s="68">
        <f t="shared" ca="1" si="4"/>
        <v>0</v>
      </c>
      <c r="BL17" s="68">
        <f t="shared" ca="1" si="4"/>
        <v>0</v>
      </c>
      <c r="BM17" s="68">
        <f t="shared" ca="1" si="4"/>
        <v>0</v>
      </c>
      <c r="BN17" s="68">
        <f t="shared" ca="1" si="4"/>
        <v>0</v>
      </c>
      <c r="BO17" s="68">
        <f t="shared" ca="1" si="4"/>
        <v>0</v>
      </c>
      <c r="BP17" s="68">
        <f t="shared" ca="1" si="4"/>
        <v>0</v>
      </c>
      <c r="BQ17" s="68">
        <f t="shared" ca="1" si="4"/>
        <v>0</v>
      </c>
      <c r="BR17" s="68">
        <f t="shared" ca="1" si="5"/>
        <v>0</v>
      </c>
      <c r="BS17" s="68">
        <f t="shared" ca="1" si="5"/>
        <v>0</v>
      </c>
      <c r="BT17" s="68">
        <f t="shared" ca="1" si="5"/>
        <v>0</v>
      </c>
    </row>
    <row r="18" spans="1:72" x14ac:dyDescent="0.2">
      <c r="A18" s="327">
        <f t="shared" ca="1" si="6"/>
        <v>43674</v>
      </c>
      <c r="B18" s="88">
        <f t="shared" ca="1" si="9"/>
        <v>43668</v>
      </c>
      <c r="C18" s="68">
        <v>13</v>
      </c>
      <c r="D18" s="68" t="str">
        <f t="shared" ca="1" si="10"/>
        <v/>
      </c>
      <c r="E18" s="68" t="str">
        <f t="shared" ca="1" si="0"/>
        <v xml:space="preserve"> </v>
      </c>
      <c r="F18" s="68">
        <f t="shared" ca="1" si="7"/>
        <v>30</v>
      </c>
      <c r="G18" s="68" t="str">
        <f>ROW(A13)&amp;". "&amp;'Critical resources'!B24</f>
        <v xml:space="preserve">13. </v>
      </c>
      <c r="H18" s="68">
        <f ca="1">IFERROR(VLOOKUP('Critical resources'!D24,$B$6:$C$57,2,0),0)</f>
        <v>0</v>
      </c>
      <c r="I18" s="68">
        <f ca="1">IFERROR(VLOOKUP('Critical resources'!E24,$A$6:$C$57,3,0),0)</f>
        <v>0</v>
      </c>
      <c r="J18" s="68">
        <f ca="1">IFERROR(VLOOKUP('Critical resources'!G24,$B$6:$C$57,2,0),0)</f>
        <v>0</v>
      </c>
      <c r="K18" s="68">
        <f ca="1">IFERROR(VLOOKUP('Critical resources'!H24,$B$6:$C$57,2,0),0)</f>
        <v>0</v>
      </c>
      <c r="L18" s="68">
        <f ca="1">IFERROR(VLOOKUP('Critical resources'!J24,$B$6:$C$57,2,0),0)</f>
        <v>0</v>
      </c>
      <c r="M18" s="68">
        <f ca="1">IFERROR(VLOOKUP('Critical resources'!K24,$A$6:$C$57,3,0),0)</f>
        <v>0</v>
      </c>
      <c r="N18" s="68">
        <f ca="1">IFERROR(VLOOKUP('Critical resources'!M24,$B$6:$C$57,2,0),0)</f>
        <v>0</v>
      </c>
      <c r="O18" s="68">
        <f ca="1">IFERROR(VLOOKUP('Critical resources'!N24,$A$6:$C$57,3,0),0)</f>
        <v>0</v>
      </c>
      <c r="P18" s="68">
        <f ca="1">IFERROR(VLOOKUP('Critical resources'!P24,$B$6:$C$57,2,0),0)</f>
        <v>0</v>
      </c>
      <c r="Q18" s="68">
        <f ca="1">IFERROR(VLOOKUP('Critical resources'!Q24,$A$6:$C$57,3,0),0)</f>
        <v>0</v>
      </c>
      <c r="T18" s="68" t="str">
        <f t="shared" si="1"/>
        <v xml:space="preserve">13. </v>
      </c>
      <c r="U18" s="68">
        <f t="shared" ca="1" si="8"/>
        <v>0</v>
      </c>
      <c r="V18" s="68">
        <f t="shared" ca="1" si="2"/>
        <v>0</v>
      </c>
      <c r="W18" s="68">
        <f t="shared" ca="1" si="2"/>
        <v>0</v>
      </c>
      <c r="X18" s="68">
        <f t="shared" ca="1" si="2"/>
        <v>0</v>
      </c>
      <c r="Y18" s="68">
        <f t="shared" ca="1" si="2"/>
        <v>0</v>
      </c>
      <c r="Z18" s="68">
        <f t="shared" ca="1" si="2"/>
        <v>0</v>
      </c>
      <c r="AA18" s="68">
        <f t="shared" ca="1" si="2"/>
        <v>0</v>
      </c>
      <c r="AB18" s="68">
        <f t="shared" ca="1" si="2"/>
        <v>0</v>
      </c>
      <c r="AC18" s="68">
        <f t="shared" ca="1" si="2"/>
        <v>0</v>
      </c>
      <c r="AD18" s="68">
        <f t="shared" ca="1" si="2"/>
        <v>0</v>
      </c>
      <c r="AE18" s="68">
        <f t="shared" ca="1" si="2"/>
        <v>0</v>
      </c>
      <c r="AF18" s="68">
        <f t="shared" ca="1" si="2"/>
        <v>0</v>
      </c>
      <c r="AG18" s="68">
        <f t="shared" ca="1" si="2"/>
        <v>0</v>
      </c>
      <c r="AH18" s="68">
        <f t="shared" ca="1" si="2"/>
        <v>0</v>
      </c>
      <c r="AI18" s="68">
        <f t="shared" ca="1" si="2"/>
        <v>0</v>
      </c>
      <c r="AJ18" s="68">
        <f t="shared" ca="1" si="2"/>
        <v>0</v>
      </c>
      <c r="AK18" s="68">
        <f t="shared" ca="1" si="2"/>
        <v>0</v>
      </c>
      <c r="AL18" s="68">
        <f t="shared" ca="1" si="3"/>
        <v>0</v>
      </c>
      <c r="AM18" s="68">
        <f t="shared" ca="1" si="3"/>
        <v>0</v>
      </c>
      <c r="AN18" s="68">
        <f t="shared" ca="1" si="3"/>
        <v>0</v>
      </c>
      <c r="AO18" s="68">
        <f t="shared" ca="1" si="3"/>
        <v>0</v>
      </c>
      <c r="AP18" s="68">
        <f t="shared" ca="1" si="3"/>
        <v>0</v>
      </c>
      <c r="AQ18" s="68">
        <f t="shared" ca="1" si="3"/>
        <v>0</v>
      </c>
      <c r="AR18" s="68">
        <f t="shared" ca="1" si="3"/>
        <v>0</v>
      </c>
      <c r="AS18" s="68">
        <f t="shared" ca="1" si="3"/>
        <v>0</v>
      </c>
      <c r="AT18" s="68">
        <f t="shared" ca="1" si="3"/>
        <v>0</v>
      </c>
      <c r="AU18" s="68">
        <f t="shared" ca="1" si="3"/>
        <v>0</v>
      </c>
      <c r="AV18" s="68">
        <f t="shared" ca="1" si="3"/>
        <v>0</v>
      </c>
      <c r="AW18" s="68">
        <f t="shared" ca="1" si="3"/>
        <v>0</v>
      </c>
      <c r="AX18" s="68">
        <f t="shared" ca="1" si="3"/>
        <v>0</v>
      </c>
      <c r="AY18" s="68">
        <f t="shared" ca="1" si="3"/>
        <v>0</v>
      </c>
      <c r="AZ18" s="68">
        <f t="shared" ca="1" si="3"/>
        <v>0</v>
      </c>
      <c r="BA18" s="68">
        <f t="shared" ca="1" si="3"/>
        <v>0</v>
      </c>
      <c r="BB18" s="68">
        <f t="shared" ca="1" si="4"/>
        <v>0</v>
      </c>
      <c r="BC18" s="68">
        <f t="shared" ca="1" si="4"/>
        <v>0</v>
      </c>
      <c r="BD18" s="68">
        <f t="shared" ca="1" si="4"/>
        <v>0</v>
      </c>
      <c r="BE18" s="68">
        <f t="shared" ca="1" si="4"/>
        <v>0</v>
      </c>
      <c r="BF18" s="68">
        <f t="shared" ca="1" si="4"/>
        <v>0</v>
      </c>
      <c r="BG18" s="68">
        <f t="shared" ca="1" si="4"/>
        <v>0</v>
      </c>
      <c r="BH18" s="68">
        <f t="shared" ca="1" si="4"/>
        <v>0</v>
      </c>
      <c r="BI18" s="68">
        <f t="shared" ca="1" si="4"/>
        <v>0</v>
      </c>
      <c r="BJ18" s="68">
        <f t="shared" ca="1" si="4"/>
        <v>0</v>
      </c>
      <c r="BK18" s="68">
        <f t="shared" ca="1" si="4"/>
        <v>0</v>
      </c>
      <c r="BL18" s="68">
        <f t="shared" ca="1" si="4"/>
        <v>0</v>
      </c>
      <c r="BM18" s="68">
        <f t="shared" ca="1" si="4"/>
        <v>0</v>
      </c>
      <c r="BN18" s="68">
        <f t="shared" ca="1" si="4"/>
        <v>0</v>
      </c>
      <c r="BO18" s="68">
        <f t="shared" ca="1" si="4"/>
        <v>0</v>
      </c>
      <c r="BP18" s="68">
        <f t="shared" ca="1" si="4"/>
        <v>0</v>
      </c>
      <c r="BQ18" s="68">
        <f t="shared" ca="1" si="4"/>
        <v>0</v>
      </c>
      <c r="BR18" s="68">
        <f t="shared" ca="1" si="5"/>
        <v>0</v>
      </c>
      <c r="BS18" s="68">
        <f t="shared" ca="1" si="5"/>
        <v>0</v>
      </c>
      <c r="BT18" s="68">
        <f t="shared" ca="1" si="5"/>
        <v>0</v>
      </c>
    </row>
    <row r="19" spans="1:72" x14ac:dyDescent="0.2">
      <c r="A19" s="327">
        <f t="shared" ca="1" si="6"/>
        <v>43681</v>
      </c>
      <c r="B19" s="88">
        <f t="shared" ca="1" si="9"/>
        <v>43675</v>
      </c>
      <c r="C19" s="68">
        <v>14</v>
      </c>
      <c r="D19" s="68" t="str">
        <f t="shared" ca="1" si="10"/>
        <v/>
      </c>
      <c r="E19" s="68" t="str">
        <f t="shared" ca="1" si="0"/>
        <v xml:space="preserve"> </v>
      </c>
      <c r="F19" s="68">
        <f t="shared" ca="1" si="7"/>
        <v>31</v>
      </c>
      <c r="G19" s="68" t="str">
        <f>ROW(A14)&amp;". "&amp;'Critical resources'!B25</f>
        <v xml:space="preserve">14. </v>
      </c>
      <c r="H19" s="68">
        <f ca="1">IFERROR(VLOOKUP('Critical resources'!D25,$B$6:$C$57,2,0),0)</f>
        <v>0</v>
      </c>
      <c r="I19" s="68">
        <f ca="1">IFERROR(VLOOKUP('Critical resources'!E25,$A$6:$C$57,3,0),0)</f>
        <v>0</v>
      </c>
      <c r="J19" s="68">
        <f ca="1">IFERROR(VLOOKUP('Critical resources'!G25,$B$6:$C$57,2,0),0)</f>
        <v>0</v>
      </c>
      <c r="K19" s="68">
        <f ca="1">IFERROR(VLOOKUP('Critical resources'!H25,$B$6:$C$57,2,0),0)</f>
        <v>0</v>
      </c>
      <c r="L19" s="68">
        <f ca="1">IFERROR(VLOOKUP('Critical resources'!J25,$B$6:$C$57,2,0),0)</f>
        <v>0</v>
      </c>
      <c r="M19" s="68">
        <f ca="1">IFERROR(VLOOKUP('Critical resources'!K25,$A$6:$C$57,3,0),0)</f>
        <v>0</v>
      </c>
      <c r="N19" s="68">
        <f ca="1">IFERROR(VLOOKUP('Critical resources'!M25,$B$6:$C$57,2,0),0)</f>
        <v>0</v>
      </c>
      <c r="O19" s="68">
        <f ca="1">IFERROR(VLOOKUP('Critical resources'!N25,$A$6:$C$57,3,0),0)</f>
        <v>0</v>
      </c>
      <c r="P19" s="68">
        <f ca="1">IFERROR(VLOOKUP('Critical resources'!P25,$B$6:$C$57,2,0),0)</f>
        <v>0</v>
      </c>
      <c r="Q19" s="68">
        <f ca="1">IFERROR(VLOOKUP('Critical resources'!Q25,$A$6:$C$57,3,0),0)</f>
        <v>0</v>
      </c>
      <c r="T19" s="68" t="str">
        <f t="shared" si="1"/>
        <v xml:space="preserve">14. </v>
      </c>
      <c r="U19" s="68">
        <f t="shared" ca="1" si="8"/>
        <v>0</v>
      </c>
      <c r="V19" s="68">
        <f t="shared" ca="1" si="2"/>
        <v>0</v>
      </c>
      <c r="W19" s="68">
        <f t="shared" ca="1" si="2"/>
        <v>0</v>
      </c>
      <c r="X19" s="68">
        <f t="shared" ca="1" si="2"/>
        <v>0</v>
      </c>
      <c r="Y19" s="68">
        <f t="shared" ca="1" si="2"/>
        <v>0</v>
      </c>
      <c r="Z19" s="68">
        <f t="shared" ca="1" si="2"/>
        <v>0</v>
      </c>
      <c r="AA19" s="68">
        <f t="shared" ca="1" si="2"/>
        <v>0</v>
      </c>
      <c r="AB19" s="68">
        <f t="shared" ca="1" si="2"/>
        <v>0</v>
      </c>
      <c r="AC19" s="68">
        <f t="shared" ca="1" si="2"/>
        <v>0</v>
      </c>
      <c r="AD19" s="68">
        <f t="shared" ca="1" si="2"/>
        <v>0</v>
      </c>
      <c r="AE19" s="68">
        <f t="shared" ca="1" si="2"/>
        <v>0</v>
      </c>
      <c r="AF19" s="68">
        <f t="shared" ca="1" si="2"/>
        <v>0</v>
      </c>
      <c r="AG19" s="68">
        <f t="shared" ca="1" si="2"/>
        <v>0</v>
      </c>
      <c r="AH19" s="68">
        <f t="shared" ca="1" si="2"/>
        <v>0</v>
      </c>
      <c r="AI19" s="68">
        <f t="shared" ca="1" si="2"/>
        <v>0</v>
      </c>
      <c r="AJ19" s="68">
        <f t="shared" ca="1" si="2"/>
        <v>0</v>
      </c>
      <c r="AK19" s="68">
        <f t="shared" ca="1" si="2"/>
        <v>0</v>
      </c>
      <c r="AL19" s="68">
        <f t="shared" ca="1" si="3"/>
        <v>0</v>
      </c>
      <c r="AM19" s="68">
        <f t="shared" ca="1" si="3"/>
        <v>0</v>
      </c>
      <c r="AN19" s="68">
        <f t="shared" ca="1" si="3"/>
        <v>0</v>
      </c>
      <c r="AO19" s="68">
        <f t="shared" ca="1" si="3"/>
        <v>0</v>
      </c>
      <c r="AP19" s="68">
        <f t="shared" ca="1" si="3"/>
        <v>0</v>
      </c>
      <c r="AQ19" s="68">
        <f t="shared" ca="1" si="3"/>
        <v>0</v>
      </c>
      <c r="AR19" s="68">
        <f t="shared" ca="1" si="3"/>
        <v>0</v>
      </c>
      <c r="AS19" s="68">
        <f t="shared" ca="1" si="3"/>
        <v>0</v>
      </c>
      <c r="AT19" s="68">
        <f t="shared" ca="1" si="3"/>
        <v>0</v>
      </c>
      <c r="AU19" s="68">
        <f t="shared" ca="1" si="3"/>
        <v>0</v>
      </c>
      <c r="AV19" s="68">
        <f t="shared" ca="1" si="3"/>
        <v>0</v>
      </c>
      <c r="AW19" s="68">
        <f t="shared" ca="1" si="3"/>
        <v>0</v>
      </c>
      <c r="AX19" s="68">
        <f t="shared" ca="1" si="3"/>
        <v>0</v>
      </c>
      <c r="AY19" s="68">
        <f t="shared" ca="1" si="3"/>
        <v>0</v>
      </c>
      <c r="AZ19" s="68">
        <f t="shared" ca="1" si="3"/>
        <v>0</v>
      </c>
      <c r="BA19" s="68">
        <f t="shared" ca="1" si="3"/>
        <v>0</v>
      </c>
      <c r="BB19" s="68">
        <f t="shared" ca="1" si="4"/>
        <v>0</v>
      </c>
      <c r="BC19" s="68">
        <f t="shared" ca="1" si="4"/>
        <v>0</v>
      </c>
      <c r="BD19" s="68">
        <f t="shared" ca="1" si="4"/>
        <v>0</v>
      </c>
      <c r="BE19" s="68">
        <f t="shared" ca="1" si="4"/>
        <v>0</v>
      </c>
      <c r="BF19" s="68">
        <f t="shared" ca="1" si="4"/>
        <v>0</v>
      </c>
      <c r="BG19" s="68">
        <f t="shared" ca="1" si="4"/>
        <v>0</v>
      </c>
      <c r="BH19" s="68">
        <f t="shared" ca="1" si="4"/>
        <v>0</v>
      </c>
      <c r="BI19" s="68">
        <f t="shared" ca="1" si="4"/>
        <v>0</v>
      </c>
      <c r="BJ19" s="68">
        <f t="shared" ca="1" si="4"/>
        <v>0</v>
      </c>
      <c r="BK19" s="68">
        <f t="shared" ca="1" si="4"/>
        <v>0</v>
      </c>
      <c r="BL19" s="68">
        <f t="shared" ca="1" si="4"/>
        <v>0</v>
      </c>
      <c r="BM19" s="68">
        <f t="shared" ca="1" si="4"/>
        <v>0</v>
      </c>
      <c r="BN19" s="68">
        <f t="shared" ca="1" si="4"/>
        <v>0</v>
      </c>
      <c r="BO19" s="68">
        <f t="shared" ca="1" si="4"/>
        <v>0</v>
      </c>
      <c r="BP19" s="68">
        <f t="shared" ca="1" si="4"/>
        <v>0</v>
      </c>
      <c r="BQ19" s="68">
        <f t="shared" ca="1" si="4"/>
        <v>0</v>
      </c>
      <c r="BR19" s="68">
        <f t="shared" ca="1" si="5"/>
        <v>0</v>
      </c>
      <c r="BS19" s="68">
        <f t="shared" ca="1" si="5"/>
        <v>0</v>
      </c>
      <c r="BT19" s="68">
        <f t="shared" ca="1" si="5"/>
        <v>0</v>
      </c>
    </row>
    <row r="20" spans="1:72" x14ac:dyDescent="0.2">
      <c r="A20" s="327">
        <f t="shared" ca="1" si="6"/>
        <v>43688</v>
      </c>
      <c r="B20" s="88">
        <f t="shared" ca="1" si="9"/>
        <v>43682</v>
      </c>
      <c r="C20" s="68">
        <v>15</v>
      </c>
      <c r="D20" s="68" t="str">
        <f t="shared" ca="1" si="10"/>
        <v/>
      </c>
      <c r="E20" s="68" t="str">
        <f t="shared" ca="1" si="0"/>
        <v>Aug</v>
      </c>
      <c r="F20" s="68">
        <f t="shared" ca="1" si="7"/>
        <v>32</v>
      </c>
      <c r="G20" s="68" t="str">
        <f>ROW(A15)&amp;". "&amp;'Critical resources'!B26</f>
        <v xml:space="preserve">15. </v>
      </c>
      <c r="H20" s="68">
        <f ca="1">IFERROR(VLOOKUP('Critical resources'!D26,$B$6:$C$57,2,0),0)</f>
        <v>0</v>
      </c>
      <c r="I20" s="68">
        <f ca="1">IFERROR(VLOOKUP('Critical resources'!E26,$A$6:$C$57,3,0),0)</f>
        <v>0</v>
      </c>
      <c r="J20" s="68">
        <f ca="1">IFERROR(VLOOKUP('Critical resources'!G26,$B$6:$C$57,2,0),0)</f>
        <v>0</v>
      </c>
      <c r="K20" s="68">
        <f ca="1">IFERROR(VLOOKUP('Critical resources'!H26,$B$6:$C$57,2,0),0)</f>
        <v>0</v>
      </c>
      <c r="L20" s="68">
        <f ca="1">IFERROR(VLOOKUP('Critical resources'!J26,$B$6:$C$57,2,0),0)</f>
        <v>0</v>
      </c>
      <c r="M20" s="68">
        <f ca="1">IFERROR(VLOOKUP('Critical resources'!K26,$A$6:$C$57,3,0),0)</f>
        <v>0</v>
      </c>
      <c r="N20" s="68">
        <f ca="1">IFERROR(VLOOKUP('Critical resources'!M26,$B$6:$C$57,2,0),0)</f>
        <v>0</v>
      </c>
      <c r="O20" s="68">
        <f ca="1">IFERROR(VLOOKUP('Critical resources'!N26,$A$6:$C$57,3,0),0)</f>
        <v>0</v>
      </c>
      <c r="P20" s="68">
        <f ca="1">IFERROR(VLOOKUP('Critical resources'!P26,$B$6:$C$57,2,0),0)</f>
        <v>0</v>
      </c>
      <c r="Q20" s="68">
        <f ca="1">IFERROR(VLOOKUP('Critical resources'!Q26,$A$6:$C$57,3,0),0)</f>
        <v>0</v>
      </c>
      <c r="T20" s="68" t="str">
        <f t="shared" si="1"/>
        <v xml:space="preserve">15. </v>
      </c>
      <c r="U20" s="68">
        <f t="shared" ca="1" si="8"/>
        <v>0</v>
      </c>
      <c r="V20" s="68">
        <f t="shared" ca="1" si="2"/>
        <v>0</v>
      </c>
      <c r="W20" s="68">
        <f t="shared" ca="1" si="2"/>
        <v>0</v>
      </c>
      <c r="X20" s="68">
        <f t="shared" ca="1" si="2"/>
        <v>0</v>
      </c>
      <c r="Y20" s="68">
        <f t="shared" ca="1" si="2"/>
        <v>0</v>
      </c>
      <c r="Z20" s="68">
        <f t="shared" ca="1" si="2"/>
        <v>0</v>
      </c>
      <c r="AA20" s="68">
        <f t="shared" ca="1" si="2"/>
        <v>0</v>
      </c>
      <c r="AB20" s="68">
        <f t="shared" ca="1" si="2"/>
        <v>0</v>
      </c>
      <c r="AC20" s="68">
        <f t="shared" ca="1" si="2"/>
        <v>0</v>
      </c>
      <c r="AD20" s="68">
        <f t="shared" ca="1" si="2"/>
        <v>0</v>
      </c>
      <c r="AE20" s="68">
        <f t="shared" ca="1" si="2"/>
        <v>0</v>
      </c>
      <c r="AF20" s="68">
        <f t="shared" ca="1" si="2"/>
        <v>0</v>
      </c>
      <c r="AG20" s="68">
        <f t="shared" ca="1" si="2"/>
        <v>0</v>
      </c>
      <c r="AH20" s="68">
        <f t="shared" ca="1" si="2"/>
        <v>0</v>
      </c>
      <c r="AI20" s="68">
        <f t="shared" ca="1" si="2"/>
        <v>0</v>
      </c>
      <c r="AJ20" s="68">
        <f t="shared" ca="1" si="2"/>
        <v>0</v>
      </c>
      <c r="AK20" s="68">
        <f t="shared" ca="1" si="2"/>
        <v>0</v>
      </c>
      <c r="AL20" s="68">
        <f t="shared" ca="1" si="3"/>
        <v>0</v>
      </c>
      <c r="AM20" s="68">
        <f t="shared" ca="1" si="3"/>
        <v>0</v>
      </c>
      <c r="AN20" s="68">
        <f t="shared" ca="1" si="3"/>
        <v>0</v>
      </c>
      <c r="AO20" s="68">
        <f t="shared" ca="1" si="3"/>
        <v>0</v>
      </c>
      <c r="AP20" s="68">
        <f t="shared" ca="1" si="3"/>
        <v>0</v>
      </c>
      <c r="AQ20" s="68">
        <f t="shared" ca="1" si="3"/>
        <v>0</v>
      </c>
      <c r="AR20" s="68">
        <f t="shared" ca="1" si="3"/>
        <v>0</v>
      </c>
      <c r="AS20" s="68">
        <f t="shared" ca="1" si="3"/>
        <v>0</v>
      </c>
      <c r="AT20" s="68">
        <f t="shared" ca="1" si="3"/>
        <v>0</v>
      </c>
      <c r="AU20" s="68">
        <f t="shared" ca="1" si="3"/>
        <v>0</v>
      </c>
      <c r="AV20" s="68">
        <f t="shared" ca="1" si="3"/>
        <v>0</v>
      </c>
      <c r="AW20" s="68">
        <f t="shared" ca="1" si="3"/>
        <v>0</v>
      </c>
      <c r="AX20" s="68">
        <f t="shared" ca="1" si="3"/>
        <v>0</v>
      </c>
      <c r="AY20" s="68">
        <f t="shared" ca="1" si="3"/>
        <v>0</v>
      </c>
      <c r="AZ20" s="68">
        <f t="shared" ca="1" si="3"/>
        <v>0</v>
      </c>
      <c r="BA20" s="68">
        <f t="shared" ca="1" si="3"/>
        <v>0</v>
      </c>
      <c r="BB20" s="68">
        <f t="shared" ca="1" si="4"/>
        <v>0</v>
      </c>
      <c r="BC20" s="68">
        <f t="shared" ca="1" si="4"/>
        <v>0</v>
      </c>
      <c r="BD20" s="68">
        <f t="shared" ca="1" si="4"/>
        <v>0</v>
      </c>
      <c r="BE20" s="68">
        <f t="shared" ca="1" si="4"/>
        <v>0</v>
      </c>
      <c r="BF20" s="68">
        <f t="shared" ca="1" si="4"/>
        <v>0</v>
      </c>
      <c r="BG20" s="68">
        <f t="shared" ca="1" si="4"/>
        <v>0</v>
      </c>
      <c r="BH20" s="68">
        <f t="shared" ca="1" si="4"/>
        <v>0</v>
      </c>
      <c r="BI20" s="68">
        <f t="shared" ca="1" si="4"/>
        <v>0</v>
      </c>
      <c r="BJ20" s="68">
        <f t="shared" ca="1" si="4"/>
        <v>0</v>
      </c>
      <c r="BK20" s="68">
        <f t="shared" ca="1" si="4"/>
        <v>0</v>
      </c>
      <c r="BL20" s="68">
        <f t="shared" ca="1" si="4"/>
        <v>0</v>
      </c>
      <c r="BM20" s="68">
        <f t="shared" ca="1" si="4"/>
        <v>0</v>
      </c>
      <c r="BN20" s="68">
        <f t="shared" ca="1" si="4"/>
        <v>0</v>
      </c>
      <c r="BO20" s="68">
        <f t="shared" ca="1" si="4"/>
        <v>0</v>
      </c>
      <c r="BP20" s="68">
        <f t="shared" ca="1" si="4"/>
        <v>0</v>
      </c>
      <c r="BQ20" s="68">
        <f t="shared" ca="1" si="4"/>
        <v>0</v>
      </c>
      <c r="BR20" s="68">
        <f t="shared" ca="1" si="5"/>
        <v>0</v>
      </c>
      <c r="BS20" s="68">
        <f t="shared" ca="1" si="5"/>
        <v>0</v>
      </c>
      <c r="BT20" s="68">
        <f t="shared" ca="1" si="5"/>
        <v>0</v>
      </c>
    </row>
    <row r="21" spans="1:72" x14ac:dyDescent="0.2">
      <c r="A21" s="327">
        <f t="shared" ca="1" si="6"/>
        <v>43695</v>
      </c>
      <c r="B21" s="88">
        <f t="shared" ca="1" si="9"/>
        <v>43689</v>
      </c>
      <c r="C21" s="68">
        <v>16</v>
      </c>
      <c r="D21" s="68" t="str">
        <f t="shared" ca="1" si="10"/>
        <v/>
      </c>
      <c r="E21" s="68" t="str">
        <f t="shared" ca="1" si="0"/>
        <v xml:space="preserve"> </v>
      </c>
      <c r="F21" s="68">
        <f t="shared" ca="1" si="7"/>
        <v>33</v>
      </c>
      <c r="G21" s="68" t="str">
        <f>ROW(A16)&amp;". "&amp;'Critical resources'!B27</f>
        <v xml:space="preserve">16. </v>
      </c>
      <c r="H21" s="68">
        <f ca="1">IFERROR(VLOOKUP('Critical resources'!D27,$B$6:$C$57,2,0),0)</f>
        <v>0</v>
      </c>
      <c r="I21" s="68">
        <f ca="1">IFERROR(VLOOKUP('Critical resources'!E27,$A$6:$C$57,3,0),0)</f>
        <v>0</v>
      </c>
      <c r="J21" s="68">
        <f ca="1">IFERROR(VLOOKUP('Critical resources'!G27,$B$6:$C$57,2,0),0)</f>
        <v>0</v>
      </c>
      <c r="K21" s="68">
        <f ca="1">IFERROR(VLOOKUP('Critical resources'!H27,$B$6:$C$57,2,0),0)</f>
        <v>0</v>
      </c>
      <c r="L21" s="68">
        <f ca="1">IFERROR(VLOOKUP('Critical resources'!J27,$B$6:$C$57,2,0),0)</f>
        <v>0</v>
      </c>
      <c r="M21" s="68">
        <f ca="1">IFERROR(VLOOKUP('Critical resources'!K27,$A$6:$C$57,3,0),0)</f>
        <v>0</v>
      </c>
      <c r="N21" s="68">
        <f ca="1">IFERROR(VLOOKUP('Critical resources'!M27,$B$6:$C$57,2,0),0)</f>
        <v>0</v>
      </c>
      <c r="O21" s="68">
        <f ca="1">IFERROR(VLOOKUP('Critical resources'!N27,$A$6:$C$57,3,0),0)</f>
        <v>0</v>
      </c>
      <c r="P21" s="68">
        <f ca="1">IFERROR(VLOOKUP('Critical resources'!P27,$B$6:$C$57,2,0),0)</f>
        <v>0</v>
      </c>
      <c r="Q21" s="68">
        <f ca="1">IFERROR(VLOOKUP('Critical resources'!Q27,$A$6:$C$57,3,0),0)</f>
        <v>0</v>
      </c>
      <c r="T21" s="68" t="str">
        <f t="shared" si="1"/>
        <v xml:space="preserve">16. </v>
      </c>
      <c r="U21" s="68">
        <f t="shared" ca="1" si="8"/>
        <v>0</v>
      </c>
      <c r="V21" s="68">
        <f t="shared" ca="1" si="2"/>
        <v>0</v>
      </c>
      <c r="W21" s="68">
        <f t="shared" ca="1" si="2"/>
        <v>0</v>
      </c>
      <c r="X21" s="68">
        <f t="shared" ca="1" si="2"/>
        <v>0</v>
      </c>
      <c r="Y21" s="68">
        <f t="shared" ca="1" si="2"/>
        <v>0</v>
      </c>
      <c r="Z21" s="68">
        <f t="shared" ca="1" si="2"/>
        <v>0</v>
      </c>
      <c r="AA21" s="68">
        <f t="shared" ca="1" si="2"/>
        <v>0</v>
      </c>
      <c r="AB21" s="68">
        <f t="shared" ca="1" si="2"/>
        <v>0</v>
      </c>
      <c r="AC21" s="68">
        <f t="shared" ca="1" si="2"/>
        <v>0</v>
      </c>
      <c r="AD21" s="68">
        <f t="shared" ca="1" si="2"/>
        <v>0</v>
      </c>
      <c r="AE21" s="68">
        <f t="shared" ca="1" si="2"/>
        <v>0</v>
      </c>
      <c r="AF21" s="68">
        <f t="shared" ca="1" si="2"/>
        <v>0</v>
      </c>
      <c r="AG21" s="68">
        <f t="shared" ca="1" si="2"/>
        <v>0</v>
      </c>
      <c r="AH21" s="68">
        <f t="shared" ca="1" si="2"/>
        <v>0</v>
      </c>
      <c r="AI21" s="68">
        <f t="shared" ca="1" si="2"/>
        <v>0</v>
      </c>
      <c r="AJ21" s="68">
        <f t="shared" ca="1" si="2"/>
        <v>0</v>
      </c>
      <c r="AK21" s="68">
        <f t="shared" ref="AK21:AZ36" ca="1" si="11">SUM(IFERROR(IF(AND(AK$5&gt;=$H21,AK$5&lt;=$I21),1,0),0),IFERROR(IF(AND(AK$5&gt;=$J21,AK$5&lt;=$K21),1,0),0),IFERROR(IF(AND(AK$5&gt;=$L21,AK$5&lt;=$M21),1,0),0),IFERROR(IF(AND(AK$5&gt;=$N21,AK$5&lt;=$O21),1,0),0),IFERROR(IF(AND(AK$5&gt;=$P21,AK$5&lt;=$Q21),1,0),0))</f>
        <v>0</v>
      </c>
      <c r="AL21" s="68">
        <f t="shared" ca="1" si="3"/>
        <v>0</v>
      </c>
      <c r="AM21" s="68">
        <f t="shared" ca="1" si="3"/>
        <v>0</v>
      </c>
      <c r="AN21" s="68">
        <f t="shared" ca="1" si="3"/>
        <v>0</v>
      </c>
      <c r="AO21" s="68">
        <f t="shared" ca="1" si="3"/>
        <v>0</v>
      </c>
      <c r="AP21" s="68">
        <f t="shared" ca="1" si="3"/>
        <v>0</v>
      </c>
      <c r="AQ21" s="68">
        <f t="shared" ca="1" si="3"/>
        <v>0</v>
      </c>
      <c r="AR21" s="68">
        <f t="shared" ca="1" si="3"/>
        <v>0</v>
      </c>
      <c r="AS21" s="68">
        <f t="shared" ca="1" si="3"/>
        <v>0</v>
      </c>
      <c r="AT21" s="68">
        <f t="shared" ca="1" si="3"/>
        <v>0</v>
      </c>
      <c r="AU21" s="68">
        <f t="shared" ca="1" si="3"/>
        <v>0</v>
      </c>
      <c r="AV21" s="68">
        <f t="shared" ca="1" si="3"/>
        <v>0</v>
      </c>
      <c r="AW21" s="68">
        <f t="shared" ca="1" si="3"/>
        <v>0</v>
      </c>
      <c r="AX21" s="68">
        <f t="shared" ca="1" si="3"/>
        <v>0</v>
      </c>
      <c r="AY21" s="68">
        <f t="shared" ca="1" si="3"/>
        <v>0</v>
      </c>
      <c r="AZ21" s="68">
        <f t="shared" ca="1" si="3"/>
        <v>0</v>
      </c>
      <c r="BA21" s="68">
        <f t="shared" ref="BA21:BP36" ca="1" si="12">SUM(IFERROR(IF(AND(BA$5&gt;=$H21,BA$5&lt;=$I21),1,0),0),IFERROR(IF(AND(BA$5&gt;=$J21,BA$5&lt;=$K21),1,0),0),IFERROR(IF(AND(BA$5&gt;=$L21,BA$5&lt;=$M21),1,0),0),IFERROR(IF(AND(BA$5&gt;=$N21,BA$5&lt;=$O21),1,0),0),IFERROR(IF(AND(BA$5&gt;=$P21,BA$5&lt;=$Q21),1,0),0))</f>
        <v>0</v>
      </c>
      <c r="BB21" s="68">
        <f t="shared" ca="1" si="4"/>
        <v>0</v>
      </c>
      <c r="BC21" s="68">
        <f t="shared" ca="1" si="4"/>
        <v>0</v>
      </c>
      <c r="BD21" s="68">
        <f t="shared" ca="1" si="4"/>
        <v>0</v>
      </c>
      <c r="BE21" s="68">
        <f t="shared" ca="1" si="4"/>
        <v>0</v>
      </c>
      <c r="BF21" s="68">
        <f t="shared" ca="1" si="4"/>
        <v>0</v>
      </c>
      <c r="BG21" s="68">
        <f t="shared" ca="1" si="4"/>
        <v>0</v>
      </c>
      <c r="BH21" s="68">
        <f t="shared" ca="1" si="4"/>
        <v>0</v>
      </c>
      <c r="BI21" s="68">
        <f t="shared" ca="1" si="4"/>
        <v>0</v>
      </c>
      <c r="BJ21" s="68">
        <f t="shared" ca="1" si="4"/>
        <v>0</v>
      </c>
      <c r="BK21" s="68">
        <f t="shared" ca="1" si="4"/>
        <v>0</v>
      </c>
      <c r="BL21" s="68">
        <f t="shared" ca="1" si="4"/>
        <v>0</v>
      </c>
      <c r="BM21" s="68">
        <f t="shared" ca="1" si="4"/>
        <v>0</v>
      </c>
      <c r="BN21" s="68">
        <f t="shared" ca="1" si="4"/>
        <v>0</v>
      </c>
      <c r="BO21" s="68">
        <f t="shared" ca="1" si="4"/>
        <v>0</v>
      </c>
      <c r="BP21" s="68">
        <f t="shared" ca="1" si="4"/>
        <v>0</v>
      </c>
      <c r="BQ21" s="68">
        <f t="shared" ref="BQ21:BT40" ca="1" si="13">SUM(IFERROR(IF(AND(BQ$5&gt;=$H21,BQ$5&lt;=$I21),1,0),0),IFERROR(IF(AND(BQ$5&gt;=$J21,BQ$5&lt;=$K21),1,0),0),IFERROR(IF(AND(BQ$5&gt;=$L21,BQ$5&lt;=$M21),1,0),0),IFERROR(IF(AND(BQ$5&gt;=$N21,BQ$5&lt;=$O21),1,0),0),IFERROR(IF(AND(BQ$5&gt;=$P21,BQ$5&lt;=$Q21),1,0),0))</f>
        <v>0</v>
      </c>
      <c r="BR21" s="68">
        <f t="shared" ca="1" si="5"/>
        <v>0</v>
      </c>
      <c r="BS21" s="68">
        <f t="shared" ca="1" si="5"/>
        <v>0</v>
      </c>
      <c r="BT21" s="68">
        <f t="shared" ca="1" si="5"/>
        <v>0</v>
      </c>
    </row>
    <row r="22" spans="1:72" x14ac:dyDescent="0.2">
      <c r="A22" s="327">
        <f t="shared" ca="1" si="6"/>
        <v>43702</v>
      </c>
      <c r="B22" s="88">
        <f t="shared" ca="1" si="9"/>
        <v>43696</v>
      </c>
      <c r="C22" s="68">
        <v>17</v>
      </c>
      <c r="D22" s="68" t="str">
        <f t="shared" ca="1" si="10"/>
        <v/>
      </c>
      <c r="E22" s="68" t="str">
        <f t="shared" ca="1" si="0"/>
        <v xml:space="preserve"> </v>
      </c>
      <c r="F22" s="68">
        <f t="shared" ca="1" si="7"/>
        <v>34</v>
      </c>
      <c r="G22" s="68" t="str">
        <f>ROW(A17)&amp;". "&amp;'Critical resources'!B28</f>
        <v xml:space="preserve">17. </v>
      </c>
      <c r="H22" s="68">
        <f ca="1">IFERROR(VLOOKUP('Critical resources'!D28,$B$6:$C$57,2,0),0)</f>
        <v>0</v>
      </c>
      <c r="I22" s="68">
        <f ca="1">IFERROR(VLOOKUP('Critical resources'!E28,$A$6:$C$57,3,0),0)</f>
        <v>0</v>
      </c>
      <c r="J22" s="68">
        <f ca="1">IFERROR(VLOOKUP('Critical resources'!G28,$B$6:$C$57,2,0),0)</f>
        <v>0</v>
      </c>
      <c r="K22" s="68">
        <f ca="1">IFERROR(VLOOKUP('Critical resources'!H28,$B$6:$C$57,2,0),0)</f>
        <v>0</v>
      </c>
      <c r="L22" s="68">
        <f ca="1">IFERROR(VLOOKUP('Critical resources'!J28,$B$6:$C$57,2,0),0)</f>
        <v>0</v>
      </c>
      <c r="M22" s="68">
        <f ca="1">IFERROR(VLOOKUP('Critical resources'!K28,$A$6:$C$57,3,0),0)</f>
        <v>0</v>
      </c>
      <c r="N22" s="68">
        <f ca="1">IFERROR(VLOOKUP('Critical resources'!M28,$B$6:$C$57,2,0),0)</f>
        <v>0</v>
      </c>
      <c r="O22" s="68">
        <f ca="1">IFERROR(VLOOKUP('Critical resources'!N28,$A$6:$C$57,3,0),0)</f>
        <v>0</v>
      </c>
      <c r="P22" s="68">
        <f ca="1">IFERROR(VLOOKUP('Critical resources'!P28,$B$6:$C$57,2,0),0)</f>
        <v>0</v>
      </c>
      <c r="Q22" s="68">
        <f ca="1">IFERROR(VLOOKUP('Critical resources'!Q28,$A$6:$C$57,3,0),0)</f>
        <v>0</v>
      </c>
      <c r="T22" s="68" t="str">
        <f t="shared" si="1"/>
        <v xml:space="preserve">17. </v>
      </c>
      <c r="U22" s="68">
        <f t="shared" ca="1" si="8"/>
        <v>0</v>
      </c>
      <c r="V22" s="68">
        <f t="shared" ca="1" si="8"/>
        <v>0</v>
      </c>
      <c r="W22" s="68">
        <f t="shared" ca="1" si="8"/>
        <v>0</v>
      </c>
      <c r="X22" s="68">
        <f t="shared" ca="1" si="8"/>
        <v>0</v>
      </c>
      <c r="Y22" s="68">
        <f t="shared" ca="1" si="8"/>
        <v>0</v>
      </c>
      <c r="Z22" s="68">
        <f t="shared" ca="1" si="8"/>
        <v>0</v>
      </c>
      <c r="AA22" s="68">
        <f t="shared" ca="1" si="8"/>
        <v>0</v>
      </c>
      <c r="AB22" s="68">
        <f t="shared" ca="1" si="8"/>
        <v>0</v>
      </c>
      <c r="AC22" s="68">
        <f t="shared" ca="1" si="8"/>
        <v>0</v>
      </c>
      <c r="AD22" s="68">
        <f t="shared" ca="1" si="8"/>
        <v>0</v>
      </c>
      <c r="AE22" s="68">
        <f t="shared" ca="1" si="8"/>
        <v>0</v>
      </c>
      <c r="AF22" s="68">
        <f t="shared" ca="1" si="8"/>
        <v>0</v>
      </c>
      <c r="AG22" s="68">
        <f t="shared" ca="1" si="8"/>
        <v>0</v>
      </c>
      <c r="AH22" s="68">
        <f t="shared" ca="1" si="8"/>
        <v>0</v>
      </c>
      <c r="AI22" s="68">
        <f t="shared" ca="1" si="8"/>
        <v>0</v>
      </c>
      <c r="AJ22" s="68">
        <f t="shared" ca="1" si="8"/>
        <v>0</v>
      </c>
      <c r="AK22" s="68">
        <f t="shared" ca="1" si="11"/>
        <v>0</v>
      </c>
      <c r="AL22" s="68">
        <f t="shared" ca="1" si="11"/>
        <v>0</v>
      </c>
      <c r="AM22" s="68">
        <f t="shared" ca="1" si="11"/>
        <v>0</v>
      </c>
      <c r="AN22" s="68">
        <f t="shared" ca="1" si="11"/>
        <v>0</v>
      </c>
      <c r="AO22" s="68">
        <f t="shared" ca="1" si="11"/>
        <v>0</v>
      </c>
      <c r="AP22" s="68">
        <f t="shared" ca="1" si="11"/>
        <v>0</v>
      </c>
      <c r="AQ22" s="68">
        <f t="shared" ca="1" si="11"/>
        <v>0</v>
      </c>
      <c r="AR22" s="68">
        <f t="shared" ca="1" si="11"/>
        <v>0</v>
      </c>
      <c r="AS22" s="68">
        <f t="shared" ca="1" si="11"/>
        <v>0</v>
      </c>
      <c r="AT22" s="68">
        <f t="shared" ca="1" si="11"/>
        <v>0</v>
      </c>
      <c r="AU22" s="68">
        <f t="shared" ca="1" si="11"/>
        <v>0</v>
      </c>
      <c r="AV22" s="68">
        <f t="shared" ca="1" si="11"/>
        <v>0</v>
      </c>
      <c r="AW22" s="68">
        <f t="shared" ca="1" si="11"/>
        <v>0</v>
      </c>
      <c r="AX22" s="68">
        <f t="shared" ca="1" si="11"/>
        <v>0</v>
      </c>
      <c r="AY22" s="68">
        <f t="shared" ca="1" si="11"/>
        <v>0</v>
      </c>
      <c r="AZ22" s="68">
        <f t="shared" ca="1" si="11"/>
        <v>0</v>
      </c>
      <c r="BA22" s="68">
        <f t="shared" ca="1" si="12"/>
        <v>0</v>
      </c>
      <c r="BB22" s="68">
        <f t="shared" ca="1" si="12"/>
        <v>0</v>
      </c>
      <c r="BC22" s="68">
        <f t="shared" ca="1" si="12"/>
        <v>0</v>
      </c>
      <c r="BD22" s="68">
        <f t="shared" ca="1" si="12"/>
        <v>0</v>
      </c>
      <c r="BE22" s="68">
        <f t="shared" ca="1" si="12"/>
        <v>0</v>
      </c>
      <c r="BF22" s="68">
        <f t="shared" ca="1" si="12"/>
        <v>0</v>
      </c>
      <c r="BG22" s="68">
        <f t="shared" ca="1" si="12"/>
        <v>0</v>
      </c>
      <c r="BH22" s="68">
        <f t="shared" ca="1" si="12"/>
        <v>0</v>
      </c>
      <c r="BI22" s="68">
        <f t="shared" ca="1" si="12"/>
        <v>0</v>
      </c>
      <c r="BJ22" s="68">
        <f t="shared" ca="1" si="12"/>
        <v>0</v>
      </c>
      <c r="BK22" s="68">
        <f t="shared" ca="1" si="12"/>
        <v>0</v>
      </c>
      <c r="BL22" s="68">
        <f t="shared" ca="1" si="12"/>
        <v>0</v>
      </c>
      <c r="BM22" s="68">
        <f t="shared" ca="1" si="12"/>
        <v>0</v>
      </c>
      <c r="BN22" s="68">
        <f t="shared" ca="1" si="12"/>
        <v>0</v>
      </c>
      <c r="BO22" s="68">
        <f t="shared" ca="1" si="12"/>
        <v>0</v>
      </c>
      <c r="BP22" s="68">
        <f t="shared" ca="1" si="12"/>
        <v>0</v>
      </c>
      <c r="BQ22" s="68">
        <f t="shared" ca="1" si="13"/>
        <v>0</v>
      </c>
      <c r="BR22" s="68">
        <f t="shared" ca="1" si="5"/>
        <v>0</v>
      </c>
      <c r="BS22" s="68">
        <f t="shared" ca="1" si="5"/>
        <v>0</v>
      </c>
      <c r="BT22" s="68">
        <f t="shared" ca="1" si="5"/>
        <v>0</v>
      </c>
    </row>
    <row r="23" spans="1:72" x14ac:dyDescent="0.2">
      <c r="A23" s="327">
        <f t="shared" ca="1" si="6"/>
        <v>43709</v>
      </c>
      <c r="B23" s="88">
        <f t="shared" ca="1" si="9"/>
        <v>43703</v>
      </c>
      <c r="C23" s="68">
        <v>18</v>
      </c>
      <c r="D23" s="68" t="str">
        <f t="shared" ca="1" si="10"/>
        <v/>
      </c>
      <c r="E23" s="68" t="str">
        <f t="shared" ca="1" si="0"/>
        <v xml:space="preserve"> </v>
      </c>
      <c r="F23" s="68">
        <f t="shared" ca="1" si="7"/>
        <v>35</v>
      </c>
      <c r="G23" s="68" t="str">
        <f>ROW(A18)&amp;". "&amp;'Critical resources'!B29</f>
        <v xml:space="preserve">18. </v>
      </c>
      <c r="H23" s="68">
        <f ca="1">IFERROR(VLOOKUP('Critical resources'!D29,$B$6:$C$57,2,0),0)</f>
        <v>0</v>
      </c>
      <c r="I23" s="68">
        <f ca="1">IFERROR(VLOOKUP('Critical resources'!E29,$A$6:$C$57,3,0),0)</f>
        <v>0</v>
      </c>
      <c r="J23" s="68">
        <f ca="1">IFERROR(VLOOKUP('Critical resources'!G29,$B$6:$C$57,2,0),0)</f>
        <v>0</v>
      </c>
      <c r="K23" s="68">
        <f ca="1">IFERROR(VLOOKUP('Critical resources'!H29,$B$6:$C$57,2,0),0)</f>
        <v>0</v>
      </c>
      <c r="L23" s="68">
        <f ca="1">IFERROR(VLOOKUP('Critical resources'!J29,$B$6:$C$57,2,0),0)</f>
        <v>0</v>
      </c>
      <c r="M23" s="68">
        <f ca="1">IFERROR(VLOOKUP('Critical resources'!K29,$A$6:$C$57,3,0),0)</f>
        <v>0</v>
      </c>
      <c r="N23" s="68">
        <f ca="1">IFERROR(VLOOKUP('Critical resources'!M29,$B$6:$C$57,2,0),0)</f>
        <v>0</v>
      </c>
      <c r="O23" s="68">
        <f ca="1">IFERROR(VLOOKUP('Critical resources'!N29,$A$6:$C$57,3,0),0)</f>
        <v>0</v>
      </c>
      <c r="P23" s="68">
        <f ca="1">IFERROR(VLOOKUP('Critical resources'!P29,$B$6:$C$57,2,0),0)</f>
        <v>0</v>
      </c>
      <c r="Q23" s="68">
        <f ca="1">IFERROR(VLOOKUP('Critical resources'!Q29,$A$6:$C$57,3,0),0)</f>
        <v>0</v>
      </c>
      <c r="T23" s="68" t="str">
        <f t="shared" si="1"/>
        <v xml:space="preserve">18. </v>
      </c>
      <c r="U23" s="68">
        <f t="shared" ref="U23:AJ38" ca="1" si="14">SUM(IFERROR(IF(AND(U$5&gt;=$H23,U$5&lt;=$I23),1,0),0),IFERROR(IF(AND(U$5&gt;=$J23,U$5&lt;=$K23),1,0),0),IFERROR(IF(AND(U$5&gt;=$L23,U$5&lt;=$M23),1,0),0),IFERROR(IF(AND(U$5&gt;=$N23,U$5&lt;=$O23),1,0),0),IFERROR(IF(AND(U$5&gt;=$P23,U$5&lt;=$Q23),1,0),0))</f>
        <v>0</v>
      </c>
      <c r="V23" s="68">
        <f t="shared" ca="1" si="14"/>
        <v>0</v>
      </c>
      <c r="W23" s="68">
        <f t="shared" ca="1" si="14"/>
        <v>0</v>
      </c>
      <c r="X23" s="68">
        <f t="shared" ca="1" si="14"/>
        <v>0</v>
      </c>
      <c r="Y23" s="68">
        <f t="shared" ca="1" si="14"/>
        <v>0</v>
      </c>
      <c r="Z23" s="68">
        <f t="shared" ca="1" si="14"/>
        <v>0</v>
      </c>
      <c r="AA23" s="68">
        <f t="shared" ca="1" si="14"/>
        <v>0</v>
      </c>
      <c r="AB23" s="68">
        <f t="shared" ca="1" si="14"/>
        <v>0</v>
      </c>
      <c r="AC23" s="68">
        <f t="shared" ca="1" si="14"/>
        <v>0</v>
      </c>
      <c r="AD23" s="68">
        <f t="shared" ca="1" si="14"/>
        <v>0</v>
      </c>
      <c r="AE23" s="68">
        <f t="shared" ca="1" si="14"/>
        <v>0</v>
      </c>
      <c r="AF23" s="68">
        <f t="shared" ca="1" si="14"/>
        <v>0</v>
      </c>
      <c r="AG23" s="68">
        <f t="shared" ca="1" si="14"/>
        <v>0</v>
      </c>
      <c r="AH23" s="68">
        <f t="shared" ca="1" si="14"/>
        <v>0</v>
      </c>
      <c r="AI23" s="68">
        <f t="shared" ca="1" si="14"/>
        <v>0</v>
      </c>
      <c r="AJ23" s="68">
        <f t="shared" ca="1" si="14"/>
        <v>0</v>
      </c>
      <c r="AK23" s="68">
        <f t="shared" ca="1" si="11"/>
        <v>0</v>
      </c>
      <c r="AL23" s="68">
        <f t="shared" ca="1" si="11"/>
        <v>0</v>
      </c>
      <c r="AM23" s="68">
        <f t="shared" ca="1" si="11"/>
        <v>0</v>
      </c>
      <c r="AN23" s="68">
        <f t="shared" ca="1" si="11"/>
        <v>0</v>
      </c>
      <c r="AO23" s="68">
        <f t="shared" ca="1" si="11"/>
        <v>0</v>
      </c>
      <c r="AP23" s="68">
        <f t="shared" ca="1" si="11"/>
        <v>0</v>
      </c>
      <c r="AQ23" s="68">
        <f t="shared" ca="1" si="11"/>
        <v>0</v>
      </c>
      <c r="AR23" s="68">
        <f t="shared" ca="1" si="11"/>
        <v>0</v>
      </c>
      <c r="AS23" s="68">
        <f t="shared" ca="1" si="11"/>
        <v>0</v>
      </c>
      <c r="AT23" s="68">
        <f t="shared" ca="1" si="11"/>
        <v>0</v>
      </c>
      <c r="AU23" s="68">
        <f t="shared" ca="1" si="11"/>
        <v>0</v>
      </c>
      <c r="AV23" s="68">
        <f t="shared" ca="1" si="11"/>
        <v>0</v>
      </c>
      <c r="AW23" s="68">
        <f t="shared" ca="1" si="11"/>
        <v>0</v>
      </c>
      <c r="AX23" s="68">
        <f t="shared" ca="1" si="11"/>
        <v>0</v>
      </c>
      <c r="AY23" s="68">
        <f t="shared" ca="1" si="11"/>
        <v>0</v>
      </c>
      <c r="AZ23" s="68">
        <f t="shared" ca="1" si="11"/>
        <v>0</v>
      </c>
      <c r="BA23" s="68">
        <f t="shared" ca="1" si="12"/>
        <v>0</v>
      </c>
      <c r="BB23" s="68">
        <f t="shared" ca="1" si="12"/>
        <v>0</v>
      </c>
      <c r="BC23" s="68">
        <f t="shared" ca="1" si="12"/>
        <v>0</v>
      </c>
      <c r="BD23" s="68">
        <f t="shared" ca="1" si="12"/>
        <v>0</v>
      </c>
      <c r="BE23" s="68">
        <f t="shared" ca="1" si="12"/>
        <v>0</v>
      </c>
      <c r="BF23" s="68">
        <f t="shared" ca="1" si="12"/>
        <v>0</v>
      </c>
      <c r="BG23" s="68">
        <f t="shared" ca="1" si="12"/>
        <v>0</v>
      </c>
      <c r="BH23" s="68">
        <f t="shared" ca="1" si="12"/>
        <v>0</v>
      </c>
      <c r="BI23" s="68">
        <f t="shared" ca="1" si="12"/>
        <v>0</v>
      </c>
      <c r="BJ23" s="68">
        <f t="shared" ca="1" si="12"/>
        <v>0</v>
      </c>
      <c r="BK23" s="68">
        <f t="shared" ca="1" si="12"/>
        <v>0</v>
      </c>
      <c r="BL23" s="68">
        <f t="shared" ca="1" si="12"/>
        <v>0</v>
      </c>
      <c r="BM23" s="68">
        <f t="shared" ca="1" si="12"/>
        <v>0</v>
      </c>
      <c r="BN23" s="68">
        <f t="shared" ca="1" si="12"/>
        <v>0</v>
      </c>
      <c r="BO23" s="68">
        <f t="shared" ca="1" si="12"/>
        <v>0</v>
      </c>
      <c r="BP23" s="68">
        <f t="shared" ca="1" si="12"/>
        <v>0</v>
      </c>
      <c r="BQ23" s="68">
        <f t="shared" ca="1" si="13"/>
        <v>0</v>
      </c>
      <c r="BR23" s="68">
        <f t="shared" ca="1" si="5"/>
        <v>0</v>
      </c>
      <c r="BS23" s="68">
        <f t="shared" ca="1" si="5"/>
        <v>0</v>
      </c>
      <c r="BT23" s="68">
        <f t="shared" ca="1" si="5"/>
        <v>0</v>
      </c>
    </row>
    <row r="24" spans="1:72" x14ac:dyDescent="0.2">
      <c r="A24" s="327">
        <f t="shared" ca="1" si="6"/>
        <v>43716</v>
      </c>
      <c r="B24" s="88">
        <f t="shared" ca="1" si="9"/>
        <v>43710</v>
      </c>
      <c r="C24" s="68">
        <v>19</v>
      </c>
      <c r="D24" s="68" t="str">
        <f t="shared" ca="1" si="10"/>
        <v/>
      </c>
      <c r="E24" s="68" t="str">
        <f t="shared" ca="1" si="0"/>
        <v>Sep</v>
      </c>
      <c r="F24" s="68">
        <f t="shared" ca="1" si="7"/>
        <v>36</v>
      </c>
      <c r="G24" s="68" t="str">
        <f>ROW(A19)&amp;". "&amp;'Critical resources'!B30</f>
        <v xml:space="preserve">19. </v>
      </c>
      <c r="H24" s="68">
        <f ca="1">IFERROR(VLOOKUP('Critical resources'!D30,$B$6:$C$57,2,0),0)</f>
        <v>0</v>
      </c>
      <c r="I24" s="68">
        <f ca="1">IFERROR(VLOOKUP('Critical resources'!E30,$A$6:$C$57,3,0),0)</f>
        <v>0</v>
      </c>
      <c r="J24" s="68">
        <f ca="1">IFERROR(VLOOKUP('Critical resources'!G30,$B$6:$C$57,2,0),0)</f>
        <v>0</v>
      </c>
      <c r="K24" s="68">
        <f ca="1">IFERROR(VLOOKUP('Critical resources'!H30,$B$6:$C$57,2,0),0)</f>
        <v>0</v>
      </c>
      <c r="L24" s="68">
        <f ca="1">IFERROR(VLOOKUP('Critical resources'!J30,$B$6:$C$57,2,0),0)</f>
        <v>0</v>
      </c>
      <c r="M24" s="68">
        <f ca="1">IFERROR(VLOOKUP('Critical resources'!K30,$A$6:$C$57,3,0),0)</f>
        <v>0</v>
      </c>
      <c r="N24" s="68">
        <f ca="1">IFERROR(VLOOKUP('Critical resources'!M30,$B$6:$C$57,2,0),0)</f>
        <v>0</v>
      </c>
      <c r="O24" s="68">
        <f ca="1">IFERROR(VLOOKUP('Critical resources'!N30,$A$6:$C$57,3,0),0)</f>
        <v>0</v>
      </c>
      <c r="P24" s="68">
        <f ca="1">IFERROR(VLOOKUP('Critical resources'!P30,$B$6:$C$57,2,0),0)</f>
        <v>0</v>
      </c>
      <c r="Q24" s="68">
        <f ca="1">IFERROR(VLOOKUP('Critical resources'!Q30,$A$6:$C$57,3,0),0)</f>
        <v>0</v>
      </c>
      <c r="T24" s="68" t="str">
        <f t="shared" si="1"/>
        <v xml:space="preserve">19. </v>
      </c>
      <c r="U24" s="68">
        <f t="shared" ca="1" si="14"/>
        <v>0</v>
      </c>
      <c r="V24" s="68">
        <f t="shared" ca="1" si="14"/>
        <v>0</v>
      </c>
      <c r="W24" s="68">
        <f t="shared" ca="1" si="14"/>
        <v>0</v>
      </c>
      <c r="X24" s="68">
        <f t="shared" ca="1" si="14"/>
        <v>0</v>
      </c>
      <c r="Y24" s="68">
        <f t="shared" ca="1" si="14"/>
        <v>0</v>
      </c>
      <c r="Z24" s="68">
        <f t="shared" ca="1" si="14"/>
        <v>0</v>
      </c>
      <c r="AA24" s="68">
        <f t="shared" ca="1" si="14"/>
        <v>0</v>
      </c>
      <c r="AB24" s="68">
        <f t="shared" ca="1" si="14"/>
        <v>0</v>
      </c>
      <c r="AC24" s="68">
        <f t="shared" ca="1" si="14"/>
        <v>0</v>
      </c>
      <c r="AD24" s="68">
        <f t="shared" ca="1" si="14"/>
        <v>0</v>
      </c>
      <c r="AE24" s="68">
        <f t="shared" ca="1" si="14"/>
        <v>0</v>
      </c>
      <c r="AF24" s="68">
        <f t="shared" ca="1" si="14"/>
        <v>0</v>
      </c>
      <c r="AG24" s="68">
        <f t="shared" ca="1" si="14"/>
        <v>0</v>
      </c>
      <c r="AH24" s="68">
        <f t="shared" ca="1" si="14"/>
        <v>0</v>
      </c>
      <c r="AI24" s="68">
        <f t="shared" ca="1" si="14"/>
        <v>0</v>
      </c>
      <c r="AJ24" s="68">
        <f t="shared" ca="1" si="14"/>
        <v>0</v>
      </c>
      <c r="AK24" s="68">
        <f t="shared" ca="1" si="11"/>
        <v>0</v>
      </c>
      <c r="AL24" s="68">
        <f t="shared" ca="1" si="11"/>
        <v>0</v>
      </c>
      <c r="AM24" s="68">
        <f t="shared" ca="1" si="11"/>
        <v>0</v>
      </c>
      <c r="AN24" s="68">
        <f t="shared" ca="1" si="11"/>
        <v>0</v>
      </c>
      <c r="AO24" s="68">
        <f t="shared" ca="1" si="11"/>
        <v>0</v>
      </c>
      <c r="AP24" s="68">
        <f t="shared" ca="1" si="11"/>
        <v>0</v>
      </c>
      <c r="AQ24" s="68">
        <f t="shared" ca="1" si="11"/>
        <v>0</v>
      </c>
      <c r="AR24" s="68">
        <f t="shared" ca="1" si="11"/>
        <v>0</v>
      </c>
      <c r="AS24" s="68">
        <f t="shared" ca="1" si="11"/>
        <v>0</v>
      </c>
      <c r="AT24" s="68">
        <f t="shared" ca="1" si="11"/>
        <v>0</v>
      </c>
      <c r="AU24" s="68">
        <f t="shared" ca="1" si="11"/>
        <v>0</v>
      </c>
      <c r="AV24" s="68">
        <f t="shared" ca="1" si="11"/>
        <v>0</v>
      </c>
      <c r="AW24" s="68">
        <f t="shared" ca="1" si="11"/>
        <v>0</v>
      </c>
      <c r="AX24" s="68">
        <f t="shared" ca="1" si="11"/>
        <v>0</v>
      </c>
      <c r="AY24" s="68">
        <f t="shared" ca="1" si="11"/>
        <v>0</v>
      </c>
      <c r="AZ24" s="68">
        <f t="shared" ca="1" si="11"/>
        <v>0</v>
      </c>
      <c r="BA24" s="68">
        <f t="shared" ca="1" si="12"/>
        <v>0</v>
      </c>
      <c r="BB24" s="68">
        <f t="shared" ca="1" si="12"/>
        <v>0</v>
      </c>
      <c r="BC24" s="68">
        <f t="shared" ca="1" si="12"/>
        <v>0</v>
      </c>
      <c r="BD24" s="68">
        <f t="shared" ca="1" si="12"/>
        <v>0</v>
      </c>
      <c r="BE24" s="68">
        <f t="shared" ca="1" si="12"/>
        <v>0</v>
      </c>
      <c r="BF24" s="68">
        <f t="shared" ca="1" si="12"/>
        <v>0</v>
      </c>
      <c r="BG24" s="68">
        <f t="shared" ca="1" si="12"/>
        <v>0</v>
      </c>
      <c r="BH24" s="68">
        <f t="shared" ca="1" si="12"/>
        <v>0</v>
      </c>
      <c r="BI24" s="68">
        <f t="shared" ca="1" si="12"/>
        <v>0</v>
      </c>
      <c r="BJ24" s="68">
        <f t="shared" ca="1" si="12"/>
        <v>0</v>
      </c>
      <c r="BK24" s="68">
        <f t="shared" ca="1" si="12"/>
        <v>0</v>
      </c>
      <c r="BL24" s="68">
        <f t="shared" ca="1" si="12"/>
        <v>0</v>
      </c>
      <c r="BM24" s="68">
        <f t="shared" ca="1" si="12"/>
        <v>0</v>
      </c>
      <c r="BN24" s="68">
        <f t="shared" ca="1" si="12"/>
        <v>0</v>
      </c>
      <c r="BO24" s="68">
        <f t="shared" ca="1" si="12"/>
        <v>0</v>
      </c>
      <c r="BP24" s="68">
        <f t="shared" ca="1" si="12"/>
        <v>0</v>
      </c>
      <c r="BQ24" s="68">
        <f t="shared" ca="1" si="13"/>
        <v>0</v>
      </c>
      <c r="BR24" s="68">
        <f t="shared" ca="1" si="5"/>
        <v>0</v>
      </c>
      <c r="BS24" s="68">
        <f t="shared" ca="1" si="5"/>
        <v>0</v>
      </c>
      <c r="BT24" s="68">
        <f t="shared" ca="1" si="5"/>
        <v>0</v>
      </c>
    </row>
    <row r="25" spans="1:72" x14ac:dyDescent="0.2">
      <c r="A25" s="327">
        <f t="shared" ca="1" si="6"/>
        <v>43723</v>
      </c>
      <c r="B25" s="88">
        <f t="shared" ca="1" si="9"/>
        <v>43717</v>
      </c>
      <c r="C25" s="68">
        <v>20</v>
      </c>
      <c r="D25" s="68" t="str">
        <f t="shared" ca="1" si="10"/>
        <v/>
      </c>
      <c r="E25" s="68" t="str">
        <f t="shared" ca="1" si="0"/>
        <v xml:space="preserve"> </v>
      </c>
      <c r="F25" s="68">
        <f t="shared" ca="1" si="7"/>
        <v>37</v>
      </c>
      <c r="G25" s="68" t="str">
        <f>ROW(A20)&amp;". "&amp;'Critical resources'!B31</f>
        <v xml:space="preserve">20. </v>
      </c>
      <c r="H25" s="68">
        <f ca="1">IFERROR(VLOOKUP('Critical resources'!D31,$B$6:$C$57,2,0),0)</f>
        <v>0</v>
      </c>
      <c r="I25" s="68">
        <f ca="1">IFERROR(VLOOKUP('Critical resources'!E31,$A$6:$C$57,3,0),0)</f>
        <v>0</v>
      </c>
      <c r="J25" s="68">
        <f ca="1">IFERROR(VLOOKUP('Critical resources'!G31,$B$6:$C$57,2,0),0)</f>
        <v>0</v>
      </c>
      <c r="K25" s="68">
        <f ca="1">IFERROR(VLOOKUP('Critical resources'!H31,$B$6:$C$57,2,0),0)</f>
        <v>0</v>
      </c>
      <c r="L25" s="68">
        <f ca="1">IFERROR(VLOOKUP('Critical resources'!J31,$B$6:$C$57,2,0),0)</f>
        <v>0</v>
      </c>
      <c r="M25" s="68">
        <f ca="1">IFERROR(VLOOKUP('Critical resources'!K31,$A$6:$C$57,3,0),0)</f>
        <v>0</v>
      </c>
      <c r="N25" s="68">
        <f ca="1">IFERROR(VLOOKUP('Critical resources'!M31,$B$6:$C$57,2,0),0)</f>
        <v>0</v>
      </c>
      <c r="O25" s="68">
        <f ca="1">IFERROR(VLOOKUP('Critical resources'!N31,$A$6:$C$57,3,0),0)</f>
        <v>0</v>
      </c>
      <c r="P25" s="68">
        <f ca="1">IFERROR(VLOOKUP('Critical resources'!P31,$B$6:$C$57,2,0),0)</f>
        <v>0</v>
      </c>
      <c r="Q25" s="68">
        <f ca="1">IFERROR(VLOOKUP('Critical resources'!Q31,$A$6:$C$57,3,0),0)</f>
        <v>0</v>
      </c>
      <c r="T25" s="68" t="str">
        <f t="shared" si="1"/>
        <v xml:space="preserve">20. </v>
      </c>
      <c r="U25" s="68">
        <f t="shared" ca="1" si="14"/>
        <v>0</v>
      </c>
      <c r="V25" s="68">
        <f t="shared" ca="1" si="14"/>
        <v>0</v>
      </c>
      <c r="W25" s="68">
        <f t="shared" ca="1" si="14"/>
        <v>0</v>
      </c>
      <c r="X25" s="68">
        <f t="shared" ca="1" si="14"/>
        <v>0</v>
      </c>
      <c r="Y25" s="68">
        <f t="shared" ca="1" si="14"/>
        <v>0</v>
      </c>
      <c r="Z25" s="68">
        <f t="shared" ca="1" si="14"/>
        <v>0</v>
      </c>
      <c r="AA25" s="68">
        <f t="shared" ca="1" si="14"/>
        <v>0</v>
      </c>
      <c r="AB25" s="68">
        <f t="shared" ca="1" si="14"/>
        <v>0</v>
      </c>
      <c r="AC25" s="68">
        <f t="shared" ca="1" si="14"/>
        <v>0</v>
      </c>
      <c r="AD25" s="68">
        <f t="shared" ca="1" si="14"/>
        <v>0</v>
      </c>
      <c r="AE25" s="68">
        <f t="shared" ca="1" si="14"/>
        <v>0</v>
      </c>
      <c r="AF25" s="68">
        <f t="shared" ca="1" si="14"/>
        <v>0</v>
      </c>
      <c r="AG25" s="68">
        <f t="shared" ca="1" si="14"/>
        <v>0</v>
      </c>
      <c r="AH25" s="68">
        <f t="shared" ca="1" si="14"/>
        <v>0</v>
      </c>
      <c r="AI25" s="68">
        <f t="shared" ca="1" si="14"/>
        <v>0</v>
      </c>
      <c r="AJ25" s="68">
        <f t="shared" ca="1" si="14"/>
        <v>0</v>
      </c>
      <c r="AK25" s="68">
        <f t="shared" ca="1" si="11"/>
        <v>0</v>
      </c>
      <c r="AL25" s="68">
        <f t="shared" ca="1" si="11"/>
        <v>0</v>
      </c>
      <c r="AM25" s="68">
        <f t="shared" ca="1" si="11"/>
        <v>0</v>
      </c>
      <c r="AN25" s="68">
        <f t="shared" ca="1" si="11"/>
        <v>0</v>
      </c>
      <c r="AO25" s="68">
        <f t="shared" ca="1" si="11"/>
        <v>0</v>
      </c>
      <c r="AP25" s="68">
        <f t="shared" ca="1" si="11"/>
        <v>0</v>
      </c>
      <c r="AQ25" s="68">
        <f t="shared" ca="1" si="11"/>
        <v>0</v>
      </c>
      <c r="AR25" s="68">
        <f t="shared" ca="1" si="11"/>
        <v>0</v>
      </c>
      <c r="AS25" s="68">
        <f t="shared" ca="1" si="11"/>
        <v>0</v>
      </c>
      <c r="AT25" s="68">
        <f t="shared" ca="1" si="11"/>
        <v>0</v>
      </c>
      <c r="AU25" s="68">
        <f t="shared" ca="1" si="11"/>
        <v>0</v>
      </c>
      <c r="AV25" s="68">
        <f t="shared" ca="1" si="11"/>
        <v>0</v>
      </c>
      <c r="AW25" s="68">
        <f t="shared" ca="1" si="11"/>
        <v>0</v>
      </c>
      <c r="AX25" s="68">
        <f t="shared" ca="1" si="11"/>
        <v>0</v>
      </c>
      <c r="AY25" s="68">
        <f t="shared" ca="1" si="11"/>
        <v>0</v>
      </c>
      <c r="AZ25" s="68">
        <f t="shared" ca="1" si="11"/>
        <v>0</v>
      </c>
      <c r="BA25" s="68">
        <f t="shared" ca="1" si="12"/>
        <v>0</v>
      </c>
      <c r="BB25" s="68">
        <f t="shared" ca="1" si="12"/>
        <v>0</v>
      </c>
      <c r="BC25" s="68">
        <f t="shared" ca="1" si="12"/>
        <v>0</v>
      </c>
      <c r="BD25" s="68">
        <f t="shared" ca="1" si="12"/>
        <v>0</v>
      </c>
      <c r="BE25" s="68">
        <f t="shared" ca="1" si="12"/>
        <v>0</v>
      </c>
      <c r="BF25" s="68">
        <f t="shared" ca="1" si="12"/>
        <v>0</v>
      </c>
      <c r="BG25" s="68">
        <f t="shared" ca="1" si="12"/>
        <v>0</v>
      </c>
      <c r="BH25" s="68">
        <f t="shared" ca="1" si="12"/>
        <v>0</v>
      </c>
      <c r="BI25" s="68">
        <f t="shared" ca="1" si="12"/>
        <v>0</v>
      </c>
      <c r="BJ25" s="68">
        <f t="shared" ca="1" si="12"/>
        <v>0</v>
      </c>
      <c r="BK25" s="68">
        <f t="shared" ca="1" si="12"/>
        <v>0</v>
      </c>
      <c r="BL25" s="68">
        <f t="shared" ca="1" si="12"/>
        <v>0</v>
      </c>
      <c r="BM25" s="68">
        <f t="shared" ca="1" si="12"/>
        <v>0</v>
      </c>
      <c r="BN25" s="68">
        <f t="shared" ca="1" si="12"/>
        <v>0</v>
      </c>
      <c r="BO25" s="68">
        <f t="shared" ca="1" si="12"/>
        <v>0</v>
      </c>
      <c r="BP25" s="68">
        <f t="shared" ca="1" si="12"/>
        <v>0</v>
      </c>
      <c r="BQ25" s="68">
        <f t="shared" ca="1" si="13"/>
        <v>0</v>
      </c>
      <c r="BR25" s="68">
        <f t="shared" ca="1" si="5"/>
        <v>0</v>
      </c>
      <c r="BS25" s="68">
        <f t="shared" ca="1" si="5"/>
        <v>0</v>
      </c>
      <c r="BT25" s="68">
        <f t="shared" ca="1" si="5"/>
        <v>0</v>
      </c>
    </row>
    <row r="26" spans="1:72" x14ac:dyDescent="0.2">
      <c r="A26" s="327">
        <f t="shared" ca="1" si="6"/>
        <v>43730</v>
      </c>
      <c r="B26" s="88">
        <f t="shared" ca="1" si="9"/>
        <v>43724</v>
      </c>
      <c r="C26" s="68">
        <v>21</v>
      </c>
      <c r="D26" s="68" t="str">
        <f t="shared" ca="1" si="10"/>
        <v/>
      </c>
      <c r="E26" s="68" t="str">
        <f t="shared" ca="1" si="0"/>
        <v xml:space="preserve"> </v>
      </c>
      <c r="F26" s="68">
        <f t="shared" ca="1" si="7"/>
        <v>38</v>
      </c>
      <c r="G26" s="68" t="str">
        <f>ROW(A21)&amp;". "&amp;'Critical resources'!B32</f>
        <v xml:space="preserve">21. </v>
      </c>
      <c r="H26" s="68">
        <f ca="1">IFERROR(VLOOKUP('Critical resources'!D32,$B$6:$C$57,2,0),0)</f>
        <v>0</v>
      </c>
      <c r="I26" s="68">
        <f ca="1">IFERROR(VLOOKUP('Critical resources'!E32,$A$6:$C$57,3,0),0)</f>
        <v>0</v>
      </c>
      <c r="J26" s="68">
        <f ca="1">IFERROR(VLOOKUP('Critical resources'!G32,$B$6:$C$57,2,0),0)</f>
        <v>0</v>
      </c>
      <c r="K26" s="68">
        <f ca="1">IFERROR(VLOOKUP('Critical resources'!H32,$B$6:$C$57,2,0),0)</f>
        <v>0</v>
      </c>
      <c r="L26" s="68">
        <f ca="1">IFERROR(VLOOKUP('Critical resources'!J32,$B$6:$C$57,2,0),0)</f>
        <v>0</v>
      </c>
      <c r="M26" s="68">
        <f ca="1">IFERROR(VLOOKUP('Critical resources'!K32,$A$6:$C$57,3,0),0)</f>
        <v>0</v>
      </c>
      <c r="N26" s="68">
        <f ca="1">IFERROR(VLOOKUP('Critical resources'!M32,$B$6:$C$57,2,0),0)</f>
        <v>0</v>
      </c>
      <c r="O26" s="68">
        <f ca="1">IFERROR(VLOOKUP('Critical resources'!N32,$A$6:$C$57,3,0),0)</f>
        <v>0</v>
      </c>
      <c r="P26" s="68">
        <f ca="1">IFERROR(VLOOKUP('Critical resources'!P32,$B$6:$C$57,2,0),0)</f>
        <v>0</v>
      </c>
      <c r="Q26" s="68">
        <f ca="1">IFERROR(VLOOKUP('Critical resources'!Q32,$A$6:$C$57,3,0),0)</f>
        <v>0</v>
      </c>
      <c r="T26" s="68" t="str">
        <f t="shared" si="1"/>
        <v xml:space="preserve">21. </v>
      </c>
      <c r="U26" s="68">
        <f t="shared" ca="1" si="14"/>
        <v>0</v>
      </c>
      <c r="V26" s="68">
        <f t="shared" ca="1" si="14"/>
        <v>0</v>
      </c>
      <c r="W26" s="68">
        <f t="shared" ca="1" si="14"/>
        <v>0</v>
      </c>
      <c r="X26" s="68">
        <f t="shared" ca="1" si="14"/>
        <v>0</v>
      </c>
      <c r="Y26" s="68">
        <f t="shared" ca="1" si="14"/>
        <v>0</v>
      </c>
      <c r="Z26" s="68">
        <f t="shared" ca="1" si="14"/>
        <v>0</v>
      </c>
      <c r="AA26" s="68">
        <f t="shared" ca="1" si="14"/>
        <v>0</v>
      </c>
      <c r="AB26" s="68">
        <f t="shared" ca="1" si="14"/>
        <v>0</v>
      </c>
      <c r="AC26" s="68">
        <f t="shared" ca="1" si="14"/>
        <v>0</v>
      </c>
      <c r="AD26" s="68">
        <f t="shared" ca="1" si="14"/>
        <v>0</v>
      </c>
      <c r="AE26" s="68">
        <f t="shared" ca="1" si="14"/>
        <v>0</v>
      </c>
      <c r="AF26" s="68">
        <f t="shared" ca="1" si="14"/>
        <v>0</v>
      </c>
      <c r="AG26" s="68">
        <f t="shared" ca="1" si="14"/>
        <v>0</v>
      </c>
      <c r="AH26" s="68">
        <f t="shared" ca="1" si="14"/>
        <v>0</v>
      </c>
      <c r="AI26" s="68">
        <f t="shared" ca="1" si="14"/>
        <v>0</v>
      </c>
      <c r="AJ26" s="68">
        <f t="shared" ca="1" si="14"/>
        <v>0</v>
      </c>
      <c r="AK26" s="68">
        <f t="shared" ca="1" si="11"/>
        <v>0</v>
      </c>
      <c r="AL26" s="68">
        <f t="shared" ca="1" si="11"/>
        <v>0</v>
      </c>
      <c r="AM26" s="68">
        <f t="shared" ca="1" si="11"/>
        <v>0</v>
      </c>
      <c r="AN26" s="68">
        <f t="shared" ca="1" si="11"/>
        <v>0</v>
      </c>
      <c r="AO26" s="68">
        <f t="shared" ca="1" si="11"/>
        <v>0</v>
      </c>
      <c r="AP26" s="68">
        <f t="shared" ca="1" si="11"/>
        <v>0</v>
      </c>
      <c r="AQ26" s="68">
        <f t="shared" ca="1" si="11"/>
        <v>0</v>
      </c>
      <c r="AR26" s="68">
        <f t="shared" ca="1" si="11"/>
        <v>0</v>
      </c>
      <c r="AS26" s="68">
        <f t="shared" ca="1" si="11"/>
        <v>0</v>
      </c>
      <c r="AT26" s="68">
        <f t="shared" ca="1" si="11"/>
        <v>0</v>
      </c>
      <c r="AU26" s="68">
        <f t="shared" ca="1" si="11"/>
        <v>0</v>
      </c>
      <c r="AV26" s="68">
        <f t="shared" ca="1" si="11"/>
        <v>0</v>
      </c>
      <c r="AW26" s="68">
        <f t="shared" ca="1" si="11"/>
        <v>0</v>
      </c>
      <c r="AX26" s="68">
        <f t="shared" ca="1" si="11"/>
        <v>0</v>
      </c>
      <c r="AY26" s="68">
        <f t="shared" ca="1" si="11"/>
        <v>0</v>
      </c>
      <c r="AZ26" s="68">
        <f t="shared" ca="1" si="11"/>
        <v>0</v>
      </c>
      <c r="BA26" s="68">
        <f t="shared" ca="1" si="12"/>
        <v>0</v>
      </c>
      <c r="BB26" s="68">
        <f t="shared" ca="1" si="12"/>
        <v>0</v>
      </c>
      <c r="BC26" s="68">
        <f t="shared" ca="1" si="12"/>
        <v>0</v>
      </c>
      <c r="BD26" s="68">
        <f t="shared" ca="1" si="12"/>
        <v>0</v>
      </c>
      <c r="BE26" s="68">
        <f t="shared" ca="1" si="12"/>
        <v>0</v>
      </c>
      <c r="BF26" s="68">
        <f t="shared" ca="1" si="12"/>
        <v>0</v>
      </c>
      <c r="BG26" s="68">
        <f t="shared" ca="1" si="12"/>
        <v>0</v>
      </c>
      <c r="BH26" s="68">
        <f t="shared" ca="1" si="12"/>
        <v>0</v>
      </c>
      <c r="BI26" s="68">
        <f t="shared" ca="1" si="12"/>
        <v>0</v>
      </c>
      <c r="BJ26" s="68">
        <f t="shared" ca="1" si="12"/>
        <v>0</v>
      </c>
      <c r="BK26" s="68">
        <f t="shared" ca="1" si="12"/>
        <v>0</v>
      </c>
      <c r="BL26" s="68">
        <f t="shared" ca="1" si="12"/>
        <v>0</v>
      </c>
      <c r="BM26" s="68">
        <f t="shared" ca="1" si="12"/>
        <v>0</v>
      </c>
      <c r="BN26" s="68">
        <f t="shared" ca="1" si="12"/>
        <v>0</v>
      </c>
      <c r="BO26" s="68">
        <f t="shared" ca="1" si="12"/>
        <v>0</v>
      </c>
      <c r="BP26" s="68">
        <f t="shared" ca="1" si="12"/>
        <v>0</v>
      </c>
      <c r="BQ26" s="68">
        <f t="shared" ca="1" si="13"/>
        <v>0</v>
      </c>
      <c r="BR26" s="68">
        <f t="shared" ca="1" si="13"/>
        <v>0</v>
      </c>
      <c r="BS26" s="68">
        <f t="shared" ca="1" si="13"/>
        <v>0</v>
      </c>
      <c r="BT26" s="68">
        <f t="shared" ca="1" si="13"/>
        <v>0</v>
      </c>
    </row>
    <row r="27" spans="1:72" x14ac:dyDescent="0.2">
      <c r="A27" s="327">
        <f t="shared" ca="1" si="6"/>
        <v>43737</v>
      </c>
      <c r="B27" s="88">
        <f t="shared" ca="1" si="9"/>
        <v>43731</v>
      </c>
      <c r="C27" s="68">
        <v>22</v>
      </c>
      <c r="D27" s="68" t="str">
        <f t="shared" ca="1" si="10"/>
        <v/>
      </c>
      <c r="E27" s="68" t="str">
        <f t="shared" ca="1" si="0"/>
        <v xml:space="preserve"> </v>
      </c>
      <c r="F27" s="68">
        <f t="shared" ca="1" si="7"/>
        <v>39</v>
      </c>
      <c r="G27" s="68" t="str">
        <f>ROW(A22)&amp;". "&amp;'Critical resources'!B33</f>
        <v xml:space="preserve">22. </v>
      </c>
      <c r="H27" s="68">
        <f ca="1">IFERROR(VLOOKUP('Critical resources'!D33,$B$6:$C$57,2,0),0)</f>
        <v>0</v>
      </c>
      <c r="I27" s="68">
        <f ca="1">IFERROR(VLOOKUP('Critical resources'!E33,$A$6:$C$57,3,0),0)</f>
        <v>0</v>
      </c>
      <c r="J27" s="68">
        <f ca="1">IFERROR(VLOOKUP('Critical resources'!G33,$B$6:$C$57,2,0),0)</f>
        <v>0</v>
      </c>
      <c r="K27" s="68">
        <f ca="1">IFERROR(VLOOKUP('Critical resources'!H33,$B$6:$C$57,2,0),0)</f>
        <v>0</v>
      </c>
      <c r="L27" s="68">
        <f ca="1">IFERROR(VLOOKUP('Critical resources'!J33,$B$6:$C$57,2,0),0)</f>
        <v>0</v>
      </c>
      <c r="M27" s="68">
        <f ca="1">IFERROR(VLOOKUP('Critical resources'!K33,$A$6:$C$57,3,0),0)</f>
        <v>0</v>
      </c>
      <c r="N27" s="68">
        <f ca="1">IFERROR(VLOOKUP('Critical resources'!M33,$B$6:$C$57,2,0),0)</f>
        <v>0</v>
      </c>
      <c r="O27" s="68">
        <f ca="1">IFERROR(VLOOKUP('Critical resources'!N33,$A$6:$C$57,3,0),0)</f>
        <v>0</v>
      </c>
      <c r="P27" s="68">
        <f ca="1">IFERROR(VLOOKUP('Critical resources'!P33,$B$6:$C$57,2,0),0)</f>
        <v>0</v>
      </c>
      <c r="Q27" s="68">
        <f ca="1">IFERROR(VLOOKUP('Critical resources'!Q33,$A$6:$C$57,3,0),0)</f>
        <v>0</v>
      </c>
      <c r="T27" s="68" t="str">
        <f t="shared" si="1"/>
        <v xml:space="preserve">22. </v>
      </c>
      <c r="U27" s="68">
        <f t="shared" ca="1" si="14"/>
        <v>0</v>
      </c>
      <c r="V27" s="68">
        <f t="shared" ca="1" si="14"/>
        <v>0</v>
      </c>
      <c r="W27" s="68">
        <f t="shared" ca="1" si="14"/>
        <v>0</v>
      </c>
      <c r="X27" s="68">
        <f t="shared" ca="1" si="14"/>
        <v>0</v>
      </c>
      <c r="Y27" s="68">
        <f t="shared" ca="1" si="14"/>
        <v>0</v>
      </c>
      <c r="Z27" s="68">
        <f t="shared" ca="1" si="14"/>
        <v>0</v>
      </c>
      <c r="AA27" s="68">
        <f t="shared" ca="1" si="14"/>
        <v>0</v>
      </c>
      <c r="AB27" s="68">
        <f t="shared" ca="1" si="14"/>
        <v>0</v>
      </c>
      <c r="AC27" s="68">
        <f t="shared" ca="1" si="14"/>
        <v>0</v>
      </c>
      <c r="AD27" s="68">
        <f t="shared" ca="1" si="14"/>
        <v>0</v>
      </c>
      <c r="AE27" s="68">
        <f t="shared" ca="1" si="14"/>
        <v>0</v>
      </c>
      <c r="AF27" s="68">
        <f t="shared" ca="1" si="14"/>
        <v>0</v>
      </c>
      <c r="AG27" s="68">
        <f t="shared" ca="1" si="14"/>
        <v>0</v>
      </c>
      <c r="AH27" s="68">
        <f t="shared" ca="1" si="14"/>
        <v>0</v>
      </c>
      <c r="AI27" s="68">
        <f t="shared" ca="1" si="14"/>
        <v>0</v>
      </c>
      <c r="AJ27" s="68">
        <f t="shared" ca="1" si="14"/>
        <v>0</v>
      </c>
      <c r="AK27" s="68">
        <f t="shared" ca="1" si="11"/>
        <v>0</v>
      </c>
      <c r="AL27" s="68">
        <f t="shared" ca="1" si="11"/>
        <v>0</v>
      </c>
      <c r="AM27" s="68">
        <f t="shared" ca="1" si="11"/>
        <v>0</v>
      </c>
      <c r="AN27" s="68">
        <f t="shared" ca="1" si="11"/>
        <v>0</v>
      </c>
      <c r="AO27" s="68">
        <f t="shared" ca="1" si="11"/>
        <v>0</v>
      </c>
      <c r="AP27" s="68">
        <f t="shared" ca="1" si="11"/>
        <v>0</v>
      </c>
      <c r="AQ27" s="68">
        <f t="shared" ca="1" si="11"/>
        <v>0</v>
      </c>
      <c r="AR27" s="68">
        <f t="shared" ca="1" si="11"/>
        <v>0</v>
      </c>
      <c r="AS27" s="68">
        <f t="shared" ca="1" si="11"/>
        <v>0</v>
      </c>
      <c r="AT27" s="68">
        <f t="shared" ca="1" si="11"/>
        <v>0</v>
      </c>
      <c r="AU27" s="68">
        <f t="shared" ca="1" si="11"/>
        <v>0</v>
      </c>
      <c r="AV27" s="68">
        <f t="shared" ca="1" si="11"/>
        <v>0</v>
      </c>
      <c r="AW27" s="68">
        <f t="shared" ca="1" si="11"/>
        <v>0</v>
      </c>
      <c r="AX27" s="68">
        <f t="shared" ca="1" si="11"/>
        <v>0</v>
      </c>
      <c r="AY27" s="68">
        <f t="shared" ca="1" si="11"/>
        <v>0</v>
      </c>
      <c r="AZ27" s="68">
        <f t="shared" ca="1" si="11"/>
        <v>0</v>
      </c>
      <c r="BA27" s="68">
        <f t="shared" ca="1" si="12"/>
        <v>0</v>
      </c>
      <c r="BB27" s="68">
        <f t="shared" ca="1" si="12"/>
        <v>0</v>
      </c>
      <c r="BC27" s="68">
        <f t="shared" ca="1" si="12"/>
        <v>0</v>
      </c>
      <c r="BD27" s="68">
        <f t="shared" ca="1" si="12"/>
        <v>0</v>
      </c>
      <c r="BE27" s="68">
        <f t="shared" ca="1" si="12"/>
        <v>0</v>
      </c>
      <c r="BF27" s="68">
        <f t="shared" ca="1" si="12"/>
        <v>0</v>
      </c>
      <c r="BG27" s="68">
        <f t="shared" ca="1" si="12"/>
        <v>0</v>
      </c>
      <c r="BH27" s="68">
        <f t="shared" ca="1" si="12"/>
        <v>0</v>
      </c>
      <c r="BI27" s="68">
        <f t="shared" ca="1" si="12"/>
        <v>0</v>
      </c>
      <c r="BJ27" s="68">
        <f t="shared" ca="1" si="12"/>
        <v>0</v>
      </c>
      <c r="BK27" s="68">
        <f t="shared" ca="1" si="12"/>
        <v>0</v>
      </c>
      <c r="BL27" s="68">
        <f t="shared" ca="1" si="12"/>
        <v>0</v>
      </c>
      <c r="BM27" s="68">
        <f t="shared" ca="1" si="12"/>
        <v>0</v>
      </c>
      <c r="BN27" s="68">
        <f t="shared" ca="1" si="12"/>
        <v>0</v>
      </c>
      <c r="BO27" s="68">
        <f t="shared" ca="1" si="12"/>
        <v>0</v>
      </c>
      <c r="BP27" s="68">
        <f t="shared" ca="1" si="12"/>
        <v>0</v>
      </c>
      <c r="BQ27" s="68">
        <f t="shared" ca="1" si="13"/>
        <v>0</v>
      </c>
      <c r="BR27" s="68">
        <f t="shared" ca="1" si="13"/>
        <v>0</v>
      </c>
      <c r="BS27" s="68">
        <f t="shared" ca="1" si="13"/>
        <v>0</v>
      </c>
      <c r="BT27" s="68">
        <f t="shared" ca="1" si="13"/>
        <v>0</v>
      </c>
    </row>
    <row r="28" spans="1:72" x14ac:dyDescent="0.2">
      <c r="A28" s="327">
        <f t="shared" ca="1" si="6"/>
        <v>43744</v>
      </c>
      <c r="B28" s="88">
        <f t="shared" ca="1" si="9"/>
        <v>43738</v>
      </c>
      <c r="C28" s="68">
        <v>23</v>
      </c>
      <c r="D28" s="68" t="str">
        <f t="shared" ca="1" si="10"/>
        <v/>
      </c>
      <c r="E28" s="68" t="str">
        <f t="shared" ca="1" si="0"/>
        <v xml:space="preserve"> </v>
      </c>
      <c r="F28" s="68">
        <f t="shared" ca="1" si="7"/>
        <v>40</v>
      </c>
      <c r="G28" s="68" t="str">
        <f>ROW(A23)&amp;". "&amp;'Critical resources'!B34</f>
        <v xml:space="preserve">23. </v>
      </c>
      <c r="H28" s="68">
        <f ca="1">IFERROR(VLOOKUP('Critical resources'!D34,$B$6:$C$57,2,0),0)</f>
        <v>0</v>
      </c>
      <c r="I28" s="68">
        <f ca="1">IFERROR(VLOOKUP('Critical resources'!E34,$A$6:$C$57,3,0),0)</f>
        <v>0</v>
      </c>
      <c r="J28" s="68">
        <f ca="1">IFERROR(VLOOKUP('Critical resources'!G34,$B$6:$C$57,2,0),0)</f>
        <v>0</v>
      </c>
      <c r="K28" s="68">
        <f ca="1">IFERROR(VLOOKUP('Critical resources'!H34,$B$6:$C$57,2,0),0)</f>
        <v>0</v>
      </c>
      <c r="L28" s="68">
        <f ca="1">IFERROR(VLOOKUP('Critical resources'!J34,$B$6:$C$57,2,0),0)</f>
        <v>0</v>
      </c>
      <c r="M28" s="68">
        <f ca="1">IFERROR(VLOOKUP('Critical resources'!K34,$A$6:$C$57,3,0),0)</f>
        <v>0</v>
      </c>
      <c r="N28" s="68">
        <f ca="1">IFERROR(VLOOKUP('Critical resources'!M34,$B$6:$C$57,2,0),0)</f>
        <v>0</v>
      </c>
      <c r="O28" s="68">
        <f ca="1">IFERROR(VLOOKUP('Critical resources'!N34,$A$6:$C$57,3,0),0)</f>
        <v>0</v>
      </c>
      <c r="P28" s="68">
        <f ca="1">IFERROR(VLOOKUP('Critical resources'!P34,$B$6:$C$57,2,0),0)</f>
        <v>0</v>
      </c>
      <c r="Q28" s="68">
        <f ca="1">IFERROR(VLOOKUP('Critical resources'!Q34,$A$6:$C$57,3,0),0)</f>
        <v>0</v>
      </c>
      <c r="T28" s="68" t="str">
        <f t="shared" si="1"/>
        <v xml:space="preserve">23. </v>
      </c>
      <c r="U28" s="68">
        <f t="shared" ca="1" si="14"/>
        <v>0</v>
      </c>
      <c r="V28" s="68">
        <f t="shared" ca="1" si="14"/>
        <v>0</v>
      </c>
      <c r="W28" s="68">
        <f t="shared" ca="1" si="14"/>
        <v>0</v>
      </c>
      <c r="X28" s="68">
        <f t="shared" ca="1" si="14"/>
        <v>0</v>
      </c>
      <c r="Y28" s="68">
        <f t="shared" ca="1" si="14"/>
        <v>0</v>
      </c>
      <c r="Z28" s="68">
        <f t="shared" ca="1" si="14"/>
        <v>0</v>
      </c>
      <c r="AA28" s="68">
        <f t="shared" ca="1" si="14"/>
        <v>0</v>
      </c>
      <c r="AB28" s="68">
        <f t="shared" ca="1" si="14"/>
        <v>0</v>
      </c>
      <c r="AC28" s="68">
        <f t="shared" ca="1" si="14"/>
        <v>0</v>
      </c>
      <c r="AD28" s="68">
        <f t="shared" ca="1" si="14"/>
        <v>0</v>
      </c>
      <c r="AE28" s="68">
        <f t="shared" ca="1" si="14"/>
        <v>0</v>
      </c>
      <c r="AF28" s="68">
        <f t="shared" ca="1" si="14"/>
        <v>0</v>
      </c>
      <c r="AG28" s="68">
        <f t="shared" ca="1" si="14"/>
        <v>0</v>
      </c>
      <c r="AH28" s="68">
        <f t="shared" ca="1" si="14"/>
        <v>0</v>
      </c>
      <c r="AI28" s="68">
        <f t="shared" ca="1" si="14"/>
        <v>0</v>
      </c>
      <c r="AJ28" s="68">
        <f t="shared" ca="1" si="14"/>
        <v>0</v>
      </c>
      <c r="AK28" s="68">
        <f t="shared" ca="1" si="11"/>
        <v>0</v>
      </c>
      <c r="AL28" s="68">
        <f t="shared" ca="1" si="11"/>
        <v>0</v>
      </c>
      <c r="AM28" s="68">
        <f t="shared" ca="1" si="11"/>
        <v>0</v>
      </c>
      <c r="AN28" s="68">
        <f t="shared" ca="1" si="11"/>
        <v>0</v>
      </c>
      <c r="AO28" s="68">
        <f t="shared" ca="1" si="11"/>
        <v>0</v>
      </c>
      <c r="AP28" s="68">
        <f t="shared" ca="1" si="11"/>
        <v>0</v>
      </c>
      <c r="AQ28" s="68">
        <f t="shared" ca="1" si="11"/>
        <v>0</v>
      </c>
      <c r="AR28" s="68">
        <f t="shared" ca="1" si="11"/>
        <v>0</v>
      </c>
      <c r="AS28" s="68">
        <f t="shared" ca="1" si="11"/>
        <v>0</v>
      </c>
      <c r="AT28" s="68">
        <f t="shared" ca="1" si="11"/>
        <v>0</v>
      </c>
      <c r="AU28" s="68">
        <f t="shared" ca="1" si="11"/>
        <v>0</v>
      </c>
      <c r="AV28" s="68">
        <f t="shared" ca="1" si="11"/>
        <v>0</v>
      </c>
      <c r="AW28" s="68">
        <f t="shared" ca="1" si="11"/>
        <v>0</v>
      </c>
      <c r="AX28" s="68">
        <f t="shared" ca="1" si="11"/>
        <v>0</v>
      </c>
      <c r="AY28" s="68">
        <f t="shared" ca="1" si="11"/>
        <v>0</v>
      </c>
      <c r="AZ28" s="68">
        <f t="shared" ca="1" si="11"/>
        <v>0</v>
      </c>
      <c r="BA28" s="68">
        <f t="shared" ca="1" si="12"/>
        <v>0</v>
      </c>
      <c r="BB28" s="68">
        <f t="shared" ca="1" si="12"/>
        <v>0</v>
      </c>
      <c r="BC28" s="68">
        <f t="shared" ca="1" si="12"/>
        <v>0</v>
      </c>
      <c r="BD28" s="68">
        <f t="shared" ca="1" si="12"/>
        <v>0</v>
      </c>
      <c r="BE28" s="68">
        <f t="shared" ca="1" si="12"/>
        <v>0</v>
      </c>
      <c r="BF28" s="68">
        <f t="shared" ca="1" si="12"/>
        <v>0</v>
      </c>
      <c r="BG28" s="68">
        <f t="shared" ca="1" si="12"/>
        <v>0</v>
      </c>
      <c r="BH28" s="68">
        <f t="shared" ca="1" si="12"/>
        <v>0</v>
      </c>
      <c r="BI28" s="68">
        <f t="shared" ca="1" si="12"/>
        <v>0</v>
      </c>
      <c r="BJ28" s="68">
        <f t="shared" ca="1" si="12"/>
        <v>0</v>
      </c>
      <c r="BK28" s="68">
        <f t="shared" ca="1" si="12"/>
        <v>0</v>
      </c>
      <c r="BL28" s="68">
        <f t="shared" ca="1" si="12"/>
        <v>0</v>
      </c>
      <c r="BM28" s="68">
        <f t="shared" ca="1" si="12"/>
        <v>0</v>
      </c>
      <c r="BN28" s="68">
        <f t="shared" ca="1" si="12"/>
        <v>0</v>
      </c>
      <c r="BO28" s="68">
        <f t="shared" ca="1" si="12"/>
        <v>0</v>
      </c>
      <c r="BP28" s="68">
        <f t="shared" ca="1" si="12"/>
        <v>0</v>
      </c>
      <c r="BQ28" s="68">
        <f t="shared" ca="1" si="13"/>
        <v>0</v>
      </c>
      <c r="BR28" s="68">
        <f t="shared" ca="1" si="13"/>
        <v>0</v>
      </c>
      <c r="BS28" s="68">
        <f t="shared" ca="1" si="13"/>
        <v>0</v>
      </c>
      <c r="BT28" s="68">
        <f t="shared" ca="1" si="13"/>
        <v>0</v>
      </c>
    </row>
    <row r="29" spans="1:72" x14ac:dyDescent="0.2">
      <c r="A29" s="327">
        <f t="shared" ca="1" si="6"/>
        <v>43751</v>
      </c>
      <c r="B29" s="88">
        <f t="shared" ca="1" si="9"/>
        <v>43745</v>
      </c>
      <c r="C29" s="68">
        <v>24</v>
      </c>
      <c r="D29" s="68" t="str">
        <f t="shared" ca="1" si="10"/>
        <v/>
      </c>
      <c r="E29" s="68" t="str">
        <f t="shared" ca="1" si="0"/>
        <v>Oct</v>
      </c>
      <c r="F29" s="68">
        <f t="shared" ca="1" si="7"/>
        <v>41</v>
      </c>
      <c r="G29" s="68" t="str">
        <f>ROW(A24)&amp;". "&amp;'Critical resources'!B35</f>
        <v xml:space="preserve">24. </v>
      </c>
      <c r="H29" s="68">
        <f ca="1">IFERROR(VLOOKUP('Critical resources'!D35,$B$6:$C$57,2,0),0)</f>
        <v>0</v>
      </c>
      <c r="I29" s="68">
        <f ca="1">IFERROR(VLOOKUP('Critical resources'!E35,$A$6:$C$57,3,0),0)</f>
        <v>0</v>
      </c>
      <c r="J29" s="68">
        <f ca="1">IFERROR(VLOOKUP('Critical resources'!G35,$B$6:$C$57,2,0),0)</f>
        <v>0</v>
      </c>
      <c r="K29" s="68">
        <f ca="1">IFERROR(VLOOKUP('Critical resources'!H35,$B$6:$C$57,2,0),0)</f>
        <v>0</v>
      </c>
      <c r="L29" s="68">
        <f ca="1">IFERROR(VLOOKUP('Critical resources'!J35,$B$6:$C$57,2,0),0)</f>
        <v>0</v>
      </c>
      <c r="M29" s="68">
        <f ca="1">IFERROR(VLOOKUP('Critical resources'!K35,$A$6:$C$57,3,0),0)</f>
        <v>0</v>
      </c>
      <c r="N29" s="68">
        <f ca="1">IFERROR(VLOOKUP('Critical resources'!M35,$B$6:$C$57,2,0),0)</f>
        <v>0</v>
      </c>
      <c r="O29" s="68">
        <f ca="1">IFERROR(VLOOKUP('Critical resources'!N35,$A$6:$C$57,3,0),0)</f>
        <v>0</v>
      </c>
      <c r="P29" s="68">
        <f ca="1">IFERROR(VLOOKUP('Critical resources'!P35,$B$6:$C$57,2,0),0)</f>
        <v>0</v>
      </c>
      <c r="Q29" s="68">
        <f ca="1">IFERROR(VLOOKUP('Critical resources'!Q35,$A$6:$C$57,3,0),0)</f>
        <v>0</v>
      </c>
      <c r="T29" s="68" t="str">
        <f t="shared" si="1"/>
        <v xml:space="preserve">24. </v>
      </c>
      <c r="U29" s="68">
        <f t="shared" ca="1" si="14"/>
        <v>0</v>
      </c>
      <c r="V29" s="68">
        <f t="shared" ca="1" si="14"/>
        <v>0</v>
      </c>
      <c r="W29" s="68">
        <f t="shared" ca="1" si="14"/>
        <v>0</v>
      </c>
      <c r="X29" s="68">
        <f t="shared" ca="1" si="14"/>
        <v>0</v>
      </c>
      <c r="Y29" s="68">
        <f t="shared" ca="1" si="14"/>
        <v>0</v>
      </c>
      <c r="Z29" s="68">
        <f t="shared" ca="1" si="14"/>
        <v>0</v>
      </c>
      <c r="AA29" s="68">
        <f t="shared" ca="1" si="14"/>
        <v>0</v>
      </c>
      <c r="AB29" s="68">
        <f t="shared" ca="1" si="14"/>
        <v>0</v>
      </c>
      <c r="AC29" s="68">
        <f t="shared" ca="1" si="14"/>
        <v>0</v>
      </c>
      <c r="AD29" s="68">
        <f t="shared" ca="1" si="14"/>
        <v>0</v>
      </c>
      <c r="AE29" s="68">
        <f t="shared" ca="1" si="14"/>
        <v>0</v>
      </c>
      <c r="AF29" s="68">
        <f t="shared" ca="1" si="14"/>
        <v>0</v>
      </c>
      <c r="AG29" s="68">
        <f t="shared" ca="1" si="14"/>
        <v>0</v>
      </c>
      <c r="AH29" s="68">
        <f t="shared" ca="1" si="14"/>
        <v>0</v>
      </c>
      <c r="AI29" s="68">
        <f t="shared" ca="1" si="14"/>
        <v>0</v>
      </c>
      <c r="AJ29" s="68">
        <f t="shared" ca="1" si="14"/>
        <v>0</v>
      </c>
      <c r="AK29" s="68">
        <f t="shared" ca="1" si="11"/>
        <v>0</v>
      </c>
      <c r="AL29" s="68">
        <f t="shared" ca="1" si="11"/>
        <v>0</v>
      </c>
      <c r="AM29" s="68">
        <f t="shared" ca="1" si="11"/>
        <v>0</v>
      </c>
      <c r="AN29" s="68">
        <f t="shared" ca="1" si="11"/>
        <v>0</v>
      </c>
      <c r="AO29" s="68">
        <f t="shared" ca="1" si="11"/>
        <v>0</v>
      </c>
      <c r="AP29" s="68">
        <f t="shared" ca="1" si="11"/>
        <v>0</v>
      </c>
      <c r="AQ29" s="68">
        <f t="shared" ca="1" si="11"/>
        <v>0</v>
      </c>
      <c r="AR29" s="68">
        <f t="shared" ca="1" si="11"/>
        <v>0</v>
      </c>
      <c r="AS29" s="68">
        <f t="shared" ca="1" si="11"/>
        <v>0</v>
      </c>
      <c r="AT29" s="68">
        <f t="shared" ca="1" si="11"/>
        <v>0</v>
      </c>
      <c r="AU29" s="68">
        <f t="shared" ca="1" si="11"/>
        <v>0</v>
      </c>
      <c r="AV29" s="68">
        <f t="shared" ca="1" si="11"/>
        <v>0</v>
      </c>
      <c r="AW29" s="68">
        <f t="shared" ca="1" si="11"/>
        <v>0</v>
      </c>
      <c r="AX29" s="68">
        <f t="shared" ca="1" si="11"/>
        <v>0</v>
      </c>
      <c r="AY29" s="68">
        <f t="shared" ca="1" si="11"/>
        <v>0</v>
      </c>
      <c r="AZ29" s="68">
        <f t="shared" ca="1" si="11"/>
        <v>0</v>
      </c>
      <c r="BA29" s="68">
        <f t="shared" ca="1" si="12"/>
        <v>0</v>
      </c>
      <c r="BB29" s="68">
        <f t="shared" ca="1" si="12"/>
        <v>0</v>
      </c>
      <c r="BC29" s="68">
        <f t="shared" ca="1" si="12"/>
        <v>0</v>
      </c>
      <c r="BD29" s="68">
        <f t="shared" ca="1" si="12"/>
        <v>0</v>
      </c>
      <c r="BE29" s="68">
        <f t="shared" ca="1" si="12"/>
        <v>0</v>
      </c>
      <c r="BF29" s="68">
        <f t="shared" ca="1" si="12"/>
        <v>0</v>
      </c>
      <c r="BG29" s="68">
        <f t="shared" ca="1" si="12"/>
        <v>0</v>
      </c>
      <c r="BH29" s="68">
        <f t="shared" ca="1" si="12"/>
        <v>0</v>
      </c>
      <c r="BI29" s="68">
        <f t="shared" ca="1" si="12"/>
        <v>0</v>
      </c>
      <c r="BJ29" s="68">
        <f t="shared" ca="1" si="12"/>
        <v>0</v>
      </c>
      <c r="BK29" s="68">
        <f t="shared" ca="1" si="12"/>
        <v>0</v>
      </c>
      <c r="BL29" s="68">
        <f t="shared" ca="1" si="12"/>
        <v>0</v>
      </c>
      <c r="BM29" s="68">
        <f t="shared" ca="1" si="12"/>
        <v>0</v>
      </c>
      <c r="BN29" s="68">
        <f t="shared" ca="1" si="12"/>
        <v>0</v>
      </c>
      <c r="BO29" s="68">
        <f t="shared" ca="1" si="12"/>
        <v>0</v>
      </c>
      <c r="BP29" s="68">
        <f t="shared" ca="1" si="12"/>
        <v>0</v>
      </c>
      <c r="BQ29" s="68">
        <f t="shared" ca="1" si="13"/>
        <v>0</v>
      </c>
      <c r="BR29" s="68">
        <f t="shared" ca="1" si="13"/>
        <v>0</v>
      </c>
      <c r="BS29" s="68">
        <f t="shared" ca="1" si="13"/>
        <v>0</v>
      </c>
      <c r="BT29" s="68">
        <f t="shared" ca="1" si="13"/>
        <v>0</v>
      </c>
    </row>
    <row r="30" spans="1:72" x14ac:dyDescent="0.2">
      <c r="A30" s="327">
        <f t="shared" ca="1" si="6"/>
        <v>43758</v>
      </c>
      <c r="B30" s="88">
        <f t="shared" ca="1" si="9"/>
        <v>43752</v>
      </c>
      <c r="C30" s="68">
        <v>25</v>
      </c>
      <c r="D30" s="68" t="str">
        <f t="shared" ca="1" si="10"/>
        <v/>
      </c>
      <c r="E30" s="68" t="str">
        <f t="shared" ca="1" si="0"/>
        <v xml:space="preserve"> </v>
      </c>
      <c r="F30" s="68">
        <f t="shared" ca="1" si="7"/>
        <v>42</v>
      </c>
      <c r="G30" s="68" t="str">
        <f>ROW(A25)&amp;". "&amp;'Critical resources'!B36</f>
        <v xml:space="preserve">25. </v>
      </c>
      <c r="H30" s="68">
        <f ca="1">IFERROR(VLOOKUP('Critical resources'!D36,$B$6:$C$57,2,0),0)</f>
        <v>0</v>
      </c>
      <c r="I30" s="68">
        <f ca="1">IFERROR(VLOOKUP('Critical resources'!E36,$A$6:$C$57,3,0),0)</f>
        <v>0</v>
      </c>
      <c r="J30" s="68">
        <f ca="1">IFERROR(VLOOKUP('Critical resources'!G36,$B$6:$C$57,2,0),0)</f>
        <v>0</v>
      </c>
      <c r="K30" s="68">
        <f ca="1">IFERROR(VLOOKUP('Critical resources'!H36,$B$6:$C$57,2,0),0)</f>
        <v>0</v>
      </c>
      <c r="L30" s="68">
        <f ca="1">IFERROR(VLOOKUP('Critical resources'!J36,$B$6:$C$57,2,0),0)</f>
        <v>0</v>
      </c>
      <c r="M30" s="68">
        <f ca="1">IFERROR(VLOOKUP('Critical resources'!K36,$A$6:$C$57,3,0),0)</f>
        <v>0</v>
      </c>
      <c r="N30" s="68">
        <f ca="1">IFERROR(VLOOKUP('Critical resources'!M36,$B$6:$C$57,2,0),0)</f>
        <v>0</v>
      </c>
      <c r="O30" s="68">
        <f ca="1">IFERROR(VLOOKUP('Critical resources'!N36,$A$6:$C$57,3,0),0)</f>
        <v>0</v>
      </c>
      <c r="P30" s="68">
        <f ca="1">IFERROR(VLOOKUP('Critical resources'!P36,$B$6:$C$57,2,0),0)</f>
        <v>0</v>
      </c>
      <c r="Q30" s="68">
        <f ca="1">IFERROR(VLOOKUP('Critical resources'!Q36,$A$6:$C$57,3,0),0)</f>
        <v>0</v>
      </c>
      <c r="T30" s="68" t="str">
        <f t="shared" si="1"/>
        <v xml:space="preserve">25. </v>
      </c>
      <c r="U30" s="68">
        <f t="shared" ca="1" si="14"/>
        <v>0</v>
      </c>
      <c r="V30" s="68">
        <f t="shared" ca="1" si="14"/>
        <v>0</v>
      </c>
      <c r="W30" s="68">
        <f t="shared" ca="1" si="14"/>
        <v>0</v>
      </c>
      <c r="X30" s="68">
        <f t="shared" ca="1" si="14"/>
        <v>0</v>
      </c>
      <c r="Y30" s="68">
        <f t="shared" ca="1" si="14"/>
        <v>0</v>
      </c>
      <c r="Z30" s="68">
        <f t="shared" ca="1" si="14"/>
        <v>0</v>
      </c>
      <c r="AA30" s="68">
        <f t="shared" ca="1" si="14"/>
        <v>0</v>
      </c>
      <c r="AB30" s="68">
        <f t="shared" ca="1" si="14"/>
        <v>0</v>
      </c>
      <c r="AC30" s="68">
        <f t="shared" ca="1" si="14"/>
        <v>0</v>
      </c>
      <c r="AD30" s="68">
        <f t="shared" ca="1" si="14"/>
        <v>0</v>
      </c>
      <c r="AE30" s="68">
        <f t="shared" ca="1" si="14"/>
        <v>0</v>
      </c>
      <c r="AF30" s="68">
        <f t="shared" ca="1" si="14"/>
        <v>0</v>
      </c>
      <c r="AG30" s="68">
        <f t="shared" ca="1" si="14"/>
        <v>0</v>
      </c>
      <c r="AH30" s="68">
        <f t="shared" ca="1" si="14"/>
        <v>0</v>
      </c>
      <c r="AI30" s="68">
        <f t="shared" ca="1" si="14"/>
        <v>0</v>
      </c>
      <c r="AJ30" s="68">
        <f t="shared" ca="1" si="14"/>
        <v>0</v>
      </c>
      <c r="AK30" s="68">
        <f t="shared" ca="1" si="11"/>
        <v>0</v>
      </c>
      <c r="AL30" s="68">
        <f t="shared" ca="1" si="11"/>
        <v>0</v>
      </c>
      <c r="AM30" s="68">
        <f t="shared" ca="1" si="11"/>
        <v>0</v>
      </c>
      <c r="AN30" s="68">
        <f t="shared" ca="1" si="11"/>
        <v>0</v>
      </c>
      <c r="AO30" s="68">
        <f t="shared" ca="1" si="11"/>
        <v>0</v>
      </c>
      <c r="AP30" s="68">
        <f t="shared" ca="1" si="11"/>
        <v>0</v>
      </c>
      <c r="AQ30" s="68">
        <f t="shared" ca="1" si="11"/>
        <v>0</v>
      </c>
      <c r="AR30" s="68">
        <f t="shared" ca="1" si="11"/>
        <v>0</v>
      </c>
      <c r="AS30" s="68">
        <f t="shared" ca="1" si="11"/>
        <v>0</v>
      </c>
      <c r="AT30" s="68">
        <f t="shared" ca="1" si="11"/>
        <v>0</v>
      </c>
      <c r="AU30" s="68">
        <f t="shared" ca="1" si="11"/>
        <v>0</v>
      </c>
      <c r="AV30" s="68">
        <f t="shared" ca="1" si="11"/>
        <v>0</v>
      </c>
      <c r="AW30" s="68">
        <f t="shared" ca="1" si="11"/>
        <v>0</v>
      </c>
      <c r="AX30" s="68">
        <f t="shared" ca="1" si="11"/>
        <v>0</v>
      </c>
      <c r="AY30" s="68">
        <f t="shared" ca="1" si="11"/>
        <v>0</v>
      </c>
      <c r="AZ30" s="68">
        <f t="shared" ca="1" si="11"/>
        <v>0</v>
      </c>
      <c r="BA30" s="68">
        <f t="shared" ca="1" si="12"/>
        <v>0</v>
      </c>
      <c r="BB30" s="68">
        <f t="shared" ca="1" si="12"/>
        <v>0</v>
      </c>
      <c r="BC30" s="68">
        <f t="shared" ca="1" si="12"/>
        <v>0</v>
      </c>
      <c r="BD30" s="68">
        <f t="shared" ca="1" si="12"/>
        <v>0</v>
      </c>
      <c r="BE30" s="68">
        <f t="shared" ca="1" si="12"/>
        <v>0</v>
      </c>
      <c r="BF30" s="68">
        <f t="shared" ca="1" si="12"/>
        <v>0</v>
      </c>
      <c r="BG30" s="68">
        <f t="shared" ca="1" si="12"/>
        <v>0</v>
      </c>
      <c r="BH30" s="68">
        <f t="shared" ca="1" si="12"/>
        <v>0</v>
      </c>
      <c r="BI30" s="68">
        <f t="shared" ca="1" si="12"/>
        <v>0</v>
      </c>
      <c r="BJ30" s="68">
        <f t="shared" ca="1" si="12"/>
        <v>0</v>
      </c>
      <c r="BK30" s="68">
        <f t="shared" ca="1" si="12"/>
        <v>0</v>
      </c>
      <c r="BL30" s="68">
        <f t="shared" ca="1" si="12"/>
        <v>0</v>
      </c>
      <c r="BM30" s="68">
        <f t="shared" ca="1" si="12"/>
        <v>0</v>
      </c>
      <c r="BN30" s="68">
        <f t="shared" ca="1" si="12"/>
        <v>0</v>
      </c>
      <c r="BO30" s="68">
        <f t="shared" ca="1" si="12"/>
        <v>0</v>
      </c>
      <c r="BP30" s="68">
        <f t="shared" ca="1" si="12"/>
        <v>0</v>
      </c>
      <c r="BQ30" s="68">
        <f t="shared" ca="1" si="13"/>
        <v>0</v>
      </c>
      <c r="BR30" s="68">
        <f t="shared" ca="1" si="13"/>
        <v>0</v>
      </c>
      <c r="BS30" s="68">
        <f t="shared" ca="1" si="13"/>
        <v>0</v>
      </c>
      <c r="BT30" s="68">
        <f t="shared" ca="1" si="13"/>
        <v>0</v>
      </c>
    </row>
    <row r="31" spans="1:72" x14ac:dyDescent="0.2">
      <c r="A31" s="327">
        <f t="shared" ca="1" si="6"/>
        <v>43765</v>
      </c>
      <c r="B31" s="88">
        <f t="shared" ca="1" si="9"/>
        <v>43759</v>
      </c>
      <c r="C31" s="68">
        <v>26</v>
      </c>
      <c r="D31" s="68" t="str">
        <f t="shared" ca="1" si="10"/>
        <v/>
      </c>
      <c r="E31" s="68" t="str">
        <f t="shared" ca="1" si="0"/>
        <v xml:space="preserve"> </v>
      </c>
      <c r="F31" s="68">
        <f t="shared" ca="1" si="7"/>
        <v>43</v>
      </c>
      <c r="G31" s="68" t="str">
        <f>ROW(A26)&amp;". "&amp;'Critical resources'!B37</f>
        <v xml:space="preserve">26. </v>
      </c>
      <c r="H31" s="68">
        <f ca="1">IFERROR(VLOOKUP('Critical resources'!D37,$B$6:$C$57,2,0),0)</f>
        <v>0</v>
      </c>
      <c r="I31" s="68">
        <f ca="1">IFERROR(VLOOKUP('Critical resources'!E37,$A$6:$C$57,3,0),0)</f>
        <v>0</v>
      </c>
      <c r="J31" s="68">
        <f ca="1">IFERROR(VLOOKUP('Critical resources'!G37,$B$6:$C$57,2,0),0)</f>
        <v>0</v>
      </c>
      <c r="K31" s="68">
        <f ca="1">IFERROR(VLOOKUP('Critical resources'!H37,$B$6:$C$57,2,0),0)</f>
        <v>0</v>
      </c>
      <c r="L31" s="68">
        <f ca="1">IFERROR(VLOOKUP('Critical resources'!J37,$B$6:$C$57,2,0),0)</f>
        <v>0</v>
      </c>
      <c r="M31" s="68">
        <f ca="1">IFERROR(VLOOKUP('Critical resources'!K37,$A$6:$C$57,3,0),0)</f>
        <v>0</v>
      </c>
      <c r="N31" s="68">
        <f ca="1">IFERROR(VLOOKUP('Critical resources'!M37,$B$6:$C$57,2,0),0)</f>
        <v>0</v>
      </c>
      <c r="O31" s="68">
        <f ca="1">IFERROR(VLOOKUP('Critical resources'!N37,$A$6:$C$57,3,0),0)</f>
        <v>0</v>
      </c>
      <c r="P31" s="68">
        <f ca="1">IFERROR(VLOOKUP('Critical resources'!P37,$B$6:$C$57,2,0),0)</f>
        <v>0</v>
      </c>
      <c r="Q31" s="68">
        <f ca="1">IFERROR(VLOOKUP('Critical resources'!Q37,$A$6:$C$57,3,0),0)</f>
        <v>0</v>
      </c>
      <c r="T31" s="68" t="str">
        <f t="shared" si="1"/>
        <v xml:space="preserve">26. </v>
      </c>
      <c r="U31" s="68">
        <f t="shared" ca="1" si="14"/>
        <v>0</v>
      </c>
      <c r="V31" s="68">
        <f t="shared" ca="1" si="14"/>
        <v>0</v>
      </c>
      <c r="W31" s="68">
        <f t="shared" ca="1" si="14"/>
        <v>0</v>
      </c>
      <c r="X31" s="68">
        <f t="shared" ca="1" si="14"/>
        <v>0</v>
      </c>
      <c r="Y31" s="68">
        <f t="shared" ca="1" si="14"/>
        <v>0</v>
      </c>
      <c r="Z31" s="68">
        <f t="shared" ca="1" si="14"/>
        <v>0</v>
      </c>
      <c r="AA31" s="68">
        <f t="shared" ca="1" si="14"/>
        <v>0</v>
      </c>
      <c r="AB31" s="68">
        <f t="shared" ca="1" si="14"/>
        <v>0</v>
      </c>
      <c r="AC31" s="68">
        <f t="shared" ca="1" si="14"/>
        <v>0</v>
      </c>
      <c r="AD31" s="68">
        <f t="shared" ca="1" si="14"/>
        <v>0</v>
      </c>
      <c r="AE31" s="68">
        <f t="shared" ca="1" si="14"/>
        <v>0</v>
      </c>
      <c r="AF31" s="68">
        <f t="shared" ca="1" si="14"/>
        <v>0</v>
      </c>
      <c r="AG31" s="68">
        <f t="shared" ca="1" si="14"/>
        <v>0</v>
      </c>
      <c r="AH31" s="68">
        <f t="shared" ca="1" si="14"/>
        <v>0</v>
      </c>
      <c r="AI31" s="68">
        <f t="shared" ca="1" si="14"/>
        <v>0</v>
      </c>
      <c r="AJ31" s="68">
        <f t="shared" ca="1" si="14"/>
        <v>0</v>
      </c>
      <c r="AK31" s="68">
        <f t="shared" ca="1" si="11"/>
        <v>0</v>
      </c>
      <c r="AL31" s="68">
        <f t="shared" ca="1" si="11"/>
        <v>0</v>
      </c>
      <c r="AM31" s="68">
        <f t="shared" ca="1" si="11"/>
        <v>0</v>
      </c>
      <c r="AN31" s="68">
        <f t="shared" ca="1" si="11"/>
        <v>0</v>
      </c>
      <c r="AO31" s="68">
        <f t="shared" ca="1" si="11"/>
        <v>0</v>
      </c>
      <c r="AP31" s="68">
        <f t="shared" ca="1" si="11"/>
        <v>0</v>
      </c>
      <c r="AQ31" s="68">
        <f t="shared" ca="1" si="11"/>
        <v>0</v>
      </c>
      <c r="AR31" s="68">
        <f t="shared" ca="1" si="11"/>
        <v>0</v>
      </c>
      <c r="AS31" s="68">
        <f t="shared" ca="1" si="11"/>
        <v>0</v>
      </c>
      <c r="AT31" s="68">
        <f t="shared" ca="1" si="11"/>
        <v>0</v>
      </c>
      <c r="AU31" s="68">
        <f t="shared" ca="1" si="11"/>
        <v>0</v>
      </c>
      <c r="AV31" s="68">
        <f t="shared" ca="1" si="11"/>
        <v>0</v>
      </c>
      <c r="AW31" s="68">
        <f t="shared" ca="1" si="11"/>
        <v>0</v>
      </c>
      <c r="AX31" s="68">
        <f t="shared" ca="1" si="11"/>
        <v>0</v>
      </c>
      <c r="AY31" s="68">
        <f t="shared" ca="1" si="11"/>
        <v>0</v>
      </c>
      <c r="AZ31" s="68">
        <f t="shared" ca="1" si="11"/>
        <v>0</v>
      </c>
      <c r="BA31" s="68">
        <f t="shared" ca="1" si="12"/>
        <v>0</v>
      </c>
      <c r="BB31" s="68">
        <f t="shared" ca="1" si="12"/>
        <v>0</v>
      </c>
      <c r="BC31" s="68">
        <f t="shared" ca="1" si="12"/>
        <v>0</v>
      </c>
      <c r="BD31" s="68">
        <f t="shared" ca="1" si="12"/>
        <v>0</v>
      </c>
      <c r="BE31" s="68">
        <f t="shared" ca="1" si="12"/>
        <v>0</v>
      </c>
      <c r="BF31" s="68">
        <f t="shared" ca="1" si="12"/>
        <v>0</v>
      </c>
      <c r="BG31" s="68">
        <f t="shared" ca="1" si="12"/>
        <v>0</v>
      </c>
      <c r="BH31" s="68">
        <f t="shared" ca="1" si="12"/>
        <v>0</v>
      </c>
      <c r="BI31" s="68">
        <f t="shared" ca="1" si="12"/>
        <v>0</v>
      </c>
      <c r="BJ31" s="68">
        <f t="shared" ca="1" si="12"/>
        <v>0</v>
      </c>
      <c r="BK31" s="68">
        <f t="shared" ca="1" si="12"/>
        <v>0</v>
      </c>
      <c r="BL31" s="68">
        <f t="shared" ca="1" si="12"/>
        <v>0</v>
      </c>
      <c r="BM31" s="68">
        <f t="shared" ca="1" si="12"/>
        <v>0</v>
      </c>
      <c r="BN31" s="68">
        <f t="shared" ca="1" si="12"/>
        <v>0</v>
      </c>
      <c r="BO31" s="68">
        <f t="shared" ca="1" si="12"/>
        <v>0</v>
      </c>
      <c r="BP31" s="68">
        <f t="shared" ca="1" si="12"/>
        <v>0</v>
      </c>
      <c r="BQ31" s="68">
        <f t="shared" ca="1" si="13"/>
        <v>0</v>
      </c>
      <c r="BR31" s="68">
        <f t="shared" ca="1" si="13"/>
        <v>0</v>
      </c>
      <c r="BS31" s="68">
        <f t="shared" ca="1" si="13"/>
        <v>0</v>
      </c>
      <c r="BT31" s="68">
        <f t="shared" ca="1" si="13"/>
        <v>0</v>
      </c>
    </row>
    <row r="32" spans="1:72" x14ac:dyDescent="0.2">
      <c r="A32" s="327">
        <f t="shared" ca="1" si="6"/>
        <v>43772</v>
      </c>
      <c r="B32" s="88">
        <f t="shared" ca="1" si="9"/>
        <v>43766</v>
      </c>
      <c r="C32" s="68">
        <v>27</v>
      </c>
      <c r="D32" s="68" t="str">
        <f t="shared" ca="1" si="10"/>
        <v/>
      </c>
      <c r="E32" s="68" t="str">
        <f t="shared" ca="1" si="0"/>
        <v xml:space="preserve"> </v>
      </c>
      <c r="F32" s="68">
        <f t="shared" ca="1" si="7"/>
        <v>44</v>
      </c>
      <c r="G32" s="68" t="str">
        <f>ROW(A27)&amp;". "&amp;'Critical resources'!B38</f>
        <v xml:space="preserve">27. </v>
      </c>
      <c r="H32" s="68">
        <f ca="1">IFERROR(VLOOKUP('Critical resources'!D38,$B$6:$C$57,2,0),0)</f>
        <v>0</v>
      </c>
      <c r="I32" s="68">
        <f ca="1">IFERROR(VLOOKUP('Critical resources'!E38,$A$6:$C$57,3,0),0)</f>
        <v>0</v>
      </c>
      <c r="J32" s="68">
        <f ca="1">IFERROR(VLOOKUP('Critical resources'!G38,$B$6:$C$57,2,0),0)</f>
        <v>0</v>
      </c>
      <c r="K32" s="68">
        <f ca="1">IFERROR(VLOOKUP('Critical resources'!H38,$B$6:$C$57,2,0),0)</f>
        <v>0</v>
      </c>
      <c r="L32" s="68">
        <f ca="1">IFERROR(VLOOKUP('Critical resources'!J38,$B$6:$C$57,2,0),0)</f>
        <v>0</v>
      </c>
      <c r="M32" s="68">
        <f ca="1">IFERROR(VLOOKUP('Critical resources'!K38,$A$6:$C$57,3,0),0)</f>
        <v>0</v>
      </c>
      <c r="N32" s="68">
        <f ca="1">IFERROR(VLOOKUP('Critical resources'!M38,$B$6:$C$57,2,0),0)</f>
        <v>0</v>
      </c>
      <c r="O32" s="68">
        <f ca="1">IFERROR(VLOOKUP('Critical resources'!N38,$A$6:$C$57,3,0),0)</f>
        <v>0</v>
      </c>
      <c r="P32" s="68">
        <f ca="1">IFERROR(VLOOKUP('Critical resources'!P38,$B$6:$C$57,2,0),0)</f>
        <v>0</v>
      </c>
      <c r="Q32" s="68">
        <f ca="1">IFERROR(VLOOKUP('Critical resources'!Q38,$A$6:$C$57,3,0),0)</f>
        <v>0</v>
      </c>
      <c r="T32" s="68" t="str">
        <f t="shared" si="1"/>
        <v xml:space="preserve">27. </v>
      </c>
      <c r="U32" s="68">
        <f t="shared" ca="1" si="14"/>
        <v>0</v>
      </c>
      <c r="V32" s="68">
        <f t="shared" ca="1" si="14"/>
        <v>0</v>
      </c>
      <c r="W32" s="68">
        <f t="shared" ca="1" si="14"/>
        <v>0</v>
      </c>
      <c r="X32" s="68">
        <f t="shared" ca="1" si="14"/>
        <v>0</v>
      </c>
      <c r="Y32" s="68">
        <f t="shared" ca="1" si="14"/>
        <v>0</v>
      </c>
      <c r="Z32" s="68">
        <f t="shared" ca="1" si="14"/>
        <v>0</v>
      </c>
      <c r="AA32" s="68">
        <f t="shared" ca="1" si="14"/>
        <v>0</v>
      </c>
      <c r="AB32" s="68">
        <f t="shared" ca="1" si="14"/>
        <v>0</v>
      </c>
      <c r="AC32" s="68">
        <f t="shared" ca="1" si="14"/>
        <v>0</v>
      </c>
      <c r="AD32" s="68">
        <f t="shared" ca="1" si="14"/>
        <v>0</v>
      </c>
      <c r="AE32" s="68">
        <f t="shared" ca="1" si="14"/>
        <v>0</v>
      </c>
      <c r="AF32" s="68">
        <f t="shared" ca="1" si="14"/>
        <v>0</v>
      </c>
      <c r="AG32" s="68">
        <f t="shared" ca="1" si="14"/>
        <v>0</v>
      </c>
      <c r="AH32" s="68">
        <f t="shared" ca="1" si="14"/>
        <v>0</v>
      </c>
      <c r="AI32" s="68">
        <f t="shared" ca="1" si="14"/>
        <v>0</v>
      </c>
      <c r="AJ32" s="68">
        <f t="shared" ca="1" si="14"/>
        <v>0</v>
      </c>
      <c r="AK32" s="68">
        <f t="shared" ca="1" si="11"/>
        <v>0</v>
      </c>
      <c r="AL32" s="68">
        <f t="shared" ca="1" si="11"/>
        <v>0</v>
      </c>
      <c r="AM32" s="68">
        <f t="shared" ca="1" si="11"/>
        <v>0</v>
      </c>
      <c r="AN32" s="68">
        <f t="shared" ca="1" si="11"/>
        <v>0</v>
      </c>
      <c r="AO32" s="68">
        <f t="shared" ca="1" si="11"/>
        <v>0</v>
      </c>
      <c r="AP32" s="68">
        <f t="shared" ca="1" si="11"/>
        <v>0</v>
      </c>
      <c r="AQ32" s="68">
        <f t="shared" ca="1" si="11"/>
        <v>0</v>
      </c>
      <c r="AR32" s="68">
        <f t="shared" ca="1" si="11"/>
        <v>0</v>
      </c>
      <c r="AS32" s="68">
        <f t="shared" ca="1" si="11"/>
        <v>0</v>
      </c>
      <c r="AT32" s="68">
        <f t="shared" ca="1" si="11"/>
        <v>0</v>
      </c>
      <c r="AU32" s="68">
        <f t="shared" ca="1" si="11"/>
        <v>0</v>
      </c>
      <c r="AV32" s="68">
        <f t="shared" ca="1" si="11"/>
        <v>0</v>
      </c>
      <c r="AW32" s="68">
        <f t="shared" ca="1" si="11"/>
        <v>0</v>
      </c>
      <c r="AX32" s="68">
        <f t="shared" ca="1" si="11"/>
        <v>0</v>
      </c>
      <c r="AY32" s="68">
        <f t="shared" ca="1" si="11"/>
        <v>0</v>
      </c>
      <c r="AZ32" s="68">
        <f t="shared" ca="1" si="11"/>
        <v>0</v>
      </c>
      <c r="BA32" s="68">
        <f t="shared" ca="1" si="12"/>
        <v>0</v>
      </c>
      <c r="BB32" s="68">
        <f t="shared" ca="1" si="12"/>
        <v>0</v>
      </c>
      <c r="BC32" s="68">
        <f t="shared" ca="1" si="12"/>
        <v>0</v>
      </c>
      <c r="BD32" s="68">
        <f t="shared" ca="1" si="12"/>
        <v>0</v>
      </c>
      <c r="BE32" s="68">
        <f t="shared" ca="1" si="12"/>
        <v>0</v>
      </c>
      <c r="BF32" s="68">
        <f t="shared" ca="1" si="12"/>
        <v>0</v>
      </c>
      <c r="BG32" s="68">
        <f t="shared" ca="1" si="12"/>
        <v>0</v>
      </c>
      <c r="BH32" s="68">
        <f t="shared" ca="1" si="12"/>
        <v>0</v>
      </c>
      <c r="BI32" s="68">
        <f t="shared" ca="1" si="12"/>
        <v>0</v>
      </c>
      <c r="BJ32" s="68">
        <f t="shared" ca="1" si="12"/>
        <v>0</v>
      </c>
      <c r="BK32" s="68">
        <f t="shared" ca="1" si="12"/>
        <v>0</v>
      </c>
      <c r="BL32" s="68">
        <f t="shared" ca="1" si="12"/>
        <v>0</v>
      </c>
      <c r="BM32" s="68">
        <f t="shared" ca="1" si="12"/>
        <v>0</v>
      </c>
      <c r="BN32" s="68">
        <f t="shared" ca="1" si="12"/>
        <v>0</v>
      </c>
      <c r="BO32" s="68">
        <f t="shared" ca="1" si="12"/>
        <v>0</v>
      </c>
      <c r="BP32" s="68">
        <f t="shared" ca="1" si="12"/>
        <v>0</v>
      </c>
      <c r="BQ32" s="68">
        <f t="shared" ca="1" si="13"/>
        <v>0</v>
      </c>
      <c r="BR32" s="68">
        <f t="shared" ca="1" si="13"/>
        <v>0</v>
      </c>
      <c r="BS32" s="68">
        <f t="shared" ca="1" si="13"/>
        <v>0</v>
      </c>
      <c r="BT32" s="68">
        <f t="shared" ca="1" si="13"/>
        <v>0</v>
      </c>
    </row>
    <row r="33" spans="1:72" x14ac:dyDescent="0.2">
      <c r="A33" s="327">
        <f t="shared" ca="1" si="6"/>
        <v>43779</v>
      </c>
      <c r="B33" s="88">
        <f t="shared" ca="1" si="9"/>
        <v>43773</v>
      </c>
      <c r="C33" s="68">
        <v>28</v>
      </c>
      <c r="D33" s="68" t="str">
        <f t="shared" ca="1" si="10"/>
        <v/>
      </c>
      <c r="E33" s="68" t="str">
        <f t="shared" ca="1" si="0"/>
        <v>Nov</v>
      </c>
      <c r="F33" s="68">
        <f t="shared" ca="1" si="7"/>
        <v>45</v>
      </c>
      <c r="G33" s="68" t="str">
        <f>ROW(A28)&amp;". "&amp;'Critical resources'!B39</f>
        <v xml:space="preserve">28. </v>
      </c>
      <c r="H33" s="68">
        <f ca="1">IFERROR(VLOOKUP('Critical resources'!D39,$B$6:$C$57,2,0),0)</f>
        <v>0</v>
      </c>
      <c r="I33" s="68">
        <f ca="1">IFERROR(VLOOKUP('Critical resources'!E39,$A$6:$C$57,3,0),0)</f>
        <v>0</v>
      </c>
      <c r="J33" s="68">
        <f ca="1">IFERROR(VLOOKUP('Critical resources'!G39,$B$6:$C$57,2,0),0)</f>
        <v>0</v>
      </c>
      <c r="K33" s="68">
        <f ca="1">IFERROR(VLOOKUP('Critical resources'!H39,$B$6:$C$57,2,0),0)</f>
        <v>0</v>
      </c>
      <c r="L33" s="68">
        <f ca="1">IFERROR(VLOOKUP('Critical resources'!J39,$B$6:$C$57,2,0),0)</f>
        <v>0</v>
      </c>
      <c r="M33" s="68">
        <f ca="1">IFERROR(VLOOKUP('Critical resources'!K39,$A$6:$C$57,3,0),0)</f>
        <v>0</v>
      </c>
      <c r="N33" s="68">
        <f ca="1">IFERROR(VLOOKUP('Critical resources'!M39,$B$6:$C$57,2,0),0)</f>
        <v>0</v>
      </c>
      <c r="O33" s="68">
        <f ca="1">IFERROR(VLOOKUP('Critical resources'!N39,$A$6:$C$57,3,0),0)</f>
        <v>0</v>
      </c>
      <c r="P33" s="68">
        <f ca="1">IFERROR(VLOOKUP('Critical resources'!P39,$B$6:$C$57,2,0),0)</f>
        <v>0</v>
      </c>
      <c r="Q33" s="68">
        <f ca="1">IFERROR(VLOOKUP('Critical resources'!Q39,$A$6:$C$57,3,0),0)</f>
        <v>0</v>
      </c>
      <c r="T33" s="68" t="str">
        <f t="shared" si="1"/>
        <v xml:space="preserve">28. </v>
      </c>
      <c r="U33" s="68">
        <f t="shared" ca="1" si="14"/>
        <v>0</v>
      </c>
      <c r="V33" s="68">
        <f t="shared" ca="1" si="14"/>
        <v>0</v>
      </c>
      <c r="W33" s="68">
        <f t="shared" ca="1" si="14"/>
        <v>0</v>
      </c>
      <c r="X33" s="68">
        <f t="shared" ca="1" si="14"/>
        <v>0</v>
      </c>
      <c r="Y33" s="68">
        <f t="shared" ca="1" si="14"/>
        <v>0</v>
      </c>
      <c r="Z33" s="68">
        <f t="shared" ca="1" si="14"/>
        <v>0</v>
      </c>
      <c r="AA33" s="68">
        <f t="shared" ca="1" si="14"/>
        <v>0</v>
      </c>
      <c r="AB33" s="68">
        <f t="shared" ca="1" si="14"/>
        <v>0</v>
      </c>
      <c r="AC33" s="68">
        <f t="shared" ca="1" si="14"/>
        <v>0</v>
      </c>
      <c r="AD33" s="68">
        <f t="shared" ca="1" si="14"/>
        <v>0</v>
      </c>
      <c r="AE33" s="68">
        <f t="shared" ca="1" si="14"/>
        <v>0</v>
      </c>
      <c r="AF33" s="68">
        <f t="shared" ca="1" si="14"/>
        <v>0</v>
      </c>
      <c r="AG33" s="68">
        <f t="shared" ca="1" si="14"/>
        <v>0</v>
      </c>
      <c r="AH33" s="68">
        <f t="shared" ca="1" si="14"/>
        <v>0</v>
      </c>
      <c r="AI33" s="68">
        <f t="shared" ca="1" si="14"/>
        <v>0</v>
      </c>
      <c r="AJ33" s="68">
        <f t="shared" ca="1" si="14"/>
        <v>0</v>
      </c>
      <c r="AK33" s="68">
        <f t="shared" ca="1" si="11"/>
        <v>0</v>
      </c>
      <c r="AL33" s="68">
        <f t="shared" ca="1" si="11"/>
        <v>0</v>
      </c>
      <c r="AM33" s="68">
        <f t="shared" ca="1" si="11"/>
        <v>0</v>
      </c>
      <c r="AN33" s="68">
        <f t="shared" ca="1" si="11"/>
        <v>0</v>
      </c>
      <c r="AO33" s="68">
        <f t="shared" ca="1" si="11"/>
        <v>0</v>
      </c>
      <c r="AP33" s="68">
        <f t="shared" ca="1" si="11"/>
        <v>0</v>
      </c>
      <c r="AQ33" s="68">
        <f t="shared" ca="1" si="11"/>
        <v>0</v>
      </c>
      <c r="AR33" s="68">
        <f t="shared" ca="1" si="11"/>
        <v>0</v>
      </c>
      <c r="AS33" s="68">
        <f t="shared" ca="1" si="11"/>
        <v>0</v>
      </c>
      <c r="AT33" s="68">
        <f t="shared" ca="1" si="11"/>
        <v>0</v>
      </c>
      <c r="AU33" s="68">
        <f t="shared" ca="1" si="11"/>
        <v>0</v>
      </c>
      <c r="AV33" s="68">
        <f t="shared" ca="1" si="11"/>
        <v>0</v>
      </c>
      <c r="AW33" s="68">
        <f t="shared" ca="1" si="11"/>
        <v>0</v>
      </c>
      <c r="AX33" s="68">
        <f t="shared" ca="1" si="11"/>
        <v>0</v>
      </c>
      <c r="AY33" s="68">
        <f t="shared" ca="1" si="11"/>
        <v>0</v>
      </c>
      <c r="AZ33" s="68">
        <f t="shared" ca="1" si="11"/>
        <v>0</v>
      </c>
      <c r="BA33" s="68">
        <f t="shared" ca="1" si="12"/>
        <v>0</v>
      </c>
      <c r="BB33" s="68">
        <f t="shared" ca="1" si="12"/>
        <v>0</v>
      </c>
      <c r="BC33" s="68">
        <f t="shared" ca="1" si="12"/>
        <v>0</v>
      </c>
      <c r="BD33" s="68">
        <f t="shared" ca="1" si="12"/>
        <v>0</v>
      </c>
      <c r="BE33" s="68">
        <f t="shared" ca="1" si="12"/>
        <v>0</v>
      </c>
      <c r="BF33" s="68">
        <f t="shared" ca="1" si="12"/>
        <v>0</v>
      </c>
      <c r="BG33" s="68">
        <f t="shared" ca="1" si="12"/>
        <v>0</v>
      </c>
      <c r="BH33" s="68">
        <f t="shared" ca="1" si="12"/>
        <v>0</v>
      </c>
      <c r="BI33" s="68">
        <f t="shared" ca="1" si="12"/>
        <v>0</v>
      </c>
      <c r="BJ33" s="68">
        <f t="shared" ca="1" si="12"/>
        <v>0</v>
      </c>
      <c r="BK33" s="68">
        <f t="shared" ca="1" si="12"/>
        <v>0</v>
      </c>
      <c r="BL33" s="68">
        <f t="shared" ca="1" si="12"/>
        <v>0</v>
      </c>
      <c r="BM33" s="68">
        <f t="shared" ca="1" si="12"/>
        <v>0</v>
      </c>
      <c r="BN33" s="68">
        <f t="shared" ca="1" si="12"/>
        <v>0</v>
      </c>
      <c r="BO33" s="68">
        <f t="shared" ca="1" si="12"/>
        <v>0</v>
      </c>
      <c r="BP33" s="68">
        <f t="shared" ca="1" si="12"/>
        <v>0</v>
      </c>
      <c r="BQ33" s="68">
        <f t="shared" ca="1" si="13"/>
        <v>0</v>
      </c>
      <c r="BR33" s="68">
        <f t="shared" ca="1" si="13"/>
        <v>0</v>
      </c>
      <c r="BS33" s="68">
        <f t="shared" ca="1" si="13"/>
        <v>0</v>
      </c>
      <c r="BT33" s="68">
        <f t="shared" ca="1" si="13"/>
        <v>0</v>
      </c>
    </row>
    <row r="34" spans="1:72" x14ac:dyDescent="0.2">
      <c r="A34" s="327">
        <f t="shared" ca="1" si="6"/>
        <v>43786</v>
      </c>
      <c r="B34" s="88">
        <f t="shared" ca="1" si="9"/>
        <v>43780</v>
      </c>
      <c r="C34" s="68">
        <v>29</v>
      </c>
      <c r="D34" s="68" t="str">
        <f t="shared" ca="1" si="10"/>
        <v/>
      </c>
      <c r="E34" s="68" t="str">
        <f t="shared" ca="1" si="0"/>
        <v xml:space="preserve"> </v>
      </c>
      <c r="F34" s="68">
        <f t="shared" ca="1" si="7"/>
        <v>46</v>
      </c>
      <c r="G34" s="68" t="str">
        <f>ROW(A29)&amp;". "&amp;'Critical resources'!B40</f>
        <v xml:space="preserve">29. </v>
      </c>
      <c r="H34" s="68">
        <f ca="1">IFERROR(VLOOKUP('Critical resources'!D40,$B$6:$C$57,2,0),0)</f>
        <v>0</v>
      </c>
      <c r="I34" s="68">
        <f ca="1">IFERROR(VLOOKUP('Critical resources'!E40,$A$6:$C$57,3,0),0)</f>
        <v>0</v>
      </c>
      <c r="J34" s="68">
        <f ca="1">IFERROR(VLOOKUP('Critical resources'!G40,$B$6:$C$57,2,0),0)</f>
        <v>0</v>
      </c>
      <c r="K34" s="68">
        <f ca="1">IFERROR(VLOOKUP('Critical resources'!H40,$B$6:$C$57,2,0),0)</f>
        <v>0</v>
      </c>
      <c r="L34" s="68">
        <f ca="1">IFERROR(VLOOKUP('Critical resources'!J40,$B$6:$C$57,2,0),0)</f>
        <v>0</v>
      </c>
      <c r="M34" s="68">
        <f ca="1">IFERROR(VLOOKUP('Critical resources'!K40,$A$6:$C$57,3,0),0)</f>
        <v>0</v>
      </c>
      <c r="N34" s="68">
        <f ca="1">IFERROR(VLOOKUP('Critical resources'!M40,$B$6:$C$57,2,0),0)</f>
        <v>0</v>
      </c>
      <c r="O34" s="68">
        <f ca="1">IFERROR(VLOOKUP('Critical resources'!N40,$A$6:$C$57,3,0),0)</f>
        <v>0</v>
      </c>
      <c r="P34" s="68">
        <f ca="1">IFERROR(VLOOKUP('Critical resources'!P40,$B$6:$C$57,2,0),0)</f>
        <v>0</v>
      </c>
      <c r="Q34" s="68">
        <f ca="1">IFERROR(VLOOKUP('Critical resources'!Q40,$A$6:$C$57,3,0),0)</f>
        <v>0</v>
      </c>
      <c r="T34" s="68" t="str">
        <f t="shared" si="1"/>
        <v xml:space="preserve">29. </v>
      </c>
      <c r="U34" s="68">
        <f t="shared" ca="1" si="14"/>
        <v>0</v>
      </c>
      <c r="V34" s="68">
        <f t="shared" ca="1" si="14"/>
        <v>0</v>
      </c>
      <c r="W34" s="68">
        <f t="shared" ca="1" si="14"/>
        <v>0</v>
      </c>
      <c r="X34" s="68">
        <f t="shared" ca="1" si="14"/>
        <v>0</v>
      </c>
      <c r="Y34" s="68">
        <f t="shared" ca="1" si="14"/>
        <v>0</v>
      </c>
      <c r="Z34" s="68">
        <f t="shared" ca="1" si="14"/>
        <v>0</v>
      </c>
      <c r="AA34" s="68">
        <f t="shared" ca="1" si="14"/>
        <v>0</v>
      </c>
      <c r="AB34" s="68">
        <f t="shared" ca="1" si="14"/>
        <v>0</v>
      </c>
      <c r="AC34" s="68">
        <f t="shared" ca="1" si="14"/>
        <v>0</v>
      </c>
      <c r="AD34" s="68">
        <f t="shared" ca="1" si="14"/>
        <v>0</v>
      </c>
      <c r="AE34" s="68">
        <f t="shared" ca="1" si="14"/>
        <v>0</v>
      </c>
      <c r="AF34" s="68">
        <f t="shared" ca="1" si="14"/>
        <v>0</v>
      </c>
      <c r="AG34" s="68">
        <f t="shared" ca="1" si="14"/>
        <v>0</v>
      </c>
      <c r="AH34" s="68">
        <f t="shared" ca="1" si="14"/>
        <v>0</v>
      </c>
      <c r="AI34" s="68">
        <f t="shared" ca="1" si="14"/>
        <v>0</v>
      </c>
      <c r="AJ34" s="68">
        <f t="shared" ca="1" si="14"/>
        <v>0</v>
      </c>
      <c r="AK34" s="68">
        <f t="shared" ca="1" si="11"/>
        <v>0</v>
      </c>
      <c r="AL34" s="68">
        <f t="shared" ca="1" si="11"/>
        <v>0</v>
      </c>
      <c r="AM34" s="68">
        <f t="shared" ca="1" si="11"/>
        <v>0</v>
      </c>
      <c r="AN34" s="68">
        <f t="shared" ca="1" si="11"/>
        <v>0</v>
      </c>
      <c r="AO34" s="68">
        <f t="shared" ca="1" si="11"/>
        <v>0</v>
      </c>
      <c r="AP34" s="68">
        <f t="shared" ca="1" si="11"/>
        <v>0</v>
      </c>
      <c r="AQ34" s="68">
        <f t="shared" ca="1" si="11"/>
        <v>0</v>
      </c>
      <c r="AR34" s="68">
        <f t="shared" ca="1" si="11"/>
        <v>0</v>
      </c>
      <c r="AS34" s="68">
        <f t="shared" ca="1" si="11"/>
        <v>0</v>
      </c>
      <c r="AT34" s="68">
        <f t="shared" ca="1" si="11"/>
        <v>0</v>
      </c>
      <c r="AU34" s="68">
        <f t="shared" ca="1" si="11"/>
        <v>0</v>
      </c>
      <c r="AV34" s="68">
        <f t="shared" ca="1" si="11"/>
        <v>0</v>
      </c>
      <c r="AW34" s="68">
        <f t="shared" ca="1" si="11"/>
        <v>0</v>
      </c>
      <c r="AX34" s="68">
        <f t="shared" ca="1" si="11"/>
        <v>0</v>
      </c>
      <c r="AY34" s="68">
        <f t="shared" ca="1" si="11"/>
        <v>0</v>
      </c>
      <c r="AZ34" s="68">
        <f t="shared" ca="1" si="11"/>
        <v>0</v>
      </c>
      <c r="BA34" s="68">
        <f t="shared" ca="1" si="12"/>
        <v>0</v>
      </c>
      <c r="BB34" s="68">
        <f t="shared" ca="1" si="12"/>
        <v>0</v>
      </c>
      <c r="BC34" s="68">
        <f t="shared" ca="1" si="12"/>
        <v>0</v>
      </c>
      <c r="BD34" s="68">
        <f t="shared" ca="1" si="12"/>
        <v>0</v>
      </c>
      <c r="BE34" s="68">
        <f t="shared" ca="1" si="12"/>
        <v>0</v>
      </c>
      <c r="BF34" s="68">
        <f t="shared" ca="1" si="12"/>
        <v>0</v>
      </c>
      <c r="BG34" s="68">
        <f t="shared" ca="1" si="12"/>
        <v>0</v>
      </c>
      <c r="BH34" s="68">
        <f t="shared" ca="1" si="12"/>
        <v>0</v>
      </c>
      <c r="BI34" s="68">
        <f t="shared" ca="1" si="12"/>
        <v>0</v>
      </c>
      <c r="BJ34" s="68">
        <f t="shared" ca="1" si="12"/>
        <v>0</v>
      </c>
      <c r="BK34" s="68">
        <f t="shared" ca="1" si="12"/>
        <v>0</v>
      </c>
      <c r="BL34" s="68">
        <f t="shared" ca="1" si="12"/>
        <v>0</v>
      </c>
      <c r="BM34" s="68">
        <f t="shared" ca="1" si="12"/>
        <v>0</v>
      </c>
      <c r="BN34" s="68">
        <f t="shared" ca="1" si="12"/>
        <v>0</v>
      </c>
      <c r="BO34" s="68">
        <f t="shared" ca="1" si="12"/>
        <v>0</v>
      </c>
      <c r="BP34" s="68">
        <f t="shared" ca="1" si="12"/>
        <v>0</v>
      </c>
      <c r="BQ34" s="68">
        <f t="shared" ca="1" si="13"/>
        <v>0</v>
      </c>
      <c r="BR34" s="68">
        <f t="shared" ca="1" si="13"/>
        <v>0</v>
      </c>
      <c r="BS34" s="68">
        <f t="shared" ca="1" si="13"/>
        <v>0</v>
      </c>
      <c r="BT34" s="68">
        <f t="shared" ca="1" si="13"/>
        <v>0</v>
      </c>
    </row>
    <row r="35" spans="1:72" x14ac:dyDescent="0.2">
      <c r="A35" s="327">
        <f t="shared" ca="1" si="6"/>
        <v>43793</v>
      </c>
      <c r="B35" s="88">
        <f t="shared" ca="1" si="9"/>
        <v>43787</v>
      </c>
      <c r="C35" s="68">
        <v>30</v>
      </c>
      <c r="D35" s="68" t="str">
        <f t="shared" ca="1" si="10"/>
        <v/>
      </c>
      <c r="E35" s="68" t="str">
        <f t="shared" ca="1" si="0"/>
        <v xml:space="preserve"> </v>
      </c>
      <c r="F35" s="68">
        <f t="shared" ca="1" si="7"/>
        <v>47</v>
      </c>
      <c r="G35" s="68" t="str">
        <f>ROW(A30)&amp;". "&amp;'Critical resources'!B41</f>
        <v xml:space="preserve">30. </v>
      </c>
      <c r="H35" s="68">
        <f ca="1">IFERROR(VLOOKUP('Critical resources'!D41,$B$6:$C$57,2,0),0)</f>
        <v>0</v>
      </c>
      <c r="I35" s="68">
        <f ca="1">IFERROR(VLOOKUP('Critical resources'!E41,$A$6:$C$57,3,0),0)</f>
        <v>0</v>
      </c>
      <c r="J35" s="68">
        <f ca="1">IFERROR(VLOOKUP('Critical resources'!G41,$B$6:$C$57,2,0),0)</f>
        <v>0</v>
      </c>
      <c r="K35" s="68">
        <f ca="1">IFERROR(VLOOKUP('Critical resources'!H41,$B$6:$C$57,2,0),0)</f>
        <v>0</v>
      </c>
      <c r="L35" s="68">
        <f ca="1">IFERROR(VLOOKUP('Critical resources'!J41,$B$6:$C$57,2,0),0)</f>
        <v>0</v>
      </c>
      <c r="M35" s="68">
        <f ca="1">IFERROR(VLOOKUP('Critical resources'!K41,$A$6:$C$57,3,0),0)</f>
        <v>0</v>
      </c>
      <c r="N35" s="68">
        <f ca="1">IFERROR(VLOOKUP('Critical resources'!M41,$B$6:$C$57,2,0),0)</f>
        <v>0</v>
      </c>
      <c r="O35" s="68">
        <f ca="1">IFERROR(VLOOKUP('Critical resources'!N41,$A$6:$C$57,3,0),0)</f>
        <v>0</v>
      </c>
      <c r="P35" s="68">
        <f ca="1">IFERROR(VLOOKUP('Critical resources'!P41,$B$6:$C$57,2,0),0)</f>
        <v>0</v>
      </c>
      <c r="Q35" s="68">
        <f ca="1">IFERROR(VLOOKUP('Critical resources'!Q41,$A$6:$C$57,3,0),0)</f>
        <v>0</v>
      </c>
      <c r="T35" s="68" t="str">
        <f t="shared" si="1"/>
        <v xml:space="preserve">30. </v>
      </c>
      <c r="U35" s="68">
        <f t="shared" ca="1" si="14"/>
        <v>0</v>
      </c>
      <c r="V35" s="68">
        <f t="shared" ca="1" si="14"/>
        <v>0</v>
      </c>
      <c r="W35" s="68">
        <f t="shared" ca="1" si="14"/>
        <v>0</v>
      </c>
      <c r="X35" s="68">
        <f t="shared" ca="1" si="14"/>
        <v>0</v>
      </c>
      <c r="Y35" s="68">
        <f t="shared" ca="1" si="14"/>
        <v>0</v>
      </c>
      <c r="Z35" s="68">
        <f t="shared" ca="1" si="14"/>
        <v>0</v>
      </c>
      <c r="AA35" s="68">
        <f t="shared" ca="1" si="14"/>
        <v>0</v>
      </c>
      <c r="AB35" s="68">
        <f t="shared" ca="1" si="14"/>
        <v>0</v>
      </c>
      <c r="AC35" s="68">
        <f t="shared" ca="1" si="14"/>
        <v>0</v>
      </c>
      <c r="AD35" s="68">
        <f t="shared" ca="1" si="14"/>
        <v>0</v>
      </c>
      <c r="AE35" s="68">
        <f t="shared" ca="1" si="14"/>
        <v>0</v>
      </c>
      <c r="AF35" s="68">
        <f t="shared" ca="1" si="14"/>
        <v>0</v>
      </c>
      <c r="AG35" s="68">
        <f t="shared" ca="1" si="14"/>
        <v>0</v>
      </c>
      <c r="AH35" s="68">
        <f t="shared" ca="1" si="14"/>
        <v>0</v>
      </c>
      <c r="AI35" s="68">
        <f t="shared" ca="1" si="14"/>
        <v>0</v>
      </c>
      <c r="AJ35" s="68">
        <f t="shared" ca="1" si="14"/>
        <v>0</v>
      </c>
      <c r="AK35" s="68">
        <f t="shared" ca="1" si="11"/>
        <v>0</v>
      </c>
      <c r="AL35" s="68">
        <f t="shared" ca="1" si="11"/>
        <v>0</v>
      </c>
      <c r="AM35" s="68">
        <f t="shared" ca="1" si="11"/>
        <v>0</v>
      </c>
      <c r="AN35" s="68">
        <f t="shared" ca="1" si="11"/>
        <v>0</v>
      </c>
      <c r="AO35" s="68">
        <f t="shared" ca="1" si="11"/>
        <v>0</v>
      </c>
      <c r="AP35" s="68">
        <f t="shared" ca="1" si="11"/>
        <v>0</v>
      </c>
      <c r="AQ35" s="68">
        <f t="shared" ca="1" si="11"/>
        <v>0</v>
      </c>
      <c r="AR35" s="68">
        <f t="shared" ca="1" si="11"/>
        <v>0</v>
      </c>
      <c r="AS35" s="68">
        <f t="shared" ca="1" si="11"/>
        <v>0</v>
      </c>
      <c r="AT35" s="68">
        <f t="shared" ca="1" si="11"/>
        <v>0</v>
      </c>
      <c r="AU35" s="68">
        <f t="shared" ca="1" si="11"/>
        <v>0</v>
      </c>
      <c r="AV35" s="68">
        <f t="shared" ca="1" si="11"/>
        <v>0</v>
      </c>
      <c r="AW35" s="68">
        <f t="shared" ca="1" si="11"/>
        <v>0</v>
      </c>
      <c r="AX35" s="68">
        <f t="shared" ca="1" si="11"/>
        <v>0</v>
      </c>
      <c r="AY35" s="68">
        <f t="shared" ca="1" si="11"/>
        <v>0</v>
      </c>
      <c r="AZ35" s="68">
        <f t="shared" ca="1" si="11"/>
        <v>0</v>
      </c>
      <c r="BA35" s="68">
        <f t="shared" ca="1" si="12"/>
        <v>0</v>
      </c>
      <c r="BB35" s="68">
        <f t="shared" ca="1" si="12"/>
        <v>0</v>
      </c>
      <c r="BC35" s="68">
        <f t="shared" ca="1" si="12"/>
        <v>0</v>
      </c>
      <c r="BD35" s="68">
        <f t="shared" ca="1" si="12"/>
        <v>0</v>
      </c>
      <c r="BE35" s="68">
        <f t="shared" ca="1" si="12"/>
        <v>0</v>
      </c>
      <c r="BF35" s="68">
        <f t="shared" ca="1" si="12"/>
        <v>0</v>
      </c>
      <c r="BG35" s="68">
        <f t="shared" ca="1" si="12"/>
        <v>0</v>
      </c>
      <c r="BH35" s="68">
        <f t="shared" ca="1" si="12"/>
        <v>0</v>
      </c>
      <c r="BI35" s="68">
        <f t="shared" ca="1" si="12"/>
        <v>0</v>
      </c>
      <c r="BJ35" s="68">
        <f t="shared" ca="1" si="12"/>
        <v>0</v>
      </c>
      <c r="BK35" s="68">
        <f t="shared" ca="1" si="12"/>
        <v>0</v>
      </c>
      <c r="BL35" s="68">
        <f t="shared" ca="1" si="12"/>
        <v>0</v>
      </c>
      <c r="BM35" s="68">
        <f t="shared" ca="1" si="12"/>
        <v>0</v>
      </c>
      <c r="BN35" s="68">
        <f t="shared" ca="1" si="12"/>
        <v>0</v>
      </c>
      <c r="BO35" s="68">
        <f t="shared" ca="1" si="12"/>
        <v>0</v>
      </c>
      <c r="BP35" s="68">
        <f t="shared" ca="1" si="12"/>
        <v>0</v>
      </c>
      <c r="BQ35" s="68">
        <f t="shared" ca="1" si="13"/>
        <v>0</v>
      </c>
      <c r="BR35" s="68">
        <f t="shared" ca="1" si="13"/>
        <v>0</v>
      </c>
      <c r="BS35" s="68">
        <f t="shared" ca="1" si="13"/>
        <v>0</v>
      </c>
      <c r="BT35" s="68">
        <f t="shared" ca="1" si="13"/>
        <v>0</v>
      </c>
    </row>
    <row r="36" spans="1:72" x14ac:dyDescent="0.2">
      <c r="A36" s="327">
        <f t="shared" ca="1" si="6"/>
        <v>43800</v>
      </c>
      <c r="B36" s="88">
        <f t="shared" ca="1" si="9"/>
        <v>43794</v>
      </c>
      <c r="C36" s="68">
        <v>31</v>
      </c>
      <c r="D36" s="68" t="str">
        <f t="shared" ca="1" si="10"/>
        <v/>
      </c>
      <c r="E36" s="68" t="str">
        <f t="shared" ca="1" si="0"/>
        <v xml:space="preserve"> </v>
      </c>
      <c r="F36" s="68">
        <f t="shared" ca="1" si="7"/>
        <v>48</v>
      </c>
      <c r="G36" s="68" t="str">
        <f>ROW(A31)&amp;". "&amp;'Critical resources'!B42</f>
        <v xml:space="preserve">31. </v>
      </c>
      <c r="H36" s="68">
        <f ca="1">IFERROR(VLOOKUP('Critical resources'!D42,$B$6:$C$57,2,0),0)</f>
        <v>0</v>
      </c>
      <c r="I36" s="68">
        <f ca="1">IFERROR(VLOOKUP('Critical resources'!E42,$A$6:$C$57,3,0),0)</f>
        <v>0</v>
      </c>
      <c r="J36" s="68">
        <f ca="1">IFERROR(VLOOKUP('Critical resources'!G42,$B$6:$C$57,2,0),0)</f>
        <v>0</v>
      </c>
      <c r="K36" s="68">
        <f ca="1">IFERROR(VLOOKUP('Critical resources'!H42,$B$6:$C$57,2,0),0)</f>
        <v>0</v>
      </c>
      <c r="L36" s="68">
        <f ca="1">IFERROR(VLOOKUP('Critical resources'!J42,$B$6:$C$57,2,0),0)</f>
        <v>0</v>
      </c>
      <c r="M36" s="68">
        <f ca="1">IFERROR(VLOOKUP('Critical resources'!K42,$A$6:$C$57,3,0),0)</f>
        <v>0</v>
      </c>
      <c r="N36" s="68">
        <f ca="1">IFERROR(VLOOKUP('Critical resources'!M42,$B$6:$C$57,2,0),0)</f>
        <v>0</v>
      </c>
      <c r="O36" s="68">
        <f ca="1">IFERROR(VLOOKUP('Critical resources'!N42,$A$6:$C$57,3,0),0)</f>
        <v>0</v>
      </c>
      <c r="P36" s="68">
        <f ca="1">IFERROR(VLOOKUP('Critical resources'!P42,$B$6:$C$57,2,0),0)</f>
        <v>0</v>
      </c>
      <c r="Q36" s="68">
        <f ca="1">IFERROR(VLOOKUP('Critical resources'!Q42,$A$6:$C$57,3,0),0)</f>
        <v>0</v>
      </c>
      <c r="T36" s="68" t="str">
        <f t="shared" si="1"/>
        <v xml:space="preserve">31. </v>
      </c>
      <c r="U36" s="68">
        <f t="shared" ca="1" si="14"/>
        <v>0</v>
      </c>
      <c r="V36" s="68">
        <f t="shared" ca="1" si="14"/>
        <v>0</v>
      </c>
      <c r="W36" s="68">
        <f t="shared" ca="1" si="14"/>
        <v>0</v>
      </c>
      <c r="X36" s="68">
        <f t="shared" ca="1" si="14"/>
        <v>0</v>
      </c>
      <c r="Y36" s="68">
        <f t="shared" ca="1" si="14"/>
        <v>0</v>
      </c>
      <c r="Z36" s="68">
        <f t="shared" ca="1" si="14"/>
        <v>0</v>
      </c>
      <c r="AA36" s="68">
        <f t="shared" ca="1" si="14"/>
        <v>0</v>
      </c>
      <c r="AB36" s="68">
        <f t="shared" ca="1" si="14"/>
        <v>0</v>
      </c>
      <c r="AC36" s="68">
        <f t="shared" ca="1" si="14"/>
        <v>0</v>
      </c>
      <c r="AD36" s="68">
        <f t="shared" ca="1" si="14"/>
        <v>0</v>
      </c>
      <c r="AE36" s="68">
        <f t="shared" ca="1" si="14"/>
        <v>0</v>
      </c>
      <c r="AF36" s="68">
        <f t="shared" ca="1" si="14"/>
        <v>0</v>
      </c>
      <c r="AG36" s="68">
        <f t="shared" ca="1" si="14"/>
        <v>0</v>
      </c>
      <c r="AH36" s="68">
        <f t="shared" ca="1" si="14"/>
        <v>0</v>
      </c>
      <c r="AI36" s="68">
        <f t="shared" ca="1" si="14"/>
        <v>0</v>
      </c>
      <c r="AJ36" s="68">
        <f t="shared" ca="1" si="14"/>
        <v>0</v>
      </c>
      <c r="AK36" s="68">
        <f t="shared" ca="1" si="11"/>
        <v>0</v>
      </c>
      <c r="AL36" s="68">
        <f t="shared" ca="1" si="11"/>
        <v>0</v>
      </c>
      <c r="AM36" s="68">
        <f t="shared" ca="1" si="11"/>
        <v>0</v>
      </c>
      <c r="AN36" s="68">
        <f t="shared" ca="1" si="11"/>
        <v>0</v>
      </c>
      <c r="AO36" s="68">
        <f t="shared" ca="1" si="11"/>
        <v>0</v>
      </c>
      <c r="AP36" s="68">
        <f t="shared" ca="1" si="11"/>
        <v>0</v>
      </c>
      <c r="AQ36" s="68">
        <f t="shared" ca="1" si="11"/>
        <v>0</v>
      </c>
      <c r="AR36" s="68">
        <f t="shared" ca="1" si="11"/>
        <v>0</v>
      </c>
      <c r="AS36" s="68">
        <f t="shared" ca="1" si="11"/>
        <v>0</v>
      </c>
      <c r="AT36" s="68">
        <f t="shared" ca="1" si="11"/>
        <v>0</v>
      </c>
      <c r="AU36" s="68">
        <f t="shared" ca="1" si="11"/>
        <v>0</v>
      </c>
      <c r="AV36" s="68">
        <f t="shared" ca="1" si="11"/>
        <v>0</v>
      </c>
      <c r="AW36" s="68">
        <f t="shared" ca="1" si="11"/>
        <v>0</v>
      </c>
      <c r="AX36" s="68">
        <f t="shared" ca="1" si="11"/>
        <v>0</v>
      </c>
      <c r="AY36" s="68">
        <f t="shared" ca="1" si="11"/>
        <v>0</v>
      </c>
      <c r="AZ36" s="68">
        <f t="shared" ca="1" si="11"/>
        <v>0</v>
      </c>
      <c r="BA36" s="68">
        <f t="shared" ca="1" si="12"/>
        <v>0</v>
      </c>
      <c r="BB36" s="68">
        <f t="shared" ca="1" si="12"/>
        <v>0</v>
      </c>
      <c r="BC36" s="68">
        <f t="shared" ca="1" si="12"/>
        <v>0</v>
      </c>
      <c r="BD36" s="68">
        <f t="shared" ca="1" si="12"/>
        <v>0</v>
      </c>
      <c r="BE36" s="68">
        <f t="shared" ca="1" si="12"/>
        <v>0</v>
      </c>
      <c r="BF36" s="68">
        <f t="shared" ca="1" si="12"/>
        <v>0</v>
      </c>
      <c r="BG36" s="68">
        <f t="shared" ca="1" si="12"/>
        <v>0</v>
      </c>
      <c r="BH36" s="68">
        <f t="shared" ca="1" si="12"/>
        <v>0</v>
      </c>
      <c r="BI36" s="68">
        <f t="shared" ca="1" si="12"/>
        <v>0</v>
      </c>
      <c r="BJ36" s="68">
        <f t="shared" ca="1" si="12"/>
        <v>0</v>
      </c>
      <c r="BK36" s="68">
        <f t="shared" ca="1" si="12"/>
        <v>0</v>
      </c>
      <c r="BL36" s="68">
        <f t="shared" ca="1" si="12"/>
        <v>0</v>
      </c>
      <c r="BM36" s="68">
        <f t="shared" ca="1" si="12"/>
        <v>0</v>
      </c>
      <c r="BN36" s="68">
        <f t="shared" ca="1" si="12"/>
        <v>0</v>
      </c>
      <c r="BO36" s="68">
        <f t="shared" ca="1" si="12"/>
        <v>0</v>
      </c>
      <c r="BP36" s="68">
        <f t="shared" ca="1" si="12"/>
        <v>0</v>
      </c>
      <c r="BQ36" s="68">
        <f t="shared" ca="1" si="13"/>
        <v>0</v>
      </c>
      <c r="BR36" s="68">
        <f t="shared" ca="1" si="13"/>
        <v>0</v>
      </c>
      <c r="BS36" s="68">
        <f t="shared" ca="1" si="13"/>
        <v>0</v>
      </c>
      <c r="BT36" s="68">
        <f t="shared" ca="1" si="13"/>
        <v>0</v>
      </c>
    </row>
    <row r="37" spans="1:72" x14ac:dyDescent="0.2">
      <c r="A37" s="327">
        <f t="shared" ca="1" si="6"/>
        <v>43807</v>
      </c>
      <c r="B37" s="88">
        <f t="shared" ca="1" si="9"/>
        <v>43801</v>
      </c>
      <c r="C37" s="68">
        <v>32</v>
      </c>
      <c r="D37" s="68" t="str">
        <f t="shared" ca="1" si="10"/>
        <v/>
      </c>
      <c r="E37" s="68" t="str">
        <f t="shared" ca="1" si="0"/>
        <v>Dec</v>
      </c>
      <c r="F37" s="68">
        <f t="shared" ca="1" si="7"/>
        <v>49</v>
      </c>
      <c r="G37" s="68" t="str">
        <f>ROW(A32)&amp;". "&amp;'Critical resources'!B43</f>
        <v xml:space="preserve">32. </v>
      </c>
      <c r="H37" s="68">
        <f ca="1">IFERROR(VLOOKUP('Critical resources'!D43,$B$6:$C$57,2,0),0)</f>
        <v>0</v>
      </c>
      <c r="I37" s="68">
        <f ca="1">IFERROR(VLOOKUP('Critical resources'!E43,$A$6:$C$57,3,0),0)</f>
        <v>0</v>
      </c>
      <c r="J37" s="68">
        <f ca="1">IFERROR(VLOOKUP('Critical resources'!G43,$B$6:$C$57,2,0),0)</f>
        <v>0</v>
      </c>
      <c r="K37" s="68">
        <f ca="1">IFERROR(VLOOKUP('Critical resources'!H43,$B$6:$C$57,2,0),0)</f>
        <v>0</v>
      </c>
      <c r="L37" s="68">
        <f ca="1">IFERROR(VLOOKUP('Critical resources'!J43,$B$6:$C$57,2,0),0)</f>
        <v>0</v>
      </c>
      <c r="M37" s="68">
        <f ca="1">IFERROR(VLOOKUP('Critical resources'!K43,$A$6:$C$57,3,0),0)</f>
        <v>0</v>
      </c>
      <c r="N37" s="68">
        <f ca="1">IFERROR(VLOOKUP('Critical resources'!M43,$B$6:$C$57,2,0),0)</f>
        <v>0</v>
      </c>
      <c r="O37" s="68">
        <f ca="1">IFERROR(VLOOKUP('Critical resources'!N43,$A$6:$C$57,3,0),0)</f>
        <v>0</v>
      </c>
      <c r="P37" s="68">
        <f ca="1">IFERROR(VLOOKUP('Critical resources'!P43,$B$6:$C$57,2,0),0)</f>
        <v>0</v>
      </c>
      <c r="Q37" s="68">
        <f ca="1">IFERROR(VLOOKUP('Critical resources'!Q43,$A$6:$C$57,3,0),0)</f>
        <v>0</v>
      </c>
      <c r="T37" s="68" t="str">
        <f t="shared" si="1"/>
        <v xml:space="preserve">32. </v>
      </c>
      <c r="U37" s="68">
        <f t="shared" ca="1" si="14"/>
        <v>0</v>
      </c>
      <c r="V37" s="68">
        <f t="shared" ca="1" si="14"/>
        <v>0</v>
      </c>
      <c r="W37" s="68">
        <f t="shared" ca="1" si="14"/>
        <v>0</v>
      </c>
      <c r="X37" s="68">
        <f t="shared" ca="1" si="14"/>
        <v>0</v>
      </c>
      <c r="Y37" s="68">
        <f t="shared" ca="1" si="14"/>
        <v>0</v>
      </c>
      <c r="Z37" s="68">
        <f t="shared" ca="1" si="14"/>
        <v>0</v>
      </c>
      <c r="AA37" s="68">
        <f t="shared" ca="1" si="14"/>
        <v>0</v>
      </c>
      <c r="AB37" s="68">
        <f t="shared" ca="1" si="14"/>
        <v>0</v>
      </c>
      <c r="AC37" s="68">
        <f t="shared" ca="1" si="14"/>
        <v>0</v>
      </c>
      <c r="AD37" s="68">
        <f t="shared" ca="1" si="14"/>
        <v>0</v>
      </c>
      <c r="AE37" s="68">
        <f t="shared" ca="1" si="14"/>
        <v>0</v>
      </c>
      <c r="AF37" s="68">
        <f t="shared" ca="1" si="14"/>
        <v>0</v>
      </c>
      <c r="AG37" s="68">
        <f t="shared" ca="1" si="14"/>
        <v>0</v>
      </c>
      <c r="AH37" s="68">
        <f t="shared" ca="1" si="14"/>
        <v>0</v>
      </c>
      <c r="AI37" s="68">
        <f t="shared" ca="1" si="14"/>
        <v>0</v>
      </c>
      <c r="AJ37" s="68">
        <f t="shared" ca="1" si="14"/>
        <v>0</v>
      </c>
      <c r="AK37" s="68">
        <f t="shared" ref="AK37:AZ52" ca="1" si="15">SUM(IFERROR(IF(AND(AK$5&gt;=$H37,AK$5&lt;=$I37),1,0),0),IFERROR(IF(AND(AK$5&gt;=$J37,AK$5&lt;=$K37),1,0),0),IFERROR(IF(AND(AK$5&gt;=$L37,AK$5&lt;=$M37),1,0),0),IFERROR(IF(AND(AK$5&gt;=$N37,AK$5&lt;=$O37),1,0),0),IFERROR(IF(AND(AK$5&gt;=$P37,AK$5&lt;=$Q37),1,0),0))</f>
        <v>0</v>
      </c>
      <c r="AL37" s="68">
        <f t="shared" ca="1" si="15"/>
        <v>0</v>
      </c>
      <c r="AM37" s="68">
        <f t="shared" ca="1" si="15"/>
        <v>0</v>
      </c>
      <c r="AN37" s="68">
        <f t="shared" ca="1" si="15"/>
        <v>0</v>
      </c>
      <c r="AO37" s="68">
        <f t="shared" ca="1" si="15"/>
        <v>0</v>
      </c>
      <c r="AP37" s="68">
        <f t="shared" ca="1" si="15"/>
        <v>0</v>
      </c>
      <c r="AQ37" s="68">
        <f t="shared" ca="1" si="15"/>
        <v>0</v>
      </c>
      <c r="AR37" s="68">
        <f t="shared" ca="1" si="15"/>
        <v>0</v>
      </c>
      <c r="AS37" s="68">
        <f t="shared" ca="1" si="15"/>
        <v>0</v>
      </c>
      <c r="AT37" s="68">
        <f t="shared" ca="1" si="15"/>
        <v>0</v>
      </c>
      <c r="AU37" s="68">
        <f t="shared" ca="1" si="15"/>
        <v>0</v>
      </c>
      <c r="AV37" s="68">
        <f t="shared" ca="1" si="15"/>
        <v>0</v>
      </c>
      <c r="AW37" s="68">
        <f t="shared" ca="1" si="15"/>
        <v>0</v>
      </c>
      <c r="AX37" s="68">
        <f t="shared" ca="1" si="15"/>
        <v>0</v>
      </c>
      <c r="AY37" s="68">
        <f t="shared" ca="1" si="15"/>
        <v>0</v>
      </c>
      <c r="AZ37" s="68">
        <f t="shared" ca="1" si="15"/>
        <v>0</v>
      </c>
      <c r="BA37" s="68">
        <f t="shared" ref="BA37:BP52" ca="1" si="16">SUM(IFERROR(IF(AND(BA$5&gt;=$H37,BA$5&lt;=$I37),1,0),0),IFERROR(IF(AND(BA$5&gt;=$J37,BA$5&lt;=$K37),1,0),0),IFERROR(IF(AND(BA$5&gt;=$L37,BA$5&lt;=$M37),1,0),0),IFERROR(IF(AND(BA$5&gt;=$N37,BA$5&lt;=$O37),1,0),0),IFERROR(IF(AND(BA$5&gt;=$P37,BA$5&lt;=$Q37),1,0),0))</f>
        <v>0</v>
      </c>
      <c r="BB37" s="68">
        <f t="shared" ca="1" si="16"/>
        <v>0</v>
      </c>
      <c r="BC37" s="68">
        <f t="shared" ca="1" si="16"/>
        <v>0</v>
      </c>
      <c r="BD37" s="68">
        <f t="shared" ca="1" si="16"/>
        <v>0</v>
      </c>
      <c r="BE37" s="68">
        <f t="shared" ca="1" si="16"/>
        <v>0</v>
      </c>
      <c r="BF37" s="68">
        <f t="shared" ca="1" si="16"/>
        <v>0</v>
      </c>
      <c r="BG37" s="68">
        <f t="shared" ca="1" si="16"/>
        <v>0</v>
      </c>
      <c r="BH37" s="68">
        <f t="shared" ca="1" si="16"/>
        <v>0</v>
      </c>
      <c r="BI37" s="68">
        <f t="shared" ca="1" si="16"/>
        <v>0</v>
      </c>
      <c r="BJ37" s="68">
        <f t="shared" ca="1" si="16"/>
        <v>0</v>
      </c>
      <c r="BK37" s="68">
        <f t="shared" ca="1" si="16"/>
        <v>0</v>
      </c>
      <c r="BL37" s="68">
        <f t="shared" ca="1" si="16"/>
        <v>0</v>
      </c>
      <c r="BM37" s="68">
        <f t="shared" ca="1" si="16"/>
        <v>0</v>
      </c>
      <c r="BN37" s="68">
        <f t="shared" ca="1" si="16"/>
        <v>0</v>
      </c>
      <c r="BO37" s="68">
        <f t="shared" ca="1" si="16"/>
        <v>0</v>
      </c>
      <c r="BP37" s="68">
        <f t="shared" ca="1" si="16"/>
        <v>0</v>
      </c>
      <c r="BQ37" s="68">
        <f t="shared" ca="1" si="13"/>
        <v>0</v>
      </c>
      <c r="BR37" s="68">
        <f t="shared" ca="1" si="13"/>
        <v>0</v>
      </c>
      <c r="BS37" s="68">
        <f t="shared" ca="1" si="13"/>
        <v>0</v>
      </c>
      <c r="BT37" s="68">
        <f t="shared" ca="1" si="13"/>
        <v>0</v>
      </c>
    </row>
    <row r="38" spans="1:72" x14ac:dyDescent="0.2">
      <c r="A38" s="327">
        <f t="shared" ca="1" si="6"/>
        <v>43814</v>
      </c>
      <c r="B38" s="88">
        <f t="shared" ca="1" si="9"/>
        <v>43808</v>
      </c>
      <c r="C38" s="68">
        <v>33</v>
      </c>
      <c r="D38" s="68" t="str">
        <f t="shared" ca="1" si="10"/>
        <v/>
      </c>
      <c r="E38" s="68" t="str">
        <f t="shared" ca="1" si="0"/>
        <v xml:space="preserve"> </v>
      </c>
      <c r="F38" s="68">
        <f t="shared" ca="1" si="7"/>
        <v>50</v>
      </c>
      <c r="G38" s="68" t="str">
        <f>ROW(A33)&amp;". "&amp;'Critical resources'!B44</f>
        <v xml:space="preserve">33. </v>
      </c>
      <c r="H38" s="68">
        <f ca="1">IFERROR(VLOOKUP('Critical resources'!D44,$B$6:$C$57,2,0),0)</f>
        <v>0</v>
      </c>
      <c r="I38" s="68">
        <f ca="1">IFERROR(VLOOKUP('Critical resources'!E44,$A$6:$C$57,3,0),0)</f>
        <v>0</v>
      </c>
      <c r="J38" s="68">
        <f ca="1">IFERROR(VLOOKUP('Critical resources'!G44,$B$6:$C$57,2,0),0)</f>
        <v>0</v>
      </c>
      <c r="K38" s="68">
        <f ca="1">IFERROR(VLOOKUP('Critical resources'!H44,$B$6:$C$57,2,0),0)</f>
        <v>0</v>
      </c>
      <c r="L38" s="68">
        <f ca="1">IFERROR(VLOOKUP('Critical resources'!J44,$B$6:$C$57,2,0),0)</f>
        <v>0</v>
      </c>
      <c r="M38" s="68">
        <f ca="1">IFERROR(VLOOKUP('Critical resources'!K44,$A$6:$C$57,3,0),0)</f>
        <v>0</v>
      </c>
      <c r="N38" s="68">
        <f ca="1">IFERROR(VLOOKUP('Critical resources'!M44,$B$6:$C$57,2,0),0)</f>
        <v>0</v>
      </c>
      <c r="O38" s="68">
        <f ca="1">IFERROR(VLOOKUP('Critical resources'!N44,$A$6:$C$57,3,0),0)</f>
        <v>0</v>
      </c>
      <c r="P38" s="68">
        <f ca="1">IFERROR(VLOOKUP('Critical resources'!P44,$B$6:$C$57,2,0),0)</f>
        <v>0</v>
      </c>
      <c r="Q38" s="68">
        <f ca="1">IFERROR(VLOOKUP('Critical resources'!Q44,$A$6:$C$57,3,0),0)</f>
        <v>0</v>
      </c>
      <c r="T38" s="68" t="str">
        <f t="shared" ref="T38:T69" si="17">G38</f>
        <v xml:space="preserve">33. </v>
      </c>
      <c r="U38" s="68">
        <f t="shared" ca="1" si="14"/>
        <v>0</v>
      </c>
      <c r="V38" s="68">
        <f t="shared" ca="1" si="14"/>
        <v>0</v>
      </c>
      <c r="W38" s="68">
        <f t="shared" ca="1" si="14"/>
        <v>0</v>
      </c>
      <c r="X38" s="68">
        <f t="shared" ca="1" si="14"/>
        <v>0</v>
      </c>
      <c r="Y38" s="68">
        <f t="shared" ca="1" si="14"/>
        <v>0</v>
      </c>
      <c r="Z38" s="68">
        <f t="shared" ca="1" si="14"/>
        <v>0</v>
      </c>
      <c r="AA38" s="68">
        <f t="shared" ca="1" si="14"/>
        <v>0</v>
      </c>
      <c r="AB38" s="68">
        <f t="shared" ca="1" si="14"/>
        <v>0</v>
      </c>
      <c r="AC38" s="68">
        <f t="shared" ca="1" si="14"/>
        <v>0</v>
      </c>
      <c r="AD38" s="68">
        <f t="shared" ca="1" si="14"/>
        <v>0</v>
      </c>
      <c r="AE38" s="68">
        <f t="shared" ca="1" si="14"/>
        <v>0</v>
      </c>
      <c r="AF38" s="68">
        <f t="shared" ca="1" si="14"/>
        <v>0</v>
      </c>
      <c r="AG38" s="68">
        <f t="shared" ca="1" si="14"/>
        <v>0</v>
      </c>
      <c r="AH38" s="68">
        <f t="shared" ca="1" si="14"/>
        <v>0</v>
      </c>
      <c r="AI38" s="68">
        <f t="shared" ca="1" si="14"/>
        <v>0</v>
      </c>
      <c r="AJ38" s="68">
        <f t="shared" ref="AJ38:AY53" ca="1" si="18">SUM(IFERROR(IF(AND(AJ$5&gt;=$H38,AJ$5&lt;=$I38),1,0),0),IFERROR(IF(AND(AJ$5&gt;=$J38,AJ$5&lt;=$K38),1,0),0),IFERROR(IF(AND(AJ$5&gt;=$L38,AJ$5&lt;=$M38),1,0),0),IFERROR(IF(AND(AJ$5&gt;=$N38,AJ$5&lt;=$O38),1,0),0),IFERROR(IF(AND(AJ$5&gt;=$P38,AJ$5&lt;=$Q38),1,0),0))</f>
        <v>0</v>
      </c>
      <c r="AK38" s="68">
        <f t="shared" ca="1" si="15"/>
        <v>0</v>
      </c>
      <c r="AL38" s="68">
        <f t="shared" ca="1" si="15"/>
        <v>0</v>
      </c>
      <c r="AM38" s="68">
        <f t="shared" ca="1" si="15"/>
        <v>0</v>
      </c>
      <c r="AN38" s="68">
        <f t="shared" ca="1" si="15"/>
        <v>0</v>
      </c>
      <c r="AO38" s="68">
        <f t="shared" ca="1" si="15"/>
        <v>0</v>
      </c>
      <c r="AP38" s="68">
        <f t="shared" ca="1" si="15"/>
        <v>0</v>
      </c>
      <c r="AQ38" s="68">
        <f t="shared" ca="1" si="15"/>
        <v>0</v>
      </c>
      <c r="AR38" s="68">
        <f t="shared" ca="1" si="15"/>
        <v>0</v>
      </c>
      <c r="AS38" s="68">
        <f t="shared" ca="1" si="15"/>
        <v>0</v>
      </c>
      <c r="AT38" s="68">
        <f t="shared" ca="1" si="15"/>
        <v>0</v>
      </c>
      <c r="AU38" s="68">
        <f t="shared" ca="1" si="15"/>
        <v>0</v>
      </c>
      <c r="AV38" s="68">
        <f t="shared" ca="1" si="15"/>
        <v>0</v>
      </c>
      <c r="AW38" s="68">
        <f t="shared" ca="1" si="15"/>
        <v>0</v>
      </c>
      <c r="AX38" s="68">
        <f t="shared" ca="1" si="15"/>
        <v>0</v>
      </c>
      <c r="AY38" s="68">
        <f t="shared" ca="1" si="15"/>
        <v>0</v>
      </c>
      <c r="AZ38" s="68">
        <f t="shared" ca="1" si="15"/>
        <v>0</v>
      </c>
      <c r="BA38" s="68">
        <f t="shared" ca="1" si="16"/>
        <v>0</v>
      </c>
      <c r="BB38" s="68">
        <f t="shared" ca="1" si="16"/>
        <v>0</v>
      </c>
      <c r="BC38" s="68">
        <f t="shared" ca="1" si="16"/>
        <v>0</v>
      </c>
      <c r="BD38" s="68">
        <f t="shared" ca="1" si="16"/>
        <v>0</v>
      </c>
      <c r="BE38" s="68">
        <f t="shared" ca="1" si="16"/>
        <v>0</v>
      </c>
      <c r="BF38" s="68">
        <f t="shared" ca="1" si="16"/>
        <v>0</v>
      </c>
      <c r="BG38" s="68">
        <f t="shared" ca="1" si="16"/>
        <v>0</v>
      </c>
      <c r="BH38" s="68">
        <f t="shared" ca="1" si="16"/>
        <v>0</v>
      </c>
      <c r="BI38" s="68">
        <f t="shared" ca="1" si="16"/>
        <v>0</v>
      </c>
      <c r="BJ38" s="68">
        <f t="shared" ca="1" si="16"/>
        <v>0</v>
      </c>
      <c r="BK38" s="68">
        <f t="shared" ca="1" si="16"/>
        <v>0</v>
      </c>
      <c r="BL38" s="68">
        <f t="shared" ca="1" si="16"/>
        <v>0</v>
      </c>
      <c r="BM38" s="68">
        <f t="shared" ca="1" si="16"/>
        <v>0</v>
      </c>
      <c r="BN38" s="68">
        <f t="shared" ca="1" si="16"/>
        <v>0</v>
      </c>
      <c r="BO38" s="68">
        <f t="shared" ca="1" si="16"/>
        <v>0</v>
      </c>
      <c r="BP38" s="68">
        <f t="shared" ca="1" si="16"/>
        <v>0</v>
      </c>
      <c r="BQ38" s="68">
        <f t="shared" ca="1" si="13"/>
        <v>0</v>
      </c>
      <c r="BR38" s="68">
        <f t="shared" ca="1" si="13"/>
        <v>0</v>
      </c>
      <c r="BS38" s="68">
        <f t="shared" ca="1" si="13"/>
        <v>0</v>
      </c>
      <c r="BT38" s="68">
        <f t="shared" ca="1" si="13"/>
        <v>0</v>
      </c>
    </row>
    <row r="39" spans="1:72" x14ac:dyDescent="0.2">
      <c r="A39" s="327">
        <f t="shared" ca="1" si="6"/>
        <v>43821</v>
      </c>
      <c r="B39" s="88">
        <f t="shared" ca="1" si="9"/>
        <v>43815</v>
      </c>
      <c r="C39" s="68">
        <v>34</v>
      </c>
      <c r="D39" s="68" t="str">
        <f t="shared" ca="1" si="10"/>
        <v/>
      </c>
      <c r="E39" s="68" t="str">
        <f t="shared" ca="1" si="0"/>
        <v xml:space="preserve"> </v>
      </c>
      <c r="F39" s="68">
        <f t="shared" ca="1" si="7"/>
        <v>51</v>
      </c>
      <c r="G39" s="68" t="str">
        <f>ROW(A34)&amp;". "&amp;'Critical resources'!B45</f>
        <v xml:space="preserve">34. </v>
      </c>
      <c r="H39" s="68">
        <f ca="1">IFERROR(VLOOKUP('Critical resources'!D45,$B$6:$C$57,2,0),0)</f>
        <v>0</v>
      </c>
      <c r="I39" s="68">
        <f ca="1">IFERROR(VLOOKUP('Critical resources'!E45,$A$6:$C$57,3,0),0)</f>
        <v>0</v>
      </c>
      <c r="J39" s="68">
        <f ca="1">IFERROR(VLOOKUP('Critical resources'!G45,$B$6:$C$57,2,0),0)</f>
        <v>0</v>
      </c>
      <c r="K39" s="68">
        <f ca="1">IFERROR(VLOOKUP('Critical resources'!H45,$B$6:$C$57,2,0),0)</f>
        <v>0</v>
      </c>
      <c r="L39" s="68">
        <f ca="1">IFERROR(VLOOKUP('Critical resources'!J45,$B$6:$C$57,2,0),0)</f>
        <v>0</v>
      </c>
      <c r="M39" s="68">
        <f ca="1">IFERROR(VLOOKUP('Critical resources'!K45,$A$6:$C$57,3,0),0)</f>
        <v>0</v>
      </c>
      <c r="N39" s="68">
        <f ca="1">IFERROR(VLOOKUP('Critical resources'!M45,$B$6:$C$57,2,0),0)</f>
        <v>0</v>
      </c>
      <c r="O39" s="68">
        <f ca="1">IFERROR(VLOOKUP('Critical resources'!N45,$A$6:$C$57,3,0),0)</f>
        <v>0</v>
      </c>
      <c r="P39" s="68">
        <f ca="1">IFERROR(VLOOKUP('Critical resources'!P45,$B$6:$C$57,2,0),0)</f>
        <v>0</v>
      </c>
      <c r="Q39" s="68">
        <f ca="1">IFERROR(VLOOKUP('Critical resources'!Q45,$A$6:$C$57,3,0),0)</f>
        <v>0</v>
      </c>
      <c r="T39" s="68" t="str">
        <f t="shared" si="17"/>
        <v xml:space="preserve">34. </v>
      </c>
      <c r="U39" s="68">
        <f t="shared" ref="U39:AJ54" ca="1" si="19">SUM(IFERROR(IF(AND(U$5&gt;=$H39,U$5&lt;=$I39),1,0),0),IFERROR(IF(AND(U$5&gt;=$J39,U$5&lt;=$K39),1,0),0),IFERROR(IF(AND(U$5&gt;=$L39,U$5&lt;=$M39),1,0),0),IFERROR(IF(AND(U$5&gt;=$N39,U$5&lt;=$O39),1,0),0),IFERROR(IF(AND(U$5&gt;=$P39,U$5&lt;=$Q39),1,0),0))</f>
        <v>0</v>
      </c>
      <c r="V39" s="68">
        <f t="shared" ca="1" si="19"/>
        <v>0</v>
      </c>
      <c r="W39" s="68">
        <f t="shared" ca="1" si="19"/>
        <v>0</v>
      </c>
      <c r="X39" s="68">
        <f t="shared" ca="1" si="19"/>
        <v>0</v>
      </c>
      <c r="Y39" s="68">
        <f t="shared" ca="1" si="19"/>
        <v>0</v>
      </c>
      <c r="Z39" s="68">
        <f t="shared" ca="1" si="19"/>
        <v>0</v>
      </c>
      <c r="AA39" s="68">
        <f t="shared" ca="1" si="19"/>
        <v>0</v>
      </c>
      <c r="AB39" s="68">
        <f t="shared" ca="1" si="19"/>
        <v>0</v>
      </c>
      <c r="AC39" s="68">
        <f t="shared" ca="1" si="19"/>
        <v>0</v>
      </c>
      <c r="AD39" s="68">
        <f t="shared" ca="1" si="19"/>
        <v>0</v>
      </c>
      <c r="AE39" s="68">
        <f t="shared" ca="1" si="19"/>
        <v>0</v>
      </c>
      <c r="AF39" s="68">
        <f t="shared" ca="1" si="19"/>
        <v>0</v>
      </c>
      <c r="AG39" s="68">
        <f t="shared" ca="1" si="19"/>
        <v>0</v>
      </c>
      <c r="AH39" s="68">
        <f t="shared" ca="1" si="19"/>
        <v>0</v>
      </c>
      <c r="AI39" s="68">
        <f t="shared" ca="1" si="19"/>
        <v>0</v>
      </c>
      <c r="AJ39" s="68">
        <f t="shared" ca="1" si="18"/>
        <v>0</v>
      </c>
      <c r="AK39" s="68">
        <f t="shared" ca="1" si="15"/>
        <v>0</v>
      </c>
      <c r="AL39" s="68">
        <f t="shared" ca="1" si="15"/>
        <v>0</v>
      </c>
      <c r="AM39" s="68">
        <f t="shared" ca="1" si="15"/>
        <v>0</v>
      </c>
      <c r="AN39" s="68">
        <f t="shared" ca="1" si="15"/>
        <v>0</v>
      </c>
      <c r="AO39" s="68">
        <f t="shared" ca="1" si="15"/>
        <v>0</v>
      </c>
      <c r="AP39" s="68">
        <f t="shared" ca="1" si="15"/>
        <v>0</v>
      </c>
      <c r="AQ39" s="68">
        <f t="shared" ca="1" si="15"/>
        <v>0</v>
      </c>
      <c r="AR39" s="68">
        <f t="shared" ca="1" si="15"/>
        <v>0</v>
      </c>
      <c r="AS39" s="68">
        <f t="shared" ca="1" si="15"/>
        <v>0</v>
      </c>
      <c r="AT39" s="68">
        <f t="shared" ca="1" si="15"/>
        <v>0</v>
      </c>
      <c r="AU39" s="68">
        <f t="shared" ca="1" si="15"/>
        <v>0</v>
      </c>
      <c r="AV39" s="68">
        <f t="shared" ca="1" si="15"/>
        <v>0</v>
      </c>
      <c r="AW39" s="68">
        <f t="shared" ca="1" si="15"/>
        <v>0</v>
      </c>
      <c r="AX39" s="68">
        <f t="shared" ca="1" si="15"/>
        <v>0</v>
      </c>
      <c r="AY39" s="68">
        <f t="shared" ca="1" si="15"/>
        <v>0</v>
      </c>
      <c r="AZ39" s="68">
        <f t="shared" ca="1" si="15"/>
        <v>0</v>
      </c>
      <c r="BA39" s="68">
        <f t="shared" ca="1" si="16"/>
        <v>0</v>
      </c>
      <c r="BB39" s="68">
        <f t="shared" ca="1" si="16"/>
        <v>0</v>
      </c>
      <c r="BC39" s="68">
        <f t="shared" ca="1" si="16"/>
        <v>0</v>
      </c>
      <c r="BD39" s="68">
        <f t="shared" ca="1" si="16"/>
        <v>0</v>
      </c>
      <c r="BE39" s="68">
        <f t="shared" ca="1" si="16"/>
        <v>0</v>
      </c>
      <c r="BF39" s="68">
        <f t="shared" ca="1" si="16"/>
        <v>0</v>
      </c>
      <c r="BG39" s="68">
        <f t="shared" ca="1" si="16"/>
        <v>0</v>
      </c>
      <c r="BH39" s="68">
        <f t="shared" ca="1" si="16"/>
        <v>0</v>
      </c>
      <c r="BI39" s="68">
        <f t="shared" ca="1" si="16"/>
        <v>0</v>
      </c>
      <c r="BJ39" s="68">
        <f t="shared" ca="1" si="16"/>
        <v>0</v>
      </c>
      <c r="BK39" s="68">
        <f t="shared" ca="1" si="16"/>
        <v>0</v>
      </c>
      <c r="BL39" s="68">
        <f t="shared" ca="1" si="16"/>
        <v>0</v>
      </c>
      <c r="BM39" s="68">
        <f t="shared" ca="1" si="16"/>
        <v>0</v>
      </c>
      <c r="BN39" s="68">
        <f t="shared" ca="1" si="16"/>
        <v>0</v>
      </c>
      <c r="BO39" s="68">
        <f t="shared" ca="1" si="16"/>
        <v>0</v>
      </c>
      <c r="BP39" s="68">
        <f t="shared" ca="1" si="16"/>
        <v>0</v>
      </c>
      <c r="BQ39" s="68">
        <f t="shared" ca="1" si="13"/>
        <v>0</v>
      </c>
      <c r="BR39" s="68">
        <f t="shared" ca="1" si="13"/>
        <v>0</v>
      </c>
      <c r="BS39" s="68">
        <f t="shared" ca="1" si="13"/>
        <v>0</v>
      </c>
      <c r="BT39" s="68">
        <f t="shared" ca="1" si="13"/>
        <v>0</v>
      </c>
    </row>
    <row r="40" spans="1:72" x14ac:dyDescent="0.2">
      <c r="A40" s="327">
        <f t="shared" ca="1" si="6"/>
        <v>43828</v>
      </c>
      <c r="B40" s="88">
        <f t="shared" ca="1" si="9"/>
        <v>43822</v>
      </c>
      <c r="C40" s="68">
        <v>35</v>
      </c>
      <c r="D40" s="68" t="str">
        <f t="shared" ca="1" si="10"/>
        <v/>
      </c>
      <c r="E40" s="68" t="str">
        <f t="shared" ca="1" si="0"/>
        <v xml:space="preserve"> </v>
      </c>
      <c r="F40" s="68">
        <f t="shared" ca="1" si="7"/>
        <v>52</v>
      </c>
      <c r="G40" s="68" t="str">
        <f>ROW(A35)&amp;". "&amp;'Critical resources'!B46</f>
        <v xml:space="preserve">35. </v>
      </c>
      <c r="H40" s="68">
        <f ca="1">IFERROR(VLOOKUP('Critical resources'!D46,$B$6:$C$57,2,0),0)</f>
        <v>0</v>
      </c>
      <c r="I40" s="68">
        <f ca="1">IFERROR(VLOOKUP('Critical resources'!E46,$A$6:$C$57,3,0),0)</f>
        <v>0</v>
      </c>
      <c r="J40" s="68">
        <f ca="1">IFERROR(VLOOKUP('Critical resources'!G46,$B$6:$C$57,2,0),0)</f>
        <v>0</v>
      </c>
      <c r="K40" s="68">
        <f ca="1">IFERROR(VLOOKUP('Critical resources'!H46,$B$6:$C$57,2,0),0)</f>
        <v>0</v>
      </c>
      <c r="L40" s="68">
        <f ca="1">IFERROR(VLOOKUP('Critical resources'!J46,$B$6:$C$57,2,0),0)</f>
        <v>0</v>
      </c>
      <c r="M40" s="68">
        <f ca="1">IFERROR(VLOOKUP('Critical resources'!K46,$A$6:$C$57,3,0),0)</f>
        <v>0</v>
      </c>
      <c r="N40" s="68">
        <f ca="1">IFERROR(VLOOKUP('Critical resources'!M46,$B$6:$C$57,2,0),0)</f>
        <v>0</v>
      </c>
      <c r="O40" s="68">
        <f ca="1">IFERROR(VLOOKUP('Critical resources'!N46,$A$6:$C$57,3,0),0)</f>
        <v>0</v>
      </c>
      <c r="P40" s="68">
        <f ca="1">IFERROR(VLOOKUP('Critical resources'!P46,$B$6:$C$57,2,0),0)</f>
        <v>0</v>
      </c>
      <c r="Q40" s="68">
        <f ca="1">IFERROR(VLOOKUP('Critical resources'!Q46,$A$6:$C$57,3,0),0)</f>
        <v>0</v>
      </c>
      <c r="T40" s="68" t="str">
        <f t="shared" si="17"/>
        <v xml:space="preserve">35. </v>
      </c>
      <c r="U40" s="68">
        <f t="shared" ca="1" si="19"/>
        <v>0</v>
      </c>
      <c r="V40" s="68">
        <f t="shared" ca="1" si="19"/>
        <v>0</v>
      </c>
      <c r="W40" s="68">
        <f t="shared" ca="1" si="19"/>
        <v>0</v>
      </c>
      <c r="X40" s="68">
        <f t="shared" ca="1" si="19"/>
        <v>0</v>
      </c>
      <c r="Y40" s="68">
        <f t="shared" ca="1" si="19"/>
        <v>0</v>
      </c>
      <c r="Z40" s="68">
        <f t="shared" ca="1" si="19"/>
        <v>0</v>
      </c>
      <c r="AA40" s="68">
        <f t="shared" ca="1" si="19"/>
        <v>0</v>
      </c>
      <c r="AB40" s="68">
        <f t="shared" ca="1" si="19"/>
        <v>0</v>
      </c>
      <c r="AC40" s="68">
        <f t="shared" ca="1" si="19"/>
        <v>0</v>
      </c>
      <c r="AD40" s="68">
        <f t="shared" ca="1" si="19"/>
        <v>0</v>
      </c>
      <c r="AE40" s="68">
        <f t="shared" ca="1" si="19"/>
        <v>0</v>
      </c>
      <c r="AF40" s="68">
        <f t="shared" ca="1" si="19"/>
        <v>0</v>
      </c>
      <c r="AG40" s="68">
        <f t="shared" ca="1" si="19"/>
        <v>0</v>
      </c>
      <c r="AH40" s="68">
        <f t="shared" ca="1" si="19"/>
        <v>0</v>
      </c>
      <c r="AI40" s="68">
        <f t="shared" ca="1" si="19"/>
        <v>0</v>
      </c>
      <c r="AJ40" s="68">
        <f t="shared" ca="1" si="18"/>
        <v>0</v>
      </c>
      <c r="AK40" s="68">
        <f t="shared" ca="1" si="15"/>
        <v>0</v>
      </c>
      <c r="AL40" s="68">
        <f t="shared" ca="1" si="15"/>
        <v>0</v>
      </c>
      <c r="AM40" s="68">
        <f t="shared" ca="1" si="15"/>
        <v>0</v>
      </c>
      <c r="AN40" s="68">
        <f t="shared" ca="1" si="15"/>
        <v>0</v>
      </c>
      <c r="AO40" s="68">
        <f t="shared" ca="1" si="15"/>
        <v>0</v>
      </c>
      <c r="AP40" s="68">
        <f t="shared" ca="1" si="15"/>
        <v>0</v>
      </c>
      <c r="AQ40" s="68">
        <f t="shared" ca="1" si="15"/>
        <v>0</v>
      </c>
      <c r="AR40" s="68">
        <f t="shared" ca="1" si="15"/>
        <v>0</v>
      </c>
      <c r="AS40" s="68">
        <f t="shared" ca="1" si="15"/>
        <v>0</v>
      </c>
      <c r="AT40" s="68">
        <f t="shared" ca="1" si="15"/>
        <v>0</v>
      </c>
      <c r="AU40" s="68">
        <f t="shared" ca="1" si="15"/>
        <v>0</v>
      </c>
      <c r="AV40" s="68">
        <f t="shared" ca="1" si="15"/>
        <v>0</v>
      </c>
      <c r="AW40" s="68">
        <f t="shared" ca="1" si="15"/>
        <v>0</v>
      </c>
      <c r="AX40" s="68">
        <f t="shared" ca="1" si="15"/>
        <v>0</v>
      </c>
      <c r="AY40" s="68">
        <f t="shared" ca="1" si="15"/>
        <v>0</v>
      </c>
      <c r="AZ40" s="68">
        <f t="shared" ca="1" si="15"/>
        <v>0</v>
      </c>
      <c r="BA40" s="68">
        <f t="shared" ca="1" si="16"/>
        <v>0</v>
      </c>
      <c r="BB40" s="68">
        <f t="shared" ca="1" si="16"/>
        <v>0</v>
      </c>
      <c r="BC40" s="68">
        <f t="shared" ca="1" si="16"/>
        <v>0</v>
      </c>
      <c r="BD40" s="68">
        <f t="shared" ca="1" si="16"/>
        <v>0</v>
      </c>
      <c r="BE40" s="68">
        <f t="shared" ca="1" si="16"/>
        <v>0</v>
      </c>
      <c r="BF40" s="68">
        <f t="shared" ca="1" si="16"/>
        <v>0</v>
      </c>
      <c r="BG40" s="68">
        <f t="shared" ca="1" si="16"/>
        <v>0</v>
      </c>
      <c r="BH40" s="68">
        <f t="shared" ca="1" si="16"/>
        <v>0</v>
      </c>
      <c r="BI40" s="68">
        <f t="shared" ca="1" si="16"/>
        <v>0</v>
      </c>
      <c r="BJ40" s="68">
        <f t="shared" ca="1" si="16"/>
        <v>0</v>
      </c>
      <c r="BK40" s="68">
        <f t="shared" ca="1" si="16"/>
        <v>0</v>
      </c>
      <c r="BL40" s="68">
        <f t="shared" ca="1" si="16"/>
        <v>0</v>
      </c>
      <c r="BM40" s="68">
        <f t="shared" ca="1" si="16"/>
        <v>0</v>
      </c>
      <c r="BN40" s="68">
        <f t="shared" ca="1" si="16"/>
        <v>0</v>
      </c>
      <c r="BO40" s="68">
        <f t="shared" ca="1" si="16"/>
        <v>0</v>
      </c>
      <c r="BP40" s="68">
        <f t="shared" ca="1" si="16"/>
        <v>0</v>
      </c>
      <c r="BQ40" s="68">
        <f t="shared" ca="1" si="13"/>
        <v>0</v>
      </c>
      <c r="BR40" s="68">
        <f t="shared" ca="1" si="13"/>
        <v>0</v>
      </c>
      <c r="BS40" s="68">
        <f t="shared" ca="1" si="13"/>
        <v>0</v>
      </c>
      <c r="BT40" s="68">
        <f t="shared" ca="1" si="13"/>
        <v>0</v>
      </c>
    </row>
    <row r="41" spans="1:72" x14ac:dyDescent="0.2">
      <c r="A41" s="327">
        <f t="shared" ca="1" si="6"/>
        <v>43835</v>
      </c>
      <c r="B41" s="88">
        <f t="shared" ca="1" si="9"/>
        <v>43829</v>
      </c>
      <c r="C41" s="68">
        <v>36</v>
      </c>
      <c r="D41" s="68" t="str">
        <f t="shared" ca="1" si="10"/>
        <v/>
      </c>
      <c r="E41" s="68" t="str">
        <f t="shared" ca="1" si="0"/>
        <v xml:space="preserve"> </v>
      </c>
      <c r="F41" s="68">
        <f t="shared" ca="1" si="7"/>
        <v>1</v>
      </c>
      <c r="G41" s="68" t="str">
        <f>ROW(A36)&amp;". "&amp;'Critical resources'!B47</f>
        <v xml:space="preserve">36. </v>
      </c>
      <c r="H41" s="68">
        <f ca="1">IFERROR(VLOOKUP('Critical resources'!D47,$B$6:$C$57,2,0),0)</f>
        <v>0</v>
      </c>
      <c r="I41" s="68">
        <f ca="1">IFERROR(VLOOKUP('Critical resources'!E47,$A$6:$C$57,3,0),0)</f>
        <v>0</v>
      </c>
      <c r="J41" s="68">
        <f ca="1">IFERROR(VLOOKUP('Critical resources'!G47,$B$6:$C$57,2,0),0)</f>
        <v>0</v>
      </c>
      <c r="K41" s="68">
        <f ca="1">IFERROR(VLOOKUP('Critical resources'!H47,$B$6:$C$57,2,0),0)</f>
        <v>0</v>
      </c>
      <c r="L41" s="68">
        <f ca="1">IFERROR(VLOOKUP('Critical resources'!J47,$B$6:$C$57,2,0),0)</f>
        <v>0</v>
      </c>
      <c r="M41" s="68">
        <f ca="1">IFERROR(VLOOKUP('Critical resources'!K47,$A$6:$C$57,3,0),0)</f>
        <v>0</v>
      </c>
      <c r="N41" s="68">
        <f ca="1">IFERROR(VLOOKUP('Critical resources'!M47,$B$6:$C$57,2,0),0)</f>
        <v>0</v>
      </c>
      <c r="O41" s="68">
        <f ca="1">IFERROR(VLOOKUP('Critical resources'!N47,$A$6:$C$57,3,0),0)</f>
        <v>0</v>
      </c>
      <c r="P41" s="68">
        <f ca="1">IFERROR(VLOOKUP('Critical resources'!P47,$B$6:$C$57,2,0),0)</f>
        <v>0</v>
      </c>
      <c r="Q41" s="68">
        <f ca="1">IFERROR(VLOOKUP('Critical resources'!Q47,$A$6:$C$57,3,0),0)</f>
        <v>0</v>
      </c>
      <c r="T41" s="68" t="str">
        <f t="shared" si="17"/>
        <v xml:space="preserve">36. </v>
      </c>
      <c r="U41" s="68">
        <f t="shared" ca="1" si="19"/>
        <v>0</v>
      </c>
      <c r="V41" s="68">
        <f t="shared" ca="1" si="19"/>
        <v>0</v>
      </c>
      <c r="W41" s="68">
        <f t="shared" ca="1" si="19"/>
        <v>0</v>
      </c>
      <c r="X41" s="68">
        <f t="shared" ca="1" si="19"/>
        <v>0</v>
      </c>
      <c r="Y41" s="68">
        <f t="shared" ca="1" si="19"/>
        <v>0</v>
      </c>
      <c r="Z41" s="68">
        <f t="shared" ca="1" si="19"/>
        <v>0</v>
      </c>
      <c r="AA41" s="68">
        <f t="shared" ca="1" si="19"/>
        <v>0</v>
      </c>
      <c r="AB41" s="68">
        <f t="shared" ca="1" si="19"/>
        <v>0</v>
      </c>
      <c r="AC41" s="68">
        <f t="shared" ca="1" si="19"/>
        <v>0</v>
      </c>
      <c r="AD41" s="68">
        <f t="shared" ca="1" si="19"/>
        <v>0</v>
      </c>
      <c r="AE41" s="68">
        <f t="shared" ca="1" si="19"/>
        <v>0</v>
      </c>
      <c r="AF41" s="68">
        <f t="shared" ca="1" si="19"/>
        <v>0</v>
      </c>
      <c r="AG41" s="68">
        <f t="shared" ca="1" si="19"/>
        <v>0</v>
      </c>
      <c r="AH41" s="68">
        <f t="shared" ca="1" si="19"/>
        <v>0</v>
      </c>
      <c r="AI41" s="68">
        <f t="shared" ca="1" si="19"/>
        <v>0</v>
      </c>
      <c r="AJ41" s="68">
        <f t="shared" ca="1" si="18"/>
        <v>0</v>
      </c>
      <c r="AK41" s="68">
        <f t="shared" ca="1" si="15"/>
        <v>0</v>
      </c>
      <c r="AL41" s="68">
        <f t="shared" ca="1" si="15"/>
        <v>0</v>
      </c>
      <c r="AM41" s="68">
        <f t="shared" ca="1" si="15"/>
        <v>0</v>
      </c>
      <c r="AN41" s="68">
        <f t="shared" ca="1" si="15"/>
        <v>0</v>
      </c>
      <c r="AO41" s="68">
        <f t="shared" ca="1" si="15"/>
        <v>0</v>
      </c>
      <c r="AP41" s="68">
        <f t="shared" ca="1" si="15"/>
        <v>0</v>
      </c>
      <c r="AQ41" s="68">
        <f t="shared" ca="1" si="15"/>
        <v>0</v>
      </c>
      <c r="AR41" s="68">
        <f t="shared" ca="1" si="15"/>
        <v>0</v>
      </c>
      <c r="AS41" s="68">
        <f t="shared" ca="1" si="15"/>
        <v>0</v>
      </c>
      <c r="AT41" s="68">
        <f t="shared" ca="1" si="15"/>
        <v>0</v>
      </c>
      <c r="AU41" s="68">
        <f t="shared" ca="1" si="15"/>
        <v>0</v>
      </c>
      <c r="AV41" s="68">
        <f t="shared" ca="1" si="15"/>
        <v>0</v>
      </c>
      <c r="AW41" s="68">
        <f t="shared" ca="1" si="15"/>
        <v>0</v>
      </c>
      <c r="AX41" s="68">
        <f t="shared" ca="1" si="15"/>
        <v>0</v>
      </c>
      <c r="AY41" s="68">
        <f t="shared" ca="1" si="15"/>
        <v>0</v>
      </c>
      <c r="AZ41" s="68">
        <f t="shared" ca="1" si="15"/>
        <v>0</v>
      </c>
      <c r="BA41" s="68">
        <f t="shared" ca="1" si="16"/>
        <v>0</v>
      </c>
      <c r="BB41" s="68">
        <f t="shared" ca="1" si="16"/>
        <v>0</v>
      </c>
      <c r="BC41" s="68">
        <f t="shared" ca="1" si="16"/>
        <v>0</v>
      </c>
      <c r="BD41" s="68">
        <f t="shared" ca="1" si="16"/>
        <v>0</v>
      </c>
      <c r="BE41" s="68">
        <f t="shared" ca="1" si="16"/>
        <v>0</v>
      </c>
      <c r="BF41" s="68">
        <f t="shared" ca="1" si="16"/>
        <v>0</v>
      </c>
      <c r="BG41" s="68">
        <f t="shared" ca="1" si="16"/>
        <v>0</v>
      </c>
      <c r="BH41" s="68">
        <f t="shared" ca="1" si="16"/>
        <v>0</v>
      </c>
      <c r="BI41" s="68">
        <f t="shared" ca="1" si="16"/>
        <v>0</v>
      </c>
      <c r="BJ41" s="68">
        <f t="shared" ca="1" si="16"/>
        <v>0</v>
      </c>
      <c r="BK41" s="68">
        <f t="shared" ca="1" si="16"/>
        <v>0</v>
      </c>
      <c r="BL41" s="68">
        <f t="shared" ca="1" si="16"/>
        <v>0</v>
      </c>
      <c r="BM41" s="68">
        <f t="shared" ca="1" si="16"/>
        <v>0</v>
      </c>
      <c r="BN41" s="68">
        <f t="shared" ca="1" si="16"/>
        <v>0</v>
      </c>
      <c r="BO41" s="68">
        <f t="shared" ca="1" si="16"/>
        <v>0</v>
      </c>
      <c r="BP41" s="68">
        <f t="shared" ca="1" si="16"/>
        <v>0</v>
      </c>
      <c r="BQ41" s="68">
        <f t="shared" ref="BQ41:BT60" ca="1" si="20">SUM(IFERROR(IF(AND(BQ$5&gt;=$H41,BQ$5&lt;=$I41),1,0),0),IFERROR(IF(AND(BQ$5&gt;=$J41,BQ$5&lt;=$K41),1,0),0),IFERROR(IF(AND(BQ$5&gt;=$L41,BQ$5&lt;=$M41),1,0),0),IFERROR(IF(AND(BQ$5&gt;=$N41,BQ$5&lt;=$O41),1,0),0),IFERROR(IF(AND(BQ$5&gt;=$P41,BQ$5&lt;=$Q41),1,0),0))</f>
        <v>0</v>
      </c>
      <c r="BR41" s="68">
        <f t="shared" ca="1" si="20"/>
        <v>0</v>
      </c>
      <c r="BS41" s="68">
        <f t="shared" ca="1" si="20"/>
        <v>0</v>
      </c>
      <c r="BT41" s="68">
        <f t="shared" ca="1" si="20"/>
        <v>0</v>
      </c>
    </row>
    <row r="42" spans="1:72" x14ac:dyDescent="0.2">
      <c r="A42" s="327">
        <f t="shared" ca="1" si="6"/>
        <v>43842</v>
      </c>
      <c r="B42" s="88">
        <f t="shared" ca="1" si="9"/>
        <v>43836</v>
      </c>
      <c r="C42" s="68">
        <v>37</v>
      </c>
      <c r="D42" s="68">
        <f t="shared" ca="1" si="10"/>
        <v>2020</v>
      </c>
      <c r="E42" s="68" t="str">
        <f t="shared" ca="1" si="0"/>
        <v>Jan</v>
      </c>
      <c r="F42" s="68">
        <f t="shared" ca="1" si="7"/>
        <v>2</v>
      </c>
      <c r="G42" s="68" t="str">
        <f>ROW(A37)&amp;". "&amp;'Critical resources'!B48</f>
        <v xml:space="preserve">37. </v>
      </c>
      <c r="H42" s="68">
        <f ca="1">IFERROR(VLOOKUP('Critical resources'!D48,$B$6:$C$57,2,0),0)</f>
        <v>0</v>
      </c>
      <c r="I42" s="68">
        <f ca="1">IFERROR(VLOOKUP('Critical resources'!E48,$A$6:$C$57,3,0),0)</f>
        <v>0</v>
      </c>
      <c r="J42" s="68">
        <f ca="1">IFERROR(VLOOKUP('Critical resources'!G48,$B$6:$C$57,2,0),0)</f>
        <v>0</v>
      </c>
      <c r="K42" s="68">
        <f ca="1">IFERROR(VLOOKUP('Critical resources'!H48,$B$6:$C$57,2,0),0)</f>
        <v>0</v>
      </c>
      <c r="L42" s="68">
        <f ca="1">IFERROR(VLOOKUP('Critical resources'!J48,$B$6:$C$57,2,0),0)</f>
        <v>0</v>
      </c>
      <c r="M42" s="68">
        <f ca="1">IFERROR(VLOOKUP('Critical resources'!K48,$A$6:$C$57,3,0),0)</f>
        <v>0</v>
      </c>
      <c r="N42" s="68">
        <f ca="1">IFERROR(VLOOKUP('Critical resources'!M48,$B$6:$C$57,2,0),0)</f>
        <v>0</v>
      </c>
      <c r="O42" s="68">
        <f ca="1">IFERROR(VLOOKUP('Critical resources'!N48,$A$6:$C$57,3,0),0)</f>
        <v>0</v>
      </c>
      <c r="P42" s="68">
        <f ca="1">IFERROR(VLOOKUP('Critical resources'!P48,$B$6:$C$57,2,0),0)</f>
        <v>0</v>
      </c>
      <c r="Q42" s="68">
        <f ca="1">IFERROR(VLOOKUP('Critical resources'!Q48,$A$6:$C$57,3,0),0)</f>
        <v>0</v>
      </c>
      <c r="T42" s="68" t="str">
        <f t="shared" si="17"/>
        <v xml:space="preserve">37. </v>
      </c>
      <c r="U42" s="68">
        <f t="shared" ca="1" si="19"/>
        <v>0</v>
      </c>
      <c r="V42" s="68">
        <f t="shared" ca="1" si="19"/>
        <v>0</v>
      </c>
      <c r="W42" s="68">
        <f t="shared" ca="1" si="19"/>
        <v>0</v>
      </c>
      <c r="X42" s="68">
        <f t="shared" ca="1" si="19"/>
        <v>0</v>
      </c>
      <c r="Y42" s="68">
        <f t="shared" ca="1" si="19"/>
        <v>0</v>
      </c>
      <c r="Z42" s="68">
        <f t="shared" ca="1" si="19"/>
        <v>0</v>
      </c>
      <c r="AA42" s="68">
        <f t="shared" ca="1" si="19"/>
        <v>0</v>
      </c>
      <c r="AB42" s="68">
        <f t="shared" ca="1" si="19"/>
        <v>0</v>
      </c>
      <c r="AC42" s="68">
        <f t="shared" ca="1" si="19"/>
        <v>0</v>
      </c>
      <c r="AD42" s="68">
        <f t="shared" ca="1" si="19"/>
        <v>0</v>
      </c>
      <c r="AE42" s="68">
        <f t="shared" ca="1" si="19"/>
        <v>0</v>
      </c>
      <c r="AF42" s="68">
        <f t="shared" ca="1" si="19"/>
        <v>0</v>
      </c>
      <c r="AG42" s="68">
        <f t="shared" ca="1" si="19"/>
        <v>0</v>
      </c>
      <c r="AH42" s="68">
        <f t="shared" ca="1" si="19"/>
        <v>0</v>
      </c>
      <c r="AI42" s="68">
        <f t="shared" ca="1" si="19"/>
        <v>0</v>
      </c>
      <c r="AJ42" s="68">
        <f t="shared" ca="1" si="18"/>
        <v>0</v>
      </c>
      <c r="AK42" s="68">
        <f t="shared" ca="1" si="15"/>
        <v>0</v>
      </c>
      <c r="AL42" s="68">
        <f t="shared" ca="1" si="15"/>
        <v>0</v>
      </c>
      <c r="AM42" s="68">
        <f t="shared" ca="1" si="15"/>
        <v>0</v>
      </c>
      <c r="AN42" s="68">
        <f t="shared" ca="1" si="15"/>
        <v>0</v>
      </c>
      <c r="AO42" s="68">
        <f t="shared" ca="1" si="15"/>
        <v>0</v>
      </c>
      <c r="AP42" s="68">
        <f t="shared" ca="1" si="15"/>
        <v>0</v>
      </c>
      <c r="AQ42" s="68">
        <f t="shared" ca="1" si="15"/>
        <v>0</v>
      </c>
      <c r="AR42" s="68">
        <f t="shared" ca="1" si="15"/>
        <v>0</v>
      </c>
      <c r="AS42" s="68">
        <f t="shared" ca="1" si="15"/>
        <v>0</v>
      </c>
      <c r="AT42" s="68">
        <f t="shared" ca="1" si="15"/>
        <v>0</v>
      </c>
      <c r="AU42" s="68">
        <f t="shared" ca="1" si="15"/>
        <v>0</v>
      </c>
      <c r="AV42" s="68">
        <f t="shared" ca="1" si="15"/>
        <v>0</v>
      </c>
      <c r="AW42" s="68">
        <f t="shared" ca="1" si="15"/>
        <v>0</v>
      </c>
      <c r="AX42" s="68">
        <f t="shared" ca="1" si="15"/>
        <v>0</v>
      </c>
      <c r="AY42" s="68">
        <f t="shared" ca="1" si="15"/>
        <v>0</v>
      </c>
      <c r="AZ42" s="68">
        <f t="shared" ca="1" si="15"/>
        <v>0</v>
      </c>
      <c r="BA42" s="68">
        <f t="shared" ca="1" si="16"/>
        <v>0</v>
      </c>
      <c r="BB42" s="68">
        <f t="shared" ca="1" si="16"/>
        <v>0</v>
      </c>
      <c r="BC42" s="68">
        <f t="shared" ca="1" si="16"/>
        <v>0</v>
      </c>
      <c r="BD42" s="68">
        <f t="shared" ca="1" si="16"/>
        <v>0</v>
      </c>
      <c r="BE42" s="68">
        <f t="shared" ca="1" si="16"/>
        <v>0</v>
      </c>
      <c r="BF42" s="68">
        <f t="shared" ca="1" si="16"/>
        <v>0</v>
      </c>
      <c r="BG42" s="68">
        <f t="shared" ca="1" si="16"/>
        <v>0</v>
      </c>
      <c r="BH42" s="68">
        <f t="shared" ca="1" si="16"/>
        <v>0</v>
      </c>
      <c r="BI42" s="68">
        <f t="shared" ca="1" si="16"/>
        <v>0</v>
      </c>
      <c r="BJ42" s="68">
        <f t="shared" ca="1" si="16"/>
        <v>0</v>
      </c>
      <c r="BK42" s="68">
        <f t="shared" ca="1" si="16"/>
        <v>0</v>
      </c>
      <c r="BL42" s="68">
        <f t="shared" ca="1" si="16"/>
        <v>0</v>
      </c>
      <c r="BM42" s="68">
        <f t="shared" ca="1" si="16"/>
        <v>0</v>
      </c>
      <c r="BN42" s="68">
        <f t="shared" ca="1" si="16"/>
        <v>0</v>
      </c>
      <c r="BO42" s="68">
        <f t="shared" ca="1" si="16"/>
        <v>0</v>
      </c>
      <c r="BP42" s="68">
        <f t="shared" ca="1" si="16"/>
        <v>0</v>
      </c>
      <c r="BQ42" s="68">
        <f t="shared" ca="1" si="20"/>
        <v>0</v>
      </c>
      <c r="BR42" s="68">
        <f t="shared" ca="1" si="20"/>
        <v>0</v>
      </c>
      <c r="BS42" s="68">
        <f t="shared" ca="1" si="20"/>
        <v>0</v>
      </c>
      <c r="BT42" s="68">
        <f t="shared" ca="1" si="20"/>
        <v>0</v>
      </c>
    </row>
    <row r="43" spans="1:72" x14ac:dyDescent="0.2">
      <c r="A43" s="327">
        <f t="shared" ca="1" si="6"/>
        <v>43849</v>
      </c>
      <c r="B43" s="88">
        <f t="shared" ca="1" si="9"/>
        <v>43843</v>
      </c>
      <c r="C43" s="68">
        <v>38</v>
      </c>
      <c r="D43" s="68" t="str">
        <f t="shared" ca="1" si="10"/>
        <v/>
      </c>
      <c r="E43" s="68" t="str">
        <f t="shared" ca="1" si="0"/>
        <v xml:space="preserve"> </v>
      </c>
      <c r="F43" s="68">
        <f t="shared" ca="1" si="7"/>
        <v>3</v>
      </c>
      <c r="G43" s="68" t="str">
        <f>ROW(A38)&amp;". "&amp;'Critical resources'!B49</f>
        <v xml:space="preserve">38. </v>
      </c>
      <c r="H43" s="68">
        <f ca="1">IFERROR(VLOOKUP('Critical resources'!D49,$B$6:$C$57,2,0),0)</f>
        <v>0</v>
      </c>
      <c r="I43" s="68">
        <f ca="1">IFERROR(VLOOKUP('Critical resources'!E49,$A$6:$C$57,3,0),0)</f>
        <v>0</v>
      </c>
      <c r="J43" s="68">
        <f ca="1">IFERROR(VLOOKUP('Critical resources'!G49,$B$6:$C$57,2,0),0)</f>
        <v>0</v>
      </c>
      <c r="K43" s="68">
        <f ca="1">IFERROR(VLOOKUP('Critical resources'!H49,$B$6:$C$57,2,0),0)</f>
        <v>0</v>
      </c>
      <c r="L43" s="68">
        <f ca="1">IFERROR(VLOOKUP('Critical resources'!J49,$B$6:$C$57,2,0),0)</f>
        <v>0</v>
      </c>
      <c r="M43" s="68">
        <f ca="1">IFERROR(VLOOKUP('Critical resources'!K49,$A$6:$C$57,3,0),0)</f>
        <v>0</v>
      </c>
      <c r="N43" s="68">
        <f ca="1">IFERROR(VLOOKUP('Critical resources'!M49,$B$6:$C$57,2,0),0)</f>
        <v>0</v>
      </c>
      <c r="O43" s="68">
        <f ca="1">IFERROR(VLOOKUP('Critical resources'!N49,$A$6:$C$57,3,0),0)</f>
        <v>0</v>
      </c>
      <c r="P43" s="68">
        <f ca="1">IFERROR(VLOOKUP('Critical resources'!P49,$B$6:$C$57,2,0),0)</f>
        <v>0</v>
      </c>
      <c r="Q43" s="68">
        <f ca="1">IFERROR(VLOOKUP('Critical resources'!Q49,$A$6:$C$57,3,0),0)</f>
        <v>0</v>
      </c>
      <c r="T43" s="68" t="str">
        <f t="shared" si="17"/>
        <v xml:space="preserve">38. </v>
      </c>
      <c r="U43" s="68">
        <f t="shared" ca="1" si="19"/>
        <v>0</v>
      </c>
      <c r="V43" s="68">
        <f t="shared" ca="1" si="19"/>
        <v>0</v>
      </c>
      <c r="W43" s="68">
        <f t="shared" ca="1" si="19"/>
        <v>0</v>
      </c>
      <c r="X43" s="68">
        <f t="shared" ca="1" si="19"/>
        <v>0</v>
      </c>
      <c r="Y43" s="68">
        <f t="shared" ca="1" si="19"/>
        <v>0</v>
      </c>
      <c r="Z43" s="68">
        <f t="shared" ca="1" si="19"/>
        <v>0</v>
      </c>
      <c r="AA43" s="68">
        <f t="shared" ca="1" si="19"/>
        <v>0</v>
      </c>
      <c r="AB43" s="68">
        <f t="shared" ca="1" si="19"/>
        <v>0</v>
      </c>
      <c r="AC43" s="68">
        <f t="shared" ca="1" si="19"/>
        <v>0</v>
      </c>
      <c r="AD43" s="68">
        <f t="shared" ca="1" si="19"/>
        <v>0</v>
      </c>
      <c r="AE43" s="68">
        <f t="shared" ca="1" si="19"/>
        <v>0</v>
      </c>
      <c r="AF43" s="68">
        <f t="shared" ca="1" si="19"/>
        <v>0</v>
      </c>
      <c r="AG43" s="68">
        <f t="shared" ca="1" si="19"/>
        <v>0</v>
      </c>
      <c r="AH43" s="68">
        <f t="shared" ca="1" si="19"/>
        <v>0</v>
      </c>
      <c r="AI43" s="68">
        <f t="shared" ca="1" si="19"/>
        <v>0</v>
      </c>
      <c r="AJ43" s="68">
        <f t="shared" ca="1" si="18"/>
        <v>0</v>
      </c>
      <c r="AK43" s="68">
        <f t="shared" ca="1" si="15"/>
        <v>0</v>
      </c>
      <c r="AL43" s="68">
        <f t="shared" ca="1" si="15"/>
        <v>0</v>
      </c>
      <c r="AM43" s="68">
        <f t="shared" ca="1" si="15"/>
        <v>0</v>
      </c>
      <c r="AN43" s="68">
        <f t="shared" ca="1" si="15"/>
        <v>0</v>
      </c>
      <c r="AO43" s="68">
        <f t="shared" ca="1" si="15"/>
        <v>0</v>
      </c>
      <c r="AP43" s="68">
        <f t="shared" ca="1" si="15"/>
        <v>0</v>
      </c>
      <c r="AQ43" s="68">
        <f t="shared" ca="1" si="15"/>
        <v>0</v>
      </c>
      <c r="AR43" s="68">
        <f t="shared" ca="1" si="15"/>
        <v>0</v>
      </c>
      <c r="AS43" s="68">
        <f t="shared" ca="1" si="15"/>
        <v>0</v>
      </c>
      <c r="AT43" s="68">
        <f t="shared" ca="1" si="15"/>
        <v>0</v>
      </c>
      <c r="AU43" s="68">
        <f t="shared" ca="1" si="15"/>
        <v>0</v>
      </c>
      <c r="AV43" s="68">
        <f t="shared" ca="1" si="15"/>
        <v>0</v>
      </c>
      <c r="AW43" s="68">
        <f t="shared" ca="1" si="15"/>
        <v>0</v>
      </c>
      <c r="AX43" s="68">
        <f t="shared" ca="1" si="15"/>
        <v>0</v>
      </c>
      <c r="AY43" s="68">
        <f t="shared" ca="1" si="15"/>
        <v>0</v>
      </c>
      <c r="AZ43" s="68">
        <f t="shared" ca="1" si="15"/>
        <v>0</v>
      </c>
      <c r="BA43" s="68">
        <f t="shared" ca="1" si="16"/>
        <v>0</v>
      </c>
      <c r="BB43" s="68">
        <f t="shared" ca="1" si="16"/>
        <v>0</v>
      </c>
      <c r="BC43" s="68">
        <f t="shared" ca="1" si="16"/>
        <v>0</v>
      </c>
      <c r="BD43" s="68">
        <f t="shared" ca="1" si="16"/>
        <v>0</v>
      </c>
      <c r="BE43" s="68">
        <f t="shared" ca="1" si="16"/>
        <v>0</v>
      </c>
      <c r="BF43" s="68">
        <f t="shared" ca="1" si="16"/>
        <v>0</v>
      </c>
      <c r="BG43" s="68">
        <f t="shared" ca="1" si="16"/>
        <v>0</v>
      </c>
      <c r="BH43" s="68">
        <f t="shared" ca="1" si="16"/>
        <v>0</v>
      </c>
      <c r="BI43" s="68">
        <f t="shared" ca="1" si="16"/>
        <v>0</v>
      </c>
      <c r="BJ43" s="68">
        <f t="shared" ca="1" si="16"/>
        <v>0</v>
      </c>
      <c r="BK43" s="68">
        <f t="shared" ca="1" si="16"/>
        <v>0</v>
      </c>
      <c r="BL43" s="68">
        <f t="shared" ca="1" si="16"/>
        <v>0</v>
      </c>
      <c r="BM43" s="68">
        <f t="shared" ca="1" si="16"/>
        <v>0</v>
      </c>
      <c r="BN43" s="68">
        <f t="shared" ca="1" si="16"/>
        <v>0</v>
      </c>
      <c r="BO43" s="68">
        <f t="shared" ca="1" si="16"/>
        <v>0</v>
      </c>
      <c r="BP43" s="68">
        <f t="shared" ca="1" si="16"/>
        <v>0</v>
      </c>
      <c r="BQ43" s="68">
        <f t="shared" ca="1" si="20"/>
        <v>0</v>
      </c>
      <c r="BR43" s="68">
        <f t="shared" ca="1" si="20"/>
        <v>0</v>
      </c>
      <c r="BS43" s="68">
        <f t="shared" ca="1" si="20"/>
        <v>0</v>
      </c>
      <c r="BT43" s="68">
        <f t="shared" ca="1" si="20"/>
        <v>0</v>
      </c>
    </row>
    <row r="44" spans="1:72" x14ac:dyDescent="0.2">
      <c r="A44" s="327">
        <f t="shared" ca="1" si="6"/>
        <v>43856</v>
      </c>
      <c r="B44" s="88">
        <f t="shared" ca="1" si="9"/>
        <v>43850</v>
      </c>
      <c r="C44" s="68">
        <v>39</v>
      </c>
      <c r="D44" s="68" t="str">
        <f t="shared" ca="1" si="10"/>
        <v/>
      </c>
      <c r="E44" s="68" t="str">
        <f t="shared" ca="1" si="0"/>
        <v xml:space="preserve"> </v>
      </c>
      <c r="F44" s="68">
        <f t="shared" ca="1" si="7"/>
        <v>4</v>
      </c>
      <c r="G44" s="68" t="str">
        <f>ROW(A39)&amp;". "&amp;'Critical resources'!B50</f>
        <v xml:space="preserve">39. </v>
      </c>
      <c r="H44" s="68">
        <f ca="1">IFERROR(VLOOKUP('Critical resources'!D50,$B$6:$C$57,2,0),0)</f>
        <v>0</v>
      </c>
      <c r="I44" s="68">
        <f ca="1">IFERROR(VLOOKUP('Critical resources'!E50,$A$6:$C$57,3,0),0)</f>
        <v>0</v>
      </c>
      <c r="J44" s="68">
        <f ca="1">IFERROR(VLOOKUP('Critical resources'!G50,$B$6:$C$57,2,0),0)</f>
        <v>0</v>
      </c>
      <c r="K44" s="68">
        <f ca="1">IFERROR(VLOOKUP('Critical resources'!H50,$B$6:$C$57,2,0),0)</f>
        <v>0</v>
      </c>
      <c r="L44" s="68">
        <f ca="1">IFERROR(VLOOKUP('Critical resources'!J50,$B$6:$C$57,2,0),0)</f>
        <v>0</v>
      </c>
      <c r="M44" s="68">
        <f ca="1">IFERROR(VLOOKUP('Critical resources'!K50,$A$6:$C$57,3,0),0)</f>
        <v>0</v>
      </c>
      <c r="N44" s="68">
        <f ca="1">IFERROR(VLOOKUP('Critical resources'!M50,$B$6:$C$57,2,0),0)</f>
        <v>0</v>
      </c>
      <c r="O44" s="68">
        <f ca="1">IFERROR(VLOOKUP('Critical resources'!N50,$A$6:$C$57,3,0),0)</f>
        <v>0</v>
      </c>
      <c r="P44" s="68">
        <f ca="1">IFERROR(VLOOKUP('Critical resources'!P50,$B$6:$C$57,2,0),0)</f>
        <v>0</v>
      </c>
      <c r="Q44" s="68">
        <f ca="1">IFERROR(VLOOKUP('Critical resources'!Q50,$A$6:$C$57,3,0),0)</f>
        <v>0</v>
      </c>
      <c r="T44" s="68" t="str">
        <f t="shared" si="17"/>
        <v xml:space="preserve">39. </v>
      </c>
      <c r="U44" s="68">
        <f t="shared" ca="1" si="19"/>
        <v>0</v>
      </c>
      <c r="V44" s="68">
        <f t="shared" ca="1" si="19"/>
        <v>0</v>
      </c>
      <c r="W44" s="68">
        <f t="shared" ca="1" si="19"/>
        <v>0</v>
      </c>
      <c r="X44" s="68">
        <f t="shared" ca="1" si="19"/>
        <v>0</v>
      </c>
      <c r="Y44" s="68">
        <f t="shared" ca="1" si="19"/>
        <v>0</v>
      </c>
      <c r="Z44" s="68">
        <f t="shared" ca="1" si="19"/>
        <v>0</v>
      </c>
      <c r="AA44" s="68">
        <f t="shared" ca="1" si="19"/>
        <v>0</v>
      </c>
      <c r="AB44" s="68">
        <f t="shared" ca="1" si="19"/>
        <v>0</v>
      </c>
      <c r="AC44" s="68">
        <f t="shared" ca="1" si="19"/>
        <v>0</v>
      </c>
      <c r="AD44" s="68">
        <f t="shared" ca="1" si="19"/>
        <v>0</v>
      </c>
      <c r="AE44" s="68">
        <f t="shared" ca="1" si="19"/>
        <v>0</v>
      </c>
      <c r="AF44" s="68">
        <f t="shared" ca="1" si="19"/>
        <v>0</v>
      </c>
      <c r="AG44" s="68">
        <f t="shared" ca="1" si="19"/>
        <v>0</v>
      </c>
      <c r="AH44" s="68">
        <f t="shared" ca="1" si="19"/>
        <v>0</v>
      </c>
      <c r="AI44" s="68">
        <f t="shared" ca="1" si="19"/>
        <v>0</v>
      </c>
      <c r="AJ44" s="68">
        <f t="shared" ca="1" si="18"/>
        <v>0</v>
      </c>
      <c r="AK44" s="68">
        <f t="shared" ca="1" si="15"/>
        <v>0</v>
      </c>
      <c r="AL44" s="68">
        <f t="shared" ca="1" si="15"/>
        <v>0</v>
      </c>
      <c r="AM44" s="68">
        <f t="shared" ca="1" si="15"/>
        <v>0</v>
      </c>
      <c r="AN44" s="68">
        <f t="shared" ca="1" si="15"/>
        <v>0</v>
      </c>
      <c r="AO44" s="68">
        <f t="shared" ca="1" si="15"/>
        <v>0</v>
      </c>
      <c r="AP44" s="68">
        <f t="shared" ca="1" si="15"/>
        <v>0</v>
      </c>
      <c r="AQ44" s="68">
        <f t="shared" ca="1" si="15"/>
        <v>0</v>
      </c>
      <c r="AR44" s="68">
        <f t="shared" ca="1" si="15"/>
        <v>0</v>
      </c>
      <c r="AS44" s="68">
        <f t="shared" ca="1" si="15"/>
        <v>0</v>
      </c>
      <c r="AT44" s="68">
        <f t="shared" ca="1" si="15"/>
        <v>0</v>
      </c>
      <c r="AU44" s="68">
        <f t="shared" ca="1" si="15"/>
        <v>0</v>
      </c>
      <c r="AV44" s="68">
        <f t="shared" ca="1" si="15"/>
        <v>0</v>
      </c>
      <c r="AW44" s="68">
        <f t="shared" ca="1" si="15"/>
        <v>0</v>
      </c>
      <c r="AX44" s="68">
        <f t="shared" ca="1" si="15"/>
        <v>0</v>
      </c>
      <c r="AY44" s="68">
        <f t="shared" ca="1" si="15"/>
        <v>0</v>
      </c>
      <c r="AZ44" s="68">
        <f t="shared" ca="1" si="15"/>
        <v>0</v>
      </c>
      <c r="BA44" s="68">
        <f t="shared" ca="1" si="16"/>
        <v>0</v>
      </c>
      <c r="BB44" s="68">
        <f t="shared" ca="1" si="16"/>
        <v>0</v>
      </c>
      <c r="BC44" s="68">
        <f t="shared" ca="1" si="16"/>
        <v>0</v>
      </c>
      <c r="BD44" s="68">
        <f t="shared" ca="1" si="16"/>
        <v>0</v>
      </c>
      <c r="BE44" s="68">
        <f t="shared" ca="1" si="16"/>
        <v>0</v>
      </c>
      <c r="BF44" s="68">
        <f t="shared" ca="1" si="16"/>
        <v>0</v>
      </c>
      <c r="BG44" s="68">
        <f t="shared" ca="1" si="16"/>
        <v>0</v>
      </c>
      <c r="BH44" s="68">
        <f t="shared" ca="1" si="16"/>
        <v>0</v>
      </c>
      <c r="BI44" s="68">
        <f t="shared" ca="1" si="16"/>
        <v>0</v>
      </c>
      <c r="BJ44" s="68">
        <f t="shared" ca="1" si="16"/>
        <v>0</v>
      </c>
      <c r="BK44" s="68">
        <f t="shared" ca="1" si="16"/>
        <v>0</v>
      </c>
      <c r="BL44" s="68">
        <f t="shared" ca="1" si="16"/>
        <v>0</v>
      </c>
      <c r="BM44" s="68">
        <f t="shared" ca="1" si="16"/>
        <v>0</v>
      </c>
      <c r="BN44" s="68">
        <f t="shared" ca="1" si="16"/>
        <v>0</v>
      </c>
      <c r="BO44" s="68">
        <f t="shared" ca="1" si="16"/>
        <v>0</v>
      </c>
      <c r="BP44" s="68">
        <f t="shared" ca="1" si="16"/>
        <v>0</v>
      </c>
      <c r="BQ44" s="68">
        <f t="shared" ca="1" si="20"/>
        <v>0</v>
      </c>
      <c r="BR44" s="68">
        <f t="shared" ca="1" si="20"/>
        <v>0</v>
      </c>
      <c r="BS44" s="68">
        <f t="shared" ca="1" si="20"/>
        <v>0</v>
      </c>
      <c r="BT44" s="68">
        <f t="shared" ca="1" si="20"/>
        <v>0</v>
      </c>
    </row>
    <row r="45" spans="1:72" x14ac:dyDescent="0.2">
      <c r="A45" s="327">
        <f t="shared" ca="1" si="6"/>
        <v>43863</v>
      </c>
      <c r="B45" s="88">
        <f t="shared" ca="1" si="9"/>
        <v>43857</v>
      </c>
      <c r="C45" s="68">
        <v>40</v>
      </c>
      <c r="D45" s="68" t="str">
        <f t="shared" ca="1" si="10"/>
        <v/>
      </c>
      <c r="E45" s="68" t="str">
        <f t="shared" ca="1" si="0"/>
        <v xml:space="preserve"> </v>
      </c>
      <c r="F45" s="68">
        <f t="shared" ca="1" si="7"/>
        <v>5</v>
      </c>
      <c r="G45" s="68" t="str">
        <f>ROW(A40)&amp;". "&amp;'Critical resources'!B51</f>
        <v xml:space="preserve">40. </v>
      </c>
      <c r="H45" s="68">
        <f ca="1">IFERROR(VLOOKUP('Critical resources'!D51,$B$6:$C$57,2,0),0)</f>
        <v>0</v>
      </c>
      <c r="I45" s="68">
        <f ca="1">IFERROR(VLOOKUP('Critical resources'!E51,$A$6:$C$57,3,0),0)</f>
        <v>0</v>
      </c>
      <c r="J45" s="68">
        <f ca="1">IFERROR(VLOOKUP('Critical resources'!G51,$B$6:$C$57,2,0),0)</f>
        <v>0</v>
      </c>
      <c r="K45" s="68">
        <f ca="1">IFERROR(VLOOKUP('Critical resources'!H51,$B$6:$C$57,2,0),0)</f>
        <v>0</v>
      </c>
      <c r="L45" s="68">
        <f ca="1">IFERROR(VLOOKUP('Critical resources'!J51,$B$6:$C$57,2,0),0)</f>
        <v>0</v>
      </c>
      <c r="M45" s="68">
        <f ca="1">IFERROR(VLOOKUP('Critical resources'!K51,$A$6:$C$57,3,0),0)</f>
        <v>0</v>
      </c>
      <c r="N45" s="68">
        <f ca="1">IFERROR(VLOOKUP('Critical resources'!M51,$B$6:$C$57,2,0),0)</f>
        <v>0</v>
      </c>
      <c r="O45" s="68">
        <f ca="1">IFERROR(VLOOKUP('Critical resources'!N51,$A$6:$C$57,3,0),0)</f>
        <v>0</v>
      </c>
      <c r="P45" s="68">
        <f ca="1">IFERROR(VLOOKUP('Critical resources'!P51,$B$6:$C$57,2,0),0)</f>
        <v>0</v>
      </c>
      <c r="Q45" s="68">
        <f ca="1">IFERROR(VLOOKUP('Critical resources'!Q51,$A$6:$C$57,3,0),0)</f>
        <v>0</v>
      </c>
      <c r="T45" s="68" t="str">
        <f t="shared" si="17"/>
        <v xml:space="preserve">40. </v>
      </c>
      <c r="U45" s="68">
        <f t="shared" ca="1" si="19"/>
        <v>0</v>
      </c>
      <c r="V45" s="68">
        <f t="shared" ca="1" si="19"/>
        <v>0</v>
      </c>
      <c r="W45" s="68">
        <f t="shared" ca="1" si="19"/>
        <v>0</v>
      </c>
      <c r="X45" s="68">
        <f t="shared" ca="1" si="19"/>
        <v>0</v>
      </c>
      <c r="Y45" s="68">
        <f t="shared" ca="1" si="19"/>
        <v>0</v>
      </c>
      <c r="Z45" s="68">
        <f t="shared" ca="1" si="19"/>
        <v>0</v>
      </c>
      <c r="AA45" s="68">
        <f t="shared" ca="1" si="19"/>
        <v>0</v>
      </c>
      <c r="AB45" s="68">
        <f t="shared" ca="1" si="19"/>
        <v>0</v>
      </c>
      <c r="AC45" s="68">
        <f t="shared" ca="1" si="19"/>
        <v>0</v>
      </c>
      <c r="AD45" s="68">
        <f t="shared" ca="1" si="19"/>
        <v>0</v>
      </c>
      <c r="AE45" s="68">
        <f t="shared" ca="1" si="19"/>
        <v>0</v>
      </c>
      <c r="AF45" s="68">
        <f t="shared" ca="1" si="19"/>
        <v>0</v>
      </c>
      <c r="AG45" s="68">
        <f t="shared" ca="1" si="19"/>
        <v>0</v>
      </c>
      <c r="AH45" s="68">
        <f t="shared" ca="1" si="19"/>
        <v>0</v>
      </c>
      <c r="AI45" s="68">
        <f t="shared" ca="1" si="19"/>
        <v>0</v>
      </c>
      <c r="AJ45" s="68">
        <f t="shared" ca="1" si="18"/>
        <v>0</v>
      </c>
      <c r="AK45" s="68">
        <f t="shared" ca="1" si="15"/>
        <v>0</v>
      </c>
      <c r="AL45" s="68">
        <f t="shared" ca="1" si="15"/>
        <v>0</v>
      </c>
      <c r="AM45" s="68">
        <f t="shared" ca="1" si="15"/>
        <v>0</v>
      </c>
      <c r="AN45" s="68">
        <f t="shared" ca="1" si="15"/>
        <v>0</v>
      </c>
      <c r="AO45" s="68">
        <f t="shared" ca="1" si="15"/>
        <v>0</v>
      </c>
      <c r="AP45" s="68">
        <f t="shared" ca="1" si="15"/>
        <v>0</v>
      </c>
      <c r="AQ45" s="68">
        <f t="shared" ca="1" si="15"/>
        <v>0</v>
      </c>
      <c r="AR45" s="68">
        <f t="shared" ca="1" si="15"/>
        <v>0</v>
      </c>
      <c r="AS45" s="68">
        <f t="shared" ca="1" si="15"/>
        <v>0</v>
      </c>
      <c r="AT45" s="68">
        <f t="shared" ca="1" si="15"/>
        <v>0</v>
      </c>
      <c r="AU45" s="68">
        <f t="shared" ca="1" si="15"/>
        <v>0</v>
      </c>
      <c r="AV45" s="68">
        <f t="shared" ca="1" si="15"/>
        <v>0</v>
      </c>
      <c r="AW45" s="68">
        <f t="shared" ca="1" si="15"/>
        <v>0</v>
      </c>
      <c r="AX45" s="68">
        <f t="shared" ca="1" si="15"/>
        <v>0</v>
      </c>
      <c r="AY45" s="68">
        <f t="shared" ca="1" si="15"/>
        <v>0</v>
      </c>
      <c r="AZ45" s="68">
        <f t="shared" ca="1" si="15"/>
        <v>0</v>
      </c>
      <c r="BA45" s="68">
        <f t="shared" ca="1" si="16"/>
        <v>0</v>
      </c>
      <c r="BB45" s="68">
        <f t="shared" ca="1" si="16"/>
        <v>0</v>
      </c>
      <c r="BC45" s="68">
        <f t="shared" ca="1" si="16"/>
        <v>0</v>
      </c>
      <c r="BD45" s="68">
        <f t="shared" ca="1" si="16"/>
        <v>0</v>
      </c>
      <c r="BE45" s="68">
        <f t="shared" ca="1" si="16"/>
        <v>0</v>
      </c>
      <c r="BF45" s="68">
        <f t="shared" ca="1" si="16"/>
        <v>0</v>
      </c>
      <c r="BG45" s="68">
        <f t="shared" ca="1" si="16"/>
        <v>0</v>
      </c>
      <c r="BH45" s="68">
        <f t="shared" ca="1" si="16"/>
        <v>0</v>
      </c>
      <c r="BI45" s="68">
        <f t="shared" ca="1" si="16"/>
        <v>0</v>
      </c>
      <c r="BJ45" s="68">
        <f t="shared" ca="1" si="16"/>
        <v>0</v>
      </c>
      <c r="BK45" s="68">
        <f t="shared" ca="1" si="16"/>
        <v>0</v>
      </c>
      <c r="BL45" s="68">
        <f t="shared" ca="1" si="16"/>
        <v>0</v>
      </c>
      <c r="BM45" s="68">
        <f t="shared" ca="1" si="16"/>
        <v>0</v>
      </c>
      <c r="BN45" s="68">
        <f t="shared" ca="1" si="16"/>
        <v>0</v>
      </c>
      <c r="BO45" s="68">
        <f t="shared" ca="1" si="16"/>
        <v>0</v>
      </c>
      <c r="BP45" s="68">
        <f t="shared" ca="1" si="16"/>
        <v>0</v>
      </c>
      <c r="BQ45" s="68">
        <f t="shared" ca="1" si="20"/>
        <v>0</v>
      </c>
      <c r="BR45" s="68">
        <f t="shared" ca="1" si="20"/>
        <v>0</v>
      </c>
      <c r="BS45" s="68">
        <f t="shared" ca="1" si="20"/>
        <v>0</v>
      </c>
      <c r="BT45" s="68">
        <f t="shared" ca="1" si="20"/>
        <v>0</v>
      </c>
    </row>
    <row r="46" spans="1:72" x14ac:dyDescent="0.2">
      <c r="A46" s="327">
        <f t="shared" ca="1" si="6"/>
        <v>43870</v>
      </c>
      <c r="B46" s="88">
        <f t="shared" ca="1" si="9"/>
        <v>43864</v>
      </c>
      <c r="C46" s="68">
        <v>41</v>
      </c>
      <c r="D46" s="68" t="str">
        <f t="shared" ca="1" si="10"/>
        <v/>
      </c>
      <c r="E46" s="68" t="str">
        <f t="shared" ca="1" si="0"/>
        <v>Feb</v>
      </c>
      <c r="F46" s="68">
        <f t="shared" ca="1" si="7"/>
        <v>6</v>
      </c>
      <c r="G46" s="68" t="str">
        <f>ROW(A41)&amp;". "&amp;'Critical resources'!B52</f>
        <v xml:space="preserve">41. </v>
      </c>
      <c r="H46" s="68">
        <f ca="1">IFERROR(VLOOKUP('Critical resources'!D52,$B$6:$C$57,2,0),0)</f>
        <v>0</v>
      </c>
      <c r="I46" s="68">
        <f ca="1">IFERROR(VLOOKUP('Critical resources'!E52,$A$6:$C$57,3,0),0)</f>
        <v>0</v>
      </c>
      <c r="J46" s="68">
        <f ca="1">IFERROR(VLOOKUP('Critical resources'!G52,$B$6:$C$57,2,0),0)</f>
        <v>0</v>
      </c>
      <c r="K46" s="68">
        <f ca="1">IFERROR(VLOOKUP('Critical resources'!H52,$B$6:$C$57,2,0),0)</f>
        <v>0</v>
      </c>
      <c r="L46" s="68">
        <f ca="1">IFERROR(VLOOKUP('Critical resources'!J52,$B$6:$C$57,2,0),0)</f>
        <v>0</v>
      </c>
      <c r="M46" s="68">
        <f ca="1">IFERROR(VLOOKUP('Critical resources'!K52,$A$6:$C$57,3,0),0)</f>
        <v>0</v>
      </c>
      <c r="N46" s="68">
        <f ca="1">IFERROR(VLOOKUP('Critical resources'!M52,$B$6:$C$57,2,0),0)</f>
        <v>0</v>
      </c>
      <c r="O46" s="68">
        <f ca="1">IFERROR(VLOOKUP('Critical resources'!N52,$A$6:$C$57,3,0),0)</f>
        <v>0</v>
      </c>
      <c r="P46" s="68">
        <f ca="1">IFERROR(VLOOKUP('Critical resources'!P52,$B$6:$C$57,2,0),0)</f>
        <v>0</v>
      </c>
      <c r="Q46" s="68">
        <f ca="1">IFERROR(VLOOKUP('Critical resources'!Q52,$A$6:$C$57,3,0),0)</f>
        <v>0</v>
      </c>
      <c r="T46" s="68" t="str">
        <f t="shared" si="17"/>
        <v xml:space="preserve">41. </v>
      </c>
      <c r="U46" s="68">
        <f t="shared" ca="1" si="19"/>
        <v>0</v>
      </c>
      <c r="V46" s="68">
        <f t="shared" ca="1" si="19"/>
        <v>0</v>
      </c>
      <c r="W46" s="68">
        <f t="shared" ca="1" si="19"/>
        <v>0</v>
      </c>
      <c r="X46" s="68">
        <f t="shared" ca="1" si="19"/>
        <v>0</v>
      </c>
      <c r="Y46" s="68">
        <f t="shared" ca="1" si="19"/>
        <v>0</v>
      </c>
      <c r="Z46" s="68">
        <f t="shared" ca="1" si="19"/>
        <v>0</v>
      </c>
      <c r="AA46" s="68">
        <f t="shared" ca="1" si="19"/>
        <v>0</v>
      </c>
      <c r="AB46" s="68">
        <f t="shared" ca="1" si="19"/>
        <v>0</v>
      </c>
      <c r="AC46" s="68">
        <f t="shared" ca="1" si="19"/>
        <v>0</v>
      </c>
      <c r="AD46" s="68">
        <f t="shared" ca="1" si="19"/>
        <v>0</v>
      </c>
      <c r="AE46" s="68">
        <f t="shared" ca="1" si="19"/>
        <v>0</v>
      </c>
      <c r="AF46" s="68">
        <f t="shared" ca="1" si="19"/>
        <v>0</v>
      </c>
      <c r="AG46" s="68">
        <f t="shared" ca="1" si="19"/>
        <v>0</v>
      </c>
      <c r="AH46" s="68">
        <f t="shared" ca="1" si="19"/>
        <v>0</v>
      </c>
      <c r="AI46" s="68">
        <f t="shared" ca="1" si="19"/>
        <v>0</v>
      </c>
      <c r="AJ46" s="68">
        <f t="shared" ca="1" si="18"/>
        <v>0</v>
      </c>
      <c r="AK46" s="68">
        <f t="shared" ca="1" si="15"/>
        <v>0</v>
      </c>
      <c r="AL46" s="68">
        <f t="shared" ca="1" si="15"/>
        <v>0</v>
      </c>
      <c r="AM46" s="68">
        <f t="shared" ca="1" si="15"/>
        <v>0</v>
      </c>
      <c r="AN46" s="68">
        <f t="shared" ca="1" si="15"/>
        <v>0</v>
      </c>
      <c r="AO46" s="68">
        <f t="shared" ca="1" si="15"/>
        <v>0</v>
      </c>
      <c r="AP46" s="68">
        <f t="shared" ca="1" si="15"/>
        <v>0</v>
      </c>
      <c r="AQ46" s="68">
        <f t="shared" ca="1" si="15"/>
        <v>0</v>
      </c>
      <c r="AR46" s="68">
        <f t="shared" ca="1" si="15"/>
        <v>0</v>
      </c>
      <c r="AS46" s="68">
        <f t="shared" ca="1" si="15"/>
        <v>0</v>
      </c>
      <c r="AT46" s="68">
        <f t="shared" ca="1" si="15"/>
        <v>0</v>
      </c>
      <c r="AU46" s="68">
        <f t="shared" ca="1" si="15"/>
        <v>0</v>
      </c>
      <c r="AV46" s="68">
        <f t="shared" ca="1" si="15"/>
        <v>0</v>
      </c>
      <c r="AW46" s="68">
        <f t="shared" ca="1" si="15"/>
        <v>0</v>
      </c>
      <c r="AX46" s="68">
        <f t="shared" ca="1" si="15"/>
        <v>0</v>
      </c>
      <c r="AY46" s="68">
        <f t="shared" ca="1" si="15"/>
        <v>0</v>
      </c>
      <c r="AZ46" s="68">
        <f t="shared" ca="1" si="15"/>
        <v>0</v>
      </c>
      <c r="BA46" s="68">
        <f t="shared" ca="1" si="16"/>
        <v>0</v>
      </c>
      <c r="BB46" s="68">
        <f t="shared" ca="1" si="16"/>
        <v>0</v>
      </c>
      <c r="BC46" s="68">
        <f t="shared" ca="1" si="16"/>
        <v>0</v>
      </c>
      <c r="BD46" s="68">
        <f t="shared" ca="1" si="16"/>
        <v>0</v>
      </c>
      <c r="BE46" s="68">
        <f t="shared" ca="1" si="16"/>
        <v>0</v>
      </c>
      <c r="BF46" s="68">
        <f t="shared" ca="1" si="16"/>
        <v>0</v>
      </c>
      <c r="BG46" s="68">
        <f t="shared" ca="1" si="16"/>
        <v>0</v>
      </c>
      <c r="BH46" s="68">
        <f t="shared" ca="1" si="16"/>
        <v>0</v>
      </c>
      <c r="BI46" s="68">
        <f t="shared" ca="1" si="16"/>
        <v>0</v>
      </c>
      <c r="BJ46" s="68">
        <f t="shared" ca="1" si="16"/>
        <v>0</v>
      </c>
      <c r="BK46" s="68">
        <f t="shared" ca="1" si="16"/>
        <v>0</v>
      </c>
      <c r="BL46" s="68">
        <f t="shared" ca="1" si="16"/>
        <v>0</v>
      </c>
      <c r="BM46" s="68">
        <f t="shared" ca="1" si="16"/>
        <v>0</v>
      </c>
      <c r="BN46" s="68">
        <f t="shared" ca="1" si="16"/>
        <v>0</v>
      </c>
      <c r="BO46" s="68">
        <f t="shared" ca="1" si="16"/>
        <v>0</v>
      </c>
      <c r="BP46" s="68">
        <f t="shared" ca="1" si="16"/>
        <v>0</v>
      </c>
      <c r="BQ46" s="68">
        <f t="shared" ca="1" si="20"/>
        <v>0</v>
      </c>
      <c r="BR46" s="68">
        <f t="shared" ca="1" si="20"/>
        <v>0</v>
      </c>
      <c r="BS46" s="68">
        <f t="shared" ca="1" si="20"/>
        <v>0</v>
      </c>
      <c r="BT46" s="68">
        <f t="shared" ca="1" si="20"/>
        <v>0</v>
      </c>
    </row>
    <row r="47" spans="1:72" x14ac:dyDescent="0.2">
      <c r="A47" s="327">
        <f t="shared" ca="1" si="6"/>
        <v>43877</v>
      </c>
      <c r="B47" s="88">
        <f t="shared" ca="1" si="9"/>
        <v>43871</v>
      </c>
      <c r="C47" s="68">
        <v>42</v>
      </c>
      <c r="D47" s="68" t="str">
        <f t="shared" ca="1" si="10"/>
        <v/>
      </c>
      <c r="E47" s="68" t="str">
        <f t="shared" ca="1" si="0"/>
        <v xml:space="preserve"> </v>
      </c>
      <c r="F47" s="68">
        <f t="shared" ca="1" si="7"/>
        <v>7</v>
      </c>
      <c r="G47" s="68" t="str">
        <f>ROW(A42)&amp;". "&amp;'Critical resources'!B53</f>
        <v xml:space="preserve">42. </v>
      </c>
      <c r="H47" s="68">
        <f ca="1">IFERROR(VLOOKUP('Critical resources'!D53,$B$6:$C$57,2,0),0)</f>
        <v>0</v>
      </c>
      <c r="I47" s="68">
        <f ca="1">IFERROR(VLOOKUP('Critical resources'!E53,$A$6:$C$57,3,0),0)</f>
        <v>0</v>
      </c>
      <c r="J47" s="68">
        <f ca="1">IFERROR(VLOOKUP('Critical resources'!G53,$B$6:$C$57,2,0),0)</f>
        <v>0</v>
      </c>
      <c r="K47" s="68">
        <f ca="1">IFERROR(VLOOKUP('Critical resources'!H53,$B$6:$C$57,2,0),0)</f>
        <v>0</v>
      </c>
      <c r="L47" s="68">
        <f ca="1">IFERROR(VLOOKUP('Critical resources'!J53,$B$6:$C$57,2,0),0)</f>
        <v>0</v>
      </c>
      <c r="M47" s="68">
        <f ca="1">IFERROR(VLOOKUP('Critical resources'!K53,$A$6:$C$57,3,0),0)</f>
        <v>0</v>
      </c>
      <c r="N47" s="68">
        <f ca="1">IFERROR(VLOOKUP('Critical resources'!M53,$B$6:$C$57,2,0),0)</f>
        <v>0</v>
      </c>
      <c r="O47" s="68">
        <f ca="1">IFERROR(VLOOKUP('Critical resources'!N53,$A$6:$C$57,3,0),0)</f>
        <v>0</v>
      </c>
      <c r="P47" s="68">
        <f ca="1">IFERROR(VLOOKUP('Critical resources'!P53,$B$6:$C$57,2,0),0)</f>
        <v>0</v>
      </c>
      <c r="Q47" s="68">
        <f ca="1">IFERROR(VLOOKUP('Critical resources'!Q53,$A$6:$C$57,3,0),0)</f>
        <v>0</v>
      </c>
      <c r="T47" s="68" t="str">
        <f t="shared" si="17"/>
        <v xml:space="preserve">42. </v>
      </c>
      <c r="U47" s="68">
        <f t="shared" ca="1" si="19"/>
        <v>0</v>
      </c>
      <c r="V47" s="68">
        <f t="shared" ca="1" si="19"/>
        <v>0</v>
      </c>
      <c r="W47" s="68">
        <f t="shared" ca="1" si="19"/>
        <v>0</v>
      </c>
      <c r="X47" s="68">
        <f t="shared" ca="1" si="19"/>
        <v>0</v>
      </c>
      <c r="Y47" s="68">
        <f t="shared" ca="1" si="19"/>
        <v>0</v>
      </c>
      <c r="Z47" s="68">
        <f t="shared" ca="1" si="19"/>
        <v>0</v>
      </c>
      <c r="AA47" s="68">
        <f t="shared" ca="1" si="19"/>
        <v>0</v>
      </c>
      <c r="AB47" s="68">
        <f t="shared" ca="1" si="19"/>
        <v>0</v>
      </c>
      <c r="AC47" s="68">
        <f t="shared" ca="1" si="19"/>
        <v>0</v>
      </c>
      <c r="AD47" s="68">
        <f t="shared" ca="1" si="19"/>
        <v>0</v>
      </c>
      <c r="AE47" s="68">
        <f t="shared" ca="1" si="19"/>
        <v>0</v>
      </c>
      <c r="AF47" s="68">
        <f t="shared" ca="1" si="19"/>
        <v>0</v>
      </c>
      <c r="AG47" s="68">
        <f t="shared" ca="1" si="19"/>
        <v>0</v>
      </c>
      <c r="AH47" s="68">
        <f t="shared" ca="1" si="19"/>
        <v>0</v>
      </c>
      <c r="AI47" s="68">
        <f t="shared" ca="1" si="19"/>
        <v>0</v>
      </c>
      <c r="AJ47" s="68">
        <f t="shared" ca="1" si="18"/>
        <v>0</v>
      </c>
      <c r="AK47" s="68">
        <f t="shared" ca="1" si="15"/>
        <v>0</v>
      </c>
      <c r="AL47" s="68">
        <f t="shared" ca="1" si="15"/>
        <v>0</v>
      </c>
      <c r="AM47" s="68">
        <f t="shared" ca="1" si="15"/>
        <v>0</v>
      </c>
      <c r="AN47" s="68">
        <f t="shared" ca="1" si="15"/>
        <v>0</v>
      </c>
      <c r="AO47" s="68">
        <f t="shared" ca="1" si="15"/>
        <v>0</v>
      </c>
      <c r="AP47" s="68">
        <f t="shared" ca="1" si="15"/>
        <v>0</v>
      </c>
      <c r="AQ47" s="68">
        <f t="shared" ca="1" si="15"/>
        <v>0</v>
      </c>
      <c r="AR47" s="68">
        <f t="shared" ca="1" si="15"/>
        <v>0</v>
      </c>
      <c r="AS47" s="68">
        <f t="shared" ca="1" si="15"/>
        <v>0</v>
      </c>
      <c r="AT47" s="68">
        <f t="shared" ca="1" si="15"/>
        <v>0</v>
      </c>
      <c r="AU47" s="68">
        <f t="shared" ca="1" si="15"/>
        <v>0</v>
      </c>
      <c r="AV47" s="68">
        <f t="shared" ca="1" si="15"/>
        <v>0</v>
      </c>
      <c r="AW47" s="68">
        <f t="shared" ca="1" si="15"/>
        <v>0</v>
      </c>
      <c r="AX47" s="68">
        <f t="shared" ca="1" si="15"/>
        <v>0</v>
      </c>
      <c r="AY47" s="68">
        <f t="shared" ca="1" si="15"/>
        <v>0</v>
      </c>
      <c r="AZ47" s="68">
        <f t="shared" ca="1" si="15"/>
        <v>0</v>
      </c>
      <c r="BA47" s="68">
        <f t="shared" ca="1" si="16"/>
        <v>0</v>
      </c>
      <c r="BB47" s="68">
        <f t="shared" ca="1" si="16"/>
        <v>0</v>
      </c>
      <c r="BC47" s="68">
        <f t="shared" ca="1" si="16"/>
        <v>0</v>
      </c>
      <c r="BD47" s="68">
        <f t="shared" ca="1" si="16"/>
        <v>0</v>
      </c>
      <c r="BE47" s="68">
        <f t="shared" ca="1" si="16"/>
        <v>0</v>
      </c>
      <c r="BF47" s="68">
        <f t="shared" ca="1" si="16"/>
        <v>0</v>
      </c>
      <c r="BG47" s="68">
        <f t="shared" ca="1" si="16"/>
        <v>0</v>
      </c>
      <c r="BH47" s="68">
        <f t="shared" ca="1" si="16"/>
        <v>0</v>
      </c>
      <c r="BI47" s="68">
        <f t="shared" ca="1" si="16"/>
        <v>0</v>
      </c>
      <c r="BJ47" s="68">
        <f t="shared" ca="1" si="16"/>
        <v>0</v>
      </c>
      <c r="BK47" s="68">
        <f t="shared" ca="1" si="16"/>
        <v>0</v>
      </c>
      <c r="BL47" s="68">
        <f t="shared" ca="1" si="16"/>
        <v>0</v>
      </c>
      <c r="BM47" s="68">
        <f t="shared" ca="1" si="16"/>
        <v>0</v>
      </c>
      <c r="BN47" s="68">
        <f t="shared" ca="1" si="16"/>
        <v>0</v>
      </c>
      <c r="BO47" s="68">
        <f t="shared" ca="1" si="16"/>
        <v>0</v>
      </c>
      <c r="BP47" s="68">
        <f t="shared" ca="1" si="16"/>
        <v>0</v>
      </c>
      <c r="BQ47" s="68">
        <f t="shared" ca="1" si="20"/>
        <v>0</v>
      </c>
      <c r="BR47" s="68">
        <f t="shared" ca="1" si="20"/>
        <v>0</v>
      </c>
      <c r="BS47" s="68">
        <f t="shared" ca="1" si="20"/>
        <v>0</v>
      </c>
      <c r="BT47" s="68">
        <f t="shared" ca="1" si="20"/>
        <v>0</v>
      </c>
    </row>
    <row r="48" spans="1:72" x14ac:dyDescent="0.2">
      <c r="A48" s="327">
        <f t="shared" ca="1" si="6"/>
        <v>43884</v>
      </c>
      <c r="B48" s="88">
        <f t="shared" ca="1" si="9"/>
        <v>43878</v>
      </c>
      <c r="C48" s="68">
        <v>43</v>
      </c>
      <c r="D48" s="68" t="str">
        <f t="shared" ca="1" si="10"/>
        <v/>
      </c>
      <c r="E48" s="68" t="str">
        <f t="shared" ca="1" si="0"/>
        <v xml:space="preserve"> </v>
      </c>
      <c r="F48" s="68">
        <f t="shared" ca="1" si="7"/>
        <v>8</v>
      </c>
      <c r="G48" s="68" t="str">
        <f>ROW(A43)&amp;". "&amp;'Critical resources'!B54</f>
        <v xml:space="preserve">43. </v>
      </c>
      <c r="H48" s="68">
        <f ca="1">IFERROR(VLOOKUP('Critical resources'!D54,$B$6:$C$57,2,0),0)</f>
        <v>0</v>
      </c>
      <c r="I48" s="68">
        <f ca="1">IFERROR(VLOOKUP('Critical resources'!E54,$A$6:$C$57,3,0),0)</f>
        <v>0</v>
      </c>
      <c r="J48" s="68">
        <f ca="1">IFERROR(VLOOKUP('Critical resources'!G54,$B$6:$C$57,2,0),0)</f>
        <v>0</v>
      </c>
      <c r="K48" s="68">
        <f ca="1">IFERROR(VLOOKUP('Critical resources'!H54,$B$6:$C$57,2,0),0)</f>
        <v>0</v>
      </c>
      <c r="L48" s="68">
        <f ca="1">IFERROR(VLOOKUP('Critical resources'!J54,$B$6:$C$57,2,0),0)</f>
        <v>0</v>
      </c>
      <c r="M48" s="68">
        <f ca="1">IFERROR(VLOOKUP('Critical resources'!K54,$A$6:$C$57,3,0),0)</f>
        <v>0</v>
      </c>
      <c r="N48" s="68">
        <f ca="1">IFERROR(VLOOKUP('Critical resources'!M54,$B$6:$C$57,2,0),0)</f>
        <v>0</v>
      </c>
      <c r="O48" s="68">
        <f ca="1">IFERROR(VLOOKUP('Critical resources'!N54,$A$6:$C$57,3,0),0)</f>
        <v>0</v>
      </c>
      <c r="P48" s="68">
        <f ca="1">IFERROR(VLOOKUP('Critical resources'!P54,$B$6:$C$57,2,0),0)</f>
        <v>0</v>
      </c>
      <c r="Q48" s="68">
        <f ca="1">IFERROR(VLOOKUP('Critical resources'!Q54,$A$6:$C$57,3,0),0)</f>
        <v>0</v>
      </c>
      <c r="T48" s="68" t="str">
        <f t="shared" si="17"/>
        <v xml:space="preserve">43. </v>
      </c>
      <c r="U48" s="68">
        <f t="shared" ca="1" si="19"/>
        <v>0</v>
      </c>
      <c r="V48" s="68">
        <f t="shared" ca="1" si="19"/>
        <v>0</v>
      </c>
      <c r="W48" s="68">
        <f t="shared" ca="1" si="19"/>
        <v>0</v>
      </c>
      <c r="X48" s="68">
        <f t="shared" ca="1" si="19"/>
        <v>0</v>
      </c>
      <c r="Y48" s="68">
        <f t="shared" ca="1" si="19"/>
        <v>0</v>
      </c>
      <c r="Z48" s="68">
        <f t="shared" ca="1" si="19"/>
        <v>0</v>
      </c>
      <c r="AA48" s="68">
        <f t="shared" ca="1" si="19"/>
        <v>0</v>
      </c>
      <c r="AB48" s="68">
        <f t="shared" ca="1" si="19"/>
        <v>0</v>
      </c>
      <c r="AC48" s="68">
        <f t="shared" ca="1" si="19"/>
        <v>0</v>
      </c>
      <c r="AD48" s="68">
        <f t="shared" ca="1" si="19"/>
        <v>0</v>
      </c>
      <c r="AE48" s="68">
        <f t="shared" ca="1" si="19"/>
        <v>0</v>
      </c>
      <c r="AF48" s="68">
        <f t="shared" ca="1" si="19"/>
        <v>0</v>
      </c>
      <c r="AG48" s="68">
        <f t="shared" ca="1" si="19"/>
        <v>0</v>
      </c>
      <c r="AH48" s="68">
        <f t="shared" ca="1" si="19"/>
        <v>0</v>
      </c>
      <c r="AI48" s="68">
        <f t="shared" ca="1" si="19"/>
        <v>0</v>
      </c>
      <c r="AJ48" s="68">
        <f t="shared" ca="1" si="18"/>
        <v>0</v>
      </c>
      <c r="AK48" s="68">
        <f t="shared" ca="1" si="15"/>
        <v>0</v>
      </c>
      <c r="AL48" s="68">
        <f t="shared" ca="1" si="15"/>
        <v>0</v>
      </c>
      <c r="AM48" s="68">
        <f t="shared" ca="1" si="15"/>
        <v>0</v>
      </c>
      <c r="AN48" s="68">
        <f t="shared" ca="1" si="15"/>
        <v>0</v>
      </c>
      <c r="AO48" s="68">
        <f t="shared" ca="1" si="15"/>
        <v>0</v>
      </c>
      <c r="AP48" s="68">
        <f t="shared" ca="1" si="15"/>
        <v>0</v>
      </c>
      <c r="AQ48" s="68">
        <f t="shared" ca="1" si="15"/>
        <v>0</v>
      </c>
      <c r="AR48" s="68">
        <f t="shared" ca="1" si="15"/>
        <v>0</v>
      </c>
      <c r="AS48" s="68">
        <f t="shared" ca="1" si="15"/>
        <v>0</v>
      </c>
      <c r="AT48" s="68">
        <f t="shared" ca="1" si="15"/>
        <v>0</v>
      </c>
      <c r="AU48" s="68">
        <f t="shared" ca="1" si="15"/>
        <v>0</v>
      </c>
      <c r="AV48" s="68">
        <f t="shared" ca="1" si="15"/>
        <v>0</v>
      </c>
      <c r="AW48" s="68">
        <f t="shared" ca="1" si="15"/>
        <v>0</v>
      </c>
      <c r="AX48" s="68">
        <f t="shared" ca="1" si="15"/>
        <v>0</v>
      </c>
      <c r="AY48" s="68">
        <f t="shared" ca="1" si="15"/>
        <v>0</v>
      </c>
      <c r="AZ48" s="68">
        <f t="shared" ca="1" si="15"/>
        <v>0</v>
      </c>
      <c r="BA48" s="68">
        <f t="shared" ca="1" si="16"/>
        <v>0</v>
      </c>
      <c r="BB48" s="68">
        <f t="shared" ca="1" si="16"/>
        <v>0</v>
      </c>
      <c r="BC48" s="68">
        <f t="shared" ca="1" si="16"/>
        <v>0</v>
      </c>
      <c r="BD48" s="68">
        <f t="shared" ca="1" si="16"/>
        <v>0</v>
      </c>
      <c r="BE48" s="68">
        <f t="shared" ca="1" si="16"/>
        <v>0</v>
      </c>
      <c r="BF48" s="68">
        <f t="shared" ca="1" si="16"/>
        <v>0</v>
      </c>
      <c r="BG48" s="68">
        <f t="shared" ca="1" si="16"/>
        <v>0</v>
      </c>
      <c r="BH48" s="68">
        <f t="shared" ca="1" si="16"/>
        <v>0</v>
      </c>
      <c r="BI48" s="68">
        <f t="shared" ca="1" si="16"/>
        <v>0</v>
      </c>
      <c r="BJ48" s="68">
        <f t="shared" ca="1" si="16"/>
        <v>0</v>
      </c>
      <c r="BK48" s="68">
        <f t="shared" ca="1" si="16"/>
        <v>0</v>
      </c>
      <c r="BL48" s="68">
        <f t="shared" ca="1" si="16"/>
        <v>0</v>
      </c>
      <c r="BM48" s="68">
        <f t="shared" ca="1" si="16"/>
        <v>0</v>
      </c>
      <c r="BN48" s="68">
        <f t="shared" ca="1" si="16"/>
        <v>0</v>
      </c>
      <c r="BO48" s="68">
        <f t="shared" ca="1" si="16"/>
        <v>0</v>
      </c>
      <c r="BP48" s="68">
        <f t="shared" ca="1" si="16"/>
        <v>0</v>
      </c>
      <c r="BQ48" s="68">
        <f t="shared" ca="1" si="20"/>
        <v>0</v>
      </c>
      <c r="BR48" s="68">
        <f t="shared" ca="1" si="20"/>
        <v>0</v>
      </c>
      <c r="BS48" s="68">
        <f t="shared" ca="1" si="20"/>
        <v>0</v>
      </c>
      <c r="BT48" s="68">
        <f t="shared" ca="1" si="20"/>
        <v>0</v>
      </c>
    </row>
    <row r="49" spans="1:72" x14ac:dyDescent="0.2">
      <c r="A49" s="327">
        <f t="shared" ca="1" si="6"/>
        <v>43891</v>
      </c>
      <c r="B49" s="88">
        <f t="shared" ca="1" si="9"/>
        <v>43885</v>
      </c>
      <c r="C49" s="68">
        <v>44</v>
      </c>
      <c r="D49" s="68" t="str">
        <f t="shared" ca="1" si="10"/>
        <v/>
      </c>
      <c r="E49" s="68" t="str">
        <f t="shared" ca="1" si="0"/>
        <v xml:space="preserve"> </v>
      </c>
      <c r="F49" s="68">
        <f t="shared" ca="1" si="7"/>
        <v>9</v>
      </c>
      <c r="G49" s="68" t="str">
        <f>ROW(A44)&amp;". "&amp;'Critical resources'!B55</f>
        <v xml:space="preserve">44. </v>
      </c>
      <c r="H49" s="68">
        <f ca="1">IFERROR(VLOOKUP('Critical resources'!D55,$B$6:$C$57,2,0),0)</f>
        <v>0</v>
      </c>
      <c r="I49" s="68">
        <f ca="1">IFERROR(VLOOKUP('Critical resources'!E55,$A$6:$C$57,3,0),0)</f>
        <v>0</v>
      </c>
      <c r="J49" s="68">
        <f ca="1">IFERROR(VLOOKUP('Critical resources'!G55,$B$6:$C$57,2,0),0)</f>
        <v>0</v>
      </c>
      <c r="K49" s="68">
        <f ca="1">IFERROR(VLOOKUP('Critical resources'!H55,$B$6:$C$57,2,0),0)</f>
        <v>0</v>
      </c>
      <c r="L49" s="68">
        <f ca="1">IFERROR(VLOOKUP('Critical resources'!J55,$B$6:$C$57,2,0),0)</f>
        <v>0</v>
      </c>
      <c r="M49" s="68">
        <f ca="1">IFERROR(VLOOKUP('Critical resources'!K55,$A$6:$C$57,3,0),0)</f>
        <v>0</v>
      </c>
      <c r="N49" s="68">
        <f ca="1">IFERROR(VLOOKUP('Critical resources'!M55,$B$6:$C$57,2,0),0)</f>
        <v>0</v>
      </c>
      <c r="O49" s="68">
        <f ca="1">IFERROR(VLOOKUP('Critical resources'!N55,$A$6:$C$57,3,0),0)</f>
        <v>0</v>
      </c>
      <c r="P49" s="68">
        <f ca="1">IFERROR(VLOOKUP('Critical resources'!P55,$B$6:$C$57,2,0),0)</f>
        <v>0</v>
      </c>
      <c r="Q49" s="68">
        <f ca="1">IFERROR(VLOOKUP('Critical resources'!Q55,$A$6:$C$57,3,0),0)</f>
        <v>0</v>
      </c>
      <c r="T49" s="68" t="str">
        <f t="shared" si="17"/>
        <v xml:space="preserve">44. </v>
      </c>
      <c r="U49" s="68">
        <f t="shared" ca="1" si="19"/>
        <v>0</v>
      </c>
      <c r="V49" s="68">
        <f t="shared" ca="1" si="19"/>
        <v>0</v>
      </c>
      <c r="W49" s="68">
        <f t="shared" ca="1" si="19"/>
        <v>0</v>
      </c>
      <c r="X49" s="68">
        <f t="shared" ca="1" si="19"/>
        <v>0</v>
      </c>
      <c r="Y49" s="68">
        <f t="shared" ca="1" si="19"/>
        <v>0</v>
      </c>
      <c r="Z49" s="68">
        <f t="shared" ca="1" si="19"/>
        <v>0</v>
      </c>
      <c r="AA49" s="68">
        <f t="shared" ca="1" si="19"/>
        <v>0</v>
      </c>
      <c r="AB49" s="68">
        <f t="shared" ca="1" si="19"/>
        <v>0</v>
      </c>
      <c r="AC49" s="68">
        <f t="shared" ca="1" si="19"/>
        <v>0</v>
      </c>
      <c r="AD49" s="68">
        <f t="shared" ca="1" si="19"/>
        <v>0</v>
      </c>
      <c r="AE49" s="68">
        <f t="shared" ca="1" si="19"/>
        <v>0</v>
      </c>
      <c r="AF49" s="68">
        <f t="shared" ca="1" si="19"/>
        <v>0</v>
      </c>
      <c r="AG49" s="68">
        <f t="shared" ca="1" si="19"/>
        <v>0</v>
      </c>
      <c r="AH49" s="68">
        <f t="shared" ca="1" si="19"/>
        <v>0</v>
      </c>
      <c r="AI49" s="68">
        <f t="shared" ca="1" si="19"/>
        <v>0</v>
      </c>
      <c r="AJ49" s="68">
        <f t="shared" ca="1" si="18"/>
        <v>0</v>
      </c>
      <c r="AK49" s="68">
        <f t="shared" ca="1" si="15"/>
        <v>0</v>
      </c>
      <c r="AL49" s="68">
        <f t="shared" ca="1" si="15"/>
        <v>0</v>
      </c>
      <c r="AM49" s="68">
        <f t="shared" ca="1" si="15"/>
        <v>0</v>
      </c>
      <c r="AN49" s="68">
        <f t="shared" ca="1" si="15"/>
        <v>0</v>
      </c>
      <c r="AO49" s="68">
        <f t="shared" ca="1" si="15"/>
        <v>0</v>
      </c>
      <c r="AP49" s="68">
        <f t="shared" ca="1" si="15"/>
        <v>0</v>
      </c>
      <c r="AQ49" s="68">
        <f t="shared" ca="1" si="15"/>
        <v>0</v>
      </c>
      <c r="AR49" s="68">
        <f t="shared" ca="1" si="15"/>
        <v>0</v>
      </c>
      <c r="AS49" s="68">
        <f t="shared" ca="1" si="15"/>
        <v>0</v>
      </c>
      <c r="AT49" s="68">
        <f t="shared" ca="1" si="15"/>
        <v>0</v>
      </c>
      <c r="AU49" s="68">
        <f t="shared" ca="1" si="15"/>
        <v>0</v>
      </c>
      <c r="AV49" s="68">
        <f t="shared" ca="1" si="15"/>
        <v>0</v>
      </c>
      <c r="AW49" s="68">
        <f t="shared" ca="1" si="15"/>
        <v>0</v>
      </c>
      <c r="AX49" s="68">
        <f t="shared" ca="1" si="15"/>
        <v>0</v>
      </c>
      <c r="AY49" s="68">
        <f t="shared" ca="1" si="15"/>
        <v>0</v>
      </c>
      <c r="AZ49" s="68">
        <f t="shared" ca="1" si="15"/>
        <v>0</v>
      </c>
      <c r="BA49" s="68">
        <f t="shared" ca="1" si="16"/>
        <v>0</v>
      </c>
      <c r="BB49" s="68">
        <f t="shared" ca="1" si="16"/>
        <v>0</v>
      </c>
      <c r="BC49" s="68">
        <f t="shared" ca="1" si="16"/>
        <v>0</v>
      </c>
      <c r="BD49" s="68">
        <f t="shared" ca="1" si="16"/>
        <v>0</v>
      </c>
      <c r="BE49" s="68">
        <f t="shared" ca="1" si="16"/>
        <v>0</v>
      </c>
      <c r="BF49" s="68">
        <f t="shared" ca="1" si="16"/>
        <v>0</v>
      </c>
      <c r="BG49" s="68">
        <f t="shared" ca="1" si="16"/>
        <v>0</v>
      </c>
      <c r="BH49" s="68">
        <f t="shared" ca="1" si="16"/>
        <v>0</v>
      </c>
      <c r="BI49" s="68">
        <f t="shared" ca="1" si="16"/>
        <v>0</v>
      </c>
      <c r="BJ49" s="68">
        <f t="shared" ca="1" si="16"/>
        <v>0</v>
      </c>
      <c r="BK49" s="68">
        <f t="shared" ca="1" si="16"/>
        <v>0</v>
      </c>
      <c r="BL49" s="68">
        <f t="shared" ca="1" si="16"/>
        <v>0</v>
      </c>
      <c r="BM49" s="68">
        <f t="shared" ca="1" si="16"/>
        <v>0</v>
      </c>
      <c r="BN49" s="68">
        <f t="shared" ca="1" si="16"/>
        <v>0</v>
      </c>
      <c r="BO49" s="68">
        <f t="shared" ca="1" si="16"/>
        <v>0</v>
      </c>
      <c r="BP49" s="68">
        <f t="shared" ca="1" si="16"/>
        <v>0</v>
      </c>
      <c r="BQ49" s="68">
        <f t="shared" ca="1" si="20"/>
        <v>0</v>
      </c>
      <c r="BR49" s="68">
        <f t="shared" ca="1" si="20"/>
        <v>0</v>
      </c>
      <c r="BS49" s="68">
        <f t="shared" ca="1" si="20"/>
        <v>0</v>
      </c>
      <c r="BT49" s="68">
        <f t="shared" ca="1" si="20"/>
        <v>0</v>
      </c>
    </row>
    <row r="50" spans="1:72" x14ac:dyDescent="0.2">
      <c r="A50" s="327">
        <f t="shared" ca="1" si="6"/>
        <v>43898</v>
      </c>
      <c r="B50" s="88">
        <f t="shared" ca="1" si="9"/>
        <v>43892</v>
      </c>
      <c r="C50" s="68">
        <v>45</v>
      </c>
      <c r="D50" s="68" t="str">
        <f t="shared" ca="1" si="10"/>
        <v/>
      </c>
      <c r="E50" s="68" t="str">
        <f t="shared" ca="1" si="0"/>
        <v>Mar</v>
      </c>
      <c r="F50" s="68">
        <f t="shared" ca="1" si="7"/>
        <v>10</v>
      </c>
      <c r="G50" s="68" t="str">
        <f>ROW(A45)&amp;". "&amp;'Critical resources'!B56</f>
        <v xml:space="preserve">45. </v>
      </c>
      <c r="H50" s="68">
        <f ca="1">IFERROR(VLOOKUP('Critical resources'!D56,$B$6:$C$57,2,0),0)</f>
        <v>0</v>
      </c>
      <c r="I50" s="68">
        <f ca="1">IFERROR(VLOOKUP('Critical resources'!E56,$A$6:$C$57,3,0),0)</f>
        <v>0</v>
      </c>
      <c r="J50" s="68">
        <f ca="1">IFERROR(VLOOKUP('Critical resources'!G56,$B$6:$C$57,2,0),0)</f>
        <v>0</v>
      </c>
      <c r="K50" s="68">
        <f ca="1">IFERROR(VLOOKUP('Critical resources'!H56,$B$6:$C$57,2,0),0)</f>
        <v>0</v>
      </c>
      <c r="L50" s="68">
        <f ca="1">IFERROR(VLOOKUP('Critical resources'!J56,$B$6:$C$57,2,0),0)</f>
        <v>0</v>
      </c>
      <c r="M50" s="68">
        <f ca="1">IFERROR(VLOOKUP('Critical resources'!K56,$A$6:$C$57,3,0),0)</f>
        <v>0</v>
      </c>
      <c r="N50" s="68">
        <f ca="1">IFERROR(VLOOKUP('Critical resources'!M56,$B$6:$C$57,2,0),0)</f>
        <v>0</v>
      </c>
      <c r="O50" s="68">
        <f ca="1">IFERROR(VLOOKUP('Critical resources'!N56,$A$6:$C$57,3,0),0)</f>
        <v>0</v>
      </c>
      <c r="P50" s="68">
        <f ca="1">IFERROR(VLOOKUP('Critical resources'!P56,$B$6:$C$57,2,0),0)</f>
        <v>0</v>
      </c>
      <c r="Q50" s="68">
        <f ca="1">IFERROR(VLOOKUP('Critical resources'!Q56,$A$6:$C$57,3,0),0)</f>
        <v>0</v>
      </c>
      <c r="T50" s="68" t="str">
        <f t="shared" si="17"/>
        <v xml:space="preserve">45. </v>
      </c>
      <c r="U50" s="68">
        <f t="shared" ca="1" si="19"/>
        <v>0</v>
      </c>
      <c r="V50" s="68">
        <f t="shared" ca="1" si="19"/>
        <v>0</v>
      </c>
      <c r="W50" s="68">
        <f t="shared" ca="1" si="19"/>
        <v>0</v>
      </c>
      <c r="X50" s="68">
        <f t="shared" ca="1" si="19"/>
        <v>0</v>
      </c>
      <c r="Y50" s="68">
        <f t="shared" ca="1" si="19"/>
        <v>0</v>
      </c>
      <c r="Z50" s="68">
        <f t="shared" ca="1" si="19"/>
        <v>0</v>
      </c>
      <c r="AA50" s="68">
        <f t="shared" ca="1" si="19"/>
        <v>0</v>
      </c>
      <c r="AB50" s="68">
        <f t="shared" ca="1" si="19"/>
        <v>0</v>
      </c>
      <c r="AC50" s="68">
        <f t="shared" ca="1" si="19"/>
        <v>0</v>
      </c>
      <c r="AD50" s="68">
        <f t="shared" ca="1" si="19"/>
        <v>0</v>
      </c>
      <c r="AE50" s="68">
        <f t="shared" ca="1" si="19"/>
        <v>0</v>
      </c>
      <c r="AF50" s="68">
        <f t="shared" ca="1" si="19"/>
        <v>0</v>
      </c>
      <c r="AG50" s="68">
        <f t="shared" ca="1" si="19"/>
        <v>0</v>
      </c>
      <c r="AH50" s="68">
        <f t="shared" ca="1" si="19"/>
        <v>0</v>
      </c>
      <c r="AI50" s="68">
        <f t="shared" ca="1" si="19"/>
        <v>0</v>
      </c>
      <c r="AJ50" s="68">
        <f t="shared" ca="1" si="18"/>
        <v>0</v>
      </c>
      <c r="AK50" s="68">
        <f t="shared" ca="1" si="15"/>
        <v>0</v>
      </c>
      <c r="AL50" s="68">
        <f t="shared" ca="1" si="15"/>
        <v>0</v>
      </c>
      <c r="AM50" s="68">
        <f t="shared" ca="1" si="15"/>
        <v>0</v>
      </c>
      <c r="AN50" s="68">
        <f t="shared" ca="1" si="15"/>
        <v>0</v>
      </c>
      <c r="AO50" s="68">
        <f t="shared" ca="1" si="15"/>
        <v>0</v>
      </c>
      <c r="AP50" s="68">
        <f t="shared" ca="1" si="15"/>
        <v>0</v>
      </c>
      <c r="AQ50" s="68">
        <f t="shared" ca="1" si="15"/>
        <v>0</v>
      </c>
      <c r="AR50" s="68">
        <f t="shared" ca="1" si="15"/>
        <v>0</v>
      </c>
      <c r="AS50" s="68">
        <f t="shared" ca="1" si="15"/>
        <v>0</v>
      </c>
      <c r="AT50" s="68">
        <f t="shared" ca="1" si="15"/>
        <v>0</v>
      </c>
      <c r="AU50" s="68">
        <f t="shared" ca="1" si="15"/>
        <v>0</v>
      </c>
      <c r="AV50" s="68">
        <f t="shared" ca="1" si="15"/>
        <v>0</v>
      </c>
      <c r="AW50" s="68">
        <f t="shared" ca="1" si="15"/>
        <v>0</v>
      </c>
      <c r="AX50" s="68">
        <f t="shared" ca="1" si="15"/>
        <v>0</v>
      </c>
      <c r="AY50" s="68">
        <f t="shared" ca="1" si="15"/>
        <v>0</v>
      </c>
      <c r="AZ50" s="68">
        <f t="shared" ca="1" si="15"/>
        <v>0</v>
      </c>
      <c r="BA50" s="68">
        <f t="shared" ca="1" si="16"/>
        <v>0</v>
      </c>
      <c r="BB50" s="68">
        <f t="shared" ca="1" si="16"/>
        <v>0</v>
      </c>
      <c r="BC50" s="68">
        <f t="shared" ca="1" si="16"/>
        <v>0</v>
      </c>
      <c r="BD50" s="68">
        <f t="shared" ca="1" si="16"/>
        <v>0</v>
      </c>
      <c r="BE50" s="68">
        <f t="shared" ca="1" si="16"/>
        <v>0</v>
      </c>
      <c r="BF50" s="68">
        <f t="shared" ca="1" si="16"/>
        <v>0</v>
      </c>
      <c r="BG50" s="68">
        <f t="shared" ca="1" si="16"/>
        <v>0</v>
      </c>
      <c r="BH50" s="68">
        <f t="shared" ca="1" si="16"/>
        <v>0</v>
      </c>
      <c r="BI50" s="68">
        <f t="shared" ca="1" si="16"/>
        <v>0</v>
      </c>
      <c r="BJ50" s="68">
        <f t="shared" ca="1" si="16"/>
        <v>0</v>
      </c>
      <c r="BK50" s="68">
        <f t="shared" ca="1" si="16"/>
        <v>0</v>
      </c>
      <c r="BL50" s="68">
        <f t="shared" ca="1" si="16"/>
        <v>0</v>
      </c>
      <c r="BM50" s="68">
        <f t="shared" ca="1" si="16"/>
        <v>0</v>
      </c>
      <c r="BN50" s="68">
        <f t="shared" ca="1" si="16"/>
        <v>0</v>
      </c>
      <c r="BO50" s="68">
        <f t="shared" ca="1" si="16"/>
        <v>0</v>
      </c>
      <c r="BP50" s="68">
        <f t="shared" ca="1" si="16"/>
        <v>0</v>
      </c>
      <c r="BQ50" s="68">
        <f t="shared" ca="1" si="20"/>
        <v>0</v>
      </c>
      <c r="BR50" s="68">
        <f t="shared" ca="1" si="20"/>
        <v>0</v>
      </c>
      <c r="BS50" s="68">
        <f t="shared" ca="1" si="20"/>
        <v>0</v>
      </c>
      <c r="BT50" s="68">
        <f t="shared" ca="1" si="20"/>
        <v>0</v>
      </c>
    </row>
    <row r="51" spans="1:72" x14ac:dyDescent="0.2">
      <c r="A51" s="327">
        <f t="shared" ca="1" si="6"/>
        <v>43905</v>
      </c>
      <c r="B51" s="88">
        <f t="shared" ca="1" si="9"/>
        <v>43899</v>
      </c>
      <c r="C51" s="68">
        <v>46</v>
      </c>
      <c r="D51" s="68" t="str">
        <f t="shared" ca="1" si="10"/>
        <v/>
      </c>
      <c r="E51" s="68" t="str">
        <f t="shared" ca="1" si="0"/>
        <v xml:space="preserve"> </v>
      </c>
      <c r="F51" s="68">
        <f t="shared" ca="1" si="7"/>
        <v>11</v>
      </c>
      <c r="G51" s="68" t="str">
        <f>ROW(A46)&amp;". "&amp;'Critical resources'!B57</f>
        <v xml:space="preserve">46. </v>
      </c>
      <c r="H51" s="68">
        <f ca="1">IFERROR(VLOOKUP('Critical resources'!D57,$B$6:$C$57,2,0),0)</f>
        <v>0</v>
      </c>
      <c r="I51" s="68">
        <f ca="1">IFERROR(VLOOKUP('Critical resources'!E57,$A$6:$C$57,3,0),0)</f>
        <v>0</v>
      </c>
      <c r="J51" s="68">
        <f ca="1">IFERROR(VLOOKUP('Critical resources'!G57,$B$6:$C$57,2,0),0)</f>
        <v>0</v>
      </c>
      <c r="K51" s="68">
        <f ca="1">IFERROR(VLOOKUP('Critical resources'!H57,$B$6:$C$57,2,0),0)</f>
        <v>0</v>
      </c>
      <c r="L51" s="68">
        <f ca="1">IFERROR(VLOOKUP('Critical resources'!J57,$B$6:$C$57,2,0),0)</f>
        <v>0</v>
      </c>
      <c r="M51" s="68">
        <f ca="1">IFERROR(VLOOKUP('Critical resources'!K57,$A$6:$C$57,3,0),0)</f>
        <v>0</v>
      </c>
      <c r="N51" s="68">
        <f ca="1">IFERROR(VLOOKUP('Critical resources'!M57,$B$6:$C$57,2,0),0)</f>
        <v>0</v>
      </c>
      <c r="O51" s="68">
        <f ca="1">IFERROR(VLOOKUP('Critical resources'!N57,$A$6:$C$57,3,0),0)</f>
        <v>0</v>
      </c>
      <c r="P51" s="68">
        <f ca="1">IFERROR(VLOOKUP('Critical resources'!P57,$B$6:$C$57,2,0),0)</f>
        <v>0</v>
      </c>
      <c r="Q51" s="68">
        <f ca="1">IFERROR(VLOOKUP('Critical resources'!Q57,$A$6:$C$57,3,0),0)</f>
        <v>0</v>
      </c>
      <c r="T51" s="68" t="str">
        <f t="shared" si="17"/>
        <v xml:space="preserve">46. </v>
      </c>
      <c r="U51" s="68">
        <f t="shared" ca="1" si="19"/>
        <v>0</v>
      </c>
      <c r="V51" s="68">
        <f t="shared" ca="1" si="19"/>
        <v>0</v>
      </c>
      <c r="W51" s="68">
        <f t="shared" ca="1" si="19"/>
        <v>0</v>
      </c>
      <c r="X51" s="68">
        <f t="shared" ca="1" si="19"/>
        <v>0</v>
      </c>
      <c r="Y51" s="68">
        <f t="shared" ca="1" si="19"/>
        <v>0</v>
      </c>
      <c r="Z51" s="68">
        <f t="shared" ca="1" si="19"/>
        <v>0</v>
      </c>
      <c r="AA51" s="68">
        <f t="shared" ca="1" si="19"/>
        <v>0</v>
      </c>
      <c r="AB51" s="68">
        <f t="shared" ca="1" si="19"/>
        <v>0</v>
      </c>
      <c r="AC51" s="68">
        <f t="shared" ca="1" si="19"/>
        <v>0</v>
      </c>
      <c r="AD51" s="68">
        <f t="shared" ca="1" si="19"/>
        <v>0</v>
      </c>
      <c r="AE51" s="68">
        <f t="shared" ca="1" si="19"/>
        <v>0</v>
      </c>
      <c r="AF51" s="68">
        <f t="shared" ca="1" si="19"/>
        <v>0</v>
      </c>
      <c r="AG51" s="68">
        <f t="shared" ca="1" si="19"/>
        <v>0</v>
      </c>
      <c r="AH51" s="68">
        <f t="shared" ca="1" si="19"/>
        <v>0</v>
      </c>
      <c r="AI51" s="68">
        <f t="shared" ca="1" si="19"/>
        <v>0</v>
      </c>
      <c r="AJ51" s="68">
        <f t="shared" ca="1" si="18"/>
        <v>0</v>
      </c>
      <c r="AK51" s="68">
        <f t="shared" ca="1" si="15"/>
        <v>0</v>
      </c>
      <c r="AL51" s="68">
        <f t="shared" ca="1" si="15"/>
        <v>0</v>
      </c>
      <c r="AM51" s="68">
        <f t="shared" ca="1" si="15"/>
        <v>0</v>
      </c>
      <c r="AN51" s="68">
        <f t="shared" ca="1" si="15"/>
        <v>0</v>
      </c>
      <c r="AO51" s="68">
        <f t="shared" ca="1" si="15"/>
        <v>0</v>
      </c>
      <c r="AP51" s="68">
        <f t="shared" ca="1" si="15"/>
        <v>0</v>
      </c>
      <c r="AQ51" s="68">
        <f t="shared" ca="1" si="15"/>
        <v>0</v>
      </c>
      <c r="AR51" s="68">
        <f t="shared" ca="1" si="15"/>
        <v>0</v>
      </c>
      <c r="AS51" s="68">
        <f t="shared" ca="1" si="15"/>
        <v>0</v>
      </c>
      <c r="AT51" s="68">
        <f t="shared" ca="1" si="15"/>
        <v>0</v>
      </c>
      <c r="AU51" s="68">
        <f t="shared" ca="1" si="15"/>
        <v>0</v>
      </c>
      <c r="AV51" s="68">
        <f t="shared" ca="1" si="15"/>
        <v>0</v>
      </c>
      <c r="AW51" s="68">
        <f t="shared" ca="1" si="15"/>
        <v>0</v>
      </c>
      <c r="AX51" s="68">
        <f t="shared" ca="1" si="15"/>
        <v>0</v>
      </c>
      <c r="AY51" s="68">
        <f t="shared" ca="1" si="15"/>
        <v>0</v>
      </c>
      <c r="AZ51" s="68">
        <f t="shared" ca="1" si="15"/>
        <v>0</v>
      </c>
      <c r="BA51" s="68">
        <f t="shared" ca="1" si="16"/>
        <v>0</v>
      </c>
      <c r="BB51" s="68">
        <f t="shared" ca="1" si="16"/>
        <v>0</v>
      </c>
      <c r="BC51" s="68">
        <f t="shared" ca="1" si="16"/>
        <v>0</v>
      </c>
      <c r="BD51" s="68">
        <f t="shared" ca="1" si="16"/>
        <v>0</v>
      </c>
      <c r="BE51" s="68">
        <f t="shared" ca="1" si="16"/>
        <v>0</v>
      </c>
      <c r="BF51" s="68">
        <f t="shared" ca="1" si="16"/>
        <v>0</v>
      </c>
      <c r="BG51" s="68">
        <f t="shared" ca="1" si="16"/>
        <v>0</v>
      </c>
      <c r="BH51" s="68">
        <f t="shared" ca="1" si="16"/>
        <v>0</v>
      </c>
      <c r="BI51" s="68">
        <f t="shared" ca="1" si="16"/>
        <v>0</v>
      </c>
      <c r="BJ51" s="68">
        <f t="shared" ca="1" si="16"/>
        <v>0</v>
      </c>
      <c r="BK51" s="68">
        <f t="shared" ca="1" si="16"/>
        <v>0</v>
      </c>
      <c r="BL51" s="68">
        <f t="shared" ca="1" si="16"/>
        <v>0</v>
      </c>
      <c r="BM51" s="68">
        <f t="shared" ca="1" si="16"/>
        <v>0</v>
      </c>
      <c r="BN51" s="68">
        <f t="shared" ca="1" si="16"/>
        <v>0</v>
      </c>
      <c r="BO51" s="68">
        <f t="shared" ca="1" si="16"/>
        <v>0</v>
      </c>
      <c r="BP51" s="68">
        <f t="shared" ca="1" si="16"/>
        <v>0</v>
      </c>
      <c r="BQ51" s="68">
        <f t="shared" ca="1" si="20"/>
        <v>0</v>
      </c>
      <c r="BR51" s="68">
        <f t="shared" ca="1" si="20"/>
        <v>0</v>
      </c>
      <c r="BS51" s="68">
        <f t="shared" ca="1" si="20"/>
        <v>0</v>
      </c>
      <c r="BT51" s="68">
        <f t="shared" ca="1" si="20"/>
        <v>0</v>
      </c>
    </row>
    <row r="52" spans="1:72" x14ac:dyDescent="0.2">
      <c r="A52" s="327">
        <f t="shared" ca="1" si="6"/>
        <v>43912</v>
      </c>
      <c r="B52" s="88">
        <f t="shared" ca="1" si="9"/>
        <v>43906</v>
      </c>
      <c r="C52" s="68">
        <v>47</v>
      </c>
      <c r="D52" s="68" t="str">
        <f t="shared" ca="1" si="10"/>
        <v/>
      </c>
      <c r="E52" s="68" t="str">
        <f t="shared" ca="1" si="0"/>
        <v xml:space="preserve"> </v>
      </c>
      <c r="F52" s="68">
        <f t="shared" ca="1" si="7"/>
        <v>12</v>
      </c>
      <c r="G52" s="68" t="str">
        <f>ROW(A47)&amp;". "&amp;'Critical resources'!B58</f>
        <v xml:space="preserve">47. </v>
      </c>
      <c r="H52" s="68">
        <f ca="1">IFERROR(VLOOKUP('Critical resources'!D58,$B$6:$C$57,2,0),0)</f>
        <v>0</v>
      </c>
      <c r="I52" s="68">
        <f ca="1">IFERROR(VLOOKUP('Critical resources'!E58,$A$6:$C$57,3,0),0)</f>
        <v>0</v>
      </c>
      <c r="J52" s="68">
        <f ca="1">IFERROR(VLOOKUP('Critical resources'!G58,$B$6:$C$57,2,0),0)</f>
        <v>0</v>
      </c>
      <c r="K52" s="68">
        <f ca="1">IFERROR(VLOOKUP('Critical resources'!H58,$B$6:$C$57,2,0),0)</f>
        <v>0</v>
      </c>
      <c r="L52" s="68">
        <f ca="1">IFERROR(VLOOKUP('Critical resources'!J58,$B$6:$C$57,2,0),0)</f>
        <v>0</v>
      </c>
      <c r="M52" s="68">
        <f ca="1">IFERROR(VLOOKUP('Critical resources'!K58,$A$6:$C$57,3,0),0)</f>
        <v>0</v>
      </c>
      <c r="N52" s="68">
        <f ca="1">IFERROR(VLOOKUP('Critical resources'!M58,$B$6:$C$57,2,0),0)</f>
        <v>0</v>
      </c>
      <c r="O52" s="68">
        <f ca="1">IFERROR(VLOOKUP('Critical resources'!N58,$A$6:$C$57,3,0),0)</f>
        <v>0</v>
      </c>
      <c r="P52" s="68">
        <f ca="1">IFERROR(VLOOKUP('Critical resources'!P58,$B$6:$C$57,2,0),0)</f>
        <v>0</v>
      </c>
      <c r="Q52" s="68">
        <f ca="1">IFERROR(VLOOKUP('Critical resources'!Q58,$A$6:$C$57,3,0),0)</f>
        <v>0</v>
      </c>
      <c r="T52" s="68" t="str">
        <f t="shared" si="17"/>
        <v xml:space="preserve">47. </v>
      </c>
      <c r="U52" s="68">
        <f t="shared" ca="1" si="19"/>
        <v>0</v>
      </c>
      <c r="V52" s="68">
        <f t="shared" ca="1" si="19"/>
        <v>0</v>
      </c>
      <c r="W52" s="68">
        <f t="shared" ca="1" si="19"/>
        <v>0</v>
      </c>
      <c r="X52" s="68">
        <f t="shared" ca="1" si="19"/>
        <v>0</v>
      </c>
      <c r="Y52" s="68">
        <f t="shared" ca="1" si="19"/>
        <v>0</v>
      </c>
      <c r="Z52" s="68">
        <f t="shared" ca="1" si="19"/>
        <v>0</v>
      </c>
      <c r="AA52" s="68">
        <f t="shared" ca="1" si="19"/>
        <v>0</v>
      </c>
      <c r="AB52" s="68">
        <f t="shared" ca="1" si="19"/>
        <v>0</v>
      </c>
      <c r="AC52" s="68">
        <f t="shared" ca="1" si="19"/>
        <v>0</v>
      </c>
      <c r="AD52" s="68">
        <f t="shared" ca="1" si="19"/>
        <v>0</v>
      </c>
      <c r="AE52" s="68">
        <f t="shared" ca="1" si="19"/>
        <v>0</v>
      </c>
      <c r="AF52" s="68">
        <f t="shared" ca="1" si="19"/>
        <v>0</v>
      </c>
      <c r="AG52" s="68">
        <f t="shared" ca="1" si="19"/>
        <v>0</v>
      </c>
      <c r="AH52" s="68">
        <f t="shared" ca="1" si="19"/>
        <v>0</v>
      </c>
      <c r="AI52" s="68">
        <f t="shared" ca="1" si="19"/>
        <v>0</v>
      </c>
      <c r="AJ52" s="68">
        <f t="shared" ca="1" si="18"/>
        <v>0</v>
      </c>
      <c r="AK52" s="68">
        <f t="shared" ca="1" si="15"/>
        <v>0</v>
      </c>
      <c r="AL52" s="68">
        <f t="shared" ca="1" si="15"/>
        <v>0</v>
      </c>
      <c r="AM52" s="68">
        <f t="shared" ca="1" si="15"/>
        <v>0</v>
      </c>
      <c r="AN52" s="68">
        <f t="shared" ca="1" si="15"/>
        <v>0</v>
      </c>
      <c r="AO52" s="68">
        <f t="shared" ca="1" si="15"/>
        <v>0</v>
      </c>
      <c r="AP52" s="68">
        <f t="shared" ca="1" si="15"/>
        <v>0</v>
      </c>
      <c r="AQ52" s="68">
        <f t="shared" ca="1" si="15"/>
        <v>0</v>
      </c>
      <c r="AR52" s="68">
        <f t="shared" ca="1" si="15"/>
        <v>0</v>
      </c>
      <c r="AS52" s="68">
        <f t="shared" ca="1" si="15"/>
        <v>0</v>
      </c>
      <c r="AT52" s="68">
        <f t="shared" ca="1" si="15"/>
        <v>0</v>
      </c>
      <c r="AU52" s="68">
        <f t="shared" ca="1" si="15"/>
        <v>0</v>
      </c>
      <c r="AV52" s="68">
        <f t="shared" ca="1" si="15"/>
        <v>0</v>
      </c>
      <c r="AW52" s="68">
        <f t="shared" ca="1" si="15"/>
        <v>0</v>
      </c>
      <c r="AX52" s="68">
        <f t="shared" ca="1" si="15"/>
        <v>0</v>
      </c>
      <c r="AY52" s="68">
        <f t="shared" ca="1" si="15"/>
        <v>0</v>
      </c>
      <c r="AZ52" s="68">
        <f t="shared" ref="AZ52:BO67" ca="1" si="21">SUM(IFERROR(IF(AND(AZ$5&gt;=$H52,AZ$5&lt;=$I52),1,0),0),IFERROR(IF(AND(AZ$5&gt;=$J52,AZ$5&lt;=$K52),1,0),0),IFERROR(IF(AND(AZ$5&gt;=$L52,AZ$5&lt;=$M52),1,0),0),IFERROR(IF(AND(AZ$5&gt;=$N52,AZ$5&lt;=$O52),1,0),0),IFERROR(IF(AND(AZ$5&gt;=$P52,AZ$5&lt;=$Q52),1,0),0))</f>
        <v>0</v>
      </c>
      <c r="BA52" s="68">
        <f t="shared" ca="1" si="16"/>
        <v>0</v>
      </c>
      <c r="BB52" s="68">
        <f t="shared" ca="1" si="16"/>
        <v>0</v>
      </c>
      <c r="BC52" s="68">
        <f t="shared" ca="1" si="16"/>
        <v>0</v>
      </c>
      <c r="BD52" s="68">
        <f t="shared" ca="1" si="16"/>
        <v>0</v>
      </c>
      <c r="BE52" s="68">
        <f t="shared" ca="1" si="16"/>
        <v>0</v>
      </c>
      <c r="BF52" s="68">
        <f t="shared" ca="1" si="16"/>
        <v>0</v>
      </c>
      <c r="BG52" s="68">
        <f t="shared" ca="1" si="16"/>
        <v>0</v>
      </c>
      <c r="BH52" s="68">
        <f t="shared" ca="1" si="16"/>
        <v>0</v>
      </c>
      <c r="BI52" s="68">
        <f t="shared" ca="1" si="16"/>
        <v>0</v>
      </c>
      <c r="BJ52" s="68">
        <f t="shared" ca="1" si="16"/>
        <v>0</v>
      </c>
      <c r="BK52" s="68">
        <f t="shared" ca="1" si="16"/>
        <v>0</v>
      </c>
      <c r="BL52" s="68">
        <f t="shared" ca="1" si="16"/>
        <v>0</v>
      </c>
      <c r="BM52" s="68">
        <f t="shared" ca="1" si="16"/>
        <v>0</v>
      </c>
      <c r="BN52" s="68">
        <f t="shared" ca="1" si="16"/>
        <v>0</v>
      </c>
      <c r="BO52" s="68">
        <f t="shared" ca="1" si="16"/>
        <v>0</v>
      </c>
      <c r="BP52" s="68">
        <f t="shared" ref="BP52:BT67" ca="1" si="22">SUM(IFERROR(IF(AND(BP$5&gt;=$H52,BP$5&lt;=$I52),1,0),0),IFERROR(IF(AND(BP$5&gt;=$J52,BP$5&lt;=$K52),1,0),0),IFERROR(IF(AND(BP$5&gt;=$L52,BP$5&lt;=$M52),1,0),0),IFERROR(IF(AND(BP$5&gt;=$N52,BP$5&lt;=$O52),1,0),0),IFERROR(IF(AND(BP$5&gt;=$P52,BP$5&lt;=$Q52),1,0),0))</f>
        <v>0</v>
      </c>
      <c r="BQ52" s="68">
        <f t="shared" ca="1" si="20"/>
        <v>0</v>
      </c>
      <c r="BR52" s="68">
        <f t="shared" ca="1" si="20"/>
        <v>0</v>
      </c>
      <c r="BS52" s="68">
        <f t="shared" ca="1" si="20"/>
        <v>0</v>
      </c>
      <c r="BT52" s="68">
        <f t="shared" ca="1" si="20"/>
        <v>0</v>
      </c>
    </row>
    <row r="53" spans="1:72" x14ac:dyDescent="0.2">
      <c r="A53" s="327">
        <f t="shared" ca="1" si="6"/>
        <v>43919</v>
      </c>
      <c r="B53" s="88">
        <f t="shared" ca="1" si="9"/>
        <v>43913</v>
      </c>
      <c r="C53" s="68">
        <v>48</v>
      </c>
      <c r="D53" s="68" t="str">
        <f t="shared" ca="1" si="10"/>
        <v/>
      </c>
      <c r="E53" s="68" t="str">
        <f t="shared" ca="1" si="0"/>
        <v xml:space="preserve"> </v>
      </c>
      <c r="F53" s="68">
        <f t="shared" ca="1" si="7"/>
        <v>13</v>
      </c>
      <c r="G53" s="68" t="str">
        <f>ROW(A48)&amp;". "&amp;'Critical resources'!B59</f>
        <v xml:space="preserve">48. </v>
      </c>
      <c r="H53" s="68">
        <f ca="1">IFERROR(VLOOKUP('Critical resources'!D59,$B$6:$C$57,2,0),0)</f>
        <v>0</v>
      </c>
      <c r="I53" s="68">
        <f ca="1">IFERROR(VLOOKUP('Critical resources'!E59,$A$6:$C$57,3,0),0)</f>
        <v>0</v>
      </c>
      <c r="J53" s="68">
        <f ca="1">IFERROR(VLOOKUP('Critical resources'!G59,$B$6:$C$57,2,0),0)</f>
        <v>0</v>
      </c>
      <c r="K53" s="68">
        <f ca="1">IFERROR(VLOOKUP('Critical resources'!H59,$B$6:$C$57,2,0),0)</f>
        <v>0</v>
      </c>
      <c r="L53" s="68">
        <f ca="1">IFERROR(VLOOKUP('Critical resources'!J59,$B$6:$C$57,2,0),0)</f>
        <v>0</v>
      </c>
      <c r="M53" s="68">
        <f ca="1">IFERROR(VLOOKUP('Critical resources'!K59,$A$6:$C$57,3,0),0)</f>
        <v>0</v>
      </c>
      <c r="N53" s="68">
        <f ca="1">IFERROR(VLOOKUP('Critical resources'!M59,$B$6:$C$57,2,0),0)</f>
        <v>0</v>
      </c>
      <c r="O53" s="68">
        <f ca="1">IFERROR(VLOOKUP('Critical resources'!N59,$A$6:$C$57,3,0),0)</f>
        <v>0</v>
      </c>
      <c r="P53" s="68">
        <f ca="1">IFERROR(VLOOKUP('Critical resources'!P59,$B$6:$C$57,2,0),0)</f>
        <v>0</v>
      </c>
      <c r="Q53" s="68">
        <f ca="1">IFERROR(VLOOKUP('Critical resources'!Q59,$A$6:$C$57,3,0),0)</f>
        <v>0</v>
      </c>
      <c r="T53" s="68" t="str">
        <f t="shared" si="17"/>
        <v xml:space="preserve">48. </v>
      </c>
      <c r="U53" s="68">
        <f t="shared" ca="1" si="19"/>
        <v>0</v>
      </c>
      <c r="V53" s="68">
        <f t="shared" ca="1" si="19"/>
        <v>0</v>
      </c>
      <c r="W53" s="68">
        <f t="shared" ca="1" si="19"/>
        <v>0</v>
      </c>
      <c r="X53" s="68">
        <f t="shared" ca="1" si="19"/>
        <v>0</v>
      </c>
      <c r="Y53" s="68">
        <f t="shared" ca="1" si="19"/>
        <v>0</v>
      </c>
      <c r="Z53" s="68">
        <f t="shared" ca="1" si="19"/>
        <v>0</v>
      </c>
      <c r="AA53" s="68">
        <f t="shared" ca="1" si="19"/>
        <v>0</v>
      </c>
      <c r="AB53" s="68">
        <f t="shared" ca="1" si="19"/>
        <v>0</v>
      </c>
      <c r="AC53" s="68">
        <f t="shared" ca="1" si="19"/>
        <v>0</v>
      </c>
      <c r="AD53" s="68">
        <f t="shared" ca="1" si="19"/>
        <v>0</v>
      </c>
      <c r="AE53" s="68">
        <f t="shared" ca="1" si="19"/>
        <v>0</v>
      </c>
      <c r="AF53" s="68">
        <f t="shared" ca="1" si="19"/>
        <v>0</v>
      </c>
      <c r="AG53" s="68">
        <f t="shared" ca="1" si="19"/>
        <v>0</v>
      </c>
      <c r="AH53" s="68">
        <f t="shared" ca="1" si="19"/>
        <v>0</v>
      </c>
      <c r="AI53" s="68">
        <f t="shared" ca="1" si="19"/>
        <v>0</v>
      </c>
      <c r="AJ53" s="68">
        <f t="shared" ca="1" si="18"/>
        <v>0</v>
      </c>
      <c r="AK53" s="68">
        <f t="shared" ca="1" si="18"/>
        <v>0</v>
      </c>
      <c r="AL53" s="68">
        <f t="shared" ca="1" si="18"/>
        <v>0</v>
      </c>
      <c r="AM53" s="68">
        <f t="shared" ca="1" si="18"/>
        <v>0</v>
      </c>
      <c r="AN53" s="68">
        <f t="shared" ca="1" si="18"/>
        <v>0</v>
      </c>
      <c r="AO53" s="68">
        <f t="shared" ca="1" si="18"/>
        <v>0</v>
      </c>
      <c r="AP53" s="68">
        <f t="shared" ca="1" si="18"/>
        <v>0</v>
      </c>
      <c r="AQ53" s="68">
        <f t="shared" ca="1" si="18"/>
        <v>0</v>
      </c>
      <c r="AR53" s="68">
        <f t="shared" ca="1" si="18"/>
        <v>0</v>
      </c>
      <c r="AS53" s="68">
        <f t="shared" ca="1" si="18"/>
        <v>0</v>
      </c>
      <c r="AT53" s="68">
        <f t="shared" ca="1" si="18"/>
        <v>0</v>
      </c>
      <c r="AU53" s="68">
        <f t="shared" ca="1" si="18"/>
        <v>0</v>
      </c>
      <c r="AV53" s="68">
        <f t="shared" ca="1" si="18"/>
        <v>0</v>
      </c>
      <c r="AW53" s="68">
        <f t="shared" ca="1" si="18"/>
        <v>0</v>
      </c>
      <c r="AX53" s="68">
        <f t="shared" ca="1" si="18"/>
        <v>0</v>
      </c>
      <c r="AY53" s="68">
        <f t="shared" ca="1" si="18"/>
        <v>0</v>
      </c>
      <c r="AZ53" s="68">
        <f t="shared" ca="1" si="21"/>
        <v>0</v>
      </c>
      <c r="BA53" s="68">
        <f t="shared" ca="1" si="21"/>
        <v>0</v>
      </c>
      <c r="BB53" s="68">
        <f t="shared" ca="1" si="21"/>
        <v>0</v>
      </c>
      <c r="BC53" s="68">
        <f t="shared" ca="1" si="21"/>
        <v>0</v>
      </c>
      <c r="BD53" s="68">
        <f t="shared" ca="1" si="21"/>
        <v>0</v>
      </c>
      <c r="BE53" s="68">
        <f t="shared" ca="1" si="21"/>
        <v>0</v>
      </c>
      <c r="BF53" s="68">
        <f t="shared" ca="1" si="21"/>
        <v>0</v>
      </c>
      <c r="BG53" s="68">
        <f t="shared" ca="1" si="21"/>
        <v>0</v>
      </c>
      <c r="BH53" s="68">
        <f t="shared" ca="1" si="21"/>
        <v>0</v>
      </c>
      <c r="BI53" s="68">
        <f t="shared" ca="1" si="21"/>
        <v>0</v>
      </c>
      <c r="BJ53" s="68">
        <f t="shared" ca="1" si="21"/>
        <v>0</v>
      </c>
      <c r="BK53" s="68">
        <f t="shared" ca="1" si="21"/>
        <v>0</v>
      </c>
      <c r="BL53" s="68">
        <f t="shared" ca="1" si="21"/>
        <v>0</v>
      </c>
      <c r="BM53" s="68">
        <f t="shared" ca="1" si="21"/>
        <v>0</v>
      </c>
      <c r="BN53" s="68">
        <f t="shared" ca="1" si="21"/>
        <v>0</v>
      </c>
      <c r="BO53" s="68">
        <f t="shared" ca="1" si="21"/>
        <v>0</v>
      </c>
      <c r="BP53" s="68">
        <f t="shared" ca="1" si="22"/>
        <v>0</v>
      </c>
      <c r="BQ53" s="68">
        <f t="shared" ca="1" si="20"/>
        <v>0</v>
      </c>
      <c r="BR53" s="68">
        <f t="shared" ca="1" si="20"/>
        <v>0</v>
      </c>
      <c r="BS53" s="68">
        <f t="shared" ca="1" si="20"/>
        <v>0</v>
      </c>
      <c r="BT53" s="68">
        <f t="shared" ca="1" si="20"/>
        <v>0</v>
      </c>
    </row>
    <row r="54" spans="1:72" x14ac:dyDescent="0.2">
      <c r="A54" s="327">
        <f t="shared" ca="1" si="6"/>
        <v>43926</v>
      </c>
      <c r="B54" s="88">
        <f t="shared" ca="1" si="9"/>
        <v>43920</v>
      </c>
      <c r="C54" s="68">
        <v>49</v>
      </c>
      <c r="D54" s="68" t="str">
        <f t="shared" ca="1" si="10"/>
        <v/>
      </c>
      <c r="E54" s="68" t="str">
        <f t="shared" ca="1" si="0"/>
        <v xml:space="preserve"> </v>
      </c>
      <c r="F54" s="68">
        <f t="shared" ca="1" si="7"/>
        <v>14</v>
      </c>
      <c r="G54" s="68" t="str">
        <f>ROW(A49)&amp;". "&amp;'Critical resources'!B60</f>
        <v xml:space="preserve">49. </v>
      </c>
      <c r="H54" s="68">
        <f ca="1">IFERROR(VLOOKUP('Critical resources'!D60,$B$6:$C$57,2,0),0)</f>
        <v>0</v>
      </c>
      <c r="I54" s="68">
        <f ca="1">IFERROR(VLOOKUP('Critical resources'!E60,$A$6:$C$57,3,0),0)</f>
        <v>0</v>
      </c>
      <c r="J54" s="68">
        <f ca="1">IFERROR(VLOOKUP('Critical resources'!G60,$B$6:$C$57,2,0),0)</f>
        <v>0</v>
      </c>
      <c r="K54" s="68">
        <f ca="1">IFERROR(VLOOKUP('Critical resources'!H60,$B$6:$C$57,2,0),0)</f>
        <v>0</v>
      </c>
      <c r="L54" s="68">
        <f ca="1">IFERROR(VLOOKUP('Critical resources'!J60,$B$6:$C$57,2,0),0)</f>
        <v>0</v>
      </c>
      <c r="M54" s="68">
        <f ca="1">IFERROR(VLOOKUP('Critical resources'!K60,$A$6:$C$57,3,0),0)</f>
        <v>0</v>
      </c>
      <c r="N54" s="68">
        <f ca="1">IFERROR(VLOOKUP('Critical resources'!M60,$B$6:$C$57,2,0),0)</f>
        <v>0</v>
      </c>
      <c r="O54" s="68">
        <f ca="1">IFERROR(VLOOKUP('Critical resources'!N60,$A$6:$C$57,3,0),0)</f>
        <v>0</v>
      </c>
      <c r="P54" s="68">
        <f ca="1">IFERROR(VLOOKUP('Critical resources'!P60,$B$6:$C$57,2,0),0)</f>
        <v>0</v>
      </c>
      <c r="Q54" s="68">
        <f ca="1">IFERROR(VLOOKUP('Critical resources'!Q60,$A$6:$C$57,3,0),0)</f>
        <v>0</v>
      </c>
      <c r="T54" s="68" t="str">
        <f t="shared" si="17"/>
        <v xml:space="preserve">49. </v>
      </c>
      <c r="U54" s="68">
        <f t="shared" ca="1" si="19"/>
        <v>0</v>
      </c>
      <c r="V54" s="68">
        <f t="shared" ca="1" si="19"/>
        <v>0</v>
      </c>
      <c r="W54" s="68">
        <f t="shared" ca="1" si="19"/>
        <v>0</v>
      </c>
      <c r="X54" s="68">
        <f t="shared" ca="1" si="19"/>
        <v>0</v>
      </c>
      <c r="Y54" s="68">
        <f t="shared" ca="1" si="19"/>
        <v>0</v>
      </c>
      <c r="Z54" s="68">
        <f t="shared" ca="1" si="19"/>
        <v>0</v>
      </c>
      <c r="AA54" s="68">
        <f t="shared" ca="1" si="19"/>
        <v>0</v>
      </c>
      <c r="AB54" s="68">
        <f t="shared" ca="1" si="19"/>
        <v>0</v>
      </c>
      <c r="AC54" s="68">
        <f t="shared" ca="1" si="19"/>
        <v>0</v>
      </c>
      <c r="AD54" s="68">
        <f t="shared" ca="1" si="19"/>
        <v>0</v>
      </c>
      <c r="AE54" s="68">
        <f t="shared" ca="1" si="19"/>
        <v>0</v>
      </c>
      <c r="AF54" s="68">
        <f t="shared" ca="1" si="19"/>
        <v>0</v>
      </c>
      <c r="AG54" s="68">
        <f t="shared" ca="1" si="19"/>
        <v>0</v>
      </c>
      <c r="AH54" s="68">
        <f t="shared" ca="1" si="19"/>
        <v>0</v>
      </c>
      <c r="AI54" s="68">
        <f t="shared" ca="1" si="19"/>
        <v>0</v>
      </c>
      <c r="AJ54" s="68">
        <f t="shared" ca="1" si="19"/>
        <v>0</v>
      </c>
      <c r="AK54" s="68">
        <f t="shared" ref="AK54:AZ69" ca="1" si="23">SUM(IFERROR(IF(AND(AK$5&gt;=$H54,AK$5&lt;=$I54),1,0),0),IFERROR(IF(AND(AK$5&gt;=$J54,AK$5&lt;=$K54),1,0),0),IFERROR(IF(AND(AK$5&gt;=$L54,AK$5&lt;=$M54),1,0),0),IFERROR(IF(AND(AK$5&gt;=$N54,AK$5&lt;=$O54),1,0),0),IFERROR(IF(AND(AK$5&gt;=$P54,AK$5&lt;=$Q54),1,0),0))</f>
        <v>0</v>
      </c>
      <c r="AL54" s="68">
        <f t="shared" ca="1" si="23"/>
        <v>0</v>
      </c>
      <c r="AM54" s="68">
        <f t="shared" ca="1" si="23"/>
        <v>0</v>
      </c>
      <c r="AN54" s="68">
        <f t="shared" ca="1" si="23"/>
        <v>0</v>
      </c>
      <c r="AO54" s="68">
        <f t="shared" ca="1" si="23"/>
        <v>0</v>
      </c>
      <c r="AP54" s="68">
        <f t="shared" ca="1" si="23"/>
        <v>0</v>
      </c>
      <c r="AQ54" s="68">
        <f t="shared" ca="1" si="23"/>
        <v>0</v>
      </c>
      <c r="AR54" s="68">
        <f t="shared" ca="1" si="23"/>
        <v>0</v>
      </c>
      <c r="AS54" s="68">
        <f t="shared" ca="1" si="23"/>
        <v>0</v>
      </c>
      <c r="AT54" s="68">
        <f t="shared" ca="1" si="23"/>
        <v>0</v>
      </c>
      <c r="AU54" s="68">
        <f t="shared" ca="1" si="23"/>
        <v>0</v>
      </c>
      <c r="AV54" s="68">
        <f t="shared" ca="1" si="23"/>
        <v>0</v>
      </c>
      <c r="AW54" s="68">
        <f t="shared" ca="1" si="23"/>
        <v>0</v>
      </c>
      <c r="AX54" s="68">
        <f t="shared" ca="1" si="23"/>
        <v>0</v>
      </c>
      <c r="AY54" s="68">
        <f t="shared" ca="1" si="23"/>
        <v>0</v>
      </c>
      <c r="AZ54" s="68">
        <f t="shared" ca="1" si="21"/>
        <v>0</v>
      </c>
      <c r="BA54" s="68">
        <f t="shared" ca="1" si="21"/>
        <v>0</v>
      </c>
      <c r="BB54" s="68">
        <f t="shared" ca="1" si="21"/>
        <v>0</v>
      </c>
      <c r="BC54" s="68">
        <f t="shared" ca="1" si="21"/>
        <v>0</v>
      </c>
      <c r="BD54" s="68">
        <f t="shared" ca="1" si="21"/>
        <v>0</v>
      </c>
      <c r="BE54" s="68">
        <f t="shared" ca="1" si="21"/>
        <v>0</v>
      </c>
      <c r="BF54" s="68">
        <f t="shared" ca="1" si="21"/>
        <v>0</v>
      </c>
      <c r="BG54" s="68">
        <f t="shared" ca="1" si="21"/>
        <v>0</v>
      </c>
      <c r="BH54" s="68">
        <f t="shared" ca="1" si="21"/>
        <v>0</v>
      </c>
      <c r="BI54" s="68">
        <f t="shared" ca="1" si="21"/>
        <v>0</v>
      </c>
      <c r="BJ54" s="68">
        <f t="shared" ca="1" si="21"/>
        <v>0</v>
      </c>
      <c r="BK54" s="68">
        <f t="shared" ca="1" si="21"/>
        <v>0</v>
      </c>
      <c r="BL54" s="68">
        <f t="shared" ca="1" si="21"/>
        <v>0</v>
      </c>
      <c r="BM54" s="68">
        <f t="shared" ca="1" si="21"/>
        <v>0</v>
      </c>
      <c r="BN54" s="68">
        <f t="shared" ca="1" si="21"/>
        <v>0</v>
      </c>
      <c r="BO54" s="68">
        <f t="shared" ca="1" si="21"/>
        <v>0</v>
      </c>
      <c r="BP54" s="68">
        <f t="shared" ca="1" si="22"/>
        <v>0</v>
      </c>
      <c r="BQ54" s="68">
        <f t="shared" ca="1" si="20"/>
        <v>0</v>
      </c>
      <c r="BR54" s="68">
        <f t="shared" ca="1" si="20"/>
        <v>0</v>
      </c>
      <c r="BS54" s="68">
        <f t="shared" ca="1" si="20"/>
        <v>0</v>
      </c>
      <c r="BT54" s="68">
        <f t="shared" ca="1" si="20"/>
        <v>0</v>
      </c>
    </row>
    <row r="55" spans="1:72" x14ac:dyDescent="0.2">
      <c r="A55" s="327">
        <f t="shared" ca="1" si="6"/>
        <v>43933</v>
      </c>
      <c r="B55" s="88">
        <f t="shared" ca="1" si="9"/>
        <v>43927</v>
      </c>
      <c r="C55" s="68">
        <v>50</v>
      </c>
      <c r="D55" s="68" t="str">
        <f t="shared" ca="1" si="10"/>
        <v/>
      </c>
      <c r="E55" s="68" t="str">
        <f ca="1">IF(TEXT(B55,"MMM")=TEXT(B54,"MMM")," ",TEXT(B55,"MMM"))</f>
        <v>Apr</v>
      </c>
      <c r="F55" s="68">
        <f t="shared" ca="1" si="7"/>
        <v>15</v>
      </c>
      <c r="G55" s="68" t="str">
        <f>ROW(A50)&amp;". "&amp;'Critical resources'!B61</f>
        <v xml:space="preserve">50. </v>
      </c>
      <c r="H55" s="68">
        <f ca="1">IFERROR(VLOOKUP('Critical resources'!D61,$B$6:$C$57,2,0),0)</f>
        <v>0</v>
      </c>
      <c r="I55" s="68">
        <f ca="1">IFERROR(VLOOKUP('Critical resources'!E61,$A$6:$C$57,3,0),0)</f>
        <v>0</v>
      </c>
      <c r="J55" s="68">
        <f ca="1">IFERROR(VLOOKUP('Critical resources'!G61,$B$6:$C$57,2,0),0)</f>
        <v>0</v>
      </c>
      <c r="K55" s="68">
        <f ca="1">IFERROR(VLOOKUP('Critical resources'!H61,$B$6:$C$57,2,0),0)</f>
        <v>0</v>
      </c>
      <c r="L55" s="68">
        <f ca="1">IFERROR(VLOOKUP('Critical resources'!J61,$B$6:$C$57,2,0),0)</f>
        <v>0</v>
      </c>
      <c r="M55" s="68">
        <f ca="1">IFERROR(VLOOKUP('Critical resources'!K61,$A$6:$C$57,3,0),0)</f>
        <v>0</v>
      </c>
      <c r="N55" s="68">
        <f ca="1">IFERROR(VLOOKUP('Critical resources'!M61,$B$6:$C$57,2,0),0)</f>
        <v>0</v>
      </c>
      <c r="O55" s="68">
        <f ca="1">IFERROR(VLOOKUP('Critical resources'!N61,$A$6:$C$57,3,0),0)</f>
        <v>0</v>
      </c>
      <c r="P55" s="68">
        <f ca="1">IFERROR(VLOOKUP('Critical resources'!P61,$B$6:$C$57,2,0),0)</f>
        <v>0</v>
      </c>
      <c r="Q55" s="68">
        <f ca="1">IFERROR(VLOOKUP('Critical resources'!Q61,$A$6:$C$57,3,0),0)</f>
        <v>0</v>
      </c>
      <c r="T55" s="68" t="str">
        <f t="shared" si="17"/>
        <v xml:space="preserve">50. </v>
      </c>
      <c r="U55" s="68">
        <f t="shared" ref="U55:AJ70" ca="1" si="24">SUM(IFERROR(IF(AND(U$5&gt;=$H55,U$5&lt;=$I55),1,0),0),IFERROR(IF(AND(U$5&gt;=$J55,U$5&lt;=$K55),1,0),0),IFERROR(IF(AND(U$5&gt;=$L55,U$5&lt;=$M55),1,0),0),IFERROR(IF(AND(U$5&gt;=$N55,U$5&lt;=$O55),1,0),0),IFERROR(IF(AND(U$5&gt;=$P55,U$5&lt;=$Q55),1,0),0))</f>
        <v>0</v>
      </c>
      <c r="V55" s="68">
        <f t="shared" ca="1" si="24"/>
        <v>0</v>
      </c>
      <c r="W55" s="68">
        <f t="shared" ca="1" si="24"/>
        <v>0</v>
      </c>
      <c r="X55" s="68">
        <f t="shared" ca="1" si="24"/>
        <v>0</v>
      </c>
      <c r="Y55" s="68">
        <f t="shared" ca="1" si="24"/>
        <v>0</v>
      </c>
      <c r="Z55" s="68">
        <f t="shared" ca="1" si="24"/>
        <v>0</v>
      </c>
      <c r="AA55" s="68">
        <f t="shared" ca="1" si="24"/>
        <v>0</v>
      </c>
      <c r="AB55" s="68">
        <f t="shared" ca="1" si="24"/>
        <v>0</v>
      </c>
      <c r="AC55" s="68">
        <f t="shared" ca="1" si="24"/>
        <v>0</v>
      </c>
      <c r="AD55" s="68">
        <f t="shared" ca="1" si="24"/>
        <v>0</v>
      </c>
      <c r="AE55" s="68">
        <f t="shared" ca="1" si="24"/>
        <v>0</v>
      </c>
      <c r="AF55" s="68">
        <f t="shared" ca="1" si="24"/>
        <v>0</v>
      </c>
      <c r="AG55" s="68">
        <f t="shared" ca="1" si="24"/>
        <v>0</v>
      </c>
      <c r="AH55" s="68">
        <f t="shared" ca="1" si="24"/>
        <v>0</v>
      </c>
      <c r="AI55" s="68">
        <f t="shared" ca="1" si="24"/>
        <v>0</v>
      </c>
      <c r="AJ55" s="68">
        <f t="shared" ca="1" si="24"/>
        <v>0</v>
      </c>
      <c r="AK55" s="68">
        <f t="shared" ca="1" si="23"/>
        <v>0</v>
      </c>
      <c r="AL55" s="68">
        <f t="shared" ca="1" si="23"/>
        <v>0</v>
      </c>
      <c r="AM55" s="68">
        <f t="shared" ca="1" si="23"/>
        <v>0</v>
      </c>
      <c r="AN55" s="68">
        <f t="shared" ca="1" si="23"/>
        <v>0</v>
      </c>
      <c r="AO55" s="68">
        <f t="shared" ca="1" si="23"/>
        <v>0</v>
      </c>
      <c r="AP55" s="68">
        <f t="shared" ca="1" si="23"/>
        <v>0</v>
      </c>
      <c r="AQ55" s="68">
        <f t="shared" ca="1" si="23"/>
        <v>0</v>
      </c>
      <c r="AR55" s="68">
        <f t="shared" ca="1" si="23"/>
        <v>0</v>
      </c>
      <c r="AS55" s="68">
        <f t="shared" ca="1" si="23"/>
        <v>0</v>
      </c>
      <c r="AT55" s="68">
        <f t="shared" ca="1" si="23"/>
        <v>0</v>
      </c>
      <c r="AU55" s="68">
        <f t="shared" ca="1" si="23"/>
        <v>0</v>
      </c>
      <c r="AV55" s="68">
        <f t="shared" ca="1" si="23"/>
        <v>0</v>
      </c>
      <c r="AW55" s="68">
        <f t="shared" ca="1" si="23"/>
        <v>0</v>
      </c>
      <c r="AX55" s="68">
        <f t="shared" ca="1" si="23"/>
        <v>0</v>
      </c>
      <c r="AY55" s="68">
        <f t="shared" ca="1" si="23"/>
        <v>0</v>
      </c>
      <c r="AZ55" s="68">
        <f t="shared" ca="1" si="21"/>
        <v>0</v>
      </c>
      <c r="BA55" s="68">
        <f t="shared" ca="1" si="21"/>
        <v>0</v>
      </c>
      <c r="BB55" s="68">
        <f t="shared" ca="1" si="21"/>
        <v>0</v>
      </c>
      <c r="BC55" s="68">
        <f t="shared" ca="1" si="21"/>
        <v>0</v>
      </c>
      <c r="BD55" s="68">
        <f t="shared" ca="1" si="21"/>
        <v>0</v>
      </c>
      <c r="BE55" s="68">
        <f t="shared" ca="1" si="21"/>
        <v>0</v>
      </c>
      <c r="BF55" s="68">
        <f t="shared" ca="1" si="21"/>
        <v>0</v>
      </c>
      <c r="BG55" s="68">
        <f t="shared" ca="1" si="21"/>
        <v>0</v>
      </c>
      <c r="BH55" s="68">
        <f t="shared" ca="1" si="21"/>
        <v>0</v>
      </c>
      <c r="BI55" s="68">
        <f t="shared" ca="1" si="21"/>
        <v>0</v>
      </c>
      <c r="BJ55" s="68">
        <f t="shared" ca="1" si="21"/>
        <v>0</v>
      </c>
      <c r="BK55" s="68">
        <f t="shared" ca="1" si="21"/>
        <v>0</v>
      </c>
      <c r="BL55" s="68">
        <f t="shared" ca="1" si="21"/>
        <v>0</v>
      </c>
      <c r="BM55" s="68">
        <f t="shared" ca="1" si="21"/>
        <v>0</v>
      </c>
      <c r="BN55" s="68">
        <f t="shared" ca="1" si="21"/>
        <v>0</v>
      </c>
      <c r="BO55" s="68">
        <f t="shared" ca="1" si="21"/>
        <v>0</v>
      </c>
      <c r="BP55" s="68">
        <f t="shared" ca="1" si="22"/>
        <v>0</v>
      </c>
      <c r="BQ55" s="68">
        <f t="shared" ca="1" si="20"/>
        <v>0</v>
      </c>
      <c r="BR55" s="68">
        <f t="shared" ca="1" si="20"/>
        <v>0</v>
      </c>
      <c r="BS55" s="68">
        <f t="shared" ca="1" si="20"/>
        <v>0</v>
      </c>
      <c r="BT55" s="68">
        <f t="shared" ca="1" si="20"/>
        <v>0</v>
      </c>
    </row>
    <row r="56" spans="1:72" x14ac:dyDescent="0.2">
      <c r="A56" s="327">
        <f t="shared" ca="1" si="6"/>
        <v>43940</v>
      </c>
      <c r="B56" s="88">
        <f t="shared" ca="1" si="9"/>
        <v>43934</v>
      </c>
      <c r="C56" s="68">
        <v>51</v>
      </c>
      <c r="D56" s="68" t="str">
        <f t="shared" ca="1" si="10"/>
        <v/>
      </c>
      <c r="E56" s="68" t="str">
        <f t="shared" ref="E56:E57" ca="1" si="25">IF(TEXT(B56,"MMM")=TEXT(B55,"MMM")," ",TEXT(B56,"MMM"))</f>
        <v xml:space="preserve"> </v>
      </c>
      <c r="F56" s="68">
        <f t="shared" ca="1" si="7"/>
        <v>16</v>
      </c>
      <c r="G56" s="68" t="str">
        <f>ROW(A51)&amp;". "&amp;'Critical resources'!B62</f>
        <v xml:space="preserve">51. </v>
      </c>
      <c r="H56" s="68">
        <f ca="1">IFERROR(VLOOKUP('Critical resources'!D62,$B$6:$C$57,2,0),0)</f>
        <v>0</v>
      </c>
      <c r="I56" s="68">
        <f ca="1">IFERROR(VLOOKUP('Critical resources'!E62,$A$6:$C$57,3,0),0)</f>
        <v>0</v>
      </c>
      <c r="J56" s="68">
        <f ca="1">IFERROR(VLOOKUP('Critical resources'!G62,$B$6:$C$57,2,0),0)</f>
        <v>0</v>
      </c>
      <c r="K56" s="68">
        <f ca="1">IFERROR(VLOOKUP('Critical resources'!H62,$B$6:$C$57,2,0),0)</f>
        <v>0</v>
      </c>
      <c r="L56" s="68">
        <f ca="1">IFERROR(VLOOKUP('Critical resources'!J62,$B$6:$C$57,2,0),0)</f>
        <v>0</v>
      </c>
      <c r="M56" s="68">
        <f ca="1">IFERROR(VLOOKUP('Critical resources'!K62,$A$6:$C$57,3,0),0)</f>
        <v>0</v>
      </c>
      <c r="N56" s="68">
        <f ca="1">IFERROR(VLOOKUP('Critical resources'!M62,$B$6:$C$57,2,0),0)</f>
        <v>0</v>
      </c>
      <c r="O56" s="68">
        <f ca="1">IFERROR(VLOOKUP('Critical resources'!N62,$A$6:$C$57,3,0),0)</f>
        <v>0</v>
      </c>
      <c r="P56" s="68">
        <f ca="1">IFERROR(VLOOKUP('Critical resources'!P62,$B$6:$C$57,2,0),0)</f>
        <v>0</v>
      </c>
      <c r="Q56" s="68">
        <f ca="1">IFERROR(VLOOKUP('Critical resources'!Q62,$A$6:$C$57,3,0),0)</f>
        <v>0</v>
      </c>
      <c r="T56" s="68" t="str">
        <f t="shared" si="17"/>
        <v xml:space="preserve">51. </v>
      </c>
      <c r="U56" s="68">
        <f t="shared" ca="1" si="24"/>
        <v>0</v>
      </c>
      <c r="V56" s="68">
        <f t="shared" ca="1" si="24"/>
        <v>0</v>
      </c>
      <c r="W56" s="68">
        <f t="shared" ca="1" si="24"/>
        <v>0</v>
      </c>
      <c r="X56" s="68">
        <f t="shared" ca="1" si="24"/>
        <v>0</v>
      </c>
      <c r="Y56" s="68">
        <f t="shared" ca="1" si="24"/>
        <v>0</v>
      </c>
      <c r="Z56" s="68">
        <f t="shared" ca="1" si="24"/>
        <v>0</v>
      </c>
      <c r="AA56" s="68">
        <f t="shared" ca="1" si="24"/>
        <v>0</v>
      </c>
      <c r="AB56" s="68">
        <f t="shared" ca="1" si="24"/>
        <v>0</v>
      </c>
      <c r="AC56" s="68">
        <f t="shared" ca="1" si="24"/>
        <v>0</v>
      </c>
      <c r="AD56" s="68">
        <f t="shared" ca="1" si="24"/>
        <v>0</v>
      </c>
      <c r="AE56" s="68">
        <f t="shared" ca="1" si="24"/>
        <v>0</v>
      </c>
      <c r="AF56" s="68">
        <f t="shared" ca="1" si="24"/>
        <v>0</v>
      </c>
      <c r="AG56" s="68">
        <f t="shared" ca="1" si="24"/>
        <v>0</v>
      </c>
      <c r="AH56" s="68">
        <f t="shared" ca="1" si="24"/>
        <v>0</v>
      </c>
      <c r="AI56" s="68">
        <f t="shared" ca="1" si="24"/>
        <v>0</v>
      </c>
      <c r="AJ56" s="68">
        <f t="shared" ca="1" si="24"/>
        <v>0</v>
      </c>
      <c r="AK56" s="68">
        <f t="shared" ca="1" si="23"/>
        <v>0</v>
      </c>
      <c r="AL56" s="68">
        <f t="shared" ca="1" si="23"/>
        <v>0</v>
      </c>
      <c r="AM56" s="68">
        <f t="shared" ca="1" si="23"/>
        <v>0</v>
      </c>
      <c r="AN56" s="68">
        <f t="shared" ca="1" si="23"/>
        <v>0</v>
      </c>
      <c r="AO56" s="68">
        <f t="shared" ca="1" si="23"/>
        <v>0</v>
      </c>
      <c r="AP56" s="68">
        <f t="shared" ca="1" si="23"/>
        <v>0</v>
      </c>
      <c r="AQ56" s="68">
        <f t="shared" ca="1" si="23"/>
        <v>0</v>
      </c>
      <c r="AR56" s="68">
        <f t="shared" ca="1" si="23"/>
        <v>0</v>
      </c>
      <c r="AS56" s="68">
        <f t="shared" ca="1" si="23"/>
        <v>0</v>
      </c>
      <c r="AT56" s="68">
        <f t="shared" ca="1" si="23"/>
        <v>0</v>
      </c>
      <c r="AU56" s="68">
        <f t="shared" ca="1" si="23"/>
        <v>0</v>
      </c>
      <c r="AV56" s="68">
        <f t="shared" ca="1" si="23"/>
        <v>0</v>
      </c>
      <c r="AW56" s="68">
        <f t="shared" ca="1" si="23"/>
        <v>0</v>
      </c>
      <c r="AX56" s="68">
        <f t="shared" ca="1" si="23"/>
        <v>0</v>
      </c>
      <c r="AY56" s="68">
        <f t="shared" ca="1" si="23"/>
        <v>0</v>
      </c>
      <c r="AZ56" s="68">
        <f t="shared" ca="1" si="21"/>
        <v>0</v>
      </c>
      <c r="BA56" s="68">
        <f t="shared" ca="1" si="21"/>
        <v>0</v>
      </c>
      <c r="BB56" s="68">
        <f t="shared" ca="1" si="21"/>
        <v>0</v>
      </c>
      <c r="BC56" s="68">
        <f t="shared" ca="1" si="21"/>
        <v>0</v>
      </c>
      <c r="BD56" s="68">
        <f t="shared" ca="1" si="21"/>
        <v>0</v>
      </c>
      <c r="BE56" s="68">
        <f t="shared" ca="1" si="21"/>
        <v>0</v>
      </c>
      <c r="BF56" s="68">
        <f t="shared" ca="1" si="21"/>
        <v>0</v>
      </c>
      <c r="BG56" s="68">
        <f t="shared" ca="1" si="21"/>
        <v>0</v>
      </c>
      <c r="BH56" s="68">
        <f t="shared" ca="1" si="21"/>
        <v>0</v>
      </c>
      <c r="BI56" s="68">
        <f t="shared" ca="1" si="21"/>
        <v>0</v>
      </c>
      <c r="BJ56" s="68">
        <f t="shared" ca="1" si="21"/>
        <v>0</v>
      </c>
      <c r="BK56" s="68">
        <f t="shared" ca="1" si="21"/>
        <v>0</v>
      </c>
      <c r="BL56" s="68">
        <f t="shared" ca="1" si="21"/>
        <v>0</v>
      </c>
      <c r="BM56" s="68">
        <f t="shared" ca="1" si="21"/>
        <v>0</v>
      </c>
      <c r="BN56" s="68">
        <f t="shared" ca="1" si="21"/>
        <v>0</v>
      </c>
      <c r="BO56" s="68">
        <f t="shared" ca="1" si="21"/>
        <v>0</v>
      </c>
      <c r="BP56" s="68">
        <f t="shared" ca="1" si="22"/>
        <v>0</v>
      </c>
      <c r="BQ56" s="68">
        <f t="shared" ca="1" si="20"/>
        <v>0</v>
      </c>
      <c r="BR56" s="68">
        <f t="shared" ca="1" si="20"/>
        <v>0</v>
      </c>
      <c r="BS56" s="68">
        <f t="shared" ca="1" si="20"/>
        <v>0</v>
      </c>
      <c r="BT56" s="68">
        <f t="shared" ca="1" si="20"/>
        <v>0</v>
      </c>
    </row>
    <row r="57" spans="1:72" x14ac:dyDescent="0.2">
      <c r="A57" s="327">
        <f t="shared" ca="1" si="6"/>
        <v>43947</v>
      </c>
      <c r="B57" s="88">
        <f t="shared" ca="1" si="9"/>
        <v>43941</v>
      </c>
      <c r="C57" s="68">
        <v>52</v>
      </c>
      <c r="D57" s="68" t="str">
        <f t="shared" ca="1" si="10"/>
        <v/>
      </c>
      <c r="E57" s="68" t="str">
        <f t="shared" ca="1" si="25"/>
        <v xml:space="preserve"> </v>
      </c>
      <c r="F57" s="68">
        <f t="shared" ca="1" si="7"/>
        <v>17</v>
      </c>
      <c r="G57" s="68" t="str">
        <f>ROW(A52)&amp;". "&amp;'Critical resources'!B63</f>
        <v xml:space="preserve">52. </v>
      </c>
      <c r="H57" s="68">
        <f ca="1">IFERROR(VLOOKUP('Critical resources'!D63,$B$6:$C$57,2,0),0)</f>
        <v>0</v>
      </c>
      <c r="I57" s="68">
        <f ca="1">IFERROR(VLOOKUP('Critical resources'!E63,$A$6:$C$57,3,0),0)</f>
        <v>0</v>
      </c>
      <c r="J57" s="68">
        <f ca="1">IFERROR(VLOOKUP('Critical resources'!G63,$B$6:$C$57,2,0),0)</f>
        <v>0</v>
      </c>
      <c r="K57" s="68">
        <f ca="1">IFERROR(VLOOKUP('Critical resources'!H63,$B$6:$C$57,2,0),0)</f>
        <v>0</v>
      </c>
      <c r="L57" s="68">
        <f ca="1">IFERROR(VLOOKUP('Critical resources'!J63,$B$6:$C$57,2,0),0)</f>
        <v>0</v>
      </c>
      <c r="M57" s="68">
        <f ca="1">IFERROR(VLOOKUP('Critical resources'!K63,$A$6:$C$57,3,0),0)</f>
        <v>0</v>
      </c>
      <c r="N57" s="68">
        <f ca="1">IFERROR(VLOOKUP('Critical resources'!M63,$B$6:$C$57,2,0),0)</f>
        <v>0</v>
      </c>
      <c r="O57" s="68">
        <f ca="1">IFERROR(VLOOKUP('Critical resources'!N63,$A$6:$C$57,3,0),0)</f>
        <v>0</v>
      </c>
      <c r="P57" s="68">
        <f ca="1">IFERROR(VLOOKUP('Critical resources'!P63,$B$6:$C$57,2,0),0)</f>
        <v>0</v>
      </c>
      <c r="Q57" s="68">
        <f ca="1">IFERROR(VLOOKUP('Critical resources'!Q63,$A$6:$C$57,3,0),0)</f>
        <v>0</v>
      </c>
      <c r="T57" s="68" t="str">
        <f t="shared" si="17"/>
        <v xml:space="preserve">52. </v>
      </c>
      <c r="U57" s="68">
        <f t="shared" ca="1" si="24"/>
        <v>0</v>
      </c>
      <c r="V57" s="68">
        <f t="shared" ca="1" si="24"/>
        <v>0</v>
      </c>
      <c r="W57" s="68">
        <f t="shared" ca="1" si="24"/>
        <v>0</v>
      </c>
      <c r="X57" s="68">
        <f t="shared" ca="1" si="24"/>
        <v>0</v>
      </c>
      <c r="Y57" s="68">
        <f t="shared" ca="1" si="24"/>
        <v>0</v>
      </c>
      <c r="Z57" s="68">
        <f t="shared" ca="1" si="24"/>
        <v>0</v>
      </c>
      <c r="AA57" s="68">
        <f t="shared" ca="1" si="24"/>
        <v>0</v>
      </c>
      <c r="AB57" s="68">
        <f t="shared" ca="1" si="24"/>
        <v>0</v>
      </c>
      <c r="AC57" s="68">
        <f t="shared" ca="1" si="24"/>
        <v>0</v>
      </c>
      <c r="AD57" s="68">
        <f t="shared" ca="1" si="24"/>
        <v>0</v>
      </c>
      <c r="AE57" s="68">
        <f t="shared" ca="1" si="24"/>
        <v>0</v>
      </c>
      <c r="AF57" s="68">
        <f t="shared" ca="1" si="24"/>
        <v>0</v>
      </c>
      <c r="AG57" s="68">
        <f t="shared" ca="1" si="24"/>
        <v>0</v>
      </c>
      <c r="AH57" s="68">
        <f t="shared" ca="1" si="24"/>
        <v>0</v>
      </c>
      <c r="AI57" s="68">
        <f t="shared" ca="1" si="24"/>
        <v>0</v>
      </c>
      <c r="AJ57" s="68">
        <f t="shared" ca="1" si="24"/>
        <v>0</v>
      </c>
      <c r="AK57" s="68">
        <f t="shared" ca="1" si="23"/>
        <v>0</v>
      </c>
      <c r="AL57" s="68">
        <f t="shared" ca="1" si="23"/>
        <v>0</v>
      </c>
      <c r="AM57" s="68">
        <f t="shared" ca="1" si="23"/>
        <v>0</v>
      </c>
      <c r="AN57" s="68">
        <f t="shared" ca="1" si="23"/>
        <v>0</v>
      </c>
      <c r="AO57" s="68">
        <f t="shared" ca="1" si="23"/>
        <v>0</v>
      </c>
      <c r="AP57" s="68">
        <f t="shared" ca="1" si="23"/>
        <v>0</v>
      </c>
      <c r="AQ57" s="68">
        <f t="shared" ca="1" si="23"/>
        <v>0</v>
      </c>
      <c r="AR57" s="68">
        <f t="shared" ca="1" si="23"/>
        <v>0</v>
      </c>
      <c r="AS57" s="68">
        <f t="shared" ca="1" si="23"/>
        <v>0</v>
      </c>
      <c r="AT57" s="68">
        <f t="shared" ca="1" si="23"/>
        <v>0</v>
      </c>
      <c r="AU57" s="68">
        <f t="shared" ca="1" si="23"/>
        <v>0</v>
      </c>
      <c r="AV57" s="68">
        <f t="shared" ca="1" si="23"/>
        <v>0</v>
      </c>
      <c r="AW57" s="68">
        <f t="shared" ca="1" si="23"/>
        <v>0</v>
      </c>
      <c r="AX57" s="68">
        <f t="shared" ca="1" si="23"/>
        <v>0</v>
      </c>
      <c r="AY57" s="68">
        <f t="shared" ca="1" si="23"/>
        <v>0</v>
      </c>
      <c r="AZ57" s="68">
        <f t="shared" ca="1" si="21"/>
        <v>0</v>
      </c>
      <c r="BA57" s="68">
        <f t="shared" ca="1" si="21"/>
        <v>0</v>
      </c>
      <c r="BB57" s="68">
        <f t="shared" ca="1" si="21"/>
        <v>0</v>
      </c>
      <c r="BC57" s="68">
        <f t="shared" ca="1" si="21"/>
        <v>0</v>
      </c>
      <c r="BD57" s="68">
        <f t="shared" ca="1" si="21"/>
        <v>0</v>
      </c>
      <c r="BE57" s="68">
        <f t="shared" ca="1" si="21"/>
        <v>0</v>
      </c>
      <c r="BF57" s="68">
        <f t="shared" ca="1" si="21"/>
        <v>0</v>
      </c>
      <c r="BG57" s="68">
        <f t="shared" ca="1" si="21"/>
        <v>0</v>
      </c>
      <c r="BH57" s="68">
        <f t="shared" ca="1" si="21"/>
        <v>0</v>
      </c>
      <c r="BI57" s="68">
        <f t="shared" ca="1" si="21"/>
        <v>0</v>
      </c>
      <c r="BJ57" s="68">
        <f t="shared" ca="1" si="21"/>
        <v>0</v>
      </c>
      <c r="BK57" s="68">
        <f t="shared" ca="1" si="21"/>
        <v>0</v>
      </c>
      <c r="BL57" s="68">
        <f t="shared" ca="1" si="21"/>
        <v>0</v>
      </c>
      <c r="BM57" s="68">
        <f t="shared" ca="1" si="21"/>
        <v>0</v>
      </c>
      <c r="BN57" s="68">
        <f t="shared" ca="1" si="21"/>
        <v>0</v>
      </c>
      <c r="BO57" s="68">
        <f t="shared" ca="1" si="21"/>
        <v>0</v>
      </c>
      <c r="BP57" s="68">
        <f t="shared" ca="1" si="22"/>
        <v>0</v>
      </c>
      <c r="BQ57" s="68">
        <f t="shared" ca="1" si="20"/>
        <v>0</v>
      </c>
      <c r="BR57" s="68">
        <f t="shared" ca="1" si="20"/>
        <v>0</v>
      </c>
      <c r="BS57" s="68">
        <f t="shared" ca="1" si="20"/>
        <v>0</v>
      </c>
      <c r="BT57" s="68">
        <f t="shared" ca="1" si="20"/>
        <v>0</v>
      </c>
    </row>
    <row r="58" spans="1:72" x14ac:dyDescent="0.2">
      <c r="B58" s="88"/>
      <c r="G58" s="68" t="str">
        <f>ROW(A53)&amp;". "&amp;'Critical resources'!B64</f>
        <v xml:space="preserve">53. </v>
      </c>
      <c r="H58" s="68">
        <f ca="1">IFERROR(VLOOKUP('Critical resources'!D64,$B$6:$C$57,2,0),0)</f>
        <v>0</v>
      </c>
      <c r="I58" s="68">
        <f ca="1">IFERROR(VLOOKUP('Critical resources'!E64,$A$6:$C$57,3,0),0)</f>
        <v>0</v>
      </c>
      <c r="J58" s="68">
        <f ca="1">IFERROR(VLOOKUP('Critical resources'!G64,$B$6:$C$57,2,0),0)</f>
        <v>0</v>
      </c>
      <c r="K58" s="68">
        <f ca="1">IFERROR(VLOOKUP('Critical resources'!H64,$B$6:$C$57,2,0),0)</f>
        <v>0</v>
      </c>
      <c r="L58" s="68">
        <f ca="1">IFERROR(VLOOKUP('Critical resources'!J64,$B$6:$C$57,2,0),0)</f>
        <v>0</v>
      </c>
      <c r="M58" s="68">
        <f ca="1">IFERROR(VLOOKUP('Critical resources'!K64,$A$6:$C$57,3,0),0)</f>
        <v>0</v>
      </c>
      <c r="N58" s="68">
        <f ca="1">IFERROR(VLOOKUP('Critical resources'!M64,$B$6:$C$57,2,0),0)</f>
        <v>0</v>
      </c>
      <c r="O58" s="68">
        <f ca="1">IFERROR(VLOOKUP('Critical resources'!N64,$A$6:$C$57,3,0),0)</f>
        <v>0</v>
      </c>
      <c r="P58" s="68">
        <f ca="1">IFERROR(VLOOKUP('Critical resources'!P64,$B$6:$C$57,2,0),0)</f>
        <v>0</v>
      </c>
      <c r="Q58" s="68">
        <f ca="1">IFERROR(VLOOKUP('Critical resources'!Q64,$A$6:$C$57,3,0),0)</f>
        <v>0</v>
      </c>
      <c r="T58" s="68" t="str">
        <f t="shared" si="17"/>
        <v xml:space="preserve">53. </v>
      </c>
      <c r="U58" s="68">
        <f t="shared" ca="1" si="24"/>
        <v>0</v>
      </c>
      <c r="V58" s="68">
        <f t="shared" ca="1" si="24"/>
        <v>0</v>
      </c>
      <c r="W58" s="68">
        <f t="shared" ca="1" si="24"/>
        <v>0</v>
      </c>
      <c r="X58" s="68">
        <f t="shared" ca="1" si="24"/>
        <v>0</v>
      </c>
      <c r="Y58" s="68">
        <f t="shared" ca="1" si="24"/>
        <v>0</v>
      </c>
      <c r="Z58" s="68">
        <f t="shared" ca="1" si="24"/>
        <v>0</v>
      </c>
      <c r="AA58" s="68">
        <f t="shared" ca="1" si="24"/>
        <v>0</v>
      </c>
      <c r="AB58" s="68">
        <f t="shared" ca="1" si="24"/>
        <v>0</v>
      </c>
      <c r="AC58" s="68">
        <f t="shared" ca="1" si="24"/>
        <v>0</v>
      </c>
      <c r="AD58" s="68">
        <f t="shared" ca="1" si="24"/>
        <v>0</v>
      </c>
      <c r="AE58" s="68">
        <f t="shared" ca="1" si="24"/>
        <v>0</v>
      </c>
      <c r="AF58" s="68">
        <f t="shared" ca="1" si="24"/>
        <v>0</v>
      </c>
      <c r="AG58" s="68">
        <f t="shared" ca="1" si="24"/>
        <v>0</v>
      </c>
      <c r="AH58" s="68">
        <f t="shared" ca="1" si="24"/>
        <v>0</v>
      </c>
      <c r="AI58" s="68">
        <f t="shared" ca="1" si="24"/>
        <v>0</v>
      </c>
      <c r="AJ58" s="68">
        <f t="shared" ca="1" si="24"/>
        <v>0</v>
      </c>
      <c r="AK58" s="68">
        <f t="shared" ca="1" si="23"/>
        <v>0</v>
      </c>
      <c r="AL58" s="68">
        <f t="shared" ca="1" si="23"/>
        <v>0</v>
      </c>
      <c r="AM58" s="68">
        <f t="shared" ca="1" si="23"/>
        <v>0</v>
      </c>
      <c r="AN58" s="68">
        <f t="shared" ca="1" si="23"/>
        <v>0</v>
      </c>
      <c r="AO58" s="68">
        <f t="shared" ca="1" si="23"/>
        <v>0</v>
      </c>
      <c r="AP58" s="68">
        <f t="shared" ca="1" si="23"/>
        <v>0</v>
      </c>
      <c r="AQ58" s="68">
        <f t="shared" ca="1" si="23"/>
        <v>0</v>
      </c>
      <c r="AR58" s="68">
        <f t="shared" ca="1" si="23"/>
        <v>0</v>
      </c>
      <c r="AS58" s="68">
        <f t="shared" ca="1" si="23"/>
        <v>0</v>
      </c>
      <c r="AT58" s="68">
        <f t="shared" ca="1" si="23"/>
        <v>0</v>
      </c>
      <c r="AU58" s="68">
        <f t="shared" ca="1" si="23"/>
        <v>0</v>
      </c>
      <c r="AV58" s="68">
        <f t="shared" ca="1" si="23"/>
        <v>0</v>
      </c>
      <c r="AW58" s="68">
        <f t="shared" ca="1" si="23"/>
        <v>0</v>
      </c>
      <c r="AX58" s="68">
        <f t="shared" ca="1" si="23"/>
        <v>0</v>
      </c>
      <c r="AY58" s="68">
        <f t="shared" ca="1" si="23"/>
        <v>0</v>
      </c>
      <c r="AZ58" s="68">
        <f t="shared" ca="1" si="21"/>
        <v>0</v>
      </c>
      <c r="BA58" s="68">
        <f t="shared" ca="1" si="21"/>
        <v>0</v>
      </c>
      <c r="BB58" s="68">
        <f t="shared" ca="1" si="21"/>
        <v>0</v>
      </c>
      <c r="BC58" s="68">
        <f t="shared" ca="1" si="21"/>
        <v>0</v>
      </c>
      <c r="BD58" s="68">
        <f t="shared" ca="1" si="21"/>
        <v>0</v>
      </c>
      <c r="BE58" s="68">
        <f t="shared" ca="1" si="21"/>
        <v>0</v>
      </c>
      <c r="BF58" s="68">
        <f t="shared" ca="1" si="21"/>
        <v>0</v>
      </c>
      <c r="BG58" s="68">
        <f t="shared" ca="1" si="21"/>
        <v>0</v>
      </c>
      <c r="BH58" s="68">
        <f t="shared" ca="1" si="21"/>
        <v>0</v>
      </c>
      <c r="BI58" s="68">
        <f t="shared" ca="1" si="21"/>
        <v>0</v>
      </c>
      <c r="BJ58" s="68">
        <f t="shared" ca="1" si="21"/>
        <v>0</v>
      </c>
      <c r="BK58" s="68">
        <f t="shared" ca="1" si="21"/>
        <v>0</v>
      </c>
      <c r="BL58" s="68">
        <f t="shared" ca="1" si="21"/>
        <v>0</v>
      </c>
      <c r="BM58" s="68">
        <f t="shared" ca="1" si="21"/>
        <v>0</v>
      </c>
      <c r="BN58" s="68">
        <f t="shared" ca="1" si="21"/>
        <v>0</v>
      </c>
      <c r="BO58" s="68">
        <f t="shared" ca="1" si="21"/>
        <v>0</v>
      </c>
      <c r="BP58" s="68">
        <f t="shared" ca="1" si="22"/>
        <v>0</v>
      </c>
      <c r="BQ58" s="68">
        <f t="shared" ca="1" si="20"/>
        <v>0</v>
      </c>
      <c r="BR58" s="68">
        <f t="shared" ca="1" si="20"/>
        <v>0</v>
      </c>
      <c r="BS58" s="68">
        <f t="shared" ca="1" si="20"/>
        <v>0</v>
      </c>
      <c r="BT58" s="68">
        <f t="shared" ca="1" si="20"/>
        <v>0</v>
      </c>
    </row>
    <row r="59" spans="1:72" x14ac:dyDescent="0.2">
      <c r="B59" s="88"/>
      <c r="G59" s="68" t="str">
        <f>ROW(A54)&amp;". "&amp;'Critical resources'!B65</f>
        <v xml:space="preserve">54. </v>
      </c>
      <c r="H59" s="68">
        <f ca="1">IFERROR(VLOOKUP('Critical resources'!D65,$B$6:$C$57,2,0),0)</f>
        <v>0</v>
      </c>
      <c r="I59" s="68">
        <f ca="1">IFERROR(VLOOKUP('Critical resources'!E65,$A$6:$C$57,3,0),0)</f>
        <v>0</v>
      </c>
      <c r="J59" s="68">
        <f ca="1">IFERROR(VLOOKUP('Critical resources'!G65,$B$6:$C$57,2,0),0)</f>
        <v>0</v>
      </c>
      <c r="K59" s="68">
        <f ca="1">IFERROR(VLOOKUP('Critical resources'!H65,$B$6:$C$57,2,0),0)</f>
        <v>0</v>
      </c>
      <c r="L59" s="68">
        <f ca="1">IFERROR(VLOOKUP('Critical resources'!J65,$B$6:$C$57,2,0),0)</f>
        <v>0</v>
      </c>
      <c r="M59" s="68">
        <f ca="1">IFERROR(VLOOKUP('Critical resources'!K65,$A$6:$C$57,3,0),0)</f>
        <v>0</v>
      </c>
      <c r="N59" s="68">
        <f ca="1">IFERROR(VLOOKUP('Critical resources'!M65,$B$6:$C$57,2,0),0)</f>
        <v>0</v>
      </c>
      <c r="O59" s="68">
        <f ca="1">IFERROR(VLOOKUP('Critical resources'!N65,$A$6:$C$57,3,0),0)</f>
        <v>0</v>
      </c>
      <c r="P59" s="68">
        <f ca="1">IFERROR(VLOOKUP('Critical resources'!P65,$B$6:$C$57,2,0),0)</f>
        <v>0</v>
      </c>
      <c r="Q59" s="68">
        <f ca="1">IFERROR(VLOOKUP('Critical resources'!Q65,$A$6:$C$57,3,0),0)</f>
        <v>0</v>
      </c>
      <c r="T59" s="68" t="str">
        <f t="shared" si="17"/>
        <v xml:space="preserve">54. </v>
      </c>
      <c r="U59" s="68">
        <f t="shared" ca="1" si="24"/>
        <v>0</v>
      </c>
      <c r="V59" s="68">
        <f t="shared" ca="1" si="24"/>
        <v>0</v>
      </c>
      <c r="W59" s="68">
        <f t="shared" ca="1" si="24"/>
        <v>0</v>
      </c>
      <c r="X59" s="68">
        <f t="shared" ca="1" si="24"/>
        <v>0</v>
      </c>
      <c r="Y59" s="68">
        <f t="shared" ca="1" si="24"/>
        <v>0</v>
      </c>
      <c r="Z59" s="68">
        <f t="shared" ca="1" si="24"/>
        <v>0</v>
      </c>
      <c r="AA59" s="68">
        <f t="shared" ca="1" si="24"/>
        <v>0</v>
      </c>
      <c r="AB59" s="68">
        <f t="shared" ca="1" si="24"/>
        <v>0</v>
      </c>
      <c r="AC59" s="68">
        <f t="shared" ca="1" si="24"/>
        <v>0</v>
      </c>
      <c r="AD59" s="68">
        <f t="shared" ca="1" si="24"/>
        <v>0</v>
      </c>
      <c r="AE59" s="68">
        <f t="shared" ca="1" si="24"/>
        <v>0</v>
      </c>
      <c r="AF59" s="68">
        <f t="shared" ca="1" si="24"/>
        <v>0</v>
      </c>
      <c r="AG59" s="68">
        <f t="shared" ca="1" si="24"/>
        <v>0</v>
      </c>
      <c r="AH59" s="68">
        <f t="shared" ca="1" si="24"/>
        <v>0</v>
      </c>
      <c r="AI59" s="68">
        <f t="shared" ca="1" si="24"/>
        <v>0</v>
      </c>
      <c r="AJ59" s="68">
        <f t="shared" ca="1" si="24"/>
        <v>0</v>
      </c>
      <c r="AK59" s="68">
        <f t="shared" ca="1" si="23"/>
        <v>0</v>
      </c>
      <c r="AL59" s="68">
        <f t="shared" ca="1" si="23"/>
        <v>0</v>
      </c>
      <c r="AM59" s="68">
        <f t="shared" ca="1" si="23"/>
        <v>0</v>
      </c>
      <c r="AN59" s="68">
        <f t="shared" ca="1" si="23"/>
        <v>0</v>
      </c>
      <c r="AO59" s="68">
        <f t="shared" ca="1" si="23"/>
        <v>0</v>
      </c>
      <c r="AP59" s="68">
        <f t="shared" ca="1" si="23"/>
        <v>0</v>
      </c>
      <c r="AQ59" s="68">
        <f t="shared" ca="1" si="23"/>
        <v>0</v>
      </c>
      <c r="AR59" s="68">
        <f t="shared" ca="1" si="23"/>
        <v>0</v>
      </c>
      <c r="AS59" s="68">
        <f t="shared" ca="1" si="23"/>
        <v>0</v>
      </c>
      <c r="AT59" s="68">
        <f t="shared" ca="1" si="23"/>
        <v>0</v>
      </c>
      <c r="AU59" s="68">
        <f t="shared" ca="1" si="23"/>
        <v>0</v>
      </c>
      <c r="AV59" s="68">
        <f t="shared" ca="1" si="23"/>
        <v>0</v>
      </c>
      <c r="AW59" s="68">
        <f t="shared" ca="1" si="23"/>
        <v>0</v>
      </c>
      <c r="AX59" s="68">
        <f t="shared" ca="1" si="23"/>
        <v>0</v>
      </c>
      <c r="AY59" s="68">
        <f t="shared" ca="1" si="23"/>
        <v>0</v>
      </c>
      <c r="AZ59" s="68">
        <f t="shared" ca="1" si="21"/>
        <v>0</v>
      </c>
      <c r="BA59" s="68">
        <f t="shared" ca="1" si="21"/>
        <v>0</v>
      </c>
      <c r="BB59" s="68">
        <f t="shared" ca="1" si="21"/>
        <v>0</v>
      </c>
      <c r="BC59" s="68">
        <f t="shared" ca="1" si="21"/>
        <v>0</v>
      </c>
      <c r="BD59" s="68">
        <f t="shared" ca="1" si="21"/>
        <v>0</v>
      </c>
      <c r="BE59" s="68">
        <f t="shared" ca="1" si="21"/>
        <v>0</v>
      </c>
      <c r="BF59" s="68">
        <f t="shared" ca="1" si="21"/>
        <v>0</v>
      </c>
      <c r="BG59" s="68">
        <f t="shared" ca="1" si="21"/>
        <v>0</v>
      </c>
      <c r="BH59" s="68">
        <f t="shared" ca="1" si="21"/>
        <v>0</v>
      </c>
      <c r="BI59" s="68">
        <f t="shared" ca="1" si="21"/>
        <v>0</v>
      </c>
      <c r="BJ59" s="68">
        <f t="shared" ca="1" si="21"/>
        <v>0</v>
      </c>
      <c r="BK59" s="68">
        <f t="shared" ca="1" si="21"/>
        <v>0</v>
      </c>
      <c r="BL59" s="68">
        <f t="shared" ca="1" si="21"/>
        <v>0</v>
      </c>
      <c r="BM59" s="68">
        <f t="shared" ca="1" si="21"/>
        <v>0</v>
      </c>
      <c r="BN59" s="68">
        <f t="shared" ca="1" si="21"/>
        <v>0</v>
      </c>
      <c r="BO59" s="68">
        <f t="shared" ca="1" si="21"/>
        <v>0</v>
      </c>
      <c r="BP59" s="68">
        <f t="shared" ca="1" si="22"/>
        <v>0</v>
      </c>
      <c r="BQ59" s="68">
        <f t="shared" ca="1" si="20"/>
        <v>0</v>
      </c>
      <c r="BR59" s="68">
        <f t="shared" ca="1" si="20"/>
        <v>0</v>
      </c>
      <c r="BS59" s="68">
        <f t="shared" ca="1" si="20"/>
        <v>0</v>
      </c>
      <c r="BT59" s="68">
        <f t="shared" ca="1" si="20"/>
        <v>0</v>
      </c>
    </row>
    <row r="60" spans="1:72" x14ac:dyDescent="0.2">
      <c r="B60" s="88"/>
      <c r="G60" s="68" t="str">
        <f>ROW(A55)&amp;". "&amp;'Critical resources'!B66</f>
        <v xml:space="preserve">55. </v>
      </c>
      <c r="H60" s="68">
        <f ca="1">IFERROR(VLOOKUP('Critical resources'!D66,$B$6:$C$57,2,0),0)</f>
        <v>0</v>
      </c>
      <c r="I60" s="68">
        <f ca="1">IFERROR(VLOOKUP('Critical resources'!E66,$A$6:$C$57,3,0),0)</f>
        <v>0</v>
      </c>
      <c r="J60" s="68">
        <f ca="1">IFERROR(VLOOKUP('Critical resources'!G66,$B$6:$C$57,2,0),0)</f>
        <v>0</v>
      </c>
      <c r="K60" s="68">
        <f ca="1">IFERROR(VLOOKUP('Critical resources'!H66,$B$6:$C$57,2,0),0)</f>
        <v>0</v>
      </c>
      <c r="L60" s="68">
        <f ca="1">IFERROR(VLOOKUP('Critical resources'!J66,$B$6:$C$57,2,0),0)</f>
        <v>0</v>
      </c>
      <c r="M60" s="68">
        <f ca="1">IFERROR(VLOOKUP('Critical resources'!K66,$A$6:$C$57,3,0),0)</f>
        <v>0</v>
      </c>
      <c r="N60" s="68">
        <f ca="1">IFERROR(VLOOKUP('Critical resources'!M66,$B$6:$C$57,2,0),0)</f>
        <v>0</v>
      </c>
      <c r="O60" s="68">
        <f ca="1">IFERROR(VLOOKUP('Critical resources'!N66,$A$6:$C$57,3,0),0)</f>
        <v>0</v>
      </c>
      <c r="P60" s="68">
        <f ca="1">IFERROR(VLOOKUP('Critical resources'!P66,$B$6:$C$57,2,0),0)</f>
        <v>0</v>
      </c>
      <c r="Q60" s="68">
        <f ca="1">IFERROR(VLOOKUP('Critical resources'!Q66,$A$6:$C$57,3,0),0)</f>
        <v>0</v>
      </c>
      <c r="T60" s="68" t="str">
        <f t="shared" si="17"/>
        <v xml:space="preserve">55. </v>
      </c>
      <c r="U60" s="68">
        <f t="shared" ca="1" si="24"/>
        <v>0</v>
      </c>
      <c r="V60" s="68">
        <f t="shared" ca="1" si="24"/>
        <v>0</v>
      </c>
      <c r="W60" s="68">
        <f t="shared" ca="1" si="24"/>
        <v>0</v>
      </c>
      <c r="X60" s="68">
        <f t="shared" ca="1" si="24"/>
        <v>0</v>
      </c>
      <c r="Y60" s="68">
        <f t="shared" ca="1" si="24"/>
        <v>0</v>
      </c>
      <c r="Z60" s="68">
        <f t="shared" ca="1" si="24"/>
        <v>0</v>
      </c>
      <c r="AA60" s="68">
        <f t="shared" ca="1" si="24"/>
        <v>0</v>
      </c>
      <c r="AB60" s="68">
        <f t="shared" ca="1" si="24"/>
        <v>0</v>
      </c>
      <c r="AC60" s="68">
        <f t="shared" ca="1" si="24"/>
        <v>0</v>
      </c>
      <c r="AD60" s="68">
        <f t="shared" ca="1" si="24"/>
        <v>0</v>
      </c>
      <c r="AE60" s="68">
        <f t="shared" ca="1" si="24"/>
        <v>0</v>
      </c>
      <c r="AF60" s="68">
        <f t="shared" ca="1" si="24"/>
        <v>0</v>
      </c>
      <c r="AG60" s="68">
        <f t="shared" ca="1" si="24"/>
        <v>0</v>
      </c>
      <c r="AH60" s="68">
        <f t="shared" ca="1" si="24"/>
        <v>0</v>
      </c>
      <c r="AI60" s="68">
        <f t="shared" ca="1" si="24"/>
        <v>0</v>
      </c>
      <c r="AJ60" s="68">
        <f t="shared" ca="1" si="24"/>
        <v>0</v>
      </c>
      <c r="AK60" s="68">
        <f t="shared" ca="1" si="23"/>
        <v>0</v>
      </c>
      <c r="AL60" s="68">
        <f t="shared" ca="1" si="23"/>
        <v>0</v>
      </c>
      <c r="AM60" s="68">
        <f t="shared" ca="1" si="23"/>
        <v>0</v>
      </c>
      <c r="AN60" s="68">
        <f t="shared" ca="1" si="23"/>
        <v>0</v>
      </c>
      <c r="AO60" s="68">
        <f t="shared" ca="1" si="23"/>
        <v>0</v>
      </c>
      <c r="AP60" s="68">
        <f t="shared" ca="1" si="23"/>
        <v>0</v>
      </c>
      <c r="AQ60" s="68">
        <f t="shared" ca="1" si="23"/>
        <v>0</v>
      </c>
      <c r="AR60" s="68">
        <f t="shared" ca="1" si="23"/>
        <v>0</v>
      </c>
      <c r="AS60" s="68">
        <f t="shared" ca="1" si="23"/>
        <v>0</v>
      </c>
      <c r="AT60" s="68">
        <f t="shared" ca="1" si="23"/>
        <v>0</v>
      </c>
      <c r="AU60" s="68">
        <f t="shared" ca="1" si="23"/>
        <v>0</v>
      </c>
      <c r="AV60" s="68">
        <f t="shared" ca="1" si="23"/>
        <v>0</v>
      </c>
      <c r="AW60" s="68">
        <f t="shared" ca="1" si="23"/>
        <v>0</v>
      </c>
      <c r="AX60" s="68">
        <f t="shared" ca="1" si="23"/>
        <v>0</v>
      </c>
      <c r="AY60" s="68">
        <f t="shared" ca="1" si="23"/>
        <v>0</v>
      </c>
      <c r="AZ60" s="68">
        <f t="shared" ca="1" si="21"/>
        <v>0</v>
      </c>
      <c r="BA60" s="68">
        <f t="shared" ca="1" si="21"/>
        <v>0</v>
      </c>
      <c r="BB60" s="68">
        <f t="shared" ca="1" si="21"/>
        <v>0</v>
      </c>
      <c r="BC60" s="68">
        <f t="shared" ca="1" si="21"/>
        <v>0</v>
      </c>
      <c r="BD60" s="68">
        <f t="shared" ca="1" si="21"/>
        <v>0</v>
      </c>
      <c r="BE60" s="68">
        <f t="shared" ca="1" si="21"/>
        <v>0</v>
      </c>
      <c r="BF60" s="68">
        <f t="shared" ca="1" si="21"/>
        <v>0</v>
      </c>
      <c r="BG60" s="68">
        <f t="shared" ca="1" si="21"/>
        <v>0</v>
      </c>
      <c r="BH60" s="68">
        <f t="shared" ca="1" si="21"/>
        <v>0</v>
      </c>
      <c r="BI60" s="68">
        <f t="shared" ca="1" si="21"/>
        <v>0</v>
      </c>
      <c r="BJ60" s="68">
        <f t="shared" ca="1" si="21"/>
        <v>0</v>
      </c>
      <c r="BK60" s="68">
        <f t="shared" ca="1" si="21"/>
        <v>0</v>
      </c>
      <c r="BL60" s="68">
        <f t="shared" ca="1" si="21"/>
        <v>0</v>
      </c>
      <c r="BM60" s="68">
        <f t="shared" ca="1" si="21"/>
        <v>0</v>
      </c>
      <c r="BN60" s="68">
        <f t="shared" ca="1" si="21"/>
        <v>0</v>
      </c>
      <c r="BO60" s="68">
        <f t="shared" ca="1" si="21"/>
        <v>0</v>
      </c>
      <c r="BP60" s="68">
        <f t="shared" ca="1" si="22"/>
        <v>0</v>
      </c>
      <c r="BQ60" s="68">
        <f t="shared" ca="1" si="20"/>
        <v>0</v>
      </c>
      <c r="BR60" s="68">
        <f t="shared" ca="1" si="20"/>
        <v>0</v>
      </c>
      <c r="BS60" s="68">
        <f t="shared" ca="1" si="20"/>
        <v>0</v>
      </c>
      <c r="BT60" s="68">
        <f t="shared" ca="1" si="20"/>
        <v>0</v>
      </c>
    </row>
    <row r="61" spans="1:72" x14ac:dyDescent="0.2">
      <c r="G61" s="68" t="str">
        <f>ROW(A56)&amp;". "&amp;'Critical resources'!B67</f>
        <v xml:space="preserve">56. </v>
      </c>
      <c r="H61" s="68">
        <f ca="1">IFERROR(VLOOKUP('Critical resources'!D67,$B$6:$C$57,2,0),0)</f>
        <v>0</v>
      </c>
      <c r="I61" s="68">
        <f ca="1">IFERROR(VLOOKUP('Critical resources'!E67,$A$6:$C$57,3,0),0)</f>
        <v>0</v>
      </c>
      <c r="J61" s="68">
        <f ca="1">IFERROR(VLOOKUP('Critical resources'!G67,$B$6:$C$57,2,0),0)</f>
        <v>0</v>
      </c>
      <c r="K61" s="68">
        <f ca="1">IFERROR(VLOOKUP('Critical resources'!H67,$B$6:$C$57,2,0),0)</f>
        <v>0</v>
      </c>
      <c r="L61" s="68">
        <f ca="1">IFERROR(VLOOKUP('Critical resources'!J67,$B$6:$C$57,2,0),0)</f>
        <v>0</v>
      </c>
      <c r="M61" s="68">
        <f ca="1">IFERROR(VLOOKUP('Critical resources'!K67,$A$6:$C$57,3,0),0)</f>
        <v>0</v>
      </c>
      <c r="N61" s="68">
        <f ca="1">IFERROR(VLOOKUP('Critical resources'!M67,$B$6:$C$57,2,0),0)</f>
        <v>0</v>
      </c>
      <c r="O61" s="68">
        <f ca="1">IFERROR(VLOOKUP('Critical resources'!N67,$A$6:$C$57,3,0),0)</f>
        <v>0</v>
      </c>
      <c r="P61" s="68">
        <f ca="1">IFERROR(VLOOKUP('Critical resources'!P67,$B$6:$C$57,2,0),0)</f>
        <v>0</v>
      </c>
      <c r="Q61" s="68">
        <f ca="1">IFERROR(VLOOKUP('Critical resources'!Q67,$A$6:$C$57,3,0),0)</f>
        <v>0</v>
      </c>
      <c r="T61" s="68" t="str">
        <f t="shared" si="17"/>
        <v xml:space="preserve">56. </v>
      </c>
      <c r="U61" s="68">
        <f t="shared" ca="1" si="24"/>
        <v>0</v>
      </c>
      <c r="V61" s="68">
        <f t="shared" ca="1" si="24"/>
        <v>0</v>
      </c>
      <c r="W61" s="68">
        <f t="shared" ca="1" si="24"/>
        <v>0</v>
      </c>
      <c r="X61" s="68">
        <f t="shared" ca="1" si="24"/>
        <v>0</v>
      </c>
      <c r="Y61" s="68">
        <f t="shared" ca="1" si="24"/>
        <v>0</v>
      </c>
      <c r="Z61" s="68">
        <f t="shared" ca="1" si="24"/>
        <v>0</v>
      </c>
      <c r="AA61" s="68">
        <f t="shared" ca="1" si="24"/>
        <v>0</v>
      </c>
      <c r="AB61" s="68">
        <f t="shared" ca="1" si="24"/>
        <v>0</v>
      </c>
      <c r="AC61" s="68">
        <f t="shared" ca="1" si="24"/>
        <v>0</v>
      </c>
      <c r="AD61" s="68">
        <f t="shared" ca="1" si="24"/>
        <v>0</v>
      </c>
      <c r="AE61" s="68">
        <f t="shared" ca="1" si="24"/>
        <v>0</v>
      </c>
      <c r="AF61" s="68">
        <f t="shared" ca="1" si="24"/>
        <v>0</v>
      </c>
      <c r="AG61" s="68">
        <f t="shared" ca="1" si="24"/>
        <v>0</v>
      </c>
      <c r="AH61" s="68">
        <f t="shared" ca="1" si="24"/>
        <v>0</v>
      </c>
      <c r="AI61" s="68">
        <f t="shared" ca="1" si="24"/>
        <v>0</v>
      </c>
      <c r="AJ61" s="68">
        <f t="shared" ca="1" si="24"/>
        <v>0</v>
      </c>
      <c r="AK61" s="68">
        <f t="shared" ca="1" si="23"/>
        <v>0</v>
      </c>
      <c r="AL61" s="68">
        <f t="shared" ca="1" si="23"/>
        <v>0</v>
      </c>
      <c r="AM61" s="68">
        <f t="shared" ca="1" si="23"/>
        <v>0</v>
      </c>
      <c r="AN61" s="68">
        <f t="shared" ca="1" si="23"/>
        <v>0</v>
      </c>
      <c r="AO61" s="68">
        <f t="shared" ca="1" si="23"/>
        <v>0</v>
      </c>
      <c r="AP61" s="68">
        <f t="shared" ca="1" si="23"/>
        <v>0</v>
      </c>
      <c r="AQ61" s="68">
        <f t="shared" ca="1" si="23"/>
        <v>0</v>
      </c>
      <c r="AR61" s="68">
        <f t="shared" ca="1" si="23"/>
        <v>0</v>
      </c>
      <c r="AS61" s="68">
        <f t="shared" ca="1" si="23"/>
        <v>0</v>
      </c>
      <c r="AT61" s="68">
        <f t="shared" ca="1" si="23"/>
        <v>0</v>
      </c>
      <c r="AU61" s="68">
        <f t="shared" ca="1" si="23"/>
        <v>0</v>
      </c>
      <c r="AV61" s="68">
        <f t="shared" ca="1" si="23"/>
        <v>0</v>
      </c>
      <c r="AW61" s="68">
        <f t="shared" ca="1" si="23"/>
        <v>0</v>
      </c>
      <c r="AX61" s="68">
        <f t="shared" ca="1" si="23"/>
        <v>0</v>
      </c>
      <c r="AY61" s="68">
        <f t="shared" ca="1" si="23"/>
        <v>0</v>
      </c>
      <c r="AZ61" s="68">
        <f t="shared" ca="1" si="21"/>
        <v>0</v>
      </c>
      <c r="BA61" s="68">
        <f t="shared" ca="1" si="21"/>
        <v>0</v>
      </c>
      <c r="BB61" s="68">
        <f t="shared" ca="1" si="21"/>
        <v>0</v>
      </c>
      <c r="BC61" s="68">
        <f t="shared" ca="1" si="21"/>
        <v>0</v>
      </c>
      <c r="BD61" s="68">
        <f t="shared" ca="1" si="21"/>
        <v>0</v>
      </c>
      <c r="BE61" s="68">
        <f t="shared" ca="1" si="21"/>
        <v>0</v>
      </c>
      <c r="BF61" s="68">
        <f t="shared" ca="1" si="21"/>
        <v>0</v>
      </c>
      <c r="BG61" s="68">
        <f t="shared" ca="1" si="21"/>
        <v>0</v>
      </c>
      <c r="BH61" s="68">
        <f t="shared" ca="1" si="21"/>
        <v>0</v>
      </c>
      <c r="BI61" s="68">
        <f t="shared" ca="1" si="21"/>
        <v>0</v>
      </c>
      <c r="BJ61" s="68">
        <f t="shared" ca="1" si="21"/>
        <v>0</v>
      </c>
      <c r="BK61" s="68">
        <f t="shared" ca="1" si="21"/>
        <v>0</v>
      </c>
      <c r="BL61" s="68">
        <f t="shared" ca="1" si="21"/>
        <v>0</v>
      </c>
      <c r="BM61" s="68">
        <f t="shared" ca="1" si="21"/>
        <v>0</v>
      </c>
      <c r="BN61" s="68">
        <f t="shared" ca="1" si="21"/>
        <v>0</v>
      </c>
      <c r="BO61" s="68">
        <f t="shared" ca="1" si="21"/>
        <v>0</v>
      </c>
      <c r="BP61" s="68">
        <f t="shared" ca="1" si="22"/>
        <v>0</v>
      </c>
      <c r="BQ61" s="68">
        <f t="shared" ca="1" si="22"/>
        <v>0</v>
      </c>
      <c r="BR61" s="68">
        <f t="shared" ca="1" si="22"/>
        <v>0</v>
      </c>
      <c r="BS61" s="68">
        <f t="shared" ca="1" si="22"/>
        <v>0</v>
      </c>
      <c r="BT61" s="68">
        <f t="shared" ca="1" si="22"/>
        <v>0</v>
      </c>
    </row>
    <row r="62" spans="1:72" x14ac:dyDescent="0.2">
      <c r="G62" s="68" t="str">
        <f>ROW(A57)&amp;". "&amp;'Critical resources'!B68</f>
        <v xml:space="preserve">57. </v>
      </c>
      <c r="H62" s="68">
        <f ca="1">IFERROR(VLOOKUP('Critical resources'!D68,$B$6:$C$57,2,0),0)</f>
        <v>0</v>
      </c>
      <c r="I62" s="68">
        <f ca="1">IFERROR(VLOOKUP('Critical resources'!E68,$A$6:$C$57,3,0),0)</f>
        <v>0</v>
      </c>
      <c r="J62" s="68">
        <f ca="1">IFERROR(VLOOKUP('Critical resources'!G68,$B$6:$C$57,2,0),0)</f>
        <v>0</v>
      </c>
      <c r="K62" s="68">
        <f ca="1">IFERROR(VLOOKUP('Critical resources'!H68,$B$6:$C$57,2,0),0)</f>
        <v>0</v>
      </c>
      <c r="L62" s="68">
        <f ca="1">IFERROR(VLOOKUP('Critical resources'!J68,$B$6:$C$57,2,0),0)</f>
        <v>0</v>
      </c>
      <c r="M62" s="68">
        <f ca="1">IFERROR(VLOOKUP('Critical resources'!K68,$A$6:$C$57,3,0),0)</f>
        <v>0</v>
      </c>
      <c r="N62" s="68">
        <f ca="1">IFERROR(VLOOKUP('Critical resources'!M68,$B$6:$C$57,2,0),0)</f>
        <v>0</v>
      </c>
      <c r="O62" s="68">
        <f ca="1">IFERROR(VLOOKUP('Critical resources'!N68,$A$6:$C$57,3,0),0)</f>
        <v>0</v>
      </c>
      <c r="P62" s="68">
        <f ca="1">IFERROR(VLOOKUP('Critical resources'!P68,$B$6:$C$57,2,0),0)</f>
        <v>0</v>
      </c>
      <c r="Q62" s="68">
        <f ca="1">IFERROR(VLOOKUP('Critical resources'!Q68,$A$6:$C$57,3,0),0)</f>
        <v>0</v>
      </c>
      <c r="T62" s="68" t="str">
        <f t="shared" si="17"/>
        <v xml:space="preserve">57. </v>
      </c>
      <c r="U62" s="68">
        <f t="shared" ca="1" si="24"/>
        <v>0</v>
      </c>
      <c r="V62" s="68">
        <f t="shared" ca="1" si="24"/>
        <v>0</v>
      </c>
      <c r="W62" s="68">
        <f t="shared" ca="1" si="24"/>
        <v>0</v>
      </c>
      <c r="X62" s="68">
        <f t="shared" ca="1" si="24"/>
        <v>0</v>
      </c>
      <c r="Y62" s="68">
        <f t="shared" ca="1" si="24"/>
        <v>0</v>
      </c>
      <c r="Z62" s="68">
        <f t="shared" ca="1" si="24"/>
        <v>0</v>
      </c>
      <c r="AA62" s="68">
        <f t="shared" ca="1" si="24"/>
        <v>0</v>
      </c>
      <c r="AB62" s="68">
        <f t="shared" ca="1" si="24"/>
        <v>0</v>
      </c>
      <c r="AC62" s="68">
        <f t="shared" ca="1" si="24"/>
        <v>0</v>
      </c>
      <c r="AD62" s="68">
        <f t="shared" ca="1" si="24"/>
        <v>0</v>
      </c>
      <c r="AE62" s="68">
        <f t="shared" ca="1" si="24"/>
        <v>0</v>
      </c>
      <c r="AF62" s="68">
        <f t="shared" ca="1" si="24"/>
        <v>0</v>
      </c>
      <c r="AG62" s="68">
        <f t="shared" ca="1" si="24"/>
        <v>0</v>
      </c>
      <c r="AH62" s="68">
        <f t="shared" ca="1" si="24"/>
        <v>0</v>
      </c>
      <c r="AI62" s="68">
        <f t="shared" ca="1" si="24"/>
        <v>0</v>
      </c>
      <c r="AJ62" s="68">
        <f t="shared" ca="1" si="24"/>
        <v>0</v>
      </c>
      <c r="AK62" s="68">
        <f t="shared" ca="1" si="23"/>
        <v>0</v>
      </c>
      <c r="AL62" s="68">
        <f t="shared" ca="1" si="23"/>
        <v>0</v>
      </c>
      <c r="AM62" s="68">
        <f t="shared" ca="1" si="23"/>
        <v>0</v>
      </c>
      <c r="AN62" s="68">
        <f t="shared" ca="1" si="23"/>
        <v>0</v>
      </c>
      <c r="AO62" s="68">
        <f t="shared" ca="1" si="23"/>
        <v>0</v>
      </c>
      <c r="AP62" s="68">
        <f t="shared" ca="1" si="23"/>
        <v>0</v>
      </c>
      <c r="AQ62" s="68">
        <f t="shared" ca="1" si="23"/>
        <v>0</v>
      </c>
      <c r="AR62" s="68">
        <f t="shared" ca="1" si="23"/>
        <v>0</v>
      </c>
      <c r="AS62" s="68">
        <f t="shared" ca="1" si="23"/>
        <v>0</v>
      </c>
      <c r="AT62" s="68">
        <f t="shared" ca="1" si="23"/>
        <v>0</v>
      </c>
      <c r="AU62" s="68">
        <f t="shared" ca="1" si="23"/>
        <v>0</v>
      </c>
      <c r="AV62" s="68">
        <f t="shared" ca="1" si="23"/>
        <v>0</v>
      </c>
      <c r="AW62" s="68">
        <f t="shared" ca="1" si="23"/>
        <v>0</v>
      </c>
      <c r="AX62" s="68">
        <f t="shared" ca="1" si="23"/>
        <v>0</v>
      </c>
      <c r="AY62" s="68">
        <f t="shared" ca="1" si="23"/>
        <v>0</v>
      </c>
      <c r="AZ62" s="68">
        <f t="shared" ca="1" si="21"/>
        <v>0</v>
      </c>
      <c r="BA62" s="68">
        <f t="shared" ca="1" si="21"/>
        <v>0</v>
      </c>
      <c r="BB62" s="68">
        <f t="shared" ca="1" si="21"/>
        <v>0</v>
      </c>
      <c r="BC62" s="68">
        <f t="shared" ca="1" si="21"/>
        <v>0</v>
      </c>
      <c r="BD62" s="68">
        <f t="shared" ca="1" si="21"/>
        <v>0</v>
      </c>
      <c r="BE62" s="68">
        <f t="shared" ca="1" si="21"/>
        <v>0</v>
      </c>
      <c r="BF62" s="68">
        <f t="shared" ca="1" si="21"/>
        <v>0</v>
      </c>
      <c r="BG62" s="68">
        <f t="shared" ca="1" si="21"/>
        <v>0</v>
      </c>
      <c r="BH62" s="68">
        <f t="shared" ca="1" si="21"/>
        <v>0</v>
      </c>
      <c r="BI62" s="68">
        <f t="shared" ca="1" si="21"/>
        <v>0</v>
      </c>
      <c r="BJ62" s="68">
        <f t="shared" ca="1" si="21"/>
        <v>0</v>
      </c>
      <c r="BK62" s="68">
        <f t="shared" ca="1" si="21"/>
        <v>0</v>
      </c>
      <c r="BL62" s="68">
        <f t="shared" ca="1" si="21"/>
        <v>0</v>
      </c>
      <c r="BM62" s="68">
        <f t="shared" ca="1" si="21"/>
        <v>0</v>
      </c>
      <c r="BN62" s="68">
        <f t="shared" ca="1" si="21"/>
        <v>0</v>
      </c>
      <c r="BO62" s="68">
        <f t="shared" ca="1" si="21"/>
        <v>0</v>
      </c>
      <c r="BP62" s="68">
        <f t="shared" ca="1" si="22"/>
        <v>0</v>
      </c>
      <c r="BQ62" s="68">
        <f t="shared" ca="1" si="22"/>
        <v>0</v>
      </c>
      <c r="BR62" s="68">
        <f t="shared" ca="1" si="22"/>
        <v>0</v>
      </c>
      <c r="BS62" s="68">
        <f t="shared" ca="1" si="22"/>
        <v>0</v>
      </c>
      <c r="BT62" s="68">
        <f t="shared" ca="1" si="22"/>
        <v>0</v>
      </c>
    </row>
    <row r="63" spans="1:72" x14ac:dyDescent="0.2">
      <c r="B63" s="88"/>
      <c r="G63" s="68" t="str">
        <f>ROW(A58)&amp;". "&amp;'Critical resources'!B69</f>
        <v xml:space="preserve">58. </v>
      </c>
      <c r="H63" s="68">
        <f ca="1">IFERROR(VLOOKUP('Critical resources'!D69,$B$6:$C$57,2,0),0)</f>
        <v>0</v>
      </c>
      <c r="I63" s="68">
        <f ca="1">IFERROR(VLOOKUP('Critical resources'!E69,$A$6:$C$57,3,0),0)</f>
        <v>0</v>
      </c>
      <c r="J63" s="68">
        <f ca="1">IFERROR(VLOOKUP('Critical resources'!G69,$B$6:$C$57,2,0),0)</f>
        <v>0</v>
      </c>
      <c r="K63" s="68">
        <f ca="1">IFERROR(VLOOKUP('Critical resources'!H69,$B$6:$C$57,2,0),0)</f>
        <v>0</v>
      </c>
      <c r="L63" s="68">
        <f ca="1">IFERROR(VLOOKUP('Critical resources'!J69,$B$6:$C$57,2,0),0)</f>
        <v>0</v>
      </c>
      <c r="M63" s="68">
        <f ca="1">IFERROR(VLOOKUP('Critical resources'!K69,$A$6:$C$57,3,0),0)</f>
        <v>0</v>
      </c>
      <c r="N63" s="68">
        <f ca="1">IFERROR(VLOOKUP('Critical resources'!M69,$B$6:$C$57,2,0),0)</f>
        <v>0</v>
      </c>
      <c r="O63" s="68">
        <f ca="1">IFERROR(VLOOKUP('Critical resources'!N69,$A$6:$C$57,3,0),0)</f>
        <v>0</v>
      </c>
      <c r="P63" s="68">
        <f ca="1">IFERROR(VLOOKUP('Critical resources'!P69,$B$6:$C$57,2,0),0)</f>
        <v>0</v>
      </c>
      <c r="Q63" s="68">
        <f ca="1">IFERROR(VLOOKUP('Critical resources'!Q69,$A$6:$C$57,3,0),0)</f>
        <v>0</v>
      </c>
      <c r="T63" s="68" t="str">
        <f t="shared" si="17"/>
        <v xml:space="preserve">58. </v>
      </c>
      <c r="U63" s="68">
        <f t="shared" ca="1" si="24"/>
        <v>0</v>
      </c>
      <c r="V63" s="68">
        <f t="shared" ca="1" si="24"/>
        <v>0</v>
      </c>
      <c r="W63" s="68">
        <f t="shared" ca="1" si="24"/>
        <v>0</v>
      </c>
      <c r="X63" s="68">
        <f t="shared" ca="1" si="24"/>
        <v>0</v>
      </c>
      <c r="Y63" s="68">
        <f t="shared" ca="1" si="24"/>
        <v>0</v>
      </c>
      <c r="Z63" s="68">
        <f t="shared" ca="1" si="24"/>
        <v>0</v>
      </c>
      <c r="AA63" s="68">
        <f t="shared" ca="1" si="24"/>
        <v>0</v>
      </c>
      <c r="AB63" s="68">
        <f t="shared" ca="1" si="24"/>
        <v>0</v>
      </c>
      <c r="AC63" s="68">
        <f t="shared" ca="1" si="24"/>
        <v>0</v>
      </c>
      <c r="AD63" s="68">
        <f t="shared" ca="1" si="24"/>
        <v>0</v>
      </c>
      <c r="AE63" s="68">
        <f t="shared" ca="1" si="24"/>
        <v>0</v>
      </c>
      <c r="AF63" s="68">
        <f t="shared" ca="1" si="24"/>
        <v>0</v>
      </c>
      <c r="AG63" s="68">
        <f t="shared" ca="1" si="24"/>
        <v>0</v>
      </c>
      <c r="AH63" s="68">
        <f t="shared" ca="1" si="24"/>
        <v>0</v>
      </c>
      <c r="AI63" s="68">
        <f t="shared" ca="1" si="24"/>
        <v>0</v>
      </c>
      <c r="AJ63" s="68">
        <f t="shared" ca="1" si="24"/>
        <v>0</v>
      </c>
      <c r="AK63" s="68">
        <f t="shared" ca="1" si="23"/>
        <v>0</v>
      </c>
      <c r="AL63" s="68">
        <f t="shared" ca="1" si="23"/>
        <v>0</v>
      </c>
      <c r="AM63" s="68">
        <f t="shared" ca="1" si="23"/>
        <v>0</v>
      </c>
      <c r="AN63" s="68">
        <f t="shared" ca="1" si="23"/>
        <v>0</v>
      </c>
      <c r="AO63" s="68">
        <f t="shared" ca="1" si="23"/>
        <v>0</v>
      </c>
      <c r="AP63" s="68">
        <f t="shared" ca="1" si="23"/>
        <v>0</v>
      </c>
      <c r="AQ63" s="68">
        <f t="shared" ca="1" si="23"/>
        <v>0</v>
      </c>
      <c r="AR63" s="68">
        <f t="shared" ca="1" si="23"/>
        <v>0</v>
      </c>
      <c r="AS63" s="68">
        <f t="shared" ca="1" si="23"/>
        <v>0</v>
      </c>
      <c r="AT63" s="68">
        <f t="shared" ca="1" si="23"/>
        <v>0</v>
      </c>
      <c r="AU63" s="68">
        <f t="shared" ca="1" si="23"/>
        <v>0</v>
      </c>
      <c r="AV63" s="68">
        <f t="shared" ca="1" si="23"/>
        <v>0</v>
      </c>
      <c r="AW63" s="68">
        <f t="shared" ca="1" si="23"/>
        <v>0</v>
      </c>
      <c r="AX63" s="68">
        <f t="shared" ca="1" si="23"/>
        <v>0</v>
      </c>
      <c r="AY63" s="68">
        <f t="shared" ca="1" si="23"/>
        <v>0</v>
      </c>
      <c r="AZ63" s="68">
        <f t="shared" ca="1" si="21"/>
        <v>0</v>
      </c>
      <c r="BA63" s="68">
        <f t="shared" ca="1" si="21"/>
        <v>0</v>
      </c>
      <c r="BB63" s="68">
        <f t="shared" ca="1" si="21"/>
        <v>0</v>
      </c>
      <c r="BC63" s="68">
        <f t="shared" ca="1" si="21"/>
        <v>0</v>
      </c>
      <c r="BD63" s="68">
        <f t="shared" ca="1" si="21"/>
        <v>0</v>
      </c>
      <c r="BE63" s="68">
        <f t="shared" ca="1" si="21"/>
        <v>0</v>
      </c>
      <c r="BF63" s="68">
        <f t="shared" ca="1" si="21"/>
        <v>0</v>
      </c>
      <c r="BG63" s="68">
        <f t="shared" ca="1" si="21"/>
        <v>0</v>
      </c>
      <c r="BH63" s="68">
        <f t="shared" ca="1" si="21"/>
        <v>0</v>
      </c>
      <c r="BI63" s="68">
        <f t="shared" ca="1" si="21"/>
        <v>0</v>
      </c>
      <c r="BJ63" s="68">
        <f t="shared" ca="1" si="21"/>
        <v>0</v>
      </c>
      <c r="BK63" s="68">
        <f t="shared" ca="1" si="21"/>
        <v>0</v>
      </c>
      <c r="BL63" s="68">
        <f t="shared" ca="1" si="21"/>
        <v>0</v>
      </c>
      <c r="BM63" s="68">
        <f t="shared" ca="1" si="21"/>
        <v>0</v>
      </c>
      <c r="BN63" s="68">
        <f t="shared" ca="1" si="21"/>
        <v>0</v>
      </c>
      <c r="BO63" s="68">
        <f t="shared" ca="1" si="21"/>
        <v>0</v>
      </c>
      <c r="BP63" s="68">
        <f t="shared" ca="1" si="22"/>
        <v>0</v>
      </c>
      <c r="BQ63" s="68">
        <f t="shared" ca="1" si="22"/>
        <v>0</v>
      </c>
      <c r="BR63" s="68">
        <f t="shared" ca="1" si="22"/>
        <v>0</v>
      </c>
      <c r="BS63" s="68">
        <f t="shared" ca="1" si="22"/>
        <v>0</v>
      </c>
      <c r="BT63" s="68">
        <f t="shared" ca="1" si="22"/>
        <v>0</v>
      </c>
    </row>
    <row r="64" spans="1:72" x14ac:dyDescent="0.2">
      <c r="B64" s="88"/>
      <c r="G64" s="68" t="str">
        <f>ROW(A59)&amp;". "&amp;'Critical resources'!B70</f>
        <v xml:space="preserve">59. </v>
      </c>
      <c r="H64" s="68">
        <f ca="1">IFERROR(VLOOKUP('Critical resources'!D70,$B$6:$C$57,2,0),0)</f>
        <v>0</v>
      </c>
      <c r="I64" s="68">
        <f ca="1">IFERROR(VLOOKUP('Critical resources'!E70,$A$6:$C$57,3,0),0)</f>
        <v>0</v>
      </c>
      <c r="J64" s="68">
        <f ca="1">IFERROR(VLOOKUP('Critical resources'!G70,$B$6:$C$57,2,0),0)</f>
        <v>0</v>
      </c>
      <c r="K64" s="68">
        <f ca="1">IFERROR(VLOOKUP('Critical resources'!H70,$B$6:$C$57,2,0),0)</f>
        <v>0</v>
      </c>
      <c r="L64" s="68">
        <f ca="1">IFERROR(VLOOKUP('Critical resources'!J70,$B$6:$C$57,2,0),0)</f>
        <v>0</v>
      </c>
      <c r="M64" s="68">
        <f ca="1">IFERROR(VLOOKUP('Critical resources'!K70,$A$6:$C$57,3,0),0)</f>
        <v>0</v>
      </c>
      <c r="N64" s="68">
        <f ca="1">IFERROR(VLOOKUP('Critical resources'!M70,$B$6:$C$57,2,0),0)</f>
        <v>0</v>
      </c>
      <c r="O64" s="68">
        <f ca="1">IFERROR(VLOOKUP('Critical resources'!N70,$A$6:$C$57,3,0),0)</f>
        <v>0</v>
      </c>
      <c r="P64" s="68">
        <f ca="1">IFERROR(VLOOKUP('Critical resources'!P70,$B$6:$C$57,2,0),0)</f>
        <v>0</v>
      </c>
      <c r="Q64" s="68">
        <f ca="1">IFERROR(VLOOKUP('Critical resources'!Q70,$A$6:$C$57,3,0),0)</f>
        <v>0</v>
      </c>
      <c r="T64" s="68" t="str">
        <f t="shared" si="17"/>
        <v xml:space="preserve">59. </v>
      </c>
      <c r="U64" s="68">
        <f t="shared" ca="1" si="24"/>
        <v>0</v>
      </c>
      <c r="V64" s="68">
        <f t="shared" ca="1" si="24"/>
        <v>0</v>
      </c>
      <c r="W64" s="68">
        <f t="shared" ca="1" si="24"/>
        <v>0</v>
      </c>
      <c r="X64" s="68">
        <f t="shared" ca="1" si="24"/>
        <v>0</v>
      </c>
      <c r="Y64" s="68">
        <f t="shared" ca="1" si="24"/>
        <v>0</v>
      </c>
      <c r="Z64" s="68">
        <f t="shared" ca="1" si="24"/>
        <v>0</v>
      </c>
      <c r="AA64" s="68">
        <f t="shared" ca="1" si="24"/>
        <v>0</v>
      </c>
      <c r="AB64" s="68">
        <f t="shared" ca="1" si="24"/>
        <v>0</v>
      </c>
      <c r="AC64" s="68">
        <f t="shared" ca="1" si="24"/>
        <v>0</v>
      </c>
      <c r="AD64" s="68">
        <f t="shared" ca="1" si="24"/>
        <v>0</v>
      </c>
      <c r="AE64" s="68">
        <f t="shared" ca="1" si="24"/>
        <v>0</v>
      </c>
      <c r="AF64" s="68">
        <f t="shared" ca="1" si="24"/>
        <v>0</v>
      </c>
      <c r="AG64" s="68">
        <f t="shared" ca="1" si="24"/>
        <v>0</v>
      </c>
      <c r="AH64" s="68">
        <f t="shared" ca="1" si="24"/>
        <v>0</v>
      </c>
      <c r="AI64" s="68">
        <f t="shared" ca="1" si="24"/>
        <v>0</v>
      </c>
      <c r="AJ64" s="68">
        <f t="shared" ca="1" si="24"/>
        <v>0</v>
      </c>
      <c r="AK64" s="68">
        <f t="shared" ca="1" si="23"/>
        <v>0</v>
      </c>
      <c r="AL64" s="68">
        <f t="shared" ca="1" si="23"/>
        <v>0</v>
      </c>
      <c r="AM64" s="68">
        <f t="shared" ca="1" si="23"/>
        <v>0</v>
      </c>
      <c r="AN64" s="68">
        <f t="shared" ca="1" si="23"/>
        <v>0</v>
      </c>
      <c r="AO64" s="68">
        <f t="shared" ca="1" si="23"/>
        <v>0</v>
      </c>
      <c r="AP64" s="68">
        <f t="shared" ca="1" si="23"/>
        <v>0</v>
      </c>
      <c r="AQ64" s="68">
        <f t="shared" ca="1" si="23"/>
        <v>0</v>
      </c>
      <c r="AR64" s="68">
        <f t="shared" ca="1" si="23"/>
        <v>0</v>
      </c>
      <c r="AS64" s="68">
        <f t="shared" ca="1" si="23"/>
        <v>0</v>
      </c>
      <c r="AT64" s="68">
        <f t="shared" ca="1" si="23"/>
        <v>0</v>
      </c>
      <c r="AU64" s="68">
        <f t="shared" ca="1" si="23"/>
        <v>0</v>
      </c>
      <c r="AV64" s="68">
        <f t="shared" ca="1" si="23"/>
        <v>0</v>
      </c>
      <c r="AW64" s="68">
        <f t="shared" ca="1" si="23"/>
        <v>0</v>
      </c>
      <c r="AX64" s="68">
        <f t="shared" ca="1" si="23"/>
        <v>0</v>
      </c>
      <c r="AY64" s="68">
        <f t="shared" ca="1" si="23"/>
        <v>0</v>
      </c>
      <c r="AZ64" s="68">
        <f t="shared" ca="1" si="21"/>
        <v>0</v>
      </c>
      <c r="BA64" s="68">
        <f t="shared" ca="1" si="21"/>
        <v>0</v>
      </c>
      <c r="BB64" s="68">
        <f t="shared" ca="1" si="21"/>
        <v>0</v>
      </c>
      <c r="BC64" s="68">
        <f t="shared" ca="1" si="21"/>
        <v>0</v>
      </c>
      <c r="BD64" s="68">
        <f t="shared" ca="1" si="21"/>
        <v>0</v>
      </c>
      <c r="BE64" s="68">
        <f t="shared" ca="1" si="21"/>
        <v>0</v>
      </c>
      <c r="BF64" s="68">
        <f t="shared" ca="1" si="21"/>
        <v>0</v>
      </c>
      <c r="BG64" s="68">
        <f t="shared" ca="1" si="21"/>
        <v>0</v>
      </c>
      <c r="BH64" s="68">
        <f t="shared" ca="1" si="21"/>
        <v>0</v>
      </c>
      <c r="BI64" s="68">
        <f t="shared" ca="1" si="21"/>
        <v>0</v>
      </c>
      <c r="BJ64" s="68">
        <f t="shared" ca="1" si="21"/>
        <v>0</v>
      </c>
      <c r="BK64" s="68">
        <f t="shared" ca="1" si="21"/>
        <v>0</v>
      </c>
      <c r="BL64" s="68">
        <f t="shared" ca="1" si="21"/>
        <v>0</v>
      </c>
      <c r="BM64" s="68">
        <f t="shared" ca="1" si="21"/>
        <v>0</v>
      </c>
      <c r="BN64" s="68">
        <f t="shared" ca="1" si="21"/>
        <v>0</v>
      </c>
      <c r="BO64" s="68">
        <f t="shared" ca="1" si="21"/>
        <v>0</v>
      </c>
      <c r="BP64" s="68">
        <f t="shared" ca="1" si="22"/>
        <v>0</v>
      </c>
      <c r="BQ64" s="68">
        <f t="shared" ca="1" si="22"/>
        <v>0</v>
      </c>
      <c r="BR64" s="68">
        <f t="shared" ca="1" si="22"/>
        <v>0</v>
      </c>
      <c r="BS64" s="68">
        <f t="shared" ca="1" si="22"/>
        <v>0</v>
      </c>
      <c r="BT64" s="68">
        <f t="shared" ca="1" si="22"/>
        <v>0</v>
      </c>
    </row>
    <row r="65" spans="2:72" x14ac:dyDescent="0.2">
      <c r="B65" s="88"/>
      <c r="G65" s="68" t="str">
        <f>ROW(A60)&amp;". "&amp;'Critical resources'!B71</f>
        <v xml:space="preserve">60. </v>
      </c>
      <c r="H65" s="68">
        <f ca="1">IFERROR(VLOOKUP('Critical resources'!D71,$B$6:$C$57,2,0),0)</f>
        <v>0</v>
      </c>
      <c r="I65" s="68">
        <f ca="1">IFERROR(VLOOKUP('Critical resources'!E71,$A$6:$C$57,3,0),0)</f>
        <v>0</v>
      </c>
      <c r="J65" s="68">
        <f ca="1">IFERROR(VLOOKUP('Critical resources'!G71,$B$6:$C$57,2,0),0)</f>
        <v>0</v>
      </c>
      <c r="K65" s="68">
        <f ca="1">IFERROR(VLOOKUP('Critical resources'!H71,$B$6:$C$57,2,0),0)</f>
        <v>0</v>
      </c>
      <c r="L65" s="68">
        <f ca="1">IFERROR(VLOOKUP('Critical resources'!J71,$B$6:$C$57,2,0),0)</f>
        <v>0</v>
      </c>
      <c r="M65" s="68">
        <f ca="1">IFERROR(VLOOKUP('Critical resources'!K71,$A$6:$C$57,3,0),0)</f>
        <v>0</v>
      </c>
      <c r="N65" s="68">
        <f ca="1">IFERROR(VLOOKUP('Critical resources'!M71,$B$6:$C$57,2,0),0)</f>
        <v>0</v>
      </c>
      <c r="O65" s="68">
        <f ca="1">IFERROR(VLOOKUP('Critical resources'!N71,$A$6:$C$57,3,0),0)</f>
        <v>0</v>
      </c>
      <c r="P65" s="68">
        <f ca="1">IFERROR(VLOOKUP('Critical resources'!P71,$B$6:$C$57,2,0),0)</f>
        <v>0</v>
      </c>
      <c r="Q65" s="68">
        <f ca="1">IFERROR(VLOOKUP('Critical resources'!Q71,$A$6:$C$57,3,0),0)</f>
        <v>0</v>
      </c>
      <c r="T65" s="68" t="str">
        <f t="shared" si="17"/>
        <v xml:space="preserve">60. </v>
      </c>
      <c r="U65" s="68">
        <f t="shared" ca="1" si="24"/>
        <v>0</v>
      </c>
      <c r="V65" s="68">
        <f t="shared" ca="1" si="24"/>
        <v>0</v>
      </c>
      <c r="W65" s="68">
        <f t="shared" ca="1" si="24"/>
        <v>0</v>
      </c>
      <c r="X65" s="68">
        <f t="shared" ca="1" si="24"/>
        <v>0</v>
      </c>
      <c r="Y65" s="68">
        <f t="shared" ca="1" si="24"/>
        <v>0</v>
      </c>
      <c r="Z65" s="68">
        <f t="shared" ca="1" si="24"/>
        <v>0</v>
      </c>
      <c r="AA65" s="68">
        <f t="shared" ca="1" si="24"/>
        <v>0</v>
      </c>
      <c r="AB65" s="68">
        <f t="shared" ca="1" si="24"/>
        <v>0</v>
      </c>
      <c r="AC65" s="68">
        <f t="shared" ca="1" si="24"/>
        <v>0</v>
      </c>
      <c r="AD65" s="68">
        <f t="shared" ca="1" si="24"/>
        <v>0</v>
      </c>
      <c r="AE65" s="68">
        <f t="shared" ca="1" si="24"/>
        <v>0</v>
      </c>
      <c r="AF65" s="68">
        <f t="shared" ca="1" si="24"/>
        <v>0</v>
      </c>
      <c r="AG65" s="68">
        <f t="shared" ca="1" si="24"/>
        <v>0</v>
      </c>
      <c r="AH65" s="68">
        <f t="shared" ca="1" si="24"/>
        <v>0</v>
      </c>
      <c r="AI65" s="68">
        <f t="shared" ca="1" si="24"/>
        <v>0</v>
      </c>
      <c r="AJ65" s="68">
        <f t="shared" ca="1" si="24"/>
        <v>0</v>
      </c>
      <c r="AK65" s="68">
        <f t="shared" ca="1" si="23"/>
        <v>0</v>
      </c>
      <c r="AL65" s="68">
        <f t="shared" ca="1" si="23"/>
        <v>0</v>
      </c>
      <c r="AM65" s="68">
        <f t="shared" ca="1" si="23"/>
        <v>0</v>
      </c>
      <c r="AN65" s="68">
        <f t="shared" ca="1" si="23"/>
        <v>0</v>
      </c>
      <c r="AO65" s="68">
        <f t="shared" ca="1" si="23"/>
        <v>0</v>
      </c>
      <c r="AP65" s="68">
        <f t="shared" ca="1" si="23"/>
        <v>0</v>
      </c>
      <c r="AQ65" s="68">
        <f t="shared" ca="1" si="23"/>
        <v>0</v>
      </c>
      <c r="AR65" s="68">
        <f t="shared" ca="1" si="23"/>
        <v>0</v>
      </c>
      <c r="AS65" s="68">
        <f t="shared" ca="1" si="23"/>
        <v>0</v>
      </c>
      <c r="AT65" s="68">
        <f t="shared" ca="1" si="23"/>
        <v>0</v>
      </c>
      <c r="AU65" s="68">
        <f t="shared" ca="1" si="23"/>
        <v>0</v>
      </c>
      <c r="AV65" s="68">
        <f t="shared" ca="1" si="23"/>
        <v>0</v>
      </c>
      <c r="AW65" s="68">
        <f t="shared" ca="1" si="23"/>
        <v>0</v>
      </c>
      <c r="AX65" s="68">
        <f t="shared" ca="1" si="23"/>
        <v>0</v>
      </c>
      <c r="AY65" s="68">
        <f t="shared" ca="1" si="23"/>
        <v>0</v>
      </c>
      <c r="AZ65" s="68">
        <f t="shared" ca="1" si="21"/>
        <v>0</v>
      </c>
      <c r="BA65" s="68">
        <f t="shared" ca="1" si="21"/>
        <v>0</v>
      </c>
      <c r="BB65" s="68">
        <f t="shared" ca="1" si="21"/>
        <v>0</v>
      </c>
      <c r="BC65" s="68">
        <f t="shared" ca="1" si="21"/>
        <v>0</v>
      </c>
      <c r="BD65" s="68">
        <f t="shared" ca="1" si="21"/>
        <v>0</v>
      </c>
      <c r="BE65" s="68">
        <f t="shared" ca="1" si="21"/>
        <v>0</v>
      </c>
      <c r="BF65" s="68">
        <f t="shared" ca="1" si="21"/>
        <v>0</v>
      </c>
      <c r="BG65" s="68">
        <f t="shared" ca="1" si="21"/>
        <v>0</v>
      </c>
      <c r="BH65" s="68">
        <f t="shared" ca="1" si="21"/>
        <v>0</v>
      </c>
      <c r="BI65" s="68">
        <f t="shared" ca="1" si="21"/>
        <v>0</v>
      </c>
      <c r="BJ65" s="68">
        <f t="shared" ca="1" si="21"/>
        <v>0</v>
      </c>
      <c r="BK65" s="68">
        <f t="shared" ca="1" si="21"/>
        <v>0</v>
      </c>
      <c r="BL65" s="68">
        <f t="shared" ca="1" si="21"/>
        <v>0</v>
      </c>
      <c r="BM65" s="68">
        <f t="shared" ca="1" si="21"/>
        <v>0</v>
      </c>
      <c r="BN65" s="68">
        <f t="shared" ca="1" si="21"/>
        <v>0</v>
      </c>
      <c r="BO65" s="68">
        <f t="shared" ca="1" si="21"/>
        <v>0</v>
      </c>
      <c r="BP65" s="68">
        <f t="shared" ca="1" si="22"/>
        <v>0</v>
      </c>
      <c r="BQ65" s="68">
        <f t="shared" ca="1" si="22"/>
        <v>0</v>
      </c>
      <c r="BR65" s="68">
        <f t="shared" ca="1" si="22"/>
        <v>0</v>
      </c>
      <c r="BS65" s="68">
        <f t="shared" ca="1" si="22"/>
        <v>0</v>
      </c>
      <c r="BT65" s="68">
        <f t="shared" ca="1" si="22"/>
        <v>0</v>
      </c>
    </row>
    <row r="66" spans="2:72" x14ac:dyDescent="0.2">
      <c r="B66" s="88"/>
      <c r="G66" s="68" t="str">
        <f>ROW(A61)&amp;". "&amp;'Critical resources'!B72</f>
        <v xml:space="preserve">61. </v>
      </c>
      <c r="H66" s="68">
        <f ca="1">IFERROR(VLOOKUP('Critical resources'!D72,$B$6:$C$57,2,0),0)</f>
        <v>0</v>
      </c>
      <c r="I66" s="68">
        <f ca="1">IFERROR(VLOOKUP('Critical resources'!E72,$A$6:$C$57,3,0),0)</f>
        <v>0</v>
      </c>
      <c r="J66" s="68">
        <f ca="1">IFERROR(VLOOKUP('Critical resources'!G72,$B$6:$C$57,2,0),0)</f>
        <v>0</v>
      </c>
      <c r="K66" s="68">
        <f ca="1">IFERROR(VLOOKUP('Critical resources'!H72,$B$6:$C$57,2,0),0)</f>
        <v>0</v>
      </c>
      <c r="L66" s="68">
        <f ca="1">IFERROR(VLOOKUP('Critical resources'!J72,$B$6:$C$57,2,0),0)</f>
        <v>0</v>
      </c>
      <c r="M66" s="68">
        <f ca="1">IFERROR(VLOOKUP('Critical resources'!K72,$A$6:$C$57,3,0),0)</f>
        <v>0</v>
      </c>
      <c r="N66" s="68">
        <f ca="1">IFERROR(VLOOKUP('Critical resources'!M72,$B$6:$C$57,2,0),0)</f>
        <v>0</v>
      </c>
      <c r="O66" s="68">
        <f ca="1">IFERROR(VLOOKUP('Critical resources'!N72,$A$6:$C$57,3,0),0)</f>
        <v>0</v>
      </c>
      <c r="P66" s="68">
        <f ca="1">IFERROR(VLOOKUP('Critical resources'!P72,$B$6:$C$57,2,0),0)</f>
        <v>0</v>
      </c>
      <c r="Q66" s="68">
        <f ca="1">IFERROR(VLOOKUP('Critical resources'!Q72,$A$6:$C$57,3,0),0)</f>
        <v>0</v>
      </c>
      <c r="T66" s="68" t="str">
        <f t="shared" si="17"/>
        <v xml:space="preserve">61. </v>
      </c>
      <c r="U66" s="68">
        <f t="shared" ca="1" si="24"/>
        <v>0</v>
      </c>
      <c r="V66" s="68">
        <f t="shared" ca="1" si="24"/>
        <v>0</v>
      </c>
      <c r="W66" s="68">
        <f t="shared" ca="1" si="24"/>
        <v>0</v>
      </c>
      <c r="X66" s="68">
        <f t="shared" ca="1" si="24"/>
        <v>0</v>
      </c>
      <c r="Y66" s="68">
        <f t="shared" ca="1" si="24"/>
        <v>0</v>
      </c>
      <c r="Z66" s="68">
        <f t="shared" ca="1" si="24"/>
        <v>0</v>
      </c>
      <c r="AA66" s="68">
        <f t="shared" ca="1" si="24"/>
        <v>0</v>
      </c>
      <c r="AB66" s="68">
        <f t="shared" ca="1" si="24"/>
        <v>0</v>
      </c>
      <c r="AC66" s="68">
        <f t="shared" ca="1" si="24"/>
        <v>0</v>
      </c>
      <c r="AD66" s="68">
        <f t="shared" ca="1" si="24"/>
        <v>0</v>
      </c>
      <c r="AE66" s="68">
        <f t="shared" ca="1" si="24"/>
        <v>0</v>
      </c>
      <c r="AF66" s="68">
        <f t="shared" ca="1" si="24"/>
        <v>0</v>
      </c>
      <c r="AG66" s="68">
        <f t="shared" ca="1" si="24"/>
        <v>0</v>
      </c>
      <c r="AH66" s="68">
        <f t="shared" ca="1" si="24"/>
        <v>0</v>
      </c>
      <c r="AI66" s="68">
        <f t="shared" ca="1" si="24"/>
        <v>0</v>
      </c>
      <c r="AJ66" s="68">
        <f t="shared" ca="1" si="24"/>
        <v>0</v>
      </c>
      <c r="AK66" s="68">
        <f t="shared" ca="1" si="23"/>
        <v>0</v>
      </c>
      <c r="AL66" s="68">
        <f t="shared" ca="1" si="23"/>
        <v>0</v>
      </c>
      <c r="AM66" s="68">
        <f t="shared" ca="1" si="23"/>
        <v>0</v>
      </c>
      <c r="AN66" s="68">
        <f t="shared" ca="1" si="23"/>
        <v>0</v>
      </c>
      <c r="AO66" s="68">
        <f t="shared" ca="1" si="23"/>
        <v>0</v>
      </c>
      <c r="AP66" s="68">
        <f t="shared" ca="1" si="23"/>
        <v>0</v>
      </c>
      <c r="AQ66" s="68">
        <f t="shared" ca="1" si="23"/>
        <v>0</v>
      </c>
      <c r="AR66" s="68">
        <f t="shared" ca="1" si="23"/>
        <v>0</v>
      </c>
      <c r="AS66" s="68">
        <f t="shared" ca="1" si="23"/>
        <v>0</v>
      </c>
      <c r="AT66" s="68">
        <f t="shared" ca="1" si="23"/>
        <v>0</v>
      </c>
      <c r="AU66" s="68">
        <f t="shared" ca="1" si="23"/>
        <v>0</v>
      </c>
      <c r="AV66" s="68">
        <f t="shared" ca="1" si="23"/>
        <v>0</v>
      </c>
      <c r="AW66" s="68">
        <f t="shared" ca="1" si="23"/>
        <v>0</v>
      </c>
      <c r="AX66" s="68">
        <f t="shared" ca="1" si="23"/>
        <v>0</v>
      </c>
      <c r="AY66" s="68">
        <f t="shared" ca="1" si="23"/>
        <v>0</v>
      </c>
      <c r="AZ66" s="68">
        <f t="shared" ca="1" si="21"/>
        <v>0</v>
      </c>
      <c r="BA66" s="68">
        <f t="shared" ca="1" si="21"/>
        <v>0</v>
      </c>
      <c r="BB66" s="68">
        <f t="shared" ca="1" si="21"/>
        <v>0</v>
      </c>
      <c r="BC66" s="68">
        <f t="shared" ca="1" si="21"/>
        <v>0</v>
      </c>
      <c r="BD66" s="68">
        <f t="shared" ca="1" si="21"/>
        <v>0</v>
      </c>
      <c r="BE66" s="68">
        <f t="shared" ca="1" si="21"/>
        <v>0</v>
      </c>
      <c r="BF66" s="68">
        <f t="shared" ca="1" si="21"/>
        <v>0</v>
      </c>
      <c r="BG66" s="68">
        <f t="shared" ca="1" si="21"/>
        <v>0</v>
      </c>
      <c r="BH66" s="68">
        <f t="shared" ca="1" si="21"/>
        <v>0</v>
      </c>
      <c r="BI66" s="68">
        <f t="shared" ca="1" si="21"/>
        <v>0</v>
      </c>
      <c r="BJ66" s="68">
        <f t="shared" ca="1" si="21"/>
        <v>0</v>
      </c>
      <c r="BK66" s="68">
        <f t="shared" ca="1" si="21"/>
        <v>0</v>
      </c>
      <c r="BL66" s="68">
        <f t="shared" ca="1" si="21"/>
        <v>0</v>
      </c>
      <c r="BM66" s="68">
        <f t="shared" ca="1" si="21"/>
        <v>0</v>
      </c>
      <c r="BN66" s="68">
        <f t="shared" ca="1" si="21"/>
        <v>0</v>
      </c>
      <c r="BO66" s="68">
        <f t="shared" ca="1" si="21"/>
        <v>0</v>
      </c>
      <c r="BP66" s="68">
        <f t="shared" ca="1" si="22"/>
        <v>0</v>
      </c>
      <c r="BQ66" s="68">
        <f t="shared" ca="1" si="22"/>
        <v>0</v>
      </c>
      <c r="BR66" s="68">
        <f t="shared" ca="1" si="22"/>
        <v>0</v>
      </c>
      <c r="BS66" s="68">
        <f t="shared" ca="1" si="22"/>
        <v>0</v>
      </c>
      <c r="BT66" s="68">
        <f t="shared" ca="1" si="22"/>
        <v>0</v>
      </c>
    </row>
    <row r="67" spans="2:72" x14ac:dyDescent="0.2">
      <c r="B67" s="88"/>
      <c r="G67" s="68" t="str">
        <f>ROW(A62)&amp;". "&amp;'Critical resources'!B73</f>
        <v xml:space="preserve">62. </v>
      </c>
      <c r="H67" s="68">
        <f ca="1">IFERROR(VLOOKUP('Critical resources'!D73,$B$6:$C$57,2,0),0)</f>
        <v>0</v>
      </c>
      <c r="I67" s="68">
        <f ca="1">IFERROR(VLOOKUP('Critical resources'!E73,$A$6:$C$57,3,0),0)</f>
        <v>0</v>
      </c>
      <c r="J67" s="68">
        <f ca="1">IFERROR(VLOOKUP('Critical resources'!G73,$B$6:$C$57,2,0),0)</f>
        <v>0</v>
      </c>
      <c r="K67" s="68">
        <f ca="1">IFERROR(VLOOKUP('Critical resources'!H73,$B$6:$C$57,2,0),0)</f>
        <v>0</v>
      </c>
      <c r="L67" s="68">
        <f ca="1">IFERROR(VLOOKUP('Critical resources'!J73,$B$6:$C$57,2,0),0)</f>
        <v>0</v>
      </c>
      <c r="M67" s="68">
        <f ca="1">IFERROR(VLOOKUP('Critical resources'!K73,$A$6:$C$57,3,0),0)</f>
        <v>0</v>
      </c>
      <c r="N67" s="68">
        <f ca="1">IFERROR(VLOOKUP('Critical resources'!M73,$B$6:$C$57,2,0),0)</f>
        <v>0</v>
      </c>
      <c r="O67" s="68">
        <f ca="1">IFERROR(VLOOKUP('Critical resources'!N73,$A$6:$C$57,3,0),0)</f>
        <v>0</v>
      </c>
      <c r="P67" s="68">
        <f ca="1">IFERROR(VLOOKUP('Critical resources'!P73,$B$6:$C$57,2,0),0)</f>
        <v>0</v>
      </c>
      <c r="Q67" s="68">
        <f ca="1">IFERROR(VLOOKUP('Critical resources'!Q73,$A$6:$C$57,3,0),0)</f>
        <v>0</v>
      </c>
      <c r="T67" s="68" t="str">
        <f t="shared" si="17"/>
        <v xml:space="preserve">62. </v>
      </c>
      <c r="U67" s="68">
        <f t="shared" ca="1" si="24"/>
        <v>0</v>
      </c>
      <c r="V67" s="68">
        <f t="shared" ca="1" si="24"/>
        <v>0</v>
      </c>
      <c r="W67" s="68">
        <f t="shared" ca="1" si="24"/>
        <v>0</v>
      </c>
      <c r="X67" s="68">
        <f t="shared" ca="1" si="24"/>
        <v>0</v>
      </c>
      <c r="Y67" s="68">
        <f t="shared" ca="1" si="24"/>
        <v>0</v>
      </c>
      <c r="Z67" s="68">
        <f t="shared" ca="1" si="24"/>
        <v>0</v>
      </c>
      <c r="AA67" s="68">
        <f t="shared" ca="1" si="24"/>
        <v>0</v>
      </c>
      <c r="AB67" s="68">
        <f t="shared" ca="1" si="24"/>
        <v>0</v>
      </c>
      <c r="AC67" s="68">
        <f t="shared" ca="1" si="24"/>
        <v>0</v>
      </c>
      <c r="AD67" s="68">
        <f t="shared" ca="1" si="24"/>
        <v>0</v>
      </c>
      <c r="AE67" s="68">
        <f t="shared" ca="1" si="24"/>
        <v>0</v>
      </c>
      <c r="AF67" s="68">
        <f t="shared" ca="1" si="24"/>
        <v>0</v>
      </c>
      <c r="AG67" s="68">
        <f t="shared" ca="1" si="24"/>
        <v>0</v>
      </c>
      <c r="AH67" s="68">
        <f t="shared" ca="1" si="24"/>
        <v>0</v>
      </c>
      <c r="AI67" s="68">
        <f t="shared" ca="1" si="24"/>
        <v>0</v>
      </c>
      <c r="AJ67" s="68">
        <f t="shared" ca="1" si="24"/>
        <v>0</v>
      </c>
      <c r="AK67" s="68">
        <f t="shared" ca="1" si="23"/>
        <v>0</v>
      </c>
      <c r="AL67" s="68">
        <f t="shared" ca="1" si="23"/>
        <v>0</v>
      </c>
      <c r="AM67" s="68">
        <f t="shared" ca="1" si="23"/>
        <v>0</v>
      </c>
      <c r="AN67" s="68">
        <f t="shared" ca="1" si="23"/>
        <v>0</v>
      </c>
      <c r="AO67" s="68">
        <f t="shared" ca="1" si="23"/>
        <v>0</v>
      </c>
      <c r="AP67" s="68">
        <f t="shared" ca="1" si="23"/>
        <v>0</v>
      </c>
      <c r="AQ67" s="68">
        <f t="shared" ca="1" si="23"/>
        <v>0</v>
      </c>
      <c r="AR67" s="68">
        <f t="shared" ca="1" si="23"/>
        <v>0</v>
      </c>
      <c r="AS67" s="68">
        <f t="shared" ca="1" si="23"/>
        <v>0</v>
      </c>
      <c r="AT67" s="68">
        <f t="shared" ca="1" si="23"/>
        <v>0</v>
      </c>
      <c r="AU67" s="68">
        <f t="shared" ca="1" si="23"/>
        <v>0</v>
      </c>
      <c r="AV67" s="68">
        <f t="shared" ca="1" si="23"/>
        <v>0</v>
      </c>
      <c r="AW67" s="68">
        <f t="shared" ca="1" si="23"/>
        <v>0</v>
      </c>
      <c r="AX67" s="68">
        <f t="shared" ca="1" si="23"/>
        <v>0</v>
      </c>
      <c r="AY67" s="68">
        <f t="shared" ca="1" si="23"/>
        <v>0</v>
      </c>
      <c r="AZ67" s="68">
        <f t="shared" ca="1" si="21"/>
        <v>0</v>
      </c>
      <c r="BA67" s="68">
        <f t="shared" ca="1" si="21"/>
        <v>0</v>
      </c>
      <c r="BB67" s="68">
        <f t="shared" ca="1" si="21"/>
        <v>0</v>
      </c>
      <c r="BC67" s="68">
        <f t="shared" ca="1" si="21"/>
        <v>0</v>
      </c>
      <c r="BD67" s="68">
        <f t="shared" ca="1" si="21"/>
        <v>0</v>
      </c>
      <c r="BE67" s="68">
        <f t="shared" ca="1" si="21"/>
        <v>0</v>
      </c>
      <c r="BF67" s="68">
        <f t="shared" ca="1" si="21"/>
        <v>0</v>
      </c>
      <c r="BG67" s="68">
        <f t="shared" ca="1" si="21"/>
        <v>0</v>
      </c>
      <c r="BH67" s="68">
        <f t="shared" ca="1" si="21"/>
        <v>0</v>
      </c>
      <c r="BI67" s="68">
        <f t="shared" ca="1" si="21"/>
        <v>0</v>
      </c>
      <c r="BJ67" s="68">
        <f t="shared" ca="1" si="21"/>
        <v>0</v>
      </c>
      <c r="BK67" s="68">
        <f t="shared" ca="1" si="21"/>
        <v>0</v>
      </c>
      <c r="BL67" s="68">
        <f t="shared" ca="1" si="21"/>
        <v>0</v>
      </c>
      <c r="BM67" s="68">
        <f t="shared" ca="1" si="21"/>
        <v>0</v>
      </c>
      <c r="BN67" s="68">
        <f t="shared" ca="1" si="21"/>
        <v>0</v>
      </c>
      <c r="BO67" s="68">
        <f t="shared" ca="1" si="21"/>
        <v>0</v>
      </c>
      <c r="BP67" s="68">
        <f t="shared" ca="1" si="22"/>
        <v>0</v>
      </c>
      <c r="BQ67" s="68">
        <f t="shared" ca="1" si="22"/>
        <v>0</v>
      </c>
      <c r="BR67" s="68">
        <f t="shared" ca="1" si="22"/>
        <v>0</v>
      </c>
      <c r="BS67" s="68">
        <f t="shared" ca="1" si="22"/>
        <v>0</v>
      </c>
      <c r="BT67" s="68">
        <f t="shared" ca="1" si="22"/>
        <v>0</v>
      </c>
    </row>
    <row r="68" spans="2:72" x14ac:dyDescent="0.2">
      <c r="B68" s="88"/>
      <c r="G68" s="68" t="str">
        <f>ROW(A63)&amp;". "&amp;'Critical resources'!B74</f>
        <v xml:space="preserve">63. </v>
      </c>
      <c r="H68" s="68">
        <f ca="1">IFERROR(VLOOKUP('Critical resources'!D74,$B$6:$C$57,2,0),0)</f>
        <v>0</v>
      </c>
      <c r="I68" s="68">
        <f ca="1">IFERROR(VLOOKUP('Critical resources'!E74,$A$6:$C$57,3,0),0)</f>
        <v>0</v>
      </c>
      <c r="J68" s="68">
        <f ca="1">IFERROR(VLOOKUP('Critical resources'!G74,$B$6:$C$57,2,0),0)</f>
        <v>0</v>
      </c>
      <c r="K68" s="68">
        <f ca="1">IFERROR(VLOOKUP('Critical resources'!H74,$B$6:$C$57,2,0),0)</f>
        <v>0</v>
      </c>
      <c r="L68" s="68">
        <f ca="1">IFERROR(VLOOKUP('Critical resources'!J74,$B$6:$C$57,2,0),0)</f>
        <v>0</v>
      </c>
      <c r="M68" s="68">
        <f ca="1">IFERROR(VLOOKUP('Critical resources'!K74,$A$6:$C$57,3,0),0)</f>
        <v>0</v>
      </c>
      <c r="N68" s="68">
        <f ca="1">IFERROR(VLOOKUP('Critical resources'!M74,$B$6:$C$57,2,0),0)</f>
        <v>0</v>
      </c>
      <c r="O68" s="68">
        <f ca="1">IFERROR(VLOOKUP('Critical resources'!N74,$A$6:$C$57,3,0),0)</f>
        <v>0</v>
      </c>
      <c r="P68" s="68">
        <f ca="1">IFERROR(VLOOKUP('Critical resources'!P74,$B$6:$C$57,2,0),0)</f>
        <v>0</v>
      </c>
      <c r="Q68" s="68">
        <f ca="1">IFERROR(VLOOKUP('Critical resources'!Q74,$A$6:$C$57,3,0),0)</f>
        <v>0</v>
      </c>
      <c r="T68" s="68" t="str">
        <f t="shared" si="17"/>
        <v xml:space="preserve">63. </v>
      </c>
      <c r="U68" s="68">
        <f t="shared" ca="1" si="24"/>
        <v>0</v>
      </c>
      <c r="V68" s="68">
        <f t="shared" ca="1" si="24"/>
        <v>0</v>
      </c>
      <c r="W68" s="68">
        <f t="shared" ca="1" si="24"/>
        <v>0</v>
      </c>
      <c r="X68" s="68">
        <f t="shared" ca="1" si="24"/>
        <v>0</v>
      </c>
      <c r="Y68" s="68">
        <f t="shared" ca="1" si="24"/>
        <v>0</v>
      </c>
      <c r="Z68" s="68">
        <f t="shared" ca="1" si="24"/>
        <v>0</v>
      </c>
      <c r="AA68" s="68">
        <f t="shared" ca="1" si="24"/>
        <v>0</v>
      </c>
      <c r="AB68" s="68">
        <f t="shared" ca="1" si="24"/>
        <v>0</v>
      </c>
      <c r="AC68" s="68">
        <f t="shared" ca="1" si="24"/>
        <v>0</v>
      </c>
      <c r="AD68" s="68">
        <f t="shared" ca="1" si="24"/>
        <v>0</v>
      </c>
      <c r="AE68" s="68">
        <f t="shared" ca="1" si="24"/>
        <v>0</v>
      </c>
      <c r="AF68" s="68">
        <f t="shared" ca="1" si="24"/>
        <v>0</v>
      </c>
      <c r="AG68" s="68">
        <f t="shared" ca="1" si="24"/>
        <v>0</v>
      </c>
      <c r="AH68" s="68">
        <f t="shared" ca="1" si="24"/>
        <v>0</v>
      </c>
      <c r="AI68" s="68">
        <f t="shared" ca="1" si="24"/>
        <v>0</v>
      </c>
      <c r="AJ68" s="68">
        <f t="shared" ca="1" si="24"/>
        <v>0</v>
      </c>
      <c r="AK68" s="68">
        <f t="shared" ca="1" si="23"/>
        <v>0</v>
      </c>
      <c r="AL68" s="68">
        <f t="shared" ca="1" si="23"/>
        <v>0</v>
      </c>
      <c r="AM68" s="68">
        <f t="shared" ca="1" si="23"/>
        <v>0</v>
      </c>
      <c r="AN68" s="68">
        <f t="shared" ca="1" si="23"/>
        <v>0</v>
      </c>
      <c r="AO68" s="68">
        <f t="shared" ca="1" si="23"/>
        <v>0</v>
      </c>
      <c r="AP68" s="68">
        <f t="shared" ca="1" si="23"/>
        <v>0</v>
      </c>
      <c r="AQ68" s="68">
        <f t="shared" ca="1" si="23"/>
        <v>0</v>
      </c>
      <c r="AR68" s="68">
        <f t="shared" ca="1" si="23"/>
        <v>0</v>
      </c>
      <c r="AS68" s="68">
        <f t="shared" ca="1" si="23"/>
        <v>0</v>
      </c>
      <c r="AT68" s="68">
        <f t="shared" ca="1" si="23"/>
        <v>0</v>
      </c>
      <c r="AU68" s="68">
        <f t="shared" ca="1" si="23"/>
        <v>0</v>
      </c>
      <c r="AV68" s="68">
        <f t="shared" ca="1" si="23"/>
        <v>0</v>
      </c>
      <c r="AW68" s="68">
        <f t="shared" ca="1" si="23"/>
        <v>0</v>
      </c>
      <c r="AX68" s="68">
        <f t="shared" ca="1" si="23"/>
        <v>0</v>
      </c>
      <c r="AY68" s="68">
        <f t="shared" ca="1" si="23"/>
        <v>0</v>
      </c>
      <c r="AZ68" s="68">
        <f t="shared" ca="1" si="23"/>
        <v>0</v>
      </c>
      <c r="BA68" s="68">
        <f t="shared" ref="BA68:BP83" ca="1" si="26">SUM(IFERROR(IF(AND(BA$5&gt;=$H68,BA$5&lt;=$I68),1,0),0),IFERROR(IF(AND(BA$5&gt;=$J68,BA$5&lt;=$K68),1,0),0),IFERROR(IF(AND(BA$5&gt;=$L68,BA$5&lt;=$M68),1,0),0),IFERROR(IF(AND(BA$5&gt;=$N68,BA$5&lt;=$O68),1,0),0),IFERROR(IF(AND(BA$5&gt;=$P68,BA$5&lt;=$Q68),1,0),0))</f>
        <v>0</v>
      </c>
      <c r="BB68" s="68">
        <f t="shared" ca="1" si="26"/>
        <v>0</v>
      </c>
      <c r="BC68" s="68">
        <f t="shared" ca="1" si="26"/>
        <v>0</v>
      </c>
      <c r="BD68" s="68">
        <f t="shared" ca="1" si="26"/>
        <v>0</v>
      </c>
      <c r="BE68" s="68">
        <f t="shared" ca="1" si="26"/>
        <v>0</v>
      </c>
      <c r="BF68" s="68">
        <f t="shared" ca="1" si="26"/>
        <v>0</v>
      </c>
      <c r="BG68" s="68">
        <f t="shared" ca="1" si="26"/>
        <v>0</v>
      </c>
      <c r="BH68" s="68">
        <f t="shared" ca="1" si="26"/>
        <v>0</v>
      </c>
      <c r="BI68" s="68">
        <f t="shared" ca="1" si="26"/>
        <v>0</v>
      </c>
      <c r="BJ68" s="68">
        <f t="shared" ca="1" si="26"/>
        <v>0</v>
      </c>
      <c r="BK68" s="68">
        <f t="shared" ca="1" si="26"/>
        <v>0</v>
      </c>
      <c r="BL68" s="68">
        <f t="shared" ca="1" si="26"/>
        <v>0</v>
      </c>
      <c r="BM68" s="68">
        <f t="shared" ca="1" si="26"/>
        <v>0</v>
      </c>
      <c r="BN68" s="68">
        <f t="shared" ca="1" si="26"/>
        <v>0</v>
      </c>
      <c r="BO68" s="68">
        <f t="shared" ca="1" si="26"/>
        <v>0</v>
      </c>
      <c r="BP68" s="68">
        <f t="shared" ca="1" si="26"/>
        <v>0</v>
      </c>
      <c r="BQ68" s="68">
        <f t="shared" ref="BQ68:BT87" ca="1" si="27">SUM(IFERROR(IF(AND(BQ$5&gt;=$H68,BQ$5&lt;=$I68),1,0),0),IFERROR(IF(AND(BQ$5&gt;=$J68,BQ$5&lt;=$K68),1,0),0),IFERROR(IF(AND(BQ$5&gt;=$L68,BQ$5&lt;=$M68),1,0),0),IFERROR(IF(AND(BQ$5&gt;=$N68,BQ$5&lt;=$O68),1,0),0),IFERROR(IF(AND(BQ$5&gt;=$P68,BQ$5&lt;=$Q68),1,0),0))</f>
        <v>0</v>
      </c>
      <c r="BR68" s="68">
        <f t="shared" ca="1" si="27"/>
        <v>0</v>
      </c>
      <c r="BS68" s="68">
        <f t="shared" ca="1" si="27"/>
        <v>0</v>
      </c>
      <c r="BT68" s="68">
        <f t="shared" ca="1" si="27"/>
        <v>0</v>
      </c>
    </row>
    <row r="69" spans="2:72" x14ac:dyDescent="0.2">
      <c r="B69" s="88"/>
      <c r="G69" s="68" t="str">
        <f>ROW(A64)&amp;". "&amp;'Critical resources'!B75</f>
        <v xml:space="preserve">64. </v>
      </c>
      <c r="H69" s="68">
        <f ca="1">IFERROR(VLOOKUP('Critical resources'!D75,$B$6:$C$57,2,0),0)</f>
        <v>0</v>
      </c>
      <c r="I69" s="68">
        <f ca="1">IFERROR(VLOOKUP('Critical resources'!E75,$A$6:$C$57,3,0),0)</f>
        <v>0</v>
      </c>
      <c r="J69" s="68">
        <f ca="1">IFERROR(VLOOKUP('Critical resources'!G75,$B$6:$C$57,2,0),0)</f>
        <v>0</v>
      </c>
      <c r="K69" s="68">
        <f ca="1">IFERROR(VLOOKUP('Critical resources'!H75,$B$6:$C$57,2,0),0)</f>
        <v>0</v>
      </c>
      <c r="L69" s="68">
        <f ca="1">IFERROR(VLOOKUP('Critical resources'!J75,$B$6:$C$57,2,0),0)</f>
        <v>0</v>
      </c>
      <c r="M69" s="68">
        <f ca="1">IFERROR(VLOOKUP('Critical resources'!K75,$A$6:$C$57,3,0),0)</f>
        <v>0</v>
      </c>
      <c r="N69" s="68">
        <f ca="1">IFERROR(VLOOKUP('Critical resources'!M75,$B$6:$C$57,2,0),0)</f>
        <v>0</v>
      </c>
      <c r="O69" s="68">
        <f ca="1">IFERROR(VLOOKUP('Critical resources'!N75,$A$6:$C$57,3,0),0)</f>
        <v>0</v>
      </c>
      <c r="P69" s="68">
        <f ca="1">IFERROR(VLOOKUP('Critical resources'!P75,$B$6:$C$57,2,0),0)</f>
        <v>0</v>
      </c>
      <c r="Q69" s="68">
        <f ca="1">IFERROR(VLOOKUP('Critical resources'!Q75,$A$6:$C$57,3,0),0)</f>
        <v>0</v>
      </c>
      <c r="T69" s="68" t="str">
        <f t="shared" si="17"/>
        <v xml:space="preserve">64. </v>
      </c>
      <c r="U69" s="68">
        <f t="shared" ca="1" si="24"/>
        <v>0</v>
      </c>
      <c r="V69" s="68">
        <f t="shared" ca="1" si="24"/>
        <v>0</v>
      </c>
      <c r="W69" s="68">
        <f t="shared" ca="1" si="24"/>
        <v>0</v>
      </c>
      <c r="X69" s="68">
        <f t="shared" ca="1" si="24"/>
        <v>0</v>
      </c>
      <c r="Y69" s="68">
        <f t="shared" ca="1" si="24"/>
        <v>0</v>
      </c>
      <c r="Z69" s="68">
        <f t="shared" ca="1" si="24"/>
        <v>0</v>
      </c>
      <c r="AA69" s="68">
        <f t="shared" ca="1" si="24"/>
        <v>0</v>
      </c>
      <c r="AB69" s="68">
        <f t="shared" ca="1" si="24"/>
        <v>0</v>
      </c>
      <c r="AC69" s="68">
        <f t="shared" ca="1" si="24"/>
        <v>0</v>
      </c>
      <c r="AD69" s="68">
        <f t="shared" ca="1" si="24"/>
        <v>0</v>
      </c>
      <c r="AE69" s="68">
        <f t="shared" ca="1" si="24"/>
        <v>0</v>
      </c>
      <c r="AF69" s="68">
        <f t="shared" ca="1" si="24"/>
        <v>0</v>
      </c>
      <c r="AG69" s="68">
        <f t="shared" ca="1" si="24"/>
        <v>0</v>
      </c>
      <c r="AH69" s="68">
        <f t="shared" ca="1" si="24"/>
        <v>0</v>
      </c>
      <c r="AI69" s="68">
        <f t="shared" ca="1" si="24"/>
        <v>0</v>
      </c>
      <c r="AJ69" s="68">
        <f t="shared" ca="1" si="24"/>
        <v>0</v>
      </c>
      <c r="AK69" s="68">
        <f t="shared" ca="1" si="23"/>
        <v>0</v>
      </c>
      <c r="AL69" s="68">
        <f t="shared" ca="1" si="23"/>
        <v>0</v>
      </c>
      <c r="AM69" s="68">
        <f t="shared" ca="1" si="23"/>
        <v>0</v>
      </c>
      <c r="AN69" s="68">
        <f t="shared" ca="1" si="23"/>
        <v>0</v>
      </c>
      <c r="AO69" s="68">
        <f t="shared" ca="1" si="23"/>
        <v>0</v>
      </c>
      <c r="AP69" s="68">
        <f t="shared" ca="1" si="23"/>
        <v>0</v>
      </c>
      <c r="AQ69" s="68">
        <f t="shared" ca="1" si="23"/>
        <v>0</v>
      </c>
      <c r="AR69" s="68">
        <f t="shared" ca="1" si="23"/>
        <v>0</v>
      </c>
      <c r="AS69" s="68">
        <f t="shared" ca="1" si="23"/>
        <v>0</v>
      </c>
      <c r="AT69" s="68">
        <f t="shared" ca="1" si="23"/>
        <v>0</v>
      </c>
      <c r="AU69" s="68">
        <f t="shared" ca="1" si="23"/>
        <v>0</v>
      </c>
      <c r="AV69" s="68">
        <f t="shared" ca="1" si="23"/>
        <v>0</v>
      </c>
      <c r="AW69" s="68">
        <f t="shared" ca="1" si="23"/>
        <v>0</v>
      </c>
      <c r="AX69" s="68">
        <f t="shared" ca="1" si="23"/>
        <v>0</v>
      </c>
      <c r="AY69" s="68">
        <f t="shared" ca="1" si="23"/>
        <v>0</v>
      </c>
      <c r="AZ69" s="68">
        <f t="shared" ca="1" si="23"/>
        <v>0</v>
      </c>
      <c r="BA69" s="68">
        <f t="shared" ca="1" si="26"/>
        <v>0</v>
      </c>
      <c r="BB69" s="68">
        <f t="shared" ca="1" si="26"/>
        <v>0</v>
      </c>
      <c r="BC69" s="68">
        <f t="shared" ca="1" si="26"/>
        <v>0</v>
      </c>
      <c r="BD69" s="68">
        <f t="shared" ca="1" si="26"/>
        <v>0</v>
      </c>
      <c r="BE69" s="68">
        <f t="shared" ca="1" si="26"/>
        <v>0</v>
      </c>
      <c r="BF69" s="68">
        <f t="shared" ca="1" si="26"/>
        <v>0</v>
      </c>
      <c r="BG69" s="68">
        <f t="shared" ca="1" si="26"/>
        <v>0</v>
      </c>
      <c r="BH69" s="68">
        <f t="shared" ca="1" si="26"/>
        <v>0</v>
      </c>
      <c r="BI69" s="68">
        <f t="shared" ca="1" si="26"/>
        <v>0</v>
      </c>
      <c r="BJ69" s="68">
        <f t="shared" ca="1" si="26"/>
        <v>0</v>
      </c>
      <c r="BK69" s="68">
        <f t="shared" ca="1" si="26"/>
        <v>0</v>
      </c>
      <c r="BL69" s="68">
        <f t="shared" ca="1" si="26"/>
        <v>0</v>
      </c>
      <c r="BM69" s="68">
        <f t="shared" ca="1" si="26"/>
        <v>0</v>
      </c>
      <c r="BN69" s="68">
        <f t="shared" ca="1" si="26"/>
        <v>0</v>
      </c>
      <c r="BO69" s="68">
        <f t="shared" ca="1" si="26"/>
        <v>0</v>
      </c>
      <c r="BP69" s="68">
        <f t="shared" ca="1" si="26"/>
        <v>0</v>
      </c>
      <c r="BQ69" s="68">
        <f t="shared" ca="1" si="27"/>
        <v>0</v>
      </c>
      <c r="BR69" s="68">
        <f t="shared" ca="1" si="27"/>
        <v>0</v>
      </c>
      <c r="BS69" s="68">
        <f t="shared" ca="1" si="27"/>
        <v>0</v>
      </c>
      <c r="BT69" s="68">
        <f t="shared" ca="1" si="27"/>
        <v>0</v>
      </c>
    </row>
    <row r="70" spans="2:72" x14ac:dyDescent="0.2">
      <c r="B70" s="88"/>
      <c r="G70" s="68" t="str">
        <f>ROW(A65)&amp;". "&amp;'Critical resources'!B76</f>
        <v xml:space="preserve">65. </v>
      </c>
      <c r="H70" s="68">
        <f ca="1">IFERROR(VLOOKUP('Critical resources'!D76,$B$6:$C$57,2,0),0)</f>
        <v>0</v>
      </c>
      <c r="I70" s="68">
        <f ca="1">IFERROR(VLOOKUP('Critical resources'!E76,$A$6:$C$57,3,0),0)</f>
        <v>0</v>
      </c>
      <c r="J70" s="68">
        <f ca="1">IFERROR(VLOOKUP('Critical resources'!G76,$B$6:$C$57,2,0),0)</f>
        <v>0</v>
      </c>
      <c r="K70" s="68">
        <f ca="1">IFERROR(VLOOKUP('Critical resources'!H76,$B$6:$C$57,2,0),0)</f>
        <v>0</v>
      </c>
      <c r="L70" s="68">
        <f ca="1">IFERROR(VLOOKUP('Critical resources'!J76,$B$6:$C$57,2,0),0)</f>
        <v>0</v>
      </c>
      <c r="M70" s="68">
        <f ca="1">IFERROR(VLOOKUP('Critical resources'!K76,$A$6:$C$57,3,0),0)</f>
        <v>0</v>
      </c>
      <c r="N70" s="68">
        <f ca="1">IFERROR(VLOOKUP('Critical resources'!M76,$B$6:$C$57,2,0),0)</f>
        <v>0</v>
      </c>
      <c r="O70" s="68">
        <f ca="1">IFERROR(VLOOKUP('Critical resources'!N76,$A$6:$C$57,3,0),0)</f>
        <v>0</v>
      </c>
      <c r="P70" s="68">
        <f ca="1">IFERROR(VLOOKUP('Critical resources'!P76,$B$6:$C$57,2,0),0)</f>
        <v>0</v>
      </c>
      <c r="Q70" s="68">
        <f ca="1">IFERROR(VLOOKUP('Critical resources'!Q76,$A$6:$C$57,3,0),0)</f>
        <v>0</v>
      </c>
      <c r="T70" s="68" t="str">
        <f t="shared" ref="T70:T105" si="28">G70</f>
        <v xml:space="preserve">65. </v>
      </c>
      <c r="U70" s="68">
        <f t="shared" ca="1" si="24"/>
        <v>0</v>
      </c>
      <c r="V70" s="68">
        <f t="shared" ca="1" si="24"/>
        <v>0</v>
      </c>
      <c r="W70" s="68">
        <f t="shared" ca="1" si="24"/>
        <v>0</v>
      </c>
      <c r="X70" s="68">
        <f t="shared" ca="1" si="24"/>
        <v>0</v>
      </c>
      <c r="Y70" s="68">
        <f t="shared" ca="1" si="24"/>
        <v>0</v>
      </c>
      <c r="Z70" s="68">
        <f t="shared" ca="1" si="24"/>
        <v>0</v>
      </c>
      <c r="AA70" s="68">
        <f t="shared" ca="1" si="24"/>
        <v>0</v>
      </c>
      <c r="AB70" s="68">
        <f t="shared" ca="1" si="24"/>
        <v>0</v>
      </c>
      <c r="AC70" s="68">
        <f t="shared" ca="1" si="24"/>
        <v>0</v>
      </c>
      <c r="AD70" s="68">
        <f t="shared" ca="1" si="24"/>
        <v>0</v>
      </c>
      <c r="AE70" s="68">
        <f t="shared" ca="1" si="24"/>
        <v>0</v>
      </c>
      <c r="AF70" s="68">
        <f t="shared" ca="1" si="24"/>
        <v>0</v>
      </c>
      <c r="AG70" s="68">
        <f t="shared" ca="1" si="24"/>
        <v>0</v>
      </c>
      <c r="AH70" s="68">
        <f t="shared" ca="1" si="24"/>
        <v>0</v>
      </c>
      <c r="AI70" s="68">
        <f t="shared" ca="1" si="24"/>
        <v>0</v>
      </c>
      <c r="AJ70" s="68">
        <f t="shared" ref="AJ70:AY85" ca="1" si="29">SUM(IFERROR(IF(AND(AJ$5&gt;=$H70,AJ$5&lt;=$I70),1,0),0),IFERROR(IF(AND(AJ$5&gt;=$J70,AJ$5&lt;=$K70),1,0),0),IFERROR(IF(AND(AJ$5&gt;=$L70,AJ$5&lt;=$M70),1,0),0),IFERROR(IF(AND(AJ$5&gt;=$N70,AJ$5&lt;=$O70),1,0),0),IFERROR(IF(AND(AJ$5&gt;=$P70,AJ$5&lt;=$Q70),1,0),0))</f>
        <v>0</v>
      </c>
      <c r="AK70" s="68">
        <f t="shared" ca="1" si="29"/>
        <v>0</v>
      </c>
      <c r="AL70" s="68">
        <f t="shared" ca="1" si="29"/>
        <v>0</v>
      </c>
      <c r="AM70" s="68">
        <f t="shared" ca="1" si="29"/>
        <v>0</v>
      </c>
      <c r="AN70" s="68">
        <f t="shared" ca="1" si="29"/>
        <v>0</v>
      </c>
      <c r="AO70" s="68">
        <f t="shared" ca="1" si="29"/>
        <v>0</v>
      </c>
      <c r="AP70" s="68">
        <f t="shared" ca="1" si="29"/>
        <v>0</v>
      </c>
      <c r="AQ70" s="68">
        <f t="shared" ca="1" si="29"/>
        <v>0</v>
      </c>
      <c r="AR70" s="68">
        <f t="shared" ca="1" si="29"/>
        <v>0</v>
      </c>
      <c r="AS70" s="68">
        <f t="shared" ca="1" si="29"/>
        <v>0</v>
      </c>
      <c r="AT70" s="68">
        <f t="shared" ca="1" si="29"/>
        <v>0</v>
      </c>
      <c r="AU70" s="68">
        <f t="shared" ca="1" si="29"/>
        <v>0</v>
      </c>
      <c r="AV70" s="68">
        <f t="shared" ca="1" si="29"/>
        <v>0</v>
      </c>
      <c r="AW70" s="68">
        <f t="shared" ca="1" si="29"/>
        <v>0</v>
      </c>
      <c r="AX70" s="68">
        <f t="shared" ca="1" si="29"/>
        <v>0</v>
      </c>
      <c r="AY70" s="68">
        <f t="shared" ca="1" si="29"/>
        <v>0</v>
      </c>
      <c r="AZ70" s="68">
        <f t="shared" ref="AZ70:BO85" ca="1" si="30">SUM(IFERROR(IF(AND(AZ$5&gt;=$H70,AZ$5&lt;=$I70),1,0),0),IFERROR(IF(AND(AZ$5&gt;=$J70,AZ$5&lt;=$K70),1,0),0),IFERROR(IF(AND(AZ$5&gt;=$L70,AZ$5&lt;=$M70),1,0),0),IFERROR(IF(AND(AZ$5&gt;=$N70,AZ$5&lt;=$O70),1,0),0),IFERROR(IF(AND(AZ$5&gt;=$P70,AZ$5&lt;=$Q70),1,0),0))</f>
        <v>0</v>
      </c>
      <c r="BA70" s="68">
        <f t="shared" ca="1" si="26"/>
        <v>0</v>
      </c>
      <c r="BB70" s="68">
        <f t="shared" ca="1" si="26"/>
        <v>0</v>
      </c>
      <c r="BC70" s="68">
        <f t="shared" ca="1" si="26"/>
        <v>0</v>
      </c>
      <c r="BD70" s="68">
        <f t="shared" ca="1" si="26"/>
        <v>0</v>
      </c>
      <c r="BE70" s="68">
        <f t="shared" ca="1" si="26"/>
        <v>0</v>
      </c>
      <c r="BF70" s="68">
        <f t="shared" ca="1" si="26"/>
        <v>0</v>
      </c>
      <c r="BG70" s="68">
        <f t="shared" ca="1" si="26"/>
        <v>0</v>
      </c>
      <c r="BH70" s="68">
        <f t="shared" ca="1" si="26"/>
        <v>0</v>
      </c>
      <c r="BI70" s="68">
        <f t="shared" ca="1" si="26"/>
        <v>0</v>
      </c>
      <c r="BJ70" s="68">
        <f t="shared" ca="1" si="26"/>
        <v>0</v>
      </c>
      <c r="BK70" s="68">
        <f t="shared" ca="1" si="26"/>
        <v>0</v>
      </c>
      <c r="BL70" s="68">
        <f t="shared" ca="1" si="26"/>
        <v>0</v>
      </c>
      <c r="BM70" s="68">
        <f t="shared" ca="1" si="26"/>
        <v>0</v>
      </c>
      <c r="BN70" s="68">
        <f t="shared" ca="1" si="26"/>
        <v>0</v>
      </c>
      <c r="BO70" s="68">
        <f t="shared" ca="1" si="26"/>
        <v>0</v>
      </c>
      <c r="BP70" s="68">
        <f t="shared" ca="1" si="26"/>
        <v>0</v>
      </c>
      <c r="BQ70" s="68">
        <f t="shared" ca="1" si="27"/>
        <v>0</v>
      </c>
      <c r="BR70" s="68">
        <f t="shared" ca="1" si="27"/>
        <v>0</v>
      </c>
      <c r="BS70" s="68">
        <f t="shared" ca="1" si="27"/>
        <v>0</v>
      </c>
      <c r="BT70" s="68">
        <f t="shared" ca="1" si="27"/>
        <v>0</v>
      </c>
    </row>
    <row r="71" spans="2:72" x14ac:dyDescent="0.2">
      <c r="B71" s="88"/>
      <c r="G71" s="68" t="str">
        <f>ROW(A66)&amp;". "&amp;'Critical resources'!B77</f>
        <v xml:space="preserve">66. </v>
      </c>
      <c r="H71" s="68">
        <f ca="1">IFERROR(VLOOKUP('Critical resources'!D77,$B$6:$C$57,2,0),0)</f>
        <v>0</v>
      </c>
      <c r="I71" s="68">
        <f ca="1">IFERROR(VLOOKUP('Critical resources'!E77,$A$6:$C$57,3,0),0)</f>
        <v>0</v>
      </c>
      <c r="J71" s="68">
        <f ca="1">IFERROR(VLOOKUP('Critical resources'!G77,$B$6:$C$57,2,0),0)</f>
        <v>0</v>
      </c>
      <c r="K71" s="68">
        <f ca="1">IFERROR(VLOOKUP('Critical resources'!H77,$B$6:$C$57,2,0),0)</f>
        <v>0</v>
      </c>
      <c r="L71" s="68">
        <f ca="1">IFERROR(VLOOKUP('Critical resources'!J77,$B$6:$C$57,2,0),0)</f>
        <v>0</v>
      </c>
      <c r="M71" s="68">
        <f ca="1">IFERROR(VLOOKUP('Critical resources'!K77,$A$6:$C$57,3,0),0)</f>
        <v>0</v>
      </c>
      <c r="N71" s="68">
        <f ca="1">IFERROR(VLOOKUP('Critical resources'!M77,$B$6:$C$57,2,0),0)</f>
        <v>0</v>
      </c>
      <c r="O71" s="68">
        <f ca="1">IFERROR(VLOOKUP('Critical resources'!N77,$A$6:$C$57,3,0),0)</f>
        <v>0</v>
      </c>
      <c r="P71" s="68">
        <f ca="1">IFERROR(VLOOKUP('Critical resources'!P77,$B$6:$C$57,2,0),0)</f>
        <v>0</v>
      </c>
      <c r="Q71" s="68">
        <f ca="1">IFERROR(VLOOKUP('Critical resources'!Q77,$A$6:$C$57,3,0),0)</f>
        <v>0</v>
      </c>
      <c r="T71" s="68" t="str">
        <f t="shared" si="28"/>
        <v xml:space="preserve">66. </v>
      </c>
      <c r="U71" s="68">
        <f t="shared" ref="U71:AJ86" ca="1" si="31">SUM(IFERROR(IF(AND(U$5&gt;=$H71,U$5&lt;=$I71),1,0),0),IFERROR(IF(AND(U$5&gt;=$J71,U$5&lt;=$K71),1,0),0),IFERROR(IF(AND(U$5&gt;=$L71,U$5&lt;=$M71),1,0),0),IFERROR(IF(AND(U$5&gt;=$N71,U$5&lt;=$O71),1,0),0),IFERROR(IF(AND(U$5&gt;=$P71,U$5&lt;=$Q71),1,0),0))</f>
        <v>0</v>
      </c>
      <c r="V71" s="68">
        <f t="shared" ca="1" si="31"/>
        <v>0</v>
      </c>
      <c r="W71" s="68">
        <f t="shared" ca="1" si="31"/>
        <v>0</v>
      </c>
      <c r="X71" s="68">
        <f t="shared" ca="1" si="31"/>
        <v>0</v>
      </c>
      <c r="Y71" s="68">
        <f t="shared" ca="1" si="31"/>
        <v>0</v>
      </c>
      <c r="Z71" s="68">
        <f t="shared" ca="1" si="31"/>
        <v>0</v>
      </c>
      <c r="AA71" s="68">
        <f t="shared" ca="1" si="31"/>
        <v>0</v>
      </c>
      <c r="AB71" s="68">
        <f t="shared" ca="1" si="31"/>
        <v>0</v>
      </c>
      <c r="AC71" s="68">
        <f t="shared" ca="1" si="31"/>
        <v>0</v>
      </c>
      <c r="AD71" s="68">
        <f t="shared" ca="1" si="31"/>
        <v>0</v>
      </c>
      <c r="AE71" s="68">
        <f t="shared" ca="1" si="31"/>
        <v>0</v>
      </c>
      <c r="AF71" s="68">
        <f t="shared" ca="1" si="31"/>
        <v>0</v>
      </c>
      <c r="AG71" s="68">
        <f t="shared" ca="1" si="31"/>
        <v>0</v>
      </c>
      <c r="AH71" s="68">
        <f t="shared" ca="1" si="31"/>
        <v>0</v>
      </c>
      <c r="AI71" s="68">
        <f t="shared" ca="1" si="31"/>
        <v>0</v>
      </c>
      <c r="AJ71" s="68">
        <f t="shared" ca="1" si="29"/>
        <v>0</v>
      </c>
      <c r="AK71" s="68">
        <f t="shared" ca="1" si="29"/>
        <v>0</v>
      </c>
      <c r="AL71" s="68">
        <f t="shared" ca="1" si="29"/>
        <v>0</v>
      </c>
      <c r="AM71" s="68">
        <f t="shared" ca="1" si="29"/>
        <v>0</v>
      </c>
      <c r="AN71" s="68">
        <f t="shared" ca="1" si="29"/>
        <v>0</v>
      </c>
      <c r="AO71" s="68">
        <f t="shared" ca="1" si="29"/>
        <v>0</v>
      </c>
      <c r="AP71" s="68">
        <f t="shared" ca="1" si="29"/>
        <v>0</v>
      </c>
      <c r="AQ71" s="68">
        <f t="shared" ca="1" si="29"/>
        <v>0</v>
      </c>
      <c r="AR71" s="68">
        <f t="shared" ca="1" si="29"/>
        <v>0</v>
      </c>
      <c r="AS71" s="68">
        <f t="shared" ca="1" si="29"/>
        <v>0</v>
      </c>
      <c r="AT71" s="68">
        <f t="shared" ca="1" si="29"/>
        <v>0</v>
      </c>
      <c r="AU71" s="68">
        <f t="shared" ca="1" si="29"/>
        <v>0</v>
      </c>
      <c r="AV71" s="68">
        <f t="shared" ca="1" si="29"/>
        <v>0</v>
      </c>
      <c r="AW71" s="68">
        <f t="shared" ca="1" si="29"/>
        <v>0</v>
      </c>
      <c r="AX71" s="68">
        <f t="shared" ca="1" si="29"/>
        <v>0</v>
      </c>
      <c r="AY71" s="68">
        <f t="shared" ca="1" si="29"/>
        <v>0</v>
      </c>
      <c r="AZ71" s="68">
        <f t="shared" ca="1" si="30"/>
        <v>0</v>
      </c>
      <c r="BA71" s="68">
        <f t="shared" ca="1" si="26"/>
        <v>0</v>
      </c>
      <c r="BB71" s="68">
        <f t="shared" ca="1" si="26"/>
        <v>0</v>
      </c>
      <c r="BC71" s="68">
        <f t="shared" ca="1" si="26"/>
        <v>0</v>
      </c>
      <c r="BD71" s="68">
        <f t="shared" ca="1" si="26"/>
        <v>0</v>
      </c>
      <c r="BE71" s="68">
        <f t="shared" ca="1" si="26"/>
        <v>0</v>
      </c>
      <c r="BF71" s="68">
        <f t="shared" ca="1" si="26"/>
        <v>0</v>
      </c>
      <c r="BG71" s="68">
        <f t="shared" ca="1" si="26"/>
        <v>0</v>
      </c>
      <c r="BH71" s="68">
        <f t="shared" ca="1" si="26"/>
        <v>0</v>
      </c>
      <c r="BI71" s="68">
        <f t="shared" ca="1" si="26"/>
        <v>0</v>
      </c>
      <c r="BJ71" s="68">
        <f t="shared" ca="1" si="26"/>
        <v>0</v>
      </c>
      <c r="BK71" s="68">
        <f t="shared" ca="1" si="26"/>
        <v>0</v>
      </c>
      <c r="BL71" s="68">
        <f t="shared" ca="1" si="26"/>
        <v>0</v>
      </c>
      <c r="BM71" s="68">
        <f t="shared" ca="1" si="26"/>
        <v>0</v>
      </c>
      <c r="BN71" s="68">
        <f t="shared" ca="1" si="26"/>
        <v>0</v>
      </c>
      <c r="BO71" s="68">
        <f t="shared" ca="1" si="26"/>
        <v>0</v>
      </c>
      <c r="BP71" s="68">
        <f t="shared" ca="1" si="26"/>
        <v>0</v>
      </c>
      <c r="BQ71" s="68">
        <f t="shared" ca="1" si="27"/>
        <v>0</v>
      </c>
      <c r="BR71" s="68">
        <f t="shared" ca="1" si="27"/>
        <v>0</v>
      </c>
      <c r="BS71" s="68">
        <f t="shared" ca="1" si="27"/>
        <v>0</v>
      </c>
      <c r="BT71" s="68">
        <f t="shared" ca="1" si="27"/>
        <v>0</v>
      </c>
    </row>
    <row r="72" spans="2:72" x14ac:dyDescent="0.2">
      <c r="B72" s="88"/>
      <c r="G72" s="68" t="str">
        <f>ROW(A67)&amp;". "&amp;'Critical resources'!B78</f>
        <v xml:space="preserve">67. </v>
      </c>
      <c r="H72" s="68">
        <f ca="1">IFERROR(VLOOKUP('Critical resources'!D78,$B$6:$C$57,2,0),0)</f>
        <v>0</v>
      </c>
      <c r="I72" s="68">
        <f ca="1">IFERROR(VLOOKUP('Critical resources'!E78,$A$6:$C$57,3,0),0)</f>
        <v>0</v>
      </c>
      <c r="J72" s="68">
        <f ca="1">IFERROR(VLOOKUP('Critical resources'!G78,$B$6:$C$57,2,0),0)</f>
        <v>0</v>
      </c>
      <c r="K72" s="68">
        <f ca="1">IFERROR(VLOOKUP('Critical resources'!H78,$B$6:$C$57,2,0),0)</f>
        <v>0</v>
      </c>
      <c r="L72" s="68">
        <f ca="1">IFERROR(VLOOKUP('Critical resources'!J78,$B$6:$C$57,2,0),0)</f>
        <v>0</v>
      </c>
      <c r="M72" s="68">
        <f ca="1">IFERROR(VLOOKUP('Critical resources'!K78,$A$6:$C$57,3,0),0)</f>
        <v>0</v>
      </c>
      <c r="N72" s="68">
        <f ca="1">IFERROR(VLOOKUP('Critical resources'!M78,$B$6:$C$57,2,0),0)</f>
        <v>0</v>
      </c>
      <c r="O72" s="68">
        <f ca="1">IFERROR(VLOOKUP('Critical resources'!N78,$A$6:$C$57,3,0),0)</f>
        <v>0</v>
      </c>
      <c r="P72" s="68">
        <f ca="1">IFERROR(VLOOKUP('Critical resources'!P78,$B$6:$C$57,2,0),0)</f>
        <v>0</v>
      </c>
      <c r="Q72" s="68">
        <f ca="1">IFERROR(VLOOKUP('Critical resources'!Q78,$A$6:$C$57,3,0),0)</f>
        <v>0</v>
      </c>
      <c r="T72" s="68" t="str">
        <f t="shared" si="28"/>
        <v xml:space="preserve">67. </v>
      </c>
      <c r="U72" s="68">
        <f t="shared" ca="1" si="31"/>
        <v>0</v>
      </c>
      <c r="V72" s="68">
        <f t="shared" ca="1" si="31"/>
        <v>0</v>
      </c>
      <c r="W72" s="68">
        <f t="shared" ca="1" si="31"/>
        <v>0</v>
      </c>
      <c r="X72" s="68">
        <f t="shared" ca="1" si="31"/>
        <v>0</v>
      </c>
      <c r="Y72" s="68">
        <f t="shared" ca="1" si="31"/>
        <v>0</v>
      </c>
      <c r="Z72" s="68">
        <f t="shared" ca="1" si="31"/>
        <v>0</v>
      </c>
      <c r="AA72" s="68">
        <f t="shared" ca="1" si="31"/>
        <v>0</v>
      </c>
      <c r="AB72" s="68">
        <f t="shared" ca="1" si="31"/>
        <v>0</v>
      </c>
      <c r="AC72" s="68">
        <f t="shared" ca="1" si="31"/>
        <v>0</v>
      </c>
      <c r="AD72" s="68">
        <f t="shared" ca="1" si="31"/>
        <v>0</v>
      </c>
      <c r="AE72" s="68">
        <f t="shared" ca="1" si="31"/>
        <v>0</v>
      </c>
      <c r="AF72" s="68">
        <f t="shared" ca="1" si="31"/>
        <v>0</v>
      </c>
      <c r="AG72" s="68">
        <f t="shared" ca="1" si="31"/>
        <v>0</v>
      </c>
      <c r="AH72" s="68">
        <f t="shared" ca="1" si="31"/>
        <v>0</v>
      </c>
      <c r="AI72" s="68">
        <f t="shared" ca="1" si="31"/>
        <v>0</v>
      </c>
      <c r="AJ72" s="68">
        <f t="shared" ca="1" si="29"/>
        <v>0</v>
      </c>
      <c r="AK72" s="68">
        <f t="shared" ca="1" si="29"/>
        <v>0</v>
      </c>
      <c r="AL72" s="68">
        <f t="shared" ca="1" si="29"/>
        <v>0</v>
      </c>
      <c r="AM72" s="68">
        <f t="shared" ca="1" si="29"/>
        <v>0</v>
      </c>
      <c r="AN72" s="68">
        <f t="shared" ca="1" si="29"/>
        <v>0</v>
      </c>
      <c r="AO72" s="68">
        <f t="shared" ca="1" si="29"/>
        <v>0</v>
      </c>
      <c r="AP72" s="68">
        <f t="shared" ca="1" si="29"/>
        <v>0</v>
      </c>
      <c r="AQ72" s="68">
        <f t="shared" ca="1" si="29"/>
        <v>0</v>
      </c>
      <c r="AR72" s="68">
        <f t="shared" ca="1" si="29"/>
        <v>0</v>
      </c>
      <c r="AS72" s="68">
        <f t="shared" ca="1" si="29"/>
        <v>0</v>
      </c>
      <c r="AT72" s="68">
        <f t="shared" ca="1" si="29"/>
        <v>0</v>
      </c>
      <c r="AU72" s="68">
        <f t="shared" ca="1" si="29"/>
        <v>0</v>
      </c>
      <c r="AV72" s="68">
        <f t="shared" ca="1" si="29"/>
        <v>0</v>
      </c>
      <c r="AW72" s="68">
        <f t="shared" ca="1" si="29"/>
        <v>0</v>
      </c>
      <c r="AX72" s="68">
        <f t="shared" ca="1" si="29"/>
        <v>0</v>
      </c>
      <c r="AY72" s="68">
        <f t="shared" ca="1" si="29"/>
        <v>0</v>
      </c>
      <c r="AZ72" s="68">
        <f t="shared" ca="1" si="30"/>
        <v>0</v>
      </c>
      <c r="BA72" s="68">
        <f t="shared" ca="1" si="26"/>
        <v>0</v>
      </c>
      <c r="BB72" s="68">
        <f t="shared" ca="1" si="26"/>
        <v>0</v>
      </c>
      <c r="BC72" s="68">
        <f t="shared" ca="1" si="26"/>
        <v>0</v>
      </c>
      <c r="BD72" s="68">
        <f t="shared" ca="1" si="26"/>
        <v>0</v>
      </c>
      <c r="BE72" s="68">
        <f t="shared" ca="1" si="26"/>
        <v>0</v>
      </c>
      <c r="BF72" s="68">
        <f t="shared" ca="1" si="26"/>
        <v>0</v>
      </c>
      <c r="BG72" s="68">
        <f t="shared" ca="1" si="26"/>
        <v>0</v>
      </c>
      <c r="BH72" s="68">
        <f t="shared" ca="1" si="26"/>
        <v>0</v>
      </c>
      <c r="BI72" s="68">
        <f t="shared" ca="1" si="26"/>
        <v>0</v>
      </c>
      <c r="BJ72" s="68">
        <f t="shared" ca="1" si="26"/>
        <v>0</v>
      </c>
      <c r="BK72" s="68">
        <f t="shared" ca="1" si="26"/>
        <v>0</v>
      </c>
      <c r="BL72" s="68">
        <f t="shared" ca="1" si="26"/>
        <v>0</v>
      </c>
      <c r="BM72" s="68">
        <f t="shared" ca="1" si="26"/>
        <v>0</v>
      </c>
      <c r="BN72" s="68">
        <f t="shared" ca="1" si="26"/>
        <v>0</v>
      </c>
      <c r="BO72" s="68">
        <f t="shared" ca="1" si="26"/>
        <v>0</v>
      </c>
      <c r="BP72" s="68">
        <f t="shared" ca="1" si="26"/>
        <v>0</v>
      </c>
      <c r="BQ72" s="68">
        <f t="shared" ca="1" si="27"/>
        <v>0</v>
      </c>
      <c r="BR72" s="68">
        <f t="shared" ca="1" si="27"/>
        <v>0</v>
      </c>
      <c r="BS72" s="68">
        <f t="shared" ca="1" si="27"/>
        <v>0</v>
      </c>
      <c r="BT72" s="68">
        <f t="shared" ca="1" si="27"/>
        <v>0</v>
      </c>
    </row>
    <row r="73" spans="2:72" x14ac:dyDescent="0.2">
      <c r="B73" s="88"/>
      <c r="G73" s="68" t="str">
        <f>ROW(A68)&amp;". "&amp;'Critical resources'!B79</f>
        <v xml:space="preserve">68. </v>
      </c>
      <c r="H73" s="68">
        <f ca="1">IFERROR(VLOOKUP('Critical resources'!D79,$B$6:$C$57,2,0),0)</f>
        <v>0</v>
      </c>
      <c r="I73" s="68">
        <f ca="1">IFERROR(VLOOKUP('Critical resources'!E79,$A$6:$C$57,3,0),0)</f>
        <v>0</v>
      </c>
      <c r="J73" s="68">
        <f ca="1">IFERROR(VLOOKUP('Critical resources'!G79,$B$6:$C$57,2,0),0)</f>
        <v>0</v>
      </c>
      <c r="K73" s="68">
        <f ca="1">IFERROR(VLOOKUP('Critical resources'!H79,$B$6:$C$57,2,0),0)</f>
        <v>0</v>
      </c>
      <c r="L73" s="68">
        <f ca="1">IFERROR(VLOOKUP('Critical resources'!J79,$B$6:$C$57,2,0),0)</f>
        <v>0</v>
      </c>
      <c r="M73" s="68">
        <f ca="1">IFERROR(VLOOKUP('Critical resources'!K79,$A$6:$C$57,3,0),0)</f>
        <v>0</v>
      </c>
      <c r="N73" s="68">
        <f ca="1">IFERROR(VLOOKUP('Critical resources'!M79,$B$6:$C$57,2,0),0)</f>
        <v>0</v>
      </c>
      <c r="O73" s="68">
        <f ca="1">IFERROR(VLOOKUP('Critical resources'!N79,$A$6:$C$57,3,0),0)</f>
        <v>0</v>
      </c>
      <c r="P73" s="68">
        <f ca="1">IFERROR(VLOOKUP('Critical resources'!P79,$B$6:$C$57,2,0),0)</f>
        <v>0</v>
      </c>
      <c r="Q73" s="68">
        <f ca="1">IFERROR(VLOOKUP('Critical resources'!Q79,$A$6:$C$57,3,0),0)</f>
        <v>0</v>
      </c>
      <c r="T73" s="68" t="str">
        <f t="shared" si="28"/>
        <v xml:space="preserve">68. </v>
      </c>
      <c r="U73" s="68">
        <f t="shared" ca="1" si="31"/>
        <v>0</v>
      </c>
      <c r="V73" s="68">
        <f t="shared" ca="1" si="31"/>
        <v>0</v>
      </c>
      <c r="W73" s="68">
        <f t="shared" ca="1" si="31"/>
        <v>0</v>
      </c>
      <c r="X73" s="68">
        <f t="shared" ca="1" si="31"/>
        <v>0</v>
      </c>
      <c r="Y73" s="68">
        <f t="shared" ca="1" si="31"/>
        <v>0</v>
      </c>
      <c r="Z73" s="68">
        <f t="shared" ca="1" si="31"/>
        <v>0</v>
      </c>
      <c r="AA73" s="68">
        <f t="shared" ca="1" si="31"/>
        <v>0</v>
      </c>
      <c r="AB73" s="68">
        <f t="shared" ca="1" si="31"/>
        <v>0</v>
      </c>
      <c r="AC73" s="68">
        <f t="shared" ca="1" si="31"/>
        <v>0</v>
      </c>
      <c r="AD73" s="68">
        <f t="shared" ca="1" si="31"/>
        <v>0</v>
      </c>
      <c r="AE73" s="68">
        <f t="shared" ca="1" si="31"/>
        <v>0</v>
      </c>
      <c r="AF73" s="68">
        <f t="shared" ca="1" si="31"/>
        <v>0</v>
      </c>
      <c r="AG73" s="68">
        <f t="shared" ca="1" si="31"/>
        <v>0</v>
      </c>
      <c r="AH73" s="68">
        <f t="shared" ca="1" si="31"/>
        <v>0</v>
      </c>
      <c r="AI73" s="68">
        <f t="shared" ca="1" si="31"/>
        <v>0</v>
      </c>
      <c r="AJ73" s="68">
        <f t="shared" ca="1" si="29"/>
        <v>0</v>
      </c>
      <c r="AK73" s="68">
        <f t="shared" ca="1" si="29"/>
        <v>0</v>
      </c>
      <c r="AL73" s="68">
        <f t="shared" ca="1" si="29"/>
        <v>0</v>
      </c>
      <c r="AM73" s="68">
        <f t="shared" ca="1" si="29"/>
        <v>0</v>
      </c>
      <c r="AN73" s="68">
        <f t="shared" ca="1" si="29"/>
        <v>0</v>
      </c>
      <c r="AO73" s="68">
        <f t="shared" ca="1" si="29"/>
        <v>0</v>
      </c>
      <c r="AP73" s="68">
        <f t="shared" ca="1" si="29"/>
        <v>0</v>
      </c>
      <c r="AQ73" s="68">
        <f t="shared" ca="1" si="29"/>
        <v>0</v>
      </c>
      <c r="AR73" s="68">
        <f t="shared" ca="1" si="29"/>
        <v>0</v>
      </c>
      <c r="AS73" s="68">
        <f t="shared" ca="1" si="29"/>
        <v>0</v>
      </c>
      <c r="AT73" s="68">
        <f t="shared" ca="1" si="29"/>
        <v>0</v>
      </c>
      <c r="AU73" s="68">
        <f t="shared" ca="1" si="29"/>
        <v>0</v>
      </c>
      <c r="AV73" s="68">
        <f t="shared" ca="1" si="29"/>
        <v>0</v>
      </c>
      <c r="AW73" s="68">
        <f t="shared" ca="1" si="29"/>
        <v>0</v>
      </c>
      <c r="AX73" s="68">
        <f t="shared" ca="1" si="29"/>
        <v>0</v>
      </c>
      <c r="AY73" s="68">
        <f t="shared" ca="1" si="29"/>
        <v>0</v>
      </c>
      <c r="AZ73" s="68">
        <f t="shared" ca="1" si="30"/>
        <v>0</v>
      </c>
      <c r="BA73" s="68">
        <f t="shared" ca="1" si="26"/>
        <v>0</v>
      </c>
      <c r="BB73" s="68">
        <f t="shared" ca="1" si="26"/>
        <v>0</v>
      </c>
      <c r="BC73" s="68">
        <f t="shared" ca="1" si="26"/>
        <v>0</v>
      </c>
      <c r="BD73" s="68">
        <f t="shared" ca="1" si="26"/>
        <v>0</v>
      </c>
      <c r="BE73" s="68">
        <f t="shared" ca="1" si="26"/>
        <v>0</v>
      </c>
      <c r="BF73" s="68">
        <f t="shared" ca="1" si="26"/>
        <v>0</v>
      </c>
      <c r="BG73" s="68">
        <f t="shared" ca="1" si="26"/>
        <v>0</v>
      </c>
      <c r="BH73" s="68">
        <f t="shared" ca="1" si="26"/>
        <v>0</v>
      </c>
      <c r="BI73" s="68">
        <f t="shared" ca="1" si="26"/>
        <v>0</v>
      </c>
      <c r="BJ73" s="68">
        <f t="shared" ca="1" si="26"/>
        <v>0</v>
      </c>
      <c r="BK73" s="68">
        <f t="shared" ca="1" si="26"/>
        <v>0</v>
      </c>
      <c r="BL73" s="68">
        <f t="shared" ca="1" si="26"/>
        <v>0</v>
      </c>
      <c r="BM73" s="68">
        <f t="shared" ca="1" si="26"/>
        <v>0</v>
      </c>
      <c r="BN73" s="68">
        <f t="shared" ca="1" si="26"/>
        <v>0</v>
      </c>
      <c r="BO73" s="68">
        <f t="shared" ca="1" si="26"/>
        <v>0</v>
      </c>
      <c r="BP73" s="68">
        <f t="shared" ca="1" si="26"/>
        <v>0</v>
      </c>
      <c r="BQ73" s="68">
        <f t="shared" ca="1" si="27"/>
        <v>0</v>
      </c>
      <c r="BR73" s="68">
        <f t="shared" ca="1" si="27"/>
        <v>0</v>
      </c>
      <c r="BS73" s="68">
        <f t="shared" ca="1" si="27"/>
        <v>0</v>
      </c>
      <c r="BT73" s="68">
        <f t="shared" ca="1" si="27"/>
        <v>0</v>
      </c>
    </row>
    <row r="74" spans="2:72" x14ac:dyDescent="0.2">
      <c r="B74" s="88"/>
      <c r="G74" s="68" t="str">
        <f>ROW(A69)&amp;". "&amp;'Critical resources'!B80</f>
        <v xml:space="preserve">69. </v>
      </c>
      <c r="H74" s="68">
        <f ca="1">IFERROR(VLOOKUP('Critical resources'!D80,$B$6:$C$57,2,0),0)</f>
        <v>0</v>
      </c>
      <c r="I74" s="68">
        <f ca="1">IFERROR(VLOOKUP('Critical resources'!E80,$A$6:$C$57,3,0),0)</f>
        <v>0</v>
      </c>
      <c r="J74" s="68">
        <f ca="1">IFERROR(VLOOKUP('Critical resources'!G80,$B$6:$C$57,2,0),0)</f>
        <v>0</v>
      </c>
      <c r="K74" s="68">
        <f ca="1">IFERROR(VLOOKUP('Critical resources'!H80,$B$6:$C$57,2,0),0)</f>
        <v>0</v>
      </c>
      <c r="L74" s="68">
        <f ca="1">IFERROR(VLOOKUP('Critical resources'!J80,$B$6:$C$57,2,0),0)</f>
        <v>0</v>
      </c>
      <c r="M74" s="68">
        <f ca="1">IFERROR(VLOOKUP('Critical resources'!K80,$A$6:$C$57,3,0),0)</f>
        <v>0</v>
      </c>
      <c r="N74" s="68">
        <f ca="1">IFERROR(VLOOKUP('Critical resources'!M80,$B$6:$C$57,2,0),0)</f>
        <v>0</v>
      </c>
      <c r="O74" s="68">
        <f ca="1">IFERROR(VLOOKUP('Critical resources'!N80,$A$6:$C$57,3,0),0)</f>
        <v>0</v>
      </c>
      <c r="P74" s="68">
        <f ca="1">IFERROR(VLOOKUP('Critical resources'!P80,$B$6:$C$57,2,0),0)</f>
        <v>0</v>
      </c>
      <c r="Q74" s="68">
        <f ca="1">IFERROR(VLOOKUP('Critical resources'!Q80,$A$6:$C$57,3,0),0)</f>
        <v>0</v>
      </c>
      <c r="T74" s="68" t="str">
        <f t="shared" si="28"/>
        <v xml:space="preserve">69. </v>
      </c>
      <c r="U74" s="68">
        <f t="shared" ca="1" si="31"/>
        <v>0</v>
      </c>
      <c r="V74" s="68">
        <f t="shared" ca="1" si="31"/>
        <v>0</v>
      </c>
      <c r="W74" s="68">
        <f t="shared" ca="1" si="31"/>
        <v>0</v>
      </c>
      <c r="X74" s="68">
        <f t="shared" ca="1" si="31"/>
        <v>0</v>
      </c>
      <c r="Y74" s="68">
        <f t="shared" ca="1" si="31"/>
        <v>0</v>
      </c>
      <c r="Z74" s="68">
        <f t="shared" ca="1" si="31"/>
        <v>0</v>
      </c>
      <c r="AA74" s="68">
        <f t="shared" ca="1" si="31"/>
        <v>0</v>
      </c>
      <c r="AB74" s="68">
        <f t="shared" ca="1" si="31"/>
        <v>0</v>
      </c>
      <c r="AC74" s="68">
        <f t="shared" ca="1" si="31"/>
        <v>0</v>
      </c>
      <c r="AD74" s="68">
        <f t="shared" ca="1" si="31"/>
        <v>0</v>
      </c>
      <c r="AE74" s="68">
        <f t="shared" ca="1" si="31"/>
        <v>0</v>
      </c>
      <c r="AF74" s="68">
        <f t="shared" ca="1" si="31"/>
        <v>0</v>
      </c>
      <c r="AG74" s="68">
        <f t="shared" ca="1" si="31"/>
        <v>0</v>
      </c>
      <c r="AH74" s="68">
        <f t="shared" ca="1" si="31"/>
        <v>0</v>
      </c>
      <c r="AI74" s="68">
        <f t="shared" ca="1" si="31"/>
        <v>0</v>
      </c>
      <c r="AJ74" s="68">
        <f t="shared" ca="1" si="29"/>
        <v>0</v>
      </c>
      <c r="AK74" s="68">
        <f t="shared" ca="1" si="29"/>
        <v>0</v>
      </c>
      <c r="AL74" s="68">
        <f t="shared" ca="1" si="29"/>
        <v>0</v>
      </c>
      <c r="AM74" s="68">
        <f t="shared" ca="1" si="29"/>
        <v>0</v>
      </c>
      <c r="AN74" s="68">
        <f t="shared" ca="1" si="29"/>
        <v>0</v>
      </c>
      <c r="AO74" s="68">
        <f t="shared" ca="1" si="29"/>
        <v>0</v>
      </c>
      <c r="AP74" s="68">
        <f t="shared" ca="1" si="29"/>
        <v>0</v>
      </c>
      <c r="AQ74" s="68">
        <f t="shared" ca="1" si="29"/>
        <v>0</v>
      </c>
      <c r="AR74" s="68">
        <f t="shared" ca="1" si="29"/>
        <v>0</v>
      </c>
      <c r="AS74" s="68">
        <f t="shared" ca="1" si="29"/>
        <v>0</v>
      </c>
      <c r="AT74" s="68">
        <f t="shared" ca="1" si="29"/>
        <v>0</v>
      </c>
      <c r="AU74" s="68">
        <f t="shared" ca="1" si="29"/>
        <v>0</v>
      </c>
      <c r="AV74" s="68">
        <f t="shared" ca="1" si="29"/>
        <v>0</v>
      </c>
      <c r="AW74" s="68">
        <f t="shared" ca="1" si="29"/>
        <v>0</v>
      </c>
      <c r="AX74" s="68">
        <f t="shared" ca="1" si="29"/>
        <v>0</v>
      </c>
      <c r="AY74" s="68">
        <f t="shared" ca="1" si="29"/>
        <v>0</v>
      </c>
      <c r="AZ74" s="68">
        <f t="shared" ca="1" si="30"/>
        <v>0</v>
      </c>
      <c r="BA74" s="68">
        <f t="shared" ca="1" si="26"/>
        <v>0</v>
      </c>
      <c r="BB74" s="68">
        <f t="shared" ca="1" si="26"/>
        <v>0</v>
      </c>
      <c r="BC74" s="68">
        <f t="shared" ca="1" si="26"/>
        <v>0</v>
      </c>
      <c r="BD74" s="68">
        <f t="shared" ca="1" si="26"/>
        <v>0</v>
      </c>
      <c r="BE74" s="68">
        <f t="shared" ca="1" si="26"/>
        <v>0</v>
      </c>
      <c r="BF74" s="68">
        <f t="shared" ca="1" si="26"/>
        <v>0</v>
      </c>
      <c r="BG74" s="68">
        <f t="shared" ca="1" si="26"/>
        <v>0</v>
      </c>
      <c r="BH74" s="68">
        <f t="shared" ca="1" si="26"/>
        <v>0</v>
      </c>
      <c r="BI74" s="68">
        <f t="shared" ca="1" si="26"/>
        <v>0</v>
      </c>
      <c r="BJ74" s="68">
        <f t="shared" ca="1" si="26"/>
        <v>0</v>
      </c>
      <c r="BK74" s="68">
        <f t="shared" ca="1" si="26"/>
        <v>0</v>
      </c>
      <c r="BL74" s="68">
        <f t="shared" ca="1" si="26"/>
        <v>0</v>
      </c>
      <c r="BM74" s="68">
        <f t="shared" ca="1" si="26"/>
        <v>0</v>
      </c>
      <c r="BN74" s="68">
        <f t="shared" ca="1" si="26"/>
        <v>0</v>
      </c>
      <c r="BO74" s="68">
        <f t="shared" ca="1" si="26"/>
        <v>0</v>
      </c>
      <c r="BP74" s="68">
        <f t="shared" ca="1" si="26"/>
        <v>0</v>
      </c>
      <c r="BQ74" s="68">
        <f t="shared" ca="1" si="27"/>
        <v>0</v>
      </c>
      <c r="BR74" s="68">
        <f t="shared" ca="1" si="27"/>
        <v>0</v>
      </c>
      <c r="BS74" s="68">
        <f t="shared" ca="1" si="27"/>
        <v>0</v>
      </c>
      <c r="BT74" s="68">
        <f t="shared" ca="1" si="27"/>
        <v>0</v>
      </c>
    </row>
    <row r="75" spans="2:72" x14ac:dyDescent="0.2">
      <c r="B75" s="88"/>
      <c r="G75" s="68" t="str">
        <f>ROW(A70)&amp;". "&amp;'Critical resources'!B81</f>
        <v xml:space="preserve">70. </v>
      </c>
      <c r="H75" s="68">
        <f ca="1">IFERROR(VLOOKUP('Critical resources'!D81,$B$6:$C$57,2,0),0)</f>
        <v>0</v>
      </c>
      <c r="I75" s="68">
        <f ca="1">IFERROR(VLOOKUP('Critical resources'!E81,$A$6:$C$57,3,0),0)</f>
        <v>0</v>
      </c>
      <c r="J75" s="68">
        <f ca="1">IFERROR(VLOOKUP('Critical resources'!G81,$B$6:$C$57,2,0),0)</f>
        <v>0</v>
      </c>
      <c r="K75" s="68">
        <f ca="1">IFERROR(VLOOKUP('Critical resources'!H81,$B$6:$C$57,2,0),0)</f>
        <v>0</v>
      </c>
      <c r="L75" s="68">
        <f ca="1">IFERROR(VLOOKUP('Critical resources'!J81,$B$6:$C$57,2,0),0)</f>
        <v>0</v>
      </c>
      <c r="M75" s="68">
        <f ca="1">IFERROR(VLOOKUP('Critical resources'!K81,$A$6:$C$57,3,0),0)</f>
        <v>0</v>
      </c>
      <c r="N75" s="68">
        <f ca="1">IFERROR(VLOOKUP('Critical resources'!M81,$B$6:$C$57,2,0),0)</f>
        <v>0</v>
      </c>
      <c r="O75" s="68">
        <f ca="1">IFERROR(VLOOKUP('Critical resources'!N81,$A$6:$C$57,3,0),0)</f>
        <v>0</v>
      </c>
      <c r="P75" s="68">
        <f ca="1">IFERROR(VLOOKUP('Critical resources'!P81,$B$6:$C$57,2,0),0)</f>
        <v>0</v>
      </c>
      <c r="Q75" s="68">
        <f ca="1">IFERROR(VLOOKUP('Critical resources'!Q81,$A$6:$C$57,3,0),0)</f>
        <v>0</v>
      </c>
      <c r="T75" s="68" t="str">
        <f t="shared" si="28"/>
        <v xml:space="preserve">70. </v>
      </c>
      <c r="U75" s="68">
        <f t="shared" ca="1" si="31"/>
        <v>0</v>
      </c>
      <c r="V75" s="68">
        <f t="shared" ca="1" si="31"/>
        <v>0</v>
      </c>
      <c r="W75" s="68">
        <f t="shared" ca="1" si="31"/>
        <v>0</v>
      </c>
      <c r="X75" s="68">
        <f t="shared" ca="1" si="31"/>
        <v>0</v>
      </c>
      <c r="Y75" s="68">
        <f t="shared" ca="1" si="31"/>
        <v>0</v>
      </c>
      <c r="Z75" s="68">
        <f t="shared" ca="1" si="31"/>
        <v>0</v>
      </c>
      <c r="AA75" s="68">
        <f t="shared" ca="1" si="31"/>
        <v>0</v>
      </c>
      <c r="AB75" s="68">
        <f t="shared" ca="1" si="31"/>
        <v>0</v>
      </c>
      <c r="AC75" s="68">
        <f t="shared" ca="1" si="31"/>
        <v>0</v>
      </c>
      <c r="AD75" s="68">
        <f t="shared" ca="1" si="31"/>
        <v>0</v>
      </c>
      <c r="AE75" s="68">
        <f t="shared" ca="1" si="31"/>
        <v>0</v>
      </c>
      <c r="AF75" s="68">
        <f t="shared" ca="1" si="31"/>
        <v>0</v>
      </c>
      <c r="AG75" s="68">
        <f t="shared" ca="1" si="31"/>
        <v>0</v>
      </c>
      <c r="AH75" s="68">
        <f t="shared" ca="1" si="31"/>
        <v>0</v>
      </c>
      <c r="AI75" s="68">
        <f t="shared" ca="1" si="31"/>
        <v>0</v>
      </c>
      <c r="AJ75" s="68">
        <f t="shared" ca="1" si="29"/>
        <v>0</v>
      </c>
      <c r="AK75" s="68">
        <f t="shared" ca="1" si="29"/>
        <v>0</v>
      </c>
      <c r="AL75" s="68">
        <f t="shared" ca="1" si="29"/>
        <v>0</v>
      </c>
      <c r="AM75" s="68">
        <f t="shared" ca="1" si="29"/>
        <v>0</v>
      </c>
      <c r="AN75" s="68">
        <f t="shared" ca="1" si="29"/>
        <v>0</v>
      </c>
      <c r="AO75" s="68">
        <f t="shared" ca="1" si="29"/>
        <v>0</v>
      </c>
      <c r="AP75" s="68">
        <f t="shared" ca="1" si="29"/>
        <v>0</v>
      </c>
      <c r="AQ75" s="68">
        <f t="shared" ca="1" si="29"/>
        <v>0</v>
      </c>
      <c r="AR75" s="68">
        <f t="shared" ca="1" si="29"/>
        <v>0</v>
      </c>
      <c r="AS75" s="68">
        <f t="shared" ca="1" si="29"/>
        <v>0</v>
      </c>
      <c r="AT75" s="68">
        <f t="shared" ca="1" si="29"/>
        <v>0</v>
      </c>
      <c r="AU75" s="68">
        <f t="shared" ca="1" si="29"/>
        <v>0</v>
      </c>
      <c r="AV75" s="68">
        <f t="shared" ca="1" si="29"/>
        <v>0</v>
      </c>
      <c r="AW75" s="68">
        <f t="shared" ca="1" si="29"/>
        <v>0</v>
      </c>
      <c r="AX75" s="68">
        <f t="shared" ca="1" si="29"/>
        <v>0</v>
      </c>
      <c r="AY75" s="68">
        <f t="shared" ca="1" si="29"/>
        <v>0</v>
      </c>
      <c r="AZ75" s="68">
        <f t="shared" ca="1" si="30"/>
        <v>0</v>
      </c>
      <c r="BA75" s="68">
        <f t="shared" ca="1" si="26"/>
        <v>0</v>
      </c>
      <c r="BB75" s="68">
        <f t="shared" ca="1" si="26"/>
        <v>0</v>
      </c>
      <c r="BC75" s="68">
        <f t="shared" ca="1" si="26"/>
        <v>0</v>
      </c>
      <c r="BD75" s="68">
        <f t="shared" ca="1" si="26"/>
        <v>0</v>
      </c>
      <c r="BE75" s="68">
        <f t="shared" ca="1" si="26"/>
        <v>0</v>
      </c>
      <c r="BF75" s="68">
        <f t="shared" ca="1" si="26"/>
        <v>0</v>
      </c>
      <c r="BG75" s="68">
        <f t="shared" ca="1" si="26"/>
        <v>0</v>
      </c>
      <c r="BH75" s="68">
        <f t="shared" ca="1" si="26"/>
        <v>0</v>
      </c>
      <c r="BI75" s="68">
        <f t="shared" ca="1" si="26"/>
        <v>0</v>
      </c>
      <c r="BJ75" s="68">
        <f t="shared" ca="1" si="26"/>
        <v>0</v>
      </c>
      <c r="BK75" s="68">
        <f t="shared" ca="1" si="26"/>
        <v>0</v>
      </c>
      <c r="BL75" s="68">
        <f t="shared" ca="1" si="26"/>
        <v>0</v>
      </c>
      <c r="BM75" s="68">
        <f t="shared" ca="1" si="26"/>
        <v>0</v>
      </c>
      <c r="BN75" s="68">
        <f t="shared" ca="1" si="26"/>
        <v>0</v>
      </c>
      <c r="BO75" s="68">
        <f t="shared" ca="1" si="26"/>
        <v>0</v>
      </c>
      <c r="BP75" s="68">
        <f t="shared" ca="1" si="26"/>
        <v>0</v>
      </c>
      <c r="BQ75" s="68">
        <f t="shared" ca="1" si="27"/>
        <v>0</v>
      </c>
      <c r="BR75" s="68">
        <f t="shared" ca="1" si="27"/>
        <v>0</v>
      </c>
      <c r="BS75" s="68">
        <f t="shared" ca="1" si="27"/>
        <v>0</v>
      </c>
      <c r="BT75" s="68">
        <f t="shared" ca="1" si="27"/>
        <v>0</v>
      </c>
    </row>
    <row r="76" spans="2:72" x14ac:dyDescent="0.2">
      <c r="B76" s="88"/>
      <c r="G76" s="68" t="str">
        <f>ROW(A71)&amp;". "&amp;'Critical resources'!B82</f>
        <v xml:space="preserve">71. </v>
      </c>
      <c r="H76" s="68">
        <f ca="1">IFERROR(VLOOKUP('Critical resources'!D82,$B$6:$C$57,2,0),0)</f>
        <v>0</v>
      </c>
      <c r="I76" s="68">
        <f ca="1">IFERROR(VLOOKUP('Critical resources'!E82,$A$6:$C$57,3,0),0)</f>
        <v>0</v>
      </c>
      <c r="J76" s="68">
        <f ca="1">IFERROR(VLOOKUP('Critical resources'!G82,$B$6:$C$57,2,0),0)</f>
        <v>0</v>
      </c>
      <c r="K76" s="68">
        <f ca="1">IFERROR(VLOOKUP('Critical resources'!H82,$B$6:$C$57,2,0),0)</f>
        <v>0</v>
      </c>
      <c r="L76" s="68">
        <f ca="1">IFERROR(VLOOKUP('Critical resources'!J82,$B$6:$C$57,2,0),0)</f>
        <v>0</v>
      </c>
      <c r="M76" s="68">
        <f ca="1">IFERROR(VLOOKUP('Critical resources'!K82,$A$6:$C$57,3,0),0)</f>
        <v>0</v>
      </c>
      <c r="N76" s="68">
        <f ca="1">IFERROR(VLOOKUP('Critical resources'!M82,$B$6:$C$57,2,0),0)</f>
        <v>0</v>
      </c>
      <c r="O76" s="68">
        <f ca="1">IFERROR(VLOOKUP('Critical resources'!N82,$A$6:$C$57,3,0),0)</f>
        <v>0</v>
      </c>
      <c r="P76" s="68">
        <f ca="1">IFERROR(VLOOKUP('Critical resources'!P82,$B$6:$C$57,2,0),0)</f>
        <v>0</v>
      </c>
      <c r="Q76" s="68">
        <f ca="1">IFERROR(VLOOKUP('Critical resources'!Q82,$A$6:$C$57,3,0),0)</f>
        <v>0</v>
      </c>
      <c r="T76" s="68" t="str">
        <f t="shared" si="28"/>
        <v xml:space="preserve">71. </v>
      </c>
      <c r="U76" s="68">
        <f t="shared" ca="1" si="31"/>
        <v>0</v>
      </c>
      <c r="V76" s="68">
        <f t="shared" ca="1" si="31"/>
        <v>0</v>
      </c>
      <c r="W76" s="68">
        <f t="shared" ca="1" si="31"/>
        <v>0</v>
      </c>
      <c r="X76" s="68">
        <f t="shared" ca="1" si="31"/>
        <v>0</v>
      </c>
      <c r="Y76" s="68">
        <f t="shared" ca="1" si="31"/>
        <v>0</v>
      </c>
      <c r="Z76" s="68">
        <f t="shared" ca="1" si="31"/>
        <v>0</v>
      </c>
      <c r="AA76" s="68">
        <f t="shared" ca="1" si="31"/>
        <v>0</v>
      </c>
      <c r="AB76" s="68">
        <f t="shared" ca="1" si="31"/>
        <v>0</v>
      </c>
      <c r="AC76" s="68">
        <f t="shared" ca="1" si="31"/>
        <v>0</v>
      </c>
      <c r="AD76" s="68">
        <f t="shared" ca="1" si="31"/>
        <v>0</v>
      </c>
      <c r="AE76" s="68">
        <f t="shared" ca="1" si="31"/>
        <v>0</v>
      </c>
      <c r="AF76" s="68">
        <f t="shared" ca="1" si="31"/>
        <v>0</v>
      </c>
      <c r="AG76" s="68">
        <f t="shared" ca="1" si="31"/>
        <v>0</v>
      </c>
      <c r="AH76" s="68">
        <f t="shared" ca="1" si="31"/>
        <v>0</v>
      </c>
      <c r="AI76" s="68">
        <f t="shared" ca="1" si="31"/>
        <v>0</v>
      </c>
      <c r="AJ76" s="68">
        <f t="shared" ca="1" si="29"/>
        <v>0</v>
      </c>
      <c r="AK76" s="68">
        <f t="shared" ca="1" si="29"/>
        <v>0</v>
      </c>
      <c r="AL76" s="68">
        <f t="shared" ca="1" si="29"/>
        <v>0</v>
      </c>
      <c r="AM76" s="68">
        <f t="shared" ca="1" si="29"/>
        <v>0</v>
      </c>
      <c r="AN76" s="68">
        <f t="shared" ca="1" si="29"/>
        <v>0</v>
      </c>
      <c r="AO76" s="68">
        <f t="shared" ca="1" si="29"/>
        <v>0</v>
      </c>
      <c r="AP76" s="68">
        <f t="shared" ca="1" si="29"/>
        <v>0</v>
      </c>
      <c r="AQ76" s="68">
        <f t="shared" ca="1" si="29"/>
        <v>0</v>
      </c>
      <c r="AR76" s="68">
        <f t="shared" ca="1" si="29"/>
        <v>0</v>
      </c>
      <c r="AS76" s="68">
        <f t="shared" ca="1" si="29"/>
        <v>0</v>
      </c>
      <c r="AT76" s="68">
        <f t="shared" ca="1" si="29"/>
        <v>0</v>
      </c>
      <c r="AU76" s="68">
        <f t="shared" ca="1" si="29"/>
        <v>0</v>
      </c>
      <c r="AV76" s="68">
        <f t="shared" ca="1" si="29"/>
        <v>0</v>
      </c>
      <c r="AW76" s="68">
        <f t="shared" ca="1" si="29"/>
        <v>0</v>
      </c>
      <c r="AX76" s="68">
        <f t="shared" ca="1" si="29"/>
        <v>0</v>
      </c>
      <c r="AY76" s="68">
        <f t="shared" ca="1" si="29"/>
        <v>0</v>
      </c>
      <c r="AZ76" s="68">
        <f t="shared" ca="1" si="30"/>
        <v>0</v>
      </c>
      <c r="BA76" s="68">
        <f t="shared" ca="1" si="26"/>
        <v>0</v>
      </c>
      <c r="BB76" s="68">
        <f t="shared" ca="1" si="26"/>
        <v>0</v>
      </c>
      <c r="BC76" s="68">
        <f t="shared" ca="1" si="26"/>
        <v>0</v>
      </c>
      <c r="BD76" s="68">
        <f t="shared" ca="1" si="26"/>
        <v>0</v>
      </c>
      <c r="BE76" s="68">
        <f t="shared" ca="1" si="26"/>
        <v>0</v>
      </c>
      <c r="BF76" s="68">
        <f t="shared" ca="1" si="26"/>
        <v>0</v>
      </c>
      <c r="BG76" s="68">
        <f t="shared" ca="1" si="26"/>
        <v>0</v>
      </c>
      <c r="BH76" s="68">
        <f t="shared" ca="1" si="26"/>
        <v>0</v>
      </c>
      <c r="BI76" s="68">
        <f t="shared" ca="1" si="26"/>
        <v>0</v>
      </c>
      <c r="BJ76" s="68">
        <f t="shared" ca="1" si="26"/>
        <v>0</v>
      </c>
      <c r="BK76" s="68">
        <f t="shared" ca="1" si="26"/>
        <v>0</v>
      </c>
      <c r="BL76" s="68">
        <f t="shared" ca="1" si="26"/>
        <v>0</v>
      </c>
      <c r="BM76" s="68">
        <f t="shared" ca="1" si="26"/>
        <v>0</v>
      </c>
      <c r="BN76" s="68">
        <f t="shared" ca="1" si="26"/>
        <v>0</v>
      </c>
      <c r="BO76" s="68">
        <f t="shared" ca="1" si="26"/>
        <v>0</v>
      </c>
      <c r="BP76" s="68">
        <f t="shared" ca="1" si="26"/>
        <v>0</v>
      </c>
      <c r="BQ76" s="68">
        <f t="shared" ca="1" si="27"/>
        <v>0</v>
      </c>
      <c r="BR76" s="68">
        <f t="shared" ca="1" si="27"/>
        <v>0</v>
      </c>
      <c r="BS76" s="68">
        <f t="shared" ca="1" si="27"/>
        <v>0</v>
      </c>
      <c r="BT76" s="68">
        <f t="shared" ca="1" si="27"/>
        <v>0</v>
      </c>
    </row>
    <row r="77" spans="2:72" x14ac:dyDescent="0.2">
      <c r="B77" s="88"/>
      <c r="G77" s="68" t="str">
        <f>ROW(A72)&amp;". "&amp;'Critical resources'!B83</f>
        <v xml:space="preserve">72. </v>
      </c>
      <c r="H77" s="68">
        <f ca="1">IFERROR(VLOOKUP('Critical resources'!D83,$B$6:$C$57,2,0),0)</f>
        <v>0</v>
      </c>
      <c r="I77" s="68">
        <f ca="1">IFERROR(VLOOKUP('Critical resources'!E83,$A$6:$C$57,3,0),0)</f>
        <v>0</v>
      </c>
      <c r="J77" s="68">
        <f ca="1">IFERROR(VLOOKUP('Critical resources'!G83,$B$6:$C$57,2,0),0)</f>
        <v>0</v>
      </c>
      <c r="K77" s="68">
        <f ca="1">IFERROR(VLOOKUP('Critical resources'!H83,$B$6:$C$57,2,0),0)</f>
        <v>0</v>
      </c>
      <c r="L77" s="68">
        <f ca="1">IFERROR(VLOOKUP('Critical resources'!J83,$B$6:$C$57,2,0),0)</f>
        <v>0</v>
      </c>
      <c r="M77" s="68">
        <f ca="1">IFERROR(VLOOKUP('Critical resources'!K83,$A$6:$C$57,3,0),0)</f>
        <v>0</v>
      </c>
      <c r="N77" s="68">
        <f ca="1">IFERROR(VLOOKUP('Critical resources'!M83,$B$6:$C$57,2,0),0)</f>
        <v>0</v>
      </c>
      <c r="O77" s="68">
        <f ca="1">IFERROR(VLOOKUP('Critical resources'!N83,$A$6:$C$57,3,0),0)</f>
        <v>0</v>
      </c>
      <c r="P77" s="68">
        <f ca="1">IFERROR(VLOOKUP('Critical resources'!P83,$B$6:$C$57,2,0),0)</f>
        <v>0</v>
      </c>
      <c r="Q77" s="68">
        <f ca="1">IFERROR(VLOOKUP('Critical resources'!Q83,$A$6:$C$57,3,0),0)</f>
        <v>0</v>
      </c>
      <c r="T77" s="68" t="str">
        <f t="shared" si="28"/>
        <v xml:space="preserve">72. </v>
      </c>
      <c r="U77" s="68">
        <f t="shared" ca="1" si="31"/>
        <v>0</v>
      </c>
      <c r="V77" s="68">
        <f t="shared" ca="1" si="31"/>
        <v>0</v>
      </c>
      <c r="W77" s="68">
        <f t="shared" ca="1" si="31"/>
        <v>0</v>
      </c>
      <c r="X77" s="68">
        <f t="shared" ca="1" si="31"/>
        <v>0</v>
      </c>
      <c r="Y77" s="68">
        <f t="shared" ca="1" si="31"/>
        <v>0</v>
      </c>
      <c r="Z77" s="68">
        <f t="shared" ca="1" si="31"/>
        <v>0</v>
      </c>
      <c r="AA77" s="68">
        <f t="shared" ca="1" si="31"/>
        <v>0</v>
      </c>
      <c r="AB77" s="68">
        <f t="shared" ca="1" si="31"/>
        <v>0</v>
      </c>
      <c r="AC77" s="68">
        <f t="shared" ca="1" si="31"/>
        <v>0</v>
      </c>
      <c r="AD77" s="68">
        <f t="shared" ca="1" si="31"/>
        <v>0</v>
      </c>
      <c r="AE77" s="68">
        <f t="shared" ca="1" si="31"/>
        <v>0</v>
      </c>
      <c r="AF77" s="68">
        <f t="shared" ca="1" si="31"/>
        <v>0</v>
      </c>
      <c r="AG77" s="68">
        <f t="shared" ca="1" si="31"/>
        <v>0</v>
      </c>
      <c r="AH77" s="68">
        <f t="shared" ca="1" si="31"/>
        <v>0</v>
      </c>
      <c r="AI77" s="68">
        <f t="shared" ca="1" si="31"/>
        <v>0</v>
      </c>
      <c r="AJ77" s="68">
        <f t="shared" ca="1" si="29"/>
        <v>0</v>
      </c>
      <c r="AK77" s="68">
        <f t="shared" ca="1" si="29"/>
        <v>0</v>
      </c>
      <c r="AL77" s="68">
        <f t="shared" ca="1" si="29"/>
        <v>0</v>
      </c>
      <c r="AM77" s="68">
        <f t="shared" ca="1" si="29"/>
        <v>0</v>
      </c>
      <c r="AN77" s="68">
        <f t="shared" ca="1" si="29"/>
        <v>0</v>
      </c>
      <c r="AO77" s="68">
        <f t="shared" ca="1" si="29"/>
        <v>0</v>
      </c>
      <c r="AP77" s="68">
        <f t="shared" ca="1" si="29"/>
        <v>0</v>
      </c>
      <c r="AQ77" s="68">
        <f t="shared" ca="1" si="29"/>
        <v>0</v>
      </c>
      <c r="AR77" s="68">
        <f t="shared" ca="1" si="29"/>
        <v>0</v>
      </c>
      <c r="AS77" s="68">
        <f t="shared" ca="1" si="29"/>
        <v>0</v>
      </c>
      <c r="AT77" s="68">
        <f t="shared" ca="1" si="29"/>
        <v>0</v>
      </c>
      <c r="AU77" s="68">
        <f t="shared" ca="1" si="29"/>
        <v>0</v>
      </c>
      <c r="AV77" s="68">
        <f t="shared" ca="1" si="29"/>
        <v>0</v>
      </c>
      <c r="AW77" s="68">
        <f t="shared" ca="1" si="29"/>
        <v>0</v>
      </c>
      <c r="AX77" s="68">
        <f t="shared" ca="1" si="29"/>
        <v>0</v>
      </c>
      <c r="AY77" s="68">
        <f t="shared" ca="1" si="29"/>
        <v>0</v>
      </c>
      <c r="AZ77" s="68">
        <f t="shared" ca="1" si="30"/>
        <v>0</v>
      </c>
      <c r="BA77" s="68">
        <f t="shared" ca="1" si="26"/>
        <v>0</v>
      </c>
      <c r="BB77" s="68">
        <f t="shared" ca="1" si="26"/>
        <v>0</v>
      </c>
      <c r="BC77" s="68">
        <f t="shared" ca="1" si="26"/>
        <v>0</v>
      </c>
      <c r="BD77" s="68">
        <f t="shared" ca="1" si="26"/>
        <v>0</v>
      </c>
      <c r="BE77" s="68">
        <f t="shared" ca="1" si="26"/>
        <v>0</v>
      </c>
      <c r="BF77" s="68">
        <f t="shared" ca="1" si="26"/>
        <v>0</v>
      </c>
      <c r="BG77" s="68">
        <f t="shared" ca="1" si="26"/>
        <v>0</v>
      </c>
      <c r="BH77" s="68">
        <f t="shared" ca="1" si="26"/>
        <v>0</v>
      </c>
      <c r="BI77" s="68">
        <f t="shared" ca="1" si="26"/>
        <v>0</v>
      </c>
      <c r="BJ77" s="68">
        <f t="shared" ca="1" si="26"/>
        <v>0</v>
      </c>
      <c r="BK77" s="68">
        <f t="shared" ca="1" si="26"/>
        <v>0</v>
      </c>
      <c r="BL77" s="68">
        <f t="shared" ca="1" si="26"/>
        <v>0</v>
      </c>
      <c r="BM77" s="68">
        <f t="shared" ca="1" si="26"/>
        <v>0</v>
      </c>
      <c r="BN77" s="68">
        <f t="shared" ca="1" si="26"/>
        <v>0</v>
      </c>
      <c r="BO77" s="68">
        <f t="shared" ca="1" si="26"/>
        <v>0</v>
      </c>
      <c r="BP77" s="68">
        <f t="shared" ca="1" si="26"/>
        <v>0</v>
      </c>
      <c r="BQ77" s="68">
        <f t="shared" ca="1" si="27"/>
        <v>0</v>
      </c>
      <c r="BR77" s="68">
        <f t="shared" ca="1" si="27"/>
        <v>0</v>
      </c>
      <c r="BS77" s="68">
        <f t="shared" ca="1" si="27"/>
        <v>0</v>
      </c>
      <c r="BT77" s="68">
        <f t="shared" ca="1" si="27"/>
        <v>0</v>
      </c>
    </row>
    <row r="78" spans="2:72" x14ac:dyDescent="0.2">
      <c r="B78" s="88"/>
      <c r="G78" s="68" t="str">
        <f>ROW(A73)&amp;". "&amp;'Critical resources'!B84</f>
        <v xml:space="preserve">73. </v>
      </c>
      <c r="H78" s="68">
        <f ca="1">IFERROR(VLOOKUP('Critical resources'!D84,$B$6:$C$57,2,0),0)</f>
        <v>0</v>
      </c>
      <c r="I78" s="68">
        <f ca="1">IFERROR(VLOOKUP('Critical resources'!E84,$A$6:$C$57,3,0),0)</f>
        <v>0</v>
      </c>
      <c r="J78" s="68">
        <f ca="1">IFERROR(VLOOKUP('Critical resources'!G84,$B$6:$C$57,2,0),0)</f>
        <v>0</v>
      </c>
      <c r="K78" s="68">
        <f ca="1">IFERROR(VLOOKUP('Critical resources'!H84,$B$6:$C$57,2,0),0)</f>
        <v>0</v>
      </c>
      <c r="L78" s="68">
        <f ca="1">IFERROR(VLOOKUP('Critical resources'!J84,$B$6:$C$57,2,0),0)</f>
        <v>0</v>
      </c>
      <c r="M78" s="68">
        <f ca="1">IFERROR(VLOOKUP('Critical resources'!K84,$A$6:$C$57,3,0),0)</f>
        <v>0</v>
      </c>
      <c r="N78" s="68">
        <f ca="1">IFERROR(VLOOKUP('Critical resources'!M84,$B$6:$C$57,2,0),0)</f>
        <v>0</v>
      </c>
      <c r="O78" s="68">
        <f ca="1">IFERROR(VLOOKUP('Critical resources'!N84,$A$6:$C$57,3,0),0)</f>
        <v>0</v>
      </c>
      <c r="P78" s="68">
        <f ca="1">IFERROR(VLOOKUP('Critical resources'!P84,$B$6:$C$57,2,0),0)</f>
        <v>0</v>
      </c>
      <c r="Q78" s="68">
        <f ca="1">IFERROR(VLOOKUP('Critical resources'!Q84,$A$6:$C$57,3,0),0)</f>
        <v>0</v>
      </c>
      <c r="T78" s="68" t="str">
        <f t="shared" si="28"/>
        <v xml:space="preserve">73. </v>
      </c>
      <c r="U78" s="68">
        <f t="shared" ca="1" si="31"/>
        <v>0</v>
      </c>
      <c r="V78" s="68">
        <f t="shared" ca="1" si="31"/>
        <v>0</v>
      </c>
      <c r="W78" s="68">
        <f t="shared" ca="1" si="31"/>
        <v>0</v>
      </c>
      <c r="X78" s="68">
        <f t="shared" ca="1" si="31"/>
        <v>0</v>
      </c>
      <c r="Y78" s="68">
        <f t="shared" ca="1" si="31"/>
        <v>0</v>
      </c>
      <c r="Z78" s="68">
        <f t="shared" ca="1" si="31"/>
        <v>0</v>
      </c>
      <c r="AA78" s="68">
        <f t="shared" ca="1" si="31"/>
        <v>0</v>
      </c>
      <c r="AB78" s="68">
        <f t="shared" ca="1" si="31"/>
        <v>0</v>
      </c>
      <c r="AC78" s="68">
        <f t="shared" ca="1" si="31"/>
        <v>0</v>
      </c>
      <c r="AD78" s="68">
        <f t="shared" ca="1" si="31"/>
        <v>0</v>
      </c>
      <c r="AE78" s="68">
        <f t="shared" ca="1" si="31"/>
        <v>0</v>
      </c>
      <c r="AF78" s="68">
        <f t="shared" ca="1" si="31"/>
        <v>0</v>
      </c>
      <c r="AG78" s="68">
        <f t="shared" ca="1" si="31"/>
        <v>0</v>
      </c>
      <c r="AH78" s="68">
        <f t="shared" ca="1" si="31"/>
        <v>0</v>
      </c>
      <c r="AI78" s="68">
        <f t="shared" ca="1" si="31"/>
        <v>0</v>
      </c>
      <c r="AJ78" s="68">
        <f t="shared" ca="1" si="29"/>
        <v>0</v>
      </c>
      <c r="AK78" s="68">
        <f t="shared" ca="1" si="29"/>
        <v>0</v>
      </c>
      <c r="AL78" s="68">
        <f t="shared" ca="1" si="29"/>
        <v>0</v>
      </c>
      <c r="AM78" s="68">
        <f t="shared" ca="1" si="29"/>
        <v>0</v>
      </c>
      <c r="AN78" s="68">
        <f t="shared" ca="1" si="29"/>
        <v>0</v>
      </c>
      <c r="AO78" s="68">
        <f t="shared" ca="1" si="29"/>
        <v>0</v>
      </c>
      <c r="AP78" s="68">
        <f t="shared" ca="1" si="29"/>
        <v>0</v>
      </c>
      <c r="AQ78" s="68">
        <f t="shared" ca="1" si="29"/>
        <v>0</v>
      </c>
      <c r="AR78" s="68">
        <f t="shared" ca="1" si="29"/>
        <v>0</v>
      </c>
      <c r="AS78" s="68">
        <f t="shared" ca="1" si="29"/>
        <v>0</v>
      </c>
      <c r="AT78" s="68">
        <f t="shared" ca="1" si="29"/>
        <v>0</v>
      </c>
      <c r="AU78" s="68">
        <f t="shared" ca="1" si="29"/>
        <v>0</v>
      </c>
      <c r="AV78" s="68">
        <f t="shared" ca="1" si="29"/>
        <v>0</v>
      </c>
      <c r="AW78" s="68">
        <f t="shared" ca="1" si="29"/>
        <v>0</v>
      </c>
      <c r="AX78" s="68">
        <f t="shared" ca="1" si="29"/>
        <v>0</v>
      </c>
      <c r="AY78" s="68">
        <f t="shared" ca="1" si="29"/>
        <v>0</v>
      </c>
      <c r="AZ78" s="68">
        <f t="shared" ca="1" si="30"/>
        <v>0</v>
      </c>
      <c r="BA78" s="68">
        <f t="shared" ca="1" si="26"/>
        <v>0</v>
      </c>
      <c r="BB78" s="68">
        <f t="shared" ca="1" si="26"/>
        <v>0</v>
      </c>
      <c r="BC78" s="68">
        <f t="shared" ca="1" si="26"/>
        <v>0</v>
      </c>
      <c r="BD78" s="68">
        <f t="shared" ca="1" si="26"/>
        <v>0</v>
      </c>
      <c r="BE78" s="68">
        <f t="shared" ca="1" si="26"/>
        <v>0</v>
      </c>
      <c r="BF78" s="68">
        <f t="shared" ca="1" si="26"/>
        <v>0</v>
      </c>
      <c r="BG78" s="68">
        <f t="shared" ca="1" si="26"/>
        <v>0</v>
      </c>
      <c r="BH78" s="68">
        <f t="shared" ca="1" si="26"/>
        <v>0</v>
      </c>
      <c r="BI78" s="68">
        <f t="shared" ca="1" si="26"/>
        <v>0</v>
      </c>
      <c r="BJ78" s="68">
        <f t="shared" ca="1" si="26"/>
        <v>0</v>
      </c>
      <c r="BK78" s="68">
        <f t="shared" ca="1" si="26"/>
        <v>0</v>
      </c>
      <c r="BL78" s="68">
        <f t="shared" ca="1" si="26"/>
        <v>0</v>
      </c>
      <c r="BM78" s="68">
        <f t="shared" ca="1" si="26"/>
        <v>0</v>
      </c>
      <c r="BN78" s="68">
        <f t="shared" ca="1" si="26"/>
        <v>0</v>
      </c>
      <c r="BO78" s="68">
        <f t="shared" ca="1" si="26"/>
        <v>0</v>
      </c>
      <c r="BP78" s="68">
        <f t="shared" ca="1" si="26"/>
        <v>0</v>
      </c>
      <c r="BQ78" s="68">
        <f t="shared" ca="1" si="27"/>
        <v>0</v>
      </c>
      <c r="BR78" s="68">
        <f t="shared" ca="1" si="27"/>
        <v>0</v>
      </c>
      <c r="BS78" s="68">
        <f t="shared" ca="1" si="27"/>
        <v>0</v>
      </c>
      <c r="BT78" s="68">
        <f t="shared" ca="1" si="27"/>
        <v>0</v>
      </c>
    </row>
    <row r="79" spans="2:72" x14ac:dyDescent="0.2">
      <c r="B79" s="88"/>
      <c r="G79" s="68" t="str">
        <f>ROW(A74)&amp;". "&amp;'Critical resources'!B85</f>
        <v xml:space="preserve">74. </v>
      </c>
      <c r="H79" s="68">
        <f ca="1">IFERROR(VLOOKUP('Critical resources'!D85,$B$6:$C$57,2,0),0)</f>
        <v>0</v>
      </c>
      <c r="I79" s="68">
        <f ca="1">IFERROR(VLOOKUP('Critical resources'!E85,$A$6:$C$57,3,0),0)</f>
        <v>0</v>
      </c>
      <c r="J79" s="68">
        <f ca="1">IFERROR(VLOOKUP('Critical resources'!G85,$B$6:$C$57,2,0),0)</f>
        <v>0</v>
      </c>
      <c r="K79" s="68">
        <f ca="1">IFERROR(VLOOKUP('Critical resources'!H85,$B$6:$C$57,2,0),0)</f>
        <v>0</v>
      </c>
      <c r="L79" s="68">
        <f ca="1">IFERROR(VLOOKUP('Critical resources'!J85,$B$6:$C$57,2,0),0)</f>
        <v>0</v>
      </c>
      <c r="M79" s="68">
        <f ca="1">IFERROR(VLOOKUP('Critical resources'!K85,$A$6:$C$57,3,0),0)</f>
        <v>0</v>
      </c>
      <c r="N79" s="68">
        <f ca="1">IFERROR(VLOOKUP('Critical resources'!M85,$B$6:$C$57,2,0),0)</f>
        <v>0</v>
      </c>
      <c r="O79" s="68">
        <f ca="1">IFERROR(VLOOKUP('Critical resources'!N85,$A$6:$C$57,3,0),0)</f>
        <v>0</v>
      </c>
      <c r="P79" s="68">
        <f ca="1">IFERROR(VLOOKUP('Critical resources'!P85,$B$6:$C$57,2,0),0)</f>
        <v>0</v>
      </c>
      <c r="Q79" s="68">
        <f ca="1">IFERROR(VLOOKUP('Critical resources'!Q85,$A$6:$C$57,3,0),0)</f>
        <v>0</v>
      </c>
      <c r="T79" s="68" t="str">
        <f t="shared" si="28"/>
        <v xml:space="preserve">74. </v>
      </c>
      <c r="U79" s="68">
        <f t="shared" ca="1" si="31"/>
        <v>0</v>
      </c>
      <c r="V79" s="68">
        <f t="shared" ca="1" si="31"/>
        <v>0</v>
      </c>
      <c r="W79" s="68">
        <f t="shared" ca="1" si="31"/>
        <v>0</v>
      </c>
      <c r="X79" s="68">
        <f t="shared" ca="1" si="31"/>
        <v>0</v>
      </c>
      <c r="Y79" s="68">
        <f t="shared" ca="1" si="31"/>
        <v>0</v>
      </c>
      <c r="Z79" s="68">
        <f t="shared" ca="1" si="31"/>
        <v>0</v>
      </c>
      <c r="AA79" s="68">
        <f t="shared" ca="1" si="31"/>
        <v>0</v>
      </c>
      <c r="AB79" s="68">
        <f t="shared" ca="1" si="31"/>
        <v>0</v>
      </c>
      <c r="AC79" s="68">
        <f t="shared" ca="1" si="31"/>
        <v>0</v>
      </c>
      <c r="AD79" s="68">
        <f t="shared" ca="1" si="31"/>
        <v>0</v>
      </c>
      <c r="AE79" s="68">
        <f t="shared" ca="1" si="31"/>
        <v>0</v>
      </c>
      <c r="AF79" s="68">
        <f t="shared" ca="1" si="31"/>
        <v>0</v>
      </c>
      <c r="AG79" s="68">
        <f t="shared" ca="1" si="31"/>
        <v>0</v>
      </c>
      <c r="AH79" s="68">
        <f t="shared" ca="1" si="31"/>
        <v>0</v>
      </c>
      <c r="AI79" s="68">
        <f t="shared" ca="1" si="31"/>
        <v>0</v>
      </c>
      <c r="AJ79" s="68">
        <f t="shared" ca="1" si="29"/>
        <v>0</v>
      </c>
      <c r="AK79" s="68">
        <f t="shared" ca="1" si="29"/>
        <v>0</v>
      </c>
      <c r="AL79" s="68">
        <f t="shared" ca="1" si="29"/>
        <v>0</v>
      </c>
      <c r="AM79" s="68">
        <f t="shared" ca="1" si="29"/>
        <v>0</v>
      </c>
      <c r="AN79" s="68">
        <f t="shared" ca="1" si="29"/>
        <v>0</v>
      </c>
      <c r="AO79" s="68">
        <f t="shared" ca="1" si="29"/>
        <v>0</v>
      </c>
      <c r="AP79" s="68">
        <f t="shared" ca="1" si="29"/>
        <v>0</v>
      </c>
      <c r="AQ79" s="68">
        <f t="shared" ca="1" si="29"/>
        <v>0</v>
      </c>
      <c r="AR79" s="68">
        <f t="shared" ca="1" si="29"/>
        <v>0</v>
      </c>
      <c r="AS79" s="68">
        <f t="shared" ca="1" si="29"/>
        <v>0</v>
      </c>
      <c r="AT79" s="68">
        <f t="shared" ca="1" si="29"/>
        <v>0</v>
      </c>
      <c r="AU79" s="68">
        <f t="shared" ca="1" si="29"/>
        <v>0</v>
      </c>
      <c r="AV79" s="68">
        <f t="shared" ca="1" si="29"/>
        <v>0</v>
      </c>
      <c r="AW79" s="68">
        <f t="shared" ca="1" si="29"/>
        <v>0</v>
      </c>
      <c r="AX79" s="68">
        <f t="shared" ca="1" si="29"/>
        <v>0</v>
      </c>
      <c r="AY79" s="68">
        <f t="shared" ca="1" si="29"/>
        <v>0</v>
      </c>
      <c r="AZ79" s="68">
        <f t="shared" ca="1" si="30"/>
        <v>0</v>
      </c>
      <c r="BA79" s="68">
        <f t="shared" ca="1" si="26"/>
        <v>0</v>
      </c>
      <c r="BB79" s="68">
        <f t="shared" ca="1" si="26"/>
        <v>0</v>
      </c>
      <c r="BC79" s="68">
        <f t="shared" ca="1" si="26"/>
        <v>0</v>
      </c>
      <c r="BD79" s="68">
        <f t="shared" ca="1" si="26"/>
        <v>0</v>
      </c>
      <c r="BE79" s="68">
        <f t="shared" ca="1" si="26"/>
        <v>0</v>
      </c>
      <c r="BF79" s="68">
        <f t="shared" ca="1" si="26"/>
        <v>0</v>
      </c>
      <c r="BG79" s="68">
        <f t="shared" ca="1" si="26"/>
        <v>0</v>
      </c>
      <c r="BH79" s="68">
        <f t="shared" ca="1" si="26"/>
        <v>0</v>
      </c>
      <c r="BI79" s="68">
        <f t="shared" ca="1" si="26"/>
        <v>0</v>
      </c>
      <c r="BJ79" s="68">
        <f t="shared" ca="1" si="26"/>
        <v>0</v>
      </c>
      <c r="BK79" s="68">
        <f t="shared" ca="1" si="26"/>
        <v>0</v>
      </c>
      <c r="BL79" s="68">
        <f t="shared" ca="1" si="26"/>
        <v>0</v>
      </c>
      <c r="BM79" s="68">
        <f t="shared" ca="1" si="26"/>
        <v>0</v>
      </c>
      <c r="BN79" s="68">
        <f t="shared" ca="1" si="26"/>
        <v>0</v>
      </c>
      <c r="BO79" s="68">
        <f t="shared" ca="1" si="26"/>
        <v>0</v>
      </c>
      <c r="BP79" s="68">
        <f t="shared" ca="1" si="26"/>
        <v>0</v>
      </c>
      <c r="BQ79" s="68">
        <f t="shared" ca="1" si="27"/>
        <v>0</v>
      </c>
      <c r="BR79" s="68">
        <f t="shared" ca="1" si="27"/>
        <v>0</v>
      </c>
      <c r="BS79" s="68">
        <f t="shared" ca="1" si="27"/>
        <v>0</v>
      </c>
      <c r="BT79" s="68">
        <f t="shared" ca="1" si="27"/>
        <v>0</v>
      </c>
    </row>
    <row r="80" spans="2:72" x14ac:dyDescent="0.2">
      <c r="B80" s="88"/>
      <c r="G80" s="68" t="str">
        <f>ROW(A75)&amp;". "&amp;'Critical resources'!B86</f>
        <v xml:space="preserve">75. </v>
      </c>
      <c r="H80" s="68">
        <f ca="1">IFERROR(VLOOKUP('Critical resources'!D86,$B$6:$C$57,2,0),0)</f>
        <v>0</v>
      </c>
      <c r="I80" s="68">
        <f ca="1">IFERROR(VLOOKUP('Critical resources'!E86,$A$6:$C$57,3,0),0)</f>
        <v>0</v>
      </c>
      <c r="J80" s="68">
        <f ca="1">IFERROR(VLOOKUP('Critical resources'!G86,$B$6:$C$57,2,0),0)</f>
        <v>0</v>
      </c>
      <c r="K80" s="68">
        <f ca="1">IFERROR(VLOOKUP('Critical resources'!H86,$B$6:$C$57,2,0),0)</f>
        <v>0</v>
      </c>
      <c r="L80" s="68">
        <f ca="1">IFERROR(VLOOKUP('Critical resources'!J86,$B$6:$C$57,2,0),0)</f>
        <v>0</v>
      </c>
      <c r="M80" s="68">
        <f ca="1">IFERROR(VLOOKUP('Critical resources'!K86,$A$6:$C$57,3,0),0)</f>
        <v>0</v>
      </c>
      <c r="N80" s="68">
        <f ca="1">IFERROR(VLOOKUP('Critical resources'!M86,$B$6:$C$57,2,0),0)</f>
        <v>0</v>
      </c>
      <c r="O80" s="68">
        <f ca="1">IFERROR(VLOOKUP('Critical resources'!N86,$A$6:$C$57,3,0),0)</f>
        <v>0</v>
      </c>
      <c r="P80" s="68">
        <f ca="1">IFERROR(VLOOKUP('Critical resources'!P86,$B$6:$C$57,2,0),0)</f>
        <v>0</v>
      </c>
      <c r="Q80" s="68">
        <f ca="1">IFERROR(VLOOKUP('Critical resources'!Q86,$A$6:$C$57,3,0),0)</f>
        <v>0</v>
      </c>
      <c r="T80" s="68" t="str">
        <f t="shared" si="28"/>
        <v xml:space="preserve">75. </v>
      </c>
      <c r="U80" s="68">
        <f t="shared" ca="1" si="31"/>
        <v>0</v>
      </c>
      <c r="V80" s="68">
        <f t="shared" ca="1" si="31"/>
        <v>0</v>
      </c>
      <c r="W80" s="68">
        <f t="shared" ca="1" si="31"/>
        <v>0</v>
      </c>
      <c r="X80" s="68">
        <f t="shared" ca="1" si="31"/>
        <v>0</v>
      </c>
      <c r="Y80" s="68">
        <f t="shared" ca="1" si="31"/>
        <v>0</v>
      </c>
      <c r="Z80" s="68">
        <f t="shared" ca="1" si="31"/>
        <v>0</v>
      </c>
      <c r="AA80" s="68">
        <f t="shared" ca="1" si="31"/>
        <v>0</v>
      </c>
      <c r="AB80" s="68">
        <f t="shared" ca="1" si="31"/>
        <v>0</v>
      </c>
      <c r="AC80" s="68">
        <f t="shared" ca="1" si="31"/>
        <v>0</v>
      </c>
      <c r="AD80" s="68">
        <f t="shared" ca="1" si="31"/>
        <v>0</v>
      </c>
      <c r="AE80" s="68">
        <f t="shared" ca="1" si="31"/>
        <v>0</v>
      </c>
      <c r="AF80" s="68">
        <f t="shared" ca="1" si="31"/>
        <v>0</v>
      </c>
      <c r="AG80" s="68">
        <f t="shared" ca="1" si="31"/>
        <v>0</v>
      </c>
      <c r="AH80" s="68">
        <f t="shared" ca="1" si="31"/>
        <v>0</v>
      </c>
      <c r="AI80" s="68">
        <f t="shared" ca="1" si="31"/>
        <v>0</v>
      </c>
      <c r="AJ80" s="68">
        <f t="shared" ca="1" si="29"/>
        <v>0</v>
      </c>
      <c r="AK80" s="68">
        <f t="shared" ca="1" si="29"/>
        <v>0</v>
      </c>
      <c r="AL80" s="68">
        <f t="shared" ca="1" si="29"/>
        <v>0</v>
      </c>
      <c r="AM80" s="68">
        <f t="shared" ca="1" si="29"/>
        <v>0</v>
      </c>
      <c r="AN80" s="68">
        <f t="shared" ca="1" si="29"/>
        <v>0</v>
      </c>
      <c r="AO80" s="68">
        <f t="shared" ca="1" si="29"/>
        <v>0</v>
      </c>
      <c r="AP80" s="68">
        <f t="shared" ca="1" si="29"/>
        <v>0</v>
      </c>
      <c r="AQ80" s="68">
        <f t="shared" ca="1" si="29"/>
        <v>0</v>
      </c>
      <c r="AR80" s="68">
        <f t="shared" ca="1" si="29"/>
        <v>0</v>
      </c>
      <c r="AS80" s="68">
        <f t="shared" ca="1" si="29"/>
        <v>0</v>
      </c>
      <c r="AT80" s="68">
        <f t="shared" ca="1" si="29"/>
        <v>0</v>
      </c>
      <c r="AU80" s="68">
        <f t="shared" ca="1" si="29"/>
        <v>0</v>
      </c>
      <c r="AV80" s="68">
        <f t="shared" ca="1" si="29"/>
        <v>0</v>
      </c>
      <c r="AW80" s="68">
        <f t="shared" ca="1" si="29"/>
        <v>0</v>
      </c>
      <c r="AX80" s="68">
        <f t="shared" ca="1" si="29"/>
        <v>0</v>
      </c>
      <c r="AY80" s="68">
        <f t="shared" ca="1" si="29"/>
        <v>0</v>
      </c>
      <c r="AZ80" s="68">
        <f t="shared" ca="1" si="30"/>
        <v>0</v>
      </c>
      <c r="BA80" s="68">
        <f t="shared" ca="1" si="26"/>
        <v>0</v>
      </c>
      <c r="BB80" s="68">
        <f t="shared" ca="1" si="26"/>
        <v>0</v>
      </c>
      <c r="BC80" s="68">
        <f t="shared" ca="1" si="26"/>
        <v>0</v>
      </c>
      <c r="BD80" s="68">
        <f t="shared" ca="1" si="26"/>
        <v>0</v>
      </c>
      <c r="BE80" s="68">
        <f t="shared" ca="1" si="26"/>
        <v>0</v>
      </c>
      <c r="BF80" s="68">
        <f t="shared" ca="1" si="26"/>
        <v>0</v>
      </c>
      <c r="BG80" s="68">
        <f t="shared" ca="1" si="26"/>
        <v>0</v>
      </c>
      <c r="BH80" s="68">
        <f t="shared" ca="1" si="26"/>
        <v>0</v>
      </c>
      <c r="BI80" s="68">
        <f t="shared" ca="1" si="26"/>
        <v>0</v>
      </c>
      <c r="BJ80" s="68">
        <f t="shared" ca="1" si="26"/>
        <v>0</v>
      </c>
      <c r="BK80" s="68">
        <f t="shared" ca="1" si="26"/>
        <v>0</v>
      </c>
      <c r="BL80" s="68">
        <f t="shared" ca="1" si="26"/>
        <v>0</v>
      </c>
      <c r="BM80" s="68">
        <f t="shared" ca="1" si="26"/>
        <v>0</v>
      </c>
      <c r="BN80" s="68">
        <f t="shared" ca="1" si="26"/>
        <v>0</v>
      </c>
      <c r="BO80" s="68">
        <f t="shared" ca="1" si="26"/>
        <v>0</v>
      </c>
      <c r="BP80" s="68">
        <f t="shared" ca="1" si="26"/>
        <v>0</v>
      </c>
      <c r="BQ80" s="68">
        <f t="shared" ca="1" si="27"/>
        <v>0</v>
      </c>
      <c r="BR80" s="68">
        <f t="shared" ca="1" si="27"/>
        <v>0</v>
      </c>
      <c r="BS80" s="68">
        <f t="shared" ca="1" si="27"/>
        <v>0</v>
      </c>
      <c r="BT80" s="68">
        <f t="shared" ca="1" si="27"/>
        <v>0</v>
      </c>
    </row>
    <row r="81" spans="2:72" x14ac:dyDescent="0.2">
      <c r="B81" s="88"/>
      <c r="G81" s="68" t="str">
        <f>ROW(A76)&amp;". "&amp;'Critical resources'!B87</f>
        <v xml:space="preserve">76. </v>
      </c>
      <c r="H81" s="68">
        <f ca="1">IFERROR(VLOOKUP('Critical resources'!D87,$B$6:$C$57,2,0),0)</f>
        <v>0</v>
      </c>
      <c r="I81" s="68">
        <f ca="1">IFERROR(VLOOKUP('Critical resources'!E87,$A$6:$C$57,3,0),0)</f>
        <v>0</v>
      </c>
      <c r="J81" s="68">
        <f ca="1">IFERROR(VLOOKUP('Critical resources'!G87,$B$6:$C$57,2,0),0)</f>
        <v>0</v>
      </c>
      <c r="K81" s="68">
        <f ca="1">IFERROR(VLOOKUP('Critical resources'!H87,$B$6:$C$57,2,0),0)</f>
        <v>0</v>
      </c>
      <c r="L81" s="68">
        <f ca="1">IFERROR(VLOOKUP('Critical resources'!J87,$B$6:$C$57,2,0),0)</f>
        <v>0</v>
      </c>
      <c r="M81" s="68">
        <f ca="1">IFERROR(VLOOKUP('Critical resources'!K87,$A$6:$C$57,3,0),0)</f>
        <v>0</v>
      </c>
      <c r="N81" s="68">
        <f ca="1">IFERROR(VLOOKUP('Critical resources'!M87,$B$6:$C$57,2,0),0)</f>
        <v>0</v>
      </c>
      <c r="O81" s="68">
        <f ca="1">IFERROR(VLOOKUP('Critical resources'!N87,$A$6:$C$57,3,0),0)</f>
        <v>0</v>
      </c>
      <c r="P81" s="68">
        <f ca="1">IFERROR(VLOOKUP('Critical resources'!P87,$B$6:$C$57,2,0),0)</f>
        <v>0</v>
      </c>
      <c r="Q81" s="68">
        <f ca="1">IFERROR(VLOOKUP('Critical resources'!Q87,$A$6:$C$57,3,0),0)</f>
        <v>0</v>
      </c>
      <c r="T81" s="68" t="str">
        <f t="shared" si="28"/>
        <v xml:space="preserve">76. </v>
      </c>
      <c r="U81" s="68">
        <f t="shared" ca="1" si="31"/>
        <v>0</v>
      </c>
      <c r="V81" s="68">
        <f t="shared" ca="1" si="31"/>
        <v>0</v>
      </c>
      <c r="W81" s="68">
        <f t="shared" ca="1" si="31"/>
        <v>0</v>
      </c>
      <c r="X81" s="68">
        <f t="shared" ca="1" si="31"/>
        <v>0</v>
      </c>
      <c r="Y81" s="68">
        <f t="shared" ca="1" si="31"/>
        <v>0</v>
      </c>
      <c r="Z81" s="68">
        <f t="shared" ca="1" si="31"/>
        <v>0</v>
      </c>
      <c r="AA81" s="68">
        <f t="shared" ca="1" si="31"/>
        <v>0</v>
      </c>
      <c r="AB81" s="68">
        <f t="shared" ca="1" si="31"/>
        <v>0</v>
      </c>
      <c r="AC81" s="68">
        <f t="shared" ca="1" si="31"/>
        <v>0</v>
      </c>
      <c r="AD81" s="68">
        <f t="shared" ca="1" si="31"/>
        <v>0</v>
      </c>
      <c r="AE81" s="68">
        <f t="shared" ca="1" si="31"/>
        <v>0</v>
      </c>
      <c r="AF81" s="68">
        <f t="shared" ca="1" si="31"/>
        <v>0</v>
      </c>
      <c r="AG81" s="68">
        <f t="shared" ca="1" si="31"/>
        <v>0</v>
      </c>
      <c r="AH81" s="68">
        <f t="shared" ca="1" si="31"/>
        <v>0</v>
      </c>
      <c r="AI81" s="68">
        <f t="shared" ca="1" si="31"/>
        <v>0</v>
      </c>
      <c r="AJ81" s="68">
        <f t="shared" ca="1" si="29"/>
        <v>0</v>
      </c>
      <c r="AK81" s="68">
        <f t="shared" ca="1" si="29"/>
        <v>0</v>
      </c>
      <c r="AL81" s="68">
        <f t="shared" ca="1" si="29"/>
        <v>0</v>
      </c>
      <c r="AM81" s="68">
        <f t="shared" ca="1" si="29"/>
        <v>0</v>
      </c>
      <c r="AN81" s="68">
        <f t="shared" ca="1" si="29"/>
        <v>0</v>
      </c>
      <c r="AO81" s="68">
        <f t="shared" ca="1" si="29"/>
        <v>0</v>
      </c>
      <c r="AP81" s="68">
        <f t="shared" ca="1" si="29"/>
        <v>0</v>
      </c>
      <c r="AQ81" s="68">
        <f t="shared" ca="1" si="29"/>
        <v>0</v>
      </c>
      <c r="AR81" s="68">
        <f t="shared" ca="1" si="29"/>
        <v>0</v>
      </c>
      <c r="AS81" s="68">
        <f t="shared" ca="1" si="29"/>
        <v>0</v>
      </c>
      <c r="AT81" s="68">
        <f t="shared" ca="1" si="29"/>
        <v>0</v>
      </c>
      <c r="AU81" s="68">
        <f t="shared" ca="1" si="29"/>
        <v>0</v>
      </c>
      <c r="AV81" s="68">
        <f t="shared" ca="1" si="29"/>
        <v>0</v>
      </c>
      <c r="AW81" s="68">
        <f t="shared" ca="1" si="29"/>
        <v>0</v>
      </c>
      <c r="AX81" s="68">
        <f t="shared" ca="1" si="29"/>
        <v>0</v>
      </c>
      <c r="AY81" s="68">
        <f t="shared" ca="1" si="29"/>
        <v>0</v>
      </c>
      <c r="AZ81" s="68">
        <f t="shared" ca="1" si="30"/>
        <v>0</v>
      </c>
      <c r="BA81" s="68">
        <f t="shared" ca="1" si="26"/>
        <v>0</v>
      </c>
      <c r="BB81" s="68">
        <f t="shared" ca="1" si="26"/>
        <v>0</v>
      </c>
      <c r="BC81" s="68">
        <f t="shared" ca="1" si="26"/>
        <v>0</v>
      </c>
      <c r="BD81" s="68">
        <f t="shared" ca="1" si="26"/>
        <v>0</v>
      </c>
      <c r="BE81" s="68">
        <f t="shared" ca="1" si="26"/>
        <v>0</v>
      </c>
      <c r="BF81" s="68">
        <f t="shared" ca="1" si="26"/>
        <v>0</v>
      </c>
      <c r="BG81" s="68">
        <f t="shared" ca="1" si="26"/>
        <v>0</v>
      </c>
      <c r="BH81" s="68">
        <f t="shared" ca="1" si="26"/>
        <v>0</v>
      </c>
      <c r="BI81" s="68">
        <f t="shared" ca="1" si="26"/>
        <v>0</v>
      </c>
      <c r="BJ81" s="68">
        <f t="shared" ca="1" si="26"/>
        <v>0</v>
      </c>
      <c r="BK81" s="68">
        <f t="shared" ca="1" si="26"/>
        <v>0</v>
      </c>
      <c r="BL81" s="68">
        <f t="shared" ca="1" si="26"/>
        <v>0</v>
      </c>
      <c r="BM81" s="68">
        <f t="shared" ca="1" si="26"/>
        <v>0</v>
      </c>
      <c r="BN81" s="68">
        <f t="shared" ca="1" si="26"/>
        <v>0</v>
      </c>
      <c r="BO81" s="68">
        <f t="shared" ca="1" si="26"/>
        <v>0</v>
      </c>
      <c r="BP81" s="68">
        <f t="shared" ca="1" si="26"/>
        <v>0</v>
      </c>
      <c r="BQ81" s="68">
        <f t="shared" ca="1" si="27"/>
        <v>0</v>
      </c>
      <c r="BR81" s="68">
        <f t="shared" ca="1" si="27"/>
        <v>0</v>
      </c>
      <c r="BS81" s="68">
        <f t="shared" ca="1" si="27"/>
        <v>0</v>
      </c>
      <c r="BT81" s="68">
        <f t="shared" ca="1" si="27"/>
        <v>0</v>
      </c>
    </row>
    <row r="82" spans="2:72" x14ac:dyDescent="0.2">
      <c r="B82" s="88"/>
      <c r="G82" s="68" t="str">
        <f>ROW(A77)&amp;". "&amp;'Critical resources'!B88</f>
        <v xml:space="preserve">77. </v>
      </c>
      <c r="H82" s="68">
        <f ca="1">IFERROR(VLOOKUP('Critical resources'!D88,$B$6:$C$57,2,0),0)</f>
        <v>0</v>
      </c>
      <c r="I82" s="68">
        <f ca="1">IFERROR(VLOOKUP('Critical resources'!E88,$A$6:$C$57,3,0),0)</f>
        <v>0</v>
      </c>
      <c r="J82" s="68">
        <f ca="1">IFERROR(VLOOKUP('Critical resources'!G88,$B$6:$C$57,2,0),0)</f>
        <v>0</v>
      </c>
      <c r="K82" s="68">
        <f ca="1">IFERROR(VLOOKUP('Critical resources'!H88,$B$6:$C$57,2,0),0)</f>
        <v>0</v>
      </c>
      <c r="L82" s="68">
        <f ca="1">IFERROR(VLOOKUP('Critical resources'!J88,$B$6:$C$57,2,0),0)</f>
        <v>0</v>
      </c>
      <c r="M82" s="68">
        <f ca="1">IFERROR(VLOOKUP('Critical resources'!K88,$A$6:$C$57,3,0),0)</f>
        <v>0</v>
      </c>
      <c r="N82" s="68">
        <f ca="1">IFERROR(VLOOKUP('Critical resources'!M88,$B$6:$C$57,2,0),0)</f>
        <v>0</v>
      </c>
      <c r="O82" s="68">
        <f ca="1">IFERROR(VLOOKUP('Critical resources'!N88,$A$6:$C$57,3,0),0)</f>
        <v>0</v>
      </c>
      <c r="P82" s="68">
        <f ca="1">IFERROR(VLOOKUP('Critical resources'!P88,$B$6:$C$57,2,0),0)</f>
        <v>0</v>
      </c>
      <c r="Q82" s="68">
        <f ca="1">IFERROR(VLOOKUP('Critical resources'!Q88,$A$6:$C$57,3,0),0)</f>
        <v>0</v>
      </c>
      <c r="T82" s="68" t="str">
        <f t="shared" si="28"/>
        <v xml:space="preserve">77. </v>
      </c>
      <c r="U82" s="68">
        <f t="shared" ca="1" si="31"/>
        <v>0</v>
      </c>
      <c r="V82" s="68">
        <f t="shared" ca="1" si="31"/>
        <v>0</v>
      </c>
      <c r="W82" s="68">
        <f t="shared" ca="1" si="31"/>
        <v>0</v>
      </c>
      <c r="X82" s="68">
        <f t="shared" ca="1" si="31"/>
        <v>0</v>
      </c>
      <c r="Y82" s="68">
        <f t="shared" ca="1" si="31"/>
        <v>0</v>
      </c>
      <c r="Z82" s="68">
        <f t="shared" ca="1" si="31"/>
        <v>0</v>
      </c>
      <c r="AA82" s="68">
        <f t="shared" ca="1" si="31"/>
        <v>0</v>
      </c>
      <c r="AB82" s="68">
        <f t="shared" ca="1" si="31"/>
        <v>0</v>
      </c>
      <c r="AC82" s="68">
        <f t="shared" ca="1" si="31"/>
        <v>0</v>
      </c>
      <c r="AD82" s="68">
        <f t="shared" ca="1" si="31"/>
        <v>0</v>
      </c>
      <c r="AE82" s="68">
        <f t="shared" ca="1" si="31"/>
        <v>0</v>
      </c>
      <c r="AF82" s="68">
        <f t="shared" ca="1" si="31"/>
        <v>0</v>
      </c>
      <c r="AG82" s="68">
        <f t="shared" ca="1" si="31"/>
        <v>0</v>
      </c>
      <c r="AH82" s="68">
        <f t="shared" ca="1" si="31"/>
        <v>0</v>
      </c>
      <c r="AI82" s="68">
        <f t="shared" ca="1" si="31"/>
        <v>0</v>
      </c>
      <c r="AJ82" s="68">
        <f t="shared" ca="1" si="29"/>
        <v>0</v>
      </c>
      <c r="AK82" s="68">
        <f t="shared" ca="1" si="29"/>
        <v>0</v>
      </c>
      <c r="AL82" s="68">
        <f t="shared" ca="1" si="29"/>
        <v>0</v>
      </c>
      <c r="AM82" s="68">
        <f t="shared" ca="1" si="29"/>
        <v>0</v>
      </c>
      <c r="AN82" s="68">
        <f t="shared" ca="1" si="29"/>
        <v>0</v>
      </c>
      <c r="AO82" s="68">
        <f t="shared" ca="1" si="29"/>
        <v>0</v>
      </c>
      <c r="AP82" s="68">
        <f t="shared" ca="1" si="29"/>
        <v>0</v>
      </c>
      <c r="AQ82" s="68">
        <f t="shared" ca="1" si="29"/>
        <v>0</v>
      </c>
      <c r="AR82" s="68">
        <f t="shared" ca="1" si="29"/>
        <v>0</v>
      </c>
      <c r="AS82" s="68">
        <f t="shared" ca="1" si="29"/>
        <v>0</v>
      </c>
      <c r="AT82" s="68">
        <f t="shared" ca="1" si="29"/>
        <v>0</v>
      </c>
      <c r="AU82" s="68">
        <f t="shared" ca="1" si="29"/>
        <v>0</v>
      </c>
      <c r="AV82" s="68">
        <f t="shared" ca="1" si="29"/>
        <v>0</v>
      </c>
      <c r="AW82" s="68">
        <f t="shared" ca="1" si="29"/>
        <v>0</v>
      </c>
      <c r="AX82" s="68">
        <f t="shared" ca="1" si="29"/>
        <v>0</v>
      </c>
      <c r="AY82" s="68">
        <f t="shared" ca="1" si="29"/>
        <v>0</v>
      </c>
      <c r="AZ82" s="68">
        <f t="shared" ca="1" si="30"/>
        <v>0</v>
      </c>
      <c r="BA82" s="68">
        <f t="shared" ca="1" si="26"/>
        <v>0</v>
      </c>
      <c r="BB82" s="68">
        <f t="shared" ca="1" si="26"/>
        <v>0</v>
      </c>
      <c r="BC82" s="68">
        <f t="shared" ca="1" si="26"/>
        <v>0</v>
      </c>
      <c r="BD82" s="68">
        <f t="shared" ca="1" si="26"/>
        <v>0</v>
      </c>
      <c r="BE82" s="68">
        <f t="shared" ca="1" si="26"/>
        <v>0</v>
      </c>
      <c r="BF82" s="68">
        <f t="shared" ca="1" si="26"/>
        <v>0</v>
      </c>
      <c r="BG82" s="68">
        <f t="shared" ca="1" si="26"/>
        <v>0</v>
      </c>
      <c r="BH82" s="68">
        <f t="shared" ca="1" si="26"/>
        <v>0</v>
      </c>
      <c r="BI82" s="68">
        <f t="shared" ca="1" si="26"/>
        <v>0</v>
      </c>
      <c r="BJ82" s="68">
        <f t="shared" ca="1" si="26"/>
        <v>0</v>
      </c>
      <c r="BK82" s="68">
        <f t="shared" ca="1" si="26"/>
        <v>0</v>
      </c>
      <c r="BL82" s="68">
        <f t="shared" ca="1" si="26"/>
        <v>0</v>
      </c>
      <c r="BM82" s="68">
        <f t="shared" ca="1" si="26"/>
        <v>0</v>
      </c>
      <c r="BN82" s="68">
        <f t="shared" ca="1" si="26"/>
        <v>0</v>
      </c>
      <c r="BO82" s="68">
        <f t="shared" ca="1" si="26"/>
        <v>0</v>
      </c>
      <c r="BP82" s="68">
        <f t="shared" ca="1" si="26"/>
        <v>0</v>
      </c>
      <c r="BQ82" s="68">
        <f t="shared" ca="1" si="27"/>
        <v>0</v>
      </c>
      <c r="BR82" s="68">
        <f t="shared" ca="1" si="27"/>
        <v>0</v>
      </c>
      <c r="BS82" s="68">
        <f t="shared" ca="1" si="27"/>
        <v>0</v>
      </c>
      <c r="BT82" s="68">
        <f t="shared" ca="1" si="27"/>
        <v>0</v>
      </c>
    </row>
    <row r="83" spans="2:72" x14ac:dyDescent="0.2">
      <c r="B83" s="88"/>
      <c r="G83" s="68" t="str">
        <f>ROW(A78)&amp;". "&amp;'Critical resources'!B89</f>
        <v xml:space="preserve">78. </v>
      </c>
      <c r="H83" s="68">
        <f ca="1">IFERROR(VLOOKUP('Critical resources'!D89,$B$6:$C$57,2,0),0)</f>
        <v>0</v>
      </c>
      <c r="I83" s="68">
        <f ca="1">IFERROR(VLOOKUP('Critical resources'!E89,$A$6:$C$57,3,0),0)</f>
        <v>0</v>
      </c>
      <c r="J83" s="68">
        <f ca="1">IFERROR(VLOOKUP('Critical resources'!G89,$B$6:$C$57,2,0),0)</f>
        <v>0</v>
      </c>
      <c r="K83" s="68">
        <f ca="1">IFERROR(VLOOKUP('Critical resources'!H89,$B$6:$C$57,2,0),0)</f>
        <v>0</v>
      </c>
      <c r="L83" s="68">
        <f ca="1">IFERROR(VLOOKUP('Critical resources'!J89,$B$6:$C$57,2,0),0)</f>
        <v>0</v>
      </c>
      <c r="M83" s="68">
        <f ca="1">IFERROR(VLOOKUP('Critical resources'!K89,$A$6:$C$57,3,0),0)</f>
        <v>0</v>
      </c>
      <c r="N83" s="68">
        <f ca="1">IFERROR(VLOOKUP('Critical resources'!M89,$B$6:$C$57,2,0),0)</f>
        <v>0</v>
      </c>
      <c r="O83" s="68">
        <f ca="1">IFERROR(VLOOKUP('Critical resources'!N89,$A$6:$C$57,3,0),0)</f>
        <v>0</v>
      </c>
      <c r="P83" s="68">
        <f ca="1">IFERROR(VLOOKUP('Critical resources'!P89,$B$6:$C$57,2,0),0)</f>
        <v>0</v>
      </c>
      <c r="Q83" s="68">
        <f ca="1">IFERROR(VLOOKUP('Critical resources'!Q89,$A$6:$C$57,3,0),0)</f>
        <v>0</v>
      </c>
      <c r="T83" s="68" t="str">
        <f t="shared" si="28"/>
        <v xml:space="preserve">78. </v>
      </c>
      <c r="U83" s="68">
        <f t="shared" ca="1" si="31"/>
        <v>0</v>
      </c>
      <c r="V83" s="68">
        <f t="shared" ca="1" si="31"/>
        <v>0</v>
      </c>
      <c r="W83" s="68">
        <f t="shared" ca="1" si="31"/>
        <v>0</v>
      </c>
      <c r="X83" s="68">
        <f t="shared" ca="1" si="31"/>
        <v>0</v>
      </c>
      <c r="Y83" s="68">
        <f t="shared" ca="1" si="31"/>
        <v>0</v>
      </c>
      <c r="Z83" s="68">
        <f t="shared" ca="1" si="31"/>
        <v>0</v>
      </c>
      <c r="AA83" s="68">
        <f t="shared" ca="1" si="31"/>
        <v>0</v>
      </c>
      <c r="AB83" s="68">
        <f t="shared" ca="1" si="31"/>
        <v>0</v>
      </c>
      <c r="AC83" s="68">
        <f t="shared" ca="1" si="31"/>
        <v>0</v>
      </c>
      <c r="AD83" s="68">
        <f t="shared" ca="1" si="31"/>
        <v>0</v>
      </c>
      <c r="AE83" s="68">
        <f t="shared" ca="1" si="31"/>
        <v>0</v>
      </c>
      <c r="AF83" s="68">
        <f t="shared" ca="1" si="31"/>
        <v>0</v>
      </c>
      <c r="AG83" s="68">
        <f t="shared" ca="1" si="31"/>
        <v>0</v>
      </c>
      <c r="AH83" s="68">
        <f t="shared" ca="1" si="31"/>
        <v>0</v>
      </c>
      <c r="AI83" s="68">
        <f t="shared" ca="1" si="31"/>
        <v>0</v>
      </c>
      <c r="AJ83" s="68">
        <f t="shared" ca="1" si="29"/>
        <v>0</v>
      </c>
      <c r="AK83" s="68">
        <f t="shared" ca="1" si="29"/>
        <v>0</v>
      </c>
      <c r="AL83" s="68">
        <f t="shared" ca="1" si="29"/>
        <v>0</v>
      </c>
      <c r="AM83" s="68">
        <f t="shared" ca="1" si="29"/>
        <v>0</v>
      </c>
      <c r="AN83" s="68">
        <f t="shared" ca="1" si="29"/>
        <v>0</v>
      </c>
      <c r="AO83" s="68">
        <f t="shared" ca="1" si="29"/>
        <v>0</v>
      </c>
      <c r="AP83" s="68">
        <f t="shared" ca="1" si="29"/>
        <v>0</v>
      </c>
      <c r="AQ83" s="68">
        <f t="shared" ca="1" si="29"/>
        <v>0</v>
      </c>
      <c r="AR83" s="68">
        <f t="shared" ca="1" si="29"/>
        <v>0</v>
      </c>
      <c r="AS83" s="68">
        <f t="shared" ca="1" si="29"/>
        <v>0</v>
      </c>
      <c r="AT83" s="68">
        <f t="shared" ca="1" si="29"/>
        <v>0</v>
      </c>
      <c r="AU83" s="68">
        <f t="shared" ca="1" si="29"/>
        <v>0</v>
      </c>
      <c r="AV83" s="68">
        <f t="shared" ca="1" si="29"/>
        <v>0</v>
      </c>
      <c r="AW83" s="68">
        <f t="shared" ca="1" si="29"/>
        <v>0</v>
      </c>
      <c r="AX83" s="68">
        <f t="shared" ca="1" si="29"/>
        <v>0</v>
      </c>
      <c r="AY83" s="68">
        <f t="shared" ca="1" si="29"/>
        <v>0</v>
      </c>
      <c r="AZ83" s="68">
        <f t="shared" ca="1" si="30"/>
        <v>0</v>
      </c>
      <c r="BA83" s="68">
        <f t="shared" ca="1" si="26"/>
        <v>0</v>
      </c>
      <c r="BB83" s="68">
        <f t="shared" ca="1" si="26"/>
        <v>0</v>
      </c>
      <c r="BC83" s="68">
        <f t="shared" ca="1" si="26"/>
        <v>0</v>
      </c>
      <c r="BD83" s="68">
        <f t="shared" ca="1" si="26"/>
        <v>0</v>
      </c>
      <c r="BE83" s="68">
        <f t="shared" ca="1" si="26"/>
        <v>0</v>
      </c>
      <c r="BF83" s="68">
        <f t="shared" ca="1" si="26"/>
        <v>0</v>
      </c>
      <c r="BG83" s="68">
        <f t="shared" ca="1" si="26"/>
        <v>0</v>
      </c>
      <c r="BH83" s="68">
        <f t="shared" ca="1" si="26"/>
        <v>0</v>
      </c>
      <c r="BI83" s="68">
        <f t="shared" ca="1" si="26"/>
        <v>0</v>
      </c>
      <c r="BJ83" s="68">
        <f t="shared" ca="1" si="26"/>
        <v>0</v>
      </c>
      <c r="BK83" s="68">
        <f t="shared" ca="1" si="26"/>
        <v>0</v>
      </c>
      <c r="BL83" s="68">
        <f t="shared" ca="1" si="26"/>
        <v>0</v>
      </c>
      <c r="BM83" s="68">
        <f t="shared" ca="1" si="26"/>
        <v>0</v>
      </c>
      <c r="BN83" s="68">
        <f t="shared" ca="1" si="26"/>
        <v>0</v>
      </c>
      <c r="BO83" s="68">
        <f t="shared" ca="1" si="26"/>
        <v>0</v>
      </c>
      <c r="BP83" s="68">
        <f t="shared" ref="BP83:BT98" ca="1" si="32">SUM(IFERROR(IF(AND(BP$5&gt;=$H83,BP$5&lt;=$I83),1,0),0),IFERROR(IF(AND(BP$5&gt;=$J83,BP$5&lt;=$K83),1,0),0),IFERROR(IF(AND(BP$5&gt;=$L83,BP$5&lt;=$M83),1,0),0),IFERROR(IF(AND(BP$5&gt;=$N83,BP$5&lt;=$O83),1,0),0),IFERROR(IF(AND(BP$5&gt;=$P83,BP$5&lt;=$Q83),1,0),0))</f>
        <v>0</v>
      </c>
      <c r="BQ83" s="68">
        <f t="shared" ca="1" si="27"/>
        <v>0</v>
      </c>
      <c r="BR83" s="68">
        <f t="shared" ca="1" si="27"/>
        <v>0</v>
      </c>
      <c r="BS83" s="68">
        <f t="shared" ca="1" si="27"/>
        <v>0</v>
      </c>
      <c r="BT83" s="68">
        <f t="shared" ca="1" si="27"/>
        <v>0</v>
      </c>
    </row>
    <row r="84" spans="2:72" x14ac:dyDescent="0.2">
      <c r="B84" s="88"/>
      <c r="G84" s="68" t="str">
        <f>ROW(A79)&amp;". "&amp;'Critical resources'!B90</f>
        <v xml:space="preserve">79. </v>
      </c>
      <c r="H84" s="68">
        <f ca="1">IFERROR(VLOOKUP('Critical resources'!D90,$B$6:$C$57,2,0),0)</f>
        <v>0</v>
      </c>
      <c r="I84" s="68">
        <f ca="1">IFERROR(VLOOKUP('Critical resources'!E90,$A$6:$C$57,3,0),0)</f>
        <v>0</v>
      </c>
      <c r="J84" s="68">
        <f ca="1">IFERROR(VLOOKUP('Critical resources'!G90,$B$6:$C$57,2,0),0)</f>
        <v>0</v>
      </c>
      <c r="K84" s="68">
        <f ca="1">IFERROR(VLOOKUP('Critical resources'!H90,$B$6:$C$57,2,0),0)</f>
        <v>0</v>
      </c>
      <c r="L84" s="68">
        <f ca="1">IFERROR(VLOOKUP('Critical resources'!J90,$B$6:$C$57,2,0),0)</f>
        <v>0</v>
      </c>
      <c r="M84" s="68">
        <f ca="1">IFERROR(VLOOKUP('Critical resources'!K90,$A$6:$C$57,3,0),0)</f>
        <v>0</v>
      </c>
      <c r="N84" s="68">
        <f ca="1">IFERROR(VLOOKUP('Critical resources'!M90,$B$6:$C$57,2,0),0)</f>
        <v>0</v>
      </c>
      <c r="O84" s="68">
        <f ca="1">IFERROR(VLOOKUP('Critical resources'!N90,$A$6:$C$57,3,0),0)</f>
        <v>0</v>
      </c>
      <c r="P84" s="68">
        <f ca="1">IFERROR(VLOOKUP('Critical resources'!P90,$B$6:$C$57,2,0),0)</f>
        <v>0</v>
      </c>
      <c r="Q84" s="68">
        <f ca="1">IFERROR(VLOOKUP('Critical resources'!Q90,$A$6:$C$57,3,0),0)</f>
        <v>0</v>
      </c>
      <c r="T84" s="68" t="str">
        <f t="shared" si="28"/>
        <v xml:space="preserve">79. </v>
      </c>
      <c r="U84" s="68">
        <f t="shared" ca="1" si="31"/>
        <v>0</v>
      </c>
      <c r="V84" s="68">
        <f t="shared" ca="1" si="31"/>
        <v>0</v>
      </c>
      <c r="W84" s="68">
        <f t="shared" ca="1" si="31"/>
        <v>0</v>
      </c>
      <c r="X84" s="68">
        <f t="shared" ca="1" si="31"/>
        <v>0</v>
      </c>
      <c r="Y84" s="68">
        <f t="shared" ca="1" si="31"/>
        <v>0</v>
      </c>
      <c r="Z84" s="68">
        <f t="shared" ca="1" si="31"/>
        <v>0</v>
      </c>
      <c r="AA84" s="68">
        <f t="shared" ca="1" si="31"/>
        <v>0</v>
      </c>
      <c r="AB84" s="68">
        <f t="shared" ca="1" si="31"/>
        <v>0</v>
      </c>
      <c r="AC84" s="68">
        <f t="shared" ca="1" si="31"/>
        <v>0</v>
      </c>
      <c r="AD84" s="68">
        <f t="shared" ca="1" si="31"/>
        <v>0</v>
      </c>
      <c r="AE84" s="68">
        <f t="shared" ca="1" si="31"/>
        <v>0</v>
      </c>
      <c r="AF84" s="68">
        <f t="shared" ca="1" si="31"/>
        <v>0</v>
      </c>
      <c r="AG84" s="68">
        <f t="shared" ca="1" si="31"/>
        <v>0</v>
      </c>
      <c r="AH84" s="68">
        <f t="shared" ca="1" si="31"/>
        <v>0</v>
      </c>
      <c r="AI84" s="68">
        <f t="shared" ca="1" si="31"/>
        <v>0</v>
      </c>
      <c r="AJ84" s="68">
        <f t="shared" ca="1" si="29"/>
        <v>0</v>
      </c>
      <c r="AK84" s="68">
        <f t="shared" ca="1" si="29"/>
        <v>0</v>
      </c>
      <c r="AL84" s="68">
        <f t="shared" ca="1" si="29"/>
        <v>0</v>
      </c>
      <c r="AM84" s="68">
        <f t="shared" ca="1" si="29"/>
        <v>0</v>
      </c>
      <c r="AN84" s="68">
        <f t="shared" ca="1" si="29"/>
        <v>0</v>
      </c>
      <c r="AO84" s="68">
        <f t="shared" ca="1" si="29"/>
        <v>0</v>
      </c>
      <c r="AP84" s="68">
        <f t="shared" ca="1" si="29"/>
        <v>0</v>
      </c>
      <c r="AQ84" s="68">
        <f t="shared" ca="1" si="29"/>
        <v>0</v>
      </c>
      <c r="AR84" s="68">
        <f t="shared" ca="1" si="29"/>
        <v>0</v>
      </c>
      <c r="AS84" s="68">
        <f t="shared" ca="1" si="29"/>
        <v>0</v>
      </c>
      <c r="AT84" s="68">
        <f t="shared" ca="1" si="29"/>
        <v>0</v>
      </c>
      <c r="AU84" s="68">
        <f t="shared" ca="1" si="29"/>
        <v>0</v>
      </c>
      <c r="AV84" s="68">
        <f t="shared" ca="1" si="29"/>
        <v>0</v>
      </c>
      <c r="AW84" s="68">
        <f t="shared" ca="1" si="29"/>
        <v>0</v>
      </c>
      <c r="AX84" s="68">
        <f t="shared" ca="1" si="29"/>
        <v>0</v>
      </c>
      <c r="AY84" s="68">
        <f t="shared" ca="1" si="29"/>
        <v>0</v>
      </c>
      <c r="AZ84" s="68">
        <f t="shared" ca="1" si="30"/>
        <v>0</v>
      </c>
      <c r="BA84" s="68">
        <f t="shared" ca="1" si="30"/>
        <v>0</v>
      </c>
      <c r="BB84" s="68">
        <f t="shared" ca="1" si="30"/>
        <v>0</v>
      </c>
      <c r="BC84" s="68">
        <f t="shared" ca="1" si="30"/>
        <v>0</v>
      </c>
      <c r="BD84" s="68">
        <f t="shared" ca="1" si="30"/>
        <v>0</v>
      </c>
      <c r="BE84" s="68">
        <f t="shared" ca="1" si="30"/>
        <v>0</v>
      </c>
      <c r="BF84" s="68">
        <f t="shared" ca="1" si="30"/>
        <v>0</v>
      </c>
      <c r="BG84" s="68">
        <f t="shared" ca="1" si="30"/>
        <v>0</v>
      </c>
      <c r="BH84" s="68">
        <f t="shared" ca="1" si="30"/>
        <v>0</v>
      </c>
      <c r="BI84" s="68">
        <f t="shared" ca="1" si="30"/>
        <v>0</v>
      </c>
      <c r="BJ84" s="68">
        <f t="shared" ca="1" si="30"/>
        <v>0</v>
      </c>
      <c r="BK84" s="68">
        <f t="shared" ca="1" si="30"/>
        <v>0</v>
      </c>
      <c r="BL84" s="68">
        <f t="shared" ca="1" si="30"/>
        <v>0</v>
      </c>
      <c r="BM84" s="68">
        <f t="shared" ca="1" si="30"/>
        <v>0</v>
      </c>
      <c r="BN84" s="68">
        <f t="shared" ca="1" si="30"/>
        <v>0</v>
      </c>
      <c r="BO84" s="68">
        <f t="shared" ca="1" si="30"/>
        <v>0</v>
      </c>
      <c r="BP84" s="68">
        <f t="shared" ca="1" si="32"/>
        <v>0</v>
      </c>
      <c r="BQ84" s="68">
        <f t="shared" ca="1" si="27"/>
        <v>0</v>
      </c>
      <c r="BR84" s="68">
        <f t="shared" ca="1" si="27"/>
        <v>0</v>
      </c>
      <c r="BS84" s="68">
        <f t="shared" ca="1" si="27"/>
        <v>0</v>
      </c>
      <c r="BT84" s="68">
        <f t="shared" ca="1" si="27"/>
        <v>0</v>
      </c>
    </row>
    <row r="85" spans="2:72" x14ac:dyDescent="0.2">
      <c r="B85" s="88"/>
      <c r="G85" s="68" t="str">
        <f>ROW(A80)&amp;". "&amp;'Critical resources'!B91</f>
        <v xml:space="preserve">80. </v>
      </c>
      <c r="H85" s="68">
        <f ca="1">IFERROR(VLOOKUP('Critical resources'!D91,$B$6:$C$57,2,0),0)</f>
        <v>0</v>
      </c>
      <c r="I85" s="68">
        <f ca="1">IFERROR(VLOOKUP('Critical resources'!E91,$A$6:$C$57,3,0),0)</f>
        <v>0</v>
      </c>
      <c r="J85" s="68">
        <f ca="1">IFERROR(VLOOKUP('Critical resources'!G91,$B$6:$C$57,2,0),0)</f>
        <v>0</v>
      </c>
      <c r="K85" s="68">
        <f ca="1">IFERROR(VLOOKUP('Critical resources'!H91,$B$6:$C$57,2,0),0)</f>
        <v>0</v>
      </c>
      <c r="L85" s="68">
        <f ca="1">IFERROR(VLOOKUP('Critical resources'!J91,$B$6:$C$57,2,0),0)</f>
        <v>0</v>
      </c>
      <c r="M85" s="68">
        <f ca="1">IFERROR(VLOOKUP('Critical resources'!K91,$A$6:$C$57,3,0),0)</f>
        <v>0</v>
      </c>
      <c r="N85" s="68">
        <f ca="1">IFERROR(VLOOKUP('Critical resources'!M91,$B$6:$C$57,2,0),0)</f>
        <v>0</v>
      </c>
      <c r="O85" s="68">
        <f ca="1">IFERROR(VLOOKUP('Critical resources'!N91,$A$6:$C$57,3,0),0)</f>
        <v>0</v>
      </c>
      <c r="P85" s="68">
        <f ca="1">IFERROR(VLOOKUP('Critical resources'!P91,$B$6:$C$57,2,0),0)</f>
        <v>0</v>
      </c>
      <c r="Q85" s="68">
        <f ca="1">IFERROR(VLOOKUP('Critical resources'!Q91,$A$6:$C$57,3,0),0)</f>
        <v>0</v>
      </c>
      <c r="T85" s="68" t="str">
        <f t="shared" si="28"/>
        <v xml:space="preserve">80. </v>
      </c>
      <c r="U85" s="68">
        <f t="shared" ca="1" si="31"/>
        <v>0</v>
      </c>
      <c r="V85" s="68">
        <f t="shared" ca="1" si="31"/>
        <v>0</v>
      </c>
      <c r="W85" s="68">
        <f t="shared" ca="1" si="31"/>
        <v>0</v>
      </c>
      <c r="X85" s="68">
        <f t="shared" ca="1" si="31"/>
        <v>0</v>
      </c>
      <c r="Y85" s="68">
        <f t="shared" ca="1" si="31"/>
        <v>0</v>
      </c>
      <c r="Z85" s="68">
        <f t="shared" ca="1" si="31"/>
        <v>0</v>
      </c>
      <c r="AA85" s="68">
        <f t="shared" ca="1" si="31"/>
        <v>0</v>
      </c>
      <c r="AB85" s="68">
        <f t="shared" ca="1" si="31"/>
        <v>0</v>
      </c>
      <c r="AC85" s="68">
        <f t="shared" ca="1" si="31"/>
        <v>0</v>
      </c>
      <c r="AD85" s="68">
        <f t="shared" ca="1" si="31"/>
        <v>0</v>
      </c>
      <c r="AE85" s="68">
        <f t="shared" ca="1" si="31"/>
        <v>0</v>
      </c>
      <c r="AF85" s="68">
        <f t="shared" ca="1" si="31"/>
        <v>0</v>
      </c>
      <c r="AG85" s="68">
        <f t="shared" ca="1" si="31"/>
        <v>0</v>
      </c>
      <c r="AH85" s="68">
        <f t="shared" ca="1" si="31"/>
        <v>0</v>
      </c>
      <c r="AI85" s="68">
        <f t="shared" ca="1" si="31"/>
        <v>0</v>
      </c>
      <c r="AJ85" s="68">
        <f t="shared" ca="1" si="29"/>
        <v>0</v>
      </c>
      <c r="AK85" s="68">
        <f t="shared" ca="1" si="29"/>
        <v>0</v>
      </c>
      <c r="AL85" s="68">
        <f t="shared" ca="1" si="29"/>
        <v>0</v>
      </c>
      <c r="AM85" s="68">
        <f t="shared" ca="1" si="29"/>
        <v>0</v>
      </c>
      <c r="AN85" s="68">
        <f t="shared" ca="1" si="29"/>
        <v>0</v>
      </c>
      <c r="AO85" s="68">
        <f t="shared" ca="1" si="29"/>
        <v>0</v>
      </c>
      <c r="AP85" s="68">
        <f t="shared" ca="1" si="29"/>
        <v>0</v>
      </c>
      <c r="AQ85" s="68">
        <f t="shared" ca="1" si="29"/>
        <v>0</v>
      </c>
      <c r="AR85" s="68">
        <f t="shared" ca="1" si="29"/>
        <v>0</v>
      </c>
      <c r="AS85" s="68">
        <f t="shared" ca="1" si="29"/>
        <v>0</v>
      </c>
      <c r="AT85" s="68">
        <f t="shared" ca="1" si="29"/>
        <v>0</v>
      </c>
      <c r="AU85" s="68">
        <f t="shared" ca="1" si="29"/>
        <v>0</v>
      </c>
      <c r="AV85" s="68">
        <f t="shared" ca="1" si="29"/>
        <v>0</v>
      </c>
      <c r="AW85" s="68">
        <f t="shared" ca="1" si="29"/>
        <v>0</v>
      </c>
      <c r="AX85" s="68">
        <f t="shared" ca="1" si="29"/>
        <v>0</v>
      </c>
      <c r="AY85" s="68">
        <f t="shared" ref="AY85:BN100" ca="1" si="33">SUM(IFERROR(IF(AND(AY$5&gt;=$H85,AY$5&lt;=$I85),1,0),0),IFERROR(IF(AND(AY$5&gt;=$J85,AY$5&lt;=$K85),1,0),0),IFERROR(IF(AND(AY$5&gt;=$L85,AY$5&lt;=$M85),1,0),0),IFERROR(IF(AND(AY$5&gt;=$N85,AY$5&lt;=$O85),1,0),0),IFERROR(IF(AND(AY$5&gt;=$P85,AY$5&lt;=$Q85),1,0),0))</f>
        <v>0</v>
      </c>
      <c r="AZ85" s="68">
        <f t="shared" ca="1" si="30"/>
        <v>0</v>
      </c>
      <c r="BA85" s="68">
        <f t="shared" ca="1" si="30"/>
        <v>0</v>
      </c>
      <c r="BB85" s="68">
        <f t="shared" ca="1" si="30"/>
        <v>0</v>
      </c>
      <c r="BC85" s="68">
        <f t="shared" ca="1" si="30"/>
        <v>0</v>
      </c>
      <c r="BD85" s="68">
        <f t="shared" ca="1" si="30"/>
        <v>0</v>
      </c>
      <c r="BE85" s="68">
        <f t="shared" ca="1" si="30"/>
        <v>0</v>
      </c>
      <c r="BF85" s="68">
        <f t="shared" ca="1" si="30"/>
        <v>0</v>
      </c>
      <c r="BG85" s="68">
        <f t="shared" ca="1" si="30"/>
        <v>0</v>
      </c>
      <c r="BH85" s="68">
        <f t="shared" ca="1" si="30"/>
        <v>0</v>
      </c>
      <c r="BI85" s="68">
        <f t="shared" ca="1" si="30"/>
        <v>0</v>
      </c>
      <c r="BJ85" s="68">
        <f t="shared" ca="1" si="30"/>
        <v>0</v>
      </c>
      <c r="BK85" s="68">
        <f t="shared" ca="1" si="30"/>
        <v>0</v>
      </c>
      <c r="BL85" s="68">
        <f t="shared" ca="1" si="30"/>
        <v>0</v>
      </c>
      <c r="BM85" s="68">
        <f t="shared" ca="1" si="30"/>
        <v>0</v>
      </c>
      <c r="BN85" s="68">
        <f t="shared" ca="1" si="30"/>
        <v>0</v>
      </c>
      <c r="BO85" s="68">
        <f t="shared" ca="1" si="30"/>
        <v>0</v>
      </c>
      <c r="BP85" s="68">
        <f t="shared" ca="1" si="32"/>
        <v>0</v>
      </c>
      <c r="BQ85" s="68">
        <f t="shared" ca="1" si="27"/>
        <v>0</v>
      </c>
      <c r="BR85" s="68">
        <f t="shared" ca="1" si="27"/>
        <v>0</v>
      </c>
      <c r="BS85" s="68">
        <f t="shared" ca="1" si="27"/>
        <v>0</v>
      </c>
      <c r="BT85" s="68">
        <f t="shared" ca="1" si="27"/>
        <v>0</v>
      </c>
    </row>
    <row r="86" spans="2:72" x14ac:dyDescent="0.2">
      <c r="B86" s="88"/>
      <c r="G86" s="68" t="str">
        <f>ROW(A81)&amp;". "&amp;'Critical resources'!B92</f>
        <v xml:space="preserve">81. </v>
      </c>
      <c r="H86" s="68">
        <f ca="1">IFERROR(VLOOKUP('Critical resources'!D92,$B$6:$C$57,2,0),0)</f>
        <v>0</v>
      </c>
      <c r="I86" s="68">
        <f ca="1">IFERROR(VLOOKUP('Critical resources'!E92,$A$6:$C$57,3,0),0)</f>
        <v>0</v>
      </c>
      <c r="J86" s="68">
        <f ca="1">IFERROR(VLOOKUP('Critical resources'!G92,$B$6:$C$57,2,0),0)</f>
        <v>0</v>
      </c>
      <c r="K86" s="68">
        <f ca="1">IFERROR(VLOOKUP('Critical resources'!H92,$B$6:$C$57,2,0),0)</f>
        <v>0</v>
      </c>
      <c r="L86" s="68">
        <f ca="1">IFERROR(VLOOKUP('Critical resources'!J92,$B$6:$C$57,2,0),0)</f>
        <v>0</v>
      </c>
      <c r="M86" s="68">
        <f ca="1">IFERROR(VLOOKUP('Critical resources'!K92,$A$6:$C$57,3,0),0)</f>
        <v>0</v>
      </c>
      <c r="N86" s="68">
        <f ca="1">IFERROR(VLOOKUP('Critical resources'!M92,$B$6:$C$57,2,0),0)</f>
        <v>0</v>
      </c>
      <c r="O86" s="68">
        <f ca="1">IFERROR(VLOOKUP('Critical resources'!N92,$A$6:$C$57,3,0),0)</f>
        <v>0</v>
      </c>
      <c r="P86" s="68">
        <f ca="1">IFERROR(VLOOKUP('Critical resources'!P92,$B$6:$C$57,2,0),0)</f>
        <v>0</v>
      </c>
      <c r="Q86" s="68">
        <f ca="1">IFERROR(VLOOKUP('Critical resources'!Q92,$A$6:$C$57,3,0),0)</f>
        <v>0</v>
      </c>
      <c r="T86" s="68" t="str">
        <f t="shared" si="28"/>
        <v xml:space="preserve">81. </v>
      </c>
      <c r="U86" s="68">
        <f t="shared" ca="1" si="31"/>
        <v>0</v>
      </c>
      <c r="V86" s="68">
        <f t="shared" ca="1" si="31"/>
        <v>0</v>
      </c>
      <c r="W86" s="68">
        <f t="shared" ca="1" si="31"/>
        <v>0</v>
      </c>
      <c r="X86" s="68">
        <f t="shared" ca="1" si="31"/>
        <v>0</v>
      </c>
      <c r="Y86" s="68">
        <f t="shared" ca="1" si="31"/>
        <v>0</v>
      </c>
      <c r="Z86" s="68">
        <f t="shared" ca="1" si="31"/>
        <v>0</v>
      </c>
      <c r="AA86" s="68">
        <f t="shared" ca="1" si="31"/>
        <v>0</v>
      </c>
      <c r="AB86" s="68">
        <f t="shared" ca="1" si="31"/>
        <v>0</v>
      </c>
      <c r="AC86" s="68">
        <f t="shared" ca="1" si="31"/>
        <v>0</v>
      </c>
      <c r="AD86" s="68">
        <f t="shared" ca="1" si="31"/>
        <v>0</v>
      </c>
      <c r="AE86" s="68">
        <f t="shared" ca="1" si="31"/>
        <v>0</v>
      </c>
      <c r="AF86" s="68">
        <f t="shared" ca="1" si="31"/>
        <v>0</v>
      </c>
      <c r="AG86" s="68">
        <f t="shared" ca="1" si="31"/>
        <v>0</v>
      </c>
      <c r="AH86" s="68">
        <f t="shared" ca="1" si="31"/>
        <v>0</v>
      </c>
      <c r="AI86" s="68">
        <f t="shared" ca="1" si="31"/>
        <v>0</v>
      </c>
      <c r="AJ86" s="68">
        <f t="shared" ca="1" si="31"/>
        <v>0</v>
      </c>
      <c r="AK86" s="68">
        <f t="shared" ref="AK86:AZ101" ca="1" si="34">SUM(IFERROR(IF(AND(AK$5&gt;=$H86,AK$5&lt;=$I86),1,0),0),IFERROR(IF(AND(AK$5&gt;=$J86,AK$5&lt;=$K86),1,0),0),IFERROR(IF(AND(AK$5&gt;=$L86,AK$5&lt;=$M86),1,0),0),IFERROR(IF(AND(AK$5&gt;=$N86,AK$5&lt;=$O86),1,0),0),IFERROR(IF(AND(AK$5&gt;=$P86,AK$5&lt;=$Q86),1,0),0))</f>
        <v>0</v>
      </c>
      <c r="AL86" s="68">
        <f t="shared" ca="1" si="34"/>
        <v>0</v>
      </c>
      <c r="AM86" s="68">
        <f t="shared" ca="1" si="34"/>
        <v>0</v>
      </c>
      <c r="AN86" s="68">
        <f t="shared" ca="1" si="34"/>
        <v>0</v>
      </c>
      <c r="AO86" s="68">
        <f t="shared" ca="1" si="34"/>
        <v>0</v>
      </c>
      <c r="AP86" s="68">
        <f t="shared" ca="1" si="34"/>
        <v>0</v>
      </c>
      <c r="AQ86" s="68">
        <f t="shared" ca="1" si="34"/>
        <v>0</v>
      </c>
      <c r="AR86" s="68">
        <f t="shared" ca="1" si="34"/>
        <v>0</v>
      </c>
      <c r="AS86" s="68">
        <f t="shared" ca="1" si="34"/>
        <v>0</v>
      </c>
      <c r="AT86" s="68">
        <f t="shared" ca="1" si="34"/>
        <v>0</v>
      </c>
      <c r="AU86" s="68">
        <f t="shared" ca="1" si="34"/>
        <v>0</v>
      </c>
      <c r="AV86" s="68">
        <f t="shared" ca="1" si="34"/>
        <v>0</v>
      </c>
      <c r="AW86" s="68">
        <f t="shared" ca="1" si="34"/>
        <v>0</v>
      </c>
      <c r="AX86" s="68">
        <f t="shared" ca="1" si="34"/>
        <v>0</v>
      </c>
      <c r="AY86" s="68">
        <f t="shared" ca="1" si="33"/>
        <v>0</v>
      </c>
      <c r="AZ86" s="68">
        <f t="shared" ca="1" si="33"/>
        <v>0</v>
      </c>
      <c r="BA86" s="68">
        <f t="shared" ca="1" si="33"/>
        <v>0</v>
      </c>
      <c r="BB86" s="68">
        <f t="shared" ca="1" si="33"/>
        <v>0</v>
      </c>
      <c r="BC86" s="68">
        <f t="shared" ca="1" si="33"/>
        <v>0</v>
      </c>
      <c r="BD86" s="68">
        <f t="shared" ca="1" si="33"/>
        <v>0</v>
      </c>
      <c r="BE86" s="68">
        <f t="shared" ca="1" si="33"/>
        <v>0</v>
      </c>
      <c r="BF86" s="68">
        <f t="shared" ca="1" si="33"/>
        <v>0</v>
      </c>
      <c r="BG86" s="68">
        <f t="shared" ca="1" si="33"/>
        <v>0</v>
      </c>
      <c r="BH86" s="68">
        <f t="shared" ca="1" si="33"/>
        <v>0</v>
      </c>
      <c r="BI86" s="68">
        <f t="shared" ca="1" si="33"/>
        <v>0</v>
      </c>
      <c r="BJ86" s="68">
        <f t="shared" ca="1" si="33"/>
        <v>0</v>
      </c>
      <c r="BK86" s="68">
        <f t="shared" ca="1" si="33"/>
        <v>0</v>
      </c>
      <c r="BL86" s="68">
        <f t="shared" ca="1" si="33"/>
        <v>0</v>
      </c>
      <c r="BM86" s="68">
        <f t="shared" ca="1" si="33"/>
        <v>0</v>
      </c>
      <c r="BN86" s="68">
        <f t="shared" ca="1" si="33"/>
        <v>0</v>
      </c>
      <c r="BO86" s="68">
        <f t="shared" ref="BO86:BT101" ca="1" si="35">SUM(IFERROR(IF(AND(BO$5&gt;=$H86,BO$5&lt;=$I86),1,0),0),IFERROR(IF(AND(BO$5&gt;=$J86,BO$5&lt;=$K86),1,0),0),IFERROR(IF(AND(BO$5&gt;=$L86,BO$5&lt;=$M86),1,0),0),IFERROR(IF(AND(BO$5&gt;=$N86,BO$5&lt;=$O86),1,0),0),IFERROR(IF(AND(BO$5&gt;=$P86,BO$5&lt;=$Q86),1,0),0))</f>
        <v>0</v>
      </c>
      <c r="BP86" s="68">
        <f t="shared" ca="1" si="32"/>
        <v>0</v>
      </c>
      <c r="BQ86" s="68">
        <f t="shared" ca="1" si="27"/>
        <v>0</v>
      </c>
      <c r="BR86" s="68">
        <f t="shared" ca="1" si="27"/>
        <v>0</v>
      </c>
      <c r="BS86" s="68">
        <f t="shared" ca="1" si="27"/>
        <v>0</v>
      </c>
      <c r="BT86" s="68">
        <f t="shared" ca="1" si="27"/>
        <v>0</v>
      </c>
    </row>
    <row r="87" spans="2:72" x14ac:dyDescent="0.2">
      <c r="B87" s="88"/>
      <c r="G87" s="68" t="str">
        <f>ROW(A82)&amp;". "&amp;'Critical resources'!B93</f>
        <v xml:space="preserve">82. </v>
      </c>
      <c r="H87" s="68">
        <f ca="1">IFERROR(VLOOKUP('Critical resources'!D93,$B$6:$C$57,2,0),0)</f>
        <v>0</v>
      </c>
      <c r="I87" s="68">
        <f ca="1">IFERROR(VLOOKUP('Critical resources'!E93,$A$6:$C$57,3,0),0)</f>
        <v>0</v>
      </c>
      <c r="J87" s="68">
        <f ca="1">IFERROR(VLOOKUP('Critical resources'!G93,$B$6:$C$57,2,0),0)</f>
        <v>0</v>
      </c>
      <c r="K87" s="68">
        <f ca="1">IFERROR(VLOOKUP('Critical resources'!H93,$B$6:$C$57,2,0),0)</f>
        <v>0</v>
      </c>
      <c r="L87" s="68">
        <f ca="1">IFERROR(VLOOKUP('Critical resources'!J93,$B$6:$C$57,2,0),0)</f>
        <v>0</v>
      </c>
      <c r="M87" s="68">
        <f ca="1">IFERROR(VLOOKUP('Critical resources'!K93,$A$6:$C$57,3,0),0)</f>
        <v>0</v>
      </c>
      <c r="N87" s="68">
        <f ca="1">IFERROR(VLOOKUP('Critical resources'!M93,$B$6:$C$57,2,0),0)</f>
        <v>0</v>
      </c>
      <c r="O87" s="68">
        <f ca="1">IFERROR(VLOOKUP('Critical resources'!N93,$A$6:$C$57,3,0),0)</f>
        <v>0</v>
      </c>
      <c r="P87" s="68">
        <f ca="1">IFERROR(VLOOKUP('Critical resources'!P93,$B$6:$C$57,2,0),0)</f>
        <v>0</v>
      </c>
      <c r="Q87" s="68">
        <f ca="1">IFERROR(VLOOKUP('Critical resources'!Q93,$A$6:$C$57,3,0),0)</f>
        <v>0</v>
      </c>
      <c r="T87" s="68" t="str">
        <f t="shared" si="28"/>
        <v xml:space="preserve">82. </v>
      </c>
      <c r="U87" s="68">
        <f t="shared" ref="U87:AJ102" ca="1" si="36">SUM(IFERROR(IF(AND(U$5&gt;=$H87,U$5&lt;=$I87),1,0),0),IFERROR(IF(AND(U$5&gt;=$J87,U$5&lt;=$K87),1,0),0),IFERROR(IF(AND(U$5&gt;=$L87,U$5&lt;=$M87),1,0),0),IFERROR(IF(AND(U$5&gt;=$N87,U$5&lt;=$O87),1,0),0),IFERROR(IF(AND(U$5&gt;=$P87,U$5&lt;=$Q87),1,0),0))</f>
        <v>0</v>
      </c>
      <c r="V87" s="68">
        <f t="shared" ca="1" si="36"/>
        <v>0</v>
      </c>
      <c r="W87" s="68">
        <f t="shared" ca="1" si="36"/>
        <v>0</v>
      </c>
      <c r="X87" s="68">
        <f t="shared" ca="1" si="36"/>
        <v>0</v>
      </c>
      <c r="Y87" s="68">
        <f t="shared" ca="1" si="36"/>
        <v>0</v>
      </c>
      <c r="Z87" s="68">
        <f t="shared" ca="1" si="36"/>
        <v>0</v>
      </c>
      <c r="AA87" s="68">
        <f t="shared" ca="1" si="36"/>
        <v>0</v>
      </c>
      <c r="AB87" s="68">
        <f t="shared" ca="1" si="36"/>
        <v>0</v>
      </c>
      <c r="AC87" s="68">
        <f t="shared" ca="1" si="36"/>
        <v>0</v>
      </c>
      <c r="AD87" s="68">
        <f t="shared" ca="1" si="36"/>
        <v>0</v>
      </c>
      <c r="AE87" s="68">
        <f t="shared" ca="1" si="36"/>
        <v>0</v>
      </c>
      <c r="AF87" s="68">
        <f t="shared" ca="1" si="36"/>
        <v>0</v>
      </c>
      <c r="AG87" s="68">
        <f t="shared" ca="1" si="36"/>
        <v>0</v>
      </c>
      <c r="AH87" s="68">
        <f t="shared" ca="1" si="36"/>
        <v>0</v>
      </c>
      <c r="AI87" s="68">
        <f t="shared" ca="1" si="36"/>
        <v>0</v>
      </c>
      <c r="AJ87" s="68">
        <f t="shared" ca="1" si="36"/>
        <v>0</v>
      </c>
      <c r="AK87" s="68">
        <f t="shared" ca="1" si="34"/>
        <v>0</v>
      </c>
      <c r="AL87" s="68">
        <f t="shared" ca="1" si="34"/>
        <v>0</v>
      </c>
      <c r="AM87" s="68">
        <f t="shared" ca="1" si="34"/>
        <v>0</v>
      </c>
      <c r="AN87" s="68">
        <f t="shared" ca="1" si="34"/>
        <v>0</v>
      </c>
      <c r="AO87" s="68">
        <f t="shared" ca="1" si="34"/>
        <v>0</v>
      </c>
      <c r="AP87" s="68">
        <f t="shared" ca="1" si="34"/>
        <v>0</v>
      </c>
      <c r="AQ87" s="68">
        <f t="shared" ca="1" si="34"/>
        <v>0</v>
      </c>
      <c r="AR87" s="68">
        <f t="shared" ca="1" si="34"/>
        <v>0</v>
      </c>
      <c r="AS87" s="68">
        <f t="shared" ca="1" si="34"/>
        <v>0</v>
      </c>
      <c r="AT87" s="68">
        <f t="shared" ca="1" si="34"/>
        <v>0</v>
      </c>
      <c r="AU87" s="68">
        <f t="shared" ca="1" si="34"/>
        <v>0</v>
      </c>
      <c r="AV87" s="68">
        <f t="shared" ca="1" si="34"/>
        <v>0</v>
      </c>
      <c r="AW87" s="68">
        <f t="shared" ca="1" si="34"/>
        <v>0</v>
      </c>
      <c r="AX87" s="68">
        <f t="shared" ca="1" si="34"/>
        <v>0</v>
      </c>
      <c r="AY87" s="68">
        <f t="shared" ca="1" si="33"/>
        <v>0</v>
      </c>
      <c r="AZ87" s="68">
        <f t="shared" ca="1" si="33"/>
        <v>0</v>
      </c>
      <c r="BA87" s="68">
        <f t="shared" ca="1" si="33"/>
        <v>0</v>
      </c>
      <c r="BB87" s="68">
        <f t="shared" ca="1" si="33"/>
        <v>0</v>
      </c>
      <c r="BC87" s="68">
        <f t="shared" ca="1" si="33"/>
        <v>0</v>
      </c>
      <c r="BD87" s="68">
        <f t="shared" ca="1" si="33"/>
        <v>0</v>
      </c>
      <c r="BE87" s="68">
        <f t="shared" ca="1" si="33"/>
        <v>0</v>
      </c>
      <c r="BF87" s="68">
        <f t="shared" ca="1" si="33"/>
        <v>0</v>
      </c>
      <c r="BG87" s="68">
        <f t="shared" ca="1" si="33"/>
        <v>0</v>
      </c>
      <c r="BH87" s="68">
        <f t="shared" ca="1" si="33"/>
        <v>0</v>
      </c>
      <c r="BI87" s="68">
        <f t="shared" ca="1" si="33"/>
        <v>0</v>
      </c>
      <c r="BJ87" s="68">
        <f t="shared" ca="1" si="33"/>
        <v>0</v>
      </c>
      <c r="BK87" s="68">
        <f t="shared" ca="1" si="33"/>
        <v>0</v>
      </c>
      <c r="BL87" s="68">
        <f t="shared" ca="1" si="33"/>
        <v>0</v>
      </c>
      <c r="BM87" s="68">
        <f t="shared" ca="1" si="33"/>
        <v>0</v>
      </c>
      <c r="BN87" s="68">
        <f t="shared" ca="1" si="33"/>
        <v>0</v>
      </c>
      <c r="BO87" s="68">
        <f t="shared" ca="1" si="35"/>
        <v>0</v>
      </c>
      <c r="BP87" s="68">
        <f t="shared" ca="1" si="32"/>
        <v>0</v>
      </c>
      <c r="BQ87" s="68">
        <f t="shared" ca="1" si="27"/>
        <v>0</v>
      </c>
      <c r="BR87" s="68">
        <f t="shared" ca="1" si="27"/>
        <v>0</v>
      </c>
      <c r="BS87" s="68">
        <f t="shared" ca="1" si="27"/>
        <v>0</v>
      </c>
      <c r="BT87" s="68">
        <f t="shared" ca="1" si="27"/>
        <v>0</v>
      </c>
    </row>
    <row r="88" spans="2:72" x14ac:dyDescent="0.2">
      <c r="B88" s="88"/>
      <c r="G88" s="68" t="str">
        <f>ROW(A83)&amp;". "&amp;'Critical resources'!B94</f>
        <v xml:space="preserve">83. </v>
      </c>
      <c r="H88" s="68">
        <f ca="1">IFERROR(VLOOKUP('Critical resources'!D94,$B$6:$C$57,2,0),0)</f>
        <v>0</v>
      </c>
      <c r="I88" s="68">
        <f ca="1">IFERROR(VLOOKUP('Critical resources'!E94,$A$6:$C$57,3,0),0)</f>
        <v>0</v>
      </c>
      <c r="J88" s="68">
        <f ca="1">IFERROR(VLOOKUP('Critical resources'!G94,$B$6:$C$57,2,0),0)</f>
        <v>0</v>
      </c>
      <c r="K88" s="68">
        <f ca="1">IFERROR(VLOOKUP('Critical resources'!H94,$B$6:$C$57,2,0),0)</f>
        <v>0</v>
      </c>
      <c r="L88" s="68">
        <f ca="1">IFERROR(VLOOKUP('Critical resources'!J94,$B$6:$C$57,2,0),0)</f>
        <v>0</v>
      </c>
      <c r="M88" s="68">
        <f ca="1">IFERROR(VLOOKUP('Critical resources'!K94,$A$6:$C$57,3,0),0)</f>
        <v>0</v>
      </c>
      <c r="N88" s="68">
        <f ca="1">IFERROR(VLOOKUP('Critical resources'!M94,$B$6:$C$57,2,0),0)</f>
        <v>0</v>
      </c>
      <c r="O88" s="68">
        <f ca="1">IFERROR(VLOOKUP('Critical resources'!N94,$A$6:$C$57,3,0),0)</f>
        <v>0</v>
      </c>
      <c r="P88" s="68">
        <f ca="1">IFERROR(VLOOKUP('Critical resources'!P94,$B$6:$C$57,2,0),0)</f>
        <v>0</v>
      </c>
      <c r="Q88" s="68">
        <f ca="1">IFERROR(VLOOKUP('Critical resources'!Q94,$A$6:$C$57,3,0),0)</f>
        <v>0</v>
      </c>
      <c r="T88" s="68" t="str">
        <f t="shared" si="28"/>
        <v xml:space="preserve">83. </v>
      </c>
      <c r="U88" s="68">
        <f t="shared" ca="1" si="36"/>
        <v>0</v>
      </c>
      <c r="V88" s="68">
        <f t="shared" ca="1" si="36"/>
        <v>0</v>
      </c>
      <c r="W88" s="68">
        <f t="shared" ca="1" si="36"/>
        <v>0</v>
      </c>
      <c r="X88" s="68">
        <f t="shared" ca="1" si="36"/>
        <v>0</v>
      </c>
      <c r="Y88" s="68">
        <f t="shared" ca="1" si="36"/>
        <v>0</v>
      </c>
      <c r="Z88" s="68">
        <f t="shared" ca="1" si="36"/>
        <v>0</v>
      </c>
      <c r="AA88" s="68">
        <f t="shared" ca="1" si="36"/>
        <v>0</v>
      </c>
      <c r="AB88" s="68">
        <f t="shared" ca="1" si="36"/>
        <v>0</v>
      </c>
      <c r="AC88" s="68">
        <f t="shared" ca="1" si="36"/>
        <v>0</v>
      </c>
      <c r="AD88" s="68">
        <f t="shared" ca="1" si="36"/>
        <v>0</v>
      </c>
      <c r="AE88" s="68">
        <f t="shared" ca="1" si="36"/>
        <v>0</v>
      </c>
      <c r="AF88" s="68">
        <f t="shared" ca="1" si="36"/>
        <v>0</v>
      </c>
      <c r="AG88" s="68">
        <f t="shared" ca="1" si="36"/>
        <v>0</v>
      </c>
      <c r="AH88" s="68">
        <f t="shared" ca="1" si="36"/>
        <v>0</v>
      </c>
      <c r="AI88" s="68">
        <f t="shared" ca="1" si="36"/>
        <v>0</v>
      </c>
      <c r="AJ88" s="68">
        <f t="shared" ca="1" si="36"/>
        <v>0</v>
      </c>
      <c r="AK88" s="68">
        <f t="shared" ca="1" si="34"/>
        <v>0</v>
      </c>
      <c r="AL88" s="68">
        <f t="shared" ca="1" si="34"/>
        <v>0</v>
      </c>
      <c r="AM88" s="68">
        <f t="shared" ca="1" si="34"/>
        <v>0</v>
      </c>
      <c r="AN88" s="68">
        <f t="shared" ca="1" si="34"/>
        <v>0</v>
      </c>
      <c r="AO88" s="68">
        <f t="shared" ca="1" si="34"/>
        <v>0</v>
      </c>
      <c r="AP88" s="68">
        <f t="shared" ca="1" si="34"/>
        <v>0</v>
      </c>
      <c r="AQ88" s="68">
        <f t="shared" ca="1" si="34"/>
        <v>0</v>
      </c>
      <c r="AR88" s="68">
        <f t="shared" ca="1" si="34"/>
        <v>0</v>
      </c>
      <c r="AS88" s="68">
        <f t="shared" ca="1" si="34"/>
        <v>0</v>
      </c>
      <c r="AT88" s="68">
        <f t="shared" ca="1" si="34"/>
        <v>0</v>
      </c>
      <c r="AU88" s="68">
        <f t="shared" ca="1" si="34"/>
        <v>0</v>
      </c>
      <c r="AV88" s="68">
        <f t="shared" ca="1" si="34"/>
        <v>0</v>
      </c>
      <c r="AW88" s="68">
        <f t="shared" ca="1" si="34"/>
        <v>0</v>
      </c>
      <c r="AX88" s="68">
        <f t="shared" ca="1" si="34"/>
        <v>0</v>
      </c>
      <c r="AY88" s="68">
        <f t="shared" ca="1" si="33"/>
        <v>0</v>
      </c>
      <c r="AZ88" s="68">
        <f t="shared" ca="1" si="33"/>
        <v>0</v>
      </c>
      <c r="BA88" s="68">
        <f t="shared" ca="1" si="33"/>
        <v>0</v>
      </c>
      <c r="BB88" s="68">
        <f t="shared" ca="1" si="33"/>
        <v>0</v>
      </c>
      <c r="BC88" s="68">
        <f t="shared" ca="1" si="33"/>
        <v>0</v>
      </c>
      <c r="BD88" s="68">
        <f t="shared" ca="1" si="33"/>
        <v>0</v>
      </c>
      <c r="BE88" s="68">
        <f t="shared" ca="1" si="33"/>
        <v>0</v>
      </c>
      <c r="BF88" s="68">
        <f t="shared" ca="1" si="33"/>
        <v>0</v>
      </c>
      <c r="BG88" s="68">
        <f t="shared" ca="1" si="33"/>
        <v>0</v>
      </c>
      <c r="BH88" s="68">
        <f t="shared" ca="1" si="33"/>
        <v>0</v>
      </c>
      <c r="BI88" s="68">
        <f t="shared" ca="1" si="33"/>
        <v>0</v>
      </c>
      <c r="BJ88" s="68">
        <f t="shared" ca="1" si="33"/>
        <v>0</v>
      </c>
      <c r="BK88" s="68">
        <f t="shared" ca="1" si="33"/>
        <v>0</v>
      </c>
      <c r="BL88" s="68">
        <f t="shared" ca="1" si="33"/>
        <v>0</v>
      </c>
      <c r="BM88" s="68">
        <f t="shared" ca="1" si="33"/>
        <v>0</v>
      </c>
      <c r="BN88" s="68">
        <f t="shared" ca="1" si="33"/>
        <v>0</v>
      </c>
      <c r="BO88" s="68">
        <f t="shared" ca="1" si="35"/>
        <v>0</v>
      </c>
      <c r="BP88" s="68">
        <f t="shared" ca="1" si="32"/>
        <v>0</v>
      </c>
      <c r="BQ88" s="68">
        <f t="shared" ca="1" si="32"/>
        <v>0</v>
      </c>
      <c r="BR88" s="68">
        <f t="shared" ca="1" si="32"/>
        <v>0</v>
      </c>
      <c r="BS88" s="68">
        <f t="shared" ca="1" si="32"/>
        <v>0</v>
      </c>
      <c r="BT88" s="68">
        <f t="shared" ca="1" si="32"/>
        <v>0</v>
      </c>
    </row>
    <row r="89" spans="2:72" x14ac:dyDescent="0.2">
      <c r="B89" s="88"/>
      <c r="G89" s="68" t="str">
        <f>ROW(A84)&amp;". "&amp;'Critical resources'!B95</f>
        <v xml:space="preserve">84. </v>
      </c>
      <c r="H89" s="68">
        <f ca="1">IFERROR(VLOOKUP('Critical resources'!D95,$B$6:$C$57,2,0),0)</f>
        <v>0</v>
      </c>
      <c r="I89" s="68">
        <f ca="1">IFERROR(VLOOKUP('Critical resources'!E95,$A$6:$C$57,3,0),0)</f>
        <v>0</v>
      </c>
      <c r="J89" s="68">
        <f ca="1">IFERROR(VLOOKUP('Critical resources'!G95,$B$6:$C$57,2,0),0)</f>
        <v>0</v>
      </c>
      <c r="K89" s="68">
        <f ca="1">IFERROR(VLOOKUP('Critical resources'!H95,$B$6:$C$57,2,0),0)</f>
        <v>0</v>
      </c>
      <c r="L89" s="68">
        <f ca="1">IFERROR(VLOOKUP('Critical resources'!J95,$B$6:$C$57,2,0),0)</f>
        <v>0</v>
      </c>
      <c r="M89" s="68">
        <f ca="1">IFERROR(VLOOKUP('Critical resources'!K95,$A$6:$C$57,3,0),0)</f>
        <v>0</v>
      </c>
      <c r="N89" s="68">
        <f ca="1">IFERROR(VLOOKUP('Critical resources'!M95,$B$6:$C$57,2,0),0)</f>
        <v>0</v>
      </c>
      <c r="O89" s="68">
        <f ca="1">IFERROR(VLOOKUP('Critical resources'!N95,$A$6:$C$57,3,0),0)</f>
        <v>0</v>
      </c>
      <c r="P89" s="68">
        <f ca="1">IFERROR(VLOOKUP('Critical resources'!P95,$B$6:$C$57,2,0),0)</f>
        <v>0</v>
      </c>
      <c r="Q89" s="68">
        <f ca="1">IFERROR(VLOOKUP('Critical resources'!Q95,$A$6:$C$57,3,0),0)</f>
        <v>0</v>
      </c>
      <c r="T89" s="68" t="str">
        <f t="shared" si="28"/>
        <v xml:space="preserve">84. </v>
      </c>
      <c r="U89" s="68">
        <f t="shared" ca="1" si="36"/>
        <v>0</v>
      </c>
      <c r="V89" s="68">
        <f t="shared" ca="1" si="36"/>
        <v>0</v>
      </c>
      <c r="W89" s="68">
        <f t="shared" ca="1" si="36"/>
        <v>0</v>
      </c>
      <c r="X89" s="68">
        <f t="shared" ca="1" si="36"/>
        <v>0</v>
      </c>
      <c r="Y89" s="68">
        <f t="shared" ca="1" si="36"/>
        <v>0</v>
      </c>
      <c r="Z89" s="68">
        <f t="shared" ca="1" si="36"/>
        <v>0</v>
      </c>
      <c r="AA89" s="68">
        <f t="shared" ca="1" si="36"/>
        <v>0</v>
      </c>
      <c r="AB89" s="68">
        <f t="shared" ca="1" si="36"/>
        <v>0</v>
      </c>
      <c r="AC89" s="68">
        <f t="shared" ca="1" si="36"/>
        <v>0</v>
      </c>
      <c r="AD89" s="68">
        <f t="shared" ca="1" si="36"/>
        <v>0</v>
      </c>
      <c r="AE89" s="68">
        <f t="shared" ca="1" si="36"/>
        <v>0</v>
      </c>
      <c r="AF89" s="68">
        <f t="shared" ca="1" si="36"/>
        <v>0</v>
      </c>
      <c r="AG89" s="68">
        <f t="shared" ca="1" si="36"/>
        <v>0</v>
      </c>
      <c r="AH89" s="68">
        <f t="shared" ca="1" si="36"/>
        <v>0</v>
      </c>
      <c r="AI89" s="68">
        <f t="shared" ca="1" si="36"/>
        <v>0</v>
      </c>
      <c r="AJ89" s="68">
        <f t="shared" ca="1" si="36"/>
        <v>0</v>
      </c>
      <c r="AK89" s="68">
        <f t="shared" ca="1" si="34"/>
        <v>0</v>
      </c>
      <c r="AL89" s="68">
        <f t="shared" ca="1" si="34"/>
        <v>0</v>
      </c>
      <c r="AM89" s="68">
        <f t="shared" ca="1" si="34"/>
        <v>0</v>
      </c>
      <c r="AN89" s="68">
        <f t="shared" ca="1" si="34"/>
        <v>0</v>
      </c>
      <c r="AO89" s="68">
        <f t="shared" ca="1" si="34"/>
        <v>0</v>
      </c>
      <c r="AP89" s="68">
        <f t="shared" ca="1" si="34"/>
        <v>0</v>
      </c>
      <c r="AQ89" s="68">
        <f t="shared" ca="1" si="34"/>
        <v>0</v>
      </c>
      <c r="AR89" s="68">
        <f t="shared" ca="1" si="34"/>
        <v>0</v>
      </c>
      <c r="AS89" s="68">
        <f t="shared" ca="1" si="34"/>
        <v>0</v>
      </c>
      <c r="AT89" s="68">
        <f t="shared" ca="1" si="34"/>
        <v>0</v>
      </c>
      <c r="AU89" s="68">
        <f t="shared" ca="1" si="34"/>
        <v>0</v>
      </c>
      <c r="AV89" s="68">
        <f t="shared" ca="1" si="34"/>
        <v>0</v>
      </c>
      <c r="AW89" s="68">
        <f t="shared" ca="1" si="34"/>
        <v>0</v>
      </c>
      <c r="AX89" s="68">
        <f t="shared" ca="1" si="34"/>
        <v>0</v>
      </c>
      <c r="AY89" s="68">
        <f t="shared" ca="1" si="33"/>
        <v>0</v>
      </c>
      <c r="AZ89" s="68">
        <f t="shared" ca="1" si="33"/>
        <v>0</v>
      </c>
      <c r="BA89" s="68">
        <f t="shared" ca="1" si="33"/>
        <v>0</v>
      </c>
      <c r="BB89" s="68">
        <f t="shared" ca="1" si="33"/>
        <v>0</v>
      </c>
      <c r="BC89" s="68">
        <f t="shared" ca="1" si="33"/>
        <v>0</v>
      </c>
      <c r="BD89" s="68">
        <f t="shared" ca="1" si="33"/>
        <v>0</v>
      </c>
      <c r="BE89" s="68">
        <f t="shared" ca="1" si="33"/>
        <v>0</v>
      </c>
      <c r="BF89" s="68">
        <f t="shared" ca="1" si="33"/>
        <v>0</v>
      </c>
      <c r="BG89" s="68">
        <f t="shared" ca="1" si="33"/>
        <v>0</v>
      </c>
      <c r="BH89" s="68">
        <f t="shared" ca="1" si="33"/>
        <v>0</v>
      </c>
      <c r="BI89" s="68">
        <f t="shared" ca="1" si="33"/>
        <v>0</v>
      </c>
      <c r="BJ89" s="68">
        <f t="shared" ca="1" si="33"/>
        <v>0</v>
      </c>
      <c r="BK89" s="68">
        <f t="shared" ca="1" si="33"/>
        <v>0</v>
      </c>
      <c r="BL89" s="68">
        <f t="shared" ca="1" si="33"/>
        <v>0</v>
      </c>
      <c r="BM89" s="68">
        <f t="shared" ca="1" si="33"/>
        <v>0</v>
      </c>
      <c r="BN89" s="68">
        <f t="shared" ca="1" si="33"/>
        <v>0</v>
      </c>
      <c r="BO89" s="68">
        <f t="shared" ca="1" si="35"/>
        <v>0</v>
      </c>
      <c r="BP89" s="68">
        <f t="shared" ca="1" si="32"/>
        <v>0</v>
      </c>
      <c r="BQ89" s="68">
        <f t="shared" ca="1" si="32"/>
        <v>0</v>
      </c>
      <c r="BR89" s="68">
        <f t="shared" ca="1" si="32"/>
        <v>0</v>
      </c>
      <c r="BS89" s="68">
        <f t="shared" ca="1" si="32"/>
        <v>0</v>
      </c>
      <c r="BT89" s="68">
        <f t="shared" ca="1" si="32"/>
        <v>0</v>
      </c>
    </row>
    <row r="90" spans="2:72" x14ac:dyDescent="0.2">
      <c r="B90" s="88"/>
      <c r="G90" s="68" t="str">
        <f>ROW(A85)&amp;". "&amp;'Critical resources'!B96</f>
        <v xml:space="preserve">85. </v>
      </c>
      <c r="H90" s="68">
        <f ca="1">IFERROR(VLOOKUP('Critical resources'!D96,$B$6:$C$57,2,0),0)</f>
        <v>0</v>
      </c>
      <c r="I90" s="68">
        <f ca="1">IFERROR(VLOOKUP('Critical resources'!E96,$A$6:$C$57,3,0),0)</f>
        <v>0</v>
      </c>
      <c r="J90" s="68">
        <f ca="1">IFERROR(VLOOKUP('Critical resources'!G96,$B$6:$C$57,2,0),0)</f>
        <v>0</v>
      </c>
      <c r="K90" s="68">
        <f ca="1">IFERROR(VLOOKUP('Critical resources'!H96,$B$6:$C$57,2,0),0)</f>
        <v>0</v>
      </c>
      <c r="L90" s="68">
        <f ca="1">IFERROR(VLOOKUP('Critical resources'!J96,$B$6:$C$57,2,0),0)</f>
        <v>0</v>
      </c>
      <c r="M90" s="68">
        <f ca="1">IFERROR(VLOOKUP('Critical resources'!K96,$A$6:$C$57,3,0),0)</f>
        <v>0</v>
      </c>
      <c r="N90" s="68">
        <f ca="1">IFERROR(VLOOKUP('Critical resources'!M96,$B$6:$C$57,2,0),0)</f>
        <v>0</v>
      </c>
      <c r="O90" s="68">
        <f ca="1">IFERROR(VLOOKUP('Critical resources'!N96,$A$6:$C$57,3,0),0)</f>
        <v>0</v>
      </c>
      <c r="P90" s="68">
        <f ca="1">IFERROR(VLOOKUP('Critical resources'!P96,$B$6:$C$57,2,0),0)</f>
        <v>0</v>
      </c>
      <c r="Q90" s="68">
        <f ca="1">IFERROR(VLOOKUP('Critical resources'!Q96,$A$6:$C$57,3,0),0)</f>
        <v>0</v>
      </c>
      <c r="T90" s="68" t="str">
        <f t="shared" si="28"/>
        <v xml:space="preserve">85. </v>
      </c>
      <c r="U90" s="68">
        <f t="shared" ca="1" si="36"/>
        <v>0</v>
      </c>
      <c r="V90" s="68">
        <f t="shared" ca="1" si="36"/>
        <v>0</v>
      </c>
      <c r="W90" s="68">
        <f t="shared" ca="1" si="36"/>
        <v>0</v>
      </c>
      <c r="X90" s="68">
        <f t="shared" ca="1" si="36"/>
        <v>0</v>
      </c>
      <c r="Y90" s="68">
        <f t="shared" ca="1" si="36"/>
        <v>0</v>
      </c>
      <c r="Z90" s="68">
        <f t="shared" ca="1" si="36"/>
        <v>0</v>
      </c>
      <c r="AA90" s="68">
        <f t="shared" ca="1" si="36"/>
        <v>0</v>
      </c>
      <c r="AB90" s="68">
        <f t="shared" ca="1" si="36"/>
        <v>0</v>
      </c>
      <c r="AC90" s="68">
        <f t="shared" ca="1" si="36"/>
        <v>0</v>
      </c>
      <c r="AD90" s="68">
        <f t="shared" ca="1" si="36"/>
        <v>0</v>
      </c>
      <c r="AE90" s="68">
        <f t="shared" ca="1" si="36"/>
        <v>0</v>
      </c>
      <c r="AF90" s="68">
        <f t="shared" ca="1" si="36"/>
        <v>0</v>
      </c>
      <c r="AG90" s="68">
        <f t="shared" ca="1" si="36"/>
        <v>0</v>
      </c>
      <c r="AH90" s="68">
        <f t="shared" ca="1" si="36"/>
        <v>0</v>
      </c>
      <c r="AI90" s="68">
        <f t="shared" ca="1" si="36"/>
        <v>0</v>
      </c>
      <c r="AJ90" s="68">
        <f t="shared" ca="1" si="36"/>
        <v>0</v>
      </c>
      <c r="AK90" s="68">
        <f t="shared" ca="1" si="34"/>
        <v>0</v>
      </c>
      <c r="AL90" s="68">
        <f t="shared" ca="1" si="34"/>
        <v>0</v>
      </c>
      <c r="AM90" s="68">
        <f t="shared" ca="1" si="34"/>
        <v>0</v>
      </c>
      <c r="AN90" s="68">
        <f t="shared" ca="1" si="34"/>
        <v>0</v>
      </c>
      <c r="AO90" s="68">
        <f t="shared" ca="1" si="34"/>
        <v>0</v>
      </c>
      <c r="AP90" s="68">
        <f t="shared" ca="1" si="34"/>
        <v>0</v>
      </c>
      <c r="AQ90" s="68">
        <f t="shared" ca="1" si="34"/>
        <v>0</v>
      </c>
      <c r="AR90" s="68">
        <f t="shared" ca="1" si="34"/>
        <v>0</v>
      </c>
      <c r="AS90" s="68">
        <f t="shared" ca="1" si="34"/>
        <v>0</v>
      </c>
      <c r="AT90" s="68">
        <f t="shared" ca="1" si="34"/>
        <v>0</v>
      </c>
      <c r="AU90" s="68">
        <f t="shared" ca="1" si="34"/>
        <v>0</v>
      </c>
      <c r="AV90" s="68">
        <f t="shared" ca="1" si="34"/>
        <v>0</v>
      </c>
      <c r="AW90" s="68">
        <f t="shared" ca="1" si="34"/>
        <v>0</v>
      </c>
      <c r="AX90" s="68">
        <f t="shared" ca="1" si="34"/>
        <v>0</v>
      </c>
      <c r="AY90" s="68">
        <f t="shared" ca="1" si="33"/>
        <v>0</v>
      </c>
      <c r="AZ90" s="68">
        <f t="shared" ca="1" si="33"/>
        <v>0</v>
      </c>
      <c r="BA90" s="68">
        <f t="shared" ca="1" si="33"/>
        <v>0</v>
      </c>
      <c r="BB90" s="68">
        <f t="shared" ca="1" si="33"/>
        <v>0</v>
      </c>
      <c r="BC90" s="68">
        <f t="shared" ca="1" si="33"/>
        <v>0</v>
      </c>
      <c r="BD90" s="68">
        <f t="shared" ca="1" si="33"/>
        <v>0</v>
      </c>
      <c r="BE90" s="68">
        <f t="shared" ca="1" si="33"/>
        <v>0</v>
      </c>
      <c r="BF90" s="68">
        <f t="shared" ca="1" si="33"/>
        <v>0</v>
      </c>
      <c r="BG90" s="68">
        <f t="shared" ca="1" si="33"/>
        <v>0</v>
      </c>
      <c r="BH90" s="68">
        <f t="shared" ca="1" si="33"/>
        <v>0</v>
      </c>
      <c r="BI90" s="68">
        <f t="shared" ca="1" si="33"/>
        <v>0</v>
      </c>
      <c r="BJ90" s="68">
        <f t="shared" ca="1" si="33"/>
        <v>0</v>
      </c>
      <c r="BK90" s="68">
        <f t="shared" ca="1" si="33"/>
        <v>0</v>
      </c>
      <c r="BL90" s="68">
        <f t="shared" ca="1" si="33"/>
        <v>0</v>
      </c>
      <c r="BM90" s="68">
        <f t="shared" ca="1" si="33"/>
        <v>0</v>
      </c>
      <c r="BN90" s="68">
        <f t="shared" ca="1" si="33"/>
        <v>0</v>
      </c>
      <c r="BO90" s="68">
        <f t="shared" ca="1" si="35"/>
        <v>0</v>
      </c>
      <c r="BP90" s="68">
        <f t="shared" ca="1" si="32"/>
        <v>0</v>
      </c>
      <c r="BQ90" s="68">
        <f t="shared" ca="1" si="32"/>
        <v>0</v>
      </c>
      <c r="BR90" s="68">
        <f t="shared" ca="1" si="32"/>
        <v>0</v>
      </c>
      <c r="BS90" s="68">
        <f t="shared" ca="1" si="32"/>
        <v>0</v>
      </c>
      <c r="BT90" s="68">
        <f t="shared" ca="1" si="32"/>
        <v>0</v>
      </c>
    </row>
    <row r="91" spans="2:72" x14ac:dyDescent="0.2">
      <c r="B91" s="88"/>
      <c r="G91" s="68" t="str">
        <f>ROW(A86)&amp;". "&amp;'Critical resources'!B97</f>
        <v xml:space="preserve">86. </v>
      </c>
      <c r="H91" s="68">
        <f ca="1">IFERROR(VLOOKUP('Critical resources'!D97,$B$6:$C$57,2,0),0)</f>
        <v>0</v>
      </c>
      <c r="I91" s="68">
        <f ca="1">IFERROR(VLOOKUP('Critical resources'!E97,$A$6:$C$57,3,0),0)</f>
        <v>0</v>
      </c>
      <c r="J91" s="68">
        <f ca="1">IFERROR(VLOOKUP('Critical resources'!G97,$B$6:$C$57,2,0),0)</f>
        <v>0</v>
      </c>
      <c r="K91" s="68">
        <f ca="1">IFERROR(VLOOKUP('Critical resources'!H97,$B$6:$C$57,2,0),0)</f>
        <v>0</v>
      </c>
      <c r="L91" s="68">
        <f ca="1">IFERROR(VLOOKUP('Critical resources'!J97,$B$6:$C$57,2,0),0)</f>
        <v>0</v>
      </c>
      <c r="M91" s="68">
        <f ca="1">IFERROR(VLOOKUP('Critical resources'!K97,$A$6:$C$57,3,0),0)</f>
        <v>0</v>
      </c>
      <c r="N91" s="68">
        <f ca="1">IFERROR(VLOOKUP('Critical resources'!M97,$B$6:$C$57,2,0),0)</f>
        <v>0</v>
      </c>
      <c r="O91" s="68">
        <f ca="1">IFERROR(VLOOKUP('Critical resources'!N97,$A$6:$C$57,3,0),0)</f>
        <v>0</v>
      </c>
      <c r="P91" s="68">
        <f ca="1">IFERROR(VLOOKUP('Critical resources'!P97,$B$6:$C$57,2,0),0)</f>
        <v>0</v>
      </c>
      <c r="Q91" s="68">
        <f ca="1">IFERROR(VLOOKUP('Critical resources'!Q97,$A$6:$C$57,3,0),0)</f>
        <v>0</v>
      </c>
      <c r="T91" s="68" t="str">
        <f t="shared" si="28"/>
        <v xml:space="preserve">86. </v>
      </c>
      <c r="U91" s="68">
        <f t="shared" ca="1" si="36"/>
        <v>0</v>
      </c>
      <c r="V91" s="68">
        <f t="shared" ca="1" si="36"/>
        <v>0</v>
      </c>
      <c r="W91" s="68">
        <f t="shared" ca="1" si="36"/>
        <v>0</v>
      </c>
      <c r="X91" s="68">
        <f t="shared" ca="1" si="36"/>
        <v>0</v>
      </c>
      <c r="Y91" s="68">
        <f t="shared" ca="1" si="36"/>
        <v>0</v>
      </c>
      <c r="Z91" s="68">
        <f t="shared" ca="1" si="36"/>
        <v>0</v>
      </c>
      <c r="AA91" s="68">
        <f t="shared" ca="1" si="36"/>
        <v>0</v>
      </c>
      <c r="AB91" s="68">
        <f t="shared" ca="1" si="36"/>
        <v>0</v>
      </c>
      <c r="AC91" s="68">
        <f t="shared" ca="1" si="36"/>
        <v>0</v>
      </c>
      <c r="AD91" s="68">
        <f t="shared" ca="1" si="36"/>
        <v>0</v>
      </c>
      <c r="AE91" s="68">
        <f t="shared" ca="1" si="36"/>
        <v>0</v>
      </c>
      <c r="AF91" s="68">
        <f t="shared" ca="1" si="36"/>
        <v>0</v>
      </c>
      <c r="AG91" s="68">
        <f t="shared" ca="1" si="36"/>
        <v>0</v>
      </c>
      <c r="AH91" s="68">
        <f t="shared" ca="1" si="36"/>
        <v>0</v>
      </c>
      <c r="AI91" s="68">
        <f t="shared" ca="1" si="36"/>
        <v>0</v>
      </c>
      <c r="AJ91" s="68">
        <f t="shared" ca="1" si="36"/>
        <v>0</v>
      </c>
      <c r="AK91" s="68">
        <f t="shared" ca="1" si="34"/>
        <v>0</v>
      </c>
      <c r="AL91" s="68">
        <f t="shared" ca="1" si="34"/>
        <v>0</v>
      </c>
      <c r="AM91" s="68">
        <f t="shared" ca="1" si="34"/>
        <v>0</v>
      </c>
      <c r="AN91" s="68">
        <f t="shared" ca="1" si="34"/>
        <v>0</v>
      </c>
      <c r="AO91" s="68">
        <f t="shared" ca="1" si="34"/>
        <v>0</v>
      </c>
      <c r="AP91" s="68">
        <f t="shared" ca="1" si="34"/>
        <v>0</v>
      </c>
      <c r="AQ91" s="68">
        <f t="shared" ca="1" si="34"/>
        <v>0</v>
      </c>
      <c r="AR91" s="68">
        <f t="shared" ca="1" si="34"/>
        <v>0</v>
      </c>
      <c r="AS91" s="68">
        <f t="shared" ca="1" si="34"/>
        <v>0</v>
      </c>
      <c r="AT91" s="68">
        <f t="shared" ca="1" si="34"/>
        <v>0</v>
      </c>
      <c r="AU91" s="68">
        <f t="shared" ca="1" si="34"/>
        <v>0</v>
      </c>
      <c r="AV91" s="68">
        <f t="shared" ca="1" si="34"/>
        <v>0</v>
      </c>
      <c r="AW91" s="68">
        <f t="shared" ca="1" si="34"/>
        <v>0</v>
      </c>
      <c r="AX91" s="68">
        <f t="shared" ca="1" si="34"/>
        <v>0</v>
      </c>
      <c r="AY91" s="68">
        <f t="shared" ca="1" si="33"/>
        <v>0</v>
      </c>
      <c r="AZ91" s="68">
        <f t="shared" ca="1" si="33"/>
        <v>0</v>
      </c>
      <c r="BA91" s="68">
        <f t="shared" ca="1" si="33"/>
        <v>0</v>
      </c>
      <c r="BB91" s="68">
        <f t="shared" ca="1" si="33"/>
        <v>0</v>
      </c>
      <c r="BC91" s="68">
        <f t="shared" ca="1" si="33"/>
        <v>0</v>
      </c>
      <c r="BD91" s="68">
        <f t="shared" ca="1" si="33"/>
        <v>0</v>
      </c>
      <c r="BE91" s="68">
        <f t="shared" ca="1" si="33"/>
        <v>0</v>
      </c>
      <c r="BF91" s="68">
        <f t="shared" ca="1" si="33"/>
        <v>0</v>
      </c>
      <c r="BG91" s="68">
        <f t="shared" ca="1" si="33"/>
        <v>0</v>
      </c>
      <c r="BH91" s="68">
        <f t="shared" ca="1" si="33"/>
        <v>0</v>
      </c>
      <c r="BI91" s="68">
        <f t="shared" ca="1" si="33"/>
        <v>0</v>
      </c>
      <c r="BJ91" s="68">
        <f t="shared" ca="1" si="33"/>
        <v>0</v>
      </c>
      <c r="BK91" s="68">
        <f t="shared" ca="1" si="33"/>
        <v>0</v>
      </c>
      <c r="BL91" s="68">
        <f t="shared" ca="1" si="33"/>
        <v>0</v>
      </c>
      <c r="BM91" s="68">
        <f t="shared" ca="1" si="33"/>
        <v>0</v>
      </c>
      <c r="BN91" s="68">
        <f t="shared" ca="1" si="33"/>
        <v>0</v>
      </c>
      <c r="BO91" s="68">
        <f t="shared" ca="1" si="35"/>
        <v>0</v>
      </c>
      <c r="BP91" s="68">
        <f t="shared" ca="1" si="32"/>
        <v>0</v>
      </c>
      <c r="BQ91" s="68">
        <f t="shared" ca="1" si="32"/>
        <v>0</v>
      </c>
      <c r="BR91" s="68">
        <f t="shared" ca="1" si="32"/>
        <v>0</v>
      </c>
      <c r="BS91" s="68">
        <f t="shared" ca="1" si="32"/>
        <v>0</v>
      </c>
      <c r="BT91" s="68">
        <f t="shared" ca="1" si="32"/>
        <v>0</v>
      </c>
    </row>
    <row r="92" spans="2:72" x14ac:dyDescent="0.2">
      <c r="B92" s="88"/>
      <c r="G92" s="68" t="str">
        <f>ROW(A87)&amp;". "&amp;'Critical resources'!B98</f>
        <v xml:space="preserve">87. </v>
      </c>
      <c r="H92" s="68">
        <f ca="1">IFERROR(VLOOKUP('Critical resources'!D98,$B$6:$C$57,2,0),0)</f>
        <v>0</v>
      </c>
      <c r="I92" s="68">
        <f ca="1">IFERROR(VLOOKUP('Critical resources'!E98,$A$6:$C$57,3,0),0)</f>
        <v>0</v>
      </c>
      <c r="J92" s="68">
        <f ca="1">IFERROR(VLOOKUP('Critical resources'!G98,$B$6:$C$57,2,0),0)</f>
        <v>0</v>
      </c>
      <c r="K92" s="68">
        <f ca="1">IFERROR(VLOOKUP('Critical resources'!H98,$B$6:$C$57,2,0),0)</f>
        <v>0</v>
      </c>
      <c r="L92" s="68">
        <f ca="1">IFERROR(VLOOKUP('Critical resources'!J98,$B$6:$C$57,2,0),0)</f>
        <v>0</v>
      </c>
      <c r="M92" s="68">
        <f ca="1">IFERROR(VLOOKUP('Critical resources'!K98,$A$6:$C$57,3,0),0)</f>
        <v>0</v>
      </c>
      <c r="N92" s="68">
        <f ca="1">IFERROR(VLOOKUP('Critical resources'!M98,$B$6:$C$57,2,0),0)</f>
        <v>0</v>
      </c>
      <c r="O92" s="68">
        <f ca="1">IFERROR(VLOOKUP('Critical resources'!N98,$A$6:$C$57,3,0),0)</f>
        <v>0</v>
      </c>
      <c r="P92" s="68">
        <f ca="1">IFERROR(VLOOKUP('Critical resources'!P98,$B$6:$C$57,2,0),0)</f>
        <v>0</v>
      </c>
      <c r="Q92" s="68">
        <f ca="1">IFERROR(VLOOKUP('Critical resources'!Q98,$A$6:$C$57,3,0),0)</f>
        <v>0</v>
      </c>
      <c r="T92" s="68" t="str">
        <f t="shared" si="28"/>
        <v xml:space="preserve">87. </v>
      </c>
      <c r="U92" s="68">
        <f t="shared" ca="1" si="36"/>
        <v>0</v>
      </c>
      <c r="V92" s="68">
        <f t="shared" ca="1" si="36"/>
        <v>0</v>
      </c>
      <c r="W92" s="68">
        <f t="shared" ca="1" si="36"/>
        <v>0</v>
      </c>
      <c r="X92" s="68">
        <f t="shared" ca="1" si="36"/>
        <v>0</v>
      </c>
      <c r="Y92" s="68">
        <f t="shared" ca="1" si="36"/>
        <v>0</v>
      </c>
      <c r="Z92" s="68">
        <f t="shared" ca="1" si="36"/>
        <v>0</v>
      </c>
      <c r="AA92" s="68">
        <f t="shared" ca="1" si="36"/>
        <v>0</v>
      </c>
      <c r="AB92" s="68">
        <f t="shared" ca="1" si="36"/>
        <v>0</v>
      </c>
      <c r="AC92" s="68">
        <f t="shared" ca="1" si="36"/>
        <v>0</v>
      </c>
      <c r="AD92" s="68">
        <f t="shared" ca="1" si="36"/>
        <v>0</v>
      </c>
      <c r="AE92" s="68">
        <f t="shared" ca="1" si="36"/>
        <v>0</v>
      </c>
      <c r="AF92" s="68">
        <f t="shared" ca="1" si="36"/>
        <v>0</v>
      </c>
      <c r="AG92" s="68">
        <f t="shared" ca="1" si="36"/>
        <v>0</v>
      </c>
      <c r="AH92" s="68">
        <f t="shared" ca="1" si="36"/>
        <v>0</v>
      </c>
      <c r="AI92" s="68">
        <f t="shared" ca="1" si="36"/>
        <v>0</v>
      </c>
      <c r="AJ92" s="68">
        <f t="shared" ca="1" si="36"/>
        <v>0</v>
      </c>
      <c r="AK92" s="68">
        <f t="shared" ca="1" si="34"/>
        <v>0</v>
      </c>
      <c r="AL92" s="68">
        <f t="shared" ca="1" si="34"/>
        <v>0</v>
      </c>
      <c r="AM92" s="68">
        <f t="shared" ca="1" si="34"/>
        <v>0</v>
      </c>
      <c r="AN92" s="68">
        <f t="shared" ca="1" si="34"/>
        <v>0</v>
      </c>
      <c r="AO92" s="68">
        <f t="shared" ca="1" si="34"/>
        <v>0</v>
      </c>
      <c r="AP92" s="68">
        <f t="shared" ca="1" si="34"/>
        <v>0</v>
      </c>
      <c r="AQ92" s="68">
        <f t="shared" ca="1" si="34"/>
        <v>0</v>
      </c>
      <c r="AR92" s="68">
        <f t="shared" ca="1" si="34"/>
        <v>0</v>
      </c>
      <c r="AS92" s="68">
        <f t="shared" ca="1" si="34"/>
        <v>0</v>
      </c>
      <c r="AT92" s="68">
        <f t="shared" ca="1" si="34"/>
        <v>0</v>
      </c>
      <c r="AU92" s="68">
        <f t="shared" ca="1" si="34"/>
        <v>0</v>
      </c>
      <c r="AV92" s="68">
        <f t="shared" ca="1" si="34"/>
        <v>0</v>
      </c>
      <c r="AW92" s="68">
        <f t="shared" ca="1" si="34"/>
        <v>0</v>
      </c>
      <c r="AX92" s="68">
        <f t="shared" ca="1" si="34"/>
        <v>0</v>
      </c>
      <c r="AY92" s="68">
        <f t="shared" ca="1" si="33"/>
        <v>0</v>
      </c>
      <c r="AZ92" s="68">
        <f t="shared" ca="1" si="33"/>
        <v>0</v>
      </c>
      <c r="BA92" s="68">
        <f t="shared" ca="1" si="33"/>
        <v>0</v>
      </c>
      <c r="BB92" s="68">
        <f t="shared" ca="1" si="33"/>
        <v>0</v>
      </c>
      <c r="BC92" s="68">
        <f t="shared" ca="1" si="33"/>
        <v>0</v>
      </c>
      <c r="BD92" s="68">
        <f t="shared" ca="1" si="33"/>
        <v>0</v>
      </c>
      <c r="BE92" s="68">
        <f t="shared" ca="1" si="33"/>
        <v>0</v>
      </c>
      <c r="BF92" s="68">
        <f t="shared" ca="1" si="33"/>
        <v>0</v>
      </c>
      <c r="BG92" s="68">
        <f t="shared" ca="1" si="33"/>
        <v>0</v>
      </c>
      <c r="BH92" s="68">
        <f t="shared" ca="1" si="33"/>
        <v>0</v>
      </c>
      <c r="BI92" s="68">
        <f t="shared" ca="1" si="33"/>
        <v>0</v>
      </c>
      <c r="BJ92" s="68">
        <f t="shared" ca="1" si="33"/>
        <v>0</v>
      </c>
      <c r="BK92" s="68">
        <f t="shared" ca="1" si="33"/>
        <v>0</v>
      </c>
      <c r="BL92" s="68">
        <f t="shared" ca="1" si="33"/>
        <v>0</v>
      </c>
      <c r="BM92" s="68">
        <f t="shared" ca="1" si="33"/>
        <v>0</v>
      </c>
      <c r="BN92" s="68">
        <f t="shared" ca="1" si="33"/>
        <v>0</v>
      </c>
      <c r="BO92" s="68">
        <f t="shared" ca="1" si="35"/>
        <v>0</v>
      </c>
      <c r="BP92" s="68">
        <f t="shared" ca="1" si="32"/>
        <v>0</v>
      </c>
      <c r="BQ92" s="68">
        <f t="shared" ca="1" si="32"/>
        <v>0</v>
      </c>
      <c r="BR92" s="68">
        <f t="shared" ca="1" si="32"/>
        <v>0</v>
      </c>
      <c r="BS92" s="68">
        <f t="shared" ca="1" si="32"/>
        <v>0</v>
      </c>
      <c r="BT92" s="68">
        <f t="shared" ca="1" si="32"/>
        <v>0</v>
      </c>
    </row>
    <row r="93" spans="2:72" x14ac:dyDescent="0.2">
      <c r="B93" s="88"/>
      <c r="G93" s="68" t="str">
        <f>ROW(A88)&amp;". "&amp;'Critical resources'!B99</f>
        <v xml:space="preserve">88. </v>
      </c>
      <c r="H93" s="68">
        <f ca="1">IFERROR(VLOOKUP('Critical resources'!D99,$B$6:$C$57,2,0),0)</f>
        <v>0</v>
      </c>
      <c r="I93" s="68">
        <f ca="1">IFERROR(VLOOKUP('Critical resources'!E99,$A$6:$C$57,3,0),0)</f>
        <v>0</v>
      </c>
      <c r="J93" s="68">
        <f ca="1">IFERROR(VLOOKUP('Critical resources'!G99,$B$6:$C$57,2,0),0)</f>
        <v>0</v>
      </c>
      <c r="K93" s="68">
        <f ca="1">IFERROR(VLOOKUP('Critical resources'!H99,$B$6:$C$57,2,0),0)</f>
        <v>0</v>
      </c>
      <c r="L93" s="68">
        <f ca="1">IFERROR(VLOOKUP('Critical resources'!J99,$B$6:$C$57,2,0),0)</f>
        <v>0</v>
      </c>
      <c r="M93" s="68">
        <f ca="1">IFERROR(VLOOKUP('Critical resources'!K99,$A$6:$C$57,3,0),0)</f>
        <v>0</v>
      </c>
      <c r="N93" s="68">
        <f ca="1">IFERROR(VLOOKUP('Critical resources'!M99,$B$6:$C$57,2,0),0)</f>
        <v>0</v>
      </c>
      <c r="O93" s="68">
        <f ca="1">IFERROR(VLOOKUP('Critical resources'!N99,$A$6:$C$57,3,0),0)</f>
        <v>0</v>
      </c>
      <c r="P93" s="68">
        <f ca="1">IFERROR(VLOOKUP('Critical resources'!P99,$B$6:$C$57,2,0),0)</f>
        <v>0</v>
      </c>
      <c r="Q93" s="68">
        <f ca="1">IFERROR(VLOOKUP('Critical resources'!Q99,$A$6:$C$57,3,0),0)</f>
        <v>0</v>
      </c>
      <c r="T93" s="68" t="str">
        <f t="shared" si="28"/>
        <v xml:space="preserve">88. </v>
      </c>
      <c r="U93" s="68">
        <f t="shared" ca="1" si="36"/>
        <v>0</v>
      </c>
      <c r="V93" s="68">
        <f t="shared" ca="1" si="36"/>
        <v>0</v>
      </c>
      <c r="W93" s="68">
        <f t="shared" ca="1" si="36"/>
        <v>0</v>
      </c>
      <c r="X93" s="68">
        <f t="shared" ca="1" si="36"/>
        <v>0</v>
      </c>
      <c r="Y93" s="68">
        <f t="shared" ca="1" si="36"/>
        <v>0</v>
      </c>
      <c r="Z93" s="68">
        <f t="shared" ca="1" si="36"/>
        <v>0</v>
      </c>
      <c r="AA93" s="68">
        <f t="shared" ca="1" si="36"/>
        <v>0</v>
      </c>
      <c r="AB93" s="68">
        <f t="shared" ca="1" si="36"/>
        <v>0</v>
      </c>
      <c r="AC93" s="68">
        <f t="shared" ca="1" si="36"/>
        <v>0</v>
      </c>
      <c r="AD93" s="68">
        <f t="shared" ca="1" si="36"/>
        <v>0</v>
      </c>
      <c r="AE93" s="68">
        <f t="shared" ca="1" si="36"/>
        <v>0</v>
      </c>
      <c r="AF93" s="68">
        <f t="shared" ca="1" si="36"/>
        <v>0</v>
      </c>
      <c r="AG93" s="68">
        <f t="shared" ca="1" si="36"/>
        <v>0</v>
      </c>
      <c r="AH93" s="68">
        <f t="shared" ca="1" si="36"/>
        <v>0</v>
      </c>
      <c r="AI93" s="68">
        <f t="shared" ca="1" si="36"/>
        <v>0</v>
      </c>
      <c r="AJ93" s="68">
        <f t="shared" ca="1" si="36"/>
        <v>0</v>
      </c>
      <c r="AK93" s="68">
        <f t="shared" ca="1" si="34"/>
        <v>0</v>
      </c>
      <c r="AL93" s="68">
        <f t="shared" ca="1" si="34"/>
        <v>0</v>
      </c>
      <c r="AM93" s="68">
        <f t="shared" ca="1" si="34"/>
        <v>0</v>
      </c>
      <c r="AN93" s="68">
        <f t="shared" ca="1" si="34"/>
        <v>0</v>
      </c>
      <c r="AO93" s="68">
        <f t="shared" ca="1" si="34"/>
        <v>0</v>
      </c>
      <c r="AP93" s="68">
        <f t="shared" ca="1" si="34"/>
        <v>0</v>
      </c>
      <c r="AQ93" s="68">
        <f t="shared" ca="1" si="34"/>
        <v>0</v>
      </c>
      <c r="AR93" s="68">
        <f t="shared" ca="1" si="34"/>
        <v>0</v>
      </c>
      <c r="AS93" s="68">
        <f t="shared" ca="1" si="34"/>
        <v>0</v>
      </c>
      <c r="AT93" s="68">
        <f t="shared" ca="1" si="34"/>
        <v>0</v>
      </c>
      <c r="AU93" s="68">
        <f t="shared" ca="1" si="34"/>
        <v>0</v>
      </c>
      <c r="AV93" s="68">
        <f t="shared" ca="1" si="34"/>
        <v>0</v>
      </c>
      <c r="AW93" s="68">
        <f t="shared" ca="1" si="34"/>
        <v>0</v>
      </c>
      <c r="AX93" s="68">
        <f t="shared" ca="1" si="34"/>
        <v>0</v>
      </c>
      <c r="AY93" s="68">
        <f t="shared" ca="1" si="33"/>
        <v>0</v>
      </c>
      <c r="AZ93" s="68">
        <f t="shared" ca="1" si="33"/>
        <v>0</v>
      </c>
      <c r="BA93" s="68">
        <f t="shared" ca="1" si="33"/>
        <v>0</v>
      </c>
      <c r="BB93" s="68">
        <f t="shared" ca="1" si="33"/>
        <v>0</v>
      </c>
      <c r="BC93" s="68">
        <f t="shared" ca="1" si="33"/>
        <v>0</v>
      </c>
      <c r="BD93" s="68">
        <f t="shared" ca="1" si="33"/>
        <v>0</v>
      </c>
      <c r="BE93" s="68">
        <f t="shared" ca="1" si="33"/>
        <v>0</v>
      </c>
      <c r="BF93" s="68">
        <f t="shared" ca="1" si="33"/>
        <v>0</v>
      </c>
      <c r="BG93" s="68">
        <f t="shared" ca="1" si="33"/>
        <v>0</v>
      </c>
      <c r="BH93" s="68">
        <f t="shared" ca="1" si="33"/>
        <v>0</v>
      </c>
      <c r="BI93" s="68">
        <f t="shared" ca="1" si="33"/>
        <v>0</v>
      </c>
      <c r="BJ93" s="68">
        <f t="shared" ca="1" si="33"/>
        <v>0</v>
      </c>
      <c r="BK93" s="68">
        <f t="shared" ca="1" si="33"/>
        <v>0</v>
      </c>
      <c r="BL93" s="68">
        <f t="shared" ca="1" si="33"/>
        <v>0</v>
      </c>
      <c r="BM93" s="68">
        <f t="shared" ca="1" si="33"/>
        <v>0</v>
      </c>
      <c r="BN93" s="68">
        <f t="shared" ca="1" si="33"/>
        <v>0</v>
      </c>
      <c r="BO93" s="68">
        <f t="shared" ca="1" si="35"/>
        <v>0</v>
      </c>
      <c r="BP93" s="68">
        <f t="shared" ca="1" si="32"/>
        <v>0</v>
      </c>
      <c r="BQ93" s="68">
        <f t="shared" ca="1" si="32"/>
        <v>0</v>
      </c>
      <c r="BR93" s="68">
        <f t="shared" ca="1" si="32"/>
        <v>0</v>
      </c>
      <c r="BS93" s="68">
        <f t="shared" ca="1" si="32"/>
        <v>0</v>
      </c>
      <c r="BT93" s="68">
        <f t="shared" ca="1" si="32"/>
        <v>0</v>
      </c>
    </row>
    <row r="94" spans="2:72" x14ac:dyDescent="0.2">
      <c r="B94" s="88"/>
      <c r="G94" s="68" t="str">
        <f>ROW(A89)&amp;". "&amp;'Critical resources'!B100</f>
        <v xml:space="preserve">89. </v>
      </c>
      <c r="H94" s="68">
        <f ca="1">IFERROR(VLOOKUP('Critical resources'!D100,$B$6:$C$57,2,0),0)</f>
        <v>0</v>
      </c>
      <c r="I94" s="68">
        <f ca="1">IFERROR(VLOOKUP('Critical resources'!E100,$A$6:$C$57,3,0),0)</f>
        <v>0</v>
      </c>
      <c r="J94" s="68">
        <f ca="1">IFERROR(VLOOKUP('Critical resources'!G100,$B$6:$C$57,2,0),0)</f>
        <v>0</v>
      </c>
      <c r="K94" s="68">
        <f ca="1">IFERROR(VLOOKUP('Critical resources'!H100,$B$6:$C$57,2,0),0)</f>
        <v>0</v>
      </c>
      <c r="L94" s="68">
        <f ca="1">IFERROR(VLOOKUP('Critical resources'!J100,$B$6:$C$57,2,0),0)</f>
        <v>0</v>
      </c>
      <c r="M94" s="68">
        <f ca="1">IFERROR(VLOOKUP('Critical resources'!K100,$A$6:$C$57,3,0),0)</f>
        <v>0</v>
      </c>
      <c r="N94" s="68">
        <f ca="1">IFERROR(VLOOKUP('Critical resources'!M100,$B$6:$C$57,2,0),0)</f>
        <v>0</v>
      </c>
      <c r="O94" s="68">
        <f ca="1">IFERROR(VLOOKUP('Critical resources'!N100,$A$6:$C$57,3,0),0)</f>
        <v>0</v>
      </c>
      <c r="P94" s="68">
        <f ca="1">IFERROR(VLOOKUP('Critical resources'!P100,$B$6:$C$57,2,0),0)</f>
        <v>0</v>
      </c>
      <c r="Q94" s="68">
        <f ca="1">IFERROR(VLOOKUP('Critical resources'!Q100,$A$6:$C$57,3,0),0)</f>
        <v>0</v>
      </c>
      <c r="T94" s="68" t="str">
        <f t="shared" si="28"/>
        <v xml:space="preserve">89. </v>
      </c>
      <c r="U94" s="68">
        <f t="shared" ca="1" si="36"/>
        <v>0</v>
      </c>
      <c r="V94" s="68">
        <f t="shared" ca="1" si="36"/>
        <v>0</v>
      </c>
      <c r="W94" s="68">
        <f t="shared" ca="1" si="36"/>
        <v>0</v>
      </c>
      <c r="X94" s="68">
        <f t="shared" ca="1" si="36"/>
        <v>0</v>
      </c>
      <c r="Y94" s="68">
        <f t="shared" ca="1" si="36"/>
        <v>0</v>
      </c>
      <c r="Z94" s="68">
        <f t="shared" ca="1" si="36"/>
        <v>0</v>
      </c>
      <c r="AA94" s="68">
        <f t="shared" ca="1" si="36"/>
        <v>0</v>
      </c>
      <c r="AB94" s="68">
        <f t="shared" ca="1" si="36"/>
        <v>0</v>
      </c>
      <c r="AC94" s="68">
        <f t="shared" ca="1" si="36"/>
        <v>0</v>
      </c>
      <c r="AD94" s="68">
        <f t="shared" ca="1" si="36"/>
        <v>0</v>
      </c>
      <c r="AE94" s="68">
        <f t="shared" ca="1" si="36"/>
        <v>0</v>
      </c>
      <c r="AF94" s="68">
        <f t="shared" ca="1" si="36"/>
        <v>0</v>
      </c>
      <c r="AG94" s="68">
        <f t="shared" ca="1" si="36"/>
        <v>0</v>
      </c>
      <c r="AH94" s="68">
        <f t="shared" ca="1" si="36"/>
        <v>0</v>
      </c>
      <c r="AI94" s="68">
        <f t="shared" ca="1" si="36"/>
        <v>0</v>
      </c>
      <c r="AJ94" s="68">
        <f t="shared" ca="1" si="36"/>
        <v>0</v>
      </c>
      <c r="AK94" s="68">
        <f t="shared" ca="1" si="34"/>
        <v>0</v>
      </c>
      <c r="AL94" s="68">
        <f t="shared" ca="1" si="34"/>
        <v>0</v>
      </c>
      <c r="AM94" s="68">
        <f t="shared" ca="1" si="34"/>
        <v>0</v>
      </c>
      <c r="AN94" s="68">
        <f t="shared" ca="1" si="34"/>
        <v>0</v>
      </c>
      <c r="AO94" s="68">
        <f t="shared" ca="1" si="34"/>
        <v>0</v>
      </c>
      <c r="AP94" s="68">
        <f t="shared" ca="1" si="34"/>
        <v>0</v>
      </c>
      <c r="AQ94" s="68">
        <f t="shared" ca="1" si="34"/>
        <v>0</v>
      </c>
      <c r="AR94" s="68">
        <f t="shared" ca="1" si="34"/>
        <v>0</v>
      </c>
      <c r="AS94" s="68">
        <f t="shared" ca="1" si="34"/>
        <v>0</v>
      </c>
      <c r="AT94" s="68">
        <f t="shared" ca="1" si="34"/>
        <v>0</v>
      </c>
      <c r="AU94" s="68">
        <f t="shared" ca="1" si="34"/>
        <v>0</v>
      </c>
      <c r="AV94" s="68">
        <f t="shared" ca="1" si="34"/>
        <v>0</v>
      </c>
      <c r="AW94" s="68">
        <f t="shared" ca="1" si="34"/>
        <v>0</v>
      </c>
      <c r="AX94" s="68">
        <f t="shared" ca="1" si="34"/>
        <v>0</v>
      </c>
      <c r="AY94" s="68">
        <f t="shared" ca="1" si="33"/>
        <v>0</v>
      </c>
      <c r="AZ94" s="68">
        <f t="shared" ca="1" si="33"/>
        <v>0</v>
      </c>
      <c r="BA94" s="68">
        <f t="shared" ca="1" si="33"/>
        <v>0</v>
      </c>
      <c r="BB94" s="68">
        <f t="shared" ca="1" si="33"/>
        <v>0</v>
      </c>
      <c r="BC94" s="68">
        <f t="shared" ca="1" si="33"/>
        <v>0</v>
      </c>
      <c r="BD94" s="68">
        <f t="shared" ca="1" si="33"/>
        <v>0</v>
      </c>
      <c r="BE94" s="68">
        <f t="shared" ca="1" si="33"/>
        <v>0</v>
      </c>
      <c r="BF94" s="68">
        <f t="shared" ca="1" si="33"/>
        <v>0</v>
      </c>
      <c r="BG94" s="68">
        <f t="shared" ca="1" si="33"/>
        <v>0</v>
      </c>
      <c r="BH94" s="68">
        <f t="shared" ca="1" si="33"/>
        <v>0</v>
      </c>
      <c r="BI94" s="68">
        <f t="shared" ca="1" si="33"/>
        <v>0</v>
      </c>
      <c r="BJ94" s="68">
        <f t="shared" ca="1" si="33"/>
        <v>0</v>
      </c>
      <c r="BK94" s="68">
        <f t="shared" ca="1" si="33"/>
        <v>0</v>
      </c>
      <c r="BL94" s="68">
        <f t="shared" ca="1" si="33"/>
        <v>0</v>
      </c>
      <c r="BM94" s="68">
        <f t="shared" ca="1" si="33"/>
        <v>0</v>
      </c>
      <c r="BN94" s="68">
        <f t="shared" ca="1" si="33"/>
        <v>0</v>
      </c>
      <c r="BO94" s="68">
        <f t="shared" ca="1" si="35"/>
        <v>0</v>
      </c>
      <c r="BP94" s="68">
        <f t="shared" ca="1" si="32"/>
        <v>0</v>
      </c>
      <c r="BQ94" s="68">
        <f t="shared" ca="1" si="32"/>
        <v>0</v>
      </c>
      <c r="BR94" s="68">
        <f t="shared" ca="1" si="32"/>
        <v>0</v>
      </c>
      <c r="BS94" s="68">
        <f t="shared" ca="1" si="32"/>
        <v>0</v>
      </c>
      <c r="BT94" s="68">
        <f t="shared" ca="1" si="32"/>
        <v>0</v>
      </c>
    </row>
    <row r="95" spans="2:72" x14ac:dyDescent="0.2">
      <c r="B95" s="88"/>
      <c r="G95" s="68" t="str">
        <f>ROW(A90)&amp;". "&amp;'Critical resources'!B101</f>
        <v xml:space="preserve">90. </v>
      </c>
      <c r="H95" s="68">
        <f ca="1">IFERROR(VLOOKUP('Critical resources'!D101,$B$6:$C$57,2,0),0)</f>
        <v>0</v>
      </c>
      <c r="I95" s="68">
        <f ca="1">IFERROR(VLOOKUP('Critical resources'!E101,$A$6:$C$57,3,0),0)</f>
        <v>0</v>
      </c>
      <c r="J95" s="68">
        <f ca="1">IFERROR(VLOOKUP('Critical resources'!G101,$B$6:$C$57,2,0),0)</f>
        <v>0</v>
      </c>
      <c r="K95" s="68">
        <f ca="1">IFERROR(VLOOKUP('Critical resources'!H101,$B$6:$C$57,2,0),0)</f>
        <v>0</v>
      </c>
      <c r="L95" s="68">
        <f ca="1">IFERROR(VLOOKUP('Critical resources'!J101,$B$6:$C$57,2,0),0)</f>
        <v>0</v>
      </c>
      <c r="M95" s="68">
        <f ca="1">IFERROR(VLOOKUP('Critical resources'!K101,$A$6:$C$57,3,0),0)</f>
        <v>0</v>
      </c>
      <c r="N95" s="68">
        <f ca="1">IFERROR(VLOOKUP('Critical resources'!M101,$B$6:$C$57,2,0),0)</f>
        <v>0</v>
      </c>
      <c r="O95" s="68">
        <f ca="1">IFERROR(VLOOKUP('Critical resources'!N101,$A$6:$C$57,3,0),0)</f>
        <v>0</v>
      </c>
      <c r="P95" s="68">
        <f ca="1">IFERROR(VLOOKUP('Critical resources'!P101,$B$6:$C$57,2,0),0)</f>
        <v>0</v>
      </c>
      <c r="Q95" s="68">
        <f ca="1">IFERROR(VLOOKUP('Critical resources'!Q101,$A$6:$C$57,3,0),0)</f>
        <v>0</v>
      </c>
      <c r="T95" s="68" t="str">
        <f t="shared" si="28"/>
        <v xml:space="preserve">90. </v>
      </c>
      <c r="U95" s="68">
        <f t="shared" ca="1" si="36"/>
        <v>0</v>
      </c>
      <c r="V95" s="68">
        <f t="shared" ca="1" si="36"/>
        <v>0</v>
      </c>
      <c r="W95" s="68">
        <f t="shared" ca="1" si="36"/>
        <v>0</v>
      </c>
      <c r="X95" s="68">
        <f t="shared" ca="1" si="36"/>
        <v>0</v>
      </c>
      <c r="Y95" s="68">
        <f t="shared" ca="1" si="36"/>
        <v>0</v>
      </c>
      <c r="Z95" s="68">
        <f t="shared" ca="1" si="36"/>
        <v>0</v>
      </c>
      <c r="AA95" s="68">
        <f t="shared" ca="1" si="36"/>
        <v>0</v>
      </c>
      <c r="AB95" s="68">
        <f t="shared" ca="1" si="36"/>
        <v>0</v>
      </c>
      <c r="AC95" s="68">
        <f t="shared" ca="1" si="36"/>
        <v>0</v>
      </c>
      <c r="AD95" s="68">
        <f t="shared" ca="1" si="36"/>
        <v>0</v>
      </c>
      <c r="AE95" s="68">
        <f t="shared" ca="1" si="36"/>
        <v>0</v>
      </c>
      <c r="AF95" s="68">
        <f t="shared" ca="1" si="36"/>
        <v>0</v>
      </c>
      <c r="AG95" s="68">
        <f t="shared" ca="1" si="36"/>
        <v>0</v>
      </c>
      <c r="AH95" s="68">
        <f t="shared" ca="1" si="36"/>
        <v>0</v>
      </c>
      <c r="AI95" s="68">
        <f t="shared" ca="1" si="36"/>
        <v>0</v>
      </c>
      <c r="AJ95" s="68">
        <f t="shared" ca="1" si="36"/>
        <v>0</v>
      </c>
      <c r="AK95" s="68">
        <f t="shared" ca="1" si="34"/>
        <v>0</v>
      </c>
      <c r="AL95" s="68">
        <f t="shared" ca="1" si="34"/>
        <v>0</v>
      </c>
      <c r="AM95" s="68">
        <f t="shared" ca="1" si="34"/>
        <v>0</v>
      </c>
      <c r="AN95" s="68">
        <f t="shared" ca="1" si="34"/>
        <v>0</v>
      </c>
      <c r="AO95" s="68">
        <f t="shared" ca="1" si="34"/>
        <v>0</v>
      </c>
      <c r="AP95" s="68">
        <f t="shared" ca="1" si="34"/>
        <v>0</v>
      </c>
      <c r="AQ95" s="68">
        <f t="shared" ca="1" si="34"/>
        <v>0</v>
      </c>
      <c r="AR95" s="68">
        <f t="shared" ca="1" si="34"/>
        <v>0</v>
      </c>
      <c r="AS95" s="68">
        <f t="shared" ca="1" si="34"/>
        <v>0</v>
      </c>
      <c r="AT95" s="68">
        <f t="shared" ca="1" si="34"/>
        <v>0</v>
      </c>
      <c r="AU95" s="68">
        <f t="shared" ca="1" si="34"/>
        <v>0</v>
      </c>
      <c r="AV95" s="68">
        <f t="shared" ca="1" si="34"/>
        <v>0</v>
      </c>
      <c r="AW95" s="68">
        <f t="shared" ca="1" si="34"/>
        <v>0</v>
      </c>
      <c r="AX95" s="68">
        <f t="shared" ca="1" si="34"/>
        <v>0</v>
      </c>
      <c r="AY95" s="68">
        <f t="shared" ca="1" si="33"/>
        <v>0</v>
      </c>
      <c r="AZ95" s="68">
        <f t="shared" ca="1" si="33"/>
        <v>0</v>
      </c>
      <c r="BA95" s="68">
        <f t="shared" ca="1" si="33"/>
        <v>0</v>
      </c>
      <c r="BB95" s="68">
        <f t="shared" ca="1" si="33"/>
        <v>0</v>
      </c>
      <c r="BC95" s="68">
        <f t="shared" ca="1" si="33"/>
        <v>0</v>
      </c>
      <c r="BD95" s="68">
        <f t="shared" ca="1" si="33"/>
        <v>0</v>
      </c>
      <c r="BE95" s="68">
        <f t="shared" ca="1" si="33"/>
        <v>0</v>
      </c>
      <c r="BF95" s="68">
        <f t="shared" ca="1" si="33"/>
        <v>0</v>
      </c>
      <c r="BG95" s="68">
        <f t="shared" ca="1" si="33"/>
        <v>0</v>
      </c>
      <c r="BH95" s="68">
        <f t="shared" ca="1" si="33"/>
        <v>0</v>
      </c>
      <c r="BI95" s="68">
        <f t="shared" ca="1" si="33"/>
        <v>0</v>
      </c>
      <c r="BJ95" s="68">
        <f t="shared" ca="1" si="33"/>
        <v>0</v>
      </c>
      <c r="BK95" s="68">
        <f t="shared" ca="1" si="33"/>
        <v>0</v>
      </c>
      <c r="BL95" s="68">
        <f t="shared" ca="1" si="33"/>
        <v>0</v>
      </c>
      <c r="BM95" s="68">
        <f t="shared" ca="1" si="33"/>
        <v>0</v>
      </c>
      <c r="BN95" s="68">
        <f t="shared" ca="1" si="33"/>
        <v>0</v>
      </c>
      <c r="BO95" s="68">
        <f t="shared" ca="1" si="35"/>
        <v>0</v>
      </c>
      <c r="BP95" s="68">
        <f t="shared" ca="1" si="32"/>
        <v>0</v>
      </c>
      <c r="BQ95" s="68">
        <f t="shared" ca="1" si="32"/>
        <v>0</v>
      </c>
      <c r="BR95" s="68">
        <f t="shared" ca="1" si="32"/>
        <v>0</v>
      </c>
      <c r="BS95" s="68">
        <f t="shared" ca="1" si="32"/>
        <v>0</v>
      </c>
      <c r="BT95" s="68">
        <f t="shared" ca="1" si="32"/>
        <v>0</v>
      </c>
    </row>
    <row r="96" spans="2:72" x14ac:dyDescent="0.2">
      <c r="B96" s="88"/>
      <c r="G96" s="68" t="str">
        <f>ROW(A91)&amp;". "&amp;'Critical resources'!B102</f>
        <v xml:space="preserve">91. </v>
      </c>
      <c r="H96" s="68">
        <f ca="1">IFERROR(VLOOKUP('Critical resources'!D102,$B$6:$C$57,2,0),0)</f>
        <v>0</v>
      </c>
      <c r="I96" s="68">
        <f ca="1">IFERROR(VLOOKUP('Critical resources'!E102,$A$6:$C$57,3,0),0)</f>
        <v>0</v>
      </c>
      <c r="J96" s="68">
        <f ca="1">IFERROR(VLOOKUP('Critical resources'!G102,$B$6:$C$57,2,0),0)</f>
        <v>0</v>
      </c>
      <c r="K96" s="68">
        <f ca="1">IFERROR(VLOOKUP('Critical resources'!H102,$B$6:$C$57,2,0),0)</f>
        <v>0</v>
      </c>
      <c r="L96" s="68">
        <f ca="1">IFERROR(VLOOKUP('Critical resources'!J102,$B$6:$C$57,2,0),0)</f>
        <v>0</v>
      </c>
      <c r="M96" s="68">
        <f ca="1">IFERROR(VLOOKUP('Critical resources'!K102,$A$6:$C$57,3,0),0)</f>
        <v>0</v>
      </c>
      <c r="N96" s="68">
        <f ca="1">IFERROR(VLOOKUP('Critical resources'!M102,$B$6:$C$57,2,0),0)</f>
        <v>0</v>
      </c>
      <c r="O96" s="68">
        <f ca="1">IFERROR(VLOOKUP('Critical resources'!N102,$A$6:$C$57,3,0),0)</f>
        <v>0</v>
      </c>
      <c r="P96" s="68">
        <f ca="1">IFERROR(VLOOKUP('Critical resources'!P102,$B$6:$C$57,2,0),0)</f>
        <v>0</v>
      </c>
      <c r="Q96" s="68">
        <f ca="1">IFERROR(VLOOKUP('Critical resources'!Q102,$A$6:$C$57,3,0),0)</f>
        <v>0</v>
      </c>
      <c r="T96" s="68" t="str">
        <f t="shared" si="28"/>
        <v xml:space="preserve">91. </v>
      </c>
      <c r="U96" s="68">
        <f t="shared" ca="1" si="36"/>
        <v>0</v>
      </c>
      <c r="V96" s="68">
        <f t="shared" ca="1" si="36"/>
        <v>0</v>
      </c>
      <c r="W96" s="68">
        <f t="shared" ca="1" si="36"/>
        <v>0</v>
      </c>
      <c r="X96" s="68">
        <f t="shared" ca="1" si="36"/>
        <v>0</v>
      </c>
      <c r="Y96" s="68">
        <f t="shared" ca="1" si="36"/>
        <v>0</v>
      </c>
      <c r="Z96" s="68">
        <f t="shared" ca="1" si="36"/>
        <v>0</v>
      </c>
      <c r="AA96" s="68">
        <f t="shared" ca="1" si="36"/>
        <v>0</v>
      </c>
      <c r="AB96" s="68">
        <f t="shared" ca="1" si="36"/>
        <v>0</v>
      </c>
      <c r="AC96" s="68">
        <f t="shared" ca="1" si="36"/>
        <v>0</v>
      </c>
      <c r="AD96" s="68">
        <f t="shared" ca="1" si="36"/>
        <v>0</v>
      </c>
      <c r="AE96" s="68">
        <f t="shared" ca="1" si="36"/>
        <v>0</v>
      </c>
      <c r="AF96" s="68">
        <f t="shared" ca="1" si="36"/>
        <v>0</v>
      </c>
      <c r="AG96" s="68">
        <f t="shared" ca="1" si="36"/>
        <v>0</v>
      </c>
      <c r="AH96" s="68">
        <f t="shared" ca="1" si="36"/>
        <v>0</v>
      </c>
      <c r="AI96" s="68">
        <f t="shared" ca="1" si="36"/>
        <v>0</v>
      </c>
      <c r="AJ96" s="68">
        <f t="shared" ca="1" si="36"/>
        <v>0</v>
      </c>
      <c r="AK96" s="68">
        <f t="shared" ca="1" si="34"/>
        <v>0</v>
      </c>
      <c r="AL96" s="68">
        <f t="shared" ca="1" si="34"/>
        <v>0</v>
      </c>
      <c r="AM96" s="68">
        <f t="shared" ca="1" si="34"/>
        <v>0</v>
      </c>
      <c r="AN96" s="68">
        <f t="shared" ca="1" si="34"/>
        <v>0</v>
      </c>
      <c r="AO96" s="68">
        <f t="shared" ca="1" si="34"/>
        <v>0</v>
      </c>
      <c r="AP96" s="68">
        <f t="shared" ca="1" si="34"/>
        <v>0</v>
      </c>
      <c r="AQ96" s="68">
        <f t="shared" ca="1" si="34"/>
        <v>0</v>
      </c>
      <c r="AR96" s="68">
        <f t="shared" ca="1" si="34"/>
        <v>0</v>
      </c>
      <c r="AS96" s="68">
        <f t="shared" ca="1" si="34"/>
        <v>0</v>
      </c>
      <c r="AT96" s="68">
        <f t="shared" ca="1" si="34"/>
        <v>0</v>
      </c>
      <c r="AU96" s="68">
        <f t="shared" ca="1" si="34"/>
        <v>0</v>
      </c>
      <c r="AV96" s="68">
        <f t="shared" ca="1" si="34"/>
        <v>0</v>
      </c>
      <c r="AW96" s="68">
        <f t="shared" ca="1" si="34"/>
        <v>0</v>
      </c>
      <c r="AX96" s="68">
        <f t="shared" ca="1" si="34"/>
        <v>0</v>
      </c>
      <c r="AY96" s="68">
        <f t="shared" ca="1" si="33"/>
        <v>0</v>
      </c>
      <c r="AZ96" s="68">
        <f t="shared" ca="1" si="33"/>
        <v>0</v>
      </c>
      <c r="BA96" s="68">
        <f t="shared" ca="1" si="33"/>
        <v>0</v>
      </c>
      <c r="BB96" s="68">
        <f t="shared" ca="1" si="33"/>
        <v>0</v>
      </c>
      <c r="BC96" s="68">
        <f t="shared" ca="1" si="33"/>
        <v>0</v>
      </c>
      <c r="BD96" s="68">
        <f t="shared" ca="1" si="33"/>
        <v>0</v>
      </c>
      <c r="BE96" s="68">
        <f t="shared" ca="1" si="33"/>
        <v>0</v>
      </c>
      <c r="BF96" s="68">
        <f t="shared" ca="1" si="33"/>
        <v>0</v>
      </c>
      <c r="BG96" s="68">
        <f t="shared" ca="1" si="33"/>
        <v>0</v>
      </c>
      <c r="BH96" s="68">
        <f t="shared" ca="1" si="33"/>
        <v>0</v>
      </c>
      <c r="BI96" s="68">
        <f t="shared" ca="1" si="33"/>
        <v>0</v>
      </c>
      <c r="BJ96" s="68">
        <f t="shared" ca="1" si="33"/>
        <v>0</v>
      </c>
      <c r="BK96" s="68">
        <f t="shared" ca="1" si="33"/>
        <v>0</v>
      </c>
      <c r="BL96" s="68">
        <f t="shared" ca="1" si="33"/>
        <v>0</v>
      </c>
      <c r="BM96" s="68">
        <f t="shared" ca="1" si="33"/>
        <v>0</v>
      </c>
      <c r="BN96" s="68">
        <f t="shared" ca="1" si="33"/>
        <v>0</v>
      </c>
      <c r="BO96" s="68">
        <f t="shared" ca="1" si="35"/>
        <v>0</v>
      </c>
      <c r="BP96" s="68">
        <f t="shared" ca="1" si="32"/>
        <v>0</v>
      </c>
      <c r="BQ96" s="68">
        <f t="shared" ca="1" si="32"/>
        <v>0</v>
      </c>
      <c r="BR96" s="68">
        <f t="shared" ca="1" si="32"/>
        <v>0</v>
      </c>
      <c r="BS96" s="68">
        <f t="shared" ca="1" si="32"/>
        <v>0</v>
      </c>
      <c r="BT96" s="68">
        <f t="shared" ca="1" si="32"/>
        <v>0</v>
      </c>
    </row>
    <row r="97" spans="2:72" x14ac:dyDescent="0.2">
      <c r="B97" s="88"/>
      <c r="G97" s="68" t="str">
        <f>ROW(A92)&amp;". "&amp;'Critical resources'!B103</f>
        <v xml:space="preserve">92. </v>
      </c>
      <c r="H97" s="68">
        <f ca="1">IFERROR(VLOOKUP('Critical resources'!D103,$B$6:$C$57,2,0),0)</f>
        <v>0</v>
      </c>
      <c r="I97" s="68">
        <f ca="1">IFERROR(VLOOKUP('Critical resources'!E103,$A$6:$C$57,3,0),0)</f>
        <v>0</v>
      </c>
      <c r="J97" s="68">
        <f ca="1">IFERROR(VLOOKUP('Critical resources'!G103,$B$6:$C$57,2,0),0)</f>
        <v>0</v>
      </c>
      <c r="K97" s="68">
        <f ca="1">IFERROR(VLOOKUP('Critical resources'!H103,$B$6:$C$57,2,0),0)</f>
        <v>0</v>
      </c>
      <c r="L97" s="68">
        <f ca="1">IFERROR(VLOOKUP('Critical resources'!J103,$B$6:$C$57,2,0),0)</f>
        <v>0</v>
      </c>
      <c r="M97" s="68">
        <f ca="1">IFERROR(VLOOKUP('Critical resources'!K103,$A$6:$C$57,3,0),0)</f>
        <v>0</v>
      </c>
      <c r="N97" s="68">
        <f ca="1">IFERROR(VLOOKUP('Critical resources'!M103,$B$6:$C$57,2,0),0)</f>
        <v>0</v>
      </c>
      <c r="O97" s="68">
        <f ca="1">IFERROR(VLOOKUP('Critical resources'!N103,$A$6:$C$57,3,0),0)</f>
        <v>0</v>
      </c>
      <c r="P97" s="68">
        <f ca="1">IFERROR(VLOOKUP('Critical resources'!P103,$B$6:$C$57,2,0),0)</f>
        <v>0</v>
      </c>
      <c r="Q97" s="68">
        <f ca="1">IFERROR(VLOOKUP('Critical resources'!Q103,$A$6:$C$57,3,0),0)</f>
        <v>0</v>
      </c>
      <c r="T97" s="68" t="str">
        <f t="shared" si="28"/>
        <v xml:space="preserve">92. </v>
      </c>
      <c r="U97" s="68">
        <f t="shared" ca="1" si="36"/>
        <v>0</v>
      </c>
      <c r="V97" s="68">
        <f t="shared" ca="1" si="36"/>
        <v>0</v>
      </c>
      <c r="W97" s="68">
        <f t="shared" ca="1" si="36"/>
        <v>0</v>
      </c>
      <c r="X97" s="68">
        <f t="shared" ca="1" si="36"/>
        <v>0</v>
      </c>
      <c r="Y97" s="68">
        <f t="shared" ca="1" si="36"/>
        <v>0</v>
      </c>
      <c r="Z97" s="68">
        <f t="shared" ca="1" si="36"/>
        <v>0</v>
      </c>
      <c r="AA97" s="68">
        <f t="shared" ca="1" si="36"/>
        <v>0</v>
      </c>
      <c r="AB97" s="68">
        <f t="shared" ca="1" si="36"/>
        <v>0</v>
      </c>
      <c r="AC97" s="68">
        <f t="shared" ca="1" si="36"/>
        <v>0</v>
      </c>
      <c r="AD97" s="68">
        <f t="shared" ca="1" si="36"/>
        <v>0</v>
      </c>
      <c r="AE97" s="68">
        <f t="shared" ca="1" si="36"/>
        <v>0</v>
      </c>
      <c r="AF97" s="68">
        <f t="shared" ca="1" si="36"/>
        <v>0</v>
      </c>
      <c r="AG97" s="68">
        <f t="shared" ca="1" si="36"/>
        <v>0</v>
      </c>
      <c r="AH97" s="68">
        <f t="shared" ca="1" si="36"/>
        <v>0</v>
      </c>
      <c r="AI97" s="68">
        <f t="shared" ca="1" si="36"/>
        <v>0</v>
      </c>
      <c r="AJ97" s="68">
        <f t="shared" ca="1" si="36"/>
        <v>0</v>
      </c>
      <c r="AK97" s="68">
        <f t="shared" ca="1" si="34"/>
        <v>0</v>
      </c>
      <c r="AL97" s="68">
        <f t="shared" ca="1" si="34"/>
        <v>0</v>
      </c>
      <c r="AM97" s="68">
        <f t="shared" ca="1" si="34"/>
        <v>0</v>
      </c>
      <c r="AN97" s="68">
        <f t="shared" ca="1" si="34"/>
        <v>0</v>
      </c>
      <c r="AO97" s="68">
        <f t="shared" ca="1" si="34"/>
        <v>0</v>
      </c>
      <c r="AP97" s="68">
        <f t="shared" ca="1" si="34"/>
        <v>0</v>
      </c>
      <c r="AQ97" s="68">
        <f t="shared" ca="1" si="34"/>
        <v>0</v>
      </c>
      <c r="AR97" s="68">
        <f t="shared" ca="1" si="34"/>
        <v>0</v>
      </c>
      <c r="AS97" s="68">
        <f t="shared" ca="1" si="34"/>
        <v>0</v>
      </c>
      <c r="AT97" s="68">
        <f t="shared" ca="1" si="34"/>
        <v>0</v>
      </c>
      <c r="AU97" s="68">
        <f t="shared" ca="1" si="34"/>
        <v>0</v>
      </c>
      <c r="AV97" s="68">
        <f t="shared" ca="1" si="34"/>
        <v>0</v>
      </c>
      <c r="AW97" s="68">
        <f t="shared" ca="1" si="34"/>
        <v>0</v>
      </c>
      <c r="AX97" s="68">
        <f t="shared" ca="1" si="34"/>
        <v>0</v>
      </c>
      <c r="AY97" s="68">
        <f t="shared" ca="1" si="33"/>
        <v>0</v>
      </c>
      <c r="AZ97" s="68">
        <f t="shared" ca="1" si="33"/>
        <v>0</v>
      </c>
      <c r="BA97" s="68">
        <f t="shared" ca="1" si="33"/>
        <v>0</v>
      </c>
      <c r="BB97" s="68">
        <f t="shared" ca="1" si="33"/>
        <v>0</v>
      </c>
      <c r="BC97" s="68">
        <f t="shared" ca="1" si="33"/>
        <v>0</v>
      </c>
      <c r="BD97" s="68">
        <f t="shared" ca="1" si="33"/>
        <v>0</v>
      </c>
      <c r="BE97" s="68">
        <f t="shared" ca="1" si="33"/>
        <v>0</v>
      </c>
      <c r="BF97" s="68">
        <f t="shared" ca="1" si="33"/>
        <v>0</v>
      </c>
      <c r="BG97" s="68">
        <f t="shared" ca="1" si="33"/>
        <v>0</v>
      </c>
      <c r="BH97" s="68">
        <f t="shared" ca="1" si="33"/>
        <v>0</v>
      </c>
      <c r="BI97" s="68">
        <f t="shared" ca="1" si="33"/>
        <v>0</v>
      </c>
      <c r="BJ97" s="68">
        <f t="shared" ca="1" si="33"/>
        <v>0</v>
      </c>
      <c r="BK97" s="68">
        <f t="shared" ca="1" si="33"/>
        <v>0</v>
      </c>
      <c r="BL97" s="68">
        <f t="shared" ca="1" si="33"/>
        <v>0</v>
      </c>
      <c r="BM97" s="68">
        <f t="shared" ca="1" si="33"/>
        <v>0</v>
      </c>
      <c r="BN97" s="68">
        <f t="shared" ca="1" si="33"/>
        <v>0</v>
      </c>
      <c r="BO97" s="68">
        <f t="shared" ca="1" si="35"/>
        <v>0</v>
      </c>
      <c r="BP97" s="68">
        <f t="shared" ca="1" si="32"/>
        <v>0</v>
      </c>
      <c r="BQ97" s="68">
        <f t="shared" ca="1" si="32"/>
        <v>0</v>
      </c>
      <c r="BR97" s="68">
        <f t="shared" ca="1" si="32"/>
        <v>0</v>
      </c>
      <c r="BS97" s="68">
        <f t="shared" ca="1" si="32"/>
        <v>0</v>
      </c>
      <c r="BT97" s="68">
        <f t="shared" ca="1" si="32"/>
        <v>0</v>
      </c>
    </row>
    <row r="98" spans="2:72" x14ac:dyDescent="0.2">
      <c r="B98" s="88"/>
      <c r="G98" s="68" t="str">
        <f>ROW(A93)&amp;". "&amp;'Critical resources'!B104</f>
        <v xml:space="preserve">93. </v>
      </c>
      <c r="H98" s="68">
        <f ca="1">IFERROR(VLOOKUP('Critical resources'!D104,$B$6:$C$57,2,0),0)</f>
        <v>0</v>
      </c>
      <c r="I98" s="68">
        <f ca="1">IFERROR(VLOOKUP('Critical resources'!E104,$A$6:$C$57,3,0),0)</f>
        <v>0</v>
      </c>
      <c r="J98" s="68">
        <f ca="1">IFERROR(VLOOKUP('Critical resources'!G104,$B$6:$C$57,2,0),0)</f>
        <v>0</v>
      </c>
      <c r="K98" s="68">
        <f ca="1">IFERROR(VLOOKUP('Critical resources'!H104,$B$6:$C$57,2,0),0)</f>
        <v>0</v>
      </c>
      <c r="L98" s="68">
        <f ca="1">IFERROR(VLOOKUP('Critical resources'!J104,$B$6:$C$57,2,0),0)</f>
        <v>0</v>
      </c>
      <c r="M98" s="68">
        <f ca="1">IFERROR(VLOOKUP('Critical resources'!K104,$A$6:$C$57,3,0),0)</f>
        <v>0</v>
      </c>
      <c r="N98" s="68">
        <f ca="1">IFERROR(VLOOKUP('Critical resources'!M104,$B$6:$C$57,2,0),0)</f>
        <v>0</v>
      </c>
      <c r="O98" s="68">
        <f ca="1">IFERROR(VLOOKUP('Critical resources'!N104,$A$6:$C$57,3,0),0)</f>
        <v>0</v>
      </c>
      <c r="P98" s="68">
        <f ca="1">IFERROR(VLOOKUP('Critical resources'!P104,$B$6:$C$57,2,0),0)</f>
        <v>0</v>
      </c>
      <c r="Q98" s="68">
        <f ca="1">IFERROR(VLOOKUP('Critical resources'!Q104,$A$6:$C$57,3,0),0)</f>
        <v>0</v>
      </c>
      <c r="T98" s="68" t="str">
        <f t="shared" si="28"/>
        <v xml:space="preserve">93. </v>
      </c>
      <c r="U98" s="68">
        <f t="shared" ca="1" si="36"/>
        <v>0</v>
      </c>
      <c r="V98" s="68">
        <f t="shared" ca="1" si="36"/>
        <v>0</v>
      </c>
      <c r="W98" s="68">
        <f t="shared" ca="1" si="36"/>
        <v>0</v>
      </c>
      <c r="X98" s="68">
        <f t="shared" ca="1" si="36"/>
        <v>0</v>
      </c>
      <c r="Y98" s="68">
        <f t="shared" ca="1" si="36"/>
        <v>0</v>
      </c>
      <c r="Z98" s="68">
        <f t="shared" ca="1" si="36"/>
        <v>0</v>
      </c>
      <c r="AA98" s="68">
        <f t="shared" ca="1" si="36"/>
        <v>0</v>
      </c>
      <c r="AB98" s="68">
        <f t="shared" ca="1" si="36"/>
        <v>0</v>
      </c>
      <c r="AC98" s="68">
        <f t="shared" ca="1" si="36"/>
        <v>0</v>
      </c>
      <c r="AD98" s="68">
        <f t="shared" ca="1" si="36"/>
        <v>0</v>
      </c>
      <c r="AE98" s="68">
        <f t="shared" ca="1" si="36"/>
        <v>0</v>
      </c>
      <c r="AF98" s="68">
        <f t="shared" ca="1" si="36"/>
        <v>0</v>
      </c>
      <c r="AG98" s="68">
        <f t="shared" ca="1" si="36"/>
        <v>0</v>
      </c>
      <c r="AH98" s="68">
        <f t="shared" ca="1" si="36"/>
        <v>0</v>
      </c>
      <c r="AI98" s="68">
        <f t="shared" ca="1" si="36"/>
        <v>0</v>
      </c>
      <c r="AJ98" s="68">
        <f t="shared" ca="1" si="36"/>
        <v>0</v>
      </c>
      <c r="AK98" s="68">
        <f t="shared" ca="1" si="34"/>
        <v>0</v>
      </c>
      <c r="AL98" s="68">
        <f t="shared" ca="1" si="34"/>
        <v>0</v>
      </c>
      <c r="AM98" s="68">
        <f t="shared" ca="1" si="34"/>
        <v>0</v>
      </c>
      <c r="AN98" s="68">
        <f t="shared" ca="1" si="34"/>
        <v>0</v>
      </c>
      <c r="AO98" s="68">
        <f t="shared" ca="1" si="34"/>
        <v>0</v>
      </c>
      <c r="AP98" s="68">
        <f t="shared" ca="1" si="34"/>
        <v>0</v>
      </c>
      <c r="AQ98" s="68">
        <f t="shared" ca="1" si="34"/>
        <v>0</v>
      </c>
      <c r="AR98" s="68">
        <f t="shared" ca="1" si="34"/>
        <v>0</v>
      </c>
      <c r="AS98" s="68">
        <f t="shared" ca="1" si="34"/>
        <v>0</v>
      </c>
      <c r="AT98" s="68">
        <f t="shared" ca="1" si="34"/>
        <v>0</v>
      </c>
      <c r="AU98" s="68">
        <f t="shared" ca="1" si="34"/>
        <v>0</v>
      </c>
      <c r="AV98" s="68">
        <f t="shared" ca="1" si="34"/>
        <v>0</v>
      </c>
      <c r="AW98" s="68">
        <f t="shared" ca="1" si="34"/>
        <v>0</v>
      </c>
      <c r="AX98" s="68">
        <f t="shared" ca="1" si="34"/>
        <v>0</v>
      </c>
      <c r="AY98" s="68">
        <f t="shared" ca="1" si="33"/>
        <v>0</v>
      </c>
      <c r="AZ98" s="68">
        <f t="shared" ca="1" si="33"/>
        <v>0</v>
      </c>
      <c r="BA98" s="68">
        <f t="shared" ca="1" si="33"/>
        <v>0</v>
      </c>
      <c r="BB98" s="68">
        <f t="shared" ca="1" si="33"/>
        <v>0</v>
      </c>
      <c r="BC98" s="68">
        <f t="shared" ca="1" si="33"/>
        <v>0</v>
      </c>
      <c r="BD98" s="68">
        <f t="shared" ca="1" si="33"/>
        <v>0</v>
      </c>
      <c r="BE98" s="68">
        <f t="shared" ca="1" si="33"/>
        <v>0</v>
      </c>
      <c r="BF98" s="68">
        <f t="shared" ca="1" si="33"/>
        <v>0</v>
      </c>
      <c r="BG98" s="68">
        <f t="shared" ca="1" si="33"/>
        <v>0</v>
      </c>
      <c r="BH98" s="68">
        <f t="shared" ca="1" si="33"/>
        <v>0</v>
      </c>
      <c r="BI98" s="68">
        <f t="shared" ca="1" si="33"/>
        <v>0</v>
      </c>
      <c r="BJ98" s="68">
        <f t="shared" ca="1" si="33"/>
        <v>0</v>
      </c>
      <c r="BK98" s="68">
        <f t="shared" ca="1" si="33"/>
        <v>0</v>
      </c>
      <c r="BL98" s="68">
        <f t="shared" ca="1" si="33"/>
        <v>0</v>
      </c>
      <c r="BM98" s="68">
        <f t="shared" ca="1" si="33"/>
        <v>0</v>
      </c>
      <c r="BN98" s="68">
        <f t="shared" ca="1" si="33"/>
        <v>0</v>
      </c>
      <c r="BO98" s="68">
        <f t="shared" ca="1" si="35"/>
        <v>0</v>
      </c>
      <c r="BP98" s="68">
        <f t="shared" ca="1" si="32"/>
        <v>0</v>
      </c>
      <c r="BQ98" s="68">
        <f t="shared" ca="1" si="32"/>
        <v>0</v>
      </c>
      <c r="BR98" s="68">
        <f t="shared" ca="1" si="32"/>
        <v>0</v>
      </c>
      <c r="BS98" s="68">
        <f t="shared" ca="1" si="32"/>
        <v>0</v>
      </c>
      <c r="BT98" s="68">
        <f t="shared" ca="1" si="32"/>
        <v>0</v>
      </c>
    </row>
    <row r="99" spans="2:72" x14ac:dyDescent="0.2">
      <c r="B99" s="88"/>
      <c r="G99" s="68" t="str">
        <f>ROW(A94)&amp;". "&amp;'Critical resources'!B105</f>
        <v xml:space="preserve">94. </v>
      </c>
      <c r="H99" s="68">
        <f ca="1">IFERROR(VLOOKUP('Critical resources'!D105,$B$6:$C$57,2,0),0)</f>
        <v>0</v>
      </c>
      <c r="I99" s="68">
        <f ca="1">IFERROR(VLOOKUP('Critical resources'!E105,$A$6:$C$57,3,0),0)</f>
        <v>0</v>
      </c>
      <c r="J99" s="68">
        <f ca="1">IFERROR(VLOOKUP('Critical resources'!G105,$B$6:$C$57,2,0),0)</f>
        <v>0</v>
      </c>
      <c r="K99" s="68">
        <f ca="1">IFERROR(VLOOKUP('Critical resources'!H105,$B$6:$C$57,2,0),0)</f>
        <v>0</v>
      </c>
      <c r="L99" s="68">
        <f ca="1">IFERROR(VLOOKUP('Critical resources'!J105,$B$6:$C$57,2,0),0)</f>
        <v>0</v>
      </c>
      <c r="M99" s="68">
        <f ca="1">IFERROR(VLOOKUP('Critical resources'!K105,$A$6:$C$57,3,0),0)</f>
        <v>0</v>
      </c>
      <c r="N99" s="68">
        <f ca="1">IFERROR(VLOOKUP('Critical resources'!M105,$B$6:$C$57,2,0),0)</f>
        <v>0</v>
      </c>
      <c r="O99" s="68">
        <f ca="1">IFERROR(VLOOKUP('Critical resources'!N105,$A$6:$C$57,3,0),0)</f>
        <v>0</v>
      </c>
      <c r="P99" s="68">
        <f ca="1">IFERROR(VLOOKUP('Critical resources'!P105,$B$6:$C$57,2,0),0)</f>
        <v>0</v>
      </c>
      <c r="Q99" s="68">
        <f ca="1">IFERROR(VLOOKUP('Critical resources'!Q105,$A$6:$C$57,3,0),0)</f>
        <v>0</v>
      </c>
      <c r="T99" s="68" t="str">
        <f t="shared" si="28"/>
        <v xml:space="preserve">94. </v>
      </c>
      <c r="U99" s="68">
        <f t="shared" ca="1" si="36"/>
        <v>0</v>
      </c>
      <c r="V99" s="68">
        <f t="shared" ca="1" si="36"/>
        <v>0</v>
      </c>
      <c r="W99" s="68">
        <f t="shared" ca="1" si="36"/>
        <v>0</v>
      </c>
      <c r="X99" s="68">
        <f t="shared" ca="1" si="36"/>
        <v>0</v>
      </c>
      <c r="Y99" s="68">
        <f t="shared" ca="1" si="36"/>
        <v>0</v>
      </c>
      <c r="Z99" s="68">
        <f t="shared" ca="1" si="36"/>
        <v>0</v>
      </c>
      <c r="AA99" s="68">
        <f t="shared" ca="1" si="36"/>
        <v>0</v>
      </c>
      <c r="AB99" s="68">
        <f t="shared" ca="1" si="36"/>
        <v>0</v>
      </c>
      <c r="AC99" s="68">
        <f t="shared" ca="1" si="36"/>
        <v>0</v>
      </c>
      <c r="AD99" s="68">
        <f t="shared" ca="1" si="36"/>
        <v>0</v>
      </c>
      <c r="AE99" s="68">
        <f t="shared" ca="1" si="36"/>
        <v>0</v>
      </c>
      <c r="AF99" s="68">
        <f t="shared" ca="1" si="36"/>
        <v>0</v>
      </c>
      <c r="AG99" s="68">
        <f t="shared" ca="1" si="36"/>
        <v>0</v>
      </c>
      <c r="AH99" s="68">
        <f t="shared" ca="1" si="36"/>
        <v>0</v>
      </c>
      <c r="AI99" s="68">
        <f t="shared" ca="1" si="36"/>
        <v>0</v>
      </c>
      <c r="AJ99" s="68">
        <f t="shared" ca="1" si="36"/>
        <v>0</v>
      </c>
      <c r="AK99" s="68">
        <f t="shared" ca="1" si="34"/>
        <v>0</v>
      </c>
      <c r="AL99" s="68">
        <f t="shared" ca="1" si="34"/>
        <v>0</v>
      </c>
      <c r="AM99" s="68">
        <f t="shared" ca="1" si="34"/>
        <v>0</v>
      </c>
      <c r="AN99" s="68">
        <f t="shared" ca="1" si="34"/>
        <v>0</v>
      </c>
      <c r="AO99" s="68">
        <f t="shared" ca="1" si="34"/>
        <v>0</v>
      </c>
      <c r="AP99" s="68">
        <f t="shared" ca="1" si="34"/>
        <v>0</v>
      </c>
      <c r="AQ99" s="68">
        <f t="shared" ca="1" si="34"/>
        <v>0</v>
      </c>
      <c r="AR99" s="68">
        <f t="shared" ca="1" si="34"/>
        <v>0</v>
      </c>
      <c r="AS99" s="68">
        <f t="shared" ca="1" si="34"/>
        <v>0</v>
      </c>
      <c r="AT99" s="68">
        <f t="shared" ca="1" si="34"/>
        <v>0</v>
      </c>
      <c r="AU99" s="68">
        <f t="shared" ca="1" si="34"/>
        <v>0</v>
      </c>
      <c r="AV99" s="68">
        <f t="shared" ca="1" si="34"/>
        <v>0</v>
      </c>
      <c r="AW99" s="68">
        <f t="shared" ca="1" si="34"/>
        <v>0</v>
      </c>
      <c r="AX99" s="68">
        <f t="shared" ca="1" si="34"/>
        <v>0</v>
      </c>
      <c r="AY99" s="68">
        <f t="shared" ca="1" si="33"/>
        <v>0</v>
      </c>
      <c r="AZ99" s="68">
        <f t="shared" ca="1" si="33"/>
        <v>0</v>
      </c>
      <c r="BA99" s="68">
        <f t="shared" ca="1" si="33"/>
        <v>0</v>
      </c>
      <c r="BB99" s="68">
        <f t="shared" ca="1" si="33"/>
        <v>0</v>
      </c>
      <c r="BC99" s="68">
        <f t="shared" ca="1" si="33"/>
        <v>0</v>
      </c>
      <c r="BD99" s="68">
        <f t="shared" ca="1" si="33"/>
        <v>0</v>
      </c>
      <c r="BE99" s="68">
        <f t="shared" ca="1" si="33"/>
        <v>0</v>
      </c>
      <c r="BF99" s="68">
        <f t="shared" ca="1" si="33"/>
        <v>0</v>
      </c>
      <c r="BG99" s="68">
        <f t="shared" ca="1" si="33"/>
        <v>0</v>
      </c>
      <c r="BH99" s="68">
        <f t="shared" ca="1" si="33"/>
        <v>0</v>
      </c>
      <c r="BI99" s="68">
        <f t="shared" ca="1" si="33"/>
        <v>0</v>
      </c>
      <c r="BJ99" s="68">
        <f t="shared" ca="1" si="33"/>
        <v>0</v>
      </c>
      <c r="BK99" s="68">
        <f t="shared" ca="1" si="33"/>
        <v>0</v>
      </c>
      <c r="BL99" s="68">
        <f t="shared" ca="1" si="33"/>
        <v>0</v>
      </c>
      <c r="BM99" s="68">
        <f t="shared" ca="1" si="33"/>
        <v>0</v>
      </c>
      <c r="BN99" s="68">
        <f t="shared" ca="1" si="33"/>
        <v>0</v>
      </c>
      <c r="BO99" s="68">
        <f t="shared" ca="1" si="35"/>
        <v>0</v>
      </c>
      <c r="BP99" s="68">
        <f t="shared" ca="1" si="35"/>
        <v>0</v>
      </c>
      <c r="BQ99" s="68">
        <f t="shared" ca="1" si="35"/>
        <v>0</v>
      </c>
      <c r="BR99" s="68">
        <f t="shared" ca="1" si="35"/>
        <v>0</v>
      </c>
      <c r="BS99" s="68">
        <f t="shared" ca="1" si="35"/>
        <v>0</v>
      </c>
      <c r="BT99" s="68">
        <f t="shared" ca="1" si="35"/>
        <v>0</v>
      </c>
    </row>
    <row r="100" spans="2:72" x14ac:dyDescent="0.2">
      <c r="B100" s="88"/>
      <c r="G100" s="68" t="str">
        <f>ROW(A95)&amp;". "&amp;'Critical resources'!B106</f>
        <v xml:space="preserve">95. </v>
      </c>
      <c r="H100" s="68">
        <f ca="1">IFERROR(VLOOKUP('Critical resources'!D106,$B$6:$C$57,2,0),0)</f>
        <v>0</v>
      </c>
      <c r="I100" s="68">
        <f ca="1">IFERROR(VLOOKUP('Critical resources'!E106,$A$6:$C$57,3,0),0)</f>
        <v>0</v>
      </c>
      <c r="J100" s="68">
        <f ca="1">IFERROR(VLOOKUP('Critical resources'!G106,$B$6:$C$57,2,0),0)</f>
        <v>0</v>
      </c>
      <c r="K100" s="68">
        <f ca="1">IFERROR(VLOOKUP('Critical resources'!H106,$B$6:$C$57,2,0),0)</f>
        <v>0</v>
      </c>
      <c r="L100" s="68">
        <f ca="1">IFERROR(VLOOKUP('Critical resources'!J106,$B$6:$C$57,2,0),0)</f>
        <v>0</v>
      </c>
      <c r="M100" s="68">
        <f ca="1">IFERROR(VLOOKUP('Critical resources'!K106,$A$6:$C$57,3,0),0)</f>
        <v>0</v>
      </c>
      <c r="N100" s="68">
        <f ca="1">IFERROR(VLOOKUP('Critical resources'!M106,$B$6:$C$57,2,0),0)</f>
        <v>0</v>
      </c>
      <c r="O100" s="68">
        <f ca="1">IFERROR(VLOOKUP('Critical resources'!N106,$A$6:$C$57,3,0),0)</f>
        <v>0</v>
      </c>
      <c r="P100" s="68">
        <f ca="1">IFERROR(VLOOKUP('Critical resources'!P106,$B$6:$C$57,2,0),0)</f>
        <v>0</v>
      </c>
      <c r="Q100" s="68">
        <f ca="1">IFERROR(VLOOKUP('Critical resources'!Q106,$A$6:$C$57,3,0),0)</f>
        <v>0</v>
      </c>
      <c r="T100" s="68" t="str">
        <f t="shared" si="28"/>
        <v xml:space="preserve">95. </v>
      </c>
      <c r="U100" s="68">
        <f t="shared" ca="1" si="36"/>
        <v>0</v>
      </c>
      <c r="V100" s="68">
        <f t="shared" ca="1" si="36"/>
        <v>0</v>
      </c>
      <c r="W100" s="68">
        <f t="shared" ca="1" si="36"/>
        <v>0</v>
      </c>
      <c r="X100" s="68">
        <f t="shared" ca="1" si="36"/>
        <v>0</v>
      </c>
      <c r="Y100" s="68">
        <f t="shared" ca="1" si="36"/>
        <v>0</v>
      </c>
      <c r="Z100" s="68">
        <f t="shared" ca="1" si="36"/>
        <v>0</v>
      </c>
      <c r="AA100" s="68">
        <f t="shared" ca="1" si="36"/>
        <v>0</v>
      </c>
      <c r="AB100" s="68">
        <f t="shared" ca="1" si="36"/>
        <v>0</v>
      </c>
      <c r="AC100" s="68">
        <f t="shared" ca="1" si="36"/>
        <v>0</v>
      </c>
      <c r="AD100" s="68">
        <f t="shared" ca="1" si="36"/>
        <v>0</v>
      </c>
      <c r="AE100" s="68">
        <f t="shared" ca="1" si="36"/>
        <v>0</v>
      </c>
      <c r="AF100" s="68">
        <f t="shared" ca="1" si="36"/>
        <v>0</v>
      </c>
      <c r="AG100" s="68">
        <f t="shared" ca="1" si="36"/>
        <v>0</v>
      </c>
      <c r="AH100" s="68">
        <f t="shared" ca="1" si="36"/>
        <v>0</v>
      </c>
      <c r="AI100" s="68">
        <f t="shared" ca="1" si="36"/>
        <v>0</v>
      </c>
      <c r="AJ100" s="68">
        <f t="shared" ca="1" si="36"/>
        <v>0</v>
      </c>
      <c r="AK100" s="68">
        <f t="shared" ca="1" si="34"/>
        <v>0</v>
      </c>
      <c r="AL100" s="68">
        <f t="shared" ca="1" si="34"/>
        <v>0</v>
      </c>
      <c r="AM100" s="68">
        <f t="shared" ca="1" si="34"/>
        <v>0</v>
      </c>
      <c r="AN100" s="68">
        <f t="shared" ca="1" si="34"/>
        <v>0</v>
      </c>
      <c r="AO100" s="68">
        <f t="shared" ca="1" si="34"/>
        <v>0</v>
      </c>
      <c r="AP100" s="68">
        <f t="shared" ca="1" si="34"/>
        <v>0</v>
      </c>
      <c r="AQ100" s="68">
        <f t="shared" ca="1" si="34"/>
        <v>0</v>
      </c>
      <c r="AR100" s="68">
        <f t="shared" ca="1" si="34"/>
        <v>0</v>
      </c>
      <c r="AS100" s="68">
        <f t="shared" ca="1" si="34"/>
        <v>0</v>
      </c>
      <c r="AT100" s="68">
        <f t="shared" ca="1" si="34"/>
        <v>0</v>
      </c>
      <c r="AU100" s="68">
        <f t="shared" ca="1" si="34"/>
        <v>0</v>
      </c>
      <c r="AV100" s="68">
        <f t="shared" ca="1" si="34"/>
        <v>0</v>
      </c>
      <c r="AW100" s="68">
        <f t="shared" ca="1" si="34"/>
        <v>0</v>
      </c>
      <c r="AX100" s="68">
        <f t="shared" ca="1" si="34"/>
        <v>0</v>
      </c>
      <c r="AY100" s="68">
        <f t="shared" ca="1" si="33"/>
        <v>0</v>
      </c>
      <c r="AZ100" s="68">
        <f t="shared" ca="1" si="33"/>
        <v>0</v>
      </c>
      <c r="BA100" s="68">
        <f t="shared" ca="1" si="33"/>
        <v>0</v>
      </c>
      <c r="BB100" s="68">
        <f t="shared" ca="1" si="33"/>
        <v>0</v>
      </c>
      <c r="BC100" s="68">
        <f t="shared" ca="1" si="33"/>
        <v>0</v>
      </c>
      <c r="BD100" s="68">
        <f t="shared" ca="1" si="33"/>
        <v>0</v>
      </c>
      <c r="BE100" s="68">
        <f t="shared" ca="1" si="33"/>
        <v>0</v>
      </c>
      <c r="BF100" s="68">
        <f t="shared" ca="1" si="33"/>
        <v>0</v>
      </c>
      <c r="BG100" s="68">
        <f t="shared" ca="1" si="33"/>
        <v>0</v>
      </c>
      <c r="BH100" s="68">
        <f t="shared" ca="1" si="33"/>
        <v>0</v>
      </c>
      <c r="BI100" s="68">
        <f t="shared" ca="1" si="33"/>
        <v>0</v>
      </c>
      <c r="BJ100" s="68">
        <f t="shared" ca="1" si="33"/>
        <v>0</v>
      </c>
      <c r="BK100" s="68">
        <f t="shared" ca="1" si="33"/>
        <v>0</v>
      </c>
      <c r="BL100" s="68">
        <f t="shared" ca="1" si="33"/>
        <v>0</v>
      </c>
      <c r="BM100" s="68">
        <f t="shared" ca="1" si="33"/>
        <v>0</v>
      </c>
      <c r="BN100" s="68">
        <f t="shared" ca="1" si="33"/>
        <v>0</v>
      </c>
      <c r="BO100" s="68">
        <f t="shared" ca="1" si="35"/>
        <v>0</v>
      </c>
      <c r="BP100" s="68">
        <f t="shared" ca="1" si="35"/>
        <v>0</v>
      </c>
      <c r="BQ100" s="68">
        <f t="shared" ca="1" si="35"/>
        <v>0</v>
      </c>
      <c r="BR100" s="68">
        <f t="shared" ca="1" si="35"/>
        <v>0</v>
      </c>
      <c r="BS100" s="68">
        <f t="shared" ca="1" si="35"/>
        <v>0</v>
      </c>
      <c r="BT100" s="68">
        <f t="shared" ca="1" si="35"/>
        <v>0</v>
      </c>
    </row>
    <row r="101" spans="2:72" x14ac:dyDescent="0.2">
      <c r="B101" s="88"/>
      <c r="G101" s="68" t="str">
        <f>ROW(A96)&amp;". "&amp;'Critical resources'!B107</f>
        <v xml:space="preserve">96. </v>
      </c>
      <c r="H101" s="68">
        <f ca="1">IFERROR(VLOOKUP('Critical resources'!D107,$B$6:$C$57,2,0),0)</f>
        <v>0</v>
      </c>
      <c r="I101" s="68">
        <f ca="1">IFERROR(VLOOKUP('Critical resources'!E107,$A$6:$C$57,3,0),0)</f>
        <v>0</v>
      </c>
      <c r="J101" s="68">
        <f ca="1">IFERROR(VLOOKUP('Critical resources'!G107,$B$6:$C$57,2,0),0)</f>
        <v>0</v>
      </c>
      <c r="K101" s="68">
        <f ca="1">IFERROR(VLOOKUP('Critical resources'!H107,$B$6:$C$57,2,0),0)</f>
        <v>0</v>
      </c>
      <c r="L101" s="68">
        <f ca="1">IFERROR(VLOOKUP('Critical resources'!J107,$B$6:$C$57,2,0),0)</f>
        <v>0</v>
      </c>
      <c r="M101" s="68">
        <f ca="1">IFERROR(VLOOKUP('Critical resources'!K107,$A$6:$C$57,3,0),0)</f>
        <v>0</v>
      </c>
      <c r="N101" s="68">
        <f ca="1">IFERROR(VLOOKUP('Critical resources'!M107,$B$6:$C$57,2,0),0)</f>
        <v>0</v>
      </c>
      <c r="O101" s="68">
        <f ca="1">IFERROR(VLOOKUP('Critical resources'!N107,$A$6:$C$57,3,0),0)</f>
        <v>0</v>
      </c>
      <c r="P101" s="68">
        <f ca="1">IFERROR(VLOOKUP('Critical resources'!P107,$B$6:$C$57,2,0),0)</f>
        <v>0</v>
      </c>
      <c r="Q101" s="68">
        <f ca="1">IFERROR(VLOOKUP('Critical resources'!Q107,$A$6:$C$57,3,0),0)</f>
        <v>0</v>
      </c>
      <c r="T101" s="68" t="str">
        <f t="shared" si="28"/>
        <v xml:space="preserve">96. </v>
      </c>
      <c r="U101" s="68">
        <f t="shared" ca="1" si="36"/>
        <v>0</v>
      </c>
      <c r="V101" s="68">
        <f t="shared" ca="1" si="36"/>
        <v>0</v>
      </c>
      <c r="W101" s="68">
        <f t="shared" ca="1" si="36"/>
        <v>0</v>
      </c>
      <c r="X101" s="68">
        <f t="shared" ca="1" si="36"/>
        <v>0</v>
      </c>
      <c r="Y101" s="68">
        <f t="shared" ca="1" si="36"/>
        <v>0</v>
      </c>
      <c r="Z101" s="68">
        <f t="shared" ca="1" si="36"/>
        <v>0</v>
      </c>
      <c r="AA101" s="68">
        <f t="shared" ca="1" si="36"/>
        <v>0</v>
      </c>
      <c r="AB101" s="68">
        <f t="shared" ca="1" si="36"/>
        <v>0</v>
      </c>
      <c r="AC101" s="68">
        <f t="shared" ca="1" si="36"/>
        <v>0</v>
      </c>
      <c r="AD101" s="68">
        <f t="shared" ca="1" si="36"/>
        <v>0</v>
      </c>
      <c r="AE101" s="68">
        <f t="shared" ca="1" si="36"/>
        <v>0</v>
      </c>
      <c r="AF101" s="68">
        <f t="shared" ca="1" si="36"/>
        <v>0</v>
      </c>
      <c r="AG101" s="68">
        <f t="shared" ca="1" si="36"/>
        <v>0</v>
      </c>
      <c r="AH101" s="68">
        <f t="shared" ca="1" si="36"/>
        <v>0</v>
      </c>
      <c r="AI101" s="68">
        <f t="shared" ca="1" si="36"/>
        <v>0</v>
      </c>
      <c r="AJ101" s="68">
        <f t="shared" ca="1" si="36"/>
        <v>0</v>
      </c>
      <c r="AK101" s="68">
        <f t="shared" ca="1" si="34"/>
        <v>0</v>
      </c>
      <c r="AL101" s="68">
        <f t="shared" ca="1" si="34"/>
        <v>0</v>
      </c>
      <c r="AM101" s="68">
        <f t="shared" ca="1" si="34"/>
        <v>0</v>
      </c>
      <c r="AN101" s="68">
        <f t="shared" ca="1" si="34"/>
        <v>0</v>
      </c>
      <c r="AO101" s="68">
        <f t="shared" ca="1" si="34"/>
        <v>0</v>
      </c>
      <c r="AP101" s="68">
        <f t="shared" ca="1" si="34"/>
        <v>0</v>
      </c>
      <c r="AQ101" s="68">
        <f t="shared" ca="1" si="34"/>
        <v>0</v>
      </c>
      <c r="AR101" s="68">
        <f t="shared" ca="1" si="34"/>
        <v>0</v>
      </c>
      <c r="AS101" s="68">
        <f t="shared" ca="1" si="34"/>
        <v>0</v>
      </c>
      <c r="AT101" s="68">
        <f t="shared" ca="1" si="34"/>
        <v>0</v>
      </c>
      <c r="AU101" s="68">
        <f t="shared" ca="1" si="34"/>
        <v>0</v>
      </c>
      <c r="AV101" s="68">
        <f t="shared" ca="1" si="34"/>
        <v>0</v>
      </c>
      <c r="AW101" s="68">
        <f t="shared" ca="1" si="34"/>
        <v>0</v>
      </c>
      <c r="AX101" s="68">
        <f t="shared" ca="1" si="34"/>
        <v>0</v>
      </c>
      <c r="AY101" s="68">
        <f t="shared" ca="1" si="34"/>
        <v>0</v>
      </c>
      <c r="AZ101" s="68">
        <f t="shared" ca="1" si="34"/>
        <v>0</v>
      </c>
      <c r="BA101" s="68">
        <f t="shared" ref="BA101:BP105" ca="1" si="37">SUM(IFERROR(IF(AND(BA$5&gt;=$H101,BA$5&lt;=$I101),1,0),0),IFERROR(IF(AND(BA$5&gt;=$J101,BA$5&lt;=$K101),1,0),0),IFERROR(IF(AND(BA$5&gt;=$L101,BA$5&lt;=$M101),1,0),0),IFERROR(IF(AND(BA$5&gt;=$N101,BA$5&lt;=$O101),1,0),0),IFERROR(IF(AND(BA$5&gt;=$P101,BA$5&lt;=$Q101),1,0),0))</f>
        <v>0</v>
      </c>
      <c r="BB101" s="68">
        <f t="shared" ca="1" si="37"/>
        <v>0</v>
      </c>
      <c r="BC101" s="68">
        <f t="shared" ca="1" si="37"/>
        <v>0</v>
      </c>
      <c r="BD101" s="68">
        <f t="shared" ca="1" si="37"/>
        <v>0</v>
      </c>
      <c r="BE101" s="68">
        <f t="shared" ca="1" si="37"/>
        <v>0</v>
      </c>
      <c r="BF101" s="68">
        <f t="shared" ca="1" si="37"/>
        <v>0</v>
      </c>
      <c r="BG101" s="68">
        <f t="shared" ca="1" si="37"/>
        <v>0</v>
      </c>
      <c r="BH101" s="68">
        <f t="shared" ca="1" si="37"/>
        <v>0</v>
      </c>
      <c r="BI101" s="68">
        <f t="shared" ca="1" si="37"/>
        <v>0</v>
      </c>
      <c r="BJ101" s="68">
        <f t="shared" ca="1" si="37"/>
        <v>0</v>
      </c>
      <c r="BK101" s="68">
        <f t="shared" ca="1" si="37"/>
        <v>0</v>
      </c>
      <c r="BL101" s="68">
        <f t="shared" ca="1" si="37"/>
        <v>0</v>
      </c>
      <c r="BM101" s="68">
        <f t="shared" ca="1" si="37"/>
        <v>0</v>
      </c>
      <c r="BN101" s="68">
        <f t="shared" ca="1" si="37"/>
        <v>0</v>
      </c>
      <c r="BO101" s="68">
        <f t="shared" ca="1" si="35"/>
        <v>0</v>
      </c>
      <c r="BP101" s="68">
        <f t="shared" ca="1" si="35"/>
        <v>0</v>
      </c>
      <c r="BQ101" s="68">
        <f t="shared" ca="1" si="35"/>
        <v>0</v>
      </c>
      <c r="BR101" s="68">
        <f t="shared" ca="1" si="35"/>
        <v>0</v>
      </c>
      <c r="BS101" s="68">
        <f t="shared" ca="1" si="35"/>
        <v>0</v>
      </c>
      <c r="BT101" s="68">
        <f t="shared" ca="1" si="35"/>
        <v>0</v>
      </c>
    </row>
    <row r="102" spans="2:72" x14ac:dyDescent="0.2">
      <c r="B102" s="88"/>
      <c r="G102" s="68" t="str">
        <f>ROW(A97)&amp;". "&amp;'Critical resources'!B108</f>
        <v xml:space="preserve">97. </v>
      </c>
      <c r="H102" s="68">
        <f ca="1">IFERROR(VLOOKUP('Critical resources'!D108,$B$6:$C$57,2,0),0)</f>
        <v>0</v>
      </c>
      <c r="I102" s="68">
        <f ca="1">IFERROR(VLOOKUP('Critical resources'!E108,$A$6:$C$57,3,0),0)</f>
        <v>0</v>
      </c>
      <c r="J102" s="68">
        <f ca="1">IFERROR(VLOOKUP('Critical resources'!G108,$B$6:$C$57,2,0),0)</f>
        <v>0</v>
      </c>
      <c r="K102" s="68">
        <f ca="1">IFERROR(VLOOKUP('Critical resources'!H108,$B$6:$C$57,2,0),0)</f>
        <v>0</v>
      </c>
      <c r="L102" s="68">
        <f ca="1">IFERROR(VLOOKUP('Critical resources'!J108,$B$6:$C$57,2,0),0)</f>
        <v>0</v>
      </c>
      <c r="M102" s="68">
        <f ca="1">IFERROR(VLOOKUP('Critical resources'!K108,$A$6:$C$57,3,0),0)</f>
        <v>0</v>
      </c>
      <c r="N102" s="68">
        <f ca="1">IFERROR(VLOOKUP('Critical resources'!M108,$B$6:$C$57,2,0),0)</f>
        <v>0</v>
      </c>
      <c r="O102" s="68">
        <f ca="1">IFERROR(VLOOKUP('Critical resources'!N108,$A$6:$C$57,3,0),0)</f>
        <v>0</v>
      </c>
      <c r="P102" s="68">
        <f ca="1">IFERROR(VLOOKUP('Critical resources'!P108,$B$6:$C$57,2,0),0)</f>
        <v>0</v>
      </c>
      <c r="Q102" s="68">
        <f ca="1">IFERROR(VLOOKUP('Critical resources'!Q108,$A$6:$C$57,3,0),0)</f>
        <v>0</v>
      </c>
      <c r="T102" s="68" t="str">
        <f t="shared" si="28"/>
        <v xml:space="preserve">97. </v>
      </c>
      <c r="U102" s="68">
        <f t="shared" ca="1" si="36"/>
        <v>0</v>
      </c>
      <c r="V102" s="68">
        <f t="shared" ca="1" si="36"/>
        <v>0</v>
      </c>
      <c r="W102" s="68">
        <f t="shared" ca="1" si="36"/>
        <v>0</v>
      </c>
      <c r="X102" s="68">
        <f t="shared" ca="1" si="36"/>
        <v>0</v>
      </c>
      <c r="Y102" s="68">
        <f t="shared" ca="1" si="36"/>
        <v>0</v>
      </c>
      <c r="Z102" s="68">
        <f t="shared" ca="1" si="36"/>
        <v>0</v>
      </c>
      <c r="AA102" s="68">
        <f t="shared" ca="1" si="36"/>
        <v>0</v>
      </c>
      <c r="AB102" s="68">
        <f t="shared" ca="1" si="36"/>
        <v>0</v>
      </c>
      <c r="AC102" s="68">
        <f t="shared" ca="1" si="36"/>
        <v>0</v>
      </c>
      <c r="AD102" s="68">
        <f t="shared" ca="1" si="36"/>
        <v>0</v>
      </c>
      <c r="AE102" s="68">
        <f t="shared" ca="1" si="36"/>
        <v>0</v>
      </c>
      <c r="AF102" s="68">
        <f t="shared" ca="1" si="36"/>
        <v>0</v>
      </c>
      <c r="AG102" s="68">
        <f t="shared" ca="1" si="36"/>
        <v>0</v>
      </c>
      <c r="AH102" s="68">
        <f t="shared" ca="1" si="36"/>
        <v>0</v>
      </c>
      <c r="AI102" s="68">
        <f t="shared" ca="1" si="36"/>
        <v>0</v>
      </c>
      <c r="AJ102" s="68">
        <f t="shared" ref="AJ102:AY105" ca="1" si="38">SUM(IFERROR(IF(AND(AJ$5&gt;=$H102,AJ$5&lt;=$I102),1,0),0),IFERROR(IF(AND(AJ$5&gt;=$J102,AJ$5&lt;=$K102),1,0),0),IFERROR(IF(AND(AJ$5&gt;=$L102,AJ$5&lt;=$M102),1,0),0),IFERROR(IF(AND(AJ$5&gt;=$N102,AJ$5&lt;=$O102),1,0),0),IFERROR(IF(AND(AJ$5&gt;=$P102,AJ$5&lt;=$Q102),1,0),0))</f>
        <v>0</v>
      </c>
      <c r="AK102" s="68">
        <f t="shared" ca="1" si="38"/>
        <v>0</v>
      </c>
      <c r="AL102" s="68">
        <f t="shared" ca="1" si="38"/>
        <v>0</v>
      </c>
      <c r="AM102" s="68">
        <f t="shared" ca="1" si="38"/>
        <v>0</v>
      </c>
      <c r="AN102" s="68">
        <f t="shared" ca="1" si="38"/>
        <v>0</v>
      </c>
      <c r="AO102" s="68">
        <f t="shared" ca="1" si="38"/>
        <v>0</v>
      </c>
      <c r="AP102" s="68">
        <f t="shared" ca="1" si="38"/>
        <v>0</v>
      </c>
      <c r="AQ102" s="68">
        <f t="shared" ca="1" si="38"/>
        <v>0</v>
      </c>
      <c r="AR102" s="68">
        <f t="shared" ca="1" si="38"/>
        <v>0</v>
      </c>
      <c r="AS102" s="68">
        <f t="shared" ca="1" si="38"/>
        <v>0</v>
      </c>
      <c r="AT102" s="68">
        <f t="shared" ca="1" si="38"/>
        <v>0</v>
      </c>
      <c r="AU102" s="68">
        <f t="shared" ca="1" si="38"/>
        <v>0</v>
      </c>
      <c r="AV102" s="68">
        <f t="shared" ca="1" si="38"/>
        <v>0</v>
      </c>
      <c r="AW102" s="68">
        <f t="shared" ca="1" si="38"/>
        <v>0</v>
      </c>
      <c r="AX102" s="68">
        <f t="shared" ca="1" si="38"/>
        <v>0</v>
      </c>
      <c r="AY102" s="68">
        <f t="shared" ca="1" si="38"/>
        <v>0</v>
      </c>
      <c r="AZ102" s="68">
        <f t="shared" ref="AZ102:AZ105" ca="1" si="39">SUM(IFERROR(IF(AND(AZ$5&gt;=$H102,AZ$5&lt;=$I102),1,0),0),IFERROR(IF(AND(AZ$5&gt;=$J102,AZ$5&lt;=$K102),1,0),0),IFERROR(IF(AND(AZ$5&gt;=$L102,AZ$5&lt;=$M102),1,0),0),IFERROR(IF(AND(AZ$5&gt;=$N102,AZ$5&lt;=$O102),1,0),0),IFERROR(IF(AND(AZ$5&gt;=$P102,AZ$5&lt;=$Q102),1,0),0))</f>
        <v>0</v>
      </c>
      <c r="BA102" s="68">
        <f t="shared" ca="1" si="37"/>
        <v>0</v>
      </c>
      <c r="BB102" s="68">
        <f t="shared" ca="1" si="37"/>
        <v>0</v>
      </c>
      <c r="BC102" s="68">
        <f t="shared" ca="1" si="37"/>
        <v>0</v>
      </c>
      <c r="BD102" s="68">
        <f t="shared" ca="1" si="37"/>
        <v>0</v>
      </c>
      <c r="BE102" s="68">
        <f t="shared" ca="1" si="37"/>
        <v>0</v>
      </c>
      <c r="BF102" s="68">
        <f t="shared" ca="1" si="37"/>
        <v>0</v>
      </c>
      <c r="BG102" s="68">
        <f t="shared" ca="1" si="37"/>
        <v>0</v>
      </c>
      <c r="BH102" s="68">
        <f t="shared" ca="1" si="37"/>
        <v>0</v>
      </c>
      <c r="BI102" s="68">
        <f t="shared" ca="1" si="37"/>
        <v>0</v>
      </c>
      <c r="BJ102" s="68">
        <f t="shared" ca="1" si="37"/>
        <v>0</v>
      </c>
      <c r="BK102" s="68">
        <f t="shared" ca="1" si="37"/>
        <v>0</v>
      </c>
      <c r="BL102" s="68">
        <f t="shared" ca="1" si="37"/>
        <v>0</v>
      </c>
      <c r="BM102" s="68">
        <f t="shared" ca="1" si="37"/>
        <v>0</v>
      </c>
      <c r="BN102" s="68">
        <f t="shared" ca="1" si="37"/>
        <v>0</v>
      </c>
      <c r="BO102" s="68">
        <f t="shared" ca="1" si="37"/>
        <v>0</v>
      </c>
      <c r="BP102" s="68">
        <f t="shared" ca="1" si="37"/>
        <v>0</v>
      </c>
      <c r="BQ102" s="68">
        <f t="shared" ref="BQ102:BT105" ca="1" si="40">SUM(IFERROR(IF(AND(BQ$5&gt;=$H102,BQ$5&lt;=$I102),1,0),0),IFERROR(IF(AND(BQ$5&gt;=$J102,BQ$5&lt;=$K102),1,0),0),IFERROR(IF(AND(BQ$5&gt;=$L102,BQ$5&lt;=$M102),1,0),0),IFERROR(IF(AND(BQ$5&gt;=$N102,BQ$5&lt;=$O102),1,0),0),IFERROR(IF(AND(BQ$5&gt;=$P102,BQ$5&lt;=$Q102),1,0),0))</f>
        <v>0</v>
      </c>
      <c r="BR102" s="68">
        <f t="shared" ca="1" si="40"/>
        <v>0</v>
      </c>
      <c r="BS102" s="68">
        <f t="shared" ca="1" si="40"/>
        <v>0</v>
      </c>
      <c r="BT102" s="68">
        <f t="shared" ca="1" si="40"/>
        <v>0</v>
      </c>
    </row>
    <row r="103" spans="2:72" x14ac:dyDescent="0.2">
      <c r="B103" s="88"/>
      <c r="G103" s="68" t="str">
        <f>ROW(A98)&amp;". "&amp;'Critical resources'!B109</f>
        <v xml:space="preserve">98. </v>
      </c>
      <c r="H103" s="68">
        <f ca="1">IFERROR(VLOOKUP('Critical resources'!D109,$B$6:$C$57,2,0),0)</f>
        <v>0</v>
      </c>
      <c r="I103" s="68">
        <f ca="1">IFERROR(VLOOKUP('Critical resources'!E109,$A$6:$C$57,3,0),0)</f>
        <v>0</v>
      </c>
      <c r="J103" s="68">
        <f ca="1">IFERROR(VLOOKUP('Critical resources'!G109,$B$6:$C$57,2,0),0)</f>
        <v>0</v>
      </c>
      <c r="K103" s="68">
        <f ca="1">IFERROR(VLOOKUP('Critical resources'!H109,$B$6:$C$57,2,0),0)</f>
        <v>0</v>
      </c>
      <c r="L103" s="68">
        <f ca="1">IFERROR(VLOOKUP('Critical resources'!J109,$B$6:$C$57,2,0),0)</f>
        <v>0</v>
      </c>
      <c r="M103" s="68">
        <f ca="1">IFERROR(VLOOKUP('Critical resources'!K109,$A$6:$C$57,3,0),0)</f>
        <v>0</v>
      </c>
      <c r="N103" s="68">
        <f ca="1">IFERROR(VLOOKUP('Critical resources'!M109,$B$6:$C$57,2,0),0)</f>
        <v>0</v>
      </c>
      <c r="O103" s="68">
        <f ca="1">IFERROR(VLOOKUP('Critical resources'!N109,$A$6:$C$57,3,0),0)</f>
        <v>0</v>
      </c>
      <c r="P103" s="68">
        <f ca="1">IFERROR(VLOOKUP('Critical resources'!P109,$B$6:$C$57,2,0),0)</f>
        <v>0</v>
      </c>
      <c r="Q103" s="68">
        <f ca="1">IFERROR(VLOOKUP('Critical resources'!Q109,$A$6:$C$57,3,0),0)</f>
        <v>0</v>
      </c>
      <c r="T103" s="68" t="str">
        <f t="shared" si="28"/>
        <v xml:space="preserve">98. </v>
      </c>
      <c r="U103" s="68">
        <f t="shared" ref="U103:AI105" ca="1" si="41">SUM(IFERROR(IF(AND(U$5&gt;=$H103,U$5&lt;=$I103),1,0),0),IFERROR(IF(AND(U$5&gt;=$J103,U$5&lt;=$K103),1,0),0),IFERROR(IF(AND(U$5&gt;=$L103,U$5&lt;=$M103),1,0),0),IFERROR(IF(AND(U$5&gt;=$N103,U$5&lt;=$O103),1,0),0),IFERROR(IF(AND(U$5&gt;=$P103,U$5&lt;=$Q103),1,0),0))</f>
        <v>0</v>
      </c>
      <c r="V103" s="68">
        <f t="shared" ca="1" si="41"/>
        <v>0</v>
      </c>
      <c r="W103" s="68">
        <f t="shared" ca="1" si="41"/>
        <v>0</v>
      </c>
      <c r="X103" s="68">
        <f t="shared" ca="1" si="41"/>
        <v>0</v>
      </c>
      <c r="Y103" s="68">
        <f t="shared" ca="1" si="41"/>
        <v>0</v>
      </c>
      <c r="Z103" s="68">
        <f t="shared" ca="1" si="41"/>
        <v>0</v>
      </c>
      <c r="AA103" s="68">
        <f t="shared" ca="1" si="41"/>
        <v>0</v>
      </c>
      <c r="AB103" s="68">
        <f t="shared" ca="1" si="41"/>
        <v>0</v>
      </c>
      <c r="AC103" s="68">
        <f t="shared" ca="1" si="41"/>
        <v>0</v>
      </c>
      <c r="AD103" s="68">
        <f t="shared" ca="1" si="41"/>
        <v>0</v>
      </c>
      <c r="AE103" s="68">
        <f t="shared" ca="1" si="41"/>
        <v>0</v>
      </c>
      <c r="AF103" s="68">
        <f t="shared" ca="1" si="41"/>
        <v>0</v>
      </c>
      <c r="AG103" s="68">
        <f t="shared" ca="1" si="41"/>
        <v>0</v>
      </c>
      <c r="AH103" s="68">
        <f t="shared" ca="1" si="41"/>
        <v>0</v>
      </c>
      <c r="AI103" s="68">
        <f t="shared" ca="1" si="41"/>
        <v>0</v>
      </c>
      <c r="AJ103" s="68">
        <f t="shared" ca="1" si="38"/>
        <v>0</v>
      </c>
      <c r="AK103" s="68">
        <f t="shared" ca="1" si="38"/>
        <v>0</v>
      </c>
      <c r="AL103" s="68">
        <f t="shared" ca="1" si="38"/>
        <v>0</v>
      </c>
      <c r="AM103" s="68">
        <f t="shared" ca="1" si="38"/>
        <v>0</v>
      </c>
      <c r="AN103" s="68">
        <f t="shared" ca="1" si="38"/>
        <v>0</v>
      </c>
      <c r="AO103" s="68">
        <f t="shared" ca="1" si="38"/>
        <v>0</v>
      </c>
      <c r="AP103" s="68">
        <f t="shared" ca="1" si="38"/>
        <v>0</v>
      </c>
      <c r="AQ103" s="68">
        <f t="shared" ca="1" si="38"/>
        <v>0</v>
      </c>
      <c r="AR103" s="68">
        <f t="shared" ca="1" si="38"/>
        <v>0</v>
      </c>
      <c r="AS103" s="68">
        <f t="shared" ca="1" si="38"/>
        <v>0</v>
      </c>
      <c r="AT103" s="68">
        <f t="shared" ca="1" si="38"/>
        <v>0</v>
      </c>
      <c r="AU103" s="68">
        <f t="shared" ca="1" si="38"/>
        <v>0</v>
      </c>
      <c r="AV103" s="68">
        <f t="shared" ca="1" si="38"/>
        <v>0</v>
      </c>
      <c r="AW103" s="68">
        <f t="shared" ca="1" si="38"/>
        <v>0</v>
      </c>
      <c r="AX103" s="68">
        <f t="shared" ca="1" si="38"/>
        <v>0</v>
      </c>
      <c r="AY103" s="68">
        <f t="shared" ca="1" si="38"/>
        <v>0</v>
      </c>
      <c r="AZ103" s="68">
        <f t="shared" ca="1" si="39"/>
        <v>0</v>
      </c>
      <c r="BA103" s="68">
        <f t="shared" ca="1" si="37"/>
        <v>0</v>
      </c>
      <c r="BB103" s="68">
        <f t="shared" ca="1" si="37"/>
        <v>0</v>
      </c>
      <c r="BC103" s="68">
        <f t="shared" ca="1" si="37"/>
        <v>0</v>
      </c>
      <c r="BD103" s="68">
        <f t="shared" ca="1" si="37"/>
        <v>0</v>
      </c>
      <c r="BE103" s="68">
        <f t="shared" ca="1" si="37"/>
        <v>0</v>
      </c>
      <c r="BF103" s="68">
        <f t="shared" ca="1" si="37"/>
        <v>0</v>
      </c>
      <c r="BG103" s="68">
        <f t="shared" ca="1" si="37"/>
        <v>0</v>
      </c>
      <c r="BH103" s="68">
        <f t="shared" ca="1" si="37"/>
        <v>0</v>
      </c>
      <c r="BI103" s="68">
        <f t="shared" ca="1" si="37"/>
        <v>0</v>
      </c>
      <c r="BJ103" s="68">
        <f t="shared" ca="1" si="37"/>
        <v>0</v>
      </c>
      <c r="BK103" s="68">
        <f t="shared" ca="1" si="37"/>
        <v>0</v>
      </c>
      <c r="BL103" s="68">
        <f t="shared" ca="1" si="37"/>
        <v>0</v>
      </c>
      <c r="BM103" s="68">
        <f t="shared" ca="1" si="37"/>
        <v>0</v>
      </c>
      <c r="BN103" s="68">
        <f t="shared" ca="1" si="37"/>
        <v>0</v>
      </c>
      <c r="BO103" s="68">
        <f t="shared" ca="1" si="37"/>
        <v>0</v>
      </c>
      <c r="BP103" s="68">
        <f t="shared" ca="1" si="37"/>
        <v>0</v>
      </c>
      <c r="BQ103" s="68">
        <f t="shared" ca="1" si="40"/>
        <v>0</v>
      </c>
      <c r="BR103" s="68">
        <f t="shared" ca="1" si="40"/>
        <v>0</v>
      </c>
      <c r="BS103" s="68">
        <f t="shared" ca="1" si="40"/>
        <v>0</v>
      </c>
      <c r="BT103" s="68">
        <f t="shared" ca="1" si="40"/>
        <v>0</v>
      </c>
    </row>
    <row r="104" spans="2:72" x14ac:dyDescent="0.2">
      <c r="B104" s="88"/>
      <c r="G104" s="68" t="str">
        <f>ROW(A99)&amp;". "&amp;'Critical resources'!B110</f>
        <v xml:space="preserve">99. </v>
      </c>
      <c r="H104" s="68">
        <f ca="1">IFERROR(VLOOKUP('Critical resources'!D110,$B$6:$C$57,2,0),0)</f>
        <v>0</v>
      </c>
      <c r="I104" s="68">
        <f ca="1">IFERROR(VLOOKUP('Critical resources'!E110,$A$6:$C$57,3,0),0)</f>
        <v>0</v>
      </c>
      <c r="J104" s="68">
        <f ca="1">IFERROR(VLOOKUP('Critical resources'!G110,$B$6:$C$57,2,0),0)</f>
        <v>0</v>
      </c>
      <c r="K104" s="68">
        <f ca="1">IFERROR(VLOOKUP('Critical resources'!H110,$B$6:$C$57,2,0),0)</f>
        <v>0</v>
      </c>
      <c r="L104" s="68">
        <f ca="1">IFERROR(VLOOKUP('Critical resources'!J110,$B$6:$C$57,2,0),0)</f>
        <v>0</v>
      </c>
      <c r="M104" s="68">
        <f ca="1">IFERROR(VLOOKUP('Critical resources'!K110,$A$6:$C$57,3,0),0)</f>
        <v>0</v>
      </c>
      <c r="N104" s="68">
        <f ca="1">IFERROR(VLOOKUP('Critical resources'!M110,$B$6:$C$57,2,0),0)</f>
        <v>0</v>
      </c>
      <c r="O104" s="68">
        <f ca="1">IFERROR(VLOOKUP('Critical resources'!N110,$A$6:$C$57,3,0),0)</f>
        <v>0</v>
      </c>
      <c r="P104" s="68">
        <f ca="1">IFERROR(VLOOKUP('Critical resources'!P110,$B$6:$C$57,2,0),0)</f>
        <v>0</v>
      </c>
      <c r="Q104" s="68">
        <f ca="1">IFERROR(VLOOKUP('Critical resources'!Q110,$A$6:$C$57,3,0),0)</f>
        <v>0</v>
      </c>
      <c r="T104" s="68" t="str">
        <f t="shared" si="28"/>
        <v xml:space="preserve">99. </v>
      </c>
      <c r="U104" s="68">
        <f t="shared" ca="1" si="41"/>
        <v>0</v>
      </c>
      <c r="V104" s="68">
        <f t="shared" ca="1" si="41"/>
        <v>0</v>
      </c>
      <c r="W104" s="68">
        <f t="shared" ca="1" si="41"/>
        <v>0</v>
      </c>
      <c r="X104" s="68">
        <f t="shared" ca="1" si="41"/>
        <v>0</v>
      </c>
      <c r="Y104" s="68">
        <f t="shared" ca="1" si="41"/>
        <v>0</v>
      </c>
      <c r="Z104" s="68">
        <f t="shared" ca="1" si="41"/>
        <v>0</v>
      </c>
      <c r="AA104" s="68">
        <f t="shared" ca="1" si="41"/>
        <v>0</v>
      </c>
      <c r="AB104" s="68">
        <f t="shared" ca="1" si="41"/>
        <v>0</v>
      </c>
      <c r="AC104" s="68">
        <f t="shared" ca="1" si="41"/>
        <v>0</v>
      </c>
      <c r="AD104" s="68">
        <f t="shared" ca="1" si="41"/>
        <v>0</v>
      </c>
      <c r="AE104" s="68">
        <f t="shared" ca="1" si="41"/>
        <v>0</v>
      </c>
      <c r="AF104" s="68">
        <f t="shared" ca="1" si="41"/>
        <v>0</v>
      </c>
      <c r="AG104" s="68">
        <f t="shared" ca="1" si="41"/>
        <v>0</v>
      </c>
      <c r="AH104" s="68">
        <f t="shared" ca="1" si="41"/>
        <v>0</v>
      </c>
      <c r="AI104" s="68">
        <f t="shared" ca="1" si="41"/>
        <v>0</v>
      </c>
      <c r="AJ104" s="68">
        <f t="shared" ca="1" si="38"/>
        <v>0</v>
      </c>
      <c r="AK104" s="68">
        <f t="shared" ca="1" si="38"/>
        <v>0</v>
      </c>
      <c r="AL104" s="68">
        <f t="shared" ca="1" si="38"/>
        <v>0</v>
      </c>
      <c r="AM104" s="68">
        <f t="shared" ca="1" si="38"/>
        <v>0</v>
      </c>
      <c r="AN104" s="68">
        <f t="shared" ca="1" si="38"/>
        <v>0</v>
      </c>
      <c r="AO104" s="68">
        <f t="shared" ca="1" si="38"/>
        <v>0</v>
      </c>
      <c r="AP104" s="68">
        <f t="shared" ca="1" si="38"/>
        <v>0</v>
      </c>
      <c r="AQ104" s="68">
        <f t="shared" ca="1" si="38"/>
        <v>0</v>
      </c>
      <c r="AR104" s="68">
        <f t="shared" ca="1" si="38"/>
        <v>0</v>
      </c>
      <c r="AS104" s="68">
        <f t="shared" ca="1" si="38"/>
        <v>0</v>
      </c>
      <c r="AT104" s="68">
        <f t="shared" ca="1" si="38"/>
        <v>0</v>
      </c>
      <c r="AU104" s="68">
        <f t="shared" ca="1" si="38"/>
        <v>0</v>
      </c>
      <c r="AV104" s="68">
        <f t="shared" ca="1" si="38"/>
        <v>0</v>
      </c>
      <c r="AW104" s="68">
        <f t="shared" ca="1" si="38"/>
        <v>0</v>
      </c>
      <c r="AX104" s="68">
        <f t="shared" ca="1" si="38"/>
        <v>0</v>
      </c>
      <c r="AY104" s="68">
        <f t="shared" ca="1" si="38"/>
        <v>0</v>
      </c>
      <c r="AZ104" s="68">
        <f t="shared" ca="1" si="39"/>
        <v>0</v>
      </c>
      <c r="BA104" s="68">
        <f t="shared" ca="1" si="37"/>
        <v>0</v>
      </c>
      <c r="BB104" s="68">
        <f t="shared" ca="1" si="37"/>
        <v>0</v>
      </c>
      <c r="BC104" s="68">
        <f t="shared" ca="1" si="37"/>
        <v>0</v>
      </c>
      <c r="BD104" s="68">
        <f t="shared" ca="1" si="37"/>
        <v>0</v>
      </c>
      <c r="BE104" s="68">
        <f t="shared" ca="1" si="37"/>
        <v>0</v>
      </c>
      <c r="BF104" s="68">
        <f t="shared" ca="1" si="37"/>
        <v>0</v>
      </c>
      <c r="BG104" s="68">
        <f t="shared" ca="1" si="37"/>
        <v>0</v>
      </c>
      <c r="BH104" s="68">
        <f t="shared" ca="1" si="37"/>
        <v>0</v>
      </c>
      <c r="BI104" s="68">
        <f t="shared" ca="1" si="37"/>
        <v>0</v>
      </c>
      <c r="BJ104" s="68">
        <f t="shared" ca="1" si="37"/>
        <v>0</v>
      </c>
      <c r="BK104" s="68">
        <f t="shared" ca="1" si="37"/>
        <v>0</v>
      </c>
      <c r="BL104" s="68">
        <f t="shared" ca="1" si="37"/>
        <v>0</v>
      </c>
      <c r="BM104" s="68">
        <f t="shared" ca="1" si="37"/>
        <v>0</v>
      </c>
      <c r="BN104" s="68">
        <f t="shared" ca="1" si="37"/>
        <v>0</v>
      </c>
      <c r="BO104" s="68">
        <f t="shared" ca="1" si="37"/>
        <v>0</v>
      </c>
      <c r="BP104" s="68">
        <f t="shared" ca="1" si="37"/>
        <v>0</v>
      </c>
      <c r="BQ104" s="68">
        <f t="shared" ca="1" si="40"/>
        <v>0</v>
      </c>
      <c r="BR104" s="68">
        <f t="shared" ca="1" si="40"/>
        <v>0</v>
      </c>
      <c r="BS104" s="68">
        <f t="shared" ca="1" si="40"/>
        <v>0</v>
      </c>
      <c r="BT104" s="68">
        <f t="shared" ca="1" si="40"/>
        <v>0</v>
      </c>
    </row>
    <row r="105" spans="2:72" x14ac:dyDescent="0.2">
      <c r="B105" s="88"/>
      <c r="G105" s="68" t="str">
        <f>ROW(A100)&amp;". "&amp;'Critical resources'!B111</f>
        <v xml:space="preserve">100. </v>
      </c>
      <c r="H105" s="68">
        <f ca="1">IFERROR(VLOOKUP('Critical resources'!D111,$B$6:$C$57,2,0),0)</f>
        <v>0</v>
      </c>
      <c r="I105" s="68">
        <f ca="1">IFERROR(VLOOKUP('Critical resources'!E111,$A$6:$C$57,3,0),0)</f>
        <v>0</v>
      </c>
      <c r="J105" s="68">
        <f ca="1">IFERROR(VLOOKUP('Critical resources'!G111,$B$6:$C$57,2,0),0)</f>
        <v>0</v>
      </c>
      <c r="K105" s="68">
        <f ca="1">IFERROR(VLOOKUP('Critical resources'!H111,$B$6:$C$57,2,0),0)</f>
        <v>0</v>
      </c>
      <c r="L105" s="68">
        <f ca="1">IFERROR(VLOOKUP('Critical resources'!J111,$B$6:$C$57,2,0),0)</f>
        <v>0</v>
      </c>
      <c r="M105" s="68">
        <f ca="1">IFERROR(VLOOKUP('Critical resources'!K111,$A$6:$C$57,3,0),0)</f>
        <v>0</v>
      </c>
      <c r="N105" s="68">
        <f ca="1">IFERROR(VLOOKUP('Critical resources'!M111,$B$6:$C$57,2,0),0)</f>
        <v>0</v>
      </c>
      <c r="O105" s="68">
        <f ca="1">IFERROR(VLOOKUP('Critical resources'!N111,$A$6:$C$57,3,0),0)</f>
        <v>0</v>
      </c>
      <c r="P105" s="68">
        <f ca="1">IFERROR(VLOOKUP('Critical resources'!P111,$B$6:$C$57,2,0),0)</f>
        <v>0</v>
      </c>
      <c r="Q105" s="68">
        <f ca="1">IFERROR(VLOOKUP('Critical resources'!Q111,$A$6:$C$57,3,0),0)</f>
        <v>0</v>
      </c>
      <c r="T105" s="68" t="str">
        <f t="shared" si="28"/>
        <v xml:space="preserve">100. </v>
      </c>
      <c r="U105" s="68">
        <f t="shared" ca="1" si="41"/>
        <v>0</v>
      </c>
      <c r="V105" s="68">
        <f t="shared" ca="1" si="41"/>
        <v>0</v>
      </c>
      <c r="W105" s="68">
        <f t="shared" ca="1" si="41"/>
        <v>0</v>
      </c>
      <c r="X105" s="68">
        <f t="shared" ca="1" si="41"/>
        <v>0</v>
      </c>
      <c r="Y105" s="68">
        <f t="shared" ca="1" si="41"/>
        <v>0</v>
      </c>
      <c r="Z105" s="68">
        <f t="shared" ca="1" si="41"/>
        <v>0</v>
      </c>
      <c r="AA105" s="68">
        <f t="shared" ca="1" si="41"/>
        <v>0</v>
      </c>
      <c r="AB105" s="68">
        <f t="shared" ca="1" si="41"/>
        <v>0</v>
      </c>
      <c r="AC105" s="68">
        <f t="shared" ca="1" si="41"/>
        <v>0</v>
      </c>
      <c r="AD105" s="68">
        <f t="shared" ca="1" si="41"/>
        <v>0</v>
      </c>
      <c r="AE105" s="68">
        <f t="shared" ca="1" si="41"/>
        <v>0</v>
      </c>
      <c r="AF105" s="68">
        <f t="shared" ca="1" si="41"/>
        <v>0</v>
      </c>
      <c r="AG105" s="68">
        <f t="shared" ca="1" si="41"/>
        <v>0</v>
      </c>
      <c r="AH105" s="68">
        <f t="shared" ca="1" si="41"/>
        <v>0</v>
      </c>
      <c r="AI105" s="68">
        <f t="shared" ca="1" si="41"/>
        <v>0</v>
      </c>
      <c r="AJ105" s="68">
        <f t="shared" ca="1" si="38"/>
        <v>0</v>
      </c>
      <c r="AK105" s="68">
        <f t="shared" ca="1" si="38"/>
        <v>0</v>
      </c>
      <c r="AL105" s="68">
        <f t="shared" ca="1" si="38"/>
        <v>0</v>
      </c>
      <c r="AM105" s="68">
        <f t="shared" ca="1" si="38"/>
        <v>0</v>
      </c>
      <c r="AN105" s="68">
        <f t="shared" ca="1" si="38"/>
        <v>0</v>
      </c>
      <c r="AO105" s="68">
        <f t="shared" ca="1" si="38"/>
        <v>0</v>
      </c>
      <c r="AP105" s="68">
        <f t="shared" ca="1" si="38"/>
        <v>0</v>
      </c>
      <c r="AQ105" s="68">
        <f t="shared" ca="1" si="38"/>
        <v>0</v>
      </c>
      <c r="AR105" s="68">
        <f t="shared" ca="1" si="38"/>
        <v>0</v>
      </c>
      <c r="AS105" s="68">
        <f t="shared" ca="1" si="38"/>
        <v>0</v>
      </c>
      <c r="AT105" s="68">
        <f t="shared" ca="1" si="38"/>
        <v>0</v>
      </c>
      <c r="AU105" s="68">
        <f t="shared" ca="1" si="38"/>
        <v>0</v>
      </c>
      <c r="AV105" s="68">
        <f t="shared" ca="1" si="38"/>
        <v>0</v>
      </c>
      <c r="AW105" s="68">
        <f t="shared" ca="1" si="38"/>
        <v>0</v>
      </c>
      <c r="AX105" s="68">
        <f t="shared" ca="1" si="38"/>
        <v>0</v>
      </c>
      <c r="AY105" s="68">
        <f t="shared" ca="1" si="38"/>
        <v>0</v>
      </c>
      <c r="AZ105" s="68">
        <f t="shared" ca="1" si="39"/>
        <v>0</v>
      </c>
      <c r="BA105" s="68">
        <f t="shared" ca="1" si="37"/>
        <v>0</v>
      </c>
      <c r="BB105" s="68">
        <f t="shared" ca="1" si="37"/>
        <v>0</v>
      </c>
      <c r="BC105" s="68">
        <f t="shared" ca="1" si="37"/>
        <v>0</v>
      </c>
      <c r="BD105" s="68">
        <f t="shared" ca="1" si="37"/>
        <v>0</v>
      </c>
      <c r="BE105" s="68">
        <f t="shared" ca="1" si="37"/>
        <v>0</v>
      </c>
      <c r="BF105" s="68">
        <f t="shared" ca="1" si="37"/>
        <v>0</v>
      </c>
      <c r="BG105" s="68">
        <f t="shared" ca="1" si="37"/>
        <v>0</v>
      </c>
      <c r="BH105" s="68">
        <f t="shared" ca="1" si="37"/>
        <v>0</v>
      </c>
      <c r="BI105" s="68">
        <f t="shared" ca="1" si="37"/>
        <v>0</v>
      </c>
      <c r="BJ105" s="68">
        <f t="shared" ca="1" si="37"/>
        <v>0</v>
      </c>
      <c r="BK105" s="68">
        <f t="shared" ca="1" si="37"/>
        <v>0</v>
      </c>
      <c r="BL105" s="68">
        <f t="shared" ca="1" si="37"/>
        <v>0</v>
      </c>
      <c r="BM105" s="68">
        <f t="shared" ca="1" si="37"/>
        <v>0</v>
      </c>
      <c r="BN105" s="68">
        <f t="shared" ca="1" si="37"/>
        <v>0</v>
      </c>
      <c r="BO105" s="68">
        <f t="shared" ca="1" si="37"/>
        <v>0</v>
      </c>
      <c r="BP105" s="68">
        <f t="shared" ca="1" si="37"/>
        <v>0</v>
      </c>
      <c r="BQ105" s="68">
        <f t="shared" ca="1" si="40"/>
        <v>0</v>
      </c>
      <c r="BR105" s="68">
        <f t="shared" ca="1" si="40"/>
        <v>0</v>
      </c>
      <c r="BS105" s="68">
        <f t="shared" ca="1" si="40"/>
        <v>0</v>
      </c>
      <c r="BT105" s="68">
        <f t="shared" ca="1" si="40"/>
        <v>0</v>
      </c>
    </row>
    <row r="106" spans="2:72" x14ac:dyDescent="0.2">
      <c r="B106" s="88"/>
    </row>
    <row r="107" spans="2:72" x14ac:dyDescent="0.2">
      <c r="B107" s="88"/>
    </row>
    <row r="108" spans="2:72" x14ac:dyDescent="0.2">
      <c r="B108" s="88"/>
    </row>
    <row r="109" spans="2:72" x14ac:dyDescent="0.2">
      <c r="B109" s="88"/>
    </row>
    <row r="110" spans="2:72" x14ac:dyDescent="0.2">
      <c r="B110" s="88"/>
    </row>
    <row r="111" spans="2:72" x14ac:dyDescent="0.2">
      <c r="B111" s="88"/>
    </row>
    <row r="112" spans="2:72" x14ac:dyDescent="0.2">
      <c r="B112" s="88"/>
    </row>
    <row r="113" spans="2:207" x14ac:dyDescent="0.2">
      <c r="B113" s="88"/>
    </row>
    <row r="114" spans="2:207" x14ac:dyDescent="0.2">
      <c r="B114" s="88"/>
    </row>
    <row r="115" spans="2:207" x14ac:dyDescent="0.2">
      <c r="B115" s="88"/>
    </row>
    <row r="116" spans="2:207" x14ac:dyDescent="0.2">
      <c r="B116" s="88"/>
    </row>
    <row r="117" spans="2:207" x14ac:dyDescent="0.2">
      <c r="B117" s="88"/>
    </row>
    <row r="118" spans="2:207" x14ac:dyDescent="0.2">
      <c r="B118" s="88"/>
    </row>
    <row r="119" spans="2:207" x14ac:dyDescent="0.2">
      <c r="B119" s="88"/>
    </row>
    <row r="120" spans="2:207" x14ac:dyDescent="0.2">
      <c r="B120" s="88"/>
    </row>
    <row r="121" spans="2:207" x14ac:dyDescent="0.2">
      <c r="B121" s="88"/>
    </row>
    <row r="123" spans="2:207" x14ac:dyDescent="0.2">
      <c r="B123" s="88"/>
      <c r="CW123" s="71"/>
      <c r="CZ123" s="88"/>
      <c r="GY123" s="71"/>
    </row>
    <row r="124" spans="2:207" x14ac:dyDescent="0.2">
      <c r="B124" s="88"/>
      <c r="CW124" s="71"/>
      <c r="CZ124" s="88"/>
      <c r="GY124" s="71"/>
    </row>
    <row r="125" spans="2:207" x14ac:dyDescent="0.2">
      <c r="B125" s="88"/>
      <c r="CW125" s="71"/>
      <c r="CZ125" s="88"/>
      <c r="GY125" s="71"/>
    </row>
    <row r="126" spans="2:207" x14ac:dyDescent="0.2">
      <c r="B126" s="88"/>
      <c r="CW126" s="71"/>
      <c r="CZ126" s="88"/>
      <c r="GY126" s="71"/>
    </row>
    <row r="127" spans="2:207" x14ac:dyDescent="0.2">
      <c r="B127" s="88"/>
      <c r="CW127" s="71"/>
      <c r="CZ127" s="88"/>
      <c r="GY127" s="71"/>
    </row>
    <row r="128" spans="2:207" x14ac:dyDescent="0.2">
      <c r="B128" s="88"/>
      <c r="CW128" s="71"/>
      <c r="CZ128" s="88"/>
      <c r="GY128" s="71"/>
    </row>
    <row r="129" spans="2:207" x14ac:dyDescent="0.2">
      <c r="B129" s="88"/>
      <c r="CW129" s="71"/>
      <c r="CZ129" s="88"/>
      <c r="GY129" s="71"/>
    </row>
    <row r="130" spans="2:207" x14ac:dyDescent="0.2">
      <c r="B130" s="88"/>
      <c r="CW130" s="71"/>
      <c r="CZ130" s="88"/>
      <c r="GY130" s="71"/>
    </row>
    <row r="131" spans="2:207" x14ac:dyDescent="0.2">
      <c r="B131" s="88"/>
      <c r="CW131" s="71"/>
      <c r="CZ131" s="88"/>
      <c r="GY131" s="71"/>
    </row>
    <row r="132" spans="2:207" x14ac:dyDescent="0.2">
      <c r="B132" s="88"/>
      <c r="CW132" s="71"/>
      <c r="CZ132" s="88"/>
      <c r="GY132" s="71"/>
    </row>
    <row r="133" spans="2:207" x14ac:dyDescent="0.2">
      <c r="B133" s="88"/>
      <c r="CW133" s="71"/>
      <c r="CZ133" s="88"/>
      <c r="GY133" s="71"/>
    </row>
    <row r="134" spans="2:207" x14ac:dyDescent="0.2">
      <c r="B134" s="88"/>
      <c r="CW134" s="71"/>
      <c r="CZ134" s="88"/>
      <c r="GY134" s="71"/>
    </row>
    <row r="135" spans="2:207" x14ac:dyDescent="0.2">
      <c r="B135" s="88"/>
      <c r="CW135" s="71"/>
      <c r="CZ135" s="88"/>
      <c r="GY135" s="71"/>
    </row>
    <row r="136" spans="2:207" x14ac:dyDescent="0.2">
      <c r="B136" s="88"/>
      <c r="CW136" s="71"/>
      <c r="CZ136" s="88"/>
      <c r="GY136" s="71"/>
    </row>
    <row r="137" spans="2:207" x14ac:dyDescent="0.2">
      <c r="B137" s="88"/>
      <c r="CW137" s="71"/>
      <c r="CZ137" s="88"/>
      <c r="GY137" s="71"/>
    </row>
    <row r="138" spans="2:207" x14ac:dyDescent="0.2">
      <c r="B138" s="88"/>
      <c r="CW138" s="71"/>
      <c r="CZ138" s="88"/>
      <c r="GY138" s="71"/>
    </row>
    <row r="139" spans="2:207" x14ac:dyDescent="0.2">
      <c r="B139" s="88"/>
      <c r="CW139" s="71"/>
      <c r="CZ139" s="88"/>
      <c r="GY139" s="71"/>
    </row>
    <row r="140" spans="2:207" x14ac:dyDescent="0.2">
      <c r="B140" s="88"/>
      <c r="CW140" s="71"/>
      <c r="CZ140" s="88"/>
      <c r="GY140" s="71"/>
    </row>
    <row r="141" spans="2:207" x14ac:dyDescent="0.2">
      <c r="B141" s="88"/>
      <c r="CW141" s="71"/>
      <c r="CZ141" s="88"/>
      <c r="GY141" s="71"/>
    </row>
    <row r="142" spans="2:207" x14ac:dyDescent="0.2">
      <c r="B142" s="88"/>
      <c r="CW142" s="71"/>
      <c r="CZ142" s="88"/>
      <c r="GY142" s="71"/>
    </row>
    <row r="143" spans="2:207" x14ac:dyDescent="0.2">
      <c r="B143" s="88"/>
      <c r="CW143" s="71"/>
      <c r="CZ143" s="88"/>
      <c r="GY143" s="71"/>
    </row>
    <row r="144" spans="2:207" x14ac:dyDescent="0.2">
      <c r="B144" s="88"/>
      <c r="CW144" s="71"/>
      <c r="CZ144" s="88"/>
      <c r="GY144" s="71"/>
    </row>
    <row r="145" spans="2:207" x14ac:dyDescent="0.2">
      <c r="B145" s="88"/>
      <c r="CW145" s="71"/>
      <c r="CZ145" s="88"/>
      <c r="GY145" s="71"/>
    </row>
    <row r="146" spans="2:207" x14ac:dyDescent="0.2">
      <c r="B146" s="88"/>
      <c r="CW146" s="71"/>
      <c r="CZ146" s="88"/>
      <c r="GY146" s="71"/>
    </row>
    <row r="147" spans="2:207" x14ac:dyDescent="0.2">
      <c r="B147" s="88"/>
      <c r="CW147" s="71"/>
      <c r="CZ147" s="88"/>
      <c r="GY147" s="71"/>
    </row>
    <row r="148" spans="2:207" x14ac:dyDescent="0.2">
      <c r="B148" s="88"/>
      <c r="CW148" s="71"/>
      <c r="CZ148" s="88"/>
      <c r="GY148" s="71"/>
    </row>
    <row r="149" spans="2:207" x14ac:dyDescent="0.2">
      <c r="B149" s="88"/>
      <c r="CW149" s="71"/>
      <c r="CZ149" s="88"/>
      <c r="GY149" s="71"/>
    </row>
    <row r="150" spans="2:207" x14ac:dyDescent="0.2">
      <c r="B150" s="88"/>
      <c r="CW150" s="71"/>
      <c r="CZ150" s="88"/>
      <c r="GY150" s="71"/>
    </row>
    <row r="151" spans="2:207" x14ac:dyDescent="0.2">
      <c r="B151" s="88"/>
      <c r="CW151" s="71"/>
      <c r="CZ151" s="88"/>
      <c r="GY151" s="71"/>
    </row>
    <row r="152" spans="2:207" x14ac:dyDescent="0.2">
      <c r="B152" s="88"/>
      <c r="CW152" s="71"/>
      <c r="CZ152" s="88"/>
      <c r="GY152" s="71"/>
    </row>
    <row r="153" spans="2:207" x14ac:dyDescent="0.2">
      <c r="B153" s="88"/>
      <c r="CW153" s="71"/>
      <c r="CZ153" s="88"/>
      <c r="GY153" s="71"/>
    </row>
    <row r="154" spans="2:207" x14ac:dyDescent="0.2">
      <c r="B154" s="88"/>
      <c r="CW154" s="71"/>
      <c r="CZ154" s="88"/>
      <c r="GY154" s="71"/>
    </row>
    <row r="155" spans="2:207" x14ac:dyDescent="0.2">
      <c r="B155" s="88"/>
      <c r="CW155" s="71"/>
      <c r="CZ155" s="88"/>
      <c r="GY155" s="71"/>
    </row>
    <row r="156" spans="2:207" x14ac:dyDescent="0.2">
      <c r="B156" s="88"/>
      <c r="CW156" s="71"/>
      <c r="CZ156" s="88"/>
      <c r="GY156" s="71"/>
    </row>
    <row r="157" spans="2:207" x14ac:dyDescent="0.2">
      <c r="B157" s="88"/>
      <c r="CW157" s="71"/>
      <c r="CZ157" s="88"/>
      <c r="GY157" s="71"/>
    </row>
    <row r="158" spans="2:207" x14ac:dyDescent="0.2">
      <c r="B158" s="88"/>
      <c r="CW158" s="71"/>
      <c r="CZ158" s="88"/>
      <c r="GY158" s="71"/>
    </row>
    <row r="159" spans="2:207" x14ac:dyDescent="0.2">
      <c r="B159" s="88"/>
      <c r="CW159" s="71"/>
      <c r="CZ159" s="88"/>
      <c r="GY159" s="71"/>
    </row>
    <row r="160" spans="2:207" x14ac:dyDescent="0.2">
      <c r="B160" s="88"/>
      <c r="CW160" s="71"/>
      <c r="CZ160" s="88"/>
      <c r="GY160" s="71"/>
    </row>
    <row r="161" spans="2:207" x14ac:dyDescent="0.2">
      <c r="B161" s="88"/>
      <c r="CW161" s="71"/>
      <c r="CZ161" s="88"/>
      <c r="GY161" s="71"/>
    </row>
    <row r="162" spans="2:207" x14ac:dyDescent="0.2">
      <c r="B162" s="88"/>
      <c r="CW162" s="71"/>
      <c r="CZ162" s="88"/>
      <c r="GY162" s="71"/>
    </row>
    <row r="163" spans="2:207" x14ac:dyDescent="0.2">
      <c r="B163" s="88"/>
      <c r="CW163" s="71"/>
      <c r="CZ163" s="88"/>
      <c r="GY163" s="71"/>
    </row>
    <row r="164" spans="2:207" x14ac:dyDescent="0.2">
      <c r="B164" s="88"/>
      <c r="CW164" s="71"/>
      <c r="CZ164" s="88"/>
      <c r="GY164" s="71"/>
    </row>
    <row r="165" spans="2:207" x14ac:dyDescent="0.2">
      <c r="B165" s="88"/>
      <c r="CW165" s="71"/>
      <c r="CZ165" s="88"/>
      <c r="GY165" s="71"/>
    </row>
    <row r="166" spans="2:207" x14ac:dyDescent="0.2">
      <c r="B166" s="88"/>
      <c r="CW166" s="71"/>
      <c r="CZ166" s="88"/>
      <c r="GY166" s="71"/>
    </row>
    <row r="167" spans="2:207" x14ac:dyDescent="0.2">
      <c r="B167" s="88"/>
      <c r="CW167" s="71"/>
      <c r="CZ167" s="88"/>
      <c r="GY167" s="71"/>
    </row>
    <row r="168" spans="2:207" x14ac:dyDescent="0.2">
      <c r="B168" s="88"/>
      <c r="CW168" s="71"/>
      <c r="CZ168" s="88"/>
      <c r="GY168" s="71"/>
    </row>
    <row r="169" spans="2:207" x14ac:dyDescent="0.2">
      <c r="B169" s="88"/>
      <c r="CW169" s="71"/>
      <c r="CZ169" s="88"/>
      <c r="GY169" s="71"/>
    </row>
    <row r="170" spans="2:207" x14ac:dyDescent="0.2">
      <c r="B170" s="88"/>
      <c r="CW170" s="71"/>
      <c r="CZ170" s="88"/>
      <c r="GY170" s="71"/>
    </row>
    <row r="171" spans="2:207" x14ac:dyDescent="0.2">
      <c r="B171" s="88"/>
      <c r="CW171" s="71"/>
      <c r="CZ171" s="88"/>
      <c r="GY171" s="71"/>
    </row>
    <row r="172" spans="2:207" x14ac:dyDescent="0.2">
      <c r="B172" s="88"/>
      <c r="CW172" s="71"/>
      <c r="CZ172" s="88"/>
      <c r="GY172" s="71"/>
    </row>
    <row r="173" spans="2:207" x14ac:dyDescent="0.2">
      <c r="B173" s="88"/>
      <c r="CW173" s="71"/>
      <c r="CZ173" s="88"/>
      <c r="GY173" s="71"/>
    </row>
    <row r="174" spans="2:207" x14ac:dyDescent="0.2">
      <c r="B174" s="88"/>
      <c r="CW174" s="71"/>
      <c r="CZ174" s="88"/>
      <c r="GY174" s="71"/>
    </row>
    <row r="175" spans="2:207" x14ac:dyDescent="0.2">
      <c r="B175" s="88"/>
      <c r="CZ175" s="88"/>
    </row>
    <row r="176" spans="2:207" x14ac:dyDescent="0.2">
      <c r="B176" s="88"/>
      <c r="CW176" s="71"/>
      <c r="CZ176" s="88"/>
      <c r="GY176" s="71"/>
    </row>
    <row r="177" spans="2:102" x14ac:dyDescent="0.2">
      <c r="B177" s="88"/>
      <c r="CX177" s="71"/>
    </row>
    <row r="189" spans="2:102" x14ac:dyDescent="0.2">
      <c r="B189" s="88"/>
    </row>
    <row r="190" spans="2:102" x14ac:dyDescent="0.2">
      <c r="B190" s="88"/>
    </row>
    <row r="191" spans="2:102" x14ac:dyDescent="0.2">
      <c r="B191" s="88"/>
    </row>
    <row r="192" spans="2:102" x14ac:dyDescent="0.2">
      <c r="B192" s="88"/>
    </row>
    <row r="193" spans="2:2" x14ac:dyDescent="0.2">
      <c r="B193" s="88"/>
    </row>
    <row r="194" spans="2:2" x14ac:dyDescent="0.2">
      <c r="B194" s="88"/>
    </row>
    <row r="195" spans="2:2" x14ac:dyDescent="0.2">
      <c r="B195" s="88"/>
    </row>
    <row r="196" spans="2:2" x14ac:dyDescent="0.2">
      <c r="B196" s="88"/>
    </row>
    <row r="197" spans="2:2" x14ac:dyDescent="0.2">
      <c r="B197" s="88"/>
    </row>
    <row r="198" spans="2:2" x14ac:dyDescent="0.2">
      <c r="B198" s="88"/>
    </row>
    <row r="199" spans="2:2" x14ac:dyDescent="0.2">
      <c r="B199" s="88"/>
    </row>
    <row r="200" spans="2:2" x14ac:dyDescent="0.2">
      <c r="B200" s="88"/>
    </row>
    <row r="201" spans="2:2" x14ac:dyDescent="0.2">
      <c r="B201" s="88"/>
    </row>
    <row r="202" spans="2:2" x14ac:dyDescent="0.2">
      <c r="B202" s="88"/>
    </row>
    <row r="203" spans="2:2" x14ac:dyDescent="0.2">
      <c r="B203" s="88"/>
    </row>
    <row r="204" spans="2:2" x14ac:dyDescent="0.2">
      <c r="B204" s="88"/>
    </row>
    <row r="205" spans="2:2" x14ac:dyDescent="0.2">
      <c r="B205" s="88"/>
    </row>
    <row r="206" spans="2:2" x14ac:dyDescent="0.2">
      <c r="B206" s="88"/>
    </row>
    <row r="207" spans="2:2" x14ac:dyDescent="0.2">
      <c r="B207" s="88"/>
    </row>
    <row r="208" spans="2:2" x14ac:dyDescent="0.2">
      <c r="B208" s="88"/>
    </row>
    <row r="209" spans="2:2" x14ac:dyDescent="0.2">
      <c r="B209" s="88"/>
    </row>
    <row r="210" spans="2:2" x14ac:dyDescent="0.2">
      <c r="B210" s="88"/>
    </row>
    <row r="211" spans="2:2" x14ac:dyDescent="0.2">
      <c r="B211" s="88"/>
    </row>
    <row r="212" spans="2:2" x14ac:dyDescent="0.2">
      <c r="B212" s="88"/>
    </row>
    <row r="213" spans="2:2" x14ac:dyDescent="0.2">
      <c r="B213" s="88"/>
    </row>
    <row r="214" spans="2:2" x14ac:dyDescent="0.2">
      <c r="B214" s="88"/>
    </row>
    <row r="215" spans="2:2" x14ac:dyDescent="0.2">
      <c r="B215" s="88"/>
    </row>
    <row r="216" spans="2:2" x14ac:dyDescent="0.2">
      <c r="B216" s="88"/>
    </row>
    <row r="217" spans="2:2" x14ac:dyDescent="0.2">
      <c r="B217" s="88"/>
    </row>
    <row r="218" spans="2:2" x14ac:dyDescent="0.2">
      <c r="B218" s="88"/>
    </row>
    <row r="219" spans="2:2" x14ac:dyDescent="0.2">
      <c r="B219" s="88"/>
    </row>
    <row r="220" spans="2:2" x14ac:dyDescent="0.2">
      <c r="B220" s="88"/>
    </row>
    <row r="221" spans="2:2" x14ac:dyDescent="0.2">
      <c r="B221" s="88"/>
    </row>
    <row r="222" spans="2:2" x14ac:dyDescent="0.2">
      <c r="B222" s="88"/>
    </row>
    <row r="223" spans="2:2" x14ac:dyDescent="0.2">
      <c r="B223" s="88"/>
    </row>
    <row r="224" spans="2:2" x14ac:dyDescent="0.2">
      <c r="B224" s="88"/>
    </row>
    <row r="225" spans="2:2" x14ac:dyDescent="0.2">
      <c r="B225" s="88"/>
    </row>
    <row r="226" spans="2:2" x14ac:dyDescent="0.2">
      <c r="B226" s="88"/>
    </row>
    <row r="227" spans="2:2" x14ac:dyDescent="0.2">
      <c r="B227" s="88"/>
    </row>
    <row r="228" spans="2:2" x14ac:dyDescent="0.2">
      <c r="B228" s="88"/>
    </row>
    <row r="229" spans="2:2" x14ac:dyDescent="0.2">
      <c r="B229" s="88"/>
    </row>
    <row r="230" spans="2:2" x14ac:dyDescent="0.2">
      <c r="B230" s="88"/>
    </row>
    <row r="231" spans="2:2" x14ac:dyDescent="0.2">
      <c r="B231" s="88"/>
    </row>
    <row r="232" spans="2:2" x14ac:dyDescent="0.2">
      <c r="B232" s="88"/>
    </row>
    <row r="233" spans="2:2" x14ac:dyDescent="0.2">
      <c r="B233" s="88"/>
    </row>
    <row r="234" spans="2:2" x14ac:dyDescent="0.2">
      <c r="B234" s="88"/>
    </row>
    <row r="235" spans="2:2" x14ac:dyDescent="0.2">
      <c r="B235" s="88"/>
    </row>
    <row r="236" spans="2:2" x14ac:dyDescent="0.2">
      <c r="B236" s="88"/>
    </row>
    <row r="237" spans="2:2" x14ac:dyDescent="0.2">
      <c r="B237" s="88"/>
    </row>
    <row r="238" spans="2:2" x14ac:dyDescent="0.2">
      <c r="B238" s="88"/>
    </row>
    <row r="239" spans="2:2" x14ac:dyDescent="0.2">
      <c r="B239" s="88"/>
    </row>
    <row r="240" spans="2:2" x14ac:dyDescent="0.2">
      <c r="B240" s="88"/>
    </row>
    <row r="241" spans="2:2" x14ac:dyDescent="0.2">
      <c r="B241" s="88"/>
    </row>
    <row r="245" spans="2:2" x14ac:dyDescent="0.2">
      <c r="B245" s="88"/>
    </row>
    <row r="246" spans="2:2" x14ac:dyDescent="0.2">
      <c r="B246" s="88"/>
    </row>
    <row r="247" spans="2:2" x14ac:dyDescent="0.2">
      <c r="B247" s="88"/>
    </row>
    <row r="248" spans="2:2" x14ac:dyDescent="0.2">
      <c r="B248" s="88"/>
    </row>
    <row r="249" spans="2:2" x14ac:dyDescent="0.2">
      <c r="B249" s="88"/>
    </row>
    <row r="250" spans="2:2" x14ac:dyDescent="0.2">
      <c r="B250" s="88"/>
    </row>
    <row r="251" spans="2:2" x14ac:dyDescent="0.2">
      <c r="B251" s="88"/>
    </row>
    <row r="252" spans="2:2" x14ac:dyDescent="0.2">
      <c r="B252" s="88"/>
    </row>
    <row r="253" spans="2:2" x14ac:dyDescent="0.2">
      <c r="B253" s="88"/>
    </row>
    <row r="254" spans="2:2" x14ac:dyDescent="0.2">
      <c r="B254" s="88"/>
    </row>
    <row r="255" spans="2:2" x14ac:dyDescent="0.2">
      <c r="B255" s="88"/>
    </row>
    <row r="256" spans="2:2" x14ac:dyDescent="0.2">
      <c r="B256" s="88"/>
    </row>
    <row r="257" spans="2:2" x14ac:dyDescent="0.2">
      <c r="B257" s="88"/>
    </row>
    <row r="258" spans="2:2" x14ac:dyDescent="0.2">
      <c r="B258" s="88"/>
    </row>
    <row r="259" spans="2:2" x14ac:dyDescent="0.2">
      <c r="B259" s="88"/>
    </row>
    <row r="260" spans="2:2" x14ac:dyDescent="0.2">
      <c r="B260" s="88"/>
    </row>
    <row r="261" spans="2:2" x14ac:dyDescent="0.2">
      <c r="B261" s="88"/>
    </row>
    <row r="262" spans="2:2" x14ac:dyDescent="0.2">
      <c r="B262" s="88"/>
    </row>
    <row r="263" spans="2:2" x14ac:dyDescent="0.2">
      <c r="B263" s="88"/>
    </row>
    <row r="264" spans="2:2" x14ac:dyDescent="0.2">
      <c r="B264" s="88"/>
    </row>
    <row r="265" spans="2:2" x14ac:dyDescent="0.2">
      <c r="B265" s="88"/>
    </row>
    <row r="266" spans="2:2" x14ac:dyDescent="0.2">
      <c r="B266" s="88"/>
    </row>
    <row r="267" spans="2:2" x14ac:dyDescent="0.2">
      <c r="B267" s="88"/>
    </row>
    <row r="268" spans="2:2" x14ac:dyDescent="0.2">
      <c r="B268" s="88"/>
    </row>
    <row r="269" spans="2:2" x14ac:dyDescent="0.2">
      <c r="B269" s="88"/>
    </row>
    <row r="270" spans="2:2" x14ac:dyDescent="0.2">
      <c r="B270" s="88"/>
    </row>
    <row r="271" spans="2:2" x14ac:dyDescent="0.2">
      <c r="B271" s="88"/>
    </row>
    <row r="272" spans="2:2" x14ac:dyDescent="0.2">
      <c r="B272" s="88"/>
    </row>
    <row r="273" spans="2:2" x14ac:dyDescent="0.2">
      <c r="B273" s="88"/>
    </row>
    <row r="274" spans="2:2" x14ac:dyDescent="0.2">
      <c r="B274" s="88"/>
    </row>
    <row r="275" spans="2:2" x14ac:dyDescent="0.2">
      <c r="B275" s="88"/>
    </row>
    <row r="276" spans="2:2" x14ac:dyDescent="0.2">
      <c r="B276" s="88"/>
    </row>
    <row r="277" spans="2:2" x14ac:dyDescent="0.2">
      <c r="B277" s="88"/>
    </row>
    <row r="278" spans="2:2" x14ac:dyDescent="0.2">
      <c r="B278" s="88"/>
    </row>
    <row r="279" spans="2:2" x14ac:dyDescent="0.2">
      <c r="B279" s="88"/>
    </row>
    <row r="280" spans="2:2" x14ac:dyDescent="0.2">
      <c r="B280" s="88"/>
    </row>
    <row r="281" spans="2:2" x14ac:dyDescent="0.2">
      <c r="B281" s="88"/>
    </row>
    <row r="282" spans="2:2" x14ac:dyDescent="0.2">
      <c r="B282" s="88"/>
    </row>
    <row r="283" spans="2:2" x14ac:dyDescent="0.2">
      <c r="B283" s="88"/>
    </row>
    <row r="284" spans="2:2" x14ac:dyDescent="0.2">
      <c r="B284" s="88"/>
    </row>
    <row r="285" spans="2:2" x14ac:dyDescent="0.2">
      <c r="B285" s="88"/>
    </row>
    <row r="286" spans="2:2" x14ac:dyDescent="0.2">
      <c r="B286" s="88"/>
    </row>
    <row r="287" spans="2:2" x14ac:dyDescent="0.2">
      <c r="B287" s="88"/>
    </row>
    <row r="288" spans="2:2" x14ac:dyDescent="0.2">
      <c r="B288" s="88"/>
    </row>
    <row r="289" spans="2:2" x14ac:dyDescent="0.2">
      <c r="B289" s="88"/>
    </row>
    <row r="290" spans="2:2" x14ac:dyDescent="0.2">
      <c r="B290" s="88"/>
    </row>
    <row r="291" spans="2:2" x14ac:dyDescent="0.2">
      <c r="B291" s="88"/>
    </row>
    <row r="292" spans="2:2" x14ac:dyDescent="0.2">
      <c r="B292" s="88"/>
    </row>
    <row r="293" spans="2:2" x14ac:dyDescent="0.2">
      <c r="B293" s="88"/>
    </row>
    <row r="294" spans="2:2" x14ac:dyDescent="0.2">
      <c r="B294" s="88"/>
    </row>
    <row r="295" spans="2:2" x14ac:dyDescent="0.2">
      <c r="B295" s="88"/>
    </row>
    <row r="296" spans="2:2" x14ac:dyDescent="0.2">
      <c r="B296" s="88"/>
    </row>
    <row r="297" spans="2:2" x14ac:dyDescent="0.2">
      <c r="B297" s="88"/>
    </row>
  </sheetData>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DP220"/>
  <sheetViews>
    <sheetView workbookViewId="0">
      <selection activeCell="H6" sqref="H6"/>
    </sheetView>
  </sheetViews>
  <sheetFormatPr defaultRowHeight="14.25" x14ac:dyDescent="0.2"/>
  <cols>
    <col min="1" max="1" width="9" style="68"/>
    <col min="2" max="2" width="12.125" customWidth="1"/>
    <col min="3" max="3" width="12.125" style="68" customWidth="1"/>
    <col min="4" max="4" width="11.125" customWidth="1"/>
    <col min="60" max="61" width="9.625" customWidth="1"/>
    <col min="62" max="62" width="9.625" style="68" customWidth="1"/>
  </cols>
  <sheetData>
    <row r="1" spans="2:120" ht="15" x14ac:dyDescent="0.25">
      <c r="C1" s="2" t="s">
        <v>462</v>
      </c>
      <c r="D1" t="s">
        <v>470</v>
      </c>
      <c r="E1">
        <v>1</v>
      </c>
      <c r="H1" t="s">
        <v>436</v>
      </c>
      <c r="I1" t="str">
        <f>"Capacity summary ("&amp;LOWER('Capacity summary'!$C$16)&amp;")"</f>
        <v>Capacity summary (patients)</v>
      </c>
      <c r="BK1" s="68" t="s">
        <v>461</v>
      </c>
      <c r="BL1" s="68"/>
      <c r="BM1" s="68"/>
      <c r="BN1" s="68"/>
      <c r="BO1" s="68"/>
      <c r="BP1" s="68"/>
      <c r="BQ1" s="68"/>
      <c r="BR1" s="68"/>
      <c r="BS1" s="68"/>
      <c r="BT1" s="68"/>
      <c r="BU1" s="68"/>
      <c r="BV1" s="68"/>
      <c r="BW1" s="68"/>
      <c r="BX1" s="68"/>
      <c r="BY1" s="68"/>
      <c r="BZ1" s="68"/>
      <c r="CA1" s="68"/>
      <c r="CB1" s="68"/>
      <c r="CC1" s="68"/>
      <c r="CD1" s="68"/>
      <c r="CE1" s="68"/>
      <c r="CF1" s="68"/>
      <c r="CG1" s="68"/>
      <c r="CH1" s="68"/>
      <c r="CI1" s="68"/>
      <c r="CJ1" s="68"/>
      <c r="CK1" s="68"/>
      <c r="CL1" s="68"/>
      <c r="CM1" s="68"/>
      <c r="CN1" s="68"/>
      <c r="CO1" s="68"/>
      <c r="CP1" s="68"/>
      <c r="CQ1" s="68"/>
      <c r="CR1" s="68"/>
      <c r="CS1" s="68"/>
      <c r="CT1" s="68"/>
      <c r="CU1" s="68"/>
      <c r="CV1" s="68"/>
      <c r="CW1" s="68"/>
      <c r="CX1" s="68"/>
      <c r="CY1" s="68"/>
      <c r="CZ1" s="68"/>
      <c r="DA1" s="68"/>
      <c r="DB1" s="68"/>
      <c r="DC1" s="68"/>
      <c r="DD1" s="68"/>
      <c r="DE1" s="68"/>
      <c r="DF1" s="68"/>
      <c r="DG1" s="68"/>
      <c r="DH1" s="68"/>
      <c r="DI1" s="68"/>
      <c r="DJ1" s="68"/>
    </row>
    <row r="2" spans="2:120" ht="15" x14ac:dyDescent="0.25">
      <c r="B2" s="2"/>
      <c r="C2" s="2"/>
      <c r="D2" s="2" t="s">
        <v>454</v>
      </c>
      <c r="E2" s="2"/>
      <c r="F2" s="2"/>
      <c r="H2" t="s">
        <v>458</v>
      </c>
      <c r="BK2" s="2">
        <v>1</v>
      </c>
      <c r="BL2" s="2">
        <v>2</v>
      </c>
      <c r="BM2" s="2">
        <v>3</v>
      </c>
      <c r="BN2" s="2">
        <v>4</v>
      </c>
      <c r="BO2" s="2">
        <v>5</v>
      </c>
      <c r="BP2" s="2">
        <v>6</v>
      </c>
      <c r="BQ2" s="2">
        <v>7</v>
      </c>
      <c r="BR2" s="2">
        <v>8</v>
      </c>
      <c r="BS2" s="2">
        <v>9</v>
      </c>
      <c r="BT2" s="2">
        <v>10</v>
      </c>
      <c r="BU2" s="2">
        <v>11</v>
      </c>
      <c r="BV2" s="2">
        <v>12</v>
      </c>
      <c r="BW2" s="2">
        <v>13</v>
      </c>
      <c r="BX2" s="2">
        <v>14</v>
      </c>
      <c r="BY2" s="2">
        <v>15</v>
      </c>
      <c r="BZ2" s="2">
        <v>16</v>
      </c>
      <c r="CA2" s="2">
        <v>17</v>
      </c>
      <c r="CB2" s="2">
        <v>18</v>
      </c>
      <c r="CC2" s="2">
        <v>19</v>
      </c>
      <c r="CD2" s="2">
        <v>20</v>
      </c>
      <c r="CE2" s="2">
        <v>21</v>
      </c>
      <c r="CF2" s="2">
        <v>22</v>
      </c>
      <c r="CG2" s="2">
        <v>23</v>
      </c>
      <c r="CH2" s="2">
        <v>24</v>
      </c>
      <c r="CI2" s="2">
        <v>25</v>
      </c>
      <c r="CJ2" s="2">
        <v>26</v>
      </c>
      <c r="CK2" s="2">
        <v>27</v>
      </c>
      <c r="CL2" s="2">
        <v>28</v>
      </c>
      <c r="CM2" s="2">
        <v>29</v>
      </c>
      <c r="CN2" s="2">
        <v>30</v>
      </c>
      <c r="CO2" s="2">
        <v>31</v>
      </c>
      <c r="CP2" s="2">
        <v>32</v>
      </c>
      <c r="CQ2" s="2">
        <v>33</v>
      </c>
      <c r="CR2" s="2">
        <v>34</v>
      </c>
      <c r="CS2" s="2">
        <v>35</v>
      </c>
      <c r="CT2" s="2">
        <v>36</v>
      </c>
      <c r="CU2" s="2">
        <v>37</v>
      </c>
      <c r="CV2" s="2">
        <v>38</v>
      </c>
      <c r="CW2" s="2">
        <v>39</v>
      </c>
      <c r="CX2" s="2">
        <v>40</v>
      </c>
      <c r="CY2" s="2">
        <v>41</v>
      </c>
      <c r="CZ2" s="2">
        <v>42</v>
      </c>
      <c r="DA2" s="2">
        <v>43</v>
      </c>
      <c r="DB2" s="2">
        <v>44</v>
      </c>
      <c r="DC2" s="2">
        <v>45</v>
      </c>
      <c r="DD2" s="2">
        <v>46</v>
      </c>
      <c r="DE2" s="2">
        <v>47</v>
      </c>
      <c r="DF2" s="2">
        <v>48</v>
      </c>
      <c r="DG2" s="2">
        <v>49</v>
      </c>
      <c r="DH2" s="2">
        <v>50</v>
      </c>
      <c r="DI2" s="2">
        <v>51</v>
      </c>
      <c r="DJ2" s="2">
        <v>52</v>
      </c>
    </row>
    <row r="3" spans="2:120" ht="15" x14ac:dyDescent="0.25">
      <c r="B3" s="2"/>
      <c r="C3" s="2" t="s">
        <v>473</v>
      </c>
      <c r="D3" s="2">
        <v>1</v>
      </c>
      <c r="E3" s="2">
        <v>2</v>
      </c>
      <c r="F3" s="2">
        <v>3</v>
      </c>
      <c r="G3" s="68"/>
      <c r="H3" s="2">
        <v>1</v>
      </c>
      <c r="I3" s="2">
        <v>2</v>
      </c>
      <c r="J3" s="2">
        <v>3</v>
      </c>
      <c r="K3" s="2">
        <v>4</v>
      </c>
      <c r="L3" s="2">
        <v>5</v>
      </c>
      <c r="M3" s="2">
        <v>6</v>
      </c>
      <c r="N3" s="2">
        <v>7</v>
      </c>
      <c r="O3" s="2">
        <v>8</v>
      </c>
      <c r="P3" s="2">
        <v>9</v>
      </c>
      <c r="Q3" s="2">
        <v>10</v>
      </c>
      <c r="R3" s="2">
        <v>11</v>
      </c>
      <c r="S3" s="2">
        <v>12</v>
      </c>
      <c r="T3" s="2">
        <v>13</v>
      </c>
      <c r="U3" s="2">
        <v>14</v>
      </c>
      <c r="V3" s="2">
        <v>15</v>
      </c>
      <c r="W3" s="2">
        <v>16</v>
      </c>
      <c r="X3" s="2">
        <v>17</v>
      </c>
      <c r="Y3" s="2">
        <v>18</v>
      </c>
      <c r="Z3" s="2">
        <v>19</v>
      </c>
      <c r="AA3" s="2">
        <v>20</v>
      </c>
      <c r="AB3" s="2">
        <v>21</v>
      </c>
      <c r="AC3" s="2">
        <v>22</v>
      </c>
      <c r="AD3" s="2">
        <v>23</v>
      </c>
      <c r="AE3" s="2">
        <v>24</v>
      </c>
      <c r="AF3" s="2">
        <v>25</v>
      </c>
      <c r="AG3" s="2">
        <v>26</v>
      </c>
      <c r="AH3" s="2">
        <v>27</v>
      </c>
      <c r="AI3" s="2">
        <v>28</v>
      </c>
      <c r="AJ3" s="2">
        <v>29</v>
      </c>
      <c r="AK3" s="2">
        <v>30</v>
      </c>
      <c r="AL3" s="2">
        <v>31</v>
      </c>
      <c r="AM3" s="2">
        <v>32</v>
      </c>
      <c r="AN3" s="2">
        <v>33</v>
      </c>
      <c r="AO3" s="2">
        <v>34</v>
      </c>
      <c r="AP3" s="2">
        <v>35</v>
      </c>
      <c r="AQ3" s="2">
        <v>36</v>
      </c>
      <c r="AR3" s="2">
        <v>37</v>
      </c>
      <c r="AS3" s="2">
        <v>38</v>
      </c>
      <c r="AT3" s="2">
        <v>39</v>
      </c>
      <c r="AU3" s="2">
        <v>40</v>
      </c>
      <c r="AV3" s="2">
        <v>41</v>
      </c>
      <c r="AW3" s="2">
        <v>42</v>
      </c>
      <c r="AX3" s="2">
        <v>43</v>
      </c>
      <c r="AY3" s="2">
        <v>44</v>
      </c>
      <c r="AZ3" s="2">
        <v>45</v>
      </c>
      <c r="BA3" s="2">
        <v>46</v>
      </c>
      <c r="BB3" s="2">
        <v>47</v>
      </c>
      <c r="BC3" s="2">
        <v>48</v>
      </c>
      <c r="BD3" s="2">
        <v>49</v>
      </c>
      <c r="BE3" s="2">
        <v>50</v>
      </c>
      <c r="BF3" s="2">
        <v>51</v>
      </c>
      <c r="BG3" s="2">
        <v>52</v>
      </c>
      <c r="BH3" s="2" t="s">
        <v>459</v>
      </c>
      <c r="BI3" s="2" t="s">
        <v>460</v>
      </c>
      <c r="BK3" s="60">
        <f ca="1">OFFSET('Critical resources (hide)'!$F$6,COLUMN(A1)-1,0,1,1)</f>
        <v>18</v>
      </c>
      <c r="BL3" s="60">
        <f ca="1">OFFSET('Critical resources (hide)'!$F$6,COLUMN(B1)-1,0,1,1)</f>
        <v>19</v>
      </c>
      <c r="BM3" s="60">
        <f ca="1">OFFSET('Critical resources (hide)'!$F$6,COLUMN(C1)-1,0,1,1)</f>
        <v>20</v>
      </c>
      <c r="BN3" s="60">
        <f ca="1">OFFSET('Critical resources (hide)'!$F$6,COLUMN(D1)-1,0,1,1)</f>
        <v>21</v>
      </c>
      <c r="BO3" s="60">
        <f ca="1">OFFSET('Critical resources (hide)'!$F$6,COLUMN(E1)-1,0,1,1)</f>
        <v>22</v>
      </c>
      <c r="BP3" s="60">
        <f ca="1">OFFSET('Critical resources (hide)'!$F$6,COLUMN(F1)-1,0,1,1)</f>
        <v>23</v>
      </c>
      <c r="BQ3" s="60">
        <f ca="1">OFFSET('Critical resources (hide)'!$F$6,COLUMN(G1)-1,0,1,1)</f>
        <v>24</v>
      </c>
      <c r="BR3" s="60">
        <f ca="1">OFFSET('Critical resources (hide)'!$F$6,COLUMN(H1)-1,0,1,1)</f>
        <v>25</v>
      </c>
      <c r="BS3" s="60">
        <f ca="1">OFFSET('Critical resources (hide)'!$F$6,COLUMN(I1)-1,0,1,1)</f>
        <v>26</v>
      </c>
      <c r="BT3" s="60">
        <f ca="1">OFFSET('Critical resources (hide)'!$F$6,COLUMN(J1)-1,0,1,1)</f>
        <v>27</v>
      </c>
      <c r="BU3" s="60">
        <f ca="1">OFFSET('Critical resources (hide)'!$F$6,COLUMN(K1)-1,0,1,1)</f>
        <v>28</v>
      </c>
      <c r="BV3" s="60">
        <f ca="1">OFFSET('Critical resources (hide)'!$F$6,COLUMN(L1)-1,0,1,1)</f>
        <v>29</v>
      </c>
      <c r="BW3" s="60">
        <f ca="1">OFFSET('Critical resources (hide)'!$F$6,COLUMN(M1)-1,0,1,1)</f>
        <v>30</v>
      </c>
      <c r="BX3" s="60">
        <f ca="1">OFFSET('Critical resources (hide)'!$F$6,COLUMN(N1)-1,0,1,1)</f>
        <v>31</v>
      </c>
      <c r="BY3" s="60">
        <f ca="1">OFFSET('Critical resources (hide)'!$F$6,COLUMN(O1)-1,0,1,1)</f>
        <v>32</v>
      </c>
      <c r="BZ3" s="60">
        <f ca="1">OFFSET('Critical resources (hide)'!$F$6,COLUMN(P1)-1,0,1,1)</f>
        <v>33</v>
      </c>
      <c r="CA3" s="60">
        <f ca="1">OFFSET('Critical resources (hide)'!$F$6,COLUMN(Q1)-1,0,1,1)</f>
        <v>34</v>
      </c>
      <c r="CB3" s="60">
        <f ca="1">OFFSET('Critical resources (hide)'!$F$6,COLUMN(R1)-1,0,1,1)</f>
        <v>35</v>
      </c>
      <c r="CC3" s="60">
        <f ca="1">OFFSET('Critical resources (hide)'!$F$6,COLUMN(S1)-1,0,1,1)</f>
        <v>36</v>
      </c>
      <c r="CD3" s="60">
        <f ca="1">OFFSET('Critical resources (hide)'!$F$6,COLUMN(T1)-1,0,1,1)</f>
        <v>37</v>
      </c>
      <c r="CE3" s="60">
        <f ca="1">OFFSET('Critical resources (hide)'!$F$6,COLUMN(U1)-1,0,1,1)</f>
        <v>38</v>
      </c>
      <c r="CF3" s="60">
        <f ca="1">OFFSET('Critical resources (hide)'!$F$6,COLUMN(V1)-1,0,1,1)</f>
        <v>39</v>
      </c>
      <c r="CG3" s="60">
        <f ca="1">OFFSET('Critical resources (hide)'!$F$6,COLUMN(W1)-1,0,1,1)</f>
        <v>40</v>
      </c>
      <c r="CH3" s="60">
        <f ca="1">OFFSET('Critical resources (hide)'!$F$6,COLUMN(X1)-1,0,1,1)</f>
        <v>41</v>
      </c>
      <c r="CI3" s="60">
        <f ca="1">OFFSET('Critical resources (hide)'!$F$6,COLUMN(Y1)-1,0,1,1)</f>
        <v>42</v>
      </c>
      <c r="CJ3" s="60">
        <f ca="1">OFFSET('Critical resources (hide)'!$F$6,COLUMN(Z1)-1,0,1,1)</f>
        <v>43</v>
      </c>
      <c r="CK3" s="60">
        <f ca="1">OFFSET('Critical resources (hide)'!$F$6,COLUMN(AA1)-1,0,1,1)</f>
        <v>44</v>
      </c>
      <c r="CL3" s="60">
        <f ca="1">OFFSET('Critical resources (hide)'!$F$6,COLUMN(AB1)-1,0,1,1)</f>
        <v>45</v>
      </c>
      <c r="CM3" s="60">
        <f ca="1">OFFSET('Critical resources (hide)'!$F$6,COLUMN(AC1)-1,0,1,1)</f>
        <v>46</v>
      </c>
      <c r="CN3" s="60">
        <f ca="1">OFFSET('Critical resources (hide)'!$F$6,COLUMN(AD1)-1,0,1,1)</f>
        <v>47</v>
      </c>
      <c r="CO3" s="60">
        <f ca="1">OFFSET('Critical resources (hide)'!$F$6,COLUMN(AE1)-1,0,1,1)</f>
        <v>48</v>
      </c>
      <c r="CP3" s="60">
        <f ca="1">OFFSET('Critical resources (hide)'!$F$6,COLUMN(AF1)-1,0,1,1)</f>
        <v>49</v>
      </c>
      <c r="CQ3" s="60">
        <f ca="1">OFFSET('Critical resources (hide)'!$F$6,COLUMN(AG1)-1,0,1,1)</f>
        <v>50</v>
      </c>
      <c r="CR3" s="60">
        <f ca="1">OFFSET('Critical resources (hide)'!$F$6,COLUMN(AH1)-1,0,1,1)</f>
        <v>51</v>
      </c>
      <c r="CS3" s="60">
        <f ca="1">OFFSET('Critical resources (hide)'!$F$6,COLUMN(AI1)-1,0,1,1)</f>
        <v>52</v>
      </c>
      <c r="CT3" s="60">
        <f ca="1">OFFSET('Critical resources (hide)'!$F$6,COLUMN(AJ1)-1,0,1,1)</f>
        <v>1</v>
      </c>
      <c r="CU3" s="60">
        <f ca="1">OFFSET('Critical resources (hide)'!$F$6,COLUMN(AK1)-1,0,1,1)</f>
        <v>2</v>
      </c>
      <c r="CV3" s="60">
        <f ca="1">OFFSET('Critical resources (hide)'!$F$6,COLUMN(AL1)-1,0,1,1)</f>
        <v>3</v>
      </c>
      <c r="CW3" s="60">
        <f ca="1">OFFSET('Critical resources (hide)'!$F$6,COLUMN(AM1)-1,0,1,1)</f>
        <v>4</v>
      </c>
      <c r="CX3" s="60">
        <f ca="1">OFFSET('Critical resources (hide)'!$F$6,COLUMN(AN1)-1,0,1,1)</f>
        <v>5</v>
      </c>
      <c r="CY3" s="60">
        <f ca="1">OFFSET('Critical resources (hide)'!$F$6,COLUMN(AO1)-1,0,1,1)</f>
        <v>6</v>
      </c>
      <c r="CZ3" s="60">
        <f ca="1">OFFSET('Critical resources (hide)'!$F$6,COLUMN(AP1)-1,0,1,1)</f>
        <v>7</v>
      </c>
      <c r="DA3" s="60">
        <f ca="1">OFFSET('Critical resources (hide)'!$F$6,COLUMN(AQ1)-1,0,1,1)</f>
        <v>8</v>
      </c>
      <c r="DB3" s="60">
        <f ca="1">OFFSET('Critical resources (hide)'!$F$6,COLUMN(AR1)-1,0,1,1)</f>
        <v>9</v>
      </c>
      <c r="DC3" s="60">
        <f ca="1">OFFSET('Critical resources (hide)'!$F$6,COLUMN(AS1)-1,0,1,1)</f>
        <v>10</v>
      </c>
      <c r="DD3" s="60">
        <f ca="1">OFFSET('Critical resources (hide)'!$F$6,COLUMN(AT1)-1,0,1,1)</f>
        <v>11</v>
      </c>
      <c r="DE3" s="60">
        <f ca="1">OFFSET('Critical resources (hide)'!$F$6,COLUMN(AU1)-1,0,1,1)</f>
        <v>12</v>
      </c>
      <c r="DF3" s="60">
        <f ca="1">OFFSET('Critical resources (hide)'!$F$6,COLUMN(AV1)-1,0,1,1)</f>
        <v>13</v>
      </c>
      <c r="DG3" s="60">
        <f ca="1">OFFSET('Critical resources (hide)'!$F$6,COLUMN(AW1)-1,0,1,1)</f>
        <v>14</v>
      </c>
      <c r="DH3" s="60">
        <f ca="1">OFFSET('Critical resources (hide)'!$F$6,COLUMN(AX1)-1,0,1,1)</f>
        <v>15</v>
      </c>
      <c r="DI3" s="60">
        <f ca="1">OFFSET('Critical resources (hide)'!$F$6,COLUMN(AY1)-1,0,1,1)</f>
        <v>16</v>
      </c>
      <c r="DJ3" s="60">
        <f ca="1">OFFSET('Critical resources (hide)'!$F$6,COLUMN(AZ1)-1,0,1,1)</f>
        <v>17</v>
      </c>
      <c r="DK3" s="2" t="s">
        <v>465</v>
      </c>
      <c r="DL3" t="s">
        <v>466</v>
      </c>
    </row>
    <row r="4" spans="2:120" s="68" customFormat="1" ht="15" x14ac:dyDescent="0.25">
      <c r="C4" s="2" t="s">
        <v>58</v>
      </c>
      <c r="D4" s="2"/>
      <c r="E4" s="2"/>
      <c r="F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K4" s="319">
        <f t="shared" ref="BK4:CP4" ca="1" si="0">SUM(BK5:BK104)</f>
        <v>14.192307692307693</v>
      </c>
      <c r="BL4" s="319">
        <f t="shared" ca="1" si="0"/>
        <v>14.192307692307693</v>
      </c>
      <c r="BM4" s="319">
        <f t="shared" ca="1" si="0"/>
        <v>14.192307692307693</v>
      </c>
      <c r="BN4" s="319">
        <f t="shared" ca="1" si="0"/>
        <v>14.192307692307693</v>
      </c>
      <c r="BO4" s="319">
        <f t="shared" ca="1" si="0"/>
        <v>14.192307692307693</v>
      </c>
      <c r="BP4" s="319">
        <f t="shared" ca="1" si="0"/>
        <v>14.192307692307693</v>
      </c>
      <c r="BQ4" s="319">
        <f t="shared" ca="1" si="0"/>
        <v>14.192307692307693</v>
      </c>
      <c r="BR4" s="319">
        <f t="shared" ca="1" si="0"/>
        <v>14.192307692307693</v>
      </c>
      <c r="BS4" s="319">
        <f t="shared" ca="1" si="0"/>
        <v>14.192307692307693</v>
      </c>
      <c r="BT4" s="319">
        <f t="shared" ca="1" si="0"/>
        <v>14.192307692307693</v>
      </c>
      <c r="BU4" s="319">
        <f t="shared" ca="1" si="0"/>
        <v>14.192307692307693</v>
      </c>
      <c r="BV4" s="319">
        <f t="shared" ca="1" si="0"/>
        <v>14.192307692307693</v>
      </c>
      <c r="BW4" s="319">
        <f t="shared" ca="1" si="0"/>
        <v>14.192307692307693</v>
      </c>
      <c r="BX4" s="319">
        <f t="shared" ca="1" si="0"/>
        <v>14.192307692307693</v>
      </c>
      <c r="BY4" s="319">
        <f t="shared" ca="1" si="0"/>
        <v>14.192307692307693</v>
      </c>
      <c r="BZ4" s="319">
        <f t="shared" ca="1" si="0"/>
        <v>14.192307692307693</v>
      </c>
      <c r="CA4" s="319">
        <f t="shared" ca="1" si="0"/>
        <v>14.192307692307693</v>
      </c>
      <c r="CB4" s="319">
        <f t="shared" ca="1" si="0"/>
        <v>14.192307692307693</v>
      </c>
      <c r="CC4" s="319">
        <f t="shared" ca="1" si="0"/>
        <v>14.192307692307693</v>
      </c>
      <c r="CD4" s="319">
        <f t="shared" ca="1" si="0"/>
        <v>14.192307692307693</v>
      </c>
      <c r="CE4" s="319">
        <f t="shared" ca="1" si="0"/>
        <v>14.192307692307693</v>
      </c>
      <c r="CF4" s="319">
        <f t="shared" ca="1" si="0"/>
        <v>14.192307692307693</v>
      </c>
      <c r="CG4" s="319">
        <f t="shared" ca="1" si="0"/>
        <v>14.192307692307693</v>
      </c>
      <c r="CH4" s="319">
        <f t="shared" ca="1" si="0"/>
        <v>14.192307692307693</v>
      </c>
      <c r="CI4" s="319">
        <f t="shared" ca="1" si="0"/>
        <v>14.192307692307693</v>
      </c>
      <c r="CJ4" s="319">
        <f t="shared" ca="1" si="0"/>
        <v>14.192307692307693</v>
      </c>
      <c r="CK4" s="319">
        <f t="shared" ca="1" si="0"/>
        <v>14.192307692307693</v>
      </c>
      <c r="CL4" s="319">
        <f t="shared" ca="1" si="0"/>
        <v>14.192307692307693</v>
      </c>
      <c r="CM4" s="319">
        <f t="shared" ca="1" si="0"/>
        <v>14.192307692307693</v>
      </c>
      <c r="CN4" s="319">
        <f t="shared" ca="1" si="0"/>
        <v>14.192307692307693</v>
      </c>
      <c r="CO4" s="319">
        <f t="shared" ca="1" si="0"/>
        <v>14.192307692307693</v>
      </c>
      <c r="CP4" s="319">
        <f t="shared" ca="1" si="0"/>
        <v>14.192307692307693</v>
      </c>
      <c r="CQ4" s="319">
        <f t="shared" ref="CQ4:DJ4" ca="1" si="1">SUM(CQ5:CQ104)</f>
        <v>14.192307692307693</v>
      </c>
      <c r="CR4" s="319">
        <f t="shared" ca="1" si="1"/>
        <v>14.192307692307693</v>
      </c>
      <c r="CS4" s="319">
        <f t="shared" ca="1" si="1"/>
        <v>14.192307692307693</v>
      </c>
      <c r="CT4" s="319">
        <f t="shared" ca="1" si="1"/>
        <v>14.192307692307693</v>
      </c>
      <c r="CU4" s="319">
        <f t="shared" ca="1" si="1"/>
        <v>14.192307692307693</v>
      </c>
      <c r="CV4" s="319">
        <f t="shared" ca="1" si="1"/>
        <v>14.192307692307693</v>
      </c>
      <c r="CW4" s="319">
        <f t="shared" ca="1" si="1"/>
        <v>14.192307692307693</v>
      </c>
      <c r="CX4" s="319">
        <f t="shared" ca="1" si="1"/>
        <v>14.192307692307693</v>
      </c>
      <c r="CY4" s="319">
        <f t="shared" ca="1" si="1"/>
        <v>14.192307692307693</v>
      </c>
      <c r="CZ4" s="319">
        <f t="shared" ca="1" si="1"/>
        <v>14.192307692307693</v>
      </c>
      <c r="DA4" s="319">
        <f t="shared" ca="1" si="1"/>
        <v>14.192307692307693</v>
      </c>
      <c r="DB4" s="319">
        <f t="shared" ca="1" si="1"/>
        <v>14.192307692307693</v>
      </c>
      <c r="DC4" s="319">
        <f t="shared" ca="1" si="1"/>
        <v>14.192307692307693</v>
      </c>
      <c r="DD4" s="319">
        <f t="shared" ca="1" si="1"/>
        <v>14.192307692307693</v>
      </c>
      <c r="DE4" s="319">
        <f t="shared" ca="1" si="1"/>
        <v>14.192307692307693</v>
      </c>
      <c r="DF4" s="319">
        <f t="shared" ca="1" si="1"/>
        <v>14.192307692307693</v>
      </c>
      <c r="DG4" s="319">
        <f t="shared" ca="1" si="1"/>
        <v>14.192307692307693</v>
      </c>
      <c r="DH4" s="319">
        <f t="shared" ca="1" si="1"/>
        <v>14.192307692307693</v>
      </c>
      <c r="DI4" s="319">
        <f t="shared" ca="1" si="1"/>
        <v>14.192307692307693</v>
      </c>
      <c r="DJ4" s="319">
        <f t="shared" ca="1" si="1"/>
        <v>14.192307692307693</v>
      </c>
      <c r="DK4" s="138">
        <f ca="1">SUM(BK4:DJ4)</f>
        <v>738.00000000000034</v>
      </c>
      <c r="DL4" s="5">
        <f>SUM(DL5:DL104)</f>
        <v>738</v>
      </c>
    </row>
    <row r="5" spans="2:120" x14ac:dyDescent="0.2">
      <c r="C5" s="68" t="str">
        <f>ROW(A1)&amp;". "&amp;Capacity!B17</f>
        <v>1. Core Clinic 1</v>
      </c>
      <c r="D5" t="str">
        <f>'Capacity setup'!C12</f>
        <v>1. Consultant: Mr Smith</v>
      </c>
      <c r="E5" s="68">
        <f>'Capacity setup'!D12</f>
        <v>0</v>
      </c>
      <c r="F5" s="68">
        <f>'Capacity setup'!E12</f>
        <v>0</v>
      </c>
      <c r="H5">
        <f ca="1">IF(AND(SUMIF(Capacity_Resource,$D5,'Critical resources (hide)'!U$6:U$105)+SUMIF(Capacity_Resource,$E5,'Critical resources (hide)'!U$6:U$105)+SUMIF(Capacity_Resource,$F5,'Critical resources (hide)'!U$6:U$105)&gt;0,$E$1=2),0,1)</f>
        <v>1</v>
      </c>
      <c r="I5" s="68">
        <f ca="1">IF(AND(SUMIF(Capacity_Resource,$D5,'Critical resources (hide)'!V$6:V$105)+SUMIF(Capacity_Resource,$E5,'Critical resources (hide)'!V$6:V$105)+SUMIF(Capacity_Resource,$F5,'Critical resources (hide)'!V$6:V$105)&gt;0,$E$1=2),0,1)</f>
        <v>1</v>
      </c>
      <c r="J5" s="68">
        <f ca="1">IF(AND(SUMIF(Capacity_Resource,$D5,'Critical resources (hide)'!W$6:W$105)+SUMIF(Capacity_Resource,$E5,'Critical resources (hide)'!W$6:W$105)+SUMIF(Capacity_Resource,$F5,'Critical resources (hide)'!W$6:W$105)&gt;0,$E$1=2),0,1)</f>
        <v>1</v>
      </c>
      <c r="K5" s="68">
        <f ca="1">IF(AND(SUMIF(Capacity_Resource,$D5,'Critical resources (hide)'!X$6:X$105)+SUMIF(Capacity_Resource,$E5,'Critical resources (hide)'!X$6:X$105)+SUMIF(Capacity_Resource,$F5,'Critical resources (hide)'!X$6:X$105)&gt;0,$E$1=2),0,1)</f>
        <v>1</v>
      </c>
      <c r="L5" s="68">
        <f ca="1">IF(AND(SUMIF(Capacity_Resource,$D5,'Critical resources (hide)'!Y$6:Y$105)+SUMIF(Capacity_Resource,$E5,'Critical resources (hide)'!Y$6:Y$105)+SUMIF(Capacity_Resource,$F5,'Critical resources (hide)'!Y$6:Y$105)&gt;0,$E$1=2),0,1)</f>
        <v>1</v>
      </c>
      <c r="M5" s="68">
        <f ca="1">IF(AND(SUMIF(Capacity_Resource,$D5,'Critical resources (hide)'!Z$6:Z$105)+SUMIF(Capacity_Resource,$E5,'Critical resources (hide)'!Z$6:Z$105)+SUMIF(Capacity_Resource,$F5,'Critical resources (hide)'!Z$6:Z$105)&gt;0,$E$1=2),0,1)</f>
        <v>1</v>
      </c>
      <c r="N5" s="68">
        <f ca="1">IF(AND(SUMIF(Capacity_Resource,$D5,'Critical resources (hide)'!AA$6:AA$105)+SUMIF(Capacity_Resource,$E5,'Critical resources (hide)'!AA$6:AA$105)+SUMIF(Capacity_Resource,$F5,'Critical resources (hide)'!AA$6:AA$105)&gt;0,$E$1=2),0,1)</f>
        <v>1</v>
      </c>
      <c r="O5" s="68">
        <f ca="1">IF(AND(SUMIF(Capacity_Resource,$D5,'Critical resources (hide)'!AB$6:AB$105)+SUMIF(Capacity_Resource,$E5,'Critical resources (hide)'!AB$6:AB$105)+SUMIF(Capacity_Resource,$F5,'Critical resources (hide)'!AB$6:AB$105)&gt;0,$E$1=2),0,1)</f>
        <v>1</v>
      </c>
      <c r="P5" s="68">
        <f ca="1">IF(AND(SUMIF(Capacity_Resource,$D5,'Critical resources (hide)'!AC$6:AC$105)+SUMIF(Capacity_Resource,$E5,'Critical resources (hide)'!AC$6:AC$105)+SUMIF(Capacity_Resource,$F5,'Critical resources (hide)'!AC$6:AC$105)&gt;0,$E$1=2),0,1)</f>
        <v>1</v>
      </c>
      <c r="Q5" s="68">
        <f ca="1">IF(AND(SUMIF(Capacity_Resource,$D5,'Critical resources (hide)'!AD$6:AD$105)+SUMIF(Capacity_Resource,$E5,'Critical resources (hide)'!AD$6:AD$105)+SUMIF(Capacity_Resource,$F5,'Critical resources (hide)'!AD$6:AD$105)&gt;0,$E$1=2),0,1)</f>
        <v>1</v>
      </c>
      <c r="R5" s="68">
        <f ca="1">IF(AND(SUMIF(Capacity_Resource,$D5,'Critical resources (hide)'!AE$6:AE$105)+SUMIF(Capacity_Resource,$E5,'Critical resources (hide)'!AE$6:AE$105)+SUMIF(Capacity_Resource,$F5,'Critical resources (hide)'!AE$6:AE$105)&gt;0,$E$1=2),0,1)</f>
        <v>1</v>
      </c>
      <c r="S5" s="68">
        <f ca="1">IF(AND(SUMIF(Capacity_Resource,$D5,'Critical resources (hide)'!AF$6:AF$105)+SUMIF(Capacity_Resource,$E5,'Critical resources (hide)'!AF$6:AF$105)+SUMIF(Capacity_Resource,$F5,'Critical resources (hide)'!AF$6:AF$105)&gt;0,$E$1=2),0,1)</f>
        <v>1</v>
      </c>
      <c r="T5" s="68">
        <f ca="1">IF(AND(SUMIF(Capacity_Resource,$D5,'Critical resources (hide)'!AG$6:AG$105)+SUMIF(Capacity_Resource,$E5,'Critical resources (hide)'!AG$6:AG$105)+SUMIF(Capacity_Resource,$F5,'Critical resources (hide)'!AG$6:AG$105)&gt;0,$E$1=2),0,1)</f>
        <v>1</v>
      </c>
      <c r="U5" s="68">
        <f ca="1">IF(AND(SUMIF(Capacity_Resource,$D5,'Critical resources (hide)'!AH$6:AH$105)+SUMIF(Capacity_Resource,$E5,'Critical resources (hide)'!AH$6:AH$105)+SUMIF(Capacity_Resource,$F5,'Critical resources (hide)'!AH$6:AH$105)&gt;0,$E$1=2),0,1)</f>
        <v>1</v>
      </c>
      <c r="V5" s="68">
        <f ca="1">IF(AND(SUMIF(Capacity_Resource,$D5,'Critical resources (hide)'!AI$6:AI$105)+SUMIF(Capacity_Resource,$E5,'Critical resources (hide)'!AI$6:AI$105)+SUMIF(Capacity_Resource,$F5,'Critical resources (hide)'!AI$6:AI$105)&gt;0,$E$1=2),0,1)</f>
        <v>1</v>
      </c>
      <c r="W5" s="68">
        <f ca="1">IF(AND(SUMIF(Capacity_Resource,$D5,'Critical resources (hide)'!AJ$6:AJ$105)+SUMIF(Capacity_Resource,$E5,'Critical resources (hide)'!AJ$6:AJ$105)+SUMIF(Capacity_Resource,$F5,'Critical resources (hide)'!AJ$6:AJ$105)&gt;0,$E$1=2),0,1)</f>
        <v>1</v>
      </c>
      <c r="X5" s="68">
        <f ca="1">IF(AND(SUMIF(Capacity_Resource,$D5,'Critical resources (hide)'!AK$6:AK$105)+SUMIF(Capacity_Resource,$E5,'Critical resources (hide)'!AK$6:AK$105)+SUMIF(Capacity_Resource,$F5,'Critical resources (hide)'!AK$6:AK$105)&gt;0,$E$1=2),0,1)</f>
        <v>1</v>
      </c>
      <c r="Y5" s="68">
        <f ca="1">IF(AND(SUMIF(Capacity_Resource,$D5,'Critical resources (hide)'!AL$6:AL$105)+SUMIF(Capacity_Resource,$E5,'Critical resources (hide)'!AL$6:AL$105)+SUMIF(Capacity_Resource,$F5,'Critical resources (hide)'!AL$6:AL$105)&gt;0,$E$1=2),0,1)</f>
        <v>1</v>
      </c>
      <c r="Z5" s="68">
        <f ca="1">IF(AND(SUMIF(Capacity_Resource,$D5,'Critical resources (hide)'!AM$6:AM$105)+SUMIF(Capacity_Resource,$E5,'Critical resources (hide)'!AM$6:AM$105)+SUMIF(Capacity_Resource,$F5,'Critical resources (hide)'!AM$6:AM$105)&gt;0,$E$1=2),0,1)</f>
        <v>1</v>
      </c>
      <c r="AA5" s="68">
        <f ca="1">IF(AND(SUMIF(Capacity_Resource,$D5,'Critical resources (hide)'!AN$6:AN$105)+SUMIF(Capacity_Resource,$E5,'Critical resources (hide)'!AN$6:AN$105)+SUMIF(Capacity_Resource,$F5,'Critical resources (hide)'!AN$6:AN$105)&gt;0,$E$1=2),0,1)</f>
        <v>1</v>
      </c>
      <c r="AB5" s="68">
        <f ca="1">IF(AND(SUMIF(Capacity_Resource,$D5,'Critical resources (hide)'!AO$6:AO$105)+SUMIF(Capacity_Resource,$E5,'Critical resources (hide)'!AO$6:AO$105)+SUMIF(Capacity_Resource,$F5,'Critical resources (hide)'!AO$6:AO$105)&gt;0,$E$1=2),0,1)</f>
        <v>1</v>
      </c>
      <c r="AC5" s="68">
        <f ca="1">IF(AND(SUMIF(Capacity_Resource,$D5,'Critical resources (hide)'!AP$6:AP$105)+SUMIF(Capacity_Resource,$E5,'Critical resources (hide)'!AP$6:AP$105)+SUMIF(Capacity_Resource,$F5,'Critical resources (hide)'!AP$6:AP$105)&gt;0,$E$1=2),0,1)</f>
        <v>1</v>
      </c>
      <c r="AD5" s="68">
        <f ca="1">IF(AND(SUMIF(Capacity_Resource,$D5,'Critical resources (hide)'!AQ$6:AQ$105)+SUMIF(Capacity_Resource,$E5,'Critical resources (hide)'!AQ$6:AQ$105)+SUMIF(Capacity_Resource,$F5,'Critical resources (hide)'!AQ$6:AQ$105)&gt;0,$E$1=2),0,1)</f>
        <v>1</v>
      </c>
      <c r="AE5" s="68">
        <f ca="1">IF(AND(SUMIF(Capacity_Resource,$D5,'Critical resources (hide)'!AR$6:AR$105)+SUMIF(Capacity_Resource,$E5,'Critical resources (hide)'!AR$6:AR$105)+SUMIF(Capacity_Resource,$F5,'Critical resources (hide)'!AR$6:AR$105)&gt;0,$E$1=2),0,1)</f>
        <v>1</v>
      </c>
      <c r="AF5" s="68">
        <f ca="1">IF(AND(SUMIF(Capacity_Resource,$D5,'Critical resources (hide)'!AS$6:AS$105)+SUMIF(Capacity_Resource,$E5,'Critical resources (hide)'!AS$6:AS$105)+SUMIF(Capacity_Resource,$F5,'Critical resources (hide)'!AS$6:AS$105)&gt;0,$E$1=2),0,1)</f>
        <v>1</v>
      </c>
      <c r="AG5" s="68">
        <f ca="1">IF(AND(SUMIF(Capacity_Resource,$D5,'Critical resources (hide)'!AT$6:AT$105)+SUMIF(Capacity_Resource,$E5,'Critical resources (hide)'!AT$6:AT$105)+SUMIF(Capacity_Resource,$F5,'Critical resources (hide)'!AT$6:AT$105)&gt;0,$E$1=2),0,1)</f>
        <v>1</v>
      </c>
      <c r="AH5" s="68">
        <f ca="1">IF(AND(SUMIF(Capacity_Resource,$D5,'Critical resources (hide)'!AU$6:AU$105)+SUMIF(Capacity_Resource,$E5,'Critical resources (hide)'!AU$6:AU$105)+SUMIF(Capacity_Resource,$F5,'Critical resources (hide)'!AU$6:AU$105)&gt;0,$E$1=2),0,1)</f>
        <v>1</v>
      </c>
      <c r="AI5" s="68">
        <f ca="1">IF(AND(SUMIF(Capacity_Resource,$D5,'Critical resources (hide)'!AV$6:AV$105)+SUMIF(Capacity_Resource,$E5,'Critical resources (hide)'!AV$6:AV$105)+SUMIF(Capacity_Resource,$F5,'Critical resources (hide)'!AV$6:AV$105)&gt;0,$E$1=2),0,1)</f>
        <v>1</v>
      </c>
      <c r="AJ5" s="68">
        <f ca="1">IF(AND(SUMIF(Capacity_Resource,$D5,'Critical resources (hide)'!AW$6:AW$105)+SUMIF(Capacity_Resource,$E5,'Critical resources (hide)'!AW$6:AW$105)+SUMIF(Capacity_Resource,$F5,'Critical resources (hide)'!AW$6:AW$105)&gt;0,$E$1=2),0,1)</f>
        <v>1</v>
      </c>
      <c r="AK5" s="68">
        <f ca="1">IF(AND(SUMIF(Capacity_Resource,$D5,'Critical resources (hide)'!AX$6:AX$105)+SUMIF(Capacity_Resource,$E5,'Critical resources (hide)'!AX$6:AX$105)+SUMIF(Capacity_Resource,$F5,'Critical resources (hide)'!AX$6:AX$105)&gt;0,$E$1=2),0,1)</f>
        <v>1</v>
      </c>
      <c r="AL5" s="68">
        <f ca="1">IF(AND(SUMIF(Capacity_Resource,$D5,'Critical resources (hide)'!AY$6:AY$105)+SUMIF(Capacity_Resource,$E5,'Critical resources (hide)'!AY$6:AY$105)+SUMIF(Capacity_Resource,$F5,'Critical resources (hide)'!AY$6:AY$105)&gt;0,$E$1=2),0,1)</f>
        <v>1</v>
      </c>
      <c r="AM5" s="68">
        <f ca="1">IF(AND(SUMIF(Capacity_Resource,$D5,'Critical resources (hide)'!AZ$6:AZ$105)+SUMIF(Capacity_Resource,$E5,'Critical resources (hide)'!AZ$6:AZ$105)+SUMIF(Capacity_Resource,$F5,'Critical resources (hide)'!AZ$6:AZ$105)&gt;0,$E$1=2),0,1)</f>
        <v>1</v>
      </c>
      <c r="AN5" s="68">
        <f ca="1">IF(AND(SUMIF(Capacity_Resource,$D5,'Critical resources (hide)'!BA$6:BA$105)+SUMIF(Capacity_Resource,$E5,'Critical resources (hide)'!BA$6:BA$105)+SUMIF(Capacity_Resource,$F5,'Critical resources (hide)'!BA$6:BA$105)&gt;0,$E$1=2),0,1)</f>
        <v>1</v>
      </c>
      <c r="AO5" s="68">
        <f ca="1">IF(AND(SUMIF(Capacity_Resource,$D5,'Critical resources (hide)'!BB$6:BB$105)+SUMIF(Capacity_Resource,$E5,'Critical resources (hide)'!BB$6:BB$105)+SUMIF(Capacity_Resource,$F5,'Critical resources (hide)'!BB$6:BB$105)&gt;0,$E$1=2),0,1)</f>
        <v>1</v>
      </c>
      <c r="AP5" s="68">
        <f ca="1">IF(AND(SUMIF(Capacity_Resource,$D5,'Critical resources (hide)'!BC$6:BC$105)+SUMIF(Capacity_Resource,$E5,'Critical resources (hide)'!BC$6:BC$105)+SUMIF(Capacity_Resource,$F5,'Critical resources (hide)'!BC$6:BC$105)&gt;0,$E$1=2),0,1)</f>
        <v>1</v>
      </c>
      <c r="AQ5" s="68">
        <f ca="1">IF(AND(SUMIF(Capacity_Resource,$D5,'Critical resources (hide)'!BD$6:BD$105)+SUMIF(Capacity_Resource,$E5,'Critical resources (hide)'!BD$6:BD$105)+SUMIF(Capacity_Resource,$F5,'Critical resources (hide)'!BD$6:BD$105)&gt;0,$E$1=2),0,1)</f>
        <v>1</v>
      </c>
      <c r="AR5" s="68">
        <f ca="1">IF(AND(SUMIF(Capacity_Resource,$D5,'Critical resources (hide)'!BE$6:BE$105)+SUMIF(Capacity_Resource,$E5,'Critical resources (hide)'!BE$6:BE$105)+SUMIF(Capacity_Resource,$F5,'Critical resources (hide)'!BE$6:BE$105)&gt;0,$E$1=2),0,1)</f>
        <v>1</v>
      </c>
      <c r="AS5" s="68">
        <f ca="1">IF(AND(SUMIF(Capacity_Resource,$D5,'Critical resources (hide)'!BF$6:BF$105)+SUMIF(Capacity_Resource,$E5,'Critical resources (hide)'!BF$6:BF$105)+SUMIF(Capacity_Resource,$F5,'Critical resources (hide)'!BF$6:BF$105)&gt;0,$E$1=2),0,1)</f>
        <v>1</v>
      </c>
      <c r="AT5" s="68">
        <f ca="1">IF(AND(SUMIF(Capacity_Resource,$D5,'Critical resources (hide)'!BG$6:BG$105)+SUMIF(Capacity_Resource,$E5,'Critical resources (hide)'!BG$6:BG$105)+SUMIF(Capacity_Resource,$F5,'Critical resources (hide)'!BG$6:BG$105)&gt;0,$E$1=2),0,1)</f>
        <v>1</v>
      </c>
      <c r="AU5" s="68">
        <f ca="1">IF(AND(SUMIF(Capacity_Resource,$D5,'Critical resources (hide)'!BH$6:BH$105)+SUMIF(Capacity_Resource,$E5,'Critical resources (hide)'!BH$6:BH$105)+SUMIF(Capacity_Resource,$F5,'Critical resources (hide)'!BH$6:BH$105)&gt;0,$E$1=2),0,1)</f>
        <v>1</v>
      </c>
      <c r="AV5" s="68">
        <f ca="1">IF(AND(SUMIF(Capacity_Resource,$D5,'Critical resources (hide)'!BI$6:BI$105)+SUMIF(Capacity_Resource,$E5,'Critical resources (hide)'!BI$6:BI$105)+SUMIF(Capacity_Resource,$F5,'Critical resources (hide)'!BI$6:BI$105)&gt;0,$E$1=2),0,1)</f>
        <v>1</v>
      </c>
      <c r="AW5" s="68">
        <f ca="1">IF(AND(SUMIF(Capacity_Resource,$D5,'Critical resources (hide)'!BJ$6:BJ$105)+SUMIF(Capacity_Resource,$E5,'Critical resources (hide)'!BJ$6:BJ$105)+SUMIF(Capacity_Resource,$F5,'Critical resources (hide)'!BJ$6:BJ$105)&gt;0,$E$1=2),0,1)</f>
        <v>1</v>
      </c>
      <c r="AX5" s="68">
        <f ca="1">IF(AND(SUMIF(Capacity_Resource,$D5,'Critical resources (hide)'!BK$6:BK$105)+SUMIF(Capacity_Resource,$E5,'Critical resources (hide)'!BK$6:BK$105)+SUMIF(Capacity_Resource,$F5,'Critical resources (hide)'!BK$6:BK$105)&gt;0,$E$1=2),0,1)</f>
        <v>1</v>
      </c>
      <c r="AY5" s="68">
        <f ca="1">IF(AND(SUMIF(Capacity_Resource,$D5,'Critical resources (hide)'!BL$6:BL$105)+SUMIF(Capacity_Resource,$E5,'Critical resources (hide)'!BL$6:BL$105)+SUMIF(Capacity_Resource,$F5,'Critical resources (hide)'!BL$6:BL$105)&gt;0,$E$1=2),0,1)</f>
        <v>1</v>
      </c>
      <c r="AZ5" s="68">
        <f ca="1">IF(AND(SUMIF(Capacity_Resource,$D5,'Critical resources (hide)'!BM$6:BM$105)+SUMIF(Capacity_Resource,$E5,'Critical resources (hide)'!BM$6:BM$105)+SUMIF(Capacity_Resource,$F5,'Critical resources (hide)'!BM$6:BM$105)&gt;0,$E$1=2),0,1)</f>
        <v>1</v>
      </c>
      <c r="BA5" s="68">
        <f ca="1">IF(AND(SUMIF(Capacity_Resource,$D5,'Critical resources (hide)'!BN$6:BN$105)+SUMIF(Capacity_Resource,$E5,'Critical resources (hide)'!BN$6:BN$105)+SUMIF(Capacity_Resource,$F5,'Critical resources (hide)'!BN$6:BN$105)&gt;0,$E$1=2),0,1)</f>
        <v>1</v>
      </c>
      <c r="BB5" s="68">
        <f ca="1">IF(AND(SUMIF(Capacity_Resource,$D5,'Critical resources (hide)'!BO$6:BO$105)+SUMIF(Capacity_Resource,$E5,'Critical resources (hide)'!BO$6:BO$105)+SUMIF(Capacity_Resource,$F5,'Critical resources (hide)'!BO$6:BO$105)&gt;0,$E$1=2),0,1)</f>
        <v>1</v>
      </c>
      <c r="BC5" s="68">
        <f ca="1">IF(AND(SUMIF(Capacity_Resource,$D5,'Critical resources (hide)'!BP$6:BP$105)+SUMIF(Capacity_Resource,$E5,'Critical resources (hide)'!BP$6:BP$105)+SUMIF(Capacity_Resource,$F5,'Critical resources (hide)'!BP$6:BP$105)&gt;0,$E$1=2),0,1)</f>
        <v>1</v>
      </c>
      <c r="BD5" s="68">
        <f ca="1">IF(AND(SUMIF(Capacity_Resource,$D5,'Critical resources (hide)'!BQ$6:BQ$105)+SUMIF(Capacity_Resource,$E5,'Critical resources (hide)'!BQ$6:BQ$105)+SUMIF(Capacity_Resource,$F5,'Critical resources (hide)'!BQ$6:BQ$105)&gt;0,$E$1=2),0,1)</f>
        <v>1</v>
      </c>
      <c r="BE5" s="68">
        <f ca="1">IF(AND(SUMIF(Capacity_Resource,$D5,'Critical resources (hide)'!BR$6:BR$105)+SUMIF(Capacity_Resource,$E5,'Critical resources (hide)'!BR$6:BR$105)+SUMIF(Capacity_Resource,$F5,'Critical resources (hide)'!BR$6:BR$105)&gt;0,$E$1=2),0,1)</f>
        <v>1</v>
      </c>
      <c r="BF5" s="68">
        <f ca="1">IF(AND(SUMIF(Capacity_Resource,$D5,'Critical resources (hide)'!BS$6:BS$105)+SUMIF(Capacity_Resource,$E5,'Critical resources (hide)'!BS$6:BS$105)+SUMIF(Capacity_Resource,$F5,'Critical resources (hide)'!BS$6:BS$105)&gt;0,$E$1=2),0,1)</f>
        <v>1</v>
      </c>
      <c r="BG5" s="68">
        <f ca="1">IF(AND(SUMIF(Capacity_Resource,$D5,'Critical resources (hide)'!BT$6:BT$105)+SUMIF(Capacity_Resource,$E5,'Critical resources (hide)'!BT$6:BT$105)+SUMIF(Capacity_Resource,$F5,'Critical resources (hide)'!BT$6:BT$105)&gt;0,$E$1=2),0,1)</f>
        <v>1</v>
      </c>
      <c r="BH5">
        <f ca="1">IF(ROW(C1)&lt;=Capacity!$A$16,IF('Capacity summary'!$D$14="No",SUM(H5:BG5),'Capacity summary'!$E124),0)</f>
        <v>52</v>
      </c>
      <c r="BI5" s="5">
        <f ca="1">IF(BH5&gt;0,IF(BH5&lt;Capacity!E17,Capacity!F17,Capacity!H17/'Capacity calculation (hide)'!BH5),"")</f>
        <v>5.1923076923076925</v>
      </c>
      <c r="BK5" s="319">
        <f ca="1">IF($BI5&lt;&gt;"",IF('Capacity summary'!$D$14="Yes",IF(COUNTBLANK('Capacity summary'!$H124:$BG124)&lt;52,IF('Capacity summary'!H124&lt;&gt;"",$BI5*H5,0),H5*$BI5),H5*$BI5),0)</f>
        <v>5.1923076923076925</v>
      </c>
      <c r="BL5" s="319">
        <f ca="1">IF($BI5&lt;&gt;"",IF('Capacity summary'!$D$14="Yes",IF(COUNTBLANK('Capacity summary'!$H124:$BG124)&lt;52,IF('Capacity summary'!I124&lt;&gt;"",$BI5*I5,0),I5*$BI5),I5*$BI5),0)</f>
        <v>5.1923076923076925</v>
      </c>
      <c r="BM5" s="319">
        <f ca="1">IF($BI5&lt;&gt;"",IF('Capacity summary'!$D$14="Yes",IF(COUNTBLANK('Capacity summary'!$H124:$BG124)&lt;52,IF('Capacity summary'!J124&lt;&gt;"",$BI5*J5,0),J5*$BI5),J5*$BI5),0)</f>
        <v>5.1923076923076925</v>
      </c>
      <c r="BN5" s="319">
        <f ca="1">IF($BI5&lt;&gt;"",IF('Capacity summary'!$D$14="Yes",IF(COUNTBLANK('Capacity summary'!$H124:$BG124)&lt;52,IF('Capacity summary'!K124&lt;&gt;"",$BI5*K5,0),K5*$BI5),K5*$BI5),0)</f>
        <v>5.1923076923076925</v>
      </c>
      <c r="BO5" s="319">
        <f ca="1">IF($BI5&lt;&gt;"",IF('Capacity summary'!$D$14="Yes",IF(COUNTBLANK('Capacity summary'!$H124:$BG124)&lt;52,IF('Capacity summary'!L124&lt;&gt;"",$BI5*L5,0),L5*$BI5),L5*$BI5),0)</f>
        <v>5.1923076923076925</v>
      </c>
      <c r="BP5" s="319">
        <f ca="1">IF($BI5&lt;&gt;"",IF('Capacity summary'!$D$14="Yes",IF(COUNTBLANK('Capacity summary'!$H124:$BG124)&lt;52,IF('Capacity summary'!M124&lt;&gt;"",$BI5*M5,0),M5*$BI5),M5*$BI5),0)</f>
        <v>5.1923076923076925</v>
      </c>
      <c r="BQ5" s="319">
        <f ca="1">IF($BI5&lt;&gt;"",IF('Capacity summary'!$D$14="Yes",IF(COUNTBLANK('Capacity summary'!$H124:$BG124)&lt;52,IF('Capacity summary'!N124&lt;&gt;"",$BI5*N5,0),N5*$BI5),N5*$BI5),0)</f>
        <v>5.1923076923076925</v>
      </c>
      <c r="BR5" s="319">
        <f ca="1">IF($BI5&lt;&gt;"",IF('Capacity summary'!$D$14="Yes",IF(COUNTBLANK('Capacity summary'!$H124:$BG124)&lt;52,IF('Capacity summary'!O124&lt;&gt;"",$BI5*O5,0),O5*$BI5),O5*$BI5),0)</f>
        <v>5.1923076923076925</v>
      </c>
      <c r="BS5" s="319">
        <f ca="1">IF($BI5&lt;&gt;"",IF('Capacity summary'!$D$14="Yes",IF(COUNTBLANK('Capacity summary'!$H124:$BG124)&lt;52,IF('Capacity summary'!P124&lt;&gt;"",$BI5*P5,0),P5*$BI5),P5*$BI5),0)</f>
        <v>5.1923076923076925</v>
      </c>
      <c r="BT5" s="319">
        <f ca="1">IF($BI5&lt;&gt;"",IF('Capacity summary'!$D$14="Yes",IF(COUNTBLANK('Capacity summary'!$H124:$BG124)&lt;52,IF('Capacity summary'!Q124&lt;&gt;"",$BI5*Q5,0),Q5*$BI5),Q5*$BI5),0)</f>
        <v>5.1923076923076925</v>
      </c>
      <c r="BU5" s="319">
        <f ca="1">IF($BI5&lt;&gt;"",IF('Capacity summary'!$D$14="Yes",IF(COUNTBLANK('Capacity summary'!$H124:$BG124)&lt;52,IF('Capacity summary'!R124&lt;&gt;"",$BI5*R5,0),R5*$BI5),R5*$BI5),0)</f>
        <v>5.1923076923076925</v>
      </c>
      <c r="BV5" s="319">
        <f ca="1">IF($BI5&lt;&gt;"",IF('Capacity summary'!$D$14="Yes",IF(COUNTBLANK('Capacity summary'!$H124:$BG124)&lt;52,IF('Capacity summary'!S124&lt;&gt;"",$BI5*S5,0),S5*$BI5),S5*$BI5),0)</f>
        <v>5.1923076923076925</v>
      </c>
      <c r="BW5" s="319">
        <f ca="1">IF($BI5&lt;&gt;"",IF('Capacity summary'!$D$14="Yes",IF(COUNTBLANK('Capacity summary'!$H124:$BG124)&lt;52,IF('Capacity summary'!T124&lt;&gt;"",$BI5*T5,0),T5*$BI5),T5*$BI5),0)</f>
        <v>5.1923076923076925</v>
      </c>
      <c r="BX5" s="319">
        <f ca="1">IF($BI5&lt;&gt;"",IF('Capacity summary'!$D$14="Yes",IF(COUNTBLANK('Capacity summary'!$H124:$BG124)&lt;52,IF('Capacity summary'!U124&lt;&gt;"",$BI5*U5,0),U5*$BI5),U5*$BI5),0)</f>
        <v>5.1923076923076925</v>
      </c>
      <c r="BY5" s="319">
        <f ca="1">IF($BI5&lt;&gt;"",IF('Capacity summary'!$D$14="Yes",IF(COUNTBLANK('Capacity summary'!$H124:$BG124)&lt;52,IF('Capacity summary'!V124&lt;&gt;"",$BI5*V5,0),V5*$BI5),V5*$BI5),0)</f>
        <v>5.1923076923076925</v>
      </c>
      <c r="BZ5" s="319">
        <f ca="1">IF($BI5&lt;&gt;"",IF('Capacity summary'!$D$14="Yes",IF(COUNTBLANK('Capacity summary'!$H124:$BG124)&lt;52,IF('Capacity summary'!W124&lt;&gt;"",$BI5*W5,0),W5*$BI5),W5*$BI5),0)</f>
        <v>5.1923076923076925</v>
      </c>
      <c r="CA5" s="319">
        <f ca="1">IF($BI5&lt;&gt;"",IF('Capacity summary'!$D$14="Yes",IF(COUNTBLANK('Capacity summary'!$H124:$BG124)&lt;52,IF('Capacity summary'!X124&lt;&gt;"",$BI5*X5,0),X5*$BI5),X5*$BI5),0)</f>
        <v>5.1923076923076925</v>
      </c>
      <c r="CB5" s="319">
        <f ca="1">IF($BI5&lt;&gt;"",IF('Capacity summary'!$D$14="Yes",IF(COUNTBLANK('Capacity summary'!$H124:$BG124)&lt;52,IF('Capacity summary'!Y124&lt;&gt;"",$BI5*Y5,0),Y5*$BI5),Y5*$BI5),0)</f>
        <v>5.1923076923076925</v>
      </c>
      <c r="CC5" s="319">
        <f ca="1">IF($BI5&lt;&gt;"",IF('Capacity summary'!$D$14="Yes",IF(COUNTBLANK('Capacity summary'!$H124:$BG124)&lt;52,IF('Capacity summary'!Z124&lt;&gt;"",$BI5*Z5,0),Z5*$BI5),Z5*$BI5),0)</f>
        <v>5.1923076923076925</v>
      </c>
      <c r="CD5" s="319">
        <f ca="1">IF($BI5&lt;&gt;"",IF('Capacity summary'!$D$14="Yes",IF(COUNTBLANK('Capacity summary'!$H124:$BG124)&lt;52,IF('Capacity summary'!AA124&lt;&gt;"",$BI5*AA5,0),AA5*$BI5),AA5*$BI5),0)</f>
        <v>5.1923076923076925</v>
      </c>
      <c r="CE5" s="319">
        <f ca="1">IF($BI5&lt;&gt;"",IF('Capacity summary'!$D$14="Yes",IF(COUNTBLANK('Capacity summary'!$H124:$BG124)&lt;52,IF('Capacity summary'!AB124&lt;&gt;"",$BI5*AB5,0),AB5*$BI5),AB5*$BI5),0)</f>
        <v>5.1923076923076925</v>
      </c>
      <c r="CF5" s="319">
        <f ca="1">IF($BI5&lt;&gt;"",IF('Capacity summary'!$D$14="Yes",IF(COUNTBLANK('Capacity summary'!$H124:$BG124)&lt;52,IF('Capacity summary'!AC124&lt;&gt;"",$BI5*AC5,0),AC5*$BI5),AC5*$BI5),0)</f>
        <v>5.1923076923076925</v>
      </c>
      <c r="CG5" s="319">
        <f ca="1">IF($BI5&lt;&gt;"",IF('Capacity summary'!$D$14="Yes",IF(COUNTBLANK('Capacity summary'!$H124:$BG124)&lt;52,IF('Capacity summary'!AD124&lt;&gt;"",$BI5*AD5,0),AD5*$BI5),AD5*$BI5),0)</f>
        <v>5.1923076923076925</v>
      </c>
      <c r="CH5" s="319">
        <f ca="1">IF($BI5&lt;&gt;"",IF('Capacity summary'!$D$14="Yes",IF(COUNTBLANK('Capacity summary'!$H124:$BG124)&lt;52,IF('Capacity summary'!AE124&lt;&gt;"",$BI5*AE5,0),AE5*$BI5),AE5*$BI5),0)</f>
        <v>5.1923076923076925</v>
      </c>
      <c r="CI5" s="319">
        <f ca="1">IF($BI5&lt;&gt;"",IF('Capacity summary'!$D$14="Yes",IF(COUNTBLANK('Capacity summary'!$H124:$BG124)&lt;52,IF('Capacity summary'!AF124&lt;&gt;"",$BI5*AF5,0),AF5*$BI5),AF5*$BI5),0)</f>
        <v>5.1923076923076925</v>
      </c>
      <c r="CJ5" s="319">
        <f ca="1">IF($BI5&lt;&gt;"",IF('Capacity summary'!$D$14="Yes",IF(COUNTBLANK('Capacity summary'!$H124:$BG124)&lt;52,IF('Capacity summary'!AG124&lt;&gt;"",$BI5*AG5,0),AG5*$BI5),AG5*$BI5),0)</f>
        <v>5.1923076923076925</v>
      </c>
      <c r="CK5" s="319">
        <f ca="1">IF($BI5&lt;&gt;"",IF('Capacity summary'!$D$14="Yes",IF(COUNTBLANK('Capacity summary'!$H124:$BG124)&lt;52,IF('Capacity summary'!AH124&lt;&gt;"",$BI5*AH5,0),AH5*$BI5),AH5*$BI5),0)</f>
        <v>5.1923076923076925</v>
      </c>
      <c r="CL5" s="319">
        <f ca="1">IF($BI5&lt;&gt;"",IF('Capacity summary'!$D$14="Yes",IF(COUNTBLANK('Capacity summary'!$H124:$BG124)&lt;52,IF('Capacity summary'!AI124&lt;&gt;"",$BI5*AI5,0),AI5*$BI5),AI5*$BI5),0)</f>
        <v>5.1923076923076925</v>
      </c>
      <c r="CM5" s="319">
        <f ca="1">IF($BI5&lt;&gt;"",IF('Capacity summary'!$D$14="Yes",IF(COUNTBLANK('Capacity summary'!$H124:$BG124)&lt;52,IF('Capacity summary'!AJ124&lt;&gt;"",$BI5*AJ5,0),AJ5*$BI5),AJ5*$BI5),0)</f>
        <v>5.1923076923076925</v>
      </c>
      <c r="CN5" s="319">
        <f ca="1">IF($BI5&lt;&gt;"",IF('Capacity summary'!$D$14="Yes",IF(COUNTBLANK('Capacity summary'!$H124:$BG124)&lt;52,IF('Capacity summary'!AK124&lt;&gt;"",$BI5*AK5,0),AK5*$BI5),AK5*$BI5),0)</f>
        <v>5.1923076923076925</v>
      </c>
      <c r="CO5" s="319">
        <f ca="1">IF($BI5&lt;&gt;"",IF('Capacity summary'!$D$14="Yes",IF(COUNTBLANK('Capacity summary'!$H124:$BG124)&lt;52,IF('Capacity summary'!AL124&lt;&gt;"",$BI5*AL5,0),AL5*$BI5),AL5*$BI5),0)</f>
        <v>5.1923076923076925</v>
      </c>
      <c r="CP5" s="319">
        <f ca="1">IF($BI5&lt;&gt;"",IF('Capacity summary'!$D$14="Yes",IF(COUNTBLANK('Capacity summary'!$H124:$BG124)&lt;52,IF('Capacity summary'!AM124&lt;&gt;"",$BI5*AM5,0),AM5*$BI5),AM5*$BI5),0)</f>
        <v>5.1923076923076925</v>
      </c>
      <c r="CQ5" s="319">
        <f ca="1">IF($BI5&lt;&gt;"",IF('Capacity summary'!$D$14="Yes",IF(COUNTBLANK('Capacity summary'!$H124:$BG124)&lt;52,IF('Capacity summary'!AN124&lt;&gt;"",$BI5*AN5,0),AN5*$BI5),AN5*$BI5),0)</f>
        <v>5.1923076923076925</v>
      </c>
      <c r="CR5" s="319">
        <f ca="1">IF($BI5&lt;&gt;"",IF('Capacity summary'!$D$14="Yes",IF(COUNTBLANK('Capacity summary'!$H124:$BG124)&lt;52,IF('Capacity summary'!AO124&lt;&gt;"",$BI5*AO5,0),AO5*$BI5),AO5*$BI5),0)</f>
        <v>5.1923076923076925</v>
      </c>
      <c r="CS5" s="319">
        <f ca="1">IF($BI5&lt;&gt;"",IF('Capacity summary'!$D$14="Yes",IF(COUNTBLANK('Capacity summary'!$H124:$BG124)&lt;52,IF('Capacity summary'!AP124&lt;&gt;"",$BI5*AP5,0),AP5*$BI5),AP5*$BI5),0)</f>
        <v>5.1923076923076925</v>
      </c>
      <c r="CT5" s="319">
        <f ca="1">IF($BI5&lt;&gt;"",IF('Capacity summary'!$D$14="Yes",IF(COUNTBLANK('Capacity summary'!$H124:$BG124)&lt;52,IF('Capacity summary'!AQ124&lt;&gt;"",$BI5*AQ5,0),AQ5*$BI5),AQ5*$BI5),0)</f>
        <v>5.1923076923076925</v>
      </c>
      <c r="CU5" s="319">
        <f ca="1">IF($BI5&lt;&gt;"",IF('Capacity summary'!$D$14="Yes",IF(COUNTBLANK('Capacity summary'!$H124:$BG124)&lt;52,IF('Capacity summary'!AR124&lt;&gt;"",$BI5*AR5,0),AR5*$BI5),AR5*$BI5),0)</f>
        <v>5.1923076923076925</v>
      </c>
      <c r="CV5" s="319">
        <f ca="1">IF($BI5&lt;&gt;"",IF('Capacity summary'!$D$14="Yes",IF(COUNTBLANK('Capacity summary'!$H124:$BG124)&lt;52,IF('Capacity summary'!AS124&lt;&gt;"",$BI5*AS5,0),AS5*$BI5),AS5*$BI5),0)</f>
        <v>5.1923076923076925</v>
      </c>
      <c r="CW5" s="319">
        <f ca="1">IF($BI5&lt;&gt;"",IF('Capacity summary'!$D$14="Yes",IF(COUNTBLANK('Capacity summary'!$H124:$BG124)&lt;52,IF('Capacity summary'!AT124&lt;&gt;"",$BI5*AT5,0),AT5*$BI5),AT5*$BI5),0)</f>
        <v>5.1923076923076925</v>
      </c>
      <c r="CX5" s="319">
        <f ca="1">IF($BI5&lt;&gt;"",IF('Capacity summary'!$D$14="Yes",IF(COUNTBLANK('Capacity summary'!$H124:$BG124)&lt;52,IF('Capacity summary'!AU124&lt;&gt;"",$BI5*AU5,0),AU5*$BI5),AU5*$BI5),0)</f>
        <v>5.1923076923076925</v>
      </c>
      <c r="CY5" s="319">
        <f ca="1">IF($BI5&lt;&gt;"",IF('Capacity summary'!$D$14="Yes",IF(COUNTBLANK('Capacity summary'!$H124:$BG124)&lt;52,IF('Capacity summary'!AV124&lt;&gt;"",$BI5*AV5,0),AV5*$BI5),AV5*$BI5),0)</f>
        <v>5.1923076923076925</v>
      </c>
      <c r="CZ5" s="319">
        <f ca="1">IF($BI5&lt;&gt;"",IF('Capacity summary'!$D$14="Yes",IF(COUNTBLANK('Capacity summary'!$H124:$BG124)&lt;52,IF('Capacity summary'!AW124&lt;&gt;"",$BI5*AW5,0),AW5*$BI5),AW5*$BI5),0)</f>
        <v>5.1923076923076925</v>
      </c>
      <c r="DA5" s="319">
        <f ca="1">IF($BI5&lt;&gt;"",IF('Capacity summary'!$D$14="Yes",IF(COUNTBLANK('Capacity summary'!$H124:$BG124)&lt;52,IF('Capacity summary'!AX124&lt;&gt;"",$BI5*AX5,0),AX5*$BI5),AX5*$BI5),0)</f>
        <v>5.1923076923076925</v>
      </c>
      <c r="DB5" s="319">
        <f ca="1">IF($BI5&lt;&gt;"",IF('Capacity summary'!$D$14="Yes",IF(COUNTBLANK('Capacity summary'!$H124:$BG124)&lt;52,IF('Capacity summary'!AY124&lt;&gt;"",$BI5*AY5,0),AY5*$BI5),AY5*$BI5),0)</f>
        <v>5.1923076923076925</v>
      </c>
      <c r="DC5" s="319">
        <f ca="1">IF($BI5&lt;&gt;"",IF('Capacity summary'!$D$14="Yes",IF(COUNTBLANK('Capacity summary'!$H124:$BG124)&lt;52,IF('Capacity summary'!AZ124&lt;&gt;"",$BI5*AZ5,0),AZ5*$BI5),AZ5*$BI5),0)</f>
        <v>5.1923076923076925</v>
      </c>
      <c r="DD5" s="319">
        <f ca="1">IF($BI5&lt;&gt;"",IF('Capacity summary'!$D$14="Yes",IF(COUNTBLANK('Capacity summary'!$H124:$BG124)&lt;52,IF('Capacity summary'!BA124&lt;&gt;"",$BI5*BA5,0),BA5*$BI5),BA5*$BI5),0)</f>
        <v>5.1923076923076925</v>
      </c>
      <c r="DE5" s="319">
        <f ca="1">IF($BI5&lt;&gt;"",IF('Capacity summary'!$D$14="Yes",IF(COUNTBLANK('Capacity summary'!$H124:$BG124)&lt;52,IF('Capacity summary'!BB124&lt;&gt;"",$BI5*BB5,0),BB5*$BI5),BB5*$BI5),0)</f>
        <v>5.1923076923076925</v>
      </c>
      <c r="DF5" s="319">
        <f ca="1">IF($BI5&lt;&gt;"",IF('Capacity summary'!$D$14="Yes",IF(COUNTBLANK('Capacity summary'!$H124:$BG124)&lt;52,IF('Capacity summary'!BC124&lt;&gt;"",$BI5*BC5,0),BC5*$BI5),BC5*$BI5),0)</f>
        <v>5.1923076923076925</v>
      </c>
      <c r="DG5" s="319">
        <f ca="1">IF($BI5&lt;&gt;"",IF('Capacity summary'!$D$14="Yes",IF(COUNTBLANK('Capacity summary'!$H124:$BG124)&lt;52,IF('Capacity summary'!BD124&lt;&gt;"",$BI5*BD5,0),BD5*$BI5),BD5*$BI5),0)</f>
        <v>5.1923076923076925</v>
      </c>
      <c r="DH5" s="319">
        <f ca="1">IF($BI5&lt;&gt;"",IF('Capacity summary'!$D$14="Yes",IF(COUNTBLANK('Capacity summary'!$H124:$BG124)&lt;52,IF('Capacity summary'!BE124&lt;&gt;"",$BI5*BE5,0),BE5*$BI5),BE5*$BI5),0)</f>
        <v>5.1923076923076925</v>
      </c>
      <c r="DI5" s="319">
        <f ca="1">IF($BI5&lt;&gt;"",IF('Capacity summary'!$D$14="Yes",IF(COUNTBLANK('Capacity summary'!$H124:$BG124)&lt;52,IF('Capacity summary'!BF124&lt;&gt;"",$BI5*BF5,0),BF5*$BI5),BF5*$BI5),0)</f>
        <v>5.1923076923076925</v>
      </c>
      <c r="DJ5" s="319">
        <f ca="1">IF($BI5&lt;&gt;"",IF('Capacity summary'!$D$14="Yes",IF(COUNTBLANK('Capacity summary'!$H124:$BG124)&lt;52,IF('Capacity summary'!BG124&lt;&gt;"",$BI5*BG5,0),BG5*$BI5),BG5*$BI5),0)</f>
        <v>5.1923076923076925</v>
      </c>
      <c r="DK5" s="5">
        <f ca="1">SUM(BK5:DJ5)</f>
        <v>269.99999999999966</v>
      </c>
      <c r="DL5" s="5">
        <f>Capacity!H17</f>
        <v>270</v>
      </c>
      <c r="DP5" s="5"/>
    </row>
    <row r="6" spans="2:120" x14ac:dyDescent="0.2">
      <c r="B6" s="68"/>
      <c r="C6" s="68" t="str">
        <f>ROW(A2)&amp;". "&amp;Capacity!B18</f>
        <v>2. Core Clinic 2</v>
      </c>
      <c r="D6" s="68" t="str">
        <f>'Capacity setup'!C13</f>
        <v>1. Consultant: Mr Smith</v>
      </c>
      <c r="E6" s="68" t="str">
        <f>'Capacity setup'!D13</f>
        <v>2. Consultant: Ms Taylor</v>
      </c>
      <c r="F6" s="68">
        <f>'Capacity setup'!E13</f>
        <v>0</v>
      </c>
      <c r="H6" s="68">
        <f ca="1">IF(AND(SUMIF(Capacity_Resource,$D6,'Critical resources (hide)'!U$6:U$105)+SUMIF(Capacity_Resource,$E6,'Critical resources (hide)'!U$6:U$105)+SUMIF(Capacity_Resource,$F6,'Critical resources (hide)'!U$6:U$105)&gt;0,$E$1=2),0,1)</f>
        <v>1</v>
      </c>
      <c r="I6" s="68">
        <f ca="1">IF(AND(SUMIF(Capacity_Resource,$D6,'Critical resources (hide)'!V$6:V$105)+SUMIF(Capacity_Resource,$E6,'Critical resources (hide)'!V$6:V$105)+SUMIF(Capacity_Resource,$F6,'Critical resources (hide)'!V$6:V$105)&gt;0,$E$1=2),0,1)</f>
        <v>1</v>
      </c>
      <c r="J6" s="68">
        <f ca="1">IF(AND(SUMIF(Capacity_Resource,$D6,'Critical resources (hide)'!W$6:W$105)+SUMIF(Capacity_Resource,$E6,'Critical resources (hide)'!W$6:W$105)+SUMIF(Capacity_Resource,$F6,'Critical resources (hide)'!W$6:W$105)&gt;0,$E$1=2),0,1)</f>
        <v>1</v>
      </c>
      <c r="K6" s="68">
        <f ca="1">IF(AND(SUMIF(Capacity_Resource,$D6,'Critical resources (hide)'!X$6:X$105)+SUMIF(Capacity_Resource,$E6,'Critical resources (hide)'!X$6:X$105)+SUMIF(Capacity_Resource,$F6,'Critical resources (hide)'!X$6:X$105)&gt;0,$E$1=2),0,1)</f>
        <v>1</v>
      </c>
      <c r="L6" s="68">
        <f ca="1">IF(AND(SUMIF(Capacity_Resource,$D6,'Critical resources (hide)'!Y$6:Y$105)+SUMIF(Capacity_Resource,$E6,'Critical resources (hide)'!Y$6:Y$105)+SUMIF(Capacity_Resource,$F6,'Critical resources (hide)'!Y$6:Y$105)&gt;0,$E$1=2),0,1)</f>
        <v>1</v>
      </c>
      <c r="M6" s="68">
        <f ca="1">IF(AND(SUMIF(Capacity_Resource,$D6,'Critical resources (hide)'!Z$6:Z$105)+SUMIF(Capacity_Resource,$E6,'Critical resources (hide)'!Z$6:Z$105)+SUMIF(Capacity_Resource,$F6,'Critical resources (hide)'!Z$6:Z$105)&gt;0,$E$1=2),0,1)</f>
        <v>1</v>
      </c>
      <c r="N6" s="68">
        <f ca="1">IF(AND(SUMIF(Capacity_Resource,$D6,'Critical resources (hide)'!AA$6:AA$105)+SUMIF(Capacity_Resource,$E6,'Critical resources (hide)'!AA$6:AA$105)+SUMIF(Capacity_Resource,$F6,'Critical resources (hide)'!AA$6:AA$105)&gt;0,$E$1=2),0,1)</f>
        <v>1</v>
      </c>
      <c r="O6" s="68">
        <f ca="1">IF(AND(SUMIF(Capacity_Resource,$D6,'Critical resources (hide)'!AB$6:AB$105)+SUMIF(Capacity_Resource,$E6,'Critical resources (hide)'!AB$6:AB$105)+SUMIF(Capacity_Resource,$F6,'Critical resources (hide)'!AB$6:AB$105)&gt;0,$E$1=2),0,1)</f>
        <v>1</v>
      </c>
      <c r="P6" s="68">
        <f ca="1">IF(AND(SUMIF(Capacity_Resource,$D6,'Critical resources (hide)'!AC$6:AC$105)+SUMIF(Capacity_Resource,$E6,'Critical resources (hide)'!AC$6:AC$105)+SUMIF(Capacity_Resource,$F6,'Critical resources (hide)'!AC$6:AC$105)&gt;0,$E$1=2),0,1)</f>
        <v>1</v>
      </c>
      <c r="Q6" s="68">
        <f ca="1">IF(AND(SUMIF(Capacity_Resource,$D6,'Critical resources (hide)'!AD$6:AD$105)+SUMIF(Capacity_Resource,$E6,'Critical resources (hide)'!AD$6:AD$105)+SUMIF(Capacity_Resource,$F6,'Critical resources (hide)'!AD$6:AD$105)&gt;0,$E$1=2),0,1)</f>
        <v>1</v>
      </c>
      <c r="R6" s="68">
        <f ca="1">IF(AND(SUMIF(Capacity_Resource,$D6,'Critical resources (hide)'!AE$6:AE$105)+SUMIF(Capacity_Resource,$E6,'Critical resources (hide)'!AE$6:AE$105)+SUMIF(Capacity_Resource,$F6,'Critical resources (hide)'!AE$6:AE$105)&gt;0,$E$1=2),0,1)</f>
        <v>1</v>
      </c>
      <c r="S6" s="68">
        <f ca="1">IF(AND(SUMIF(Capacity_Resource,$D6,'Critical resources (hide)'!AF$6:AF$105)+SUMIF(Capacity_Resource,$E6,'Critical resources (hide)'!AF$6:AF$105)+SUMIF(Capacity_Resource,$F6,'Critical resources (hide)'!AF$6:AF$105)&gt;0,$E$1=2),0,1)</f>
        <v>1</v>
      </c>
      <c r="T6" s="68">
        <f ca="1">IF(AND(SUMIF(Capacity_Resource,$D6,'Critical resources (hide)'!AG$6:AG$105)+SUMIF(Capacity_Resource,$E6,'Critical resources (hide)'!AG$6:AG$105)+SUMIF(Capacity_Resource,$F6,'Critical resources (hide)'!AG$6:AG$105)&gt;0,$E$1=2),0,1)</f>
        <v>1</v>
      </c>
      <c r="U6" s="68">
        <f ca="1">IF(AND(SUMIF(Capacity_Resource,$D6,'Critical resources (hide)'!AH$6:AH$105)+SUMIF(Capacity_Resource,$E6,'Critical resources (hide)'!AH$6:AH$105)+SUMIF(Capacity_Resource,$F6,'Critical resources (hide)'!AH$6:AH$105)&gt;0,$E$1=2),0,1)</f>
        <v>1</v>
      </c>
      <c r="V6" s="68">
        <f ca="1">IF(AND(SUMIF(Capacity_Resource,$D6,'Critical resources (hide)'!AI$6:AI$105)+SUMIF(Capacity_Resource,$E6,'Critical resources (hide)'!AI$6:AI$105)+SUMIF(Capacity_Resource,$F6,'Critical resources (hide)'!AI$6:AI$105)&gt;0,$E$1=2),0,1)</f>
        <v>1</v>
      </c>
      <c r="W6" s="68">
        <f ca="1">IF(AND(SUMIF(Capacity_Resource,$D6,'Critical resources (hide)'!AJ$6:AJ$105)+SUMIF(Capacity_Resource,$E6,'Critical resources (hide)'!AJ$6:AJ$105)+SUMIF(Capacity_Resource,$F6,'Critical resources (hide)'!AJ$6:AJ$105)&gt;0,$E$1=2),0,1)</f>
        <v>1</v>
      </c>
      <c r="X6" s="68">
        <f ca="1">IF(AND(SUMIF(Capacity_Resource,$D6,'Critical resources (hide)'!AK$6:AK$105)+SUMIF(Capacity_Resource,$E6,'Critical resources (hide)'!AK$6:AK$105)+SUMIF(Capacity_Resource,$F6,'Critical resources (hide)'!AK$6:AK$105)&gt;0,$E$1=2),0,1)</f>
        <v>1</v>
      </c>
      <c r="Y6" s="68">
        <f ca="1">IF(AND(SUMIF(Capacity_Resource,$D6,'Critical resources (hide)'!AL$6:AL$105)+SUMIF(Capacity_Resource,$E6,'Critical resources (hide)'!AL$6:AL$105)+SUMIF(Capacity_Resource,$F6,'Critical resources (hide)'!AL$6:AL$105)&gt;0,$E$1=2),0,1)</f>
        <v>1</v>
      </c>
      <c r="Z6" s="68">
        <f ca="1">IF(AND(SUMIF(Capacity_Resource,$D6,'Critical resources (hide)'!AM$6:AM$105)+SUMIF(Capacity_Resource,$E6,'Critical resources (hide)'!AM$6:AM$105)+SUMIF(Capacity_Resource,$F6,'Critical resources (hide)'!AM$6:AM$105)&gt;0,$E$1=2),0,1)</f>
        <v>1</v>
      </c>
      <c r="AA6" s="68">
        <f ca="1">IF(AND(SUMIF(Capacity_Resource,$D6,'Critical resources (hide)'!AN$6:AN$105)+SUMIF(Capacity_Resource,$E6,'Critical resources (hide)'!AN$6:AN$105)+SUMIF(Capacity_Resource,$F6,'Critical resources (hide)'!AN$6:AN$105)&gt;0,$E$1=2),0,1)</f>
        <v>1</v>
      </c>
      <c r="AB6" s="68">
        <f ca="1">IF(AND(SUMIF(Capacity_Resource,$D6,'Critical resources (hide)'!AO$6:AO$105)+SUMIF(Capacity_Resource,$E6,'Critical resources (hide)'!AO$6:AO$105)+SUMIF(Capacity_Resource,$F6,'Critical resources (hide)'!AO$6:AO$105)&gt;0,$E$1=2),0,1)</f>
        <v>1</v>
      </c>
      <c r="AC6" s="68">
        <f ca="1">IF(AND(SUMIF(Capacity_Resource,$D6,'Critical resources (hide)'!AP$6:AP$105)+SUMIF(Capacity_Resource,$E6,'Critical resources (hide)'!AP$6:AP$105)+SUMIF(Capacity_Resource,$F6,'Critical resources (hide)'!AP$6:AP$105)&gt;0,$E$1=2),0,1)</f>
        <v>1</v>
      </c>
      <c r="AD6" s="68">
        <f ca="1">IF(AND(SUMIF(Capacity_Resource,$D6,'Critical resources (hide)'!AQ$6:AQ$105)+SUMIF(Capacity_Resource,$E6,'Critical resources (hide)'!AQ$6:AQ$105)+SUMIF(Capacity_Resource,$F6,'Critical resources (hide)'!AQ$6:AQ$105)&gt;0,$E$1=2),0,1)</f>
        <v>1</v>
      </c>
      <c r="AE6" s="68">
        <f ca="1">IF(AND(SUMIF(Capacity_Resource,$D6,'Critical resources (hide)'!AR$6:AR$105)+SUMIF(Capacity_Resource,$E6,'Critical resources (hide)'!AR$6:AR$105)+SUMIF(Capacity_Resource,$F6,'Critical resources (hide)'!AR$6:AR$105)&gt;0,$E$1=2),0,1)</f>
        <v>1</v>
      </c>
      <c r="AF6" s="68">
        <f ca="1">IF(AND(SUMIF(Capacity_Resource,$D6,'Critical resources (hide)'!AS$6:AS$105)+SUMIF(Capacity_Resource,$E6,'Critical resources (hide)'!AS$6:AS$105)+SUMIF(Capacity_Resource,$F6,'Critical resources (hide)'!AS$6:AS$105)&gt;0,$E$1=2),0,1)</f>
        <v>1</v>
      </c>
      <c r="AG6" s="68">
        <f ca="1">IF(AND(SUMIF(Capacity_Resource,$D6,'Critical resources (hide)'!AT$6:AT$105)+SUMIF(Capacity_Resource,$E6,'Critical resources (hide)'!AT$6:AT$105)+SUMIF(Capacity_Resource,$F6,'Critical resources (hide)'!AT$6:AT$105)&gt;0,$E$1=2),0,1)</f>
        <v>1</v>
      </c>
      <c r="AH6" s="68">
        <f ca="1">IF(AND(SUMIF(Capacity_Resource,$D6,'Critical resources (hide)'!AU$6:AU$105)+SUMIF(Capacity_Resource,$E6,'Critical resources (hide)'!AU$6:AU$105)+SUMIF(Capacity_Resource,$F6,'Critical resources (hide)'!AU$6:AU$105)&gt;0,$E$1=2),0,1)</f>
        <v>1</v>
      </c>
      <c r="AI6" s="68">
        <f ca="1">IF(AND(SUMIF(Capacity_Resource,$D6,'Critical resources (hide)'!AV$6:AV$105)+SUMIF(Capacity_Resource,$E6,'Critical resources (hide)'!AV$6:AV$105)+SUMIF(Capacity_Resource,$F6,'Critical resources (hide)'!AV$6:AV$105)&gt;0,$E$1=2),0,1)</f>
        <v>1</v>
      </c>
      <c r="AJ6" s="68">
        <f ca="1">IF(AND(SUMIF(Capacity_Resource,$D6,'Critical resources (hide)'!AW$6:AW$105)+SUMIF(Capacity_Resource,$E6,'Critical resources (hide)'!AW$6:AW$105)+SUMIF(Capacity_Resource,$F6,'Critical resources (hide)'!AW$6:AW$105)&gt;0,$E$1=2),0,1)</f>
        <v>1</v>
      </c>
      <c r="AK6" s="68">
        <f ca="1">IF(AND(SUMIF(Capacity_Resource,$D6,'Critical resources (hide)'!AX$6:AX$105)+SUMIF(Capacity_Resource,$E6,'Critical resources (hide)'!AX$6:AX$105)+SUMIF(Capacity_Resource,$F6,'Critical resources (hide)'!AX$6:AX$105)&gt;0,$E$1=2),0,1)</f>
        <v>1</v>
      </c>
      <c r="AL6" s="68">
        <f ca="1">IF(AND(SUMIF(Capacity_Resource,$D6,'Critical resources (hide)'!AY$6:AY$105)+SUMIF(Capacity_Resource,$E6,'Critical resources (hide)'!AY$6:AY$105)+SUMIF(Capacity_Resource,$F6,'Critical resources (hide)'!AY$6:AY$105)&gt;0,$E$1=2),0,1)</f>
        <v>1</v>
      </c>
      <c r="AM6" s="68">
        <f ca="1">IF(AND(SUMIF(Capacity_Resource,$D6,'Critical resources (hide)'!AZ$6:AZ$105)+SUMIF(Capacity_Resource,$E6,'Critical resources (hide)'!AZ$6:AZ$105)+SUMIF(Capacity_Resource,$F6,'Critical resources (hide)'!AZ$6:AZ$105)&gt;0,$E$1=2),0,1)</f>
        <v>1</v>
      </c>
      <c r="AN6" s="68">
        <f ca="1">IF(AND(SUMIF(Capacity_Resource,$D6,'Critical resources (hide)'!BA$6:BA$105)+SUMIF(Capacity_Resource,$E6,'Critical resources (hide)'!BA$6:BA$105)+SUMIF(Capacity_Resource,$F6,'Critical resources (hide)'!BA$6:BA$105)&gt;0,$E$1=2),0,1)</f>
        <v>1</v>
      </c>
      <c r="AO6" s="68">
        <f ca="1">IF(AND(SUMIF(Capacity_Resource,$D6,'Critical resources (hide)'!BB$6:BB$105)+SUMIF(Capacity_Resource,$E6,'Critical resources (hide)'!BB$6:BB$105)+SUMIF(Capacity_Resource,$F6,'Critical resources (hide)'!BB$6:BB$105)&gt;0,$E$1=2),0,1)</f>
        <v>1</v>
      </c>
      <c r="AP6" s="68">
        <f ca="1">IF(AND(SUMIF(Capacity_Resource,$D6,'Critical resources (hide)'!BC$6:BC$105)+SUMIF(Capacity_Resource,$E6,'Critical resources (hide)'!BC$6:BC$105)+SUMIF(Capacity_Resource,$F6,'Critical resources (hide)'!BC$6:BC$105)&gt;0,$E$1=2),0,1)</f>
        <v>1</v>
      </c>
      <c r="AQ6" s="68">
        <f ca="1">IF(AND(SUMIF(Capacity_Resource,$D6,'Critical resources (hide)'!BD$6:BD$105)+SUMIF(Capacity_Resource,$E6,'Critical resources (hide)'!BD$6:BD$105)+SUMIF(Capacity_Resource,$F6,'Critical resources (hide)'!BD$6:BD$105)&gt;0,$E$1=2),0,1)</f>
        <v>1</v>
      </c>
      <c r="AR6" s="68">
        <f ca="1">IF(AND(SUMIF(Capacity_Resource,$D6,'Critical resources (hide)'!BE$6:BE$105)+SUMIF(Capacity_Resource,$E6,'Critical resources (hide)'!BE$6:BE$105)+SUMIF(Capacity_Resource,$F6,'Critical resources (hide)'!BE$6:BE$105)&gt;0,$E$1=2),0,1)</f>
        <v>1</v>
      </c>
      <c r="AS6" s="68">
        <f ca="1">IF(AND(SUMIF(Capacity_Resource,$D6,'Critical resources (hide)'!BF$6:BF$105)+SUMIF(Capacity_Resource,$E6,'Critical resources (hide)'!BF$6:BF$105)+SUMIF(Capacity_Resource,$F6,'Critical resources (hide)'!BF$6:BF$105)&gt;0,$E$1=2),0,1)</f>
        <v>1</v>
      </c>
      <c r="AT6" s="68">
        <f ca="1">IF(AND(SUMIF(Capacity_Resource,$D6,'Critical resources (hide)'!BG$6:BG$105)+SUMIF(Capacity_Resource,$E6,'Critical resources (hide)'!BG$6:BG$105)+SUMIF(Capacity_Resource,$F6,'Critical resources (hide)'!BG$6:BG$105)&gt;0,$E$1=2),0,1)</f>
        <v>1</v>
      </c>
      <c r="AU6" s="68">
        <f ca="1">IF(AND(SUMIF(Capacity_Resource,$D6,'Critical resources (hide)'!BH$6:BH$105)+SUMIF(Capacity_Resource,$E6,'Critical resources (hide)'!BH$6:BH$105)+SUMIF(Capacity_Resource,$F6,'Critical resources (hide)'!BH$6:BH$105)&gt;0,$E$1=2),0,1)</f>
        <v>1</v>
      </c>
      <c r="AV6" s="68">
        <f ca="1">IF(AND(SUMIF(Capacity_Resource,$D6,'Critical resources (hide)'!BI$6:BI$105)+SUMIF(Capacity_Resource,$E6,'Critical resources (hide)'!BI$6:BI$105)+SUMIF(Capacity_Resource,$F6,'Critical resources (hide)'!BI$6:BI$105)&gt;0,$E$1=2),0,1)</f>
        <v>1</v>
      </c>
      <c r="AW6" s="68">
        <f ca="1">IF(AND(SUMIF(Capacity_Resource,$D6,'Critical resources (hide)'!BJ$6:BJ$105)+SUMIF(Capacity_Resource,$E6,'Critical resources (hide)'!BJ$6:BJ$105)+SUMIF(Capacity_Resource,$F6,'Critical resources (hide)'!BJ$6:BJ$105)&gt;0,$E$1=2),0,1)</f>
        <v>1</v>
      </c>
      <c r="AX6" s="68">
        <f ca="1">IF(AND(SUMIF(Capacity_Resource,$D6,'Critical resources (hide)'!BK$6:BK$105)+SUMIF(Capacity_Resource,$E6,'Critical resources (hide)'!BK$6:BK$105)+SUMIF(Capacity_Resource,$F6,'Critical resources (hide)'!BK$6:BK$105)&gt;0,$E$1=2),0,1)</f>
        <v>1</v>
      </c>
      <c r="AY6" s="68">
        <f ca="1">IF(AND(SUMIF(Capacity_Resource,$D6,'Critical resources (hide)'!BL$6:BL$105)+SUMIF(Capacity_Resource,$E6,'Critical resources (hide)'!BL$6:BL$105)+SUMIF(Capacity_Resource,$F6,'Critical resources (hide)'!BL$6:BL$105)&gt;0,$E$1=2),0,1)</f>
        <v>1</v>
      </c>
      <c r="AZ6" s="68">
        <f ca="1">IF(AND(SUMIF(Capacity_Resource,$D6,'Critical resources (hide)'!BM$6:BM$105)+SUMIF(Capacity_Resource,$E6,'Critical resources (hide)'!BM$6:BM$105)+SUMIF(Capacity_Resource,$F6,'Critical resources (hide)'!BM$6:BM$105)&gt;0,$E$1=2),0,1)</f>
        <v>1</v>
      </c>
      <c r="BA6" s="68">
        <f ca="1">IF(AND(SUMIF(Capacity_Resource,$D6,'Critical resources (hide)'!BN$6:BN$105)+SUMIF(Capacity_Resource,$E6,'Critical resources (hide)'!BN$6:BN$105)+SUMIF(Capacity_Resource,$F6,'Critical resources (hide)'!BN$6:BN$105)&gt;0,$E$1=2),0,1)</f>
        <v>1</v>
      </c>
      <c r="BB6" s="68">
        <f ca="1">IF(AND(SUMIF(Capacity_Resource,$D6,'Critical resources (hide)'!BO$6:BO$105)+SUMIF(Capacity_Resource,$E6,'Critical resources (hide)'!BO$6:BO$105)+SUMIF(Capacity_Resource,$F6,'Critical resources (hide)'!BO$6:BO$105)&gt;0,$E$1=2),0,1)</f>
        <v>1</v>
      </c>
      <c r="BC6" s="68">
        <f ca="1">IF(AND(SUMIF(Capacity_Resource,$D6,'Critical resources (hide)'!BP$6:BP$105)+SUMIF(Capacity_Resource,$E6,'Critical resources (hide)'!BP$6:BP$105)+SUMIF(Capacity_Resource,$F6,'Critical resources (hide)'!BP$6:BP$105)&gt;0,$E$1=2),0,1)</f>
        <v>1</v>
      </c>
      <c r="BD6" s="68">
        <f ca="1">IF(AND(SUMIF(Capacity_Resource,$D6,'Critical resources (hide)'!BQ$6:BQ$105)+SUMIF(Capacity_Resource,$E6,'Critical resources (hide)'!BQ$6:BQ$105)+SUMIF(Capacity_Resource,$F6,'Critical resources (hide)'!BQ$6:BQ$105)&gt;0,$E$1=2),0,1)</f>
        <v>1</v>
      </c>
      <c r="BE6" s="68">
        <f ca="1">IF(AND(SUMIF(Capacity_Resource,$D6,'Critical resources (hide)'!BR$6:BR$105)+SUMIF(Capacity_Resource,$E6,'Critical resources (hide)'!BR$6:BR$105)+SUMIF(Capacity_Resource,$F6,'Critical resources (hide)'!BR$6:BR$105)&gt;0,$E$1=2),0,1)</f>
        <v>1</v>
      </c>
      <c r="BF6" s="68">
        <f ca="1">IF(AND(SUMIF(Capacity_Resource,$D6,'Critical resources (hide)'!BS$6:BS$105)+SUMIF(Capacity_Resource,$E6,'Critical resources (hide)'!BS$6:BS$105)+SUMIF(Capacity_Resource,$F6,'Critical resources (hide)'!BS$6:BS$105)&gt;0,$E$1=2),0,1)</f>
        <v>1</v>
      </c>
      <c r="BG6" s="68">
        <f ca="1">IF(AND(SUMIF(Capacity_Resource,$D6,'Critical resources (hide)'!BT$6:BT$105)+SUMIF(Capacity_Resource,$E6,'Critical resources (hide)'!BT$6:BT$105)+SUMIF(Capacity_Resource,$F6,'Critical resources (hide)'!BT$6:BT$105)&gt;0,$E$1=2),0,1)</f>
        <v>1</v>
      </c>
      <c r="BH6" s="68">
        <f ca="1">IF(ROW(C2)&lt;=Capacity!$A$16,IF('Capacity summary'!$D$14="No",SUM(H6:BG6),'Capacity summary'!$E125),0)</f>
        <v>52</v>
      </c>
      <c r="BI6" s="5">
        <f ca="1">IF(BH6&gt;0,IF(BH6&lt;Capacity!E18,Capacity!F18,Capacity!H18/'Capacity calculation (hide)'!BH6),"")</f>
        <v>5.1923076923076925</v>
      </c>
      <c r="BK6" s="319">
        <f ca="1">IF($BI6&lt;&gt;"",IF('Capacity summary'!$D$14="Yes",IF(COUNTBLANK('Capacity summary'!$H125:$BG125)&lt;52,IF('Capacity summary'!H125&lt;&gt;"",$BI6*H6,0),H6*$BI6),H6*$BI6),0)</f>
        <v>5.1923076923076925</v>
      </c>
      <c r="BL6" s="319">
        <f ca="1">IF($BI6&lt;&gt;"",IF('Capacity summary'!$D$14="Yes",IF(COUNTBLANK('Capacity summary'!$H125:$BG125)&lt;52,IF('Capacity summary'!I125&lt;&gt;"",$BI6*I6,0),I6*$BI6),I6*$BI6),0)</f>
        <v>5.1923076923076925</v>
      </c>
      <c r="BM6" s="319">
        <f ca="1">IF($BI6&lt;&gt;"",IF('Capacity summary'!$D$14="Yes",IF(COUNTBLANK('Capacity summary'!$H125:$BG125)&lt;52,IF('Capacity summary'!J125&lt;&gt;"",$BI6*J6,0),J6*$BI6),J6*$BI6),0)</f>
        <v>5.1923076923076925</v>
      </c>
      <c r="BN6" s="319">
        <f ca="1">IF($BI6&lt;&gt;"",IF('Capacity summary'!$D$14="Yes",IF(COUNTBLANK('Capacity summary'!$H125:$BG125)&lt;52,IF('Capacity summary'!K125&lt;&gt;"",$BI6*K6,0),K6*$BI6),K6*$BI6),0)</f>
        <v>5.1923076923076925</v>
      </c>
      <c r="BO6" s="319">
        <f ca="1">IF($BI6&lt;&gt;"",IF('Capacity summary'!$D$14="Yes",IF(COUNTBLANK('Capacity summary'!$H125:$BG125)&lt;52,IF('Capacity summary'!L125&lt;&gt;"",$BI6*L6,0),L6*$BI6),L6*$BI6),0)</f>
        <v>5.1923076923076925</v>
      </c>
      <c r="BP6" s="319">
        <f ca="1">IF($BI6&lt;&gt;"",IF('Capacity summary'!$D$14="Yes",IF(COUNTBLANK('Capacity summary'!$H125:$BG125)&lt;52,IF('Capacity summary'!M125&lt;&gt;"",$BI6*M6,0),M6*$BI6),M6*$BI6),0)</f>
        <v>5.1923076923076925</v>
      </c>
      <c r="BQ6" s="319">
        <f ca="1">IF($BI6&lt;&gt;"",IF('Capacity summary'!$D$14="Yes",IF(COUNTBLANK('Capacity summary'!$H125:$BG125)&lt;52,IF('Capacity summary'!N125&lt;&gt;"",$BI6*N6,0),N6*$BI6),N6*$BI6),0)</f>
        <v>5.1923076923076925</v>
      </c>
      <c r="BR6" s="319">
        <f ca="1">IF($BI6&lt;&gt;"",IF('Capacity summary'!$D$14="Yes",IF(COUNTBLANK('Capacity summary'!$H125:$BG125)&lt;52,IF('Capacity summary'!O125&lt;&gt;"",$BI6*O6,0),O6*$BI6),O6*$BI6),0)</f>
        <v>5.1923076923076925</v>
      </c>
      <c r="BS6" s="319">
        <f ca="1">IF($BI6&lt;&gt;"",IF('Capacity summary'!$D$14="Yes",IF(COUNTBLANK('Capacity summary'!$H125:$BG125)&lt;52,IF('Capacity summary'!P125&lt;&gt;"",$BI6*P6,0),P6*$BI6),P6*$BI6),0)</f>
        <v>5.1923076923076925</v>
      </c>
      <c r="BT6" s="319">
        <f ca="1">IF($BI6&lt;&gt;"",IF('Capacity summary'!$D$14="Yes",IF(COUNTBLANK('Capacity summary'!$H125:$BG125)&lt;52,IF('Capacity summary'!Q125&lt;&gt;"",$BI6*Q6,0),Q6*$BI6),Q6*$BI6),0)</f>
        <v>5.1923076923076925</v>
      </c>
      <c r="BU6" s="319">
        <f ca="1">IF($BI6&lt;&gt;"",IF('Capacity summary'!$D$14="Yes",IF(COUNTBLANK('Capacity summary'!$H125:$BG125)&lt;52,IF('Capacity summary'!R125&lt;&gt;"",$BI6*R6,0),R6*$BI6),R6*$BI6),0)</f>
        <v>5.1923076923076925</v>
      </c>
      <c r="BV6" s="319">
        <f ca="1">IF($BI6&lt;&gt;"",IF('Capacity summary'!$D$14="Yes",IF(COUNTBLANK('Capacity summary'!$H125:$BG125)&lt;52,IF('Capacity summary'!S125&lt;&gt;"",$BI6*S6,0),S6*$BI6),S6*$BI6),0)</f>
        <v>5.1923076923076925</v>
      </c>
      <c r="BW6" s="319">
        <f ca="1">IF($BI6&lt;&gt;"",IF('Capacity summary'!$D$14="Yes",IF(COUNTBLANK('Capacity summary'!$H125:$BG125)&lt;52,IF('Capacity summary'!T125&lt;&gt;"",$BI6*T6,0),T6*$BI6),T6*$BI6),0)</f>
        <v>5.1923076923076925</v>
      </c>
      <c r="BX6" s="319">
        <f ca="1">IF($BI6&lt;&gt;"",IF('Capacity summary'!$D$14="Yes",IF(COUNTBLANK('Capacity summary'!$H125:$BG125)&lt;52,IF('Capacity summary'!U125&lt;&gt;"",$BI6*U6,0),U6*$BI6),U6*$BI6),0)</f>
        <v>5.1923076923076925</v>
      </c>
      <c r="BY6" s="319">
        <f ca="1">IF($BI6&lt;&gt;"",IF('Capacity summary'!$D$14="Yes",IF(COUNTBLANK('Capacity summary'!$H125:$BG125)&lt;52,IF('Capacity summary'!V125&lt;&gt;"",$BI6*V6,0),V6*$BI6),V6*$BI6),0)</f>
        <v>5.1923076923076925</v>
      </c>
      <c r="BZ6" s="319">
        <f ca="1">IF($BI6&lt;&gt;"",IF('Capacity summary'!$D$14="Yes",IF(COUNTBLANK('Capacity summary'!$H125:$BG125)&lt;52,IF('Capacity summary'!W125&lt;&gt;"",$BI6*W6,0),W6*$BI6),W6*$BI6),0)</f>
        <v>5.1923076923076925</v>
      </c>
      <c r="CA6" s="319">
        <f ca="1">IF($BI6&lt;&gt;"",IF('Capacity summary'!$D$14="Yes",IF(COUNTBLANK('Capacity summary'!$H125:$BG125)&lt;52,IF('Capacity summary'!X125&lt;&gt;"",$BI6*X6,0),X6*$BI6),X6*$BI6),0)</f>
        <v>5.1923076923076925</v>
      </c>
      <c r="CB6" s="319">
        <f ca="1">IF($BI6&lt;&gt;"",IF('Capacity summary'!$D$14="Yes",IF(COUNTBLANK('Capacity summary'!$H125:$BG125)&lt;52,IF('Capacity summary'!Y125&lt;&gt;"",$BI6*Y6,0),Y6*$BI6),Y6*$BI6),0)</f>
        <v>5.1923076923076925</v>
      </c>
      <c r="CC6" s="319">
        <f ca="1">IF($BI6&lt;&gt;"",IF('Capacity summary'!$D$14="Yes",IF(COUNTBLANK('Capacity summary'!$H125:$BG125)&lt;52,IF('Capacity summary'!Z125&lt;&gt;"",$BI6*Z6,0),Z6*$BI6),Z6*$BI6),0)</f>
        <v>5.1923076923076925</v>
      </c>
      <c r="CD6" s="319">
        <f ca="1">IF($BI6&lt;&gt;"",IF('Capacity summary'!$D$14="Yes",IF(COUNTBLANK('Capacity summary'!$H125:$BG125)&lt;52,IF('Capacity summary'!AA125&lt;&gt;"",$BI6*AA6,0),AA6*$BI6),AA6*$BI6),0)</f>
        <v>5.1923076923076925</v>
      </c>
      <c r="CE6" s="319">
        <f ca="1">IF($BI6&lt;&gt;"",IF('Capacity summary'!$D$14="Yes",IF(COUNTBLANK('Capacity summary'!$H125:$BG125)&lt;52,IF('Capacity summary'!AB125&lt;&gt;"",$BI6*AB6,0),AB6*$BI6),AB6*$BI6),0)</f>
        <v>5.1923076923076925</v>
      </c>
      <c r="CF6" s="319">
        <f ca="1">IF($BI6&lt;&gt;"",IF('Capacity summary'!$D$14="Yes",IF(COUNTBLANK('Capacity summary'!$H125:$BG125)&lt;52,IF('Capacity summary'!AC125&lt;&gt;"",$BI6*AC6,0),AC6*$BI6),AC6*$BI6),0)</f>
        <v>5.1923076923076925</v>
      </c>
      <c r="CG6" s="319">
        <f ca="1">IF($BI6&lt;&gt;"",IF('Capacity summary'!$D$14="Yes",IF(COUNTBLANK('Capacity summary'!$H125:$BG125)&lt;52,IF('Capacity summary'!AD125&lt;&gt;"",$BI6*AD6,0),AD6*$BI6),AD6*$BI6),0)</f>
        <v>5.1923076923076925</v>
      </c>
      <c r="CH6" s="319">
        <f ca="1">IF($BI6&lt;&gt;"",IF('Capacity summary'!$D$14="Yes",IF(COUNTBLANK('Capacity summary'!$H125:$BG125)&lt;52,IF('Capacity summary'!AE125&lt;&gt;"",$BI6*AE6,0),AE6*$BI6),AE6*$BI6),0)</f>
        <v>5.1923076923076925</v>
      </c>
      <c r="CI6" s="319">
        <f ca="1">IF($BI6&lt;&gt;"",IF('Capacity summary'!$D$14="Yes",IF(COUNTBLANK('Capacity summary'!$H125:$BG125)&lt;52,IF('Capacity summary'!AF125&lt;&gt;"",$BI6*AF6,0),AF6*$BI6),AF6*$BI6),0)</f>
        <v>5.1923076923076925</v>
      </c>
      <c r="CJ6" s="319">
        <f ca="1">IF($BI6&lt;&gt;"",IF('Capacity summary'!$D$14="Yes",IF(COUNTBLANK('Capacity summary'!$H125:$BG125)&lt;52,IF('Capacity summary'!AG125&lt;&gt;"",$BI6*AG6,0),AG6*$BI6),AG6*$BI6),0)</f>
        <v>5.1923076923076925</v>
      </c>
      <c r="CK6" s="319">
        <f ca="1">IF($BI6&lt;&gt;"",IF('Capacity summary'!$D$14="Yes",IF(COUNTBLANK('Capacity summary'!$H125:$BG125)&lt;52,IF('Capacity summary'!AH125&lt;&gt;"",$BI6*AH6,0),AH6*$BI6),AH6*$BI6),0)</f>
        <v>5.1923076923076925</v>
      </c>
      <c r="CL6" s="319">
        <f ca="1">IF($BI6&lt;&gt;"",IF('Capacity summary'!$D$14="Yes",IF(COUNTBLANK('Capacity summary'!$H125:$BG125)&lt;52,IF('Capacity summary'!AI125&lt;&gt;"",$BI6*AI6,0),AI6*$BI6),AI6*$BI6),0)</f>
        <v>5.1923076923076925</v>
      </c>
      <c r="CM6" s="319">
        <f ca="1">IF($BI6&lt;&gt;"",IF('Capacity summary'!$D$14="Yes",IF(COUNTBLANK('Capacity summary'!$H125:$BG125)&lt;52,IF('Capacity summary'!AJ125&lt;&gt;"",$BI6*AJ6,0),AJ6*$BI6),AJ6*$BI6),0)</f>
        <v>5.1923076923076925</v>
      </c>
      <c r="CN6" s="319">
        <f ca="1">IF($BI6&lt;&gt;"",IF('Capacity summary'!$D$14="Yes",IF(COUNTBLANK('Capacity summary'!$H125:$BG125)&lt;52,IF('Capacity summary'!AK125&lt;&gt;"",$BI6*AK6,0),AK6*$BI6),AK6*$BI6),0)</f>
        <v>5.1923076923076925</v>
      </c>
      <c r="CO6" s="319">
        <f ca="1">IF($BI6&lt;&gt;"",IF('Capacity summary'!$D$14="Yes",IF(COUNTBLANK('Capacity summary'!$H125:$BG125)&lt;52,IF('Capacity summary'!AL125&lt;&gt;"",$BI6*AL6,0),AL6*$BI6),AL6*$BI6),0)</f>
        <v>5.1923076923076925</v>
      </c>
      <c r="CP6" s="319">
        <f ca="1">IF($BI6&lt;&gt;"",IF('Capacity summary'!$D$14="Yes",IF(COUNTBLANK('Capacity summary'!$H125:$BG125)&lt;52,IF('Capacity summary'!AM125&lt;&gt;"",$BI6*AM6,0),AM6*$BI6),AM6*$BI6),0)</f>
        <v>5.1923076923076925</v>
      </c>
      <c r="CQ6" s="319">
        <f ca="1">IF($BI6&lt;&gt;"",IF('Capacity summary'!$D$14="Yes",IF(COUNTBLANK('Capacity summary'!$H125:$BG125)&lt;52,IF('Capacity summary'!AN125&lt;&gt;"",$BI6*AN6,0),AN6*$BI6),AN6*$BI6),0)</f>
        <v>5.1923076923076925</v>
      </c>
      <c r="CR6" s="319">
        <f ca="1">IF($BI6&lt;&gt;"",IF('Capacity summary'!$D$14="Yes",IF(COUNTBLANK('Capacity summary'!$H125:$BG125)&lt;52,IF('Capacity summary'!AO125&lt;&gt;"",$BI6*AO6,0),AO6*$BI6),AO6*$BI6),0)</f>
        <v>5.1923076923076925</v>
      </c>
      <c r="CS6" s="319">
        <f ca="1">IF($BI6&lt;&gt;"",IF('Capacity summary'!$D$14="Yes",IF(COUNTBLANK('Capacity summary'!$H125:$BG125)&lt;52,IF('Capacity summary'!AP125&lt;&gt;"",$BI6*AP6,0),AP6*$BI6),AP6*$BI6),0)</f>
        <v>5.1923076923076925</v>
      </c>
      <c r="CT6" s="319">
        <f ca="1">IF($BI6&lt;&gt;"",IF('Capacity summary'!$D$14="Yes",IF(COUNTBLANK('Capacity summary'!$H125:$BG125)&lt;52,IF('Capacity summary'!AQ125&lt;&gt;"",$BI6*AQ6,0),AQ6*$BI6),AQ6*$BI6),0)</f>
        <v>5.1923076923076925</v>
      </c>
      <c r="CU6" s="319">
        <f ca="1">IF($BI6&lt;&gt;"",IF('Capacity summary'!$D$14="Yes",IF(COUNTBLANK('Capacity summary'!$H125:$BG125)&lt;52,IF('Capacity summary'!AR125&lt;&gt;"",$BI6*AR6,0),AR6*$BI6),AR6*$BI6),0)</f>
        <v>5.1923076923076925</v>
      </c>
      <c r="CV6" s="319">
        <f ca="1">IF($BI6&lt;&gt;"",IF('Capacity summary'!$D$14="Yes",IF(COUNTBLANK('Capacity summary'!$H125:$BG125)&lt;52,IF('Capacity summary'!AS125&lt;&gt;"",$BI6*AS6,0),AS6*$BI6),AS6*$BI6),0)</f>
        <v>5.1923076923076925</v>
      </c>
      <c r="CW6" s="319">
        <f ca="1">IF($BI6&lt;&gt;"",IF('Capacity summary'!$D$14="Yes",IF(COUNTBLANK('Capacity summary'!$H125:$BG125)&lt;52,IF('Capacity summary'!AT125&lt;&gt;"",$BI6*AT6,0),AT6*$BI6),AT6*$BI6),0)</f>
        <v>5.1923076923076925</v>
      </c>
      <c r="CX6" s="319">
        <f ca="1">IF($BI6&lt;&gt;"",IF('Capacity summary'!$D$14="Yes",IF(COUNTBLANK('Capacity summary'!$H125:$BG125)&lt;52,IF('Capacity summary'!AU125&lt;&gt;"",$BI6*AU6,0),AU6*$BI6),AU6*$BI6),0)</f>
        <v>5.1923076923076925</v>
      </c>
      <c r="CY6" s="319">
        <f ca="1">IF($BI6&lt;&gt;"",IF('Capacity summary'!$D$14="Yes",IF(COUNTBLANK('Capacity summary'!$H125:$BG125)&lt;52,IF('Capacity summary'!AV125&lt;&gt;"",$BI6*AV6,0),AV6*$BI6),AV6*$BI6),0)</f>
        <v>5.1923076923076925</v>
      </c>
      <c r="CZ6" s="319">
        <f ca="1">IF($BI6&lt;&gt;"",IF('Capacity summary'!$D$14="Yes",IF(COUNTBLANK('Capacity summary'!$H125:$BG125)&lt;52,IF('Capacity summary'!AW125&lt;&gt;"",$BI6*AW6,0),AW6*$BI6),AW6*$BI6),0)</f>
        <v>5.1923076923076925</v>
      </c>
      <c r="DA6" s="319">
        <f ca="1">IF($BI6&lt;&gt;"",IF('Capacity summary'!$D$14="Yes",IF(COUNTBLANK('Capacity summary'!$H125:$BG125)&lt;52,IF('Capacity summary'!AX125&lt;&gt;"",$BI6*AX6,0),AX6*$BI6),AX6*$BI6),0)</f>
        <v>5.1923076923076925</v>
      </c>
      <c r="DB6" s="319">
        <f ca="1">IF($BI6&lt;&gt;"",IF('Capacity summary'!$D$14="Yes",IF(COUNTBLANK('Capacity summary'!$H125:$BG125)&lt;52,IF('Capacity summary'!AY125&lt;&gt;"",$BI6*AY6,0),AY6*$BI6),AY6*$BI6),0)</f>
        <v>5.1923076923076925</v>
      </c>
      <c r="DC6" s="319">
        <f ca="1">IF($BI6&lt;&gt;"",IF('Capacity summary'!$D$14="Yes",IF(COUNTBLANK('Capacity summary'!$H125:$BG125)&lt;52,IF('Capacity summary'!AZ125&lt;&gt;"",$BI6*AZ6,0),AZ6*$BI6),AZ6*$BI6),0)</f>
        <v>5.1923076923076925</v>
      </c>
      <c r="DD6" s="319">
        <f ca="1">IF($BI6&lt;&gt;"",IF('Capacity summary'!$D$14="Yes",IF(COUNTBLANK('Capacity summary'!$H125:$BG125)&lt;52,IF('Capacity summary'!BA125&lt;&gt;"",$BI6*BA6,0),BA6*$BI6),BA6*$BI6),0)</f>
        <v>5.1923076923076925</v>
      </c>
      <c r="DE6" s="319">
        <f ca="1">IF($BI6&lt;&gt;"",IF('Capacity summary'!$D$14="Yes",IF(COUNTBLANK('Capacity summary'!$H125:$BG125)&lt;52,IF('Capacity summary'!BB125&lt;&gt;"",$BI6*BB6,0),BB6*$BI6),BB6*$BI6),0)</f>
        <v>5.1923076923076925</v>
      </c>
      <c r="DF6" s="319">
        <f ca="1">IF($BI6&lt;&gt;"",IF('Capacity summary'!$D$14="Yes",IF(COUNTBLANK('Capacity summary'!$H125:$BG125)&lt;52,IF('Capacity summary'!BC125&lt;&gt;"",$BI6*BC6,0),BC6*$BI6),BC6*$BI6),0)</f>
        <v>5.1923076923076925</v>
      </c>
      <c r="DG6" s="319">
        <f ca="1">IF($BI6&lt;&gt;"",IF('Capacity summary'!$D$14="Yes",IF(COUNTBLANK('Capacity summary'!$H125:$BG125)&lt;52,IF('Capacity summary'!BD125&lt;&gt;"",$BI6*BD6,0),BD6*$BI6),BD6*$BI6),0)</f>
        <v>5.1923076923076925</v>
      </c>
      <c r="DH6" s="319">
        <f ca="1">IF($BI6&lt;&gt;"",IF('Capacity summary'!$D$14="Yes",IF(COUNTBLANK('Capacity summary'!$H125:$BG125)&lt;52,IF('Capacity summary'!BE125&lt;&gt;"",$BI6*BE6,0),BE6*$BI6),BE6*$BI6),0)</f>
        <v>5.1923076923076925</v>
      </c>
      <c r="DI6" s="319">
        <f ca="1">IF($BI6&lt;&gt;"",IF('Capacity summary'!$D$14="Yes",IF(COUNTBLANK('Capacity summary'!$H125:$BG125)&lt;52,IF('Capacity summary'!BF125&lt;&gt;"",$BI6*BF6,0),BF6*$BI6),BF6*$BI6),0)</f>
        <v>5.1923076923076925</v>
      </c>
      <c r="DJ6" s="319">
        <f ca="1">IF($BI6&lt;&gt;"",IF('Capacity summary'!$D$14="Yes",IF(COUNTBLANK('Capacity summary'!$H125:$BG125)&lt;52,IF('Capacity summary'!BG125&lt;&gt;"",$BI6*BG6,0),BG6*$BI6),BG6*$BI6),0)</f>
        <v>5.1923076923076925</v>
      </c>
      <c r="DK6" s="5">
        <f t="shared" ref="DK6:DK69" ca="1" si="2">SUM(BK6:DJ6)</f>
        <v>269.99999999999966</v>
      </c>
      <c r="DL6" s="5">
        <f>Capacity!H18</f>
        <v>270</v>
      </c>
      <c r="DP6" s="5"/>
    </row>
    <row r="7" spans="2:120" x14ac:dyDescent="0.2">
      <c r="B7" s="68"/>
      <c r="C7" s="68" t="str">
        <f>ROW(A3)&amp;". "&amp;Capacity!B19</f>
        <v>3. Core Clinic 3</v>
      </c>
      <c r="D7" s="68" t="str">
        <f>'Capacity setup'!C14</f>
        <v>2. Consultant: Ms Taylor</v>
      </c>
      <c r="E7" s="68" t="str">
        <f>'Capacity setup'!D14</f>
        <v>3. CT Scanner 1</v>
      </c>
      <c r="F7" s="68">
        <f>'Capacity setup'!E14</f>
        <v>0</v>
      </c>
      <c r="H7" s="68">
        <f ca="1">IF(AND(SUMIF(Capacity_Resource,$D7,'Critical resources (hide)'!U$6:U$105)+SUMIF(Capacity_Resource,$E7,'Critical resources (hide)'!U$6:U$105)+SUMIF(Capacity_Resource,$F7,'Critical resources (hide)'!U$6:U$105)&gt;0,$E$1=2),0,1)</f>
        <v>1</v>
      </c>
      <c r="I7" s="68">
        <f ca="1">IF(AND(SUMIF(Capacity_Resource,$D7,'Critical resources (hide)'!V$6:V$105)+SUMIF(Capacity_Resource,$E7,'Critical resources (hide)'!V$6:V$105)+SUMIF(Capacity_Resource,$F7,'Critical resources (hide)'!V$6:V$105)&gt;0,$E$1=2),0,1)</f>
        <v>1</v>
      </c>
      <c r="J7" s="68">
        <f ca="1">IF(AND(SUMIF(Capacity_Resource,$D7,'Critical resources (hide)'!W$6:W$105)+SUMIF(Capacity_Resource,$E7,'Critical resources (hide)'!W$6:W$105)+SUMIF(Capacity_Resource,$F7,'Critical resources (hide)'!W$6:W$105)&gt;0,$E$1=2),0,1)</f>
        <v>1</v>
      </c>
      <c r="K7" s="68">
        <f ca="1">IF(AND(SUMIF(Capacity_Resource,$D7,'Critical resources (hide)'!X$6:X$105)+SUMIF(Capacity_Resource,$E7,'Critical resources (hide)'!X$6:X$105)+SUMIF(Capacity_Resource,$F7,'Critical resources (hide)'!X$6:X$105)&gt;0,$E$1=2),0,1)</f>
        <v>1</v>
      </c>
      <c r="L7" s="68">
        <f ca="1">IF(AND(SUMIF(Capacity_Resource,$D7,'Critical resources (hide)'!Y$6:Y$105)+SUMIF(Capacity_Resource,$E7,'Critical resources (hide)'!Y$6:Y$105)+SUMIF(Capacity_Resource,$F7,'Critical resources (hide)'!Y$6:Y$105)&gt;0,$E$1=2),0,1)</f>
        <v>1</v>
      </c>
      <c r="M7" s="68">
        <f ca="1">IF(AND(SUMIF(Capacity_Resource,$D7,'Critical resources (hide)'!Z$6:Z$105)+SUMIF(Capacity_Resource,$E7,'Critical resources (hide)'!Z$6:Z$105)+SUMIF(Capacity_Resource,$F7,'Critical resources (hide)'!Z$6:Z$105)&gt;0,$E$1=2),0,1)</f>
        <v>1</v>
      </c>
      <c r="N7" s="68">
        <f ca="1">IF(AND(SUMIF(Capacity_Resource,$D7,'Critical resources (hide)'!AA$6:AA$105)+SUMIF(Capacity_Resource,$E7,'Critical resources (hide)'!AA$6:AA$105)+SUMIF(Capacity_Resource,$F7,'Critical resources (hide)'!AA$6:AA$105)&gt;0,$E$1=2),0,1)</f>
        <v>1</v>
      </c>
      <c r="O7" s="68">
        <f ca="1">IF(AND(SUMIF(Capacity_Resource,$D7,'Critical resources (hide)'!AB$6:AB$105)+SUMIF(Capacity_Resource,$E7,'Critical resources (hide)'!AB$6:AB$105)+SUMIF(Capacity_Resource,$F7,'Critical resources (hide)'!AB$6:AB$105)&gt;0,$E$1=2),0,1)</f>
        <v>1</v>
      </c>
      <c r="P7" s="68">
        <f ca="1">IF(AND(SUMIF(Capacity_Resource,$D7,'Critical resources (hide)'!AC$6:AC$105)+SUMIF(Capacity_Resource,$E7,'Critical resources (hide)'!AC$6:AC$105)+SUMIF(Capacity_Resource,$F7,'Critical resources (hide)'!AC$6:AC$105)&gt;0,$E$1=2),0,1)</f>
        <v>1</v>
      </c>
      <c r="Q7" s="68">
        <f ca="1">IF(AND(SUMIF(Capacity_Resource,$D7,'Critical resources (hide)'!AD$6:AD$105)+SUMIF(Capacity_Resource,$E7,'Critical resources (hide)'!AD$6:AD$105)+SUMIF(Capacity_Resource,$F7,'Critical resources (hide)'!AD$6:AD$105)&gt;0,$E$1=2),0,1)</f>
        <v>1</v>
      </c>
      <c r="R7" s="68">
        <f ca="1">IF(AND(SUMIF(Capacity_Resource,$D7,'Critical resources (hide)'!AE$6:AE$105)+SUMIF(Capacity_Resource,$E7,'Critical resources (hide)'!AE$6:AE$105)+SUMIF(Capacity_Resource,$F7,'Critical resources (hide)'!AE$6:AE$105)&gt;0,$E$1=2),0,1)</f>
        <v>1</v>
      </c>
      <c r="S7" s="68">
        <f ca="1">IF(AND(SUMIF(Capacity_Resource,$D7,'Critical resources (hide)'!AF$6:AF$105)+SUMIF(Capacity_Resource,$E7,'Critical resources (hide)'!AF$6:AF$105)+SUMIF(Capacity_Resource,$F7,'Critical resources (hide)'!AF$6:AF$105)&gt;0,$E$1=2),0,1)</f>
        <v>1</v>
      </c>
      <c r="T7" s="68">
        <f ca="1">IF(AND(SUMIF(Capacity_Resource,$D7,'Critical resources (hide)'!AG$6:AG$105)+SUMIF(Capacity_Resource,$E7,'Critical resources (hide)'!AG$6:AG$105)+SUMIF(Capacity_Resource,$F7,'Critical resources (hide)'!AG$6:AG$105)&gt;0,$E$1=2),0,1)</f>
        <v>1</v>
      </c>
      <c r="U7" s="68">
        <f ca="1">IF(AND(SUMIF(Capacity_Resource,$D7,'Critical resources (hide)'!AH$6:AH$105)+SUMIF(Capacity_Resource,$E7,'Critical resources (hide)'!AH$6:AH$105)+SUMIF(Capacity_Resource,$F7,'Critical resources (hide)'!AH$6:AH$105)&gt;0,$E$1=2),0,1)</f>
        <v>1</v>
      </c>
      <c r="V7" s="68">
        <f ca="1">IF(AND(SUMIF(Capacity_Resource,$D7,'Critical resources (hide)'!AI$6:AI$105)+SUMIF(Capacity_Resource,$E7,'Critical resources (hide)'!AI$6:AI$105)+SUMIF(Capacity_Resource,$F7,'Critical resources (hide)'!AI$6:AI$105)&gt;0,$E$1=2),0,1)</f>
        <v>1</v>
      </c>
      <c r="W7" s="68">
        <f ca="1">IF(AND(SUMIF(Capacity_Resource,$D7,'Critical resources (hide)'!AJ$6:AJ$105)+SUMIF(Capacity_Resource,$E7,'Critical resources (hide)'!AJ$6:AJ$105)+SUMIF(Capacity_Resource,$F7,'Critical resources (hide)'!AJ$6:AJ$105)&gt;0,$E$1=2),0,1)</f>
        <v>1</v>
      </c>
      <c r="X7" s="68">
        <f ca="1">IF(AND(SUMIF(Capacity_Resource,$D7,'Critical resources (hide)'!AK$6:AK$105)+SUMIF(Capacity_Resource,$E7,'Critical resources (hide)'!AK$6:AK$105)+SUMIF(Capacity_Resource,$F7,'Critical resources (hide)'!AK$6:AK$105)&gt;0,$E$1=2),0,1)</f>
        <v>1</v>
      </c>
      <c r="Y7" s="68">
        <f ca="1">IF(AND(SUMIF(Capacity_Resource,$D7,'Critical resources (hide)'!AL$6:AL$105)+SUMIF(Capacity_Resource,$E7,'Critical resources (hide)'!AL$6:AL$105)+SUMIF(Capacity_Resource,$F7,'Critical resources (hide)'!AL$6:AL$105)&gt;0,$E$1=2),0,1)</f>
        <v>1</v>
      </c>
      <c r="Z7" s="68">
        <f ca="1">IF(AND(SUMIF(Capacity_Resource,$D7,'Critical resources (hide)'!AM$6:AM$105)+SUMIF(Capacity_Resource,$E7,'Critical resources (hide)'!AM$6:AM$105)+SUMIF(Capacity_Resource,$F7,'Critical resources (hide)'!AM$6:AM$105)&gt;0,$E$1=2),0,1)</f>
        <v>1</v>
      </c>
      <c r="AA7" s="68">
        <f ca="1">IF(AND(SUMIF(Capacity_Resource,$D7,'Critical resources (hide)'!AN$6:AN$105)+SUMIF(Capacity_Resource,$E7,'Critical resources (hide)'!AN$6:AN$105)+SUMIF(Capacity_Resource,$F7,'Critical resources (hide)'!AN$6:AN$105)&gt;0,$E$1=2),0,1)</f>
        <v>1</v>
      </c>
      <c r="AB7" s="68">
        <f ca="1">IF(AND(SUMIF(Capacity_Resource,$D7,'Critical resources (hide)'!AO$6:AO$105)+SUMIF(Capacity_Resource,$E7,'Critical resources (hide)'!AO$6:AO$105)+SUMIF(Capacity_Resource,$F7,'Critical resources (hide)'!AO$6:AO$105)&gt;0,$E$1=2),0,1)</f>
        <v>1</v>
      </c>
      <c r="AC7" s="68">
        <f ca="1">IF(AND(SUMIF(Capacity_Resource,$D7,'Critical resources (hide)'!AP$6:AP$105)+SUMIF(Capacity_Resource,$E7,'Critical resources (hide)'!AP$6:AP$105)+SUMIF(Capacity_Resource,$F7,'Critical resources (hide)'!AP$6:AP$105)&gt;0,$E$1=2),0,1)</f>
        <v>1</v>
      </c>
      <c r="AD7" s="68">
        <f ca="1">IF(AND(SUMIF(Capacity_Resource,$D7,'Critical resources (hide)'!AQ$6:AQ$105)+SUMIF(Capacity_Resource,$E7,'Critical resources (hide)'!AQ$6:AQ$105)+SUMIF(Capacity_Resource,$F7,'Critical resources (hide)'!AQ$6:AQ$105)&gt;0,$E$1=2),0,1)</f>
        <v>1</v>
      </c>
      <c r="AE7" s="68">
        <f ca="1">IF(AND(SUMIF(Capacity_Resource,$D7,'Critical resources (hide)'!AR$6:AR$105)+SUMIF(Capacity_Resource,$E7,'Critical resources (hide)'!AR$6:AR$105)+SUMIF(Capacity_Resource,$F7,'Critical resources (hide)'!AR$6:AR$105)&gt;0,$E$1=2),0,1)</f>
        <v>1</v>
      </c>
      <c r="AF7" s="68">
        <f ca="1">IF(AND(SUMIF(Capacity_Resource,$D7,'Critical resources (hide)'!AS$6:AS$105)+SUMIF(Capacity_Resource,$E7,'Critical resources (hide)'!AS$6:AS$105)+SUMIF(Capacity_Resource,$F7,'Critical resources (hide)'!AS$6:AS$105)&gt;0,$E$1=2),0,1)</f>
        <v>1</v>
      </c>
      <c r="AG7" s="68">
        <f ca="1">IF(AND(SUMIF(Capacity_Resource,$D7,'Critical resources (hide)'!AT$6:AT$105)+SUMIF(Capacity_Resource,$E7,'Critical resources (hide)'!AT$6:AT$105)+SUMIF(Capacity_Resource,$F7,'Critical resources (hide)'!AT$6:AT$105)&gt;0,$E$1=2),0,1)</f>
        <v>1</v>
      </c>
      <c r="AH7" s="68">
        <f ca="1">IF(AND(SUMIF(Capacity_Resource,$D7,'Critical resources (hide)'!AU$6:AU$105)+SUMIF(Capacity_Resource,$E7,'Critical resources (hide)'!AU$6:AU$105)+SUMIF(Capacity_Resource,$F7,'Critical resources (hide)'!AU$6:AU$105)&gt;0,$E$1=2),0,1)</f>
        <v>1</v>
      </c>
      <c r="AI7" s="68">
        <f ca="1">IF(AND(SUMIF(Capacity_Resource,$D7,'Critical resources (hide)'!AV$6:AV$105)+SUMIF(Capacity_Resource,$E7,'Critical resources (hide)'!AV$6:AV$105)+SUMIF(Capacity_Resource,$F7,'Critical resources (hide)'!AV$6:AV$105)&gt;0,$E$1=2),0,1)</f>
        <v>1</v>
      </c>
      <c r="AJ7" s="68">
        <f ca="1">IF(AND(SUMIF(Capacity_Resource,$D7,'Critical resources (hide)'!AW$6:AW$105)+SUMIF(Capacity_Resource,$E7,'Critical resources (hide)'!AW$6:AW$105)+SUMIF(Capacity_Resource,$F7,'Critical resources (hide)'!AW$6:AW$105)&gt;0,$E$1=2),0,1)</f>
        <v>1</v>
      </c>
      <c r="AK7" s="68">
        <f ca="1">IF(AND(SUMIF(Capacity_Resource,$D7,'Critical resources (hide)'!AX$6:AX$105)+SUMIF(Capacity_Resource,$E7,'Critical resources (hide)'!AX$6:AX$105)+SUMIF(Capacity_Resource,$F7,'Critical resources (hide)'!AX$6:AX$105)&gt;0,$E$1=2),0,1)</f>
        <v>1</v>
      </c>
      <c r="AL7" s="68">
        <f ca="1">IF(AND(SUMIF(Capacity_Resource,$D7,'Critical resources (hide)'!AY$6:AY$105)+SUMIF(Capacity_Resource,$E7,'Critical resources (hide)'!AY$6:AY$105)+SUMIF(Capacity_Resource,$F7,'Critical resources (hide)'!AY$6:AY$105)&gt;0,$E$1=2),0,1)</f>
        <v>1</v>
      </c>
      <c r="AM7" s="68">
        <f ca="1">IF(AND(SUMIF(Capacity_Resource,$D7,'Critical resources (hide)'!AZ$6:AZ$105)+SUMIF(Capacity_Resource,$E7,'Critical resources (hide)'!AZ$6:AZ$105)+SUMIF(Capacity_Resource,$F7,'Critical resources (hide)'!AZ$6:AZ$105)&gt;0,$E$1=2),0,1)</f>
        <v>1</v>
      </c>
      <c r="AN7" s="68">
        <f ca="1">IF(AND(SUMIF(Capacity_Resource,$D7,'Critical resources (hide)'!BA$6:BA$105)+SUMIF(Capacity_Resource,$E7,'Critical resources (hide)'!BA$6:BA$105)+SUMIF(Capacity_Resource,$F7,'Critical resources (hide)'!BA$6:BA$105)&gt;0,$E$1=2),0,1)</f>
        <v>1</v>
      </c>
      <c r="AO7" s="68">
        <f ca="1">IF(AND(SUMIF(Capacity_Resource,$D7,'Critical resources (hide)'!BB$6:BB$105)+SUMIF(Capacity_Resource,$E7,'Critical resources (hide)'!BB$6:BB$105)+SUMIF(Capacity_Resource,$F7,'Critical resources (hide)'!BB$6:BB$105)&gt;0,$E$1=2),0,1)</f>
        <v>1</v>
      </c>
      <c r="AP7" s="68">
        <f ca="1">IF(AND(SUMIF(Capacity_Resource,$D7,'Critical resources (hide)'!BC$6:BC$105)+SUMIF(Capacity_Resource,$E7,'Critical resources (hide)'!BC$6:BC$105)+SUMIF(Capacity_Resource,$F7,'Critical resources (hide)'!BC$6:BC$105)&gt;0,$E$1=2),0,1)</f>
        <v>1</v>
      </c>
      <c r="AQ7" s="68">
        <f ca="1">IF(AND(SUMIF(Capacity_Resource,$D7,'Critical resources (hide)'!BD$6:BD$105)+SUMIF(Capacity_Resource,$E7,'Critical resources (hide)'!BD$6:BD$105)+SUMIF(Capacity_Resource,$F7,'Critical resources (hide)'!BD$6:BD$105)&gt;0,$E$1=2),0,1)</f>
        <v>1</v>
      </c>
      <c r="AR7" s="68">
        <f ca="1">IF(AND(SUMIF(Capacity_Resource,$D7,'Critical resources (hide)'!BE$6:BE$105)+SUMIF(Capacity_Resource,$E7,'Critical resources (hide)'!BE$6:BE$105)+SUMIF(Capacity_Resource,$F7,'Critical resources (hide)'!BE$6:BE$105)&gt;0,$E$1=2),0,1)</f>
        <v>1</v>
      </c>
      <c r="AS7" s="68">
        <f ca="1">IF(AND(SUMIF(Capacity_Resource,$D7,'Critical resources (hide)'!BF$6:BF$105)+SUMIF(Capacity_Resource,$E7,'Critical resources (hide)'!BF$6:BF$105)+SUMIF(Capacity_Resource,$F7,'Critical resources (hide)'!BF$6:BF$105)&gt;0,$E$1=2),0,1)</f>
        <v>1</v>
      </c>
      <c r="AT7" s="68">
        <f ca="1">IF(AND(SUMIF(Capacity_Resource,$D7,'Critical resources (hide)'!BG$6:BG$105)+SUMIF(Capacity_Resource,$E7,'Critical resources (hide)'!BG$6:BG$105)+SUMIF(Capacity_Resource,$F7,'Critical resources (hide)'!BG$6:BG$105)&gt;0,$E$1=2),0,1)</f>
        <v>1</v>
      </c>
      <c r="AU7" s="68">
        <f ca="1">IF(AND(SUMIF(Capacity_Resource,$D7,'Critical resources (hide)'!BH$6:BH$105)+SUMIF(Capacity_Resource,$E7,'Critical resources (hide)'!BH$6:BH$105)+SUMIF(Capacity_Resource,$F7,'Critical resources (hide)'!BH$6:BH$105)&gt;0,$E$1=2),0,1)</f>
        <v>1</v>
      </c>
      <c r="AV7" s="68">
        <f ca="1">IF(AND(SUMIF(Capacity_Resource,$D7,'Critical resources (hide)'!BI$6:BI$105)+SUMIF(Capacity_Resource,$E7,'Critical resources (hide)'!BI$6:BI$105)+SUMIF(Capacity_Resource,$F7,'Critical resources (hide)'!BI$6:BI$105)&gt;0,$E$1=2),0,1)</f>
        <v>1</v>
      </c>
      <c r="AW7" s="68">
        <f ca="1">IF(AND(SUMIF(Capacity_Resource,$D7,'Critical resources (hide)'!BJ$6:BJ$105)+SUMIF(Capacity_Resource,$E7,'Critical resources (hide)'!BJ$6:BJ$105)+SUMIF(Capacity_Resource,$F7,'Critical resources (hide)'!BJ$6:BJ$105)&gt;0,$E$1=2),0,1)</f>
        <v>1</v>
      </c>
      <c r="AX7" s="68">
        <f ca="1">IF(AND(SUMIF(Capacity_Resource,$D7,'Critical resources (hide)'!BK$6:BK$105)+SUMIF(Capacity_Resource,$E7,'Critical resources (hide)'!BK$6:BK$105)+SUMIF(Capacity_Resource,$F7,'Critical resources (hide)'!BK$6:BK$105)&gt;0,$E$1=2),0,1)</f>
        <v>1</v>
      </c>
      <c r="AY7" s="68">
        <f ca="1">IF(AND(SUMIF(Capacity_Resource,$D7,'Critical resources (hide)'!BL$6:BL$105)+SUMIF(Capacity_Resource,$E7,'Critical resources (hide)'!BL$6:BL$105)+SUMIF(Capacity_Resource,$F7,'Critical resources (hide)'!BL$6:BL$105)&gt;0,$E$1=2),0,1)</f>
        <v>1</v>
      </c>
      <c r="AZ7" s="68">
        <f ca="1">IF(AND(SUMIF(Capacity_Resource,$D7,'Critical resources (hide)'!BM$6:BM$105)+SUMIF(Capacity_Resource,$E7,'Critical resources (hide)'!BM$6:BM$105)+SUMIF(Capacity_Resource,$F7,'Critical resources (hide)'!BM$6:BM$105)&gt;0,$E$1=2),0,1)</f>
        <v>1</v>
      </c>
      <c r="BA7" s="68">
        <f ca="1">IF(AND(SUMIF(Capacity_Resource,$D7,'Critical resources (hide)'!BN$6:BN$105)+SUMIF(Capacity_Resource,$E7,'Critical resources (hide)'!BN$6:BN$105)+SUMIF(Capacity_Resource,$F7,'Critical resources (hide)'!BN$6:BN$105)&gt;0,$E$1=2),0,1)</f>
        <v>1</v>
      </c>
      <c r="BB7" s="68">
        <f ca="1">IF(AND(SUMIF(Capacity_Resource,$D7,'Critical resources (hide)'!BO$6:BO$105)+SUMIF(Capacity_Resource,$E7,'Critical resources (hide)'!BO$6:BO$105)+SUMIF(Capacity_Resource,$F7,'Critical resources (hide)'!BO$6:BO$105)&gt;0,$E$1=2),0,1)</f>
        <v>1</v>
      </c>
      <c r="BC7" s="68">
        <f ca="1">IF(AND(SUMIF(Capacity_Resource,$D7,'Critical resources (hide)'!BP$6:BP$105)+SUMIF(Capacity_Resource,$E7,'Critical resources (hide)'!BP$6:BP$105)+SUMIF(Capacity_Resource,$F7,'Critical resources (hide)'!BP$6:BP$105)&gt;0,$E$1=2),0,1)</f>
        <v>1</v>
      </c>
      <c r="BD7" s="68">
        <f ca="1">IF(AND(SUMIF(Capacity_Resource,$D7,'Critical resources (hide)'!BQ$6:BQ$105)+SUMIF(Capacity_Resource,$E7,'Critical resources (hide)'!BQ$6:BQ$105)+SUMIF(Capacity_Resource,$F7,'Critical resources (hide)'!BQ$6:BQ$105)&gt;0,$E$1=2),0,1)</f>
        <v>1</v>
      </c>
      <c r="BE7" s="68">
        <f ca="1">IF(AND(SUMIF(Capacity_Resource,$D7,'Critical resources (hide)'!BR$6:BR$105)+SUMIF(Capacity_Resource,$E7,'Critical resources (hide)'!BR$6:BR$105)+SUMIF(Capacity_Resource,$F7,'Critical resources (hide)'!BR$6:BR$105)&gt;0,$E$1=2),0,1)</f>
        <v>1</v>
      </c>
      <c r="BF7" s="68">
        <f ca="1">IF(AND(SUMIF(Capacity_Resource,$D7,'Critical resources (hide)'!BS$6:BS$105)+SUMIF(Capacity_Resource,$E7,'Critical resources (hide)'!BS$6:BS$105)+SUMIF(Capacity_Resource,$F7,'Critical resources (hide)'!BS$6:BS$105)&gt;0,$E$1=2),0,1)</f>
        <v>1</v>
      </c>
      <c r="BG7" s="68">
        <f ca="1">IF(AND(SUMIF(Capacity_Resource,$D7,'Critical resources (hide)'!BT$6:BT$105)+SUMIF(Capacity_Resource,$E7,'Critical resources (hide)'!BT$6:BT$105)+SUMIF(Capacity_Resource,$F7,'Critical resources (hide)'!BT$6:BT$105)&gt;0,$E$1=2),0,1)</f>
        <v>1</v>
      </c>
      <c r="BH7" s="68">
        <f ca="1">IF(ROW(C3)&lt;=Capacity!$A$16,IF('Capacity summary'!$D$14="No",SUM(H7:BG7),'Capacity summary'!$E126),0)</f>
        <v>52</v>
      </c>
      <c r="BI7" s="5">
        <f ca="1">IF(BH7&gt;0,IF(BH7&lt;Capacity!E19,Capacity!F19,Capacity!H19/'Capacity calculation (hide)'!BH7),"")</f>
        <v>2.4230769230769229</v>
      </c>
      <c r="BK7" s="319">
        <f ca="1">IF($BI7&lt;&gt;"",IF('Capacity summary'!$D$14="Yes",IF(COUNTBLANK('Capacity summary'!$H126:$BG126)&lt;52,IF('Capacity summary'!H126&lt;&gt;"",$BI7*H7,0),H7*$BI7),H7*$BI7),0)</f>
        <v>2.4230769230769229</v>
      </c>
      <c r="BL7" s="319">
        <f ca="1">IF($BI7&lt;&gt;"",IF('Capacity summary'!$D$14="Yes",IF(COUNTBLANK('Capacity summary'!$H126:$BG126)&lt;52,IF('Capacity summary'!I126&lt;&gt;"",$BI7*I7,0),I7*$BI7),I7*$BI7),0)</f>
        <v>2.4230769230769229</v>
      </c>
      <c r="BM7" s="319">
        <f ca="1">IF($BI7&lt;&gt;"",IF('Capacity summary'!$D$14="Yes",IF(COUNTBLANK('Capacity summary'!$H126:$BG126)&lt;52,IF('Capacity summary'!J126&lt;&gt;"",$BI7*J7,0),J7*$BI7),J7*$BI7),0)</f>
        <v>2.4230769230769229</v>
      </c>
      <c r="BN7" s="319">
        <f ca="1">IF($BI7&lt;&gt;"",IF('Capacity summary'!$D$14="Yes",IF(COUNTBLANK('Capacity summary'!$H126:$BG126)&lt;52,IF('Capacity summary'!K126&lt;&gt;"",$BI7*K7,0),K7*$BI7),K7*$BI7),0)</f>
        <v>2.4230769230769229</v>
      </c>
      <c r="BO7" s="319">
        <f ca="1">IF($BI7&lt;&gt;"",IF('Capacity summary'!$D$14="Yes",IF(COUNTBLANK('Capacity summary'!$H126:$BG126)&lt;52,IF('Capacity summary'!L126&lt;&gt;"",$BI7*L7,0),L7*$BI7),L7*$BI7),0)</f>
        <v>2.4230769230769229</v>
      </c>
      <c r="BP7" s="319">
        <f ca="1">IF($BI7&lt;&gt;"",IF('Capacity summary'!$D$14="Yes",IF(COUNTBLANK('Capacity summary'!$H126:$BG126)&lt;52,IF('Capacity summary'!M126&lt;&gt;"",$BI7*M7,0),M7*$BI7),M7*$BI7),0)</f>
        <v>2.4230769230769229</v>
      </c>
      <c r="BQ7" s="319">
        <f ca="1">IF($BI7&lt;&gt;"",IF('Capacity summary'!$D$14="Yes",IF(COUNTBLANK('Capacity summary'!$H126:$BG126)&lt;52,IF('Capacity summary'!N126&lt;&gt;"",$BI7*N7,0),N7*$BI7),N7*$BI7),0)</f>
        <v>2.4230769230769229</v>
      </c>
      <c r="BR7" s="319">
        <f ca="1">IF($BI7&lt;&gt;"",IF('Capacity summary'!$D$14="Yes",IF(COUNTBLANK('Capacity summary'!$H126:$BG126)&lt;52,IF('Capacity summary'!O126&lt;&gt;"",$BI7*O7,0),O7*$BI7),O7*$BI7),0)</f>
        <v>2.4230769230769229</v>
      </c>
      <c r="BS7" s="319">
        <f ca="1">IF($BI7&lt;&gt;"",IF('Capacity summary'!$D$14="Yes",IF(COUNTBLANK('Capacity summary'!$H126:$BG126)&lt;52,IF('Capacity summary'!P126&lt;&gt;"",$BI7*P7,0),P7*$BI7),P7*$BI7),0)</f>
        <v>2.4230769230769229</v>
      </c>
      <c r="BT7" s="319">
        <f ca="1">IF($BI7&lt;&gt;"",IF('Capacity summary'!$D$14="Yes",IF(COUNTBLANK('Capacity summary'!$H126:$BG126)&lt;52,IF('Capacity summary'!Q126&lt;&gt;"",$BI7*Q7,0),Q7*$BI7),Q7*$BI7),0)</f>
        <v>2.4230769230769229</v>
      </c>
      <c r="BU7" s="319">
        <f ca="1">IF($BI7&lt;&gt;"",IF('Capacity summary'!$D$14="Yes",IF(COUNTBLANK('Capacity summary'!$H126:$BG126)&lt;52,IF('Capacity summary'!R126&lt;&gt;"",$BI7*R7,0),R7*$BI7),R7*$BI7),0)</f>
        <v>2.4230769230769229</v>
      </c>
      <c r="BV7" s="319">
        <f ca="1">IF($BI7&lt;&gt;"",IF('Capacity summary'!$D$14="Yes",IF(COUNTBLANK('Capacity summary'!$H126:$BG126)&lt;52,IF('Capacity summary'!S126&lt;&gt;"",$BI7*S7,0),S7*$BI7),S7*$BI7),0)</f>
        <v>2.4230769230769229</v>
      </c>
      <c r="BW7" s="319">
        <f ca="1">IF($BI7&lt;&gt;"",IF('Capacity summary'!$D$14="Yes",IF(COUNTBLANK('Capacity summary'!$H126:$BG126)&lt;52,IF('Capacity summary'!T126&lt;&gt;"",$BI7*T7,0),T7*$BI7),T7*$BI7),0)</f>
        <v>2.4230769230769229</v>
      </c>
      <c r="BX7" s="319">
        <f ca="1">IF($BI7&lt;&gt;"",IF('Capacity summary'!$D$14="Yes",IF(COUNTBLANK('Capacity summary'!$H126:$BG126)&lt;52,IF('Capacity summary'!U126&lt;&gt;"",$BI7*U7,0),U7*$BI7),U7*$BI7),0)</f>
        <v>2.4230769230769229</v>
      </c>
      <c r="BY7" s="319">
        <f ca="1">IF($BI7&lt;&gt;"",IF('Capacity summary'!$D$14="Yes",IF(COUNTBLANK('Capacity summary'!$H126:$BG126)&lt;52,IF('Capacity summary'!V126&lt;&gt;"",$BI7*V7,0),V7*$BI7),V7*$BI7),0)</f>
        <v>2.4230769230769229</v>
      </c>
      <c r="BZ7" s="319">
        <f ca="1">IF($BI7&lt;&gt;"",IF('Capacity summary'!$D$14="Yes",IF(COUNTBLANK('Capacity summary'!$H126:$BG126)&lt;52,IF('Capacity summary'!W126&lt;&gt;"",$BI7*W7,0),W7*$BI7),W7*$BI7),0)</f>
        <v>2.4230769230769229</v>
      </c>
      <c r="CA7" s="319">
        <f ca="1">IF($BI7&lt;&gt;"",IF('Capacity summary'!$D$14="Yes",IF(COUNTBLANK('Capacity summary'!$H126:$BG126)&lt;52,IF('Capacity summary'!X126&lt;&gt;"",$BI7*X7,0),X7*$BI7),X7*$BI7),0)</f>
        <v>2.4230769230769229</v>
      </c>
      <c r="CB7" s="319">
        <f ca="1">IF($BI7&lt;&gt;"",IF('Capacity summary'!$D$14="Yes",IF(COUNTBLANK('Capacity summary'!$H126:$BG126)&lt;52,IF('Capacity summary'!Y126&lt;&gt;"",$BI7*Y7,0),Y7*$BI7),Y7*$BI7),0)</f>
        <v>2.4230769230769229</v>
      </c>
      <c r="CC7" s="319">
        <f ca="1">IF($BI7&lt;&gt;"",IF('Capacity summary'!$D$14="Yes",IF(COUNTBLANK('Capacity summary'!$H126:$BG126)&lt;52,IF('Capacity summary'!Z126&lt;&gt;"",$BI7*Z7,0),Z7*$BI7),Z7*$BI7),0)</f>
        <v>2.4230769230769229</v>
      </c>
      <c r="CD7" s="319">
        <f ca="1">IF($BI7&lt;&gt;"",IF('Capacity summary'!$D$14="Yes",IF(COUNTBLANK('Capacity summary'!$H126:$BG126)&lt;52,IF('Capacity summary'!AA126&lt;&gt;"",$BI7*AA7,0),AA7*$BI7),AA7*$BI7),0)</f>
        <v>2.4230769230769229</v>
      </c>
      <c r="CE7" s="319">
        <f ca="1">IF($BI7&lt;&gt;"",IF('Capacity summary'!$D$14="Yes",IF(COUNTBLANK('Capacity summary'!$H126:$BG126)&lt;52,IF('Capacity summary'!AB126&lt;&gt;"",$BI7*AB7,0),AB7*$BI7),AB7*$BI7),0)</f>
        <v>2.4230769230769229</v>
      </c>
      <c r="CF7" s="319">
        <f ca="1">IF($BI7&lt;&gt;"",IF('Capacity summary'!$D$14="Yes",IF(COUNTBLANK('Capacity summary'!$H126:$BG126)&lt;52,IF('Capacity summary'!AC126&lt;&gt;"",$BI7*AC7,0),AC7*$BI7),AC7*$BI7),0)</f>
        <v>2.4230769230769229</v>
      </c>
      <c r="CG7" s="319">
        <f ca="1">IF($BI7&lt;&gt;"",IF('Capacity summary'!$D$14="Yes",IF(COUNTBLANK('Capacity summary'!$H126:$BG126)&lt;52,IF('Capacity summary'!AD126&lt;&gt;"",$BI7*AD7,0),AD7*$BI7),AD7*$BI7),0)</f>
        <v>2.4230769230769229</v>
      </c>
      <c r="CH7" s="319">
        <f ca="1">IF($BI7&lt;&gt;"",IF('Capacity summary'!$D$14="Yes",IF(COUNTBLANK('Capacity summary'!$H126:$BG126)&lt;52,IF('Capacity summary'!AE126&lt;&gt;"",$BI7*AE7,0),AE7*$BI7),AE7*$BI7),0)</f>
        <v>2.4230769230769229</v>
      </c>
      <c r="CI7" s="319">
        <f ca="1">IF($BI7&lt;&gt;"",IF('Capacity summary'!$D$14="Yes",IF(COUNTBLANK('Capacity summary'!$H126:$BG126)&lt;52,IF('Capacity summary'!AF126&lt;&gt;"",$BI7*AF7,0),AF7*$BI7),AF7*$BI7),0)</f>
        <v>2.4230769230769229</v>
      </c>
      <c r="CJ7" s="319">
        <f ca="1">IF($BI7&lt;&gt;"",IF('Capacity summary'!$D$14="Yes",IF(COUNTBLANK('Capacity summary'!$H126:$BG126)&lt;52,IF('Capacity summary'!AG126&lt;&gt;"",$BI7*AG7,0),AG7*$BI7),AG7*$BI7),0)</f>
        <v>2.4230769230769229</v>
      </c>
      <c r="CK7" s="319">
        <f ca="1">IF($BI7&lt;&gt;"",IF('Capacity summary'!$D$14="Yes",IF(COUNTBLANK('Capacity summary'!$H126:$BG126)&lt;52,IF('Capacity summary'!AH126&lt;&gt;"",$BI7*AH7,0),AH7*$BI7),AH7*$BI7),0)</f>
        <v>2.4230769230769229</v>
      </c>
      <c r="CL7" s="319">
        <f ca="1">IF($BI7&lt;&gt;"",IF('Capacity summary'!$D$14="Yes",IF(COUNTBLANK('Capacity summary'!$H126:$BG126)&lt;52,IF('Capacity summary'!AI126&lt;&gt;"",$BI7*AI7,0),AI7*$BI7),AI7*$BI7),0)</f>
        <v>2.4230769230769229</v>
      </c>
      <c r="CM7" s="319">
        <f ca="1">IF($BI7&lt;&gt;"",IF('Capacity summary'!$D$14="Yes",IF(COUNTBLANK('Capacity summary'!$H126:$BG126)&lt;52,IF('Capacity summary'!AJ126&lt;&gt;"",$BI7*AJ7,0),AJ7*$BI7),AJ7*$BI7),0)</f>
        <v>2.4230769230769229</v>
      </c>
      <c r="CN7" s="319">
        <f ca="1">IF($BI7&lt;&gt;"",IF('Capacity summary'!$D$14="Yes",IF(COUNTBLANK('Capacity summary'!$H126:$BG126)&lt;52,IF('Capacity summary'!AK126&lt;&gt;"",$BI7*AK7,0),AK7*$BI7),AK7*$BI7),0)</f>
        <v>2.4230769230769229</v>
      </c>
      <c r="CO7" s="319">
        <f ca="1">IF($BI7&lt;&gt;"",IF('Capacity summary'!$D$14="Yes",IF(COUNTBLANK('Capacity summary'!$H126:$BG126)&lt;52,IF('Capacity summary'!AL126&lt;&gt;"",$BI7*AL7,0),AL7*$BI7),AL7*$BI7),0)</f>
        <v>2.4230769230769229</v>
      </c>
      <c r="CP7" s="319">
        <f ca="1">IF($BI7&lt;&gt;"",IF('Capacity summary'!$D$14="Yes",IF(COUNTBLANK('Capacity summary'!$H126:$BG126)&lt;52,IF('Capacity summary'!AM126&lt;&gt;"",$BI7*AM7,0),AM7*$BI7),AM7*$BI7),0)</f>
        <v>2.4230769230769229</v>
      </c>
      <c r="CQ7" s="319">
        <f ca="1">IF($BI7&lt;&gt;"",IF('Capacity summary'!$D$14="Yes",IF(COUNTBLANK('Capacity summary'!$H126:$BG126)&lt;52,IF('Capacity summary'!AN126&lt;&gt;"",$BI7*AN7,0),AN7*$BI7),AN7*$BI7),0)</f>
        <v>2.4230769230769229</v>
      </c>
      <c r="CR7" s="319">
        <f ca="1">IF($BI7&lt;&gt;"",IF('Capacity summary'!$D$14="Yes",IF(COUNTBLANK('Capacity summary'!$H126:$BG126)&lt;52,IF('Capacity summary'!AO126&lt;&gt;"",$BI7*AO7,0),AO7*$BI7),AO7*$BI7),0)</f>
        <v>2.4230769230769229</v>
      </c>
      <c r="CS7" s="319">
        <f ca="1">IF($BI7&lt;&gt;"",IF('Capacity summary'!$D$14="Yes",IF(COUNTBLANK('Capacity summary'!$H126:$BG126)&lt;52,IF('Capacity summary'!AP126&lt;&gt;"",$BI7*AP7,0),AP7*$BI7),AP7*$BI7),0)</f>
        <v>2.4230769230769229</v>
      </c>
      <c r="CT7" s="319">
        <f ca="1">IF($BI7&lt;&gt;"",IF('Capacity summary'!$D$14="Yes",IF(COUNTBLANK('Capacity summary'!$H126:$BG126)&lt;52,IF('Capacity summary'!AQ126&lt;&gt;"",$BI7*AQ7,0),AQ7*$BI7),AQ7*$BI7),0)</f>
        <v>2.4230769230769229</v>
      </c>
      <c r="CU7" s="319">
        <f ca="1">IF($BI7&lt;&gt;"",IF('Capacity summary'!$D$14="Yes",IF(COUNTBLANK('Capacity summary'!$H126:$BG126)&lt;52,IF('Capacity summary'!AR126&lt;&gt;"",$BI7*AR7,0),AR7*$BI7),AR7*$BI7),0)</f>
        <v>2.4230769230769229</v>
      </c>
      <c r="CV7" s="319">
        <f ca="1">IF($BI7&lt;&gt;"",IF('Capacity summary'!$D$14="Yes",IF(COUNTBLANK('Capacity summary'!$H126:$BG126)&lt;52,IF('Capacity summary'!AS126&lt;&gt;"",$BI7*AS7,0),AS7*$BI7),AS7*$BI7),0)</f>
        <v>2.4230769230769229</v>
      </c>
      <c r="CW7" s="319">
        <f ca="1">IF($BI7&lt;&gt;"",IF('Capacity summary'!$D$14="Yes",IF(COUNTBLANK('Capacity summary'!$H126:$BG126)&lt;52,IF('Capacity summary'!AT126&lt;&gt;"",$BI7*AT7,0),AT7*$BI7),AT7*$BI7),0)</f>
        <v>2.4230769230769229</v>
      </c>
      <c r="CX7" s="319">
        <f ca="1">IF($BI7&lt;&gt;"",IF('Capacity summary'!$D$14="Yes",IF(COUNTBLANK('Capacity summary'!$H126:$BG126)&lt;52,IF('Capacity summary'!AU126&lt;&gt;"",$BI7*AU7,0),AU7*$BI7),AU7*$BI7),0)</f>
        <v>2.4230769230769229</v>
      </c>
      <c r="CY7" s="319">
        <f ca="1">IF($BI7&lt;&gt;"",IF('Capacity summary'!$D$14="Yes",IF(COUNTBLANK('Capacity summary'!$H126:$BG126)&lt;52,IF('Capacity summary'!AV126&lt;&gt;"",$BI7*AV7,0),AV7*$BI7),AV7*$BI7),0)</f>
        <v>2.4230769230769229</v>
      </c>
      <c r="CZ7" s="319">
        <f ca="1">IF($BI7&lt;&gt;"",IF('Capacity summary'!$D$14="Yes",IF(COUNTBLANK('Capacity summary'!$H126:$BG126)&lt;52,IF('Capacity summary'!AW126&lt;&gt;"",$BI7*AW7,0),AW7*$BI7),AW7*$BI7),0)</f>
        <v>2.4230769230769229</v>
      </c>
      <c r="DA7" s="319">
        <f ca="1">IF($BI7&lt;&gt;"",IF('Capacity summary'!$D$14="Yes",IF(COUNTBLANK('Capacity summary'!$H126:$BG126)&lt;52,IF('Capacity summary'!AX126&lt;&gt;"",$BI7*AX7,0),AX7*$BI7),AX7*$BI7),0)</f>
        <v>2.4230769230769229</v>
      </c>
      <c r="DB7" s="319">
        <f ca="1">IF($BI7&lt;&gt;"",IF('Capacity summary'!$D$14="Yes",IF(COUNTBLANK('Capacity summary'!$H126:$BG126)&lt;52,IF('Capacity summary'!AY126&lt;&gt;"",$BI7*AY7,0),AY7*$BI7),AY7*$BI7),0)</f>
        <v>2.4230769230769229</v>
      </c>
      <c r="DC7" s="319">
        <f ca="1">IF($BI7&lt;&gt;"",IF('Capacity summary'!$D$14="Yes",IF(COUNTBLANK('Capacity summary'!$H126:$BG126)&lt;52,IF('Capacity summary'!AZ126&lt;&gt;"",$BI7*AZ7,0),AZ7*$BI7),AZ7*$BI7),0)</f>
        <v>2.4230769230769229</v>
      </c>
      <c r="DD7" s="319">
        <f ca="1">IF($BI7&lt;&gt;"",IF('Capacity summary'!$D$14="Yes",IF(COUNTBLANK('Capacity summary'!$H126:$BG126)&lt;52,IF('Capacity summary'!BA126&lt;&gt;"",$BI7*BA7,0),BA7*$BI7),BA7*$BI7),0)</f>
        <v>2.4230769230769229</v>
      </c>
      <c r="DE7" s="319">
        <f ca="1">IF($BI7&lt;&gt;"",IF('Capacity summary'!$D$14="Yes",IF(COUNTBLANK('Capacity summary'!$H126:$BG126)&lt;52,IF('Capacity summary'!BB126&lt;&gt;"",$BI7*BB7,0),BB7*$BI7),BB7*$BI7),0)</f>
        <v>2.4230769230769229</v>
      </c>
      <c r="DF7" s="319">
        <f ca="1">IF($BI7&lt;&gt;"",IF('Capacity summary'!$D$14="Yes",IF(COUNTBLANK('Capacity summary'!$H126:$BG126)&lt;52,IF('Capacity summary'!BC126&lt;&gt;"",$BI7*BC7,0),BC7*$BI7),BC7*$BI7),0)</f>
        <v>2.4230769230769229</v>
      </c>
      <c r="DG7" s="319">
        <f ca="1">IF($BI7&lt;&gt;"",IF('Capacity summary'!$D$14="Yes",IF(COUNTBLANK('Capacity summary'!$H126:$BG126)&lt;52,IF('Capacity summary'!BD126&lt;&gt;"",$BI7*BD7,0),BD7*$BI7),BD7*$BI7),0)</f>
        <v>2.4230769230769229</v>
      </c>
      <c r="DH7" s="319">
        <f ca="1">IF($BI7&lt;&gt;"",IF('Capacity summary'!$D$14="Yes",IF(COUNTBLANK('Capacity summary'!$H126:$BG126)&lt;52,IF('Capacity summary'!BE126&lt;&gt;"",$BI7*BE7,0),BE7*$BI7),BE7*$BI7),0)</f>
        <v>2.4230769230769229</v>
      </c>
      <c r="DI7" s="319">
        <f ca="1">IF($BI7&lt;&gt;"",IF('Capacity summary'!$D$14="Yes",IF(COUNTBLANK('Capacity summary'!$H126:$BG126)&lt;52,IF('Capacity summary'!BF126&lt;&gt;"",$BI7*BF7,0),BF7*$BI7),BF7*$BI7),0)</f>
        <v>2.4230769230769229</v>
      </c>
      <c r="DJ7" s="319">
        <f ca="1">IF($BI7&lt;&gt;"",IF('Capacity summary'!$D$14="Yes",IF(COUNTBLANK('Capacity summary'!$H126:$BG126)&lt;52,IF('Capacity summary'!BG126&lt;&gt;"",$BI7*BG7,0),BG7*$BI7),BG7*$BI7),0)</f>
        <v>2.4230769230769229</v>
      </c>
      <c r="DK7" s="5">
        <f t="shared" ca="1" si="2"/>
        <v>125.99999999999987</v>
      </c>
      <c r="DL7" s="5">
        <f>Capacity!H19</f>
        <v>126</v>
      </c>
      <c r="DP7" s="5"/>
    </row>
    <row r="8" spans="2:120" x14ac:dyDescent="0.2">
      <c r="B8" s="68"/>
      <c r="C8" s="68" t="str">
        <f>ROW(A4)&amp;". "&amp;Capacity!B20</f>
        <v>4. Core Clinic 4</v>
      </c>
      <c r="D8" s="68" t="str">
        <f>'Capacity setup'!C15</f>
        <v>3. CT Scanner 1</v>
      </c>
      <c r="E8" s="68">
        <f>'Capacity setup'!D15</f>
        <v>0</v>
      </c>
      <c r="F8" s="68">
        <f>'Capacity setup'!E15</f>
        <v>0</v>
      </c>
      <c r="H8" s="68">
        <f ca="1">IF(AND(SUMIF(Capacity_Resource,$D8,'Critical resources (hide)'!U$6:U$105)+SUMIF(Capacity_Resource,$E8,'Critical resources (hide)'!U$6:U$105)+SUMIF(Capacity_Resource,$F8,'Critical resources (hide)'!U$6:U$105)&gt;0,$E$1=2),0,1)</f>
        <v>1</v>
      </c>
      <c r="I8" s="68">
        <f ca="1">IF(AND(SUMIF(Capacity_Resource,$D8,'Critical resources (hide)'!V$6:V$105)+SUMIF(Capacity_Resource,$E8,'Critical resources (hide)'!V$6:V$105)+SUMIF(Capacity_Resource,$F8,'Critical resources (hide)'!V$6:V$105)&gt;0,$E$1=2),0,1)</f>
        <v>1</v>
      </c>
      <c r="J8" s="68">
        <f ca="1">IF(AND(SUMIF(Capacity_Resource,$D8,'Critical resources (hide)'!W$6:W$105)+SUMIF(Capacity_Resource,$E8,'Critical resources (hide)'!W$6:W$105)+SUMIF(Capacity_Resource,$F8,'Critical resources (hide)'!W$6:W$105)&gt;0,$E$1=2),0,1)</f>
        <v>1</v>
      </c>
      <c r="K8" s="68">
        <f ca="1">IF(AND(SUMIF(Capacity_Resource,$D8,'Critical resources (hide)'!X$6:X$105)+SUMIF(Capacity_Resource,$E8,'Critical resources (hide)'!X$6:X$105)+SUMIF(Capacity_Resource,$F8,'Critical resources (hide)'!X$6:X$105)&gt;0,$E$1=2),0,1)</f>
        <v>1</v>
      </c>
      <c r="L8" s="68">
        <f ca="1">IF(AND(SUMIF(Capacity_Resource,$D8,'Critical resources (hide)'!Y$6:Y$105)+SUMIF(Capacity_Resource,$E8,'Critical resources (hide)'!Y$6:Y$105)+SUMIF(Capacity_Resource,$F8,'Critical resources (hide)'!Y$6:Y$105)&gt;0,$E$1=2),0,1)</f>
        <v>1</v>
      </c>
      <c r="M8" s="68">
        <f ca="1">IF(AND(SUMIF(Capacity_Resource,$D8,'Critical resources (hide)'!Z$6:Z$105)+SUMIF(Capacity_Resource,$E8,'Critical resources (hide)'!Z$6:Z$105)+SUMIF(Capacity_Resource,$F8,'Critical resources (hide)'!Z$6:Z$105)&gt;0,$E$1=2),0,1)</f>
        <v>1</v>
      </c>
      <c r="N8" s="68">
        <f ca="1">IF(AND(SUMIF(Capacity_Resource,$D8,'Critical resources (hide)'!AA$6:AA$105)+SUMIF(Capacity_Resource,$E8,'Critical resources (hide)'!AA$6:AA$105)+SUMIF(Capacity_Resource,$F8,'Critical resources (hide)'!AA$6:AA$105)&gt;0,$E$1=2),0,1)</f>
        <v>1</v>
      </c>
      <c r="O8" s="68">
        <f ca="1">IF(AND(SUMIF(Capacity_Resource,$D8,'Critical resources (hide)'!AB$6:AB$105)+SUMIF(Capacity_Resource,$E8,'Critical resources (hide)'!AB$6:AB$105)+SUMIF(Capacity_Resource,$F8,'Critical resources (hide)'!AB$6:AB$105)&gt;0,$E$1=2),0,1)</f>
        <v>1</v>
      </c>
      <c r="P8" s="68">
        <f ca="1">IF(AND(SUMIF(Capacity_Resource,$D8,'Critical resources (hide)'!AC$6:AC$105)+SUMIF(Capacity_Resource,$E8,'Critical resources (hide)'!AC$6:AC$105)+SUMIF(Capacity_Resource,$F8,'Critical resources (hide)'!AC$6:AC$105)&gt;0,$E$1=2),0,1)</f>
        <v>1</v>
      </c>
      <c r="Q8" s="68">
        <f ca="1">IF(AND(SUMIF(Capacity_Resource,$D8,'Critical resources (hide)'!AD$6:AD$105)+SUMIF(Capacity_Resource,$E8,'Critical resources (hide)'!AD$6:AD$105)+SUMIF(Capacity_Resource,$F8,'Critical resources (hide)'!AD$6:AD$105)&gt;0,$E$1=2),0,1)</f>
        <v>1</v>
      </c>
      <c r="R8" s="68">
        <f ca="1">IF(AND(SUMIF(Capacity_Resource,$D8,'Critical resources (hide)'!AE$6:AE$105)+SUMIF(Capacity_Resource,$E8,'Critical resources (hide)'!AE$6:AE$105)+SUMIF(Capacity_Resource,$F8,'Critical resources (hide)'!AE$6:AE$105)&gt;0,$E$1=2),0,1)</f>
        <v>1</v>
      </c>
      <c r="S8" s="68">
        <f ca="1">IF(AND(SUMIF(Capacity_Resource,$D8,'Critical resources (hide)'!AF$6:AF$105)+SUMIF(Capacity_Resource,$E8,'Critical resources (hide)'!AF$6:AF$105)+SUMIF(Capacity_Resource,$F8,'Critical resources (hide)'!AF$6:AF$105)&gt;0,$E$1=2),0,1)</f>
        <v>1</v>
      </c>
      <c r="T8" s="68">
        <f ca="1">IF(AND(SUMIF(Capacity_Resource,$D8,'Critical resources (hide)'!AG$6:AG$105)+SUMIF(Capacity_Resource,$E8,'Critical resources (hide)'!AG$6:AG$105)+SUMIF(Capacity_Resource,$F8,'Critical resources (hide)'!AG$6:AG$105)&gt;0,$E$1=2),0,1)</f>
        <v>1</v>
      </c>
      <c r="U8" s="68">
        <f ca="1">IF(AND(SUMIF(Capacity_Resource,$D8,'Critical resources (hide)'!AH$6:AH$105)+SUMIF(Capacity_Resource,$E8,'Critical resources (hide)'!AH$6:AH$105)+SUMIF(Capacity_Resource,$F8,'Critical resources (hide)'!AH$6:AH$105)&gt;0,$E$1=2),0,1)</f>
        <v>1</v>
      </c>
      <c r="V8" s="68">
        <f ca="1">IF(AND(SUMIF(Capacity_Resource,$D8,'Critical resources (hide)'!AI$6:AI$105)+SUMIF(Capacity_Resource,$E8,'Critical resources (hide)'!AI$6:AI$105)+SUMIF(Capacity_Resource,$F8,'Critical resources (hide)'!AI$6:AI$105)&gt;0,$E$1=2),0,1)</f>
        <v>1</v>
      </c>
      <c r="W8" s="68">
        <f ca="1">IF(AND(SUMIF(Capacity_Resource,$D8,'Critical resources (hide)'!AJ$6:AJ$105)+SUMIF(Capacity_Resource,$E8,'Critical resources (hide)'!AJ$6:AJ$105)+SUMIF(Capacity_Resource,$F8,'Critical resources (hide)'!AJ$6:AJ$105)&gt;0,$E$1=2),0,1)</f>
        <v>1</v>
      </c>
      <c r="X8" s="68">
        <f ca="1">IF(AND(SUMIF(Capacity_Resource,$D8,'Critical resources (hide)'!AK$6:AK$105)+SUMIF(Capacity_Resource,$E8,'Critical resources (hide)'!AK$6:AK$105)+SUMIF(Capacity_Resource,$F8,'Critical resources (hide)'!AK$6:AK$105)&gt;0,$E$1=2),0,1)</f>
        <v>1</v>
      </c>
      <c r="Y8" s="68">
        <f ca="1">IF(AND(SUMIF(Capacity_Resource,$D8,'Critical resources (hide)'!AL$6:AL$105)+SUMIF(Capacity_Resource,$E8,'Critical resources (hide)'!AL$6:AL$105)+SUMIF(Capacity_Resource,$F8,'Critical resources (hide)'!AL$6:AL$105)&gt;0,$E$1=2),0,1)</f>
        <v>1</v>
      </c>
      <c r="Z8" s="68">
        <f ca="1">IF(AND(SUMIF(Capacity_Resource,$D8,'Critical resources (hide)'!AM$6:AM$105)+SUMIF(Capacity_Resource,$E8,'Critical resources (hide)'!AM$6:AM$105)+SUMIF(Capacity_Resource,$F8,'Critical resources (hide)'!AM$6:AM$105)&gt;0,$E$1=2),0,1)</f>
        <v>1</v>
      </c>
      <c r="AA8" s="68">
        <f ca="1">IF(AND(SUMIF(Capacity_Resource,$D8,'Critical resources (hide)'!AN$6:AN$105)+SUMIF(Capacity_Resource,$E8,'Critical resources (hide)'!AN$6:AN$105)+SUMIF(Capacity_Resource,$F8,'Critical resources (hide)'!AN$6:AN$105)&gt;0,$E$1=2),0,1)</f>
        <v>1</v>
      </c>
      <c r="AB8" s="68">
        <f ca="1">IF(AND(SUMIF(Capacity_Resource,$D8,'Critical resources (hide)'!AO$6:AO$105)+SUMIF(Capacity_Resource,$E8,'Critical resources (hide)'!AO$6:AO$105)+SUMIF(Capacity_Resource,$F8,'Critical resources (hide)'!AO$6:AO$105)&gt;0,$E$1=2),0,1)</f>
        <v>1</v>
      </c>
      <c r="AC8" s="68">
        <f ca="1">IF(AND(SUMIF(Capacity_Resource,$D8,'Critical resources (hide)'!AP$6:AP$105)+SUMIF(Capacity_Resource,$E8,'Critical resources (hide)'!AP$6:AP$105)+SUMIF(Capacity_Resource,$F8,'Critical resources (hide)'!AP$6:AP$105)&gt;0,$E$1=2),0,1)</f>
        <v>1</v>
      </c>
      <c r="AD8" s="68">
        <f ca="1">IF(AND(SUMIF(Capacity_Resource,$D8,'Critical resources (hide)'!AQ$6:AQ$105)+SUMIF(Capacity_Resource,$E8,'Critical resources (hide)'!AQ$6:AQ$105)+SUMIF(Capacity_Resource,$F8,'Critical resources (hide)'!AQ$6:AQ$105)&gt;0,$E$1=2),0,1)</f>
        <v>1</v>
      </c>
      <c r="AE8" s="68">
        <f ca="1">IF(AND(SUMIF(Capacity_Resource,$D8,'Critical resources (hide)'!AR$6:AR$105)+SUMIF(Capacity_Resource,$E8,'Critical resources (hide)'!AR$6:AR$105)+SUMIF(Capacity_Resource,$F8,'Critical resources (hide)'!AR$6:AR$105)&gt;0,$E$1=2),0,1)</f>
        <v>1</v>
      </c>
      <c r="AF8" s="68">
        <f ca="1">IF(AND(SUMIF(Capacity_Resource,$D8,'Critical resources (hide)'!AS$6:AS$105)+SUMIF(Capacity_Resource,$E8,'Critical resources (hide)'!AS$6:AS$105)+SUMIF(Capacity_Resource,$F8,'Critical resources (hide)'!AS$6:AS$105)&gt;0,$E$1=2),0,1)</f>
        <v>1</v>
      </c>
      <c r="AG8" s="68">
        <f ca="1">IF(AND(SUMIF(Capacity_Resource,$D8,'Critical resources (hide)'!AT$6:AT$105)+SUMIF(Capacity_Resource,$E8,'Critical resources (hide)'!AT$6:AT$105)+SUMIF(Capacity_Resource,$F8,'Critical resources (hide)'!AT$6:AT$105)&gt;0,$E$1=2),0,1)</f>
        <v>1</v>
      </c>
      <c r="AH8" s="68">
        <f ca="1">IF(AND(SUMIF(Capacity_Resource,$D8,'Critical resources (hide)'!AU$6:AU$105)+SUMIF(Capacity_Resource,$E8,'Critical resources (hide)'!AU$6:AU$105)+SUMIF(Capacity_Resource,$F8,'Critical resources (hide)'!AU$6:AU$105)&gt;0,$E$1=2),0,1)</f>
        <v>1</v>
      </c>
      <c r="AI8" s="68">
        <f ca="1">IF(AND(SUMIF(Capacity_Resource,$D8,'Critical resources (hide)'!AV$6:AV$105)+SUMIF(Capacity_Resource,$E8,'Critical resources (hide)'!AV$6:AV$105)+SUMIF(Capacity_Resource,$F8,'Critical resources (hide)'!AV$6:AV$105)&gt;0,$E$1=2),0,1)</f>
        <v>1</v>
      </c>
      <c r="AJ8" s="68">
        <f ca="1">IF(AND(SUMIF(Capacity_Resource,$D8,'Critical resources (hide)'!AW$6:AW$105)+SUMIF(Capacity_Resource,$E8,'Critical resources (hide)'!AW$6:AW$105)+SUMIF(Capacity_Resource,$F8,'Critical resources (hide)'!AW$6:AW$105)&gt;0,$E$1=2),0,1)</f>
        <v>1</v>
      </c>
      <c r="AK8" s="68">
        <f ca="1">IF(AND(SUMIF(Capacity_Resource,$D8,'Critical resources (hide)'!AX$6:AX$105)+SUMIF(Capacity_Resource,$E8,'Critical resources (hide)'!AX$6:AX$105)+SUMIF(Capacity_Resource,$F8,'Critical resources (hide)'!AX$6:AX$105)&gt;0,$E$1=2),0,1)</f>
        <v>1</v>
      </c>
      <c r="AL8" s="68">
        <f ca="1">IF(AND(SUMIF(Capacity_Resource,$D8,'Critical resources (hide)'!AY$6:AY$105)+SUMIF(Capacity_Resource,$E8,'Critical resources (hide)'!AY$6:AY$105)+SUMIF(Capacity_Resource,$F8,'Critical resources (hide)'!AY$6:AY$105)&gt;0,$E$1=2),0,1)</f>
        <v>1</v>
      </c>
      <c r="AM8" s="68">
        <f ca="1">IF(AND(SUMIF(Capacity_Resource,$D8,'Critical resources (hide)'!AZ$6:AZ$105)+SUMIF(Capacity_Resource,$E8,'Critical resources (hide)'!AZ$6:AZ$105)+SUMIF(Capacity_Resource,$F8,'Critical resources (hide)'!AZ$6:AZ$105)&gt;0,$E$1=2),0,1)</f>
        <v>1</v>
      </c>
      <c r="AN8" s="68">
        <f ca="1">IF(AND(SUMIF(Capacity_Resource,$D8,'Critical resources (hide)'!BA$6:BA$105)+SUMIF(Capacity_Resource,$E8,'Critical resources (hide)'!BA$6:BA$105)+SUMIF(Capacity_Resource,$F8,'Critical resources (hide)'!BA$6:BA$105)&gt;0,$E$1=2),0,1)</f>
        <v>1</v>
      </c>
      <c r="AO8" s="68">
        <f ca="1">IF(AND(SUMIF(Capacity_Resource,$D8,'Critical resources (hide)'!BB$6:BB$105)+SUMIF(Capacity_Resource,$E8,'Critical resources (hide)'!BB$6:BB$105)+SUMIF(Capacity_Resource,$F8,'Critical resources (hide)'!BB$6:BB$105)&gt;0,$E$1=2),0,1)</f>
        <v>1</v>
      </c>
      <c r="AP8" s="68">
        <f ca="1">IF(AND(SUMIF(Capacity_Resource,$D8,'Critical resources (hide)'!BC$6:BC$105)+SUMIF(Capacity_Resource,$E8,'Critical resources (hide)'!BC$6:BC$105)+SUMIF(Capacity_Resource,$F8,'Critical resources (hide)'!BC$6:BC$105)&gt;0,$E$1=2),0,1)</f>
        <v>1</v>
      </c>
      <c r="AQ8" s="68">
        <f ca="1">IF(AND(SUMIF(Capacity_Resource,$D8,'Critical resources (hide)'!BD$6:BD$105)+SUMIF(Capacity_Resource,$E8,'Critical resources (hide)'!BD$6:BD$105)+SUMIF(Capacity_Resource,$F8,'Critical resources (hide)'!BD$6:BD$105)&gt;0,$E$1=2),0,1)</f>
        <v>1</v>
      </c>
      <c r="AR8" s="68">
        <f ca="1">IF(AND(SUMIF(Capacity_Resource,$D8,'Critical resources (hide)'!BE$6:BE$105)+SUMIF(Capacity_Resource,$E8,'Critical resources (hide)'!BE$6:BE$105)+SUMIF(Capacity_Resource,$F8,'Critical resources (hide)'!BE$6:BE$105)&gt;0,$E$1=2),0,1)</f>
        <v>1</v>
      </c>
      <c r="AS8" s="68">
        <f ca="1">IF(AND(SUMIF(Capacity_Resource,$D8,'Critical resources (hide)'!BF$6:BF$105)+SUMIF(Capacity_Resource,$E8,'Critical resources (hide)'!BF$6:BF$105)+SUMIF(Capacity_Resource,$F8,'Critical resources (hide)'!BF$6:BF$105)&gt;0,$E$1=2),0,1)</f>
        <v>1</v>
      </c>
      <c r="AT8" s="68">
        <f ca="1">IF(AND(SUMIF(Capacity_Resource,$D8,'Critical resources (hide)'!BG$6:BG$105)+SUMIF(Capacity_Resource,$E8,'Critical resources (hide)'!BG$6:BG$105)+SUMIF(Capacity_Resource,$F8,'Critical resources (hide)'!BG$6:BG$105)&gt;0,$E$1=2),0,1)</f>
        <v>1</v>
      </c>
      <c r="AU8" s="68">
        <f ca="1">IF(AND(SUMIF(Capacity_Resource,$D8,'Critical resources (hide)'!BH$6:BH$105)+SUMIF(Capacity_Resource,$E8,'Critical resources (hide)'!BH$6:BH$105)+SUMIF(Capacity_Resource,$F8,'Critical resources (hide)'!BH$6:BH$105)&gt;0,$E$1=2),0,1)</f>
        <v>1</v>
      </c>
      <c r="AV8" s="68">
        <f ca="1">IF(AND(SUMIF(Capacity_Resource,$D8,'Critical resources (hide)'!BI$6:BI$105)+SUMIF(Capacity_Resource,$E8,'Critical resources (hide)'!BI$6:BI$105)+SUMIF(Capacity_Resource,$F8,'Critical resources (hide)'!BI$6:BI$105)&gt;0,$E$1=2),0,1)</f>
        <v>1</v>
      </c>
      <c r="AW8" s="68">
        <f ca="1">IF(AND(SUMIF(Capacity_Resource,$D8,'Critical resources (hide)'!BJ$6:BJ$105)+SUMIF(Capacity_Resource,$E8,'Critical resources (hide)'!BJ$6:BJ$105)+SUMIF(Capacity_Resource,$F8,'Critical resources (hide)'!BJ$6:BJ$105)&gt;0,$E$1=2),0,1)</f>
        <v>1</v>
      </c>
      <c r="AX8" s="68">
        <f ca="1">IF(AND(SUMIF(Capacity_Resource,$D8,'Critical resources (hide)'!BK$6:BK$105)+SUMIF(Capacity_Resource,$E8,'Critical resources (hide)'!BK$6:BK$105)+SUMIF(Capacity_Resource,$F8,'Critical resources (hide)'!BK$6:BK$105)&gt;0,$E$1=2),0,1)</f>
        <v>1</v>
      </c>
      <c r="AY8" s="68">
        <f ca="1">IF(AND(SUMIF(Capacity_Resource,$D8,'Critical resources (hide)'!BL$6:BL$105)+SUMIF(Capacity_Resource,$E8,'Critical resources (hide)'!BL$6:BL$105)+SUMIF(Capacity_Resource,$F8,'Critical resources (hide)'!BL$6:BL$105)&gt;0,$E$1=2),0,1)</f>
        <v>1</v>
      </c>
      <c r="AZ8" s="68">
        <f ca="1">IF(AND(SUMIF(Capacity_Resource,$D8,'Critical resources (hide)'!BM$6:BM$105)+SUMIF(Capacity_Resource,$E8,'Critical resources (hide)'!BM$6:BM$105)+SUMIF(Capacity_Resource,$F8,'Critical resources (hide)'!BM$6:BM$105)&gt;0,$E$1=2),0,1)</f>
        <v>1</v>
      </c>
      <c r="BA8" s="68">
        <f ca="1">IF(AND(SUMIF(Capacity_Resource,$D8,'Critical resources (hide)'!BN$6:BN$105)+SUMIF(Capacity_Resource,$E8,'Critical resources (hide)'!BN$6:BN$105)+SUMIF(Capacity_Resource,$F8,'Critical resources (hide)'!BN$6:BN$105)&gt;0,$E$1=2),0,1)</f>
        <v>1</v>
      </c>
      <c r="BB8" s="68">
        <f ca="1">IF(AND(SUMIF(Capacity_Resource,$D8,'Critical resources (hide)'!BO$6:BO$105)+SUMIF(Capacity_Resource,$E8,'Critical resources (hide)'!BO$6:BO$105)+SUMIF(Capacity_Resource,$F8,'Critical resources (hide)'!BO$6:BO$105)&gt;0,$E$1=2),0,1)</f>
        <v>1</v>
      </c>
      <c r="BC8" s="68">
        <f ca="1">IF(AND(SUMIF(Capacity_Resource,$D8,'Critical resources (hide)'!BP$6:BP$105)+SUMIF(Capacity_Resource,$E8,'Critical resources (hide)'!BP$6:BP$105)+SUMIF(Capacity_Resource,$F8,'Critical resources (hide)'!BP$6:BP$105)&gt;0,$E$1=2),0,1)</f>
        <v>1</v>
      </c>
      <c r="BD8" s="68">
        <f ca="1">IF(AND(SUMIF(Capacity_Resource,$D8,'Critical resources (hide)'!BQ$6:BQ$105)+SUMIF(Capacity_Resource,$E8,'Critical resources (hide)'!BQ$6:BQ$105)+SUMIF(Capacity_Resource,$F8,'Critical resources (hide)'!BQ$6:BQ$105)&gt;0,$E$1=2),0,1)</f>
        <v>1</v>
      </c>
      <c r="BE8" s="68">
        <f ca="1">IF(AND(SUMIF(Capacity_Resource,$D8,'Critical resources (hide)'!BR$6:BR$105)+SUMIF(Capacity_Resource,$E8,'Critical resources (hide)'!BR$6:BR$105)+SUMIF(Capacity_Resource,$F8,'Critical resources (hide)'!BR$6:BR$105)&gt;0,$E$1=2),0,1)</f>
        <v>1</v>
      </c>
      <c r="BF8" s="68">
        <f ca="1">IF(AND(SUMIF(Capacity_Resource,$D8,'Critical resources (hide)'!BS$6:BS$105)+SUMIF(Capacity_Resource,$E8,'Critical resources (hide)'!BS$6:BS$105)+SUMIF(Capacity_Resource,$F8,'Critical resources (hide)'!BS$6:BS$105)&gt;0,$E$1=2),0,1)</f>
        <v>1</v>
      </c>
      <c r="BG8" s="68">
        <f ca="1">IF(AND(SUMIF(Capacity_Resource,$D8,'Critical resources (hide)'!BT$6:BT$105)+SUMIF(Capacity_Resource,$E8,'Critical resources (hide)'!BT$6:BT$105)+SUMIF(Capacity_Resource,$F8,'Critical resources (hide)'!BT$6:BT$105)&gt;0,$E$1=2),0,1)</f>
        <v>1</v>
      </c>
      <c r="BH8" s="68">
        <f ca="1">IF(ROW(C4)&lt;=Capacity!$A$16,IF('Capacity summary'!$D$14="No",SUM(H8:BG8),'Capacity summary'!$E127),0)</f>
        <v>52</v>
      </c>
      <c r="BI8" s="5">
        <f ca="1">IF(BH8&gt;0,IF(BH8&lt;Capacity!E20,Capacity!F20,Capacity!H20/'Capacity calculation (hide)'!BH8),"")</f>
        <v>1.3846153846153846</v>
      </c>
      <c r="BK8" s="319">
        <f ca="1">IF($BI8&lt;&gt;"",IF('Capacity summary'!$D$14="Yes",IF(COUNTBLANK('Capacity summary'!$H127:$BG127)&lt;52,IF('Capacity summary'!H127&lt;&gt;"",$BI8*H8,0),H8*$BI8),H8*$BI8),0)</f>
        <v>1.3846153846153846</v>
      </c>
      <c r="BL8" s="319">
        <f ca="1">IF($BI8&lt;&gt;"",IF('Capacity summary'!$D$14="Yes",IF(COUNTBLANK('Capacity summary'!$H127:$BG127)&lt;52,IF('Capacity summary'!I127&lt;&gt;"",$BI8*I8,0),I8*$BI8),I8*$BI8),0)</f>
        <v>1.3846153846153846</v>
      </c>
      <c r="BM8" s="319">
        <f ca="1">IF($BI8&lt;&gt;"",IF('Capacity summary'!$D$14="Yes",IF(COUNTBLANK('Capacity summary'!$H127:$BG127)&lt;52,IF('Capacity summary'!J127&lt;&gt;"",$BI8*J8,0),J8*$BI8),J8*$BI8),0)</f>
        <v>1.3846153846153846</v>
      </c>
      <c r="BN8" s="319">
        <f ca="1">IF($BI8&lt;&gt;"",IF('Capacity summary'!$D$14="Yes",IF(COUNTBLANK('Capacity summary'!$H127:$BG127)&lt;52,IF('Capacity summary'!K127&lt;&gt;"",$BI8*K8,0),K8*$BI8),K8*$BI8),0)</f>
        <v>1.3846153846153846</v>
      </c>
      <c r="BO8" s="319">
        <f ca="1">IF($BI8&lt;&gt;"",IF('Capacity summary'!$D$14="Yes",IF(COUNTBLANK('Capacity summary'!$H127:$BG127)&lt;52,IF('Capacity summary'!L127&lt;&gt;"",$BI8*L8,0),L8*$BI8),L8*$BI8),0)</f>
        <v>1.3846153846153846</v>
      </c>
      <c r="BP8" s="319">
        <f ca="1">IF($BI8&lt;&gt;"",IF('Capacity summary'!$D$14="Yes",IF(COUNTBLANK('Capacity summary'!$H127:$BG127)&lt;52,IF('Capacity summary'!M127&lt;&gt;"",$BI8*M8,0),M8*$BI8),M8*$BI8),0)</f>
        <v>1.3846153846153846</v>
      </c>
      <c r="BQ8" s="319">
        <f ca="1">IF($BI8&lt;&gt;"",IF('Capacity summary'!$D$14="Yes",IF(COUNTBLANK('Capacity summary'!$H127:$BG127)&lt;52,IF('Capacity summary'!N127&lt;&gt;"",$BI8*N8,0),N8*$BI8),N8*$BI8),0)</f>
        <v>1.3846153846153846</v>
      </c>
      <c r="BR8" s="319">
        <f ca="1">IF($BI8&lt;&gt;"",IF('Capacity summary'!$D$14="Yes",IF(COUNTBLANK('Capacity summary'!$H127:$BG127)&lt;52,IF('Capacity summary'!O127&lt;&gt;"",$BI8*O8,0),O8*$BI8),O8*$BI8),0)</f>
        <v>1.3846153846153846</v>
      </c>
      <c r="BS8" s="319">
        <f ca="1">IF($BI8&lt;&gt;"",IF('Capacity summary'!$D$14="Yes",IF(COUNTBLANK('Capacity summary'!$H127:$BG127)&lt;52,IF('Capacity summary'!P127&lt;&gt;"",$BI8*P8,0),P8*$BI8),P8*$BI8),0)</f>
        <v>1.3846153846153846</v>
      </c>
      <c r="BT8" s="319">
        <f ca="1">IF($BI8&lt;&gt;"",IF('Capacity summary'!$D$14="Yes",IF(COUNTBLANK('Capacity summary'!$H127:$BG127)&lt;52,IF('Capacity summary'!Q127&lt;&gt;"",$BI8*Q8,0),Q8*$BI8),Q8*$BI8),0)</f>
        <v>1.3846153846153846</v>
      </c>
      <c r="BU8" s="319">
        <f ca="1">IF($BI8&lt;&gt;"",IF('Capacity summary'!$D$14="Yes",IF(COUNTBLANK('Capacity summary'!$H127:$BG127)&lt;52,IF('Capacity summary'!R127&lt;&gt;"",$BI8*R8,0),R8*$BI8),R8*$BI8),0)</f>
        <v>1.3846153846153846</v>
      </c>
      <c r="BV8" s="319">
        <f ca="1">IF($BI8&lt;&gt;"",IF('Capacity summary'!$D$14="Yes",IF(COUNTBLANK('Capacity summary'!$H127:$BG127)&lt;52,IF('Capacity summary'!S127&lt;&gt;"",$BI8*S8,0),S8*$BI8),S8*$BI8),0)</f>
        <v>1.3846153846153846</v>
      </c>
      <c r="BW8" s="319">
        <f ca="1">IF($BI8&lt;&gt;"",IF('Capacity summary'!$D$14="Yes",IF(COUNTBLANK('Capacity summary'!$H127:$BG127)&lt;52,IF('Capacity summary'!T127&lt;&gt;"",$BI8*T8,0),T8*$BI8),T8*$BI8),0)</f>
        <v>1.3846153846153846</v>
      </c>
      <c r="BX8" s="319">
        <f ca="1">IF($BI8&lt;&gt;"",IF('Capacity summary'!$D$14="Yes",IF(COUNTBLANK('Capacity summary'!$H127:$BG127)&lt;52,IF('Capacity summary'!U127&lt;&gt;"",$BI8*U8,0),U8*$BI8),U8*$BI8),0)</f>
        <v>1.3846153846153846</v>
      </c>
      <c r="BY8" s="319">
        <f ca="1">IF($BI8&lt;&gt;"",IF('Capacity summary'!$D$14="Yes",IF(COUNTBLANK('Capacity summary'!$H127:$BG127)&lt;52,IF('Capacity summary'!V127&lt;&gt;"",$BI8*V8,0),V8*$BI8),V8*$BI8),0)</f>
        <v>1.3846153846153846</v>
      </c>
      <c r="BZ8" s="319">
        <f ca="1">IF($BI8&lt;&gt;"",IF('Capacity summary'!$D$14="Yes",IF(COUNTBLANK('Capacity summary'!$H127:$BG127)&lt;52,IF('Capacity summary'!W127&lt;&gt;"",$BI8*W8,0),W8*$BI8),W8*$BI8),0)</f>
        <v>1.3846153846153846</v>
      </c>
      <c r="CA8" s="319">
        <f ca="1">IF($BI8&lt;&gt;"",IF('Capacity summary'!$D$14="Yes",IF(COUNTBLANK('Capacity summary'!$H127:$BG127)&lt;52,IF('Capacity summary'!X127&lt;&gt;"",$BI8*X8,0),X8*$BI8),X8*$BI8),0)</f>
        <v>1.3846153846153846</v>
      </c>
      <c r="CB8" s="319">
        <f ca="1">IF($BI8&lt;&gt;"",IF('Capacity summary'!$D$14="Yes",IF(COUNTBLANK('Capacity summary'!$H127:$BG127)&lt;52,IF('Capacity summary'!Y127&lt;&gt;"",$BI8*Y8,0),Y8*$BI8),Y8*$BI8),0)</f>
        <v>1.3846153846153846</v>
      </c>
      <c r="CC8" s="319">
        <f ca="1">IF($BI8&lt;&gt;"",IF('Capacity summary'!$D$14="Yes",IF(COUNTBLANK('Capacity summary'!$H127:$BG127)&lt;52,IF('Capacity summary'!Z127&lt;&gt;"",$BI8*Z8,0),Z8*$BI8),Z8*$BI8),0)</f>
        <v>1.3846153846153846</v>
      </c>
      <c r="CD8" s="319">
        <f ca="1">IF($BI8&lt;&gt;"",IF('Capacity summary'!$D$14="Yes",IF(COUNTBLANK('Capacity summary'!$H127:$BG127)&lt;52,IF('Capacity summary'!AA127&lt;&gt;"",$BI8*AA8,0),AA8*$BI8),AA8*$BI8),0)</f>
        <v>1.3846153846153846</v>
      </c>
      <c r="CE8" s="319">
        <f ca="1">IF($BI8&lt;&gt;"",IF('Capacity summary'!$D$14="Yes",IF(COUNTBLANK('Capacity summary'!$H127:$BG127)&lt;52,IF('Capacity summary'!AB127&lt;&gt;"",$BI8*AB8,0),AB8*$BI8),AB8*$BI8),0)</f>
        <v>1.3846153846153846</v>
      </c>
      <c r="CF8" s="319">
        <f ca="1">IF($BI8&lt;&gt;"",IF('Capacity summary'!$D$14="Yes",IF(COUNTBLANK('Capacity summary'!$H127:$BG127)&lt;52,IF('Capacity summary'!AC127&lt;&gt;"",$BI8*AC8,0),AC8*$BI8),AC8*$BI8),0)</f>
        <v>1.3846153846153846</v>
      </c>
      <c r="CG8" s="319">
        <f ca="1">IF($BI8&lt;&gt;"",IF('Capacity summary'!$D$14="Yes",IF(COUNTBLANK('Capacity summary'!$H127:$BG127)&lt;52,IF('Capacity summary'!AD127&lt;&gt;"",$BI8*AD8,0),AD8*$BI8),AD8*$BI8),0)</f>
        <v>1.3846153846153846</v>
      </c>
      <c r="CH8" s="319">
        <f ca="1">IF($BI8&lt;&gt;"",IF('Capacity summary'!$D$14="Yes",IF(COUNTBLANK('Capacity summary'!$H127:$BG127)&lt;52,IF('Capacity summary'!AE127&lt;&gt;"",$BI8*AE8,0),AE8*$BI8),AE8*$BI8),0)</f>
        <v>1.3846153846153846</v>
      </c>
      <c r="CI8" s="319">
        <f ca="1">IF($BI8&lt;&gt;"",IF('Capacity summary'!$D$14="Yes",IF(COUNTBLANK('Capacity summary'!$H127:$BG127)&lt;52,IF('Capacity summary'!AF127&lt;&gt;"",$BI8*AF8,0),AF8*$BI8),AF8*$BI8),0)</f>
        <v>1.3846153846153846</v>
      </c>
      <c r="CJ8" s="319">
        <f ca="1">IF($BI8&lt;&gt;"",IF('Capacity summary'!$D$14="Yes",IF(COUNTBLANK('Capacity summary'!$H127:$BG127)&lt;52,IF('Capacity summary'!AG127&lt;&gt;"",$BI8*AG8,0),AG8*$BI8),AG8*$BI8),0)</f>
        <v>1.3846153846153846</v>
      </c>
      <c r="CK8" s="319">
        <f ca="1">IF($BI8&lt;&gt;"",IF('Capacity summary'!$D$14="Yes",IF(COUNTBLANK('Capacity summary'!$H127:$BG127)&lt;52,IF('Capacity summary'!AH127&lt;&gt;"",$BI8*AH8,0),AH8*$BI8),AH8*$BI8),0)</f>
        <v>1.3846153846153846</v>
      </c>
      <c r="CL8" s="319">
        <f ca="1">IF($BI8&lt;&gt;"",IF('Capacity summary'!$D$14="Yes",IF(COUNTBLANK('Capacity summary'!$H127:$BG127)&lt;52,IF('Capacity summary'!AI127&lt;&gt;"",$BI8*AI8,0),AI8*$BI8),AI8*$BI8),0)</f>
        <v>1.3846153846153846</v>
      </c>
      <c r="CM8" s="319">
        <f ca="1">IF($BI8&lt;&gt;"",IF('Capacity summary'!$D$14="Yes",IF(COUNTBLANK('Capacity summary'!$H127:$BG127)&lt;52,IF('Capacity summary'!AJ127&lt;&gt;"",$BI8*AJ8,0),AJ8*$BI8),AJ8*$BI8),0)</f>
        <v>1.3846153846153846</v>
      </c>
      <c r="CN8" s="319">
        <f ca="1">IF($BI8&lt;&gt;"",IF('Capacity summary'!$D$14="Yes",IF(COUNTBLANK('Capacity summary'!$H127:$BG127)&lt;52,IF('Capacity summary'!AK127&lt;&gt;"",$BI8*AK8,0),AK8*$BI8),AK8*$BI8),0)</f>
        <v>1.3846153846153846</v>
      </c>
      <c r="CO8" s="319">
        <f ca="1">IF($BI8&lt;&gt;"",IF('Capacity summary'!$D$14="Yes",IF(COUNTBLANK('Capacity summary'!$H127:$BG127)&lt;52,IF('Capacity summary'!AL127&lt;&gt;"",$BI8*AL8,0),AL8*$BI8),AL8*$BI8),0)</f>
        <v>1.3846153846153846</v>
      </c>
      <c r="CP8" s="319">
        <f ca="1">IF($BI8&lt;&gt;"",IF('Capacity summary'!$D$14="Yes",IF(COUNTBLANK('Capacity summary'!$H127:$BG127)&lt;52,IF('Capacity summary'!AM127&lt;&gt;"",$BI8*AM8,0),AM8*$BI8),AM8*$BI8),0)</f>
        <v>1.3846153846153846</v>
      </c>
      <c r="CQ8" s="319">
        <f ca="1">IF($BI8&lt;&gt;"",IF('Capacity summary'!$D$14="Yes",IF(COUNTBLANK('Capacity summary'!$H127:$BG127)&lt;52,IF('Capacity summary'!AN127&lt;&gt;"",$BI8*AN8,0),AN8*$BI8),AN8*$BI8),0)</f>
        <v>1.3846153846153846</v>
      </c>
      <c r="CR8" s="319">
        <f ca="1">IF($BI8&lt;&gt;"",IF('Capacity summary'!$D$14="Yes",IF(COUNTBLANK('Capacity summary'!$H127:$BG127)&lt;52,IF('Capacity summary'!AO127&lt;&gt;"",$BI8*AO8,0),AO8*$BI8),AO8*$BI8),0)</f>
        <v>1.3846153846153846</v>
      </c>
      <c r="CS8" s="319">
        <f ca="1">IF($BI8&lt;&gt;"",IF('Capacity summary'!$D$14="Yes",IF(COUNTBLANK('Capacity summary'!$H127:$BG127)&lt;52,IF('Capacity summary'!AP127&lt;&gt;"",$BI8*AP8,0),AP8*$BI8),AP8*$BI8),0)</f>
        <v>1.3846153846153846</v>
      </c>
      <c r="CT8" s="319">
        <f ca="1">IF($BI8&lt;&gt;"",IF('Capacity summary'!$D$14="Yes",IF(COUNTBLANK('Capacity summary'!$H127:$BG127)&lt;52,IF('Capacity summary'!AQ127&lt;&gt;"",$BI8*AQ8,0),AQ8*$BI8),AQ8*$BI8),0)</f>
        <v>1.3846153846153846</v>
      </c>
      <c r="CU8" s="319">
        <f ca="1">IF($BI8&lt;&gt;"",IF('Capacity summary'!$D$14="Yes",IF(COUNTBLANK('Capacity summary'!$H127:$BG127)&lt;52,IF('Capacity summary'!AR127&lt;&gt;"",$BI8*AR8,0),AR8*$BI8),AR8*$BI8),0)</f>
        <v>1.3846153846153846</v>
      </c>
      <c r="CV8" s="319">
        <f ca="1">IF($BI8&lt;&gt;"",IF('Capacity summary'!$D$14="Yes",IF(COUNTBLANK('Capacity summary'!$H127:$BG127)&lt;52,IF('Capacity summary'!AS127&lt;&gt;"",$BI8*AS8,0),AS8*$BI8),AS8*$BI8),0)</f>
        <v>1.3846153846153846</v>
      </c>
      <c r="CW8" s="319">
        <f ca="1">IF($BI8&lt;&gt;"",IF('Capacity summary'!$D$14="Yes",IF(COUNTBLANK('Capacity summary'!$H127:$BG127)&lt;52,IF('Capacity summary'!AT127&lt;&gt;"",$BI8*AT8,0),AT8*$BI8),AT8*$BI8),0)</f>
        <v>1.3846153846153846</v>
      </c>
      <c r="CX8" s="319">
        <f ca="1">IF($BI8&lt;&gt;"",IF('Capacity summary'!$D$14="Yes",IF(COUNTBLANK('Capacity summary'!$H127:$BG127)&lt;52,IF('Capacity summary'!AU127&lt;&gt;"",$BI8*AU8,0),AU8*$BI8),AU8*$BI8),0)</f>
        <v>1.3846153846153846</v>
      </c>
      <c r="CY8" s="319">
        <f ca="1">IF($BI8&lt;&gt;"",IF('Capacity summary'!$D$14="Yes",IF(COUNTBLANK('Capacity summary'!$H127:$BG127)&lt;52,IF('Capacity summary'!AV127&lt;&gt;"",$BI8*AV8,0),AV8*$BI8),AV8*$BI8),0)</f>
        <v>1.3846153846153846</v>
      </c>
      <c r="CZ8" s="319">
        <f ca="1">IF($BI8&lt;&gt;"",IF('Capacity summary'!$D$14="Yes",IF(COUNTBLANK('Capacity summary'!$H127:$BG127)&lt;52,IF('Capacity summary'!AW127&lt;&gt;"",$BI8*AW8,0),AW8*$BI8),AW8*$BI8),0)</f>
        <v>1.3846153846153846</v>
      </c>
      <c r="DA8" s="319">
        <f ca="1">IF($BI8&lt;&gt;"",IF('Capacity summary'!$D$14="Yes",IF(COUNTBLANK('Capacity summary'!$H127:$BG127)&lt;52,IF('Capacity summary'!AX127&lt;&gt;"",$BI8*AX8,0),AX8*$BI8),AX8*$BI8),0)</f>
        <v>1.3846153846153846</v>
      </c>
      <c r="DB8" s="319">
        <f ca="1">IF($BI8&lt;&gt;"",IF('Capacity summary'!$D$14="Yes",IF(COUNTBLANK('Capacity summary'!$H127:$BG127)&lt;52,IF('Capacity summary'!AY127&lt;&gt;"",$BI8*AY8,0),AY8*$BI8),AY8*$BI8),0)</f>
        <v>1.3846153846153846</v>
      </c>
      <c r="DC8" s="319">
        <f ca="1">IF($BI8&lt;&gt;"",IF('Capacity summary'!$D$14="Yes",IF(COUNTBLANK('Capacity summary'!$H127:$BG127)&lt;52,IF('Capacity summary'!AZ127&lt;&gt;"",$BI8*AZ8,0),AZ8*$BI8),AZ8*$BI8),0)</f>
        <v>1.3846153846153846</v>
      </c>
      <c r="DD8" s="319">
        <f ca="1">IF($BI8&lt;&gt;"",IF('Capacity summary'!$D$14="Yes",IF(COUNTBLANK('Capacity summary'!$H127:$BG127)&lt;52,IF('Capacity summary'!BA127&lt;&gt;"",$BI8*BA8,0),BA8*$BI8),BA8*$BI8),0)</f>
        <v>1.3846153846153846</v>
      </c>
      <c r="DE8" s="319">
        <f ca="1">IF($BI8&lt;&gt;"",IF('Capacity summary'!$D$14="Yes",IF(COUNTBLANK('Capacity summary'!$H127:$BG127)&lt;52,IF('Capacity summary'!BB127&lt;&gt;"",$BI8*BB8,0),BB8*$BI8),BB8*$BI8),0)</f>
        <v>1.3846153846153846</v>
      </c>
      <c r="DF8" s="319">
        <f ca="1">IF($BI8&lt;&gt;"",IF('Capacity summary'!$D$14="Yes",IF(COUNTBLANK('Capacity summary'!$H127:$BG127)&lt;52,IF('Capacity summary'!BC127&lt;&gt;"",$BI8*BC8,0),BC8*$BI8),BC8*$BI8),0)</f>
        <v>1.3846153846153846</v>
      </c>
      <c r="DG8" s="319">
        <f ca="1">IF($BI8&lt;&gt;"",IF('Capacity summary'!$D$14="Yes",IF(COUNTBLANK('Capacity summary'!$H127:$BG127)&lt;52,IF('Capacity summary'!BD127&lt;&gt;"",$BI8*BD8,0),BD8*$BI8),BD8*$BI8),0)</f>
        <v>1.3846153846153846</v>
      </c>
      <c r="DH8" s="319">
        <f ca="1">IF($BI8&lt;&gt;"",IF('Capacity summary'!$D$14="Yes",IF(COUNTBLANK('Capacity summary'!$H127:$BG127)&lt;52,IF('Capacity summary'!BE127&lt;&gt;"",$BI8*BE8,0),BE8*$BI8),BE8*$BI8),0)</f>
        <v>1.3846153846153846</v>
      </c>
      <c r="DI8" s="319">
        <f ca="1">IF($BI8&lt;&gt;"",IF('Capacity summary'!$D$14="Yes",IF(COUNTBLANK('Capacity summary'!$H127:$BG127)&lt;52,IF('Capacity summary'!BF127&lt;&gt;"",$BI8*BF8,0),BF8*$BI8),BF8*$BI8),0)</f>
        <v>1.3846153846153846</v>
      </c>
      <c r="DJ8" s="319">
        <f ca="1">IF($BI8&lt;&gt;"",IF('Capacity summary'!$D$14="Yes",IF(COUNTBLANK('Capacity summary'!$H127:$BG127)&lt;52,IF('Capacity summary'!BG127&lt;&gt;"",$BI8*BG8,0),BG8*$BI8),BG8*$BI8),0)</f>
        <v>1.3846153846153846</v>
      </c>
      <c r="DK8" s="5">
        <f t="shared" ca="1" si="2"/>
        <v>72.000000000000043</v>
      </c>
      <c r="DL8" s="5">
        <f>Capacity!H20</f>
        <v>72</v>
      </c>
      <c r="DP8" s="5"/>
    </row>
    <row r="9" spans="2:120" x14ac:dyDescent="0.2">
      <c r="B9" s="68"/>
      <c r="C9" s="68" t="str">
        <f>ROW(A5)&amp;". "&amp;Capacity!B21</f>
        <v xml:space="preserve">5. </v>
      </c>
      <c r="D9" s="68">
        <f>'Capacity setup'!C16</f>
        <v>0</v>
      </c>
      <c r="E9" s="68">
        <f>'Capacity setup'!D16</f>
        <v>0</v>
      </c>
      <c r="F9" s="68">
        <f>'Capacity setup'!E16</f>
        <v>0</v>
      </c>
      <c r="H9" s="68">
        <f ca="1">IF(AND(SUMIF(Capacity_Resource,$D9,'Critical resources (hide)'!U$6:U$105)+SUMIF(Capacity_Resource,$E9,'Critical resources (hide)'!U$6:U$105)+SUMIF(Capacity_Resource,$F9,'Critical resources (hide)'!U$6:U$105)&gt;0,$E$1=2),0,1)</f>
        <v>1</v>
      </c>
      <c r="I9" s="68">
        <f ca="1">IF(AND(SUMIF(Capacity_Resource,$D9,'Critical resources (hide)'!V$6:V$105)+SUMIF(Capacity_Resource,$E9,'Critical resources (hide)'!V$6:V$105)+SUMIF(Capacity_Resource,$F9,'Critical resources (hide)'!V$6:V$105)&gt;0,$E$1=2),0,1)</f>
        <v>1</v>
      </c>
      <c r="J9" s="68">
        <f ca="1">IF(AND(SUMIF(Capacity_Resource,$D9,'Critical resources (hide)'!W$6:W$105)+SUMIF(Capacity_Resource,$E9,'Critical resources (hide)'!W$6:W$105)+SUMIF(Capacity_Resource,$F9,'Critical resources (hide)'!W$6:W$105)&gt;0,$E$1=2),0,1)</f>
        <v>1</v>
      </c>
      <c r="K9" s="68">
        <f ca="1">IF(AND(SUMIF(Capacity_Resource,$D9,'Critical resources (hide)'!X$6:X$105)+SUMIF(Capacity_Resource,$E9,'Critical resources (hide)'!X$6:X$105)+SUMIF(Capacity_Resource,$F9,'Critical resources (hide)'!X$6:X$105)&gt;0,$E$1=2),0,1)</f>
        <v>1</v>
      </c>
      <c r="L9" s="68">
        <f ca="1">IF(AND(SUMIF(Capacity_Resource,$D9,'Critical resources (hide)'!Y$6:Y$105)+SUMIF(Capacity_Resource,$E9,'Critical resources (hide)'!Y$6:Y$105)+SUMIF(Capacity_Resource,$F9,'Critical resources (hide)'!Y$6:Y$105)&gt;0,$E$1=2),0,1)</f>
        <v>1</v>
      </c>
      <c r="M9" s="68">
        <f ca="1">IF(AND(SUMIF(Capacity_Resource,$D9,'Critical resources (hide)'!Z$6:Z$105)+SUMIF(Capacity_Resource,$E9,'Critical resources (hide)'!Z$6:Z$105)+SUMIF(Capacity_Resource,$F9,'Critical resources (hide)'!Z$6:Z$105)&gt;0,$E$1=2),0,1)</f>
        <v>1</v>
      </c>
      <c r="N9" s="68">
        <f ca="1">IF(AND(SUMIF(Capacity_Resource,$D9,'Critical resources (hide)'!AA$6:AA$105)+SUMIF(Capacity_Resource,$E9,'Critical resources (hide)'!AA$6:AA$105)+SUMIF(Capacity_Resource,$F9,'Critical resources (hide)'!AA$6:AA$105)&gt;0,$E$1=2),0,1)</f>
        <v>1</v>
      </c>
      <c r="O9" s="68">
        <f ca="1">IF(AND(SUMIF(Capacity_Resource,$D9,'Critical resources (hide)'!AB$6:AB$105)+SUMIF(Capacity_Resource,$E9,'Critical resources (hide)'!AB$6:AB$105)+SUMIF(Capacity_Resource,$F9,'Critical resources (hide)'!AB$6:AB$105)&gt;0,$E$1=2),0,1)</f>
        <v>1</v>
      </c>
      <c r="P9" s="68">
        <f ca="1">IF(AND(SUMIF(Capacity_Resource,$D9,'Critical resources (hide)'!AC$6:AC$105)+SUMIF(Capacity_Resource,$E9,'Critical resources (hide)'!AC$6:AC$105)+SUMIF(Capacity_Resource,$F9,'Critical resources (hide)'!AC$6:AC$105)&gt;0,$E$1=2),0,1)</f>
        <v>1</v>
      </c>
      <c r="Q9" s="68">
        <f ca="1">IF(AND(SUMIF(Capacity_Resource,$D9,'Critical resources (hide)'!AD$6:AD$105)+SUMIF(Capacity_Resource,$E9,'Critical resources (hide)'!AD$6:AD$105)+SUMIF(Capacity_Resource,$F9,'Critical resources (hide)'!AD$6:AD$105)&gt;0,$E$1=2),0,1)</f>
        <v>1</v>
      </c>
      <c r="R9" s="68">
        <f ca="1">IF(AND(SUMIF(Capacity_Resource,$D9,'Critical resources (hide)'!AE$6:AE$105)+SUMIF(Capacity_Resource,$E9,'Critical resources (hide)'!AE$6:AE$105)+SUMIF(Capacity_Resource,$F9,'Critical resources (hide)'!AE$6:AE$105)&gt;0,$E$1=2),0,1)</f>
        <v>1</v>
      </c>
      <c r="S9" s="68">
        <f ca="1">IF(AND(SUMIF(Capacity_Resource,$D9,'Critical resources (hide)'!AF$6:AF$105)+SUMIF(Capacity_Resource,$E9,'Critical resources (hide)'!AF$6:AF$105)+SUMIF(Capacity_Resource,$F9,'Critical resources (hide)'!AF$6:AF$105)&gt;0,$E$1=2),0,1)</f>
        <v>1</v>
      </c>
      <c r="T9" s="68">
        <f ca="1">IF(AND(SUMIF(Capacity_Resource,$D9,'Critical resources (hide)'!AG$6:AG$105)+SUMIF(Capacity_Resource,$E9,'Critical resources (hide)'!AG$6:AG$105)+SUMIF(Capacity_Resource,$F9,'Critical resources (hide)'!AG$6:AG$105)&gt;0,$E$1=2),0,1)</f>
        <v>1</v>
      </c>
      <c r="U9" s="68">
        <f ca="1">IF(AND(SUMIF(Capacity_Resource,$D9,'Critical resources (hide)'!AH$6:AH$105)+SUMIF(Capacity_Resource,$E9,'Critical resources (hide)'!AH$6:AH$105)+SUMIF(Capacity_Resource,$F9,'Critical resources (hide)'!AH$6:AH$105)&gt;0,$E$1=2),0,1)</f>
        <v>1</v>
      </c>
      <c r="V9" s="68">
        <f ca="1">IF(AND(SUMIF(Capacity_Resource,$D9,'Critical resources (hide)'!AI$6:AI$105)+SUMIF(Capacity_Resource,$E9,'Critical resources (hide)'!AI$6:AI$105)+SUMIF(Capacity_Resource,$F9,'Critical resources (hide)'!AI$6:AI$105)&gt;0,$E$1=2),0,1)</f>
        <v>1</v>
      </c>
      <c r="W9" s="68">
        <f ca="1">IF(AND(SUMIF(Capacity_Resource,$D9,'Critical resources (hide)'!AJ$6:AJ$105)+SUMIF(Capacity_Resource,$E9,'Critical resources (hide)'!AJ$6:AJ$105)+SUMIF(Capacity_Resource,$F9,'Critical resources (hide)'!AJ$6:AJ$105)&gt;0,$E$1=2),0,1)</f>
        <v>1</v>
      </c>
      <c r="X9" s="68">
        <f ca="1">IF(AND(SUMIF(Capacity_Resource,$D9,'Critical resources (hide)'!AK$6:AK$105)+SUMIF(Capacity_Resource,$E9,'Critical resources (hide)'!AK$6:AK$105)+SUMIF(Capacity_Resource,$F9,'Critical resources (hide)'!AK$6:AK$105)&gt;0,$E$1=2),0,1)</f>
        <v>1</v>
      </c>
      <c r="Y9" s="68">
        <f ca="1">IF(AND(SUMIF(Capacity_Resource,$D9,'Critical resources (hide)'!AL$6:AL$105)+SUMIF(Capacity_Resource,$E9,'Critical resources (hide)'!AL$6:AL$105)+SUMIF(Capacity_Resource,$F9,'Critical resources (hide)'!AL$6:AL$105)&gt;0,$E$1=2),0,1)</f>
        <v>1</v>
      </c>
      <c r="Z9" s="68">
        <f ca="1">IF(AND(SUMIF(Capacity_Resource,$D9,'Critical resources (hide)'!AM$6:AM$105)+SUMIF(Capacity_Resource,$E9,'Critical resources (hide)'!AM$6:AM$105)+SUMIF(Capacity_Resource,$F9,'Critical resources (hide)'!AM$6:AM$105)&gt;0,$E$1=2),0,1)</f>
        <v>1</v>
      </c>
      <c r="AA9" s="68">
        <f ca="1">IF(AND(SUMIF(Capacity_Resource,$D9,'Critical resources (hide)'!AN$6:AN$105)+SUMIF(Capacity_Resource,$E9,'Critical resources (hide)'!AN$6:AN$105)+SUMIF(Capacity_Resource,$F9,'Critical resources (hide)'!AN$6:AN$105)&gt;0,$E$1=2),0,1)</f>
        <v>1</v>
      </c>
      <c r="AB9" s="68">
        <f ca="1">IF(AND(SUMIF(Capacity_Resource,$D9,'Critical resources (hide)'!AO$6:AO$105)+SUMIF(Capacity_Resource,$E9,'Critical resources (hide)'!AO$6:AO$105)+SUMIF(Capacity_Resource,$F9,'Critical resources (hide)'!AO$6:AO$105)&gt;0,$E$1=2),0,1)</f>
        <v>1</v>
      </c>
      <c r="AC9" s="68">
        <f ca="1">IF(AND(SUMIF(Capacity_Resource,$D9,'Critical resources (hide)'!AP$6:AP$105)+SUMIF(Capacity_Resource,$E9,'Critical resources (hide)'!AP$6:AP$105)+SUMIF(Capacity_Resource,$F9,'Critical resources (hide)'!AP$6:AP$105)&gt;0,$E$1=2),0,1)</f>
        <v>1</v>
      </c>
      <c r="AD9" s="68">
        <f ca="1">IF(AND(SUMIF(Capacity_Resource,$D9,'Critical resources (hide)'!AQ$6:AQ$105)+SUMIF(Capacity_Resource,$E9,'Critical resources (hide)'!AQ$6:AQ$105)+SUMIF(Capacity_Resource,$F9,'Critical resources (hide)'!AQ$6:AQ$105)&gt;0,$E$1=2),0,1)</f>
        <v>1</v>
      </c>
      <c r="AE9" s="68">
        <f ca="1">IF(AND(SUMIF(Capacity_Resource,$D9,'Critical resources (hide)'!AR$6:AR$105)+SUMIF(Capacity_Resource,$E9,'Critical resources (hide)'!AR$6:AR$105)+SUMIF(Capacity_Resource,$F9,'Critical resources (hide)'!AR$6:AR$105)&gt;0,$E$1=2),0,1)</f>
        <v>1</v>
      </c>
      <c r="AF9" s="68">
        <f ca="1">IF(AND(SUMIF(Capacity_Resource,$D9,'Critical resources (hide)'!AS$6:AS$105)+SUMIF(Capacity_Resource,$E9,'Critical resources (hide)'!AS$6:AS$105)+SUMIF(Capacity_Resource,$F9,'Critical resources (hide)'!AS$6:AS$105)&gt;0,$E$1=2),0,1)</f>
        <v>1</v>
      </c>
      <c r="AG9" s="68">
        <f ca="1">IF(AND(SUMIF(Capacity_Resource,$D9,'Critical resources (hide)'!AT$6:AT$105)+SUMIF(Capacity_Resource,$E9,'Critical resources (hide)'!AT$6:AT$105)+SUMIF(Capacity_Resource,$F9,'Critical resources (hide)'!AT$6:AT$105)&gt;0,$E$1=2),0,1)</f>
        <v>1</v>
      </c>
      <c r="AH9" s="68">
        <f ca="1">IF(AND(SUMIF(Capacity_Resource,$D9,'Critical resources (hide)'!AU$6:AU$105)+SUMIF(Capacity_Resource,$E9,'Critical resources (hide)'!AU$6:AU$105)+SUMIF(Capacity_Resource,$F9,'Critical resources (hide)'!AU$6:AU$105)&gt;0,$E$1=2),0,1)</f>
        <v>1</v>
      </c>
      <c r="AI9" s="68">
        <f ca="1">IF(AND(SUMIF(Capacity_Resource,$D9,'Critical resources (hide)'!AV$6:AV$105)+SUMIF(Capacity_Resource,$E9,'Critical resources (hide)'!AV$6:AV$105)+SUMIF(Capacity_Resource,$F9,'Critical resources (hide)'!AV$6:AV$105)&gt;0,$E$1=2),0,1)</f>
        <v>1</v>
      </c>
      <c r="AJ9" s="68">
        <f ca="1">IF(AND(SUMIF(Capacity_Resource,$D9,'Critical resources (hide)'!AW$6:AW$105)+SUMIF(Capacity_Resource,$E9,'Critical resources (hide)'!AW$6:AW$105)+SUMIF(Capacity_Resource,$F9,'Critical resources (hide)'!AW$6:AW$105)&gt;0,$E$1=2),0,1)</f>
        <v>1</v>
      </c>
      <c r="AK9" s="68">
        <f ca="1">IF(AND(SUMIF(Capacity_Resource,$D9,'Critical resources (hide)'!AX$6:AX$105)+SUMIF(Capacity_Resource,$E9,'Critical resources (hide)'!AX$6:AX$105)+SUMIF(Capacity_Resource,$F9,'Critical resources (hide)'!AX$6:AX$105)&gt;0,$E$1=2),0,1)</f>
        <v>1</v>
      </c>
      <c r="AL9" s="68">
        <f ca="1">IF(AND(SUMIF(Capacity_Resource,$D9,'Critical resources (hide)'!AY$6:AY$105)+SUMIF(Capacity_Resource,$E9,'Critical resources (hide)'!AY$6:AY$105)+SUMIF(Capacity_Resource,$F9,'Critical resources (hide)'!AY$6:AY$105)&gt;0,$E$1=2),0,1)</f>
        <v>1</v>
      </c>
      <c r="AM9" s="68">
        <f ca="1">IF(AND(SUMIF(Capacity_Resource,$D9,'Critical resources (hide)'!AZ$6:AZ$105)+SUMIF(Capacity_Resource,$E9,'Critical resources (hide)'!AZ$6:AZ$105)+SUMIF(Capacity_Resource,$F9,'Critical resources (hide)'!AZ$6:AZ$105)&gt;0,$E$1=2),0,1)</f>
        <v>1</v>
      </c>
      <c r="AN9" s="68">
        <f ca="1">IF(AND(SUMIF(Capacity_Resource,$D9,'Critical resources (hide)'!BA$6:BA$105)+SUMIF(Capacity_Resource,$E9,'Critical resources (hide)'!BA$6:BA$105)+SUMIF(Capacity_Resource,$F9,'Critical resources (hide)'!BA$6:BA$105)&gt;0,$E$1=2),0,1)</f>
        <v>1</v>
      </c>
      <c r="AO9" s="68">
        <f ca="1">IF(AND(SUMIF(Capacity_Resource,$D9,'Critical resources (hide)'!BB$6:BB$105)+SUMIF(Capacity_Resource,$E9,'Critical resources (hide)'!BB$6:BB$105)+SUMIF(Capacity_Resource,$F9,'Critical resources (hide)'!BB$6:BB$105)&gt;0,$E$1=2),0,1)</f>
        <v>1</v>
      </c>
      <c r="AP9" s="68">
        <f ca="1">IF(AND(SUMIF(Capacity_Resource,$D9,'Critical resources (hide)'!BC$6:BC$105)+SUMIF(Capacity_Resource,$E9,'Critical resources (hide)'!BC$6:BC$105)+SUMIF(Capacity_Resource,$F9,'Critical resources (hide)'!BC$6:BC$105)&gt;0,$E$1=2),0,1)</f>
        <v>1</v>
      </c>
      <c r="AQ9" s="68">
        <f ca="1">IF(AND(SUMIF(Capacity_Resource,$D9,'Critical resources (hide)'!BD$6:BD$105)+SUMIF(Capacity_Resource,$E9,'Critical resources (hide)'!BD$6:BD$105)+SUMIF(Capacity_Resource,$F9,'Critical resources (hide)'!BD$6:BD$105)&gt;0,$E$1=2),0,1)</f>
        <v>1</v>
      </c>
      <c r="AR9" s="68">
        <f ca="1">IF(AND(SUMIF(Capacity_Resource,$D9,'Critical resources (hide)'!BE$6:BE$105)+SUMIF(Capacity_Resource,$E9,'Critical resources (hide)'!BE$6:BE$105)+SUMIF(Capacity_Resource,$F9,'Critical resources (hide)'!BE$6:BE$105)&gt;0,$E$1=2),0,1)</f>
        <v>1</v>
      </c>
      <c r="AS9" s="68">
        <f ca="1">IF(AND(SUMIF(Capacity_Resource,$D9,'Critical resources (hide)'!BF$6:BF$105)+SUMIF(Capacity_Resource,$E9,'Critical resources (hide)'!BF$6:BF$105)+SUMIF(Capacity_Resource,$F9,'Critical resources (hide)'!BF$6:BF$105)&gt;0,$E$1=2),0,1)</f>
        <v>1</v>
      </c>
      <c r="AT9" s="68">
        <f ca="1">IF(AND(SUMIF(Capacity_Resource,$D9,'Critical resources (hide)'!BG$6:BG$105)+SUMIF(Capacity_Resource,$E9,'Critical resources (hide)'!BG$6:BG$105)+SUMIF(Capacity_Resource,$F9,'Critical resources (hide)'!BG$6:BG$105)&gt;0,$E$1=2),0,1)</f>
        <v>1</v>
      </c>
      <c r="AU9" s="68">
        <f ca="1">IF(AND(SUMIF(Capacity_Resource,$D9,'Critical resources (hide)'!BH$6:BH$105)+SUMIF(Capacity_Resource,$E9,'Critical resources (hide)'!BH$6:BH$105)+SUMIF(Capacity_Resource,$F9,'Critical resources (hide)'!BH$6:BH$105)&gt;0,$E$1=2),0,1)</f>
        <v>1</v>
      </c>
      <c r="AV9" s="68">
        <f ca="1">IF(AND(SUMIF(Capacity_Resource,$D9,'Critical resources (hide)'!BI$6:BI$105)+SUMIF(Capacity_Resource,$E9,'Critical resources (hide)'!BI$6:BI$105)+SUMIF(Capacity_Resource,$F9,'Critical resources (hide)'!BI$6:BI$105)&gt;0,$E$1=2),0,1)</f>
        <v>1</v>
      </c>
      <c r="AW9" s="68">
        <f ca="1">IF(AND(SUMIF(Capacity_Resource,$D9,'Critical resources (hide)'!BJ$6:BJ$105)+SUMIF(Capacity_Resource,$E9,'Critical resources (hide)'!BJ$6:BJ$105)+SUMIF(Capacity_Resource,$F9,'Critical resources (hide)'!BJ$6:BJ$105)&gt;0,$E$1=2),0,1)</f>
        <v>1</v>
      </c>
      <c r="AX9" s="68">
        <f ca="1">IF(AND(SUMIF(Capacity_Resource,$D9,'Critical resources (hide)'!BK$6:BK$105)+SUMIF(Capacity_Resource,$E9,'Critical resources (hide)'!BK$6:BK$105)+SUMIF(Capacity_Resource,$F9,'Critical resources (hide)'!BK$6:BK$105)&gt;0,$E$1=2),0,1)</f>
        <v>1</v>
      </c>
      <c r="AY9" s="68">
        <f ca="1">IF(AND(SUMIF(Capacity_Resource,$D9,'Critical resources (hide)'!BL$6:BL$105)+SUMIF(Capacity_Resource,$E9,'Critical resources (hide)'!BL$6:BL$105)+SUMIF(Capacity_Resource,$F9,'Critical resources (hide)'!BL$6:BL$105)&gt;0,$E$1=2),0,1)</f>
        <v>1</v>
      </c>
      <c r="AZ9" s="68">
        <f ca="1">IF(AND(SUMIF(Capacity_Resource,$D9,'Critical resources (hide)'!BM$6:BM$105)+SUMIF(Capacity_Resource,$E9,'Critical resources (hide)'!BM$6:BM$105)+SUMIF(Capacity_Resource,$F9,'Critical resources (hide)'!BM$6:BM$105)&gt;0,$E$1=2),0,1)</f>
        <v>1</v>
      </c>
      <c r="BA9" s="68">
        <f ca="1">IF(AND(SUMIF(Capacity_Resource,$D9,'Critical resources (hide)'!BN$6:BN$105)+SUMIF(Capacity_Resource,$E9,'Critical resources (hide)'!BN$6:BN$105)+SUMIF(Capacity_Resource,$F9,'Critical resources (hide)'!BN$6:BN$105)&gt;0,$E$1=2),0,1)</f>
        <v>1</v>
      </c>
      <c r="BB9" s="68">
        <f ca="1">IF(AND(SUMIF(Capacity_Resource,$D9,'Critical resources (hide)'!BO$6:BO$105)+SUMIF(Capacity_Resource,$E9,'Critical resources (hide)'!BO$6:BO$105)+SUMIF(Capacity_Resource,$F9,'Critical resources (hide)'!BO$6:BO$105)&gt;0,$E$1=2),0,1)</f>
        <v>1</v>
      </c>
      <c r="BC9" s="68">
        <f ca="1">IF(AND(SUMIF(Capacity_Resource,$D9,'Critical resources (hide)'!BP$6:BP$105)+SUMIF(Capacity_Resource,$E9,'Critical resources (hide)'!BP$6:BP$105)+SUMIF(Capacity_Resource,$F9,'Critical resources (hide)'!BP$6:BP$105)&gt;0,$E$1=2),0,1)</f>
        <v>1</v>
      </c>
      <c r="BD9" s="68">
        <f ca="1">IF(AND(SUMIF(Capacity_Resource,$D9,'Critical resources (hide)'!BQ$6:BQ$105)+SUMIF(Capacity_Resource,$E9,'Critical resources (hide)'!BQ$6:BQ$105)+SUMIF(Capacity_Resource,$F9,'Critical resources (hide)'!BQ$6:BQ$105)&gt;0,$E$1=2),0,1)</f>
        <v>1</v>
      </c>
      <c r="BE9" s="68">
        <f ca="1">IF(AND(SUMIF(Capacity_Resource,$D9,'Critical resources (hide)'!BR$6:BR$105)+SUMIF(Capacity_Resource,$E9,'Critical resources (hide)'!BR$6:BR$105)+SUMIF(Capacity_Resource,$F9,'Critical resources (hide)'!BR$6:BR$105)&gt;0,$E$1=2),0,1)</f>
        <v>1</v>
      </c>
      <c r="BF9" s="68">
        <f ca="1">IF(AND(SUMIF(Capacity_Resource,$D9,'Critical resources (hide)'!BS$6:BS$105)+SUMIF(Capacity_Resource,$E9,'Critical resources (hide)'!BS$6:BS$105)+SUMIF(Capacity_Resource,$F9,'Critical resources (hide)'!BS$6:BS$105)&gt;0,$E$1=2),0,1)</f>
        <v>1</v>
      </c>
      <c r="BG9" s="68">
        <f ca="1">IF(AND(SUMIF(Capacity_Resource,$D9,'Critical resources (hide)'!BT$6:BT$105)+SUMIF(Capacity_Resource,$E9,'Critical resources (hide)'!BT$6:BT$105)+SUMIF(Capacity_Resource,$F9,'Critical resources (hide)'!BT$6:BT$105)&gt;0,$E$1=2),0,1)</f>
        <v>1</v>
      </c>
      <c r="BH9" s="68">
        <f>IF(ROW(C5)&lt;=Capacity!$A$16,IF('Capacity summary'!$D$14="No",SUM(H9:BG9),'Capacity summary'!$E128),0)</f>
        <v>0</v>
      </c>
      <c r="BI9" s="5" t="str">
        <f>IF(BH9&gt;0,IF(BH9&lt;Capacity!E21,Capacity!F21,Capacity!H21/'Capacity calculation (hide)'!BH9),"")</f>
        <v/>
      </c>
      <c r="BK9" s="319">
        <f>IF($BI9&lt;&gt;"",IF('Capacity summary'!$D$14="Yes",IF(COUNTBLANK('Capacity summary'!$H128:$BG128)&lt;52,IF('Capacity summary'!H128&lt;&gt;"",$BI9*H9,0),H9*$BI9),H9*$BI9),0)</f>
        <v>0</v>
      </c>
      <c r="BL9" s="319">
        <f>IF($BI9&lt;&gt;"",IF('Capacity summary'!$D$14="Yes",IF(COUNTBLANK('Capacity summary'!$H128:$BG128)&lt;52,IF('Capacity summary'!I128&lt;&gt;"",$BI9*I9,0),I9*$BI9),I9*$BI9),0)</f>
        <v>0</v>
      </c>
      <c r="BM9" s="319">
        <f>IF($BI9&lt;&gt;"",IF('Capacity summary'!$D$14="Yes",IF(COUNTBLANK('Capacity summary'!$H128:$BG128)&lt;52,IF('Capacity summary'!J128&lt;&gt;"",$BI9*J9,0),J9*$BI9),J9*$BI9),0)</f>
        <v>0</v>
      </c>
      <c r="BN9" s="319">
        <f>IF($BI9&lt;&gt;"",IF('Capacity summary'!$D$14="Yes",IF(COUNTBLANK('Capacity summary'!$H128:$BG128)&lt;52,IF('Capacity summary'!K128&lt;&gt;"",$BI9*K9,0),K9*$BI9),K9*$BI9),0)</f>
        <v>0</v>
      </c>
      <c r="BO9" s="319">
        <f>IF($BI9&lt;&gt;"",IF('Capacity summary'!$D$14="Yes",IF(COUNTBLANK('Capacity summary'!$H128:$BG128)&lt;52,IF('Capacity summary'!L128&lt;&gt;"",$BI9*L9,0),L9*$BI9),L9*$BI9),0)</f>
        <v>0</v>
      </c>
      <c r="BP9" s="319">
        <f>IF($BI9&lt;&gt;"",IF('Capacity summary'!$D$14="Yes",IF(COUNTBLANK('Capacity summary'!$H128:$BG128)&lt;52,IF('Capacity summary'!M128&lt;&gt;"",$BI9*M9,0),M9*$BI9),M9*$BI9),0)</f>
        <v>0</v>
      </c>
      <c r="BQ9" s="319">
        <f>IF($BI9&lt;&gt;"",IF('Capacity summary'!$D$14="Yes",IF(COUNTBLANK('Capacity summary'!$H128:$BG128)&lt;52,IF('Capacity summary'!N128&lt;&gt;"",$BI9*N9,0),N9*$BI9),N9*$BI9),0)</f>
        <v>0</v>
      </c>
      <c r="BR9" s="319">
        <f>IF($BI9&lt;&gt;"",IF('Capacity summary'!$D$14="Yes",IF(COUNTBLANK('Capacity summary'!$H128:$BG128)&lt;52,IF('Capacity summary'!O128&lt;&gt;"",$BI9*O9,0),O9*$BI9),O9*$BI9),0)</f>
        <v>0</v>
      </c>
      <c r="BS9" s="319">
        <f>IF($BI9&lt;&gt;"",IF('Capacity summary'!$D$14="Yes",IF(COUNTBLANK('Capacity summary'!$H128:$BG128)&lt;52,IF('Capacity summary'!P128&lt;&gt;"",$BI9*P9,0),P9*$BI9),P9*$BI9),0)</f>
        <v>0</v>
      </c>
      <c r="BT9" s="319">
        <f>IF($BI9&lt;&gt;"",IF('Capacity summary'!$D$14="Yes",IF(COUNTBLANK('Capacity summary'!$H128:$BG128)&lt;52,IF('Capacity summary'!Q128&lt;&gt;"",$BI9*Q9,0),Q9*$BI9),Q9*$BI9),0)</f>
        <v>0</v>
      </c>
      <c r="BU9" s="319">
        <f>IF($BI9&lt;&gt;"",IF('Capacity summary'!$D$14="Yes",IF(COUNTBLANK('Capacity summary'!$H128:$BG128)&lt;52,IF('Capacity summary'!R128&lt;&gt;"",$BI9*R9,0),R9*$BI9),R9*$BI9),0)</f>
        <v>0</v>
      </c>
      <c r="BV9" s="319">
        <f>IF($BI9&lt;&gt;"",IF('Capacity summary'!$D$14="Yes",IF(COUNTBLANK('Capacity summary'!$H128:$BG128)&lt;52,IF('Capacity summary'!S128&lt;&gt;"",$BI9*S9,0),S9*$BI9),S9*$BI9),0)</f>
        <v>0</v>
      </c>
      <c r="BW9" s="319">
        <f>IF($BI9&lt;&gt;"",IF('Capacity summary'!$D$14="Yes",IF(COUNTBLANK('Capacity summary'!$H128:$BG128)&lt;52,IF('Capacity summary'!T128&lt;&gt;"",$BI9*T9,0),T9*$BI9),T9*$BI9),0)</f>
        <v>0</v>
      </c>
      <c r="BX9" s="319">
        <f>IF($BI9&lt;&gt;"",IF('Capacity summary'!$D$14="Yes",IF(COUNTBLANK('Capacity summary'!$H128:$BG128)&lt;52,IF('Capacity summary'!U128&lt;&gt;"",$BI9*U9,0),U9*$BI9),U9*$BI9),0)</f>
        <v>0</v>
      </c>
      <c r="BY9" s="319">
        <f>IF($BI9&lt;&gt;"",IF('Capacity summary'!$D$14="Yes",IF(COUNTBLANK('Capacity summary'!$H128:$BG128)&lt;52,IF('Capacity summary'!V128&lt;&gt;"",$BI9*V9,0),V9*$BI9),V9*$BI9),0)</f>
        <v>0</v>
      </c>
      <c r="BZ9" s="319">
        <f>IF($BI9&lt;&gt;"",IF('Capacity summary'!$D$14="Yes",IF(COUNTBLANK('Capacity summary'!$H128:$BG128)&lt;52,IF('Capacity summary'!W128&lt;&gt;"",$BI9*W9,0),W9*$BI9),W9*$BI9),0)</f>
        <v>0</v>
      </c>
      <c r="CA9" s="319">
        <f>IF($BI9&lt;&gt;"",IF('Capacity summary'!$D$14="Yes",IF(COUNTBLANK('Capacity summary'!$H128:$BG128)&lt;52,IF('Capacity summary'!X128&lt;&gt;"",$BI9*X9,0),X9*$BI9),X9*$BI9),0)</f>
        <v>0</v>
      </c>
      <c r="CB9" s="319">
        <f>IF($BI9&lt;&gt;"",IF('Capacity summary'!$D$14="Yes",IF(COUNTBLANK('Capacity summary'!$H128:$BG128)&lt;52,IF('Capacity summary'!Y128&lt;&gt;"",$BI9*Y9,0),Y9*$BI9),Y9*$BI9),0)</f>
        <v>0</v>
      </c>
      <c r="CC9" s="319">
        <f>IF($BI9&lt;&gt;"",IF('Capacity summary'!$D$14="Yes",IF(COUNTBLANK('Capacity summary'!$H128:$BG128)&lt;52,IF('Capacity summary'!Z128&lt;&gt;"",$BI9*Z9,0),Z9*$BI9),Z9*$BI9),0)</f>
        <v>0</v>
      </c>
      <c r="CD9" s="319">
        <f>IF($BI9&lt;&gt;"",IF('Capacity summary'!$D$14="Yes",IF(COUNTBLANK('Capacity summary'!$H128:$BG128)&lt;52,IF('Capacity summary'!AA128&lt;&gt;"",$BI9*AA9,0),AA9*$BI9),AA9*$BI9),0)</f>
        <v>0</v>
      </c>
      <c r="CE9" s="319">
        <f>IF($BI9&lt;&gt;"",IF('Capacity summary'!$D$14="Yes",IF(COUNTBLANK('Capacity summary'!$H128:$BG128)&lt;52,IF('Capacity summary'!AB128&lt;&gt;"",$BI9*AB9,0),AB9*$BI9),AB9*$BI9),0)</f>
        <v>0</v>
      </c>
      <c r="CF9" s="319">
        <f>IF($BI9&lt;&gt;"",IF('Capacity summary'!$D$14="Yes",IF(COUNTBLANK('Capacity summary'!$H128:$BG128)&lt;52,IF('Capacity summary'!AC128&lt;&gt;"",$BI9*AC9,0),AC9*$BI9),AC9*$BI9),0)</f>
        <v>0</v>
      </c>
      <c r="CG9" s="319">
        <f>IF($BI9&lt;&gt;"",IF('Capacity summary'!$D$14="Yes",IF(COUNTBLANK('Capacity summary'!$H128:$BG128)&lt;52,IF('Capacity summary'!AD128&lt;&gt;"",$BI9*AD9,0),AD9*$BI9),AD9*$BI9),0)</f>
        <v>0</v>
      </c>
      <c r="CH9" s="319">
        <f>IF($BI9&lt;&gt;"",IF('Capacity summary'!$D$14="Yes",IF(COUNTBLANK('Capacity summary'!$H128:$BG128)&lt;52,IF('Capacity summary'!AE128&lt;&gt;"",$BI9*AE9,0),AE9*$BI9),AE9*$BI9),0)</f>
        <v>0</v>
      </c>
      <c r="CI9" s="319">
        <f>IF($BI9&lt;&gt;"",IF('Capacity summary'!$D$14="Yes",IF(COUNTBLANK('Capacity summary'!$H128:$BG128)&lt;52,IF('Capacity summary'!AF128&lt;&gt;"",$BI9*AF9,0),AF9*$BI9),AF9*$BI9),0)</f>
        <v>0</v>
      </c>
      <c r="CJ9" s="319">
        <f>IF($BI9&lt;&gt;"",IF('Capacity summary'!$D$14="Yes",IF(COUNTBLANK('Capacity summary'!$H128:$BG128)&lt;52,IF('Capacity summary'!AG128&lt;&gt;"",$BI9*AG9,0),AG9*$BI9),AG9*$BI9),0)</f>
        <v>0</v>
      </c>
      <c r="CK9" s="319">
        <f>IF($BI9&lt;&gt;"",IF('Capacity summary'!$D$14="Yes",IF(COUNTBLANK('Capacity summary'!$H128:$BG128)&lt;52,IF('Capacity summary'!AH128&lt;&gt;"",$BI9*AH9,0),AH9*$BI9),AH9*$BI9),0)</f>
        <v>0</v>
      </c>
      <c r="CL9" s="319">
        <f>IF($BI9&lt;&gt;"",IF('Capacity summary'!$D$14="Yes",IF(COUNTBLANK('Capacity summary'!$H128:$BG128)&lt;52,IF('Capacity summary'!AI128&lt;&gt;"",$BI9*AI9,0),AI9*$BI9),AI9*$BI9),0)</f>
        <v>0</v>
      </c>
      <c r="CM9" s="319">
        <f>IF($BI9&lt;&gt;"",IF('Capacity summary'!$D$14="Yes",IF(COUNTBLANK('Capacity summary'!$H128:$BG128)&lt;52,IF('Capacity summary'!AJ128&lt;&gt;"",$BI9*AJ9,0),AJ9*$BI9),AJ9*$BI9),0)</f>
        <v>0</v>
      </c>
      <c r="CN9" s="319">
        <f>IF($BI9&lt;&gt;"",IF('Capacity summary'!$D$14="Yes",IF(COUNTBLANK('Capacity summary'!$H128:$BG128)&lt;52,IF('Capacity summary'!AK128&lt;&gt;"",$BI9*AK9,0),AK9*$BI9),AK9*$BI9),0)</f>
        <v>0</v>
      </c>
      <c r="CO9" s="319">
        <f>IF($BI9&lt;&gt;"",IF('Capacity summary'!$D$14="Yes",IF(COUNTBLANK('Capacity summary'!$H128:$BG128)&lt;52,IF('Capacity summary'!AL128&lt;&gt;"",$BI9*AL9,0),AL9*$BI9),AL9*$BI9),0)</f>
        <v>0</v>
      </c>
      <c r="CP9" s="319">
        <f>IF($BI9&lt;&gt;"",IF('Capacity summary'!$D$14="Yes",IF(COUNTBLANK('Capacity summary'!$H128:$BG128)&lt;52,IF('Capacity summary'!AM128&lt;&gt;"",$BI9*AM9,0),AM9*$BI9),AM9*$BI9),0)</f>
        <v>0</v>
      </c>
      <c r="CQ9" s="319">
        <f>IF($BI9&lt;&gt;"",IF('Capacity summary'!$D$14="Yes",IF(COUNTBLANK('Capacity summary'!$H128:$BG128)&lt;52,IF('Capacity summary'!AN128&lt;&gt;"",$BI9*AN9,0),AN9*$BI9),AN9*$BI9),0)</f>
        <v>0</v>
      </c>
      <c r="CR9" s="319">
        <f>IF($BI9&lt;&gt;"",IF('Capacity summary'!$D$14="Yes",IF(COUNTBLANK('Capacity summary'!$H128:$BG128)&lt;52,IF('Capacity summary'!AO128&lt;&gt;"",$BI9*AO9,0),AO9*$BI9),AO9*$BI9),0)</f>
        <v>0</v>
      </c>
      <c r="CS9" s="319">
        <f>IF($BI9&lt;&gt;"",IF('Capacity summary'!$D$14="Yes",IF(COUNTBLANK('Capacity summary'!$H128:$BG128)&lt;52,IF('Capacity summary'!AP128&lt;&gt;"",$BI9*AP9,0),AP9*$BI9),AP9*$BI9),0)</f>
        <v>0</v>
      </c>
      <c r="CT9" s="319">
        <f>IF($BI9&lt;&gt;"",IF('Capacity summary'!$D$14="Yes",IF(COUNTBLANK('Capacity summary'!$H128:$BG128)&lt;52,IF('Capacity summary'!AQ128&lt;&gt;"",$BI9*AQ9,0),AQ9*$BI9),AQ9*$BI9),0)</f>
        <v>0</v>
      </c>
      <c r="CU9" s="319">
        <f>IF($BI9&lt;&gt;"",IF('Capacity summary'!$D$14="Yes",IF(COUNTBLANK('Capacity summary'!$H128:$BG128)&lt;52,IF('Capacity summary'!AR128&lt;&gt;"",$BI9*AR9,0),AR9*$BI9),AR9*$BI9),0)</f>
        <v>0</v>
      </c>
      <c r="CV9" s="319">
        <f>IF($BI9&lt;&gt;"",IF('Capacity summary'!$D$14="Yes",IF(COUNTBLANK('Capacity summary'!$H128:$BG128)&lt;52,IF('Capacity summary'!AS128&lt;&gt;"",$BI9*AS9,0),AS9*$BI9),AS9*$BI9),0)</f>
        <v>0</v>
      </c>
      <c r="CW9" s="319">
        <f>IF($BI9&lt;&gt;"",IF('Capacity summary'!$D$14="Yes",IF(COUNTBLANK('Capacity summary'!$H128:$BG128)&lt;52,IF('Capacity summary'!AT128&lt;&gt;"",$BI9*AT9,0),AT9*$BI9),AT9*$BI9),0)</f>
        <v>0</v>
      </c>
      <c r="CX9" s="319">
        <f>IF($BI9&lt;&gt;"",IF('Capacity summary'!$D$14="Yes",IF(COUNTBLANK('Capacity summary'!$H128:$BG128)&lt;52,IF('Capacity summary'!AU128&lt;&gt;"",$BI9*AU9,0),AU9*$BI9),AU9*$BI9),0)</f>
        <v>0</v>
      </c>
      <c r="CY9" s="319">
        <f>IF($BI9&lt;&gt;"",IF('Capacity summary'!$D$14="Yes",IF(COUNTBLANK('Capacity summary'!$H128:$BG128)&lt;52,IF('Capacity summary'!AV128&lt;&gt;"",$BI9*AV9,0),AV9*$BI9),AV9*$BI9),0)</f>
        <v>0</v>
      </c>
      <c r="CZ9" s="319">
        <f>IF($BI9&lt;&gt;"",IF('Capacity summary'!$D$14="Yes",IF(COUNTBLANK('Capacity summary'!$H128:$BG128)&lt;52,IF('Capacity summary'!AW128&lt;&gt;"",$BI9*AW9,0),AW9*$BI9),AW9*$BI9),0)</f>
        <v>0</v>
      </c>
      <c r="DA9" s="319">
        <f>IF($BI9&lt;&gt;"",IF('Capacity summary'!$D$14="Yes",IF(COUNTBLANK('Capacity summary'!$H128:$BG128)&lt;52,IF('Capacity summary'!AX128&lt;&gt;"",$BI9*AX9,0),AX9*$BI9),AX9*$BI9),0)</f>
        <v>0</v>
      </c>
      <c r="DB9" s="319">
        <f>IF($BI9&lt;&gt;"",IF('Capacity summary'!$D$14="Yes",IF(COUNTBLANK('Capacity summary'!$H128:$BG128)&lt;52,IF('Capacity summary'!AY128&lt;&gt;"",$BI9*AY9,0),AY9*$BI9),AY9*$BI9),0)</f>
        <v>0</v>
      </c>
      <c r="DC9" s="319">
        <f>IF($BI9&lt;&gt;"",IF('Capacity summary'!$D$14="Yes",IF(COUNTBLANK('Capacity summary'!$H128:$BG128)&lt;52,IF('Capacity summary'!AZ128&lt;&gt;"",$BI9*AZ9,0),AZ9*$BI9),AZ9*$BI9),0)</f>
        <v>0</v>
      </c>
      <c r="DD9" s="319">
        <f>IF($BI9&lt;&gt;"",IF('Capacity summary'!$D$14="Yes",IF(COUNTBLANK('Capacity summary'!$H128:$BG128)&lt;52,IF('Capacity summary'!BA128&lt;&gt;"",$BI9*BA9,0),BA9*$BI9),BA9*$BI9),0)</f>
        <v>0</v>
      </c>
      <c r="DE9" s="319">
        <f>IF($BI9&lt;&gt;"",IF('Capacity summary'!$D$14="Yes",IF(COUNTBLANK('Capacity summary'!$H128:$BG128)&lt;52,IF('Capacity summary'!BB128&lt;&gt;"",$BI9*BB9,0),BB9*$BI9),BB9*$BI9),0)</f>
        <v>0</v>
      </c>
      <c r="DF9" s="319">
        <f>IF($BI9&lt;&gt;"",IF('Capacity summary'!$D$14="Yes",IF(COUNTBLANK('Capacity summary'!$H128:$BG128)&lt;52,IF('Capacity summary'!BC128&lt;&gt;"",$BI9*BC9,0),BC9*$BI9),BC9*$BI9),0)</f>
        <v>0</v>
      </c>
      <c r="DG9" s="319">
        <f>IF($BI9&lt;&gt;"",IF('Capacity summary'!$D$14="Yes",IF(COUNTBLANK('Capacity summary'!$H128:$BG128)&lt;52,IF('Capacity summary'!BD128&lt;&gt;"",$BI9*BD9,0),BD9*$BI9),BD9*$BI9),0)</f>
        <v>0</v>
      </c>
      <c r="DH9" s="319">
        <f>IF($BI9&lt;&gt;"",IF('Capacity summary'!$D$14="Yes",IF(COUNTBLANK('Capacity summary'!$H128:$BG128)&lt;52,IF('Capacity summary'!BE128&lt;&gt;"",$BI9*BE9,0),BE9*$BI9),BE9*$BI9),0)</f>
        <v>0</v>
      </c>
      <c r="DI9" s="319">
        <f>IF($BI9&lt;&gt;"",IF('Capacity summary'!$D$14="Yes",IF(COUNTBLANK('Capacity summary'!$H128:$BG128)&lt;52,IF('Capacity summary'!BF128&lt;&gt;"",$BI9*BF9,0),BF9*$BI9),BF9*$BI9),0)</f>
        <v>0</v>
      </c>
      <c r="DJ9" s="319">
        <f>IF($BI9&lt;&gt;"",IF('Capacity summary'!$D$14="Yes",IF(COUNTBLANK('Capacity summary'!$H128:$BG128)&lt;52,IF('Capacity summary'!BG128&lt;&gt;"",$BI9*BG9,0),BG9*$BI9),BG9*$BI9),0)</f>
        <v>0</v>
      </c>
      <c r="DK9" s="5">
        <f t="shared" si="2"/>
        <v>0</v>
      </c>
      <c r="DL9" s="5" t="str">
        <f>Capacity!H21</f>
        <v/>
      </c>
      <c r="DP9" s="5"/>
    </row>
    <row r="10" spans="2:120" x14ac:dyDescent="0.2">
      <c r="B10" s="68"/>
      <c r="C10" s="68" t="str">
        <f>ROW(A6)&amp;". "&amp;Capacity!B22</f>
        <v xml:space="preserve">6. </v>
      </c>
      <c r="D10" s="68">
        <f>'Capacity setup'!C17</f>
        <v>0</v>
      </c>
      <c r="E10" s="68">
        <f>'Capacity setup'!D17</f>
        <v>0</v>
      </c>
      <c r="F10" s="68">
        <f>'Capacity setup'!E17</f>
        <v>0</v>
      </c>
      <c r="H10" s="68">
        <f ca="1">IF(AND(SUMIF(Capacity_Resource,$D10,'Critical resources (hide)'!U$6:U$105)+SUMIF(Capacity_Resource,$E10,'Critical resources (hide)'!U$6:U$105)+SUMIF(Capacity_Resource,$F10,'Critical resources (hide)'!U$6:U$105)&gt;0,$E$1=2),0,1)</f>
        <v>1</v>
      </c>
      <c r="I10" s="68">
        <f ca="1">IF(AND(SUMIF(Capacity_Resource,$D10,'Critical resources (hide)'!V$6:V$105)+SUMIF(Capacity_Resource,$E10,'Critical resources (hide)'!V$6:V$105)+SUMIF(Capacity_Resource,$F10,'Critical resources (hide)'!V$6:V$105)&gt;0,$E$1=2),0,1)</f>
        <v>1</v>
      </c>
      <c r="J10" s="68">
        <f ca="1">IF(AND(SUMIF(Capacity_Resource,$D10,'Critical resources (hide)'!W$6:W$105)+SUMIF(Capacity_Resource,$E10,'Critical resources (hide)'!W$6:W$105)+SUMIF(Capacity_Resource,$F10,'Critical resources (hide)'!W$6:W$105)&gt;0,$E$1=2),0,1)</f>
        <v>1</v>
      </c>
      <c r="K10" s="68">
        <f ca="1">IF(AND(SUMIF(Capacity_Resource,$D10,'Critical resources (hide)'!X$6:X$105)+SUMIF(Capacity_Resource,$E10,'Critical resources (hide)'!X$6:X$105)+SUMIF(Capacity_Resource,$F10,'Critical resources (hide)'!X$6:X$105)&gt;0,$E$1=2),0,1)</f>
        <v>1</v>
      </c>
      <c r="L10" s="68">
        <f ca="1">IF(AND(SUMIF(Capacity_Resource,$D10,'Critical resources (hide)'!Y$6:Y$105)+SUMIF(Capacity_Resource,$E10,'Critical resources (hide)'!Y$6:Y$105)+SUMIF(Capacity_Resource,$F10,'Critical resources (hide)'!Y$6:Y$105)&gt;0,$E$1=2),0,1)</f>
        <v>1</v>
      </c>
      <c r="M10" s="68">
        <f ca="1">IF(AND(SUMIF(Capacity_Resource,$D10,'Critical resources (hide)'!Z$6:Z$105)+SUMIF(Capacity_Resource,$E10,'Critical resources (hide)'!Z$6:Z$105)+SUMIF(Capacity_Resource,$F10,'Critical resources (hide)'!Z$6:Z$105)&gt;0,$E$1=2),0,1)</f>
        <v>1</v>
      </c>
      <c r="N10" s="68">
        <f ca="1">IF(AND(SUMIF(Capacity_Resource,$D10,'Critical resources (hide)'!AA$6:AA$105)+SUMIF(Capacity_Resource,$E10,'Critical resources (hide)'!AA$6:AA$105)+SUMIF(Capacity_Resource,$F10,'Critical resources (hide)'!AA$6:AA$105)&gt;0,$E$1=2),0,1)</f>
        <v>1</v>
      </c>
      <c r="O10" s="68">
        <f ca="1">IF(AND(SUMIF(Capacity_Resource,$D10,'Critical resources (hide)'!AB$6:AB$105)+SUMIF(Capacity_Resource,$E10,'Critical resources (hide)'!AB$6:AB$105)+SUMIF(Capacity_Resource,$F10,'Critical resources (hide)'!AB$6:AB$105)&gt;0,$E$1=2),0,1)</f>
        <v>1</v>
      </c>
      <c r="P10" s="68">
        <f ca="1">IF(AND(SUMIF(Capacity_Resource,$D10,'Critical resources (hide)'!AC$6:AC$105)+SUMIF(Capacity_Resource,$E10,'Critical resources (hide)'!AC$6:AC$105)+SUMIF(Capacity_Resource,$F10,'Critical resources (hide)'!AC$6:AC$105)&gt;0,$E$1=2),0,1)</f>
        <v>1</v>
      </c>
      <c r="Q10" s="68">
        <f ca="1">IF(AND(SUMIF(Capacity_Resource,$D10,'Critical resources (hide)'!AD$6:AD$105)+SUMIF(Capacity_Resource,$E10,'Critical resources (hide)'!AD$6:AD$105)+SUMIF(Capacity_Resource,$F10,'Critical resources (hide)'!AD$6:AD$105)&gt;0,$E$1=2),0,1)</f>
        <v>1</v>
      </c>
      <c r="R10" s="68">
        <f ca="1">IF(AND(SUMIF(Capacity_Resource,$D10,'Critical resources (hide)'!AE$6:AE$105)+SUMIF(Capacity_Resource,$E10,'Critical resources (hide)'!AE$6:AE$105)+SUMIF(Capacity_Resource,$F10,'Critical resources (hide)'!AE$6:AE$105)&gt;0,$E$1=2),0,1)</f>
        <v>1</v>
      </c>
      <c r="S10" s="68">
        <f ca="1">IF(AND(SUMIF(Capacity_Resource,$D10,'Critical resources (hide)'!AF$6:AF$105)+SUMIF(Capacity_Resource,$E10,'Critical resources (hide)'!AF$6:AF$105)+SUMIF(Capacity_Resource,$F10,'Critical resources (hide)'!AF$6:AF$105)&gt;0,$E$1=2),0,1)</f>
        <v>1</v>
      </c>
      <c r="T10" s="68">
        <f ca="1">IF(AND(SUMIF(Capacity_Resource,$D10,'Critical resources (hide)'!AG$6:AG$105)+SUMIF(Capacity_Resource,$E10,'Critical resources (hide)'!AG$6:AG$105)+SUMIF(Capacity_Resource,$F10,'Critical resources (hide)'!AG$6:AG$105)&gt;0,$E$1=2),0,1)</f>
        <v>1</v>
      </c>
      <c r="U10" s="68">
        <f ca="1">IF(AND(SUMIF(Capacity_Resource,$D10,'Critical resources (hide)'!AH$6:AH$105)+SUMIF(Capacity_Resource,$E10,'Critical resources (hide)'!AH$6:AH$105)+SUMIF(Capacity_Resource,$F10,'Critical resources (hide)'!AH$6:AH$105)&gt;0,$E$1=2),0,1)</f>
        <v>1</v>
      </c>
      <c r="V10" s="68">
        <f ca="1">IF(AND(SUMIF(Capacity_Resource,$D10,'Critical resources (hide)'!AI$6:AI$105)+SUMIF(Capacity_Resource,$E10,'Critical resources (hide)'!AI$6:AI$105)+SUMIF(Capacity_Resource,$F10,'Critical resources (hide)'!AI$6:AI$105)&gt;0,$E$1=2),0,1)</f>
        <v>1</v>
      </c>
      <c r="W10" s="68">
        <f ca="1">IF(AND(SUMIF(Capacity_Resource,$D10,'Critical resources (hide)'!AJ$6:AJ$105)+SUMIF(Capacity_Resource,$E10,'Critical resources (hide)'!AJ$6:AJ$105)+SUMIF(Capacity_Resource,$F10,'Critical resources (hide)'!AJ$6:AJ$105)&gt;0,$E$1=2),0,1)</f>
        <v>1</v>
      </c>
      <c r="X10" s="68">
        <f ca="1">IF(AND(SUMIF(Capacity_Resource,$D10,'Critical resources (hide)'!AK$6:AK$105)+SUMIF(Capacity_Resource,$E10,'Critical resources (hide)'!AK$6:AK$105)+SUMIF(Capacity_Resource,$F10,'Critical resources (hide)'!AK$6:AK$105)&gt;0,$E$1=2),0,1)</f>
        <v>1</v>
      </c>
      <c r="Y10" s="68">
        <f ca="1">IF(AND(SUMIF(Capacity_Resource,$D10,'Critical resources (hide)'!AL$6:AL$105)+SUMIF(Capacity_Resource,$E10,'Critical resources (hide)'!AL$6:AL$105)+SUMIF(Capacity_Resource,$F10,'Critical resources (hide)'!AL$6:AL$105)&gt;0,$E$1=2),0,1)</f>
        <v>1</v>
      </c>
      <c r="Z10" s="68">
        <f ca="1">IF(AND(SUMIF(Capacity_Resource,$D10,'Critical resources (hide)'!AM$6:AM$105)+SUMIF(Capacity_Resource,$E10,'Critical resources (hide)'!AM$6:AM$105)+SUMIF(Capacity_Resource,$F10,'Critical resources (hide)'!AM$6:AM$105)&gt;0,$E$1=2),0,1)</f>
        <v>1</v>
      </c>
      <c r="AA10" s="68">
        <f ca="1">IF(AND(SUMIF(Capacity_Resource,$D10,'Critical resources (hide)'!AN$6:AN$105)+SUMIF(Capacity_Resource,$E10,'Critical resources (hide)'!AN$6:AN$105)+SUMIF(Capacity_Resource,$F10,'Critical resources (hide)'!AN$6:AN$105)&gt;0,$E$1=2),0,1)</f>
        <v>1</v>
      </c>
      <c r="AB10" s="68">
        <f ca="1">IF(AND(SUMIF(Capacity_Resource,$D10,'Critical resources (hide)'!AO$6:AO$105)+SUMIF(Capacity_Resource,$E10,'Critical resources (hide)'!AO$6:AO$105)+SUMIF(Capacity_Resource,$F10,'Critical resources (hide)'!AO$6:AO$105)&gt;0,$E$1=2),0,1)</f>
        <v>1</v>
      </c>
      <c r="AC10" s="68">
        <f ca="1">IF(AND(SUMIF(Capacity_Resource,$D10,'Critical resources (hide)'!AP$6:AP$105)+SUMIF(Capacity_Resource,$E10,'Critical resources (hide)'!AP$6:AP$105)+SUMIF(Capacity_Resource,$F10,'Critical resources (hide)'!AP$6:AP$105)&gt;0,$E$1=2),0,1)</f>
        <v>1</v>
      </c>
      <c r="AD10" s="68">
        <f ca="1">IF(AND(SUMIF(Capacity_Resource,$D10,'Critical resources (hide)'!AQ$6:AQ$105)+SUMIF(Capacity_Resource,$E10,'Critical resources (hide)'!AQ$6:AQ$105)+SUMIF(Capacity_Resource,$F10,'Critical resources (hide)'!AQ$6:AQ$105)&gt;0,$E$1=2),0,1)</f>
        <v>1</v>
      </c>
      <c r="AE10" s="68">
        <f ca="1">IF(AND(SUMIF(Capacity_Resource,$D10,'Critical resources (hide)'!AR$6:AR$105)+SUMIF(Capacity_Resource,$E10,'Critical resources (hide)'!AR$6:AR$105)+SUMIF(Capacity_Resource,$F10,'Critical resources (hide)'!AR$6:AR$105)&gt;0,$E$1=2),0,1)</f>
        <v>1</v>
      </c>
      <c r="AF10" s="68">
        <f ca="1">IF(AND(SUMIF(Capacity_Resource,$D10,'Critical resources (hide)'!AS$6:AS$105)+SUMIF(Capacity_Resource,$E10,'Critical resources (hide)'!AS$6:AS$105)+SUMIF(Capacity_Resource,$F10,'Critical resources (hide)'!AS$6:AS$105)&gt;0,$E$1=2),0,1)</f>
        <v>1</v>
      </c>
      <c r="AG10" s="68">
        <f ca="1">IF(AND(SUMIF(Capacity_Resource,$D10,'Critical resources (hide)'!AT$6:AT$105)+SUMIF(Capacity_Resource,$E10,'Critical resources (hide)'!AT$6:AT$105)+SUMIF(Capacity_Resource,$F10,'Critical resources (hide)'!AT$6:AT$105)&gt;0,$E$1=2),0,1)</f>
        <v>1</v>
      </c>
      <c r="AH10" s="68">
        <f ca="1">IF(AND(SUMIF(Capacity_Resource,$D10,'Critical resources (hide)'!AU$6:AU$105)+SUMIF(Capacity_Resource,$E10,'Critical resources (hide)'!AU$6:AU$105)+SUMIF(Capacity_Resource,$F10,'Critical resources (hide)'!AU$6:AU$105)&gt;0,$E$1=2),0,1)</f>
        <v>1</v>
      </c>
      <c r="AI10" s="68">
        <f ca="1">IF(AND(SUMIF(Capacity_Resource,$D10,'Critical resources (hide)'!AV$6:AV$105)+SUMIF(Capacity_Resource,$E10,'Critical resources (hide)'!AV$6:AV$105)+SUMIF(Capacity_Resource,$F10,'Critical resources (hide)'!AV$6:AV$105)&gt;0,$E$1=2),0,1)</f>
        <v>1</v>
      </c>
      <c r="AJ10" s="68">
        <f ca="1">IF(AND(SUMIF(Capacity_Resource,$D10,'Critical resources (hide)'!AW$6:AW$105)+SUMIF(Capacity_Resource,$E10,'Critical resources (hide)'!AW$6:AW$105)+SUMIF(Capacity_Resource,$F10,'Critical resources (hide)'!AW$6:AW$105)&gt;0,$E$1=2),0,1)</f>
        <v>1</v>
      </c>
      <c r="AK10" s="68">
        <f ca="1">IF(AND(SUMIF(Capacity_Resource,$D10,'Critical resources (hide)'!AX$6:AX$105)+SUMIF(Capacity_Resource,$E10,'Critical resources (hide)'!AX$6:AX$105)+SUMIF(Capacity_Resource,$F10,'Critical resources (hide)'!AX$6:AX$105)&gt;0,$E$1=2),0,1)</f>
        <v>1</v>
      </c>
      <c r="AL10" s="68">
        <f ca="1">IF(AND(SUMIF(Capacity_Resource,$D10,'Critical resources (hide)'!AY$6:AY$105)+SUMIF(Capacity_Resource,$E10,'Critical resources (hide)'!AY$6:AY$105)+SUMIF(Capacity_Resource,$F10,'Critical resources (hide)'!AY$6:AY$105)&gt;0,$E$1=2),0,1)</f>
        <v>1</v>
      </c>
      <c r="AM10" s="68">
        <f ca="1">IF(AND(SUMIF(Capacity_Resource,$D10,'Critical resources (hide)'!AZ$6:AZ$105)+SUMIF(Capacity_Resource,$E10,'Critical resources (hide)'!AZ$6:AZ$105)+SUMIF(Capacity_Resource,$F10,'Critical resources (hide)'!AZ$6:AZ$105)&gt;0,$E$1=2),0,1)</f>
        <v>1</v>
      </c>
      <c r="AN10" s="68">
        <f ca="1">IF(AND(SUMIF(Capacity_Resource,$D10,'Critical resources (hide)'!BA$6:BA$105)+SUMIF(Capacity_Resource,$E10,'Critical resources (hide)'!BA$6:BA$105)+SUMIF(Capacity_Resource,$F10,'Critical resources (hide)'!BA$6:BA$105)&gt;0,$E$1=2),0,1)</f>
        <v>1</v>
      </c>
      <c r="AO10" s="68">
        <f ca="1">IF(AND(SUMIF(Capacity_Resource,$D10,'Critical resources (hide)'!BB$6:BB$105)+SUMIF(Capacity_Resource,$E10,'Critical resources (hide)'!BB$6:BB$105)+SUMIF(Capacity_Resource,$F10,'Critical resources (hide)'!BB$6:BB$105)&gt;0,$E$1=2),0,1)</f>
        <v>1</v>
      </c>
      <c r="AP10" s="68">
        <f ca="1">IF(AND(SUMIF(Capacity_Resource,$D10,'Critical resources (hide)'!BC$6:BC$105)+SUMIF(Capacity_Resource,$E10,'Critical resources (hide)'!BC$6:BC$105)+SUMIF(Capacity_Resource,$F10,'Critical resources (hide)'!BC$6:BC$105)&gt;0,$E$1=2),0,1)</f>
        <v>1</v>
      </c>
      <c r="AQ10" s="68">
        <f ca="1">IF(AND(SUMIF(Capacity_Resource,$D10,'Critical resources (hide)'!BD$6:BD$105)+SUMIF(Capacity_Resource,$E10,'Critical resources (hide)'!BD$6:BD$105)+SUMIF(Capacity_Resource,$F10,'Critical resources (hide)'!BD$6:BD$105)&gt;0,$E$1=2),0,1)</f>
        <v>1</v>
      </c>
      <c r="AR10" s="68">
        <f ca="1">IF(AND(SUMIF(Capacity_Resource,$D10,'Critical resources (hide)'!BE$6:BE$105)+SUMIF(Capacity_Resource,$E10,'Critical resources (hide)'!BE$6:BE$105)+SUMIF(Capacity_Resource,$F10,'Critical resources (hide)'!BE$6:BE$105)&gt;0,$E$1=2),0,1)</f>
        <v>1</v>
      </c>
      <c r="AS10" s="68">
        <f ca="1">IF(AND(SUMIF(Capacity_Resource,$D10,'Critical resources (hide)'!BF$6:BF$105)+SUMIF(Capacity_Resource,$E10,'Critical resources (hide)'!BF$6:BF$105)+SUMIF(Capacity_Resource,$F10,'Critical resources (hide)'!BF$6:BF$105)&gt;0,$E$1=2),0,1)</f>
        <v>1</v>
      </c>
      <c r="AT10" s="68">
        <f ca="1">IF(AND(SUMIF(Capacity_Resource,$D10,'Critical resources (hide)'!BG$6:BG$105)+SUMIF(Capacity_Resource,$E10,'Critical resources (hide)'!BG$6:BG$105)+SUMIF(Capacity_Resource,$F10,'Critical resources (hide)'!BG$6:BG$105)&gt;0,$E$1=2),0,1)</f>
        <v>1</v>
      </c>
      <c r="AU10" s="68">
        <f ca="1">IF(AND(SUMIF(Capacity_Resource,$D10,'Critical resources (hide)'!BH$6:BH$105)+SUMIF(Capacity_Resource,$E10,'Critical resources (hide)'!BH$6:BH$105)+SUMIF(Capacity_Resource,$F10,'Critical resources (hide)'!BH$6:BH$105)&gt;0,$E$1=2),0,1)</f>
        <v>1</v>
      </c>
      <c r="AV10" s="68">
        <f ca="1">IF(AND(SUMIF(Capacity_Resource,$D10,'Critical resources (hide)'!BI$6:BI$105)+SUMIF(Capacity_Resource,$E10,'Critical resources (hide)'!BI$6:BI$105)+SUMIF(Capacity_Resource,$F10,'Critical resources (hide)'!BI$6:BI$105)&gt;0,$E$1=2),0,1)</f>
        <v>1</v>
      </c>
      <c r="AW10" s="68">
        <f ca="1">IF(AND(SUMIF(Capacity_Resource,$D10,'Critical resources (hide)'!BJ$6:BJ$105)+SUMIF(Capacity_Resource,$E10,'Critical resources (hide)'!BJ$6:BJ$105)+SUMIF(Capacity_Resource,$F10,'Critical resources (hide)'!BJ$6:BJ$105)&gt;0,$E$1=2),0,1)</f>
        <v>1</v>
      </c>
      <c r="AX10" s="68">
        <f ca="1">IF(AND(SUMIF(Capacity_Resource,$D10,'Critical resources (hide)'!BK$6:BK$105)+SUMIF(Capacity_Resource,$E10,'Critical resources (hide)'!BK$6:BK$105)+SUMIF(Capacity_Resource,$F10,'Critical resources (hide)'!BK$6:BK$105)&gt;0,$E$1=2),0,1)</f>
        <v>1</v>
      </c>
      <c r="AY10" s="68">
        <f ca="1">IF(AND(SUMIF(Capacity_Resource,$D10,'Critical resources (hide)'!BL$6:BL$105)+SUMIF(Capacity_Resource,$E10,'Critical resources (hide)'!BL$6:BL$105)+SUMIF(Capacity_Resource,$F10,'Critical resources (hide)'!BL$6:BL$105)&gt;0,$E$1=2),0,1)</f>
        <v>1</v>
      </c>
      <c r="AZ10" s="68">
        <f ca="1">IF(AND(SUMIF(Capacity_Resource,$D10,'Critical resources (hide)'!BM$6:BM$105)+SUMIF(Capacity_Resource,$E10,'Critical resources (hide)'!BM$6:BM$105)+SUMIF(Capacity_Resource,$F10,'Critical resources (hide)'!BM$6:BM$105)&gt;0,$E$1=2),0,1)</f>
        <v>1</v>
      </c>
      <c r="BA10" s="68">
        <f ca="1">IF(AND(SUMIF(Capacity_Resource,$D10,'Critical resources (hide)'!BN$6:BN$105)+SUMIF(Capacity_Resource,$E10,'Critical resources (hide)'!BN$6:BN$105)+SUMIF(Capacity_Resource,$F10,'Critical resources (hide)'!BN$6:BN$105)&gt;0,$E$1=2),0,1)</f>
        <v>1</v>
      </c>
      <c r="BB10" s="68">
        <f ca="1">IF(AND(SUMIF(Capacity_Resource,$D10,'Critical resources (hide)'!BO$6:BO$105)+SUMIF(Capacity_Resource,$E10,'Critical resources (hide)'!BO$6:BO$105)+SUMIF(Capacity_Resource,$F10,'Critical resources (hide)'!BO$6:BO$105)&gt;0,$E$1=2),0,1)</f>
        <v>1</v>
      </c>
      <c r="BC10" s="68">
        <f ca="1">IF(AND(SUMIF(Capacity_Resource,$D10,'Critical resources (hide)'!BP$6:BP$105)+SUMIF(Capacity_Resource,$E10,'Critical resources (hide)'!BP$6:BP$105)+SUMIF(Capacity_Resource,$F10,'Critical resources (hide)'!BP$6:BP$105)&gt;0,$E$1=2),0,1)</f>
        <v>1</v>
      </c>
      <c r="BD10" s="68">
        <f ca="1">IF(AND(SUMIF(Capacity_Resource,$D10,'Critical resources (hide)'!BQ$6:BQ$105)+SUMIF(Capacity_Resource,$E10,'Critical resources (hide)'!BQ$6:BQ$105)+SUMIF(Capacity_Resource,$F10,'Critical resources (hide)'!BQ$6:BQ$105)&gt;0,$E$1=2),0,1)</f>
        <v>1</v>
      </c>
      <c r="BE10" s="68">
        <f ca="1">IF(AND(SUMIF(Capacity_Resource,$D10,'Critical resources (hide)'!BR$6:BR$105)+SUMIF(Capacity_Resource,$E10,'Critical resources (hide)'!BR$6:BR$105)+SUMIF(Capacity_Resource,$F10,'Critical resources (hide)'!BR$6:BR$105)&gt;0,$E$1=2),0,1)</f>
        <v>1</v>
      </c>
      <c r="BF10" s="68">
        <f ca="1">IF(AND(SUMIF(Capacity_Resource,$D10,'Critical resources (hide)'!BS$6:BS$105)+SUMIF(Capacity_Resource,$E10,'Critical resources (hide)'!BS$6:BS$105)+SUMIF(Capacity_Resource,$F10,'Critical resources (hide)'!BS$6:BS$105)&gt;0,$E$1=2),0,1)</f>
        <v>1</v>
      </c>
      <c r="BG10" s="68">
        <f ca="1">IF(AND(SUMIF(Capacity_Resource,$D10,'Critical resources (hide)'!BT$6:BT$105)+SUMIF(Capacity_Resource,$E10,'Critical resources (hide)'!BT$6:BT$105)+SUMIF(Capacity_Resource,$F10,'Critical resources (hide)'!BT$6:BT$105)&gt;0,$E$1=2),0,1)</f>
        <v>1</v>
      </c>
      <c r="BH10" s="68">
        <f>IF(ROW(C6)&lt;=Capacity!$A$16,IF('Capacity summary'!$D$14="No",SUM(H10:BG10),'Capacity summary'!$E129),0)</f>
        <v>0</v>
      </c>
      <c r="BI10" s="5" t="str">
        <f>IF(BH10&gt;0,IF(BH10&lt;Capacity!E22,Capacity!F22,Capacity!H22/'Capacity calculation (hide)'!BH10),"")</f>
        <v/>
      </c>
      <c r="BK10" s="319">
        <f>IF($BI10&lt;&gt;"",IF('Capacity summary'!$D$14="Yes",IF(COUNTBLANK('Capacity summary'!$H129:$BG129)&lt;52,IF('Capacity summary'!H129&lt;&gt;"",$BI10*H10,0),H10*$BI10),H10*$BI10),0)</f>
        <v>0</v>
      </c>
      <c r="BL10" s="319">
        <f>IF($BI10&lt;&gt;"",IF('Capacity summary'!$D$14="Yes",IF(COUNTBLANK('Capacity summary'!$H129:$BG129)&lt;52,IF('Capacity summary'!I129&lt;&gt;"",$BI10*I10,0),I10*$BI10),I10*$BI10),0)</f>
        <v>0</v>
      </c>
      <c r="BM10" s="319">
        <f>IF($BI10&lt;&gt;"",IF('Capacity summary'!$D$14="Yes",IF(COUNTBLANK('Capacity summary'!$H129:$BG129)&lt;52,IF('Capacity summary'!J129&lt;&gt;"",$BI10*J10,0),J10*$BI10),J10*$BI10),0)</f>
        <v>0</v>
      </c>
      <c r="BN10" s="319">
        <f>IF($BI10&lt;&gt;"",IF('Capacity summary'!$D$14="Yes",IF(COUNTBLANK('Capacity summary'!$H129:$BG129)&lt;52,IF('Capacity summary'!K129&lt;&gt;"",$BI10*K10,0),K10*$BI10),K10*$BI10),0)</f>
        <v>0</v>
      </c>
      <c r="BO10" s="319">
        <f>IF($BI10&lt;&gt;"",IF('Capacity summary'!$D$14="Yes",IF(COUNTBLANK('Capacity summary'!$H129:$BG129)&lt;52,IF('Capacity summary'!L129&lt;&gt;"",$BI10*L10,0),L10*$BI10),L10*$BI10),0)</f>
        <v>0</v>
      </c>
      <c r="BP10" s="319">
        <f>IF($BI10&lt;&gt;"",IF('Capacity summary'!$D$14="Yes",IF(COUNTBLANK('Capacity summary'!$H129:$BG129)&lt;52,IF('Capacity summary'!M129&lt;&gt;"",$BI10*M10,0),M10*$BI10),M10*$BI10),0)</f>
        <v>0</v>
      </c>
      <c r="BQ10" s="319">
        <f>IF($BI10&lt;&gt;"",IF('Capacity summary'!$D$14="Yes",IF(COUNTBLANK('Capacity summary'!$H129:$BG129)&lt;52,IF('Capacity summary'!N129&lt;&gt;"",$BI10*N10,0),N10*$BI10),N10*$BI10),0)</f>
        <v>0</v>
      </c>
      <c r="BR10" s="319">
        <f>IF($BI10&lt;&gt;"",IF('Capacity summary'!$D$14="Yes",IF(COUNTBLANK('Capacity summary'!$H129:$BG129)&lt;52,IF('Capacity summary'!O129&lt;&gt;"",$BI10*O10,0),O10*$BI10),O10*$BI10),0)</f>
        <v>0</v>
      </c>
      <c r="BS10" s="319">
        <f>IF($BI10&lt;&gt;"",IF('Capacity summary'!$D$14="Yes",IF(COUNTBLANK('Capacity summary'!$H129:$BG129)&lt;52,IF('Capacity summary'!P129&lt;&gt;"",$BI10*P10,0),P10*$BI10),P10*$BI10),0)</f>
        <v>0</v>
      </c>
      <c r="BT10" s="319">
        <f>IF($BI10&lt;&gt;"",IF('Capacity summary'!$D$14="Yes",IF(COUNTBLANK('Capacity summary'!$H129:$BG129)&lt;52,IF('Capacity summary'!Q129&lt;&gt;"",$BI10*Q10,0),Q10*$BI10),Q10*$BI10),0)</f>
        <v>0</v>
      </c>
      <c r="BU10" s="319">
        <f>IF($BI10&lt;&gt;"",IF('Capacity summary'!$D$14="Yes",IF(COUNTBLANK('Capacity summary'!$H129:$BG129)&lt;52,IF('Capacity summary'!R129&lt;&gt;"",$BI10*R10,0),R10*$BI10),R10*$BI10),0)</f>
        <v>0</v>
      </c>
      <c r="BV10" s="319">
        <f>IF($BI10&lt;&gt;"",IF('Capacity summary'!$D$14="Yes",IF(COUNTBLANK('Capacity summary'!$H129:$BG129)&lt;52,IF('Capacity summary'!S129&lt;&gt;"",$BI10*S10,0),S10*$BI10),S10*$BI10),0)</f>
        <v>0</v>
      </c>
      <c r="BW10" s="319">
        <f>IF($BI10&lt;&gt;"",IF('Capacity summary'!$D$14="Yes",IF(COUNTBLANK('Capacity summary'!$H129:$BG129)&lt;52,IF('Capacity summary'!T129&lt;&gt;"",$BI10*T10,0),T10*$BI10),T10*$BI10),0)</f>
        <v>0</v>
      </c>
      <c r="BX10" s="319">
        <f>IF($BI10&lt;&gt;"",IF('Capacity summary'!$D$14="Yes",IF(COUNTBLANK('Capacity summary'!$H129:$BG129)&lt;52,IF('Capacity summary'!U129&lt;&gt;"",$BI10*U10,0),U10*$BI10),U10*$BI10),0)</f>
        <v>0</v>
      </c>
      <c r="BY10" s="319">
        <f>IF($BI10&lt;&gt;"",IF('Capacity summary'!$D$14="Yes",IF(COUNTBLANK('Capacity summary'!$H129:$BG129)&lt;52,IF('Capacity summary'!V129&lt;&gt;"",$BI10*V10,0),V10*$BI10),V10*$BI10),0)</f>
        <v>0</v>
      </c>
      <c r="BZ10" s="319">
        <f>IF($BI10&lt;&gt;"",IF('Capacity summary'!$D$14="Yes",IF(COUNTBLANK('Capacity summary'!$H129:$BG129)&lt;52,IF('Capacity summary'!W129&lt;&gt;"",$BI10*W10,0),W10*$BI10),W10*$BI10),0)</f>
        <v>0</v>
      </c>
      <c r="CA10" s="319">
        <f>IF($BI10&lt;&gt;"",IF('Capacity summary'!$D$14="Yes",IF(COUNTBLANK('Capacity summary'!$H129:$BG129)&lt;52,IF('Capacity summary'!X129&lt;&gt;"",$BI10*X10,0),X10*$BI10),X10*$BI10),0)</f>
        <v>0</v>
      </c>
      <c r="CB10" s="319">
        <f>IF($BI10&lt;&gt;"",IF('Capacity summary'!$D$14="Yes",IF(COUNTBLANK('Capacity summary'!$H129:$BG129)&lt;52,IF('Capacity summary'!Y129&lt;&gt;"",$BI10*Y10,0),Y10*$BI10),Y10*$BI10),0)</f>
        <v>0</v>
      </c>
      <c r="CC10" s="319">
        <f>IF($BI10&lt;&gt;"",IF('Capacity summary'!$D$14="Yes",IF(COUNTBLANK('Capacity summary'!$H129:$BG129)&lt;52,IF('Capacity summary'!Z129&lt;&gt;"",$BI10*Z10,0),Z10*$BI10),Z10*$BI10),0)</f>
        <v>0</v>
      </c>
      <c r="CD10" s="319">
        <f>IF($BI10&lt;&gt;"",IF('Capacity summary'!$D$14="Yes",IF(COUNTBLANK('Capacity summary'!$H129:$BG129)&lt;52,IF('Capacity summary'!AA129&lt;&gt;"",$BI10*AA10,0),AA10*$BI10),AA10*$BI10),0)</f>
        <v>0</v>
      </c>
      <c r="CE10" s="319">
        <f>IF($BI10&lt;&gt;"",IF('Capacity summary'!$D$14="Yes",IF(COUNTBLANK('Capacity summary'!$H129:$BG129)&lt;52,IF('Capacity summary'!AB129&lt;&gt;"",$BI10*AB10,0),AB10*$BI10),AB10*$BI10),0)</f>
        <v>0</v>
      </c>
      <c r="CF10" s="319">
        <f>IF($BI10&lt;&gt;"",IF('Capacity summary'!$D$14="Yes",IF(COUNTBLANK('Capacity summary'!$H129:$BG129)&lt;52,IF('Capacity summary'!AC129&lt;&gt;"",$BI10*AC10,0),AC10*$BI10),AC10*$BI10),0)</f>
        <v>0</v>
      </c>
      <c r="CG10" s="319">
        <f>IF($BI10&lt;&gt;"",IF('Capacity summary'!$D$14="Yes",IF(COUNTBLANK('Capacity summary'!$H129:$BG129)&lt;52,IF('Capacity summary'!AD129&lt;&gt;"",$BI10*AD10,0),AD10*$BI10),AD10*$BI10),0)</f>
        <v>0</v>
      </c>
      <c r="CH10" s="319">
        <f>IF($BI10&lt;&gt;"",IF('Capacity summary'!$D$14="Yes",IF(COUNTBLANK('Capacity summary'!$H129:$BG129)&lt;52,IF('Capacity summary'!AE129&lt;&gt;"",$BI10*AE10,0),AE10*$BI10),AE10*$BI10),0)</f>
        <v>0</v>
      </c>
      <c r="CI10" s="319">
        <f>IF($BI10&lt;&gt;"",IF('Capacity summary'!$D$14="Yes",IF(COUNTBLANK('Capacity summary'!$H129:$BG129)&lt;52,IF('Capacity summary'!AF129&lt;&gt;"",$BI10*AF10,0),AF10*$BI10),AF10*$BI10),0)</f>
        <v>0</v>
      </c>
      <c r="CJ10" s="319">
        <f>IF($BI10&lt;&gt;"",IF('Capacity summary'!$D$14="Yes",IF(COUNTBLANK('Capacity summary'!$H129:$BG129)&lt;52,IF('Capacity summary'!AG129&lt;&gt;"",$BI10*AG10,0),AG10*$BI10),AG10*$BI10),0)</f>
        <v>0</v>
      </c>
      <c r="CK10" s="319">
        <f>IF($BI10&lt;&gt;"",IF('Capacity summary'!$D$14="Yes",IF(COUNTBLANK('Capacity summary'!$H129:$BG129)&lt;52,IF('Capacity summary'!AH129&lt;&gt;"",$BI10*AH10,0),AH10*$BI10),AH10*$BI10),0)</f>
        <v>0</v>
      </c>
      <c r="CL10" s="319">
        <f>IF($BI10&lt;&gt;"",IF('Capacity summary'!$D$14="Yes",IF(COUNTBLANK('Capacity summary'!$H129:$BG129)&lt;52,IF('Capacity summary'!AI129&lt;&gt;"",$BI10*AI10,0),AI10*$BI10),AI10*$BI10),0)</f>
        <v>0</v>
      </c>
      <c r="CM10" s="319">
        <f>IF($BI10&lt;&gt;"",IF('Capacity summary'!$D$14="Yes",IF(COUNTBLANK('Capacity summary'!$H129:$BG129)&lt;52,IF('Capacity summary'!AJ129&lt;&gt;"",$BI10*AJ10,0),AJ10*$BI10),AJ10*$BI10),0)</f>
        <v>0</v>
      </c>
      <c r="CN10" s="319">
        <f>IF($BI10&lt;&gt;"",IF('Capacity summary'!$D$14="Yes",IF(COUNTBLANK('Capacity summary'!$H129:$BG129)&lt;52,IF('Capacity summary'!AK129&lt;&gt;"",$BI10*AK10,0),AK10*$BI10),AK10*$BI10),0)</f>
        <v>0</v>
      </c>
      <c r="CO10" s="319">
        <f>IF($BI10&lt;&gt;"",IF('Capacity summary'!$D$14="Yes",IF(COUNTBLANK('Capacity summary'!$H129:$BG129)&lt;52,IF('Capacity summary'!AL129&lt;&gt;"",$BI10*AL10,0),AL10*$BI10),AL10*$BI10),0)</f>
        <v>0</v>
      </c>
      <c r="CP10" s="319">
        <f>IF($BI10&lt;&gt;"",IF('Capacity summary'!$D$14="Yes",IF(COUNTBLANK('Capacity summary'!$H129:$BG129)&lt;52,IF('Capacity summary'!AM129&lt;&gt;"",$BI10*AM10,0),AM10*$BI10),AM10*$BI10),0)</f>
        <v>0</v>
      </c>
      <c r="CQ10" s="319">
        <f>IF($BI10&lt;&gt;"",IF('Capacity summary'!$D$14="Yes",IF(COUNTBLANK('Capacity summary'!$H129:$BG129)&lt;52,IF('Capacity summary'!AN129&lt;&gt;"",$BI10*AN10,0),AN10*$BI10),AN10*$BI10),0)</f>
        <v>0</v>
      </c>
      <c r="CR10" s="319">
        <f>IF($BI10&lt;&gt;"",IF('Capacity summary'!$D$14="Yes",IF(COUNTBLANK('Capacity summary'!$H129:$BG129)&lt;52,IF('Capacity summary'!AO129&lt;&gt;"",$BI10*AO10,0),AO10*$BI10),AO10*$BI10),0)</f>
        <v>0</v>
      </c>
      <c r="CS10" s="319">
        <f>IF($BI10&lt;&gt;"",IF('Capacity summary'!$D$14="Yes",IF(COUNTBLANK('Capacity summary'!$H129:$BG129)&lt;52,IF('Capacity summary'!AP129&lt;&gt;"",$BI10*AP10,0),AP10*$BI10),AP10*$BI10),0)</f>
        <v>0</v>
      </c>
      <c r="CT10" s="319">
        <f>IF($BI10&lt;&gt;"",IF('Capacity summary'!$D$14="Yes",IF(COUNTBLANK('Capacity summary'!$H129:$BG129)&lt;52,IF('Capacity summary'!AQ129&lt;&gt;"",$BI10*AQ10,0),AQ10*$BI10),AQ10*$BI10),0)</f>
        <v>0</v>
      </c>
      <c r="CU10" s="319">
        <f>IF($BI10&lt;&gt;"",IF('Capacity summary'!$D$14="Yes",IF(COUNTBLANK('Capacity summary'!$H129:$BG129)&lt;52,IF('Capacity summary'!AR129&lt;&gt;"",$BI10*AR10,0),AR10*$BI10),AR10*$BI10),0)</f>
        <v>0</v>
      </c>
      <c r="CV10" s="319">
        <f>IF($BI10&lt;&gt;"",IF('Capacity summary'!$D$14="Yes",IF(COUNTBLANK('Capacity summary'!$H129:$BG129)&lt;52,IF('Capacity summary'!AS129&lt;&gt;"",$BI10*AS10,0),AS10*$BI10),AS10*$BI10),0)</f>
        <v>0</v>
      </c>
      <c r="CW10" s="319">
        <f>IF($BI10&lt;&gt;"",IF('Capacity summary'!$D$14="Yes",IF(COUNTBLANK('Capacity summary'!$H129:$BG129)&lt;52,IF('Capacity summary'!AT129&lt;&gt;"",$BI10*AT10,0),AT10*$BI10),AT10*$BI10),0)</f>
        <v>0</v>
      </c>
      <c r="CX10" s="319">
        <f>IF($BI10&lt;&gt;"",IF('Capacity summary'!$D$14="Yes",IF(COUNTBLANK('Capacity summary'!$H129:$BG129)&lt;52,IF('Capacity summary'!AU129&lt;&gt;"",$BI10*AU10,0),AU10*$BI10),AU10*$BI10),0)</f>
        <v>0</v>
      </c>
      <c r="CY10" s="319">
        <f>IF($BI10&lt;&gt;"",IF('Capacity summary'!$D$14="Yes",IF(COUNTBLANK('Capacity summary'!$H129:$BG129)&lt;52,IF('Capacity summary'!AV129&lt;&gt;"",$BI10*AV10,0),AV10*$BI10),AV10*$BI10),0)</f>
        <v>0</v>
      </c>
      <c r="CZ10" s="319">
        <f>IF($BI10&lt;&gt;"",IF('Capacity summary'!$D$14="Yes",IF(COUNTBLANK('Capacity summary'!$H129:$BG129)&lt;52,IF('Capacity summary'!AW129&lt;&gt;"",$BI10*AW10,0),AW10*$BI10),AW10*$BI10),0)</f>
        <v>0</v>
      </c>
      <c r="DA10" s="319">
        <f>IF($BI10&lt;&gt;"",IF('Capacity summary'!$D$14="Yes",IF(COUNTBLANK('Capacity summary'!$H129:$BG129)&lt;52,IF('Capacity summary'!AX129&lt;&gt;"",$BI10*AX10,0),AX10*$BI10),AX10*$BI10),0)</f>
        <v>0</v>
      </c>
      <c r="DB10" s="319">
        <f>IF($BI10&lt;&gt;"",IF('Capacity summary'!$D$14="Yes",IF(COUNTBLANK('Capacity summary'!$H129:$BG129)&lt;52,IF('Capacity summary'!AY129&lt;&gt;"",$BI10*AY10,0),AY10*$BI10),AY10*$BI10),0)</f>
        <v>0</v>
      </c>
      <c r="DC10" s="319">
        <f>IF($BI10&lt;&gt;"",IF('Capacity summary'!$D$14="Yes",IF(COUNTBLANK('Capacity summary'!$H129:$BG129)&lt;52,IF('Capacity summary'!AZ129&lt;&gt;"",$BI10*AZ10,0),AZ10*$BI10),AZ10*$BI10),0)</f>
        <v>0</v>
      </c>
      <c r="DD10" s="319">
        <f>IF($BI10&lt;&gt;"",IF('Capacity summary'!$D$14="Yes",IF(COUNTBLANK('Capacity summary'!$H129:$BG129)&lt;52,IF('Capacity summary'!BA129&lt;&gt;"",$BI10*BA10,0),BA10*$BI10),BA10*$BI10),0)</f>
        <v>0</v>
      </c>
      <c r="DE10" s="319">
        <f>IF($BI10&lt;&gt;"",IF('Capacity summary'!$D$14="Yes",IF(COUNTBLANK('Capacity summary'!$H129:$BG129)&lt;52,IF('Capacity summary'!BB129&lt;&gt;"",$BI10*BB10,0),BB10*$BI10),BB10*$BI10),0)</f>
        <v>0</v>
      </c>
      <c r="DF10" s="319">
        <f>IF($BI10&lt;&gt;"",IF('Capacity summary'!$D$14="Yes",IF(COUNTBLANK('Capacity summary'!$H129:$BG129)&lt;52,IF('Capacity summary'!BC129&lt;&gt;"",$BI10*BC10,0),BC10*$BI10),BC10*$BI10),0)</f>
        <v>0</v>
      </c>
      <c r="DG10" s="319">
        <f>IF($BI10&lt;&gt;"",IF('Capacity summary'!$D$14="Yes",IF(COUNTBLANK('Capacity summary'!$H129:$BG129)&lt;52,IF('Capacity summary'!BD129&lt;&gt;"",$BI10*BD10,0),BD10*$BI10),BD10*$BI10),0)</f>
        <v>0</v>
      </c>
      <c r="DH10" s="319">
        <f>IF($BI10&lt;&gt;"",IF('Capacity summary'!$D$14="Yes",IF(COUNTBLANK('Capacity summary'!$H129:$BG129)&lt;52,IF('Capacity summary'!BE129&lt;&gt;"",$BI10*BE10,0),BE10*$BI10),BE10*$BI10),0)</f>
        <v>0</v>
      </c>
      <c r="DI10" s="319">
        <f>IF($BI10&lt;&gt;"",IF('Capacity summary'!$D$14="Yes",IF(COUNTBLANK('Capacity summary'!$H129:$BG129)&lt;52,IF('Capacity summary'!BF129&lt;&gt;"",$BI10*BF10,0),BF10*$BI10),BF10*$BI10),0)</f>
        <v>0</v>
      </c>
      <c r="DJ10" s="319">
        <f>IF($BI10&lt;&gt;"",IF('Capacity summary'!$D$14="Yes",IF(COUNTBLANK('Capacity summary'!$H129:$BG129)&lt;52,IF('Capacity summary'!BG129&lt;&gt;"",$BI10*BG10,0),BG10*$BI10),BG10*$BI10),0)</f>
        <v>0</v>
      </c>
      <c r="DK10" s="5">
        <f t="shared" si="2"/>
        <v>0</v>
      </c>
      <c r="DL10" s="5" t="str">
        <f>Capacity!H22</f>
        <v/>
      </c>
      <c r="DP10" s="5"/>
    </row>
    <row r="11" spans="2:120" x14ac:dyDescent="0.2">
      <c r="B11" s="68"/>
      <c r="C11" s="68" t="str">
        <f>ROW(A7)&amp;". "&amp;Capacity!B23</f>
        <v xml:space="preserve">7. </v>
      </c>
      <c r="D11" s="68">
        <f>'Capacity setup'!C18</f>
        <v>0</v>
      </c>
      <c r="E11" s="68">
        <f>'Capacity setup'!D18</f>
        <v>0</v>
      </c>
      <c r="F11" s="68">
        <f>'Capacity setup'!E18</f>
        <v>0</v>
      </c>
      <c r="H11" s="68">
        <f ca="1">IF(AND(SUMIF(Capacity_Resource,$D11,'Critical resources (hide)'!U$6:U$105)+SUMIF(Capacity_Resource,$E11,'Critical resources (hide)'!U$6:U$105)+SUMIF(Capacity_Resource,$F11,'Critical resources (hide)'!U$6:U$105)&gt;0,$E$1=2),0,1)</f>
        <v>1</v>
      </c>
      <c r="I11" s="68">
        <f ca="1">IF(AND(SUMIF(Capacity_Resource,$D11,'Critical resources (hide)'!V$6:V$105)+SUMIF(Capacity_Resource,$E11,'Critical resources (hide)'!V$6:V$105)+SUMIF(Capacity_Resource,$F11,'Critical resources (hide)'!V$6:V$105)&gt;0,$E$1=2),0,1)</f>
        <v>1</v>
      </c>
      <c r="J11" s="68">
        <f ca="1">IF(AND(SUMIF(Capacity_Resource,$D11,'Critical resources (hide)'!W$6:W$105)+SUMIF(Capacity_Resource,$E11,'Critical resources (hide)'!W$6:W$105)+SUMIF(Capacity_Resource,$F11,'Critical resources (hide)'!W$6:W$105)&gt;0,$E$1=2),0,1)</f>
        <v>1</v>
      </c>
      <c r="K11" s="68">
        <f ca="1">IF(AND(SUMIF(Capacity_Resource,$D11,'Critical resources (hide)'!X$6:X$105)+SUMIF(Capacity_Resource,$E11,'Critical resources (hide)'!X$6:X$105)+SUMIF(Capacity_Resource,$F11,'Critical resources (hide)'!X$6:X$105)&gt;0,$E$1=2),0,1)</f>
        <v>1</v>
      </c>
      <c r="L11" s="68">
        <f ca="1">IF(AND(SUMIF(Capacity_Resource,$D11,'Critical resources (hide)'!Y$6:Y$105)+SUMIF(Capacity_Resource,$E11,'Critical resources (hide)'!Y$6:Y$105)+SUMIF(Capacity_Resource,$F11,'Critical resources (hide)'!Y$6:Y$105)&gt;0,$E$1=2),0,1)</f>
        <v>1</v>
      </c>
      <c r="M11" s="68">
        <f ca="1">IF(AND(SUMIF(Capacity_Resource,$D11,'Critical resources (hide)'!Z$6:Z$105)+SUMIF(Capacity_Resource,$E11,'Critical resources (hide)'!Z$6:Z$105)+SUMIF(Capacity_Resource,$F11,'Critical resources (hide)'!Z$6:Z$105)&gt;0,$E$1=2),0,1)</f>
        <v>1</v>
      </c>
      <c r="N11" s="68">
        <f ca="1">IF(AND(SUMIF(Capacity_Resource,$D11,'Critical resources (hide)'!AA$6:AA$105)+SUMIF(Capacity_Resource,$E11,'Critical resources (hide)'!AA$6:AA$105)+SUMIF(Capacity_Resource,$F11,'Critical resources (hide)'!AA$6:AA$105)&gt;0,$E$1=2),0,1)</f>
        <v>1</v>
      </c>
      <c r="O11" s="68">
        <f ca="1">IF(AND(SUMIF(Capacity_Resource,$D11,'Critical resources (hide)'!AB$6:AB$105)+SUMIF(Capacity_Resource,$E11,'Critical resources (hide)'!AB$6:AB$105)+SUMIF(Capacity_Resource,$F11,'Critical resources (hide)'!AB$6:AB$105)&gt;0,$E$1=2),0,1)</f>
        <v>1</v>
      </c>
      <c r="P11" s="68">
        <f ca="1">IF(AND(SUMIF(Capacity_Resource,$D11,'Critical resources (hide)'!AC$6:AC$105)+SUMIF(Capacity_Resource,$E11,'Critical resources (hide)'!AC$6:AC$105)+SUMIF(Capacity_Resource,$F11,'Critical resources (hide)'!AC$6:AC$105)&gt;0,$E$1=2),0,1)</f>
        <v>1</v>
      </c>
      <c r="Q11" s="68">
        <f ca="1">IF(AND(SUMIF(Capacity_Resource,$D11,'Critical resources (hide)'!AD$6:AD$105)+SUMIF(Capacity_Resource,$E11,'Critical resources (hide)'!AD$6:AD$105)+SUMIF(Capacity_Resource,$F11,'Critical resources (hide)'!AD$6:AD$105)&gt;0,$E$1=2),0,1)</f>
        <v>1</v>
      </c>
      <c r="R11" s="68">
        <f ca="1">IF(AND(SUMIF(Capacity_Resource,$D11,'Critical resources (hide)'!AE$6:AE$105)+SUMIF(Capacity_Resource,$E11,'Critical resources (hide)'!AE$6:AE$105)+SUMIF(Capacity_Resource,$F11,'Critical resources (hide)'!AE$6:AE$105)&gt;0,$E$1=2),0,1)</f>
        <v>1</v>
      </c>
      <c r="S11" s="68">
        <f ca="1">IF(AND(SUMIF(Capacity_Resource,$D11,'Critical resources (hide)'!AF$6:AF$105)+SUMIF(Capacity_Resource,$E11,'Critical resources (hide)'!AF$6:AF$105)+SUMIF(Capacity_Resource,$F11,'Critical resources (hide)'!AF$6:AF$105)&gt;0,$E$1=2),0,1)</f>
        <v>1</v>
      </c>
      <c r="T11" s="68">
        <f ca="1">IF(AND(SUMIF(Capacity_Resource,$D11,'Critical resources (hide)'!AG$6:AG$105)+SUMIF(Capacity_Resource,$E11,'Critical resources (hide)'!AG$6:AG$105)+SUMIF(Capacity_Resource,$F11,'Critical resources (hide)'!AG$6:AG$105)&gt;0,$E$1=2),0,1)</f>
        <v>1</v>
      </c>
      <c r="U11" s="68">
        <f ca="1">IF(AND(SUMIF(Capacity_Resource,$D11,'Critical resources (hide)'!AH$6:AH$105)+SUMIF(Capacity_Resource,$E11,'Critical resources (hide)'!AH$6:AH$105)+SUMIF(Capacity_Resource,$F11,'Critical resources (hide)'!AH$6:AH$105)&gt;0,$E$1=2),0,1)</f>
        <v>1</v>
      </c>
      <c r="V11" s="68">
        <f ca="1">IF(AND(SUMIF(Capacity_Resource,$D11,'Critical resources (hide)'!AI$6:AI$105)+SUMIF(Capacity_Resource,$E11,'Critical resources (hide)'!AI$6:AI$105)+SUMIF(Capacity_Resource,$F11,'Critical resources (hide)'!AI$6:AI$105)&gt;0,$E$1=2),0,1)</f>
        <v>1</v>
      </c>
      <c r="W11" s="68">
        <f ca="1">IF(AND(SUMIF(Capacity_Resource,$D11,'Critical resources (hide)'!AJ$6:AJ$105)+SUMIF(Capacity_Resource,$E11,'Critical resources (hide)'!AJ$6:AJ$105)+SUMIF(Capacity_Resource,$F11,'Critical resources (hide)'!AJ$6:AJ$105)&gt;0,$E$1=2),0,1)</f>
        <v>1</v>
      </c>
      <c r="X11" s="68">
        <f ca="1">IF(AND(SUMIF(Capacity_Resource,$D11,'Critical resources (hide)'!AK$6:AK$105)+SUMIF(Capacity_Resource,$E11,'Critical resources (hide)'!AK$6:AK$105)+SUMIF(Capacity_Resource,$F11,'Critical resources (hide)'!AK$6:AK$105)&gt;0,$E$1=2),0,1)</f>
        <v>1</v>
      </c>
      <c r="Y11" s="68">
        <f ca="1">IF(AND(SUMIF(Capacity_Resource,$D11,'Critical resources (hide)'!AL$6:AL$105)+SUMIF(Capacity_Resource,$E11,'Critical resources (hide)'!AL$6:AL$105)+SUMIF(Capacity_Resource,$F11,'Critical resources (hide)'!AL$6:AL$105)&gt;0,$E$1=2),0,1)</f>
        <v>1</v>
      </c>
      <c r="Z11" s="68">
        <f ca="1">IF(AND(SUMIF(Capacity_Resource,$D11,'Critical resources (hide)'!AM$6:AM$105)+SUMIF(Capacity_Resource,$E11,'Critical resources (hide)'!AM$6:AM$105)+SUMIF(Capacity_Resource,$F11,'Critical resources (hide)'!AM$6:AM$105)&gt;0,$E$1=2),0,1)</f>
        <v>1</v>
      </c>
      <c r="AA11" s="68">
        <f ca="1">IF(AND(SUMIF(Capacity_Resource,$D11,'Critical resources (hide)'!AN$6:AN$105)+SUMIF(Capacity_Resource,$E11,'Critical resources (hide)'!AN$6:AN$105)+SUMIF(Capacity_Resource,$F11,'Critical resources (hide)'!AN$6:AN$105)&gt;0,$E$1=2),0,1)</f>
        <v>1</v>
      </c>
      <c r="AB11" s="68">
        <f ca="1">IF(AND(SUMIF(Capacity_Resource,$D11,'Critical resources (hide)'!AO$6:AO$105)+SUMIF(Capacity_Resource,$E11,'Critical resources (hide)'!AO$6:AO$105)+SUMIF(Capacity_Resource,$F11,'Critical resources (hide)'!AO$6:AO$105)&gt;0,$E$1=2),0,1)</f>
        <v>1</v>
      </c>
      <c r="AC11" s="68">
        <f ca="1">IF(AND(SUMIF(Capacity_Resource,$D11,'Critical resources (hide)'!AP$6:AP$105)+SUMIF(Capacity_Resource,$E11,'Critical resources (hide)'!AP$6:AP$105)+SUMIF(Capacity_Resource,$F11,'Critical resources (hide)'!AP$6:AP$105)&gt;0,$E$1=2),0,1)</f>
        <v>1</v>
      </c>
      <c r="AD11" s="68">
        <f ca="1">IF(AND(SUMIF(Capacity_Resource,$D11,'Critical resources (hide)'!AQ$6:AQ$105)+SUMIF(Capacity_Resource,$E11,'Critical resources (hide)'!AQ$6:AQ$105)+SUMIF(Capacity_Resource,$F11,'Critical resources (hide)'!AQ$6:AQ$105)&gt;0,$E$1=2),0,1)</f>
        <v>1</v>
      </c>
      <c r="AE11" s="68">
        <f ca="1">IF(AND(SUMIF(Capacity_Resource,$D11,'Critical resources (hide)'!AR$6:AR$105)+SUMIF(Capacity_Resource,$E11,'Critical resources (hide)'!AR$6:AR$105)+SUMIF(Capacity_Resource,$F11,'Critical resources (hide)'!AR$6:AR$105)&gt;0,$E$1=2),0,1)</f>
        <v>1</v>
      </c>
      <c r="AF11" s="68">
        <f ca="1">IF(AND(SUMIF(Capacity_Resource,$D11,'Critical resources (hide)'!AS$6:AS$105)+SUMIF(Capacity_Resource,$E11,'Critical resources (hide)'!AS$6:AS$105)+SUMIF(Capacity_Resource,$F11,'Critical resources (hide)'!AS$6:AS$105)&gt;0,$E$1=2),0,1)</f>
        <v>1</v>
      </c>
      <c r="AG11" s="68">
        <f ca="1">IF(AND(SUMIF(Capacity_Resource,$D11,'Critical resources (hide)'!AT$6:AT$105)+SUMIF(Capacity_Resource,$E11,'Critical resources (hide)'!AT$6:AT$105)+SUMIF(Capacity_Resource,$F11,'Critical resources (hide)'!AT$6:AT$105)&gt;0,$E$1=2),0,1)</f>
        <v>1</v>
      </c>
      <c r="AH11" s="68">
        <f ca="1">IF(AND(SUMIF(Capacity_Resource,$D11,'Critical resources (hide)'!AU$6:AU$105)+SUMIF(Capacity_Resource,$E11,'Critical resources (hide)'!AU$6:AU$105)+SUMIF(Capacity_Resource,$F11,'Critical resources (hide)'!AU$6:AU$105)&gt;0,$E$1=2),0,1)</f>
        <v>1</v>
      </c>
      <c r="AI11" s="68">
        <f ca="1">IF(AND(SUMIF(Capacity_Resource,$D11,'Critical resources (hide)'!AV$6:AV$105)+SUMIF(Capacity_Resource,$E11,'Critical resources (hide)'!AV$6:AV$105)+SUMIF(Capacity_Resource,$F11,'Critical resources (hide)'!AV$6:AV$105)&gt;0,$E$1=2),0,1)</f>
        <v>1</v>
      </c>
      <c r="AJ11" s="68">
        <f ca="1">IF(AND(SUMIF(Capacity_Resource,$D11,'Critical resources (hide)'!AW$6:AW$105)+SUMIF(Capacity_Resource,$E11,'Critical resources (hide)'!AW$6:AW$105)+SUMIF(Capacity_Resource,$F11,'Critical resources (hide)'!AW$6:AW$105)&gt;0,$E$1=2),0,1)</f>
        <v>1</v>
      </c>
      <c r="AK11" s="68">
        <f ca="1">IF(AND(SUMIF(Capacity_Resource,$D11,'Critical resources (hide)'!AX$6:AX$105)+SUMIF(Capacity_Resource,$E11,'Critical resources (hide)'!AX$6:AX$105)+SUMIF(Capacity_Resource,$F11,'Critical resources (hide)'!AX$6:AX$105)&gt;0,$E$1=2),0,1)</f>
        <v>1</v>
      </c>
      <c r="AL11" s="68">
        <f ca="1">IF(AND(SUMIF(Capacity_Resource,$D11,'Critical resources (hide)'!AY$6:AY$105)+SUMIF(Capacity_Resource,$E11,'Critical resources (hide)'!AY$6:AY$105)+SUMIF(Capacity_Resource,$F11,'Critical resources (hide)'!AY$6:AY$105)&gt;0,$E$1=2),0,1)</f>
        <v>1</v>
      </c>
      <c r="AM11" s="68">
        <f ca="1">IF(AND(SUMIF(Capacity_Resource,$D11,'Critical resources (hide)'!AZ$6:AZ$105)+SUMIF(Capacity_Resource,$E11,'Critical resources (hide)'!AZ$6:AZ$105)+SUMIF(Capacity_Resource,$F11,'Critical resources (hide)'!AZ$6:AZ$105)&gt;0,$E$1=2),0,1)</f>
        <v>1</v>
      </c>
      <c r="AN11" s="68">
        <f ca="1">IF(AND(SUMIF(Capacity_Resource,$D11,'Critical resources (hide)'!BA$6:BA$105)+SUMIF(Capacity_Resource,$E11,'Critical resources (hide)'!BA$6:BA$105)+SUMIF(Capacity_Resource,$F11,'Critical resources (hide)'!BA$6:BA$105)&gt;0,$E$1=2),0,1)</f>
        <v>1</v>
      </c>
      <c r="AO11" s="68">
        <f ca="1">IF(AND(SUMIF(Capacity_Resource,$D11,'Critical resources (hide)'!BB$6:BB$105)+SUMIF(Capacity_Resource,$E11,'Critical resources (hide)'!BB$6:BB$105)+SUMIF(Capacity_Resource,$F11,'Critical resources (hide)'!BB$6:BB$105)&gt;0,$E$1=2),0,1)</f>
        <v>1</v>
      </c>
      <c r="AP11" s="68">
        <f ca="1">IF(AND(SUMIF(Capacity_Resource,$D11,'Critical resources (hide)'!BC$6:BC$105)+SUMIF(Capacity_Resource,$E11,'Critical resources (hide)'!BC$6:BC$105)+SUMIF(Capacity_Resource,$F11,'Critical resources (hide)'!BC$6:BC$105)&gt;0,$E$1=2),0,1)</f>
        <v>1</v>
      </c>
      <c r="AQ11" s="68">
        <f ca="1">IF(AND(SUMIF(Capacity_Resource,$D11,'Critical resources (hide)'!BD$6:BD$105)+SUMIF(Capacity_Resource,$E11,'Critical resources (hide)'!BD$6:BD$105)+SUMIF(Capacity_Resource,$F11,'Critical resources (hide)'!BD$6:BD$105)&gt;0,$E$1=2),0,1)</f>
        <v>1</v>
      </c>
      <c r="AR11" s="68">
        <f ca="1">IF(AND(SUMIF(Capacity_Resource,$D11,'Critical resources (hide)'!BE$6:BE$105)+SUMIF(Capacity_Resource,$E11,'Critical resources (hide)'!BE$6:BE$105)+SUMIF(Capacity_Resource,$F11,'Critical resources (hide)'!BE$6:BE$105)&gt;0,$E$1=2),0,1)</f>
        <v>1</v>
      </c>
      <c r="AS11" s="68">
        <f ca="1">IF(AND(SUMIF(Capacity_Resource,$D11,'Critical resources (hide)'!BF$6:BF$105)+SUMIF(Capacity_Resource,$E11,'Critical resources (hide)'!BF$6:BF$105)+SUMIF(Capacity_Resource,$F11,'Critical resources (hide)'!BF$6:BF$105)&gt;0,$E$1=2),0,1)</f>
        <v>1</v>
      </c>
      <c r="AT11" s="68">
        <f ca="1">IF(AND(SUMIF(Capacity_Resource,$D11,'Critical resources (hide)'!BG$6:BG$105)+SUMIF(Capacity_Resource,$E11,'Critical resources (hide)'!BG$6:BG$105)+SUMIF(Capacity_Resource,$F11,'Critical resources (hide)'!BG$6:BG$105)&gt;0,$E$1=2),0,1)</f>
        <v>1</v>
      </c>
      <c r="AU11" s="68">
        <f ca="1">IF(AND(SUMIF(Capacity_Resource,$D11,'Critical resources (hide)'!BH$6:BH$105)+SUMIF(Capacity_Resource,$E11,'Critical resources (hide)'!BH$6:BH$105)+SUMIF(Capacity_Resource,$F11,'Critical resources (hide)'!BH$6:BH$105)&gt;0,$E$1=2),0,1)</f>
        <v>1</v>
      </c>
      <c r="AV11" s="68">
        <f ca="1">IF(AND(SUMIF(Capacity_Resource,$D11,'Critical resources (hide)'!BI$6:BI$105)+SUMIF(Capacity_Resource,$E11,'Critical resources (hide)'!BI$6:BI$105)+SUMIF(Capacity_Resource,$F11,'Critical resources (hide)'!BI$6:BI$105)&gt;0,$E$1=2),0,1)</f>
        <v>1</v>
      </c>
      <c r="AW11" s="68">
        <f ca="1">IF(AND(SUMIF(Capacity_Resource,$D11,'Critical resources (hide)'!BJ$6:BJ$105)+SUMIF(Capacity_Resource,$E11,'Critical resources (hide)'!BJ$6:BJ$105)+SUMIF(Capacity_Resource,$F11,'Critical resources (hide)'!BJ$6:BJ$105)&gt;0,$E$1=2),0,1)</f>
        <v>1</v>
      </c>
      <c r="AX11" s="68">
        <f ca="1">IF(AND(SUMIF(Capacity_Resource,$D11,'Critical resources (hide)'!BK$6:BK$105)+SUMIF(Capacity_Resource,$E11,'Critical resources (hide)'!BK$6:BK$105)+SUMIF(Capacity_Resource,$F11,'Critical resources (hide)'!BK$6:BK$105)&gt;0,$E$1=2),0,1)</f>
        <v>1</v>
      </c>
      <c r="AY11" s="68">
        <f ca="1">IF(AND(SUMIF(Capacity_Resource,$D11,'Critical resources (hide)'!BL$6:BL$105)+SUMIF(Capacity_Resource,$E11,'Critical resources (hide)'!BL$6:BL$105)+SUMIF(Capacity_Resource,$F11,'Critical resources (hide)'!BL$6:BL$105)&gt;0,$E$1=2),0,1)</f>
        <v>1</v>
      </c>
      <c r="AZ11" s="68">
        <f ca="1">IF(AND(SUMIF(Capacity_Resource,$D11,'Critical resources (hide)'!BM$6:BM$105)+SUMIF(Capacity_Resource,$E11,'Critical resources (hide)'!BM$6:BM$105)+SUMIF(Capacity_Resource,$F11,'Critical resources (hide)'!BM$6:BM$105)&gt;0,$E$1=2),0,1)</f>
        <v>1</v>
      </c>
      <c r="BA11" s="68">
        <f ca="1">IF(AND(SUMIF(Capacity_Resource,$D11,'Critical resources (hide)'!BN$6:BN$105)+SUMIF(Capacity_Resource,$E11,'Critical resources (hide)'!BN$6:BN$105)+SUMIF(Capacity_Resource,$F11,'Critical resources (hide)'!BN$6:BN$105)&gt;0,$E$1=2),0,1)</f>
        <v>1</v>
      </c>
      <c r="BB11" s="68">
        <f ca="1">IF(AND(SUMIF(Capacity_Resource,$D11,'Critical resources (hide)'!BO$6:BO$105)+SUMIF(Capacity_Resource,$E11,'Critical resources (hide)'!BO$6:BO$105)+SUMIF(Capacity_Resource,$F11,'Critical resources (hide)'!BO$6:BO$105)&gt;0,$E$1=2),0,1)</f>
        <v>1</v>
      </c>
      <c r="BC11" s="68">
        <f ca="1">IF(AND(SUMIF(Capacity_Resource,$D11,'Critical resources (hide)'!BP$6:BP$105)+SUMIF(Capacity_Resource,$E11,'Critical resources (hide)'!BP$6:BP$105)+SUMIF(Capacity_Resource,$F11,'Critical resources (hide)'!BP$6:BP$105)&gt;0,$E$1=2),0,1)</f>
        <v>1</v>
      </c>
      <c r="BD11" s="68">
        <f ca="1">IF(AND(SUMIF(Capacity_Resource,$D11,'Critical resources (hide)'!BQ$6:BQ$105)+SUMIF(Capacity_Resource,$E11,'Critical resources (hide)'!BQ$6:BQ$105)+SUMIF(Capacity_Resource,$F11,'Critical resources (hide)'!BQ$6:BQ$105)&gt;0,$E$1=2),0,1)</f>
        <v>1</v>
      </c>
      <c r="BE11" s="68">
        <f ca="1">IF(AND(SUMIF(Capacity_Resource,$D11,'Critical resources (hide)'!BR$6:BR$105)+SUMIF(Capacity_Resource,$E11,'Critical resources (hide)'!BR$6:BR$105)+SUMIF(Capacity_Resource,$F11,'Critical resources (hide)'!BR$6:BR$105)&gt;0,$E$1=2),0,1)</f>
        <v>1</v>
      </c>
      <c r="BF11" s="68">
        <f ca="1">IF(AND(SUMIF(Capacity_Resource,$D11,'Critical resources (hide)'!BS$6:BS$105)+SUMIF(Capacity_Resource,$E11,'Critical resources (hide)'!BS$6:BS$105)+SUMIF(Capacity_Resource,$F11,'Critical resources (hide)'!BS$6:BS$105)&gt;0,$E$1=2),0,1)</f>
        <v>1</v>
      </c>
      <c r="BG11" s="68">
        <f ca="1">IF(AND(SUMIF(Capacity_Resource,$D11,'Critical resources (hide)'!BT$6:BT$105)+SUMIF(Capacity_Resource,$E11,'Critical resources (hide)'!BT$6:BT$105)+SUMIF(Capacity_Resource,$F11,'Critical resources (hide)'!BT$6:BT$105)&gt;0,$E$1=2),0,1)</f>
        <v>1</v>
      </c>
      <c r="BH11" s="68">
        <f>IF(ROW(C7)&lt;=Capacity!$A$16,IF('Capacity summary'!$D$14="No",SUM(H11:BG11),'Capacity summary'!$E130),0)</f>
        <v>0</v>
      </c>
      <c r="BI11" s="5" t="str">
        <f>IF(BH11&gt;0,IF(BH11&lt;Capacity!E23,Capacity!F23,Capacity!H23/'Capacity calculation (hide)'!BH11),"")</f>
        <v/>
      </c>
      <c r="BK11" s="319">
        <f>IF($BI11&lt;&gt;"",IF('Capacity summary'!$D$14="Yes",IF(COUNTBLANK('Capacity summary'!$H130:$BG130)&lt;52,IF('Capacity summary'!H130&lt;&gt;"",$BI11*H11,0),H11*$BI11),H11*$BI11),0)</f>
        <v>0</v>
      </c>
      <c r="BL11" s="319">
        <f>IF($BI11&lt;&gt;"",IF('Capacity summary'!$D$14="Yes",IF(COUNTBLANK('Capacity summary'!$H130:$BG130)&lt;52,IF('Capacity summary'!I130&lt;&gt;"",$BI11*I11,0),I11*$BI11),I11*$BI11),0)</f>
        <v>0</v>
      </c>
      <c r="BM11" s="319">
        <f>IF($BI11&lt;&gt;"",IF('Capacity summary'!$D$14="Yes",IF(COUNTBLANK('Capacity summary'!$H130:$BG130)&lt;52,IF('Capacity summary'!J130&lt;&gt;"",$BI11*J11,0),J11*$BI11),J11*$BI11),0)</f>
        <v>0</v>
      </c>
      <c r="BN11" s="319">
        <f>IF($BI11&lt;&gt;"",IF('Capacity summary'!$D$14="Yes",IF(COUNTBLANK('Capacity summary'!$H130:$BG130)&lt;52,IF('Capacity summary'!K130&lt;&gt;"",$BI11*K11,0),K11*$BI11),K11*$BI11),0)</f>
        <v>0</v>
      </c>
      <c r="BO11" s="319">
        <f>IF($BI11&lt;&gt;"",IF('Capacity summary'!$D$14="Yes",IF(COUNTBLANK('Capacity summary'!$H130:$BG130)&lt;52,IF('Capacity summary'!L130&lt;&gt;"",$BI11*L11,0),L11*$BI11),L11*$BI11),0)</f>
        <v>0</v>
      </c>
      <c r="BP11" s="319">
        <f>IF($BI11&lt;&gt;"",IF('Capacity summary'!$D$14="Yes",IF(COUNTBLANK('Capacity summary'!$H130:$BG130)&lt;52,IF('Capacity summary'!M130&lt;&gt;"",$BI11*M11,0),M11*$BI11),M11*$BI11),0)</f>
        <v>0</v>
      </c>
      <c r="BQ11" s="319">
        <f>IF($BI11&lt;&gt;"",IF('Capacity summary'!$D$14="Yes",IF(COUNTBLANK('Capacity summary'!$H130:$BG130)&lt;52,IF('Capacity summary'!N130&lt;&gt;"",$BI11*N11,0),N11*$BI11),N11*$BI11),0)</f>
        <v>0</v>
      </c>
      <c r="BR11" s="319">
        <f>IF($BI11&lt;&gt;"",IF('Capacity summary'!$D$14="Yes",IF(COUNTBLANK('Capacity summary'!$H130:$BG130)&lt;52,IF('Capacity summary'!O130&lt;&gt;"",$BI11*O11,0),O11*$BI11),O11*$BI11),0)</f>
        <v>0</v>
      </c>
      <c r="BS11" s="319">
        <f>IF($BI11&lt;&gt;"",IF('Capacity summary'!$D$14="Yes",IF(COUNTBLANK('Capacity summary'!$H130:$BG130)&lt;52,IF('Capacity summary'!P130&lt;&gt;"",$BI11*P11,0),P11*$BI11),P11*$BI11),0)</f>
        <v>0</v>
      </c>
      <c r="BT11" s="319">
        <f>IF($BI11&lt;&gt;"",IF('Capacity summary'!$D$14="Yes",IF(COUNTBLANK('Capacity summary'!$H130:$BG130)&lt;52,IF('Capacity summary'!Q130&lt;&gt;"",$BI11*Q11,0),Q11*$BI11),Q11*$BI11),0)</f>
        <v>0</v>
      </c>
      <c r="BU11" s="319">
        <f>IF($BI11&lt;&gt;"",IF('Capacity summary'!$D$14="Yes",IF(COUNTBLANK('Capacity summary'!$H130:$BG130)&lt;52,IF('Capacity summary'!R130&lt;&gt;"",$BI11*R11,0),R11*$BI11),R11*$BI11),0)</f>
        <v>0</v>
      </c>
      <c r="BV11" s="319">
        <f>IF($BI11&lt;&gt;"",IF('Capacity summary'!$D$14="Yes",IF(COUNTBLANK('Capacity summary'!$H130:$BG130)&lt;52,IF('Capacity summary'!S130&lt;&gt;"",$BI11*S11,0),S11*$BI11),S11*$BI11),0)</f>
        <v>0</v>
      </c>
      <c r="BW11" s="319">
        <f>IF($BI11&lt;&gt;"",IF('Capacity summary'!$D$14="Yes",IF(COUNTBLANK('Capacity summary'!$H130:$BG130)&lt;52,IF('Capacity summary'!T130&lt;&gt;"",$BI11*T11,0),T11*$BI11),T11*$BI11),0)</f>
        <v>0</v>
      </c>
      <c r="BX11" s="319">
        <f>IF($BI11&lt;&gt;"",IF('Capacity summary'!$D$14="Yes",IF(COUNTBLANK('Capacity summary'!$H130:$BG130)&lt;52,IF('Capacity summary'!U130&lt;&gt;"",$BI11*U11,0),U11*$BI11),U11*$BI11),0)</f>
        <v>0</v>
      </c>
      <c r="BY11" s="319">
        <f>IF($BI11&lt;&gt;"",IF('Capacity summary'!$D$14="Yes",IF(COUNTBLANK('Capacity summary'!$H130:$BG130)&lt;52,IF('Capacity summary'!V130&lt;&gt;"",$BI11*V11,0),V11*$BI11),V11*$BI11),0)</f>
        <v>0</v>
      </c>
      <c r="BZ11" s="319">
        <f>IF($BI11&lt;&gt;"",IF('Capacity summary'!$D$14="Yes",IF(COUNTBLANK('Capacity summary'!$H130:$BG130)&lt;52,IF('Capacity summary'!W130&lt;&gt;"",$BI11*W11,0),W11*$BI11),W11*$BI11),0)</f>
        <v>0</v>
      </c>
      <c r="CA11" s="319">
        <f>IF($BI11&lt;&gt;"",IF('Capacity summary'!$D$14="Yes",IF(COUNTBLANK('Capacity summary'!$H130:$BG130)&lt;52,IF('Capacity summary'!X130&lt;&gt;"",$BI11*X11,0),X11*$BI11),X11*$BI11),0)</f>
        <v>0</v>
      </c>
      <c r="CB11" s="319">
        <f>IF($BI11&lt;&gt;"",IF('Capacity summary'!$D$14="Yes",IF(COUNTBLANK('Capacity summary'!$H130:$BG130)&lt;52,IF('Capacity summary'!Y130&lt;&gt;"",$BI11*Y11,0),Y11*$BI11),Y11*$BI11),0)</f>
        <v>0</v>
      </c>
      <c r="CC11" s="319">
        <f>IF($BI11&lt;&gt;"",IF('Capacity summary'!$D$14="Yes",IF(COUNTBLANK('Capacity summary'!$H130:$BG130)&lt;52,IF('Capacity summary'!Z130&lt;&gt;"",$BI11*Z11,0),Z11*$BI11),Z11*$BI11),0)</f>
        <v>0</v>
      </c>
      <c r="CD11" s="319">
        <f>IF($BI11&lt;&gt;"",IF('Capacity summary'!$D$14="Yes",IF(COUNTBLANK('Capacity summary'!$H130:$BG130)&lt;52,IF('Capacity summary'!AA130&lt;&gt;"",$BI11*AA11,0),AA11*$BI11),AA11*$BI11),0)</f>
        <v>0</v>
      </c>
      <c r="CE11" s="319">
        <f>IF($BI11&lt;&gt;"",IF('Capacity summary'!$D$14="Yes",IF(COUNTBLANK('Capacity summary'!$H130:$BG130)&lt;52,IF('Capacity summary'!AB130&lt;&gt;"",$BI11*AB11,0),AB11*$BI11),AB11*$BI11),0)</f>
        <v>0</v>
      </c>
      <c r="CF11" s="319">
        <f>IF($BI11&lt;&gt;"",IF('Capacity summary'!$D$14="Yes",IF(COUNTBLANK('Capacity summary'!$H130:$BG130)&lt;52,IF('Capacity summary'!AC130&lt;&gt;"",$BI11*AC11,0),AC11*$BI11),AC11*$BI11),0)</f>
        <v>0</v>
      </c>
      <c r="CG11" s="319">
        <f>IF($BI11&lt;&gt;"",IF('Capacity summary'!$D$14="Yes",IF(COUNTBLANK('Capacity summary'!$H130:$BG130)&lt;52,IF('Capacity summary'!AD130&lt;&gt;"",$BI11*AD11,0),AD11*$BI11),AD11*$BI11),0)</f>
        <v>0</v>
      </c>
      <c r="CH11" s="319">
        <f>IF($BI11&lt;&gt;"",IF('Capacity summary'!$D$14="Yes",IF(COUNTBLANK('Capacity summary'!$H130:$BG130)&lt;52,IF('Capacity summary'!AE130&lt;&gt;"",$BI11*AE11,0),AE11*$BI11),AE11*$BI11),0)</f>
        <v>0</v>
      </c>
      <c r="CI11" s="319">
        <f>IF($BI11&lt;&gt;"",IF('Capacity summary'!$D$14="Yes",IF(COUNTBLANK('Capacity summary'!$H130:$BG130)&lt;52,IF('Capacity summary'!AF130&lt;&gt;"",$BI11*AF11,0),AF11*$BI11),AF11*$BI11),0)</f>
        <v>0</v>
      </c>
      <c r="CJ11" s="319">
        <f>IF($BI11&lt;&gt;"",IF('Capacity summary'!$D$14="Yes",IF(COUNTBLANK('Capacity summary'!$H130:$BG130)&lt;52,IF('Capacity summary'!AG130&lt;&gt;"",$BI11*AG11,0),AG11*$BI11),AG11*$BI11),0)</f>
        <v>0</v>
      </c>
      <c r="CK11" s="319">
        <f>IF($BI11&lt;&gt;"",IF('Capacity summary'!$D$14="Yes",IF(COUNTBLANK('Capacity summary'!$H130:$BG130)&lt;52,IF('Capacity summary'!AH130&lt;&gt;"",$BI11*AH11,0),AH11*$BI11),AH11*$BI11),0)</f>
        <v>0</v>
      </c>
      <c r="CL11" s="319">
        <f>IF($BI11&lt;&gt;"",IF('Capacity summary'!$D$14="Yes",IF(COUNTBLANK('Capacity summary'!$H130:$BG130)&lt;52,IF('Capacity summary'!AI130&lt;&gt;"",$BI11*AI11,0),AI11*$BI11),AI11*$BI11),0)</f>
        <v>0</v>
      </c>
      <c r="CM11" s="319">
        <f>IF($BI11&lt;&gt;"",IF('Capacity summary'!$D$14="Yes",IF(COUNTBLANK('Capacity summary'!$H130:$BG130)&lt;52,IF('Capacity summary'!AJ130&lt;&gt;"",$BI11*AJ11,0),AJ11*$BI11),AJ11*$BI11),0)</f>
        <v>0</v>
      </c>
      <c r="CN11" s="319">
        <f>IF($BI11&lt;&gt;"",IF('Capacity summary'!$D$14="Yes",IF(COUNTBLANK('Capacity summary'!$H130:$BG130)&lt;52,IF('Capacity summary'!AK130&lt;&gt;"",$BI11*AK11,0),AK11*$BI11),AK11*$BI11),0)</f>
        <v>0</v>
      </c>
      <c r="CO11" s="319">
        <f>IF($BI11&lt;&gt;"",IF('Capacity summary'!$D$14="Yes",IF(COUNTBLANK('Capacity summary'!$H130:$BG130)&lt;52,IF('Capacity summary'!AL130&lt;&gt;"",$BI11*AL11,0),AL11*$BI11),AL11*$BI11),0)</f>
        <v>0</v>
      </c>
      <c r="CP11" s="319">
        <f>IF($BI11&lt;&gt;"",IF('Capacity summary'!$D$14="Yes",IF(COUNTBLANK('Capacity summary'!$H130:$BG130)&lt;52,IF('Capacity summary'!AM130&lt;&gt;"",$BI11*AM11,0),AM11*$BI11),AM11*$BI11),0)</f>
        <v>0</v>
      </c>
      <c r="CQ11" s="319">
        <f>IF($BI11&lt;&gt;"",IF('Capacity summary'!$D$14="Yes",IF(COUNTBLANK('Capacity summary'!$H130:$BG130)&lt;52,IF('Capacity summary'!AN130&lt;&gt;"",$BI11*AN11,0),AN11*$BI11),AN11*$BI11),0)</f>
        <v>0</v>
      </c>
      <c r="CR11" s="319">
        <f>IF($BI11&lt;&gt;"",IF('Capacity summary'!$D$14="Yes",IF(COUNTBLANK('Capacity summary'!$H130:$BG130)&lt;52,IF('Capacity summary'!AO130&lt;&gt;"",$BI11*AO11,0),AO11*$BI11),AO11*$BI11),0)</f>
        <v>0</v>
      </c>
      <c r="CS11" s="319">
        <f>IF($BI11&lt;&gt;"",IF('Capacity summary'!$D$14="Yes",IF(COUNTBLANK('Capacity summary'!$H130:$BG130)&lt;52,IF('Capacity summary'!AP130&lt;&gt;"",$BI11*AP11,0),AP11*$BI11),AP11*$BI11),0)</f>
        <v>0</v>
      </c>
      <c r="CT11" s="319">
        <f>IF($BI11&lt;&gt;"",IF('Capacity summary'!$D$14="Yes",IF(COUNTBLANK('Capacity summary'!$H130:$BG130)&lt;52,IF('Capacity summary'!AQ130&lt;&gt;"",$BI11*AQ11,0),AQ11*$BI11),AQ11*$BI11),0)</f>
        <v>0</v>
      </c>
      <c r="CU11" s="319">
        <f>IF($BI11&lt;&gt;"",IF('Capacity summary'!$D$14="Yes",IF(COUNTBLANK('Capacity summary'!$H130:$BG130)&lt;52,IF('Capacity summary'!AR130&lt;&gt;"",$BI11*AR11,0),AR11*$BI11),AR11*$BI11),0)</f>
        <v>0</v>
      </c>
      <c r="CV11" s="319">
        <f>IF($BI11&lt;&gt;"",IF('Capacity summary'!$D$14="Yes",IF(COUNTBLANK('Capacity summary'!$H130:$BG130)&lt;52,IF('Capacity summary'!AS130&lt;&gt;"",$BI11*AS11,0),AS11*$BI11),AS11*$BI11),0)</f>
        <v>0</v>
      </c>
      <c r="CW11" s="319">
        <f>IF($BI11&lt;&gt;"",IF('Capacity summary'!$D$14="Yes",IF(COUNTBLANK('Capacity summary'!$H130:$BG130)&lt;52,IF('Capacity summary'!AT130&lt;&gt;"",$BI11*AT11,0),AT11*$BI11),AT11*$BI11),0)</f>
        <v>0</v>
      </c>
      <c r="CX11" s="319">
        <f>IF($BI11&lt;&gt;"",IF('Capacity summary'!$D$14="Yes",IF(COUNTBLANK('Capacity summary'!$H130:$BG130)&lt;52,IF('Capacity summary'!AU130&lt;&gt;"",$BI11*AU11,0),AU11*$BI11),AU11*$BI11),0)</f>
        <v>0</v>
      </c>
      <c r="CY11" s="319">
        <f>IF($BI11&lt;&gt;"",IF('Capacity summary'!$D$14="Yes",IF(COUNTBLANK('Capacity summary'!$H130:$BG130)&lt;52,IF('Capacity summary'!AV130&lt;&gt;"",$BI11*AV11,0),AV11*$BI11),AV11*$BI11),0)</f>
        <v>0</v>
      </c>
      <c r="CZ11" s="319">
        <f>IF($BI11&lt;&gt;"",IF('Capacity summary'!$D$14="Yes",IF(COUNTBLANK('Capacity summary'!$H130:$BG130)&lt;52,IF('Capacity summary'!AW130&lt;&gt;"",$BI11*AW11,0),AW11*$BI11),AW11*$BI11),0)</f>
        <v>0</v>
      </c>
      <c r="DA11" s="319">
        <f>IF($BI11&lt;&gt;"",IF('Capacity summary'!$D$14="Yes",IF(COUNTBLANK('Capacity summary'!$H130:$BG130)&lt;52,IF('Capacity summary'!AX130&lt;&gt;"",$BI11*AX11,0),AX11*$BI11),AX11*$BI11),0)</f>
        <v>0</v>
      </c>
      <c r="DB11" s="319">
        <f>IF($BI11&lt;&gt;"",IF('Capacity summary'!$D$14="Yes",IF(COUNTBLANK('Capacity summary'!$H130:$BG130)&lt;52,IF('Capacity summary'!AY130&lt;&gt;"",$BI11*AY11,0),AY11*$BI11),AY11*$BI11),0)</f>
        <v>0</v>
      </c>
      <c r="DC11" s="319">
        <f>IF($BI11&lt;&gt;"",IF('Capacity summary'!$D$14="Yes",IF(COUNTBLANK('Capacity summary'!$H130:$BG130)&lt;52,IF('Capacity summary'!AZ130&lt;&gt;"",$BI11*AZ11,0),AZ11*$BI11),AZ11*$BI11),0)</f>
        <v>0</v>
      </c>
      <c r="DD11" s="319">
        <f>IF($BI11&lt;&gt;"",IF('Capacity summary'!$D$14="Yes",IF(COUNTBLANK('Capacity summary'!$H130:$BG130)&lt;52,IF('Capacity summary'!BA130&lt;&gt;"",$BI11*BA11,0),BA11*$BI11),BA11*$BI11),0)</f>
        <v>0</v>
      </c>
      <c r="DE11" s="319">
        <f>IF($BI11&lt;&gt;"",IF('Capacity summary'!$D$14="Yes",IF(COUNTBLANK('Capacity summary'!$H130:$BG130)&lt;52,IF('Capacity summary'!BB130&lt;&gt;"",$BI11*BB11,0),BB11*$BI11),BB11*$BI11),0)</f>
        <v>0</v>
      </c>
      <c r="DF11" s="319">
        <f>IF($BI11&lt;&gt;"",IF('Capacity summary'!$D$14="Yes",IF(COUNTBLANK('Capacity summary'!$H130:$BG130)&lt;52,IF('Capacity summary'!BC130&lt;&gt;"",$BI11*BC11,0),BC11*$BI11),BC11*$BI11),0)</f>
        <v>0</v>
      </c>
      <c r="DG11" s="319">
        <f>IF($BI11&lt;&gt;"",IF('Capacity summary'!$D$14="Yes",IF(COUNTBLANK('Capacity summary'!$H130:$BG130)&lt;52,IF('Capacity summary'!BD130&lt;&gt;"",$BI11*BD11,0),BD11*$BI11),BD11*$BI11),0)</f>
        <v>0</v>
      </c>
      <c r="DH11" s="319">
        <f>IF($BI11&lt;&gt;"",IF('Capacity summary'!$D$14="Yes",IF(COUNTBLANK('Capacity summary'!$H130:$BG130)&lt;52,IF('Capacity summary'!BE130&lt;&gt;"",$BI11*BE11,0),BE11*$BI11),BE11*$BI11),0)</f>
        <v>0</v>
      </c>
      <c r="DI11" s="319">
        <f>IF($BI11&lt;&gt;"",IF('Capacity summary'!$D$14="Yes",IF(COUNTBLANK('Capacity summary'!$H130:$BG130)&lt;52,IF('Capacity summary'!BF130&lt;&gt;"",$BI11*BF11,0),BF11*$BI11),BF11*$BI11),0)</f>
        <v>0</v>
      </c>
      <c r="DJ11" s="319">
        <f>IF($BI11&lt;&gt;"",IF('Capacity summary'!$D$14="Yes",IF(COUNTBLANK('Capacity summary'!$H130:$BG130)&lt;52,IF('Capacity summary'!BG130&lt;&gt;"",$BI11*BG11,0),BG11*$BI11),BG11*$BI11),0)</f>
        <v>0</v>
      </c>
      <c r="DK11" s="5">
        <f t="shared" si="2"/>
        <v>0</v>
      </c>
      <c r="DL11" s="5" t="str">
        <f>Capacity!H23</f>
        <v/>
      </c>
      <c r="DP11" s="5"/>
    </row>
    <row r="12" spans="2:120" x14ac:dyDescent="0.2">
      <c r="B12" s="68"/>
      <c r="C12" s="68" t="str">
        <f>ROW(A8)&amp;". "&amp;Capacity!B24</f>
        <v xml:space="preserve">8. </v>
      </c>
      <c r="D12" s="68">
        <f>'Capacity setup'!C19</f>
        <v>0</v>
      </c>
      <c r="E12" s="68">
        <f>'Capacity setup'!D19</f>
        <v>0</v>
      </c>
      <c r="F12" s="68">
        <f>'Capacity setup'!E19</f>
        <v>0</v>
      </c>
      <c r="H12" s="68">
        <f ca="1">IF(AND(SUMIF(Capacity_Resource,$D12,'Critical resources (hide)'!U$6:U$105)+SUMIF(Capacity_Resource,$E12,'Critical resources (hide)'!U$6:U$105)+SUMIF(Capacity_Resource,$F12,'Critical resources (hide)'!U$6:U$105)&gt;0,$E$1=2),0,1)</f>
        <v>1</v>
      </c>
      <c r="I12" s="68">
        <f ca="1">IF(AND(SUMIF(Capacity_Resource,$D12,'Critical resources (hide)'!V$6:V$105)+SUMIF(Capacity_Resource,$E12,'Critical resources (hide)'!V$6:V$105)+SUMIF(Capacity_Resource,$F12,'Critical resources (hide)'!V$6:V$105)&gt;0,$E$1=2),0,1)</f>
        <v>1</v>
      </c>
      <c r="J12" s="68">
        <f ca="1">IF(AND(SUMIF(Capacity_Resource,$D12,'Critical resources (hide)'!W$6:W$105)+SUMIF(Capacity_Resource,$E12,'Critical resources (hide)'!W$6:W$105)+SUMIF(Capacity_Resource,$F12,'Critical resources (hide)'!W$6:W$105)&gt;0,$E$1=2),0,1)</f>
        <v>1</v>
      </c>
      <c r="K12" s="68">
        <f ca="1">IF(AND(SUMIF(Capacity_Resource,$D12,'Critical resources (hide)'!X$6:X$105)+SUMIF(Capacity_Resource,$E12,'Critical resources (hide)'!X$6:X$105)+SUMIF(Capacity_Resource,$F12,'Critical resources (hide)'!X$6:X$105)&gt;0,$E$1=2),0,1)</f>
        <v>1</v>
      </c>
      <c r="L12" s="68">
        <f ca="1">IF(AND(SUMIF(Capacity_Resource,$D12,'Critical resources (hide)'!Y$6:Y$105)+SUMIF(Capacity_Resource,$E12,'Critical resources (hide)'!Y$6:Y$105)+SUMIF(Capacity_Resource,$F12,'Critical resources (hide)'!Y$6:Y$105)&gt;0,$E$1=2),0,1)</f>
        <v>1</v>
      </c>
      <c r="M12" s="68">
        <f ca="1">IF(AND(SUMIF(Capacity_Resource,$D12,'Critical resources (hide)'!Z$6:Z$105)+SUMIF(Capacity_Resource,$E12,'Critical resources (hide)'!Z$6:Z$105)+SUMIF(Capacity_Resource,$F12,'Critical resources (hide)'!Z$6:Z$105)&gt;0,$E$1=2),0,1)</f>
        <v>1</v>
      </c>
      <c r="N12" s="68">
        <f ca="1">IF(AND(SUMIF(Capacity_Resource,$D12,'Critical resources (hide)'!AA$6:AA$105)+SUMIF(Capacity_Resource,$E12,'Critical resources (hide)'!AA$6:AA$105)+SUMIF(Capacity_Resource,$F12,'Critical resources (hide)'!AA$6:AA$105)&gt;0,$E$1=2),0,1)</f>
        <v>1</v>
      </c>
      <c r="O12" s="68">
        <f ca="1">IF(AND(SUMIF(Capacity_Resource,$D12,'Critical resources (hide)'!AB$6:AB$105)+SUMIF(Capacity_Resource,$E12,'Critical resources (hide)'!AB$6:AB$105)+SUMIF(Capacity_Resource,$F12,'Critical resources (hide)'!AB$6:AB$105)&gt;0,$E$1=2),0,1)</f>
        <v>1</v>
      </c>
      <c r="P12" s="68">
        <f ca="1">IF(AND(SUMIF(Capacity_Resource,$D12,'Critical resources (hide)'!AC$6:AC$105)+SUMIF(Capacity_Resource,$E12,'Critical resources (hide)'!AC$6:AC$105)+SUMIF(Capacity_Resource,$F12,'Critical resources (hide)'!AC$6:AC$105)&gt;0,$E$1=2),0,1)</f>
        <v>1</v>
      </c>
      <c r="Q12" s="68">
        <f ca="1">IF(AND(SUMIF(Capacity_Resource,$D12,'Critical resources (hide)'!AD$6:AD$105)+SUMIF(Capacity_Resource,$E12,'Critical resources (hide)'!AD$6:AD$105)+SUMIF(Capacity_Resource,$F12,'Critical resources (hide)'!AD$6:AD$105)&gt;0,$E$1=2),0,1)</f>
        <v>1</v>
      </c>
      <c r="R12" s="68">
        <f ca="1">IF(AND(SUMIF(Capacity_Resource,$D12,'Critical resources (hide)'!AE$6:AE$105)+SUMIF(Capacity_Resource,$E12,'Critical resources (hide)'!AE$6:AE$105)+SUMIF(Capacity_Resource,$F12,'Critical resources (hide)'!AE$6:AE$105)&gt;0,$E$1=2),0,1)</f>
        <v>1</v>
      </c>
      <c r="S12" s="68">
        <f ca="1">IF(AND(SUMIF(Capacity_Resource,$D12,'Critical resources (hide)'!AF$6:AF$105)+SUMIF(Capacity_Resource,$E12,'Critical resources (hide)'!AF$6:AF$105)+SUMIF(Capacity_Resource,$F12,'Critical resources (hide)'!AF$6:AF$105)&gt;0,$E$1=2),0,1)</f>
        <v>1</v>
      </c>
      <c r="T12" s="68">
        <f ca="1">IF(AND(SUMIF(Capacity_Resource,$D12,'Critical resources (hide)'!AG$6:AG$105)+SUMIF(Capacity_Resource,$E12,'Critical resources (hide)'!AG$6:AG$105)+SUMIF(Capacity_Resource,$F12,'Critical resources (hide)'!AG$6:AG$105)&gt;0,$E$1=2),0,1)</f>
        <v>1</v>
      </c>
      <c r="U12" s="68">
        <f ca="1">IF(AND(SUMIF(Capacity_Resource,$D12,'Critical resources (hide)'!AH$6:AH$105)+SUMIF(Capacity_Resource,$E12,'Critical resources (hide)'!AH$6:AH$105)+SUMIF(Capacity_Resource,$F12,'Critical resources (hide)'!AH$6:AH$105)&gt;0,$E$1=2),0,1)</f>
        <v>1</v>
      </c>
      <c r="V12" s="68">
        <f ca="1">IF(AND(SUMIF(Capacity_Resource,$D12,'Critical resources (hide)'!AI$6:AI$105)+SUMIF(Capacity_Resource,$E12,'Critical resources (hide)'!AI$6:AI$105)+SUMIF(Capacity_Resource,$F12,'Critical resources (hide)'!AI$6:AI$105)&gt;0,$E$1=2),0,1)</f>
        <v>1</v>
      </c>
      <c r="W12" s="68">
        <f ca="1">IF(AND(SUMIF(Capacity_Resource,$D12,'Critical resources (hide)'!AJ$6:AJ$105)+SUMIF(Capacity_Resource,$E12,'Critical resources (hide)'!AJ$6:AJ$105)+SUMIF(Capacity_Resource,$F12,'Critical resources (hide)'!AJ$6:AJ$105)&gt;0,$E$1=2),0,1)</f>
        <v>1</v>
      </c>
      <c r="X12" s="68">
        <f ca="1">IF(AND(SUMIF(Capacity_Resource,$D12,'Critical resources (hide)'!AK$6:AK$105)+SUMIF(Capacity_Resource,$E12,'Critical resources (hide)'!AK$6:AK$105)+SUMIF(Capacity_Resource,$F12,'Critical resources (hide)'!AK$6:AK$105)&gt;0,$E$1=2),0,1)</f>
        <v>1</v>
      </c>
      <c r="Y12" s="68">
        <f ca="1">IF(AND(SUMIF(Capacity_Resource,$D12,'Critical resources (hide)'!AL$6:AL$105)+SUMIF(Capacity_Resource,$E12,'Critical resources (hide)'!AL$6:AL$105)+SUMIF(Capacity_Resource,$F12,'Critical resources (hide)'!AL$6:AL$105)&gt;0,$E$1=2),0,1)</f>
        <v>1</v>
      </c>
      <c r="Z12" s="68">
        <f ca="1">IF(AND(SUMIF(Capacity_Resource,$D12,'Critical resources (hide)'!AM$6:AM$105)+SUMIF(Capacity_Resource,$E12,'Critical resources (hide)'!AM$6:AM$105)+SUMIF(Capacity_Resource,$F12,'Critical resources (hide)'!AM$6:AM$105)&gt;0,$E$1=2),0,1)</f>
        <v>1</v>
      </c>
      <c r="AA12" s="68">
        <f ca="1">IF(AND(SUMIF(Capacity_Resource,$D12,'Critical resources (hide)'!AN$6:AN$105)+SUMIF(Capacity_Resource,$E12,'Critical resources (hide)'!AN$6:AN$105)+SUMIF(Capacity_Resource,$F12,'Critical resources (hide)'!AN$6:AN$105)&gt;0,$E$1=2),0,1)</f>
        <v>1</v>
      </c>
      <c r="AB12" s="68">
        <f ca="1">IF(AND(SUMIF(Capacity_Resource,$D12,'Critical resources (hide)'!AO$6:AO$105)+SUMIF(Capacity_Resource,$E12,'Critical resources (hide)'!AO$6:AO$105)+SUMIF(Capacity_Resource,$F12,'Critical resources (hide)'!AO$6:AO$105)&gt;0,$E$1=2),0,1)</f>
        <v>1</v>
      </c>
      <c r="AC12" s="68">
        <f ca="1">IF(AND(SUMIF(Capacity_Resource,$D12,'Critical resources (hide)'!AP$6:AP$105)+SUMIF(Capacity_Resource,$E12,'Critical resources (hide)'!AP$6:AP$105)+SUMIF(Capacity_Resource,$F12,'Critical resources (hide)'!AP$6:AP$105)&gt;0,$E$1=2),0,1)</f>
        <v>1</v>
      </c>
      <c r="AD12" s="68">
        <f ca="1">IF(AND(SUMIF(Capacity_Resource,$D12,'Critical resources (hide)'!AQ$6:AQ$105)+SUMIF(Capacity_Resource,$E12,'Critical resources (hide)'!AQ$6:AQ$105)+SUMIF(Capacity_Resource,$F12,'Critical resources (hide)'!AQ$6:AQ$105)&gt;0,$E$1=2),0,1)</f>
        <v>1</v>
      </c>
      <c r="AE12" s="68">
        <f ca="1">IF(AND(SUMIF(Capacity_Resource,$D12,'Critical resources (hide)'!AR$6:AR$105)+SUMIF(Capacity_Resource,$E12,'Critical resources (hide)'!AR$6:AR$105)+SUMIF(Capacity_Resource,$F12,'Critical resources (hide)'!AR$6:AR$105)&gt;0,$E$1=2),0,1)</f>
        <v>1</v>
      </c>
      <c r="AF12" s="68">
        <f ca="1">IF(AND(SUMIF(Capacity_Resource,$D12,'Critical resources (hide)'!AS$6:AS$105)+SUMIF(Capacity_Resource,$E12,'Critical resources (hide)'!AS$6:AS$105)+SUMIF(Capacity_Resource,$F12,'Critical resources (hide)'!AS$6:AS$105)&gt;0,$E$1=2),0,1)</f>
        <v>1</v>
      </c>
      <c r="AG12" s="68">
        <f ca="1">IF(AND(SUMIF(Capacity_Resource,$D12,'Critical resources (hide)'!AT$6:AT$105)+SUMIF(Capacity_Resource,$E12,'Critical resources (hide)'!AT$6:AT$105)+SUMIF(Capacity_Resource,$F12,'Critical resources (hide)'!AT$6:AT$105)&gt;0,$E$1=2),0,1)</f>
        <v>1</v>
      </c>
      <c r="AH12" s="68">
        <f ca="1">IF(AND(SUMIF(Capacity_Resource,$D12,'Critical resources (hide)'!AU$6:AU$105)+SUMIF(Capacity_Resource,$E12,'Critical resources (hide)'!AU$6:AU$105)+SUMIF(Capacity_Resource,$F12,'Critical resources (hide)'!AU$6:AU$105)&gt;0,$E$1=2),0,1)</f>
        <v>1</v>
      </c>
      <c r="AI12" s="68">
        <f ca="1">IF(AND(SUMIF(Capacity_Resource,$D12,'Critical resources (hide)'!AV$6:AV$105)+SUMIF(Capacity_Resource,$E12,'Critical resources (hide)'!AV$6:AV$105)+SUMIF(Capacity_Resource,$F12,'Critical resources (hide)'!AV$6:AV$105)&gt;0,$E$1=2),0,1)</f>
        <v>1</v>
      </c>
      <c r="AJ12" s="68">
        <f ca="1">IF(AND(SUMIF(Capacity_Resource,$D12,'Critical resources (hide)'!AW$6:AW$105)+SUMIF(Capacity_Resource,$E12,'Critical resources (hide)'!AW$6:AW$105)+SUMIF(Capacity_Resource,$F12,'Critical resources (hide)'!AW$6:AW$105)&gt;0,$E$1=2),0,1)</f>
        <v>1</v>
      </c>
      <c r="AK12" s="68">
        <f ca="1">IF(AND(SUMIF(Capacity_Resource,$D12,'Critical resources (hide)'!AX$6:AX$105)+SUMIF(Capacity_Resource,$E12,'Critical resources (hide)'!AX$6:AX$105)+SUMIF(Capacity_Resource,$F12,'Critical resources (hide)'!AX$6:AX$105)&gt;0,$E$1=2),0,1)</f>
        <v>1</v>
      </c>
      <c r="AL12" s="68">
        <f ca="1">IF(AND(SUMIF(Capacity_Resource,$D12,'Critical resources (hide)'!AY$6:AY$105)+SUMIF(Capacity_Resource,$E12,'Critical resources (hide)'!AY$6:AY$105)+SUMIF(Capacity_Resource,$F12,'Critical resources (hide)'!AY$6:AY$105)&gt;0,$E$1=2),0,1)</f>
        <v>1</v>
      </c>
      <c r="AM12" s="68">
        <f ca="1">IF(AND(SUMIF(Capacity_Resource,$D12,'Critical resources (hide)'!AZ$6:AZ$105)+SUMIF(Capacity_Resource,$E12,'Critical resources (hide)'!AZ$6:AZ$105)+SUMIF(Capacity_Resource,$F12,'Critical resources (hide)'!AZ$6:AZ$105)&gt;0,$E$1=2),0,1)</f>
        <v>1</v>
      </c>
      <c r="AN12" s="68">
        <f ca="1">IF(AND(SUMIF(Capacity_Resource,$D12,'Critical resources (hide)'!BA$6:BA$105)+SUMIF(Capacity_Resource,$E12,'Critical resources (hide)'!BA$6:BA$105)+SUMIF(Capacity_Resource,$F12,'Critical resources (hide)'!BA$6:BA$105)&gt;0,$E$1=2),0,1)</f>
        <v>1</v>
      </c>
      <c r="AO12" s="68">
        <f ca="1">IF(AND(SUMIF(Capacity_Resource,$D12,'Critical resources (hide)'!BB$6:BB$105)+SUMIF(Capacity_Resource,$E12,'Critical resources (hide)'!BB$6:BB$105)+SUMIF(Capacity_Resource,$F12,'Critical resources (hide)'!BB$6:BB$105)&gt;0,$E$1=2),0,1)</f>
        <v>1</v>
      </c>
      <c r="AP12" s="68">
        <f ca="1">IF(AND(SUMIF(Capacity_Resource,$D12,'Critical resources (hide)'!BC$6:BC$105)+SUMIF(Capacity_Resource,$E12,'Critical resources (hide)'!BC$6:BC$105)+SUMIF(Capacity_Resource,$F12,'Critical resources (hide)'!BC$6:BC$105)&gt;0,$E$1=2),0,1)</f>
        <v>1</v>
      </c>
      <c r="AQ12" s="68">
        <f ca="1">IF(AND(SUMIF(Capacity_Resource,$D12,'Critical resources (hide)'!BD$6:BD$105)+SUMIF(Capacity_Resource,$E12,'Critical resources (hide)'!BD$6:BD$105)+SUMIF(Capacity_Resource,$F12,'Critical resources (hide)'!BD$6:BD$105)&gt;0,$E$1=2),0,1)</f>
        <v>1</v>
      </c>
      <c r="AR12" s="68">
        <f ca="1">IF(AND(SUMIF(Capacity_Resource,$D12,'Critical resources (hide)'!BE$6:BE$105)+SUMIF(Capacity_Resource,$E12,'Critical resources (hide)'!BE$6:BE$105)+SUMIF(Capacity_Resource,$F12,'Critical resources (hide)'!BE$6:BE$105)&gt;0,$E$1=2),0,1)</f>
        <v>1</v>
      </c>
      <c r="AS12" s="68">
        <f ca="1">IF(AND(SUMIF(Capacity_Resource,$D12,'Critical resources (hide)'!BF$6:BF$105)+SUMIF(Capacity_Resource,$E12,'Critical resources (hide)'!BF$6:BF$105)+SUMIF(Capacity_Resource,$F12,'Critical resources (hide)'!BF$6:BF$105)&gt;0,$E$1=2),0,1)</f>
        <v>1</v>
      </c>
      <c r="AT12" s="68">
        <f ca="1">IF(AND(SUMIF(Capacity_Resource,$D12,'Critical resources (hide)'!BG$6:BG$105)+SUMIF(Capacity_Resource,$E12,'Critical resources (hide)'!BG$6:BG$105)+SUMIF(Capacity_Resource,$F12,'Critical resources (hide)'!BG$6:BG$105)&gt;0,$E$1=2),0,1)</f>
        <v>1</v>
      </c>
      <c r="AU12" s="68">
        <f ca="1">IF(AND(SUMIF(Capacity_Resource,$D12,'Critical resources (hide)'!BH$6:BH$105)+SUMIF(Capacity_Resource,$E12,'Critical resources (hide)'!BH$6:BH$105)+SUMIF(Capacity_Resource,$F12,'Critical resources (hide)'!BH$6:BH$105)&gt;0,$E$1=2),0,1)</f>
        <v>1</v>
      </c>
      <c r="AV12" s="68">
        <f ca="1">IF(AND(SUMIF(Capacity_Resource,$D12,'Critical resources (hide)'!BI$6:BI$105)+SUMIF(Capacity_Resource,$E12,'Critical resources (hide)'!BI$6:BI$105)+SUMIF(Capacity_Resource,$F12,'Critical resources (hide)'!BI$6:BI$105)&gt;0,$E$1=2),0,1)</f>
        <v>1</v>
      </c>
      <c r="AW12" s="68">
        <f ca="1">IF(AND(SUMIF(Capacity_Resource,$D12,'Critical resources (hide)'!BJ$6:BJ$105)+SUMIF(Capacity_Resource,$E12,'Critical resources (hide)'!BJ$6:BJ$105)+SUMIF(Capacity_Resource,$F12,'Critical resources (hide)'!BJ$6:BJ$105)&gt;0,$E$1=2),0,1)</f>
        <v>1</v>
      </c>
      <c r="AX12" s="68">
        <f ca="1">IF(AND(SUMIF(Capacity_Resource,$D12,'Critical resources (hide)'!BK$6:BK$105)+SUMIF(Capacity_Resource,$E12,'Critical resources (hide)'!BK$6:BK$105)+SUMIF(Capacity_Resource,$F12,'Critical resources (hide)'!BK$6:BK$105)&gt;0,$E$1=2),0,1)</f>
        <v>1</v>
      </c>
      <c r="AY12" s="68">
        <f ca="1">IF(AND(SUMIF(Capacity_Resource,$D12,'Critical resources (hide)'!BL$6:BL$105)+SUMIF(Capacity_Resource,$E12,'Critical resources (hide)'!BL$6:BL$105)+SUMIF(Capacity_Resource,$F12,'Critical resources (hide)'!BL$6:BL$105)&gt;0,$E$1=2),0,1)</f>
        <v>1</v>
      </c>
      <c r="AZ12" s="68">
        <f ca="1">IF(AND(SUMIF(Capacity_Resource,$D12,'Critical resources (hide)'!BM$6:BM$105)+SUMIF(Capacity_Resource,$E12,'Critical resources (hide)'!BM$6:BM$105)+SUMIF(Capacity_Resource,$F12,'Critical resources (hide)'!BM$6:BM$105)&gt;0,$E$1=2),0,1)</f>
        <v>1</v>
      </c>
      <c r="BA12" s="68">
        <f ca="1">IF(AND(SUMIF(Capacity_Resource,$D12,'Critical resources (hide)'!BN$6:BN$105)+SUMIF(Capacity_Resource,$E12,'Critical resources (hide)'!BN$6:BN$105)+SUMIF(Capacity_Resource,$F12,'Critical resources (hide)'!BN$6:BN$105)&gt;0,$E$1=2),0,1)</f>
        <v>1</v>
      </c>
      <c r="BB12" s="68">
        <f ca="1">IF(AND(SUMIF(Capacity_Resource,$D12,'Critical resources (hide)'!BO$6:BO$105)+SUMIF(Capacity_Resource,$E12,'Critical resources (hide)'!BO$6:BO$105)+SUMIF(Capacity_Resource,$F12,'Critical resources (hide)'!BO$6:BO$105)&gt;0,$E$1=2),0,1)</f>
        <v>1</v>
      </c>
      <c r="BC12" s="68">
        <f ca="1">IF(AND(SUMIF(Capacity_Resource,$D12,'Critical resources (hide)'!BP$6:BP$105)+SUMIF(Capacity_Resource,$E12,'Critical resources (hide)'!BP$6:BP$105)+SUMIF(Capacity_Resource,$F12,'Critical resources (hide)'!BP$6:BP$105)&gt;0,$E$1=2),0,1)</f>
        <v>1</v>
      </c>
      <c r="BD12" s="68">
        <f ca="1">IF(AND(SUMIF(Capacity_Resource,$D12,'Critical resources (hide)'!BQ$6:BQ$105)+SUMIF(Capacity_Resource,$E12,'Critical resources (hide)'!BQ$6:BQ$105)+SUMIF(Capacity_Resource,$F12,'Critical resources (hide)'!BQ$6:BQ$105)&gt;0,$E$1=2),0,1)</f>
        <v>1</v>
      </c>
      <c r="BE12" s="68">
        <f ca="1">IF(AND(SUMIF(Capacity_Resource,$D12,'Critical resources (hide)'!BR$6:BR$105)+SUMIF(Capacity_Resource,$E12,'Critical resources (hide)'!BR$6:BR$105)+SUMIF(Capacity_Resource,$F12,'Critical resources (hide)'!BR$6:BR$105)&gt;0,$E$1=2),0,1)</f>
        <v>1</v>
      </c>
      <c r="BF12" s="68">
        <f ca="1">IF(AND(SUMIF(Capacity_Resource,$D12,'Critical resources (hide)'!BS$6:BS$105)+SUMIF(Capacity_Resource,$E12,'Critical resources (hide)'!BS$6:BS$105)+SUMIF(Capacity_Resource,$F12,'Critical resources (hide)'!BS$6:BS$105)&gt;0,$E$1=2),0,1)</f>
        <v>1</v>
      </c>
      <c r="BG12" s="68">
        <f ca="1">IF(AND(SUMIF(Capacity_Resource,$D12,'Critical resources (hide)'!BT$6:BT$105)+SUMIF(Capacity_Resource,$E12,'Critical resources (hide)'!BT$6:BT$105)+SUMIF(Capacity_Resource,$F12,'Critical resources (hide)'!BT$6:BT$105)&gt;0,$E$1=2),0,1)</f>
        <v>1</v>
      </c>
      <c r="BH12" s="68">
        <f>IF(ROW(C8)&lt;=Capacity!$A$16,IF('Capacity summary'!$D$14="No",SUM(H12:BG12),'Capacity summary'!$E131),0)</f>
        <v>0</v>
      </c>
      <c r="BI12" s="5" t="str">
        <f>IF(BH12&gt;0,IF(BH12&lt;Capacity!E24,Capacity!F24,Capacity!H24/'Capacity calculation (hide)'!BH12),"")</f>
        <v/>
      </c>
      <c r="BK12" s="319">
        <f>IF($BI12&lt;&gt;"",IF('Capacity summary'!$D$14="Yes",IF(COUNTBLANK('Capacity summary'!$H131:$BG131)&lt;52,IF('Capacity summary'!H131&lt;&gt;"",$BI12*H12,0),H12*$BI12),H12*$BI12),0)</f>
        <v>0</v>
      </c>
      <c r="BL12" s="319">
        <f>IF($BI12&lt;&gt;"",IF('Capacity summary'!$D$14="Yes",IF(COUNTBLANK('Capacity summary'!$H131:$BG131)&lt;52,IF('Capacity summary'!I131&lt;&gt;"",$BI12*I12,0),I12*$BI12),I12*$BI12),0)</f>
        <v>0</v>
      </c>
      <c r="BM12" s="319">
        <f>IF($BI12&lt;&gt;"",IF('Capacity summary'!$D$14="Yes",IF(COUNTBLANK('Capacity summary'!$H131:$BG131)&lt;52,IF('Capacity summary'!J131&lt;&gt;"",$BI12*J12,0),J12*$BI12),J12*$BI12),0)</f>
        <v>0</v>
      </c>
      <c r="BN12" s="319">
        <f>IF($BI12&lt;&gt;"",IF('Capacity summary'!$D$14="Yes",IF(COUNTBLANK('Capacity summary'!$H131:$BG131)&lt;52,IF('Capacity summary'!K131&lt;&gt;"",$BI12*K12,0),K12*$BI12),K12*$BI12),0)</f>
        <v>0</v>
      </c>
      <c r="BO12" s="319">
        <f>IF($BI12&lt;&gt;"",IF('Capacity summary'!$D$14="Yes",IF(COUNTBLANK('Capacity summary'!$H131:$BG131)&lt;52,IF('Capacity summary'!L131&lt;&gt;"",$BI12*L12,0),L12*$BI12),L12*$BI12),0)</f>
        <v>0</v>
      </c>
      <c r="BP12" s="319">
        <f>IF($BI12&lt;&gt;"",IF('Capacity summary'!$D$14="Yes",IF(COUNTBLANK('Capacity summary'!$H131:$BG131)&lt;52,IF('Capacity summary'!M131&lt;&gt;"",$BI12*M12,0),M12*$BI12),M12*$BI12),0)</f>
        <v>0</v>
      </c>
      <c r="BQ12" s="319">
        <f>IF($BI12&lt;&gt;"",IF('Capacity summary'!$D$14="Yes",IF(COUNTBLANK('Capacity summary'!$H131:$BG131)&lt;52,IF('Capacity summary'!N131&lt;&gt;"",$BI12*N12,0),N12*$BI12),N12*$BI12),0)</f>
        <v>0</v>
      </c>
      <c r="BR12" s="319">
        <f>IF($BI12&lt;&gt;"",IF('Capacity summary'!$D$14="Yes",IF(COUNTBLANK('Capacity summary'!$H131:$BG131)&lt;52,IF('Capacity summary'!O131&lt;&gt;"",$BI12*O12,0),O12*$BI12),O12*$BI12),0)</f>
        <v>0</v>
      </c>
      <c r="BS12" s="319">
        <f>IF($BI12&lt;&gt;"",IF('Capacity summary'!$D$14="Yes",IF(COUNTBLANK('Capacity summary'!$H131:$BG131)&lt;52,IF('Capacity summary'!P131&lt;&gt;"",$BI12*P12,0),P12*$BI12),P12*$BI12),0)</f>
        <v>0</v>
      </c>
      <c r="BT12" s="319">
        <f>IF($BI12&lt;&gt;"",IF('Capacity summary'!$D$14="Yes",IF(COUNTBLANK('Capacity summary'!$H131:$BG131)&lt;52,IF('Capacity summary'!Q131&lt;&gt;"",$BI12*Q12,0),Q12*$BI12),Q12*$BI12),0)</f>
        <v>0</v>
      </c>
      <c r="BU12" s="319">
        <f>IF($BI12&lt;&gt;"",IF('Capacity summary'!$D$14="Yes",IF(COUNTBLANK('Capacity summary'!$H131:$BG131)&lt;52,IF('Capacity summary'!R131&lt;&gt;"",$BI12*R12,0),R12*$BI12),R12*$BI12),0)</f>
        <v>0</v>
      </c>
      <c r="BV12" s="319">
        <f>IF($BI12&lt;&gt;"",IF('Capacity summary'!$D$14="Yes",IF(COUNTBLANK('Capacity summary'!$H131:$BG131)&lt;52,IF('Capacity summary'!S131&lt;&gt;"",$BI12*S12,0),S12*$BI12),S12*$BI12),0)</f>
        <v>0</v>
      </c>
      <c r="BW12" s="319">
        <f>IF($BI12&lt;&gt;"",IF('Capacity summary'!$D$14="Yes",IF(COUNTBLANK('Capacity summary'!$H131:$BG131)&lt;52,IF('Capacity summary'!T131&lt;&gt;"",$BI12*T12,0),T12*$BI12),T12*$BI12),0)</f>
        <v>0</v>
      </c>
      <c r="BX12" s="319">
        <f>IF($BI12&lt;&gt;"",IF('Capacity summary'!$D$14="Yes",IF(COUNTBLANK('Capacity summary'!$H131:$BG131)&lt;52,IF('Capacity summary'!U131&lt;&gt;"",$BI12*U12,0),U12*$BI12),U12*$BI12),0)</f>
        <v>0</v>
      </c>
      <c r="BY12" s="319">
        <f>IF($BI12&lt;&gt;"",IF('Capacity summary'!$D$14="Yes",IF(COUNTBLANK('Capacity summary'!$H131:$BG131)&lt;52,IF('Capacity summary'!V131&lt;&gt;"",$BI12*V12,0),V12*$BI12),V12*$BI12),0)</f>
        <v>0</v>
      </c>
      <c r="BZ12" s="319">
        <f>IF($BI12&lt;&gt;"",IF('Capacity summary'!$D$14="Yes",IF(COUNTBLANK('Capacity summary'!$H131:$BG131)&lt;52,IF('Capacity summary'!W131&lt;&gt;"",$BI12*W12,0),W12*$BI12),W12*$BI12),0)</f>
        <v>0</v>
      </c>
      <c r="CA12" s="319">
        <f>IF($BI12&lt;&gt;"",IF('Capacity summary'!$D$14="Yes",IF(COUNTBLANK('Capacity summary'!$H131:$BG131)&lt;52,IF('Capacity summary'!X131&lt;&gt;"",$BI12*X12,0),X12*$BI12),X12*$BI12),0)</f>
        <v>0</v>
      </c>
      <c r="CB12" s="319">
        <f>IF($BI12&lt;&gt;"",IF('Capacity summary'!$D$14="Yes",IF(COUNTBLANK('Capacity summary'!$H131:$BG131)&lt;52,IF('Capacity summary'!Y131&lt;&gt;"",$BI12*Y12,0),Y12*$BI12),Y12*$BI12),0)</f>
        <v>0</v>
      </c>
      <c r="CC12" s="319">
        <f>IF($BI12&lt;&gt;"",IF('Capacity summary'!$D$14="Yes",IF(COUNTBLANK('Capacity summary'!$H131:$BG131)&lt;52,IF('Capacity summary'!Z131&lt;&gt;"",$BI12*Z12,0),Z12*$BI12),Z12*$BI12),0)</f>
        <v>0</v>
      </c>
      <c r="CD12" s="319">
        <f>IF($BI12&lt;&gt;"",IF('Capacity summary'!$D$14="Yes",IF(COUNTBLANK('Capacity summary'!$H131:$BG131)&lt;52,IF('Capacity summary'!AA131&lt;&gt;"",$BI12*AA12,0),AA12*$BI12),AA12*$BI12),0)</f>
        <v>0</v>
      </c>
      <c r="CE12" s="319">
        <f>IF($BI12&lt;&gt;"",IF('Capacity summary'!$D$14="Yes",IF(COUNTBLANK('Capacity summary'!$H131:$BG131)&lt;52,IF('Capacity summary'!AB131&lt;&gt;"",$BI12*AB12,0),AB12*$BI12),AB12*$BI12),0)</f>
        <v>0</v>
      </c>
      <c r="CF12" s="319">
        <f>IF($BI12&lt;&gt;"",IF('Capacity summary'!$D$14="Yes",IF(COUNTBLANK('Capacity summary'!$H131:$BG131)&lt;52,IF('Capacity summary'!AC131&lt;&gt;"",$BI12*AC12,0),AC12*$BI12),AC12*$BI12),0)</f>
        <v>0</v>
      </c>
      <c r="CG12" s="319">
        <f>IF($BI12&lt;&gt;"",IF('Capacity summary'!$D$14="Yes",IF(COUNTBLANK('Capacity summary'!$H131:$BG131)&lt;52,IF('Capacity summary'!AD131&lt;&gt;"",$BI12*AD12,0),AD12*$BI12),AD12*$BI12),0)</f>
        <v>0</v>
      </c>
      <c r="CH12" s="319">
        <f>IF($BI12&lt;&gt;"",IF('Capacity summary'!$D$14="Yes",IF(COUNTBLANK('Capacity summary'!$H131:$BG131)&lt;52,IF('Capacity summary'!AE131&lt;&gt;"",$BI12*AE12,0),AE12*$BI12),AE12*$BI12),0)</f>
        <v>0</v>
      </c>
      <c r="CI12" s="319">
        <f>IF($BI12&lt;&gt;"",IF('Capacity summary'!$D$14="Yes",IF(COUNTBLANK('Capacity summary'!$H131:$BG131)&lt;52,IF('Capacity summary'!AF131&lt;&gt;"",$BI12*AF12,0),AF12*$BI12),AF12*$BI12),0)</f>
        <v>0</v>
      </c>
      <c r="CJ12" s="319">
        <f>IF($BI12&lt;&gt;"",IF('Capacity summary'!$D$14="Yes",IF(COUNTBLANK('Capacity summary'!$H131:$BG131)&lt;52,IF('Capacity summary'!AG131&lt;&gt;"",$BI12*AG12,0),AG12*$BI12),AG12*$BI12),0)</f>
        <v>0</v>
      </c>
      <c r="CK12" s="319">
        <f>IF($BI12&lt;&gt;"",IF('Capacity summary'!$D$14="Yes",IF(COUNTBLANK('Capacity summary'!$H131:$BG131)&lt;52,IF('Capacity summary'!AH131&lt;&gt;"",$BI12*AH12,0),AH12*$BI12),AH12*$BI12),0)</f>
        <v>0</v>
      </c>
      <c r="CL12" s="319">
        <f>IF($BI12&lt;&gt;"",IF('Capacity summary'!$D$14="Yes",IF(COUNTBLANK('Capacity summary'!$H131:$BG131)&lt;52,IF('Capacity summary'!AI131&lt;&gt;"",$BI12*AI12,0),AI12*$BI12),AI12*$BI12),0)</f>
        <v>0</v>
      </c>
      <c r="CM12" s="319">
        <f>IF($BI12&lt;&gt;"",IF('Capacity summary'!$D$14="Yes",IF(COUNTBLANK('Capacity summary'!$H131:$BG131)&lt;52,IF('Capacity summary'!AJ131&lt;&gt;"",$BI12*AJ12,0),AJ12*$BI12),AJ12*$BI12),0)</f>
        <v>0</v>
      </c>
      <c r="CN12" s="319">
        <f>IF($BI12&lt;&gt;"",IF('Capacity summary'!$D$14="Yes",IF(COUNTBLANK('Capacity summary'!$H131:$BG131)&lt;52,IF('Capacity summary'!AK131&lt;&gt;"",$BI12*AK12,0),AK12*$BI12),AK12*$BI12),0)</f>
        <v>0</v>
      </c>
      <c r="CO12" s="319">
        <f>IF($BI12&lt;&gt;"",IF('Capacity summary'!$D$14="Yes",IF(COUNTBLANK('Capacity summary'!$H131:$BG131)&lt;52,IF('Capacity summary'!AL131&lt;&gt;"",$BI12*AL12,0),AL12*$BI12),AL12*$BI12),0)</f>
        <v>0</v>
      </c>
      <c r="CP12" s="319">
        <f>IF($BI12&lt;&gt;"",IF('Capacity summary'!$D$14="Yes",IF(COUNTBLANK('Capacity summary'!$H131:$BG131)&lt;52,IF('Capacity summary'!AM131&lt;&gt;"",$BI12*AM12,0),AM12*$BI12),AM12*$BI12),0)</f>
        <v>0</v>
      </c>
      <c r="CQ12" s="319">
        <f>IF($BI12&lt;&gt;"",IF('Capacity summary'!$D$14="Yes",IF(COUNTBLANK('Capacity summary'!$H131:$BG131)&lt;52,IF('Capacity summary'!AN131&lt;&gt;"",$BI12*AN12,0),AN12*$BI12),AN12*$BI12),0)</f>
        <v>0</v>
      </c>
      <c r="CR12" s="319">
        <f>IF($BI12&lt;&gt;"",IF('Capacity summary'!$D$14="Yes",IF(COUNTBLANK('Capacity summary'!$H131:$BG131)&lt;52,IF('Capacity summary'!AO131&lt;&gt;"",$BI12*AO12,0),AO12*$BI12),AO12*$BI12),0)</f>
        <v>0</v>
      </c>
      <c r="CS12" s="319">
        <f>IF($BI12&lt;&gt;"",IF('Capacity summary'!$D$14="Yes",IF(COUNTBLANK('Capacity summary'!$H131:$BG131)&lt;52,IF('Capacity summary'!AP131&lt;&gt;"",$BI12*AP12,0),AP12*$BI12),AP12*$BI12),0)</f>
        <v>0</v>
      </c>
      <c r="CT12" s="319">
        <f>IF($BI12&lt;&gt;"",IF('Capacity summary'!$D$14="Yes",IF(COUNTBLANK('Capacity summary'!$H131:$BG131)&lt;52,IF('Capacity summary'!AQ131&lt;&gt;"",$BI12*AQ12,0),AQ12*$BI12),AQ12*$BI12),0)</f>
        <v>0</v>
      </c>
      <c r="CU12" s="319">
        <f>IF($BI12&lt;&gt;"",IF('Capacity summary'!$D$14="Yes",IF(COUNTBLANK('Capacity summary'!$H131:$BG131)&lt;52,IF('Capacity summary'!AR131&lt;&gt;"",$BI12*AR12,0),AR12*$BI12),AR12*$BI12),0)</f>
        <v>0</v>
      </c>
      <c r="CV12" s="319">
        <f>IF($BI12&lt;&gt;"",IF('Capacity summary'!$D$14="Yes",IF(COUNTBLANK('Capacity summary'!$H131:$BG131)&lt;52,IF('Capacity summary'!AS131&lt;&gt;"",$BI12*AS12,0),AS12*$BI12),AS12*$BI12),0)</f>
        <v>0</v>
      </c>
      <c r="CW12" s="319">
        <f>IF($BI12&lt;&gt;"",IF('Capacity summary'!$D$14="Yes",IF(COUNTBLANK('Capacity summary'!$H131:$BG131)&lt;52,IF('Capacity summary'!AT131&lt;&gt;"",$BI12*AT12,0),AT12*$BI12),AT12*$BI12),0)</f>
        <v>0</v>
      </c>
      <c r="CX12" s="319">
        <f>IF($BI12&lt;&gt;"",IF('Capacity summary'!$D$14="Yes",IF(COUNTBLANK('Capacity summary'!$H131:$BG131)&lt;52,IF('Capacity summary'!AU131&lt;&gt;"",$BI12*AU12,0),AU12*$BI12),AU12*$BI12),0)</f>
        <v>0</v>
      </c>
      <c r="CY12" s="319">
        <f>IF($BI12&lt;&gt;"",IF('Capacity summary'!$D$14="Yes",IF(COUNTBLANK('Capacity summary'!$H131:$BG131)&lt;52,IF('Capacity summary'!AV131&lt;&gt;"",$BI12*AV12,0),AV12*$BI12),AV12*$BI12),0)</f>
        <v>0</v>
      </c>
      <c r="CZ12" s="319">
        <f>IF($BI12&lt;&gt;"",IF('Capacity summary'!$D$14="Yes",IF(COUNTBLANK('Capacity summary'!$H131:$BG131)&lt;52,IF('Capacity summary'!AW131&lt;&gt;"",$BI12*AW12,0),AW12*$BI12),AW12*$BI12),0)</f>
        <v>0</v>
      </c>
      <c r="DA12" s="319">
        <f>IF($BI12&lt;&gt;"",IF('Capacity summary'!$D$14="Yes",IF(COUNTBLANK('Capacity summary'!$H131:$BG131)&lt;52,IF('Capacity summary'!AX131&lt;&gt;"",$BI12*AX12,0),AX12*$BI12),AX12*$BI12),0)</f>
        <v>0</v>
      </c>
      <c r="DB12" s="319">
        <f>IF($BI12&lt;&gt;"",IF('Capacity summary'!$D$14="Yes",IF(COUNTBLANK('Capacity summary'!$H131:$BG131)&lt;52,IF('Capacity summary'!AY131&lt;&gt;"",$BI12*AY12,0),AY12*$BI12),AY12*$BI12),0)</f>
        <v>0</v>
      </c>
      <c r="DC12" s="319">
        <f>IF($BI12&lt;&gt;"",IF('Capacity summary'!$D$14="Yes",IF(COUNTBLANK('Capacity summary'!$H131:$BG131)&lt;52,IF('Capacity summary'!AZ131&lt;&gt;"",$BI12*AZ12,0),AZ12*$BI12),AZ12*$BI12),0)</f>
        <v>0</v>
      </c>
      <c r="DD12" s="319">
        <f>IF($BI12&lt;&gt;"",IF('Capacity summary'!$D$14="Yes",IF(COUNTBLANK('Capacity summary'!$H131:$BG131)&lt;52,IF('Capacity summary'!BA131&lt;&gt;"",$BI12*BA12,0),BA12*$BI12),BA12*$BI12),0)</f>
        <v>0</v>
      </c>
      <c r="DE12" s="319">
        <f>IF($BI12&lt;&gt;"",IF('Capacity summary'!$D$14="Yes",IF(COUNTBLANK('Capacity summary'!$H131:$BG131)&lt;52,IF('Capacity summary'!BB131&lt;&gt;"",$BI12*BB12,0),BB12*$BI12),BB12*$BI12),0)</f>
        <v>0</v>
      </c>
      <c r="DF12" s="319">
        <f>IF($BI12&lt;&gt;"",IF('Capacity summary'!$D$14="Yes",IF(COUNTBLANK('Capacity summary'!$H131:$BG131)&lt;52,IF('Capacity summary'!BC131&lt;&gt;"",$BI12*BC12,0),BC12*$BI12),BC12*$BI12),0)</f>
        <v>0</v>
      </c>
      <c r="DG12" s="319">
        <f>IF($BI12&lt;&gt;"",IF('Capacity summary'!$D$14="Yes",IF(COUNTBLANK('Capacity summary'!$H131:$BG131)&lt;52,IF('Capacity summary'!BD131&lt;&gt;"",$BI12*BD12,0),BD12*$BI12),BD12*$BI12),0)</f>
        <v>0</v>
      </c>
      <c r="DH12" s="319">
        <f>IF($BI12&lt;&gt;"",IF('Capacity summary'!$D$14="Yes",IF(COUNTBLANK('Capacity summary'!$H131:$BG131)&lt;52,IF('Capacity summary'!BE131&lt;&gt;"",$BI12*BE12,0),BE12*$BI12),BE12*$BI12),0)</f>
        <v>0</v>
      </c>
      <c r="DI12" s="319">
        <f>IF($BI12&lt;&gt;"",IF('Capacity summary'!$D$14="Yes",IF(COUNTBLANK('Capacity summary'!$H131:$BG131)&lt;52,IF('Capacity summary'!BF131&lt;&gt;"",$BI12*BF12,0),BF12*$BI12),BF12*$BI12),0)</f>
        <v>0</v>
      </c>
      <c r="DJ12" s="319">
        <f>IF($BI12&lt;&gt;"",IF('Capacity summary'!$D$14="Yes",IF(COUNTBLANK('Capacity summary'!$H131:$BG131)&lt;52,IF('Capacity summary'!BG131&lt;&gt;"",$BI12*BG12,0),BG12*$BI12),BG12*$BI12),0)</f>
        <v>0</v>
      </c>
      <c r="DK12" s="5">
        <f t="shared" si="2"/>
        <v>0</v>
      </c>
      <c r="DL12" s="5" t="str">
        <f>Capacity!H24</f>
        <v/>
      </c>
      <c r="DP12" s="5"/>
    </row>
    <row r="13" spans="2:120" x14ac:dyDescent="0.2">
      <c r="B13" s="68"/>
      <c r="C13" s="68" t="str">
        <f>ROW(A9)&amp;". "&amp;Capacity!B25</f>
        <v xml:space="preserve">9. </v>
      </c>
      <c r="D13" s="68">
        <f>'Capacity setup'!C20</f>
        <v>0</v>
      </c>
      <c r="E13" s="68">
        <f>'Capacity setup'!D20</f>
        <v>0</v>
      </c>
      <c r="F13" s="68">
        <f>'Capacity setup'!E20</f>
        <v>0</v>
      </c>
      <c r="H13" s="68">
        <f ca="1">IF(AND(SUMIF(Capacity_Resource,$D13,'Critical resources (hide)'!U$6:U$105)+SUMIF(Capacity_Resource,$E13,'Critical resources (hide)'!U$6:U$105)+SUMIF(Capacity_Resource,$F13,'Critical resources (hide)'!U$6:U$105)&gt;0,$E$1=2),0,1)</f>
        <v>1</v>
      </c>
      <c r="I13" s="68">
        <f ca="1">IF(AND(SUMIF(Capacity_Resource,$D13,'Critical resources (hide)'!V$6:V$105)+SUMIF(Capacity_Resource,$E13,'Critical resources (hide)'!V$6:V$105)+SUMIF(Capacity_Resource,$F13,'Critical resources (hide)'!V$6:V$105)&gt;0,$E$1=2),0,1)</f>
        <v>1</v>
      </c>
      <c r="J13" s="68">
        <f ca="1">IF(AND(SUMIF(Capacity_Resource,$D13,'Critical resources (hide)'!W$6:W$105)+SUMIF(Capacity_Resource,$E13,'Critical resources (hide)'!W$6:W$105)+SUMIF(Capacity_Resource,$F13,'Critical resources (hide)'!W$6:W$105)&gt;0,$E$1=2),0,1)</f>
        <v>1</v>
      </c>
      <c r="K13" s="68">
        <f ca="1">IF(AND(SUMIF(Capacity_Resource,$D13,'Critical resources (hide)'!X$6:X$105)+SUMIF(Capacity_Resource,$E13,'Critical resources (hide)'!X$6:X$105)+SUMIF(Capacity_Resource,$F13,'Critical resources (hide)'!X$6:X$105)&gt;0,$E$1=2),0,1)</f>
        <v>1</v>
      </c>
      <c r="L13" s="68">
        <f ca="1">IF(AND(SUMIF(Capacity_Resource,$D13,'Critical resources (hide)'!Y$6:Y$105)+SUMIF(Capacity_Resource,$E13,'Critical resources (hide)'!Y$6:Y$105)+SUMIF(Capacity_Resource,$F13,'Critical resources (hide)'!Y$6:Y$105)&gt;0,$E$1=2),0,1)</f>
        <v>1</v>
      </c>
      <c r="M13" s="68">
        <f ca="1">IF(AND(SUMIF(Capacity_Resource,$D13,'Critical resources (hide)'!Z$6:Z$105)+SUMIF(Capacity_Resource,$E13,'Critical resources (hide)'!Z$6:Z$105)+SUMIF(Capacity_Resource,$F13,'Critical resources (hide)'!Z$6:Z$105)&gt;0,$E$1=2),0,1)</f>
        <v>1</v>
      </c>
      <c r="N13" s="68">
        <f ca="1">IF(AND(SUMIF(Capacity_Resource,$D13,'Critical resources (hide)'!AA$6:AA$105)+SUMIF(Capacity_Resource,$E13,'Critical resources (hide)'!AA$6:AA$105)+SUMIF(Capacity_Resource,$F13,'Critical resources (hide)'!AA$6:AA$105)&gt;0,$E$1=2),0,1)</f>
        <v>1</v>
      </c>
      <c r="O13" s="68">
        <f ca="1">IF(AND(SUMIF(Capacity_Resource,$D13,'Critical resources (hide)'!AB$6:AB$105)+SUMIF(Capacity_Resource,$E13,'Critical resources (hide)'!AB$6:AB$105)+SUMIF(Capacity_Resource,$F13,'Critical resources (hide)'!AB$6:AB$105)&gt;0,$E$1=2),0,1)</f>
        <v>1</v>
      </c>
      <c r="P13" s="68">
        <f ca="1">IF(AND(SUMIF(Capacity_Resource,$D13,'Critical resources (hide)'!AC$6:AC$105)+SUMIF(Capacity_Resource,$E13,'Critical resources (hide)'!AC$6:AC$105)+SUMIF(Capacity_Resource,$F13,'Critical resources (hide)'!AC$6:AC$105)&gt;0,$E$1=2),0,1)</f>
        <v>1</v>
      </c>
      <c r="Q13" s="68">
        <f ca="1">IF(AND(SUMIF(Capacity_Resource,$D13,'Critical resources (hide)'!AD$6:AD$105)+SUMIF(Capacity_Resource,$E13,'Critical resources (hide)'!AD$6:AD$105)+SUMIF(Capacity_Resource,$F13,'Critical resources (hide)'!AD$6:AD$105)&gt;0,$E$1=2),0,1)</f>
        <v>1</v>
      </c>
      <c r="R13" s="68">
        <f ca="1">IF(AND(SUMIF(Capacity_Resource,$D13,'Critical resources (hide)'!AE$6:AE$105)+SUMIF(Capacity_Resource,$E13,'Critical resources (hide)'!AE$6:AE$105)+SUMIF(Capacity_Resource,$F13,'Critical resources (hide)'!AE$6:AE$105)&gt;0,$E$1=2),0,1)</f>
        <v>1</v>
      </c>
      <c r="S13" s="68">
        <f ca="1">IF(AND(SUMIF(Capacity_Resource,$D13,'Critical resources (hide)'!AF$6:AF$105)+SUMIF(Capacity_Resource,$E13,'Critical resources (hide)'!AF$6:AF$105)+SUMIF(Capacity_Resource,$F13,'Critical resources (hide)'!AF$6:AF$105)&gt;0,$E$1=2),0,1)</f>
        <v>1</v>
      </c>
      <c r="T13" s="68">
        <f ca="1">IF(AND(SUMIF(Capacity_Resource,$D13,'Critical resources (hide)'!AG$6:AG$105)+SUMIF(Capacity_Resource,$E13,'Critical resources (hide)'!AG$6:AG$105)+SUMIF(Capacity_Resource,$F13,'Critical resources (hide)'!AG$6:AG$105)&gt;0,$E$1=2),0,1)</f>
        <v>1</v>
      </c>
      <c r="U13" s="68">
        <f ca="1">IF(AND(SUMIF(Capacity_Resource,$D13,'Critical resources (hide)'!AH$6:AH$105)+SUMIF(Capacity_Resource,$E13,'Critical resources (hide)'!AH$6:AH$105)+SUMIF(Capacity_Resource,$F13,'Critical resources (hide)'!AH$6:AH$105)&gt;0,$E$1=2),0,1)</f>
        <v>1</v>
      </c>
      <c r="V13" s="68">
        <f ca="1">IF(AND(SUMIF(Capacity_Resource,$D13,'Critical resources (hide)'!AI$6:AI$105)+SUMIF(Capacity_Resource,$E13,'Critical resources (hide)'!AI$6:AI$105)+SUMIF(Capacity_Resource,$F13,'Critical resources (hide)'!AI$6:AI$105)&gt;0,$E$1=2),0,1)</f>
        <v>1</v>
      </c>
      <c r="W13" s="68">
        <f ca="1">IF(AND(SUMIF(Capacity_Resource,$D13,'Critical resources (hide)'!AJ$6:AJ$105)+SUMIF(Capacity_Resource,$E13,'Critical resources (hide)'!AJ$6:AJ$105)+SUMIF(Capacity_Resource,$F13,'Critical resources (hide)'!AJ$6:AJ$105)&gt;0,$E$1=2),0,1)</f>
        <v>1</v>
      </c>
      <c r="X13" s="68">
        <f ca="1">IF(AND(SUMIF(Capacity_Resource,$D13,'Critical resources (hide)'!AK$6:AK$105)+SUMIF(Capacity_Resource,$E13,'Critical resources (hide)'!AK$6:AK$105)+SUMIF(Capacity_Resource,$F13,'Critical resources (hide)'!AK$6:AK$105)&gt;0,$E$1=2),0,1)</f>
        <v>1</v>
      </c>
      <c r="Y13" s="68">
        <f ca="1">IF(AND(SUMIF(Capacity_Resource,$D13,'Critical resources (hide)'!AL$6:AL$105)+SUMIF(Capacity_Resource,$E13,'Critical resources (hide)'!AL$6:AL$105)+SUMIF(Capacity_Resource,$F13,'Critical resources (hide)'!AL$6:AL$105)&gt;0,$E$1=2),0,1)</f>
        <v>1</v>
      </c>
      <c r="Z13" s="68">
        <f ca="1">IF(AND(SUMIF(Capacity_Resource,$D13,'Critical resources (hide)'!AM$6:AM$105)+SUMIF(Capacity_Resource,$E13,'Critical resources (hide)'!AM$6:AM$105)+SUMIF(Capacity_Resource,$F13,'Critical resources (hide)'!AM$6:AM$105)&gt;0,$E$1=2),0,1)</f>
        <v>1</v>
      </c>
      <c r="AA13" s="68">
        <f ca="1">IF(AND(SUMIF(Capacity_Resource,$D13,'Critical resources (hide)'!AN$6:AN$105)+SUMIF(Capacity_Resource,$E13,'Critical resources (hide)'!AN$6:AN$105)+SUMIF(Capacity_Resource,$F13,'Critical resources (hide)'!AN$6:AN$105)&gt;0,$E$1=2),0,1)</f>
        <v>1</v>
      </c>
      <c r="AB13" s="68">
        <f ca="1">IF(AND(SUMIF(Capacity_Resource,$D13,'Critical resources (hide)'!AO$6:AO$105)+SUMIF(Capacity_Resource,$E13,'Critical resources (hide)'!AO$6:AO$105)+SUMIF(Capacity_Resource,$F13,'Critical resources (hide)'!AO$6:AO$105)&gt;0,$E$1=2),0,1)</f>
        <v>1</v>
      </c>
      <c r="AC13" s="68">
        <f ca="1">IF(AND(SUMIF(Capacity_Resource,$D13,'Critical resources (hide)'!AP$6:AP$105)+SUMIF(Capacity_Resource,$E13,'Critical resources (hide)'!AP$6:AP$105)+SUMIF(Capacity_Resource,$F13,'Critical resources (hide)'!AP$6:AP$105)&gt;0,$E$1=2),0,1)</f>
        <v>1</v>
      </c>
      <c r="AD13" s="68">
        <f ca="1">IF(AND(SUMIF(Capacity_Resource,$D13,'Critical resources (hide)'!AQ$6:AQ$105)+SUMIF(Capacity_Resource,$E13,'Critical resources (hide)'!AQ$6:AQ$105)+SUMIF(Capacity_Resource,$F13,'Critical resources (hide)'!AQ$6:AQ$105)&gt;0,$E$1=2),0,1)</f>
        <v>1</v>
      </c>
      <c r="AE13" s="68">
        <f ca="1">IF(AND(SUMIF(Capacity_Resource,$D13,'Critical resources (hide)'!AR$6:AR$105)+SUMIF(Capacity_Resource,$E13,'Critical resources (hide)'!AR$6:AR$105)+SUMIF(Capacity_Resource,$F13,'Critical resources (hide)'!AR$6:AR$105)&gt;0,$E$1=2),0,1)</f>
        <v>1</v>
      </c>
      <c r="AF13" s="68">
        <f ca="1">IF(AND(SUMIF(Capacity_Resource,$D13,'Critical resources (hide)'!AS$6:AS$105)+SUMIF(Capacity_Resource,$E13,'Critical resources (hide)'!AS$6:AS$105)+SUMIF(Capacity_Resource,$F13,'Critical resources (hide)'!AS$6:AS$105)&gt;0,$E$1=2),0,1)</f>
        <v>1</v>
      </c>
      <c r="AG13" s="68">
        <f ca="1">IF(AND(SUMIF(Capacity_Resource,$D13,'Critical resources (hide)'!AT$6:AT$105)+SUMIF(Capacity_Resource,$E13,'Critical resources (hide)'!AT$6:AT$105)+SUMIF(Capacity_Resource,$F13,'Critical resources (hide)'!AT$6:AT$105)&gt;0,$E$1=2),0,1)</f>
        <v>1</v>
      </c>
      <c r="AH13" s="68">
        <f ca="1">IF(AND(SUMIF(Capacity_Resource,$D13,'Critical resources (hide)'!AU$6:AU$105)+SUMIF(Capacity_Resource,$E13,'Critical resources (hide)'!AU$6:AU$105)+SUMIF(Capacity_Resource,$F13,'Critical resources (hide)'!AU$6:AU$105)&gt;0,$E$1=2),0,1)</f>
        <v>1</v>
      </c>
      <c r="AI13" s="68">
        <f ca="1">IF(AND(SUMIF(Capacity_Resource,$D13,'Critical resources (hide)'!AV$6:AV$105)+SUMIF(Capacity_Resource,$E13,'Critical resources (hide)'!AV$6:AV$105)+SUMIF(Capacity_Resource,$F13,'Critical resources (hide)'!AV$6:AV$105)&gt;0,$E$1=2),0,1)</f>
        <v>1</v>
      </c>
      <c r="AJ13" s="68">
        <f ca="1">IF(AND(SUMIF(Capacity_Resource,$D13,'Critical resources (hide)'!AW$6:AW$105)+SUMIF(Capacity_Resource,$E13,'Critical resources (hide)'!AW$6:AW$105)+SUMIF(Capacity_Resource,$F13,'Critical resources (hide)'!AW$6:AW$105)&gt;0,$E$1=2),0,1)</f>
        <v>1</v>
      </c>
      <c r="AK13" s="68">
        <f ca="1">IF(AND(SUMIF(Capacity_Resource,$D13,'Critical resources (hide)'!AX$6:AX$105)+SUMIF(Capacity_Resource,$E13,'Critical resources (hide)'!AX$6:AX$105)+SUMIF(Capacity_Resource,$F13,'Critical resources (hide)'!AX$6:AX$105)&gt;0,$E$1=2),0,1)</f>
        <v>1</v>
      </c>
      <c r="AL13" s="68">
        <f ca="1">IF(AND(SUMIF(Capacity_Resource,$D13,'Critical resources (hide)'!AY$6:AY$105)+SUMIF(Capacity_Resource,$E13,'Critical resources (hide)'!AY$6:AY$105)+SUMIF(Capacity_Resource,$F13,'Critical resources (hide)'!AY$6:AY$105)&gt;0,$E$1=2),0,1)</f>
        <v>1</v>
      </c>
      <c r="AM13" s="68">
        <f ca="1">IF(AND(SUMIF(Capacity_Resource,$D13,'Critical resources (hide)'!AZ$6:AZ$105)+SUMIF(Capacity_Resource,$E13,'Critical resources (hide)'!AZ$6:AZ$105)+SUMIF(Capacity_Resource,$F13,'Critical resources (hide)'!AZ$6:AZ$105)&gt;0,$E$1=2),0,1)</f>
        <v>1</v>
      </c>
      <c r="AN13" s="68">
        <f ca="1">IF(AND(SUMIF(Capacity_Resource,$D13,'Critical resources (hide)'!BA$6:BA$105)+SUMIF(Capacity_Resource,$E13,'Critical resources (hide)'!BA$6:BA$105)+SUMIF(Capacity_Resource,$F13,'Critical resources (hide)'!BA$6:BA$105)&gt;0,$E$1=2),0,1)</f>
        <v>1</v>
      </c>
      <c r="AO13" s="68">
        <f ca="1">IF(AND(SUMIF(Capacity_Resource,$D13,'Critical resources (hide)'!BB$6:BB$105)+SUMIF(Capacity_Resource,$E13,'Critical resources (hide)'!BB$6:BB$105)+SUMIF(Capacity_Resource,$F13,'Critical resources (hide)'!BB$6:BB$105)&gt;0,$E$1=2),0,1)</f>
        <v>1</v>
      </c>
      <c r="AP13" s="68">
        <f ca="1">IF(AND(SUMIF(Capacity_Resource,$D13,'Critical resources (hide)'!BC$6:BC$105)+SUMIF(Capacity_Resource,$E13,'Critical resources (hide)'!BC$6:BC$105)+SUMIF(Capacity_Resource,$F13,'Critical resources (hide)'!BC$6:BC$105)&gt;0,$E$1=2),0,1)</f>
        <v>1</v>
      </c>
      <c r="AQ13" s="68">
        <f ca="1">IF(AND(SUMIF(Capacity_Resource,$D13,'Critical resources (hide)'!BD$6:BD$105)+SUMIF(Capacity_Resource,$E13,'Critical resources (hide)'!BD$6:BD$105)+SUMIF(Capacity_Resource,$F13,'Critical resources (hide)'!BD$6:BD$105)&gt;0,$E$1=2),0,1)</f>
        <v>1</v>
      </c>
      <c r="AR13" s="68">
        <f ca="1">IF(AND(SUMIF(Capacity_Resource,$D13,'Critical resources (hide)'!BE$6:BE$105)+SUMIF(Capacity_Resource,$E13,'Critical resources (hide)'!BE$6:BE$105)+SUMIF(Capacity_Resource,$F13,'Critical resources (hide)'!BE$6:BE$105)&gt;0,$E$1=2),0,1)</f>
        <v>1</v>
      </c>
      <c r="AS13" s="68">
        <f ca="1">IF(AND(SUMIF(Capacity_Resource,$D13,'Critical resources (hide)'!BF$6:BF$105)+SUMIF(Capacity_Resource,$E13,'Critical resources (hide)'!BF$6:BF$105)+SUMIF(Capacity_Resource,$F13,'Critical resources (hide)'!BF$6:BF$105)&gt;0,$E$1=2),0,1)</f>
        <v>1</v>
      </c>
      <c r="AT13" s="68">
        <f ca="1">IF(AND(SUMIF(Capacity_Resource,$D13,'Critical resources (hide)'!BG$6:BG$105)+SUMIF(Capacity_Resource,$E13,'Critical resources (hide)'!BG$6:BG$105)+SUMIF(Capacity_Resource,$F13,'Critical resources (hide)'!BG$6:BG$105)&gt;0,$E$1=2),0,1)</f>
        <v>1</v>
      </c>
      <c r="AU13" s="68">
        <f ca="1">IF(AND(SUMIF(Capacity_Resource,$D13,'Critical resources (hide)'!BH$6:BH$105)+SUMIF(Capacity_Resource,$E13,'Critical resources (hide)'!BH$6:BH$105)+SUMIF(Capacity_Resource,$F13,'Critical resources (hide)'!BH$6:BH$105)&gt;0,$E$1=2),0,1)</f>
        <v>1</v>
      </c>
      <c r="AV13" s="68">
        <f ca="1">IF(AND(SUMIF(Capacity_Resource,$D13,'Critical resources (hide)'!BI$6:BI$105)+SUMIF(Capacity_Resource,$E13,'Critical resources (hide)'!BI$6:BI$105)+SUMIF(Capacity_Resource,$F13,'Critical resources (hide)'!BI$6:BI$105)&gt;0,$E$1=2),0,1)</f>
        <v>1</v>
      </c>
      <c r="AW13" s="68">
        <f ca="1">IF(AND(SUMIF(Capacity_Resource,$D13,'Critical resources (hide)'!BJ$6:BJ$105)+SUMIF(Capacity_Resource,$E13,'Critical resources (hide)'!BJ$6:BJ$105)+SUMIF(Capacity_Resource,$F13,'Critical resources (hide)'!BJ$6:BJ$105)&gt;0,$E$1=2),0,1)</f>
        <v>1</v>
      </c>
      <c r="AX13" s="68">
        <f ca="1">IF(AND(SUMIF(Capacity_Resource,$D13,'Critical resources (hide)'!BK$6:BK$105)+SUMIF(Capacity_Resource,$E13,'Critical resources (hide)'!BK$6:BK$105)+SUMIF(Capacity_Resource,$F13,'Critical resources (hide)'!BK$6:BK$105)&gt;0,$E$1=2),0,1)</f>
        <v>1</v>
      </c>
      <c r="AY13" s="68">
        <f ca="1">IF(AND(SUMIF(Capacity_Resource,$D13,'Critical resources (hide)'!BL$6:BL$105)+SUMIF(Capacity_Resource,$E13,'Critical resources (hide)'!BL$6:BL$105)+SUMIF(Capacity_Resource,$F13,'Critical resources (hide)'!BL$6:BL$105)&gt;0,$E$1=2),0,1)</f>
        <v>1</v>
      </c>
      <c r="AZ13" s="68">
        <f ca="1">IF(AND(SUMIF(Capacity_Resource,$D13,'Critical resources (hide)'!BM$6:BM$105)+SUMIF(Capacity_Resource,$E13,'Critical resources (hide)'!BM$6:BM$105)+SUMIF(Capacity_Resource,$F13,'Critical resources (hide)'!BM$6:BM$105)&gt;0,$E$1=2),0,1)</f>
        <v>1</v>
      </c>
      <c r="BA13" s="68">
        <f ca="1">IF(AND(SUMIF(Capacity_Resource,$D13,'Critical resources (hide)'!BN$6:BN$105)+SUMIF(Capacity_Resource,$E13,'Critical resources (hide)'!BN$6:BN$105)+SUMIF(Capacity_Resource,$F13,'Critical resources (hide)'!BN$6:BN$105)&gt;0,$E$1=2),0,1)</f>
        <v>1</v>
      </c>
      <c r="BB13" s="68">
        <f ca="1">IF(AND(SUMIF(Capacity_Resource,$D13,'Critical resources (hide)'!BO$6:BO$105)+SUMIF(Capacity_Resource,$E13,'Critical resources (hide)'!BO$6:BO$105)+SUMIF(Capacity_Resource,$F13,'Critical resources (hide)'!BO$6:BO$105)&gt;0,$E$1=2),0,1)</f>
        <v>1</v>
      </c>
      <c r="BC13" s="68">
        <f ca="1">IF(AND(SUMIF(Capacity_Resource,$D13,'Critical resources (hide)'!BP$6:BP$105)+SUMIF(Capacity_Resource,$E13,'Critical resources (hide)'!BP$6:BP$105)+SUMIF(Capacity_Resource,$F13,'Critical resources (hide)'!BP$6:BP$105)&gt;0,$E$1=2),0,1)</f>
        <v>1</v>
      </c>
      <c r="BD13" s="68">
        <f ca="1">IF(AND(SUMIF(Capacity_Resource,$D13,'Critical resources (hide)'!BQ$6:BQ$105)+SUMIF(Capacity_Resource,$E13,'Critical resources (hide)'!BQ$6:BQ$105)+SUMIF(Capacity_Resource,$F13,'Critical resources (hide)'!BQ$6:BQ$105)&gt;0,$E$1=2),0,1)</f>
        <v>1</v>
      </c>
      <c r="BE13" s="68">
        <f ca="1">IF(AND(SUMIF(Capacity_Resource,$D13,'Critical resources (hide)'!BR$6:BR$105)+SUMIF(Capacity_Resource,$E13,'Critical resources (hide)'!BR$6:BR$105)+SUMIF(Capacity_Resource,$F13,'Critical resources (hide)'!BR$6:BR$105)&gt;0,$E$1=2),0,1)</f>
        <v>1</v>
      </c>
      <c r="BF13" s="68">
        <f ca="1">IF(AND(SUMIF(Capacity_Resource,$D13,'Critical resources (hide)'!BS$6:BS$105)+SUMIF(Capacity_Resource,$E13,'Critical resources (hide)'!BS$6:BS$105)+SUMIF(Capacity_Resource,$F13,'Critical resources (hide)'!BS$6:BS$105)&gt;0,$E$1=2),0,1)</f>
        <v>1</v>
      </c>
      <c r="BG13" s="68">
        <f ca="1">IF(AND(SUMIF(Capacity_Resource,$D13,'Critical resources (hide)'!BT$6:BT$105)+SUMIF(Capacity_Resource,$E13,'Critical resources (hide)'!BT$6:BT$105)+SUMIF(Capacity_Resource,$F13,'Critical resources (hide)'!BT$6:BT$105)&gt;0,$E$1=2),0,1)</f>
        <v>1</v>
      </c>
      <c r="BH13" s="68">
        <f>IF(ROW(C9)&lt;=Capacity!$A$16,IF('Capacity summary'!$D$14="No",SUM(H13:BG13),'Capacity summary'!$E132),0)</f>
        <v>0</v>
      </c>
      <c r="BI13" s="5" t="str">
        <f>IF(BH13&gt;0,IF(BH13&lt;Capacity!E25,Capacity!F25,Capacity!H25/'Capacity calculation (hide)'!BH13),"")</f>
        <v/>
      </c>
      <c r="BK13" s="319">
        <f>IF($BI13&lt;&gt;"",IF('Capacity summary'!$D$14="Yes",IF(COUNTBLANK('Capacity summary'!$H132:$BG132)&lt;52,IF('Capacity summary'!H132&lt;&gt;"",$BI13*H13,0),H13*$BI13),H13*$BI13),0)</f>
        <v>0</v>
      </c>
      <c r="BL13" s="319">
        <f>IF($BI13&lt;&gt;"",IF('Capacity summary'!$D$14="Yes",IF(COUNTBLANK('Capacity summary'!$H132:$BG132)&lt;52,IF('Capacity summary'!I132&lt;&gt;"",$BI13*I13,0),I13*$BI13),I13*$BI13),0)</f>
        <v>0</v>
      </c>
      <c r="BM13" s="319">
        <f>IF($BI13&lt;&gt;"",IF('Capacity summary'!$D$14="Yes",IF(COUNTBLANK('Capacity summary'!$H132:$BG132)&lt;52,IF('Capacity summary'!J132&lt;&gt;"",$BI13*J13,0),J13*$BI13),J13*$BI13),0)</f>
        <v>0</v>
      </c>
      <c r="BN13" s="319">
        <f>IF($BI13&lt;&gt;"",IF('Capacity summary'!$D$14="Yes",IF(COUNTBLANK('Capacity summary'!$H132:$BG132)&lt;52,IF('Capacity summary'!K132&lt;&gt;"",$BI13*K13,0),K13*$BI13),K13*$BI13),0)</f>
        <v>0</v>
      </c>
      <c r="BO13" s="319">
        <f>IF($BI13&lt;&gt;"",IF('Capacity summary'!$D$14="Yes",IF(COUNTBLANK('Capacity summary'!$H132:$BG132)&lt;52,IF('Capacity summary'!L132&lt;&gt;"",$BI13*L13,0),L13*$BI13),L13*$BI13),0)</f>
        <v>0</v>
      </c>
      <c r="BP13" s="319">
        <f>IF($BI13&lt;&gt;"",IF('Capacity summary'!$D$14="Yes",IF(COUNTBLANK('Capacity summary'!$H132:$BG132)&lt;52,IF('Capacity summary'!M132&lt;&gt;"",$BI13*M13,0),M13*$BI13),M13*$BI13),0)</f>
        <v>0</v>
      </c>
      <c r="BQ13" s="319">
        <f>IF($BI13&lt;&gt;"",IF('Capacity summary'!$D$14="Yes",IF(COUNTBLANK('Capacity summary'!$H132:$BG132)&lt;52,IF('Capacity summary'!N132&lt;&gt;"",$BI13*N13,0),N13*$BI13),N13*$BI13),0)</f>
        <v>0</v>
      </c>
      <c r="BR13" s="319">
        <f>IF($BI13&lt;&gt;"",IF('Capacity summary'!$D$14="Yes",IF(COUNTBLANK('Capacity summary'!$H132:$BG132)&lt;52,IF('Capacity summary'!O132&lt;&gt;"",$BI13*O13,0),O13*$BI13),O13*$BI13),0)</f>
        <v>0</v>
      </c>
      <c r="BS13" s="319">
        <f>IF($BI13&lt;&gt;"",IF('Capacity summary'!$D$14="Yes",IF(COUNTBLANK('Capacity summary'!$H132:$BG132)&lt;52,IF('Capacity summary'!P132&lt;&gt;"",$BI13*P13,0),P13*$BI13),P13*$BI13),0)</f>
        <v>0</v>
      </c>
      <c r="BT13" s="319">
        <f>IF($BI13&lt;&gt;"",IF('Capacity summary'!$D$14="Yes",IF(COUNTBLANK('Capacity summary'!$H132:$BG132)&lt;52,IF('Capacity summary'!Q132&lt;&gt;"",$BI13*Q13,0),Q13*$BI13),Q13*$BI13),0)</f>
        <v>0</v>
      </c>
      <c r="BU13" s="319">
        <f>IF($BI13&lt;&gt;"",IF('Capacity summary'!$D$14="Yes",IF(COUNTBLANK('Capacity summary'!$H132:$BG132)&lt;52,IF('Capacity summary'!R132&lt;&gt;"",$BI13*R13,0),R13*$BI13),R13*$BI13),0)</f>
        <v>0</v>
      </c>
      <c r="BV13" s="319">
        <f>IF($BI13&lt;&gt;"",IF('Capacity summary'!$D$14="Yes",IF(COUNTBLANK('Capacity summary'!$H132:$BG132)&lt;52,IF('Capacity summary'!S132&lt;&gt;"",$BI13*S13,0),S13*$BI13),S13*$BI13),0)</f>
        <v>0</v>
      </c>
      <c r="BW13" s="319">
        <f>IF($BI13&lt;&gt;"",IF('Capacity summary'!$D$14="Yes",IF(COUNTBLANK('Capacity summary'!$H132:$BG132)&lt;52,IF('Capacity summary'!T132&lt;&gt;"",$BI13*T13,0),T13*$BI13),T13*$BI13),0)</f>
        <v>0</v>
      </c>
      <c r="BX13" s="319">
        <f>IF($BI13&lt;&gt;"",IF('Capacity summary'!$D$14="Yes",IF(COUNTBLANK('Capacity summary'!$H132:$BG132)&lt;52,IF('Capacity summary'!U132&lt;&gt;"",$BI13*U13,0),U13*$BI13),U13*$BI13),0)</f>
        <v>0</v>
      </c>
      <c r="BY13" s="319">
        <f>IF($BI13&lt;&gt;"",IF('Capacity summary'!$D$14="Yes",IF(COUNTBLANK('Capacity summary'!$H132:$BG132)&lt;52,IF('Capacity summary'!V132&lt;&gt;"",$BI13*V13,0),V13*$BI13),V13*$BI13),0)</f>
        <v>0</v>
      </c>
      <c r="BZ13" s="319">
        <f>IF($BI13&lt;&gt;"",IF('Capacity summary'!$D$14="Yes",IF(COUNTBLANK('Capacity summary'!$H132:$BG132)&lt;52,IF('Capacity summary'!W132&lt;&gt;"",$BI13*W13,0),W13*$BI13),W13*$BI13),0)</f>
        <v>0</v>
      </c>
      <c r="CA13" s="319">
        <f>IF($BI13&lt;&gt;"",IF('Capacity summary'!$D$14="Yes",IF(COUNTBLANK('Capacity summary'!$H132:$BG132)&lt;52,IF('Capacity summary'!X132&lt;&gt;"",$BI13*X13,0),X13*$BI13),X13*$BI13),0)</f>
        <v>0</v>
      </c>
      <c r="CB13" s="319">
        <f>IF($BI13&lt;&gt;"",IF('Capacity summary'!$D$14="Yes",IF(COUNTBLANK('Capacity summary'!$H132:$BG132)&lt;52,IF('Capacity summary'!Y132&lt;&gt;"",$BI13*Y13,0),Y13*$BI13),Y13*$BI13),0)</f>
        <v>0</v>
      </c>
      <c r="CC13" s="319">
        <f>IF($BI13&lt;&gt;"",IF('Capacity summary'!$D$14="Yes",IF(COUNTBLANK('Capacity summary'!$H132:$BG132)&lt;52,IF('Capacity summary'!Z132&lt;&gt;"",$BI13*Z13,0),Z13*$BI13),Z13*$BI13),0)</f>
        <v>0</v>
      </c>
      <c r="CD13" s="319">
        <f>IF($BI13&lt;&gt;"",IF('Capacity summary'!$D$14="Yes",IF(COUNTBLANK('Capacity summary'!$H132:$BG132)&lt;52,IF('Capacity summary'!AA132&lt;&gt;"",$BI13*AA13,0),AA13*$BI13),AA13*$BI13),0)</f>
        <v>0</v>
      </c>
      <c r="CE13" s="319">
        <f>IF($BI13&lt;&gt;"",IF('Capacity summary'!$D$14="Yes",IF(COUNTBLANK('Capacity summary'!$H132:$BG132)&lt;52,IF('Capacity summary'!AB132&lt;&gt;"",$BI13*AB13,0),AB13*$BI13),AB13*$BI13),0)</f>
        <v>0</v>
      </c>
      <c r="CF13" s="319">
        <f>IF($BI13&lt;&gt;"",IF('Capacity summary'!$D$14="Yes",IF(COUNTBLANK('Capacity summary'!$H132:$BG132)&lt;52,IF('Capacity summary'!AC132&lt;&gt;"",$BI13*AC13,0),AC13*$BI13),AC13*$BI13),0)</f>
        <v>0</v>
      </c>
      <c r="CG13" s="319">
        <f>IF($BI13&lt;&gt;"",IF('Capacity summary'!$D$14="Yes",IF(COUNTBLANK('Capacity summary'!$H132:$BG132)&lt;52,IF('Capacity summary'!AD132&lt;&gt;"",$BI13*AD13,0),AD13*$BI13),AD13*$BI13),0)</f>
        <v>0</v>
      </c>
      <c r="CH13" s="319">
        <f>IF($BI13&lt;&gt;"",IF('Capacity summary'!$D$14="Yes",IF(COUNTBLANK('Capacity summary'!$H132:$BG132)&lt;52,IF('Capacity summary'!AE132&lt;&gt;"",$BI13*AE13,0),AE13*$BI13),AE13*$BI13),0)</f>
        <v>0</v>
      </c>
      <c r="CI13" s="319">
        <f>IF($BI13&lt;&gt;"",IF('Capacity summary'!$D$14="Yes",IF(COUNTBLANK('Capacity summary'!$H132:$BG132)&lt;52,IF('Capacity summary'!AF132&lt;&gt;"",$BI13*AF13,0),AF13*$BI13),AF13*$BI13),0)</f>
        <v>0</v>
      </c>
      <c r="CJ13" s="319">
        <f>IF($BI13&lt;&gt;"",IF('Capacity summary'!$D$14="Yes",IF(COUNTBLANK('Capacity summary'!$H132:$BG132)&lt;52,IF('Capacity summary'!AG132&lt;&gt;"",$BI13*AG13,0),AG13*$BI13),AG13*$BI13),0)</f>
        <v>0</v>
      </c>
      <c r="CK13" s="319">
        <f>IF($BI13&lt;&gt;"",IF('Capacity summary'!$D$14="Yes",IF(COUNTBLANK('Capacity summary'!$H132:$BG132)&lt;52,IF('Capacity summary'!AH132&lt;&gt;"",$BI13*AH13,0),AH13*$BI13),AH13*$BI13),0)</f>
        <v>0</v>
      </c>
      <c r="CL13" s="319">
        <f>IF($BI13&lt;&gt;"",IF('Capacity summary'!$D$14="Yes",IF(COUNTBLANK('Capacity summary'!$H132:$BG132)&lt;52,IF('Capacity summary'!AI132&lt;&gt;"",$BI13*AI13,0),AI13*$BI13),AI13*$BI13),0)</f>
        <v>0</v>
      </c>
      <c r="CM13" s="319">
        <f>IF($BI13&lt;&gt;"",IF('Capacity summary'!$D$14="Yes",IF(COUNTBLANK('Capacity summary'!$H132:$BG132)&lt;52,IF('Capacity summary'!AJ132&lt;&gt;"",$BI13*AJ13,0),AJ13*$BI13),AJ13*$BI13),0)</f>
        <v>0</v>
      </c>
      <c r="CN13" s="319">
        <f>IF($BI13&lt;&gt;"",IF('Capacity summary'!$D$14="Yes",IF(COUNTBLANK('Capacity summary'!$H132:$BG132)&lt;52,IF('Capacity summary'!AK132&lt;&gt;"",$BI13*AK13,0),AK13*$BI13),AK13*$BI13),0)</f>
        <v>0</v>
      </c>
      <c r="CO13" s="319">
        <f>IF($BI13&lt;&gt;"",IF('Capacity summary'!$D$14="Yes",IF(COUNTBLANK('Capacity summary'!$H132:$BG132)&lt;52,IF('Capacity summary'!AL132&lt;&gt;"",$BI13*AL13,0),AL13*$BI13),AL13*$BI13),0)</f>
        <v>0</v>
      </c>
      <c r="CP13" s="319">
        <f>IF($BI13&lt;&gt;"",IF('Capacity summary'!$D$14="Yes",IF(COUNTBLANK('Capacity summary'!$H132:$BG132)&lt;52,IF('Capacity summary'!AM132&lt;&gt;"",$BI13*AM13,0),AM13*$BI13),AM13*$BI13),0)</f>
        <v>0</v>
      </c>
      <c r="CQ13" s="319">
        <f>IF($BI13&lt;&gt;"",IF('Capacity summary'!$D$14="Yes",IF(COUNTBLANK('Capacity summary'!$H132:$BG132)&lt;52,IF('Capacity summary'!AN132&lt;&gt;"",$BI13*AN13,0),AN13*$BI13),AN13*$BI13),0)</f>
        <v>0</v>
      </c>
      <c r="CR13" s="319">
        <f>IF($BI13&lt;&gt;"",IF('Capacity summary'!$D$14="Yes",IF(COUNTBLANK('Capacity summary'!$H132:$BG132)&lt;52,IF('Capacity summary'!AO132&lt;&gt;"",$BI13*AO13,0),AO13*$BI13),AO13*$BI13),0)</f>
        <v>0</v>
      </c>
      <c r="CS13" s="319">
        <f>IF($BI13&lt;&gt;"",IF('Capacity summary'!$D$14="Yes",IF(COUNTBLANK('Capacity summary'!$H132:$BG132)&lt;52,IF('Capacity summary'!AP132&lt;&gt;"",$BI13*AP13,0),AP13*$BI13),AP13*$BI13),0)</f>
        <v>0</v>
      </c>
      <c r="CT13" s="319">
        <f>IF($BI13&lt;&gt;"",IF('Capacity summary'!$D$14="Yes",IF(COUNTBLANK('Capacity summary'!$H132:$BG132)&lt;52,IF('Capacity summary'!AQ132&lt;&gt;"",$BI13*AQ13,0),AQ13*$BI13),AQ13*$BI13),0)</f>
        <v>0</v>
      </c>
      <c r="CU13" s="319">
        <f>IF($BI13&lt;&gt;"",IF('Capacity summary'!$D$14="Yes",IF(COUNTBLANK('Capacity summary'!$H132:$BG132)&lt;52,IF('Capacity summary'!AR132&lt;&gt;"",$BI13*AR13,0),AR13*$BI13),AR13*$BI13),0)</f>
        <v>0</v>
      </c>
      <c r="CV13" s="319">
        <f>IF($BI13&lt;&gt;"",IF('Capacity summary'!$D$14="Yes",IF(COUNTBLANK('Capacity summary'!$H132:$BG132)&lt;52,IF('Capacity summary'!AS132&lt;&gt;"",$BI13*AS13,0),AS13*$BI13),AS13*$BI13),0)</f>
        <v>0</v>
      </c>
      <c r="CW13" s="319">
        <f>IF($BI13&lt;&gt;"",IF('Capacity summary'!$D$14="Yes",IF(COUNTBLANK('Capacity summary'!$H132:$BG132)&lt;52,IF('Capacity summary'!AT132&lt;&gt;"",$BI13*AT13,0),AT13*$BI13),AT13*$BI13),0)</f>
        <v>0</v>
      </c>
      <c r="CX13" s="319">
        <f>IF($BI13&lt;&gt;"",IF('Capacity summary'!$D$14="Yes",IF(COUNTBLANK('Capacity summary'!$H132:$BG132)&lt;52,IF('Capacity summary'!AU132&lt;&gt;"",$BI13*AU13,0),AU13*$BI13),AU13*$BI13),0)</f>
        <v>0</v>
      </c>
      <c r="CY13" s="319">
        <f>IF($BI13&lt;&gt;"",IF('Capacity summary'!$D$14="Yes",IF(COUNTBLANK('Capacity summary'!$H132:$BG132)&lt;52,IF('Capacity summary'!AV132&lt;&gt;"",$BI13*AV13,0),AV13*$BI13),AV13*$BI13),0)</f>
        <v>0</v>
      </c>
      <c r="CZ13" s="319">
        <f>IF($BI13&lt;&gt;"",IF('Capacity summary'!$D$14="Yes",IF(COUNTBLANK('Capacity summary'!$H132:$BG132)&lt;52,IF('Capacity summary'!AW132&lt;&gt;"",$BI13*AW13,0),AW13*$BI13),AW13*$BI13),0)</f>
        <v>0</v>
      </c>
      <c r="DA13" s="319">
        <f>IF($BI13&lt;&gt;"",IF('Capacity summary'!$D$14="Yes",IF(COUNTBLANK('Capacity summary'!$H132:$BG132)&lt;52,IF('Capacity summary'!AX132&lt;&gt;"",$BI13*AX13,0),AX13*$BI13),AX13*$BI13),0)</f>
        <v>0</v>
      </c>
      <c r="DB13" s="319">
        <f>IF($BI13&lt;&gt;"",IF('Capacity summary'!$D$14="Yes",IF(COUNTBLANK('Capacity summary'!$H132:$BG132)&lt;52,IF('Capacity summary'!AY132&lt;&gt;"",$BI13*AY13,0),AY13*$BI13),AY13*$BI13),0)</f>
        <v>0</v>
      </c>
      <c r="DC13" s="319">
        <f>IF($BI13&lt;&gt;"",IF('Capacity summary'!$D$14="Yes",IF(COUNTBLANK('Capacity summary'!$H132:$BG132)&lt;52,IF('Capacity summary'!AZ132&lt;&gt;"",$BI13*AZ13,0),AZ13*$BI13),AZ13*$BI13),0)</f>
        <v>0</v>
      </c>
      <c r="DD13" s="319">
        <f>IF($BI13&lt;&gt;"",IF('Capacity summary'!$D$14="Yes",IF(COUNTBLANK('Capacity summary'!$H132:$BG132)&lt;52,IF('Capacity summary'!BA132&lt;&gt;"",$BI13*BA13,0),BA13*$BI13),BA13*$BI13),0)</f>
        <v>0</v>
      </c>
      <c r="DE13" s="319">
        <f>IF($BI13&lt;&gt;"",IF('Capacity summary'!$D$14="Yes",IF(COUNTBLANK('Capacity summary'!$H132:$BG132)&lt;52,IF('Capacity summary'!BB132&lt;&gt;"",$BI13*BB13,0),BB13*$BI13),BB13*$BI13),0)</f>
        <v>0</v>
      </c>
      <c r="DF13" s="319">
        <f>IF($BI13&lt;&gt;"",IF('Capacity summary'!$D$14="Yes",IF(COUNTBLANK('Capacity summary'!$H132:$BG132)&lt;52,IF('Capacity summary'!BC132&lt;&gt;"",$BI13*BC13,0),BC13*$BI13),BC13*$BI13),0)</f>
        <v>0</v>
      </c>
      <c r="DG13" s="319">
        <f>IF($BI13&lt;&gt;"",IF('Capacity summary'!$D$14="Yes",IF(COUNTBLANK('Capacity summary'!$H132:$BG132)&lt;52,IF('Capacity summary'!BD132&lt;&gt;"",$BI13*BD13,0),BD13*$BI13),BD13*$BI13),0)</f>
        <v>0</v>
      </c>
      <c r="DH13" s="319">
        <f>IF($BI13&lt;&gt;"",IF('Capacity summary'!$D$14="Yes",IF(COUNTBLANK('Capacity summary'!$H132:$BG132)&lt;52,IF('Capacity summary'!BE132&lt;&gt;"",$BI13*BE13,0),BE13*$BI13),BE13*$BI13),0)</f>
        <v>0</v>
      </c>
      <c r="DI13" s="319">
        <f>IF($BI13&lt;&gt;"",IF('Capacity summary'!$D$14="Yes",IF(COUNTBLANK('Capacity summary'!$H132:$BG132)&lt;52,IF('Capacity summary'!BF132&lt;&gt;"",$BI13*BF13,0),BF13*$BI13),BF13*$BI13),0)</f>
        <v>0</v>
      </c>
      <c r="DJ13" s="319">
        <f>IF($BI13&lt;&gt;"",IF('Capacity summary'!$D$14="Yes",IF(COUNTBLANK('Capacity summary'!$H132:$BG132)&lt;52,IF('Capacity summary'!BG132&lt;&gt;"",$BI13*BG13,0),BG13*$BI13),BG13*$BI13),0)</f>
        <v>0</v>
      </c>
      <c r="DK13" s="5">
        <f t="shared" si="2"/>
        <v>0</v>
      </c>
      <c r="DL13" s="5" t="str">
        <f>Capacity!H25</f>
        <v/>
      </c>
      <c r="DP13" s="5"/>
    </row>
    <row r="14" spans="2:120" x14ac:dyDescent="0.2">
      <c r="B14" s="68"/>
      <c r="C14" s="68" t="str">
        <f>ROW(A10)&amp;". "&amp;Capacity!B26</f>
        <v xml:space="preserve">10. </v>
      </c>
      <c r="D14" s="68">
        <f>'Capacity setup'!C21</f>
        <v>0</v>
      </c>
      <c r="E14" s="68">
        <f>'Capacity setup'!D21</f>
        <v>0</v>
      </c>
      <c r="F14" s="68">
        <f>'Capacity setup'!E21</f>
        <v>0</v>
      </c>
      <c r="H14" s="68">
        <f ca="1">IF(AND(SUMIF(Capacity_Resource,$D14,'Critical resources (hide)'!U$6:U$105)+SUMIF(Capacity_Resource,$E14,'Critical resources (hide)'!U$6:U$105)+SUMIF(Capacity_Resource,$F14,'Critical resources (hide)'!U$6:U$105)&gt;0,$E$1=2),0,1)</f>
        <v>1</v>
      </c>
      <c r="I14" s="68">
        <f ca="1">IF(AND(SUMIF(Capacity_Resource,$D14,'Critical resources (hide)'!V$6:V$105)+SUMIF(Capacity_Resource,$E14,'Critical resources (hide)'!V$6:V$105)+SUMIF(Capacity_Resource,$F14,'Critical resources (hide)'!V$6:V$105)&gt;0,$E$1=2),0,1)</f>
        <v>1</v>
      </c>
      <c r="J14" s="68">
        <f ca="1">IF(AND(SUMIF(Capacity_Resource,$D14,'Critical resources (hide)'!W$6:W$105)+SUMIF(Capacity_Resource,$E14,'Critical resources (hide)'!W$6:W$105)+SUMIF(Capacity_Resource,$F14,'Critical resources (hide)'!W$6:W$105)&gt;0,$E$1=2),0,1)</f>
        <v>1</v>
      </c>
      <c r="K14" s="68">
        <f ca="1">IF(AND(SUMIF(Capacity_Resource,$D14,'Critical resources (hide)'!X$6:X$105)+SUMIF(Capacity_Resource,$E14,'Critical resources (hide)'!X$6:X$105)+SUMIF(Capacity_Resource,$F14,'Critical resources (hide)'!X$6:X$105)&gt;0,$E$1=2),0,1)</f>
        <v>1</v>
      </c>
      <c r="L14" s="68">
        <f ca="1">IF(AND(SUMIF(Capacity_Resource,$D14,'Critical resources (hide)'!Y$6:Y$105)+SUMIF(Capacity_Resource,$E14,'Critical resources (hide)'!Y$6:Y$105)+SUMIF(Capacity_Resource,$F14,'Critical resources (hide)'!Y$6:Y$105)&gt;0,$E$1=2),0,1)</f>
        <v>1</v>
      </c>
      <c r="M14" s="68">
        <f ca="1">IF(AND(SUMIF(Capacity_Resource,$D14,'Critical resources (hide)'!Z$6:Z$105)+SUMIF(Capacity_Resource,$E14,'Critical resources (hide)'!Z$6:Z$105)+SUMIF(Capacity_Resource,$F14,'Critical resources (hide)'!Z$6:Z$105)&gt;0,$E$1=2),0,1)</f>
        <v>1</v>
      </c>
      <c r="N14" s="68">
        <f ca="1">IF(AND(SUMIF(Capacity_Resource,$D14,'Critical resources (hide)'!AA$6:AA$105)+SUMIF(Capacity_Resource,$E14,'Critical resources (hide)'!AA$6:AA$105)+SUMIF(Capacity_Resource,$F14,'Critical resources (hide)'!AA$6:AA$105)&gt;0,$E$1=2),0,1)</f>
        <v>1</v>
      </c>
      <c r="O14" s="68">
        <f ca="1">IF(AND(SUMIF(Capacity_Resource,$D14,'Critical resources (hide)'!AB$6:AB$105)+SUMIF(Capacity_Resource,$E14,'Critical resources (hide)'!AB$6:AB$105)+SUMIF(Capacity_Resource,$F14,'Critical resources (hide)'!AB$6:AB$105)&gt;0,$E$1=2),0,1)</f>
        <v>1</v>
      </c>
      <c r="P14" s="68">
        <f ca="1">IF(AND(SUMIF(Capacity_Resource,$D14,'Critical resources (hide)'!AC$6:AC$105)+SUMIF(Capacity_Resource,$E14,'Critical resources (hide)'!AC$6:AC$105)+SUMIF(Capacity_Resource,$F14,'Critical resources (hide)'!AC$6:AC$105)&gt;0,$E$1=2),0,1)</f>
        <v>1</v>
      </c>
      <c r="Q14" s="68">
        <f ca="1">IF(AND(SUMIF(Capacity_Resource,$D14,'Critical resources (hide)'!AD$6:AD$105)+SUMIF(Capacity_Resource,$E14,'Critical resources (hide)'!AD$6:AD$105)+SUMIF(Capacity_Resource,$F14,'Critical resources (hide)'!AD$6:AD$105)&gt;0,$E$1=2),0,1)</f>
        <v>1</v>
      </c>
      <c r="R14" s="68">
        <f ca="1">IF(AND(SUMIF(Capacity_Resource,$D14,'Critical resources (hide)'!AE$6:AE$105)+SUMIF(Capacity_Resource,$E14,'Critical resources (hide)'!AE$6:AE$105)+SUMIF(Capacity_Resource,$F14,'Critical resources (hide)'!AE$6:AE$105)&gt;0,$E$1=2),0,1)</f>
        <v>1</v>
      </c>
      <c r="S14" s="68">
        <f ca="1">IF(AND(SUMIF(Capacity_Resource,$D14,'Critical resources (hide)'!AF$6:AF$105)+SUMIF(Capacity_Resource,$E14,'Critical resources (hide)'!AF$6:AF$105)+SUMIF(Capacity_Resource,$F14,'Critical resources (hide)'!AF$6:AF$105)&gt;0,$E$1=2),0,1)</f>
        <v>1</v>
      </c>
      <c r="T14" s="68">
        <f ca="1">IF(AND(SUMIF(Capacity_Resource,$D14,'Critical resources (hide)'!AG$6:AG$105)+SUMIF(Capacity_Resource,$E14,'Critical resources (hide)'!AG$6:AG$105)+SUMIF(Capacity_Resource,$F14,'Critical resources (hide)'!AG$6:AG$105)&gt;0,$E$1=2),0,1)</f>
        <v>1</v>
      </c>
      <c r="U14" s="68">
        <f ca="1">IF(AND(SUMIF(Capacity_Resource,$D14,'Critical resources (hide)'!AH$6:AH$105)+SUMIF(Capacity_Resource,$E14,'Critical resources (hide)'!AH$6:AH$105)+SUMIF(Capacity_Resource,$F14,'Critical resources (hide)'!AH$6:AH$105)&gt;0,$E$1=2),0,1)</f>
        <v>1</v>
      </c>
      <c r="V14" s="68">
        <f ca="1">IF(AND(SUMIF(Capacity_Resource,$D14,'Critical resources (hide)'!AI$6:AI$105)+SUMIF(Capacity_Resource,$E14,'Critical resources (hide)'!AI$6:AI$105)+SUMIF(Capacity_Resource,$F14,'Critical resources (hide)'!AI$6:AI$105)&gt;0,$E$1=2),0,1)</f>
        <v>1</v>
      </c>
      <c r="W14" s="68">
        <f ca="1">IF(AND(SUMIF(Capacity_Resource,$D14,'Critical resources (hide)'!AJ$6:AJ$105)+SUMIF(Capacity_Resource,$E14,'Critical resources (hide)'!AJ$6:AJ$105)+SUMIF(Capacity_Resource,$F14,'Critical resources (hide)'!AJ$6:AJ$105)&gt;0,$E$1=2),0,1)</f>
        <v>1</v>
      </c>
      <c r="X14" s="68">
        <f ca="1">IF(AND(SUMIF(Capacity_Resource,$D14,'Critical resources (hide)'!AK$6:AK$105)+SUMIF(Capacity_Resource,$E14,'Critical resources (hide)'!AK$6:AK$105)+SUMIF(Capacity_Resource,$F14,'Critical resources (hide)'!AK$6:AK$105)&gt;0,$E$1=2),0,1)</f>
        <v>1</v>
      </c>
      <c r="Y14" s="68">
        <f ca="1">IF(AND(SUMIF(Capacity_Resource,$D14,'Critical resources (hide)'!AL$6:AL$105)+SUMIF(Capacity_Resource,$E14,'Critical resources (hide)'!AL$6:AL$105)+SUMIF(Capacity_Resource,$F14,'Critical resources (hide)'!AL$6:AL$105)&gt;0,$E$1=2),0,1)</f>
        <v>1</v>
      </c>
      <c r="Z14" s="68">
        <f ca="1">IF(AND(SUMIF(Capacity_Resource,$D14,'Critical resources (hide)'!AM$6:AM$105)+SUMIF(Capacity_Resource,$E14,'Critical resources (hide)'!AM$6:AM$105)+SUMIF(Capacity_Resource,$F14,'Critical resources (hide)'!AM$6:AM$105)&gt;0,$E$1=2),0,1)</f>
        <v>1</v>
      </c>
      <c r="AA14" s="68">
        <f ca="1">IF(AND(SUMIF(Capacity_Resource,$D14,'Critical resources (hide)'!AN$6:AN$105)+SUMIF(Capacity_Resource,$E14,'Critical resources (hide)'!AN$6:AN$105)+SUMIF(Capacity_Resource,$F14,'Critical resources (hide)'!AN$6:AN$105)&gt;0,$E$1=2),0,1)</f>
        <v>1</v>
      </c>
      <c r="AB14" s="68">
        <f ca="1">IF(AND(SUMIF(Capacity_Resource,$D14,'Critical resources (hide)'!AO$6:AO$105)+SUMIF(Capacity_Resource,$E14,'Critical resources (hide)'!AO$6:AO$105)+SUMIF(Capacity_Resource,$F14,'Critical resources (hide)'!AO$6:AO$105)&gt;0,$E$1=2),0,1)</f>
        <v>1</v>
      </c>
      <c r="AC14" s="68">
        <f ca="1">IF(AND(SUMIF(Capacity_Resource,$D14,'Critical resources (hide)'!AP$6:AP$105)+SUMIF(Capacity_Resource,$E14,'Critical resources (hide)'!AP$6:AP$105)+SUMIF(Capacity_Resource,$F14,'Critical resources (hide)'!AP$6:AP$105)&gt;0,$E$1=2),0,1)</f>
        <v>1</v>
      </c>
      <c r="AD14" s="68">
        <f ca="1">IF(AND(SUMIF(Capacity_Resource,$D14,'Critical resources (hide)'!AQ$6:AQ$105)+SUMIF(Capacity_Resource,$E14,'Critical resources (hide)'!AQ$6:AQ$105)+SUMIF(Capacity_Resource,$F14,'Critical resources (hide)'!AQ$6:AQ$105)&gt;0,$E$1=2),0,1)</f>
        <v>1</v>
      </c>
      <c r="AE14" s="68">
        <f ca="1">IF(AND(SUMIF(Capacity_Resource,$D14,'Critical resources (hide)'!AR$6:AR$105)+SUMIF(Capacity_Resource,$E14,'Critical resources (hide)'!AR$6:AR$105)+SUMIF(Capacity_Resource,$F14,'Critical resources (hide)'!AR$6:AR$105)&gt;0,$E$1=2),0,1)</f>
        <v>1</v>
      </c>
      <c r="AF14" s="68">
        <f ca="1">IF(AND(SUMIF(Capacity_Resource,$D14,'Critical resources (hide)'!AS$6:AS$105)+SUMIF(Capacity_Resource,$E14,'Critical resources (hide)'!AS$6:AS$105)+SUMIF(Capacity_Resource,$F14,'Critical resources (hide)'!AS$6:AS$105)&gt;0,$E$1=2),0,1)</f>
        <v>1</v>
      </c>
      <c r="AG14" s="68">
        <f ca="1">IF(AND(SUMIF(Capacity_Resource,$D14,'Critical resources (hide)'!AT$6:AT$105)+SUMIF(Capacity_Resource,$E14,'Critical resources (hide)'!AT$6:AT$105)+SUMIF(Capacity_Resource,$F14,'Critical resources (hide)'!AT$6:AT$105)&gt;0,$E$1=2),0,1)</f>
        <v>1</v>
      </c>
      <c r="AH14" s="68">
        <f ca="1">IF(AND(SUMIF(Capacity_Resource,$D14,'Critical resources (hide)'!AU$6:AU$105)+SUMIF(Capacity_Resource,$E14,'Critical resources (hide)'!AU$6:AU$105)+SUMIF(Capacity_Resource,$F14,'Critical resources (hide)'!AU$6:AU$105)&gt;0,$E$1=2),0,1)</f>
        <v>1</v>
      </c>
      <c r="AI14" s="68">
        <f ca="1">IF(AND(SUMIF(Capacity_Resource,$D14,'Critical resources (hide)'!AV$6:AV$105)+SUMIF(Capacity_Resource,$E14,'Critical resources (hide)'!AV$6:AV$105)+SUMIF(Capacity_Resource,$F14,'Critical resources (hide)'!AV$6:AV$105)&gt;0,$E$1=2),0,1)</f>
        <v>1</v>
      </c>
      <c r="AJ14" s="68">
        <f ca="1">IF(AND(SUMIF(Capacity_Resource,$D14,'Critical resources (hide)'!AW$6:AW$105)+SUMIF(Capacity_Resource,$E14,'Critical resources (hide)'!AW$6:AW$105)+SUMIF(Capacity_Resource,$F14,'Critical resources (hide)'!AW$6:AW$105)&gt;0,$E$1=2),0,1)</f>
        <v>1</v>
      </c>
      <c r="AK14" s="68">
        <f ca="1">IF(AND(SUMIF(Capacity_Resource,$D14,'Critical resources (hide)'!AX$6:AX$105)+SUMIF(Capacity_Resource,$E14,'Critical resources (hide)'!AX$6:AX$105)+SUMIF(Capacity_Resource,$F14,'Critical resources (hide)'!AX$6:AX$105)&gt;0,$E$1=2),0,1)</f>
        <v>1</v>
      </c>
      <c r="AL14" s="68">
        <f ca="1">IF(AND(SUMIF(Capacity_Resource,$D14,'Critical resources (hide)'!AY$6:AY$105)+SUMIF(Capacity_Resource,$E14,'Critical resources (hide)'!AY$6:AY$105)+SUMIF(Capacity_Resource,$F14,'Critical resources (hide)'!AY$6:AY$105)&gt;0,$E$1=2),0,1)</f>
        <v>1</v>
      </c>
      <c r="AM14" s="68">
        <f ca="1">IF(AND(SUMIF(Capacity_Resource,$D14,'Critical resources (hide)'!AZ$6:AZ$105)+SUMIF(Capacity_Resource,$E14,'Critical resources (hide)'!AZ$6:AZ$105)+SUMIF(Capacity_Resource,$F14,'Critical resources (hide)'!AZ$6:AZ$105)&gt;0,$E$1=2),0,1)</f>
        <v>1</v>
      </c>
      <c r="AN14" s="68">
        <f ca="1">IF(AND(SUMIF(Capacity_Resource,$D14,'Critical resources (hide)'!BA$6:BA$105)+SUMIF(Capacity_Resource,$E14,'Critical resources (hide)'!BA$6:BA$105)+SUMIF(Capacity_Resource,$F14,'Critical resources (hide)'!BA$6:BA$105)&gt;0,$E$1=2),0,1)</f>
        <v>1</v>
      </c>
      <c r="AO14" s="68">
        <f ca="1">IF(AND(SUMIF(Capacity_Resource,$D14,'Critical resources (hide)'!BB$6:BB$105)+SUMIF(Capacity_Resource,$E14,'Critical resources (hide)'!BB$6:BB$105)+SUMIF(Capacity_Resource,$F14,'Critical resources (hide)'!BB$6:BB$105)&gt;0,$E$1=2),0,1)</f>
        <v>1</v>
      </c>
      <c r="AP14" s="68">
        <f ca="1">IF(AND(SUMIF(Capacity_Resource,$D14,'Critical resources (hide)'!BC$6:BC$105)+SUMIF(Capacity_Resource,$E14,'Critical resources (hide)'!BC$6:BC$105)+SUMIF(Capacity_Resource,$F14,'Critical resources (hide)'!BC$6:BC$105)&gt;0,$E$1=2),0,1)</f>
        <v>1</v>
      </c>
      <c r="AQ14" s="68">
        <f ca="1">IF(AND(SUMIF(Capacity_Resource,$D14,'Critical resources (hide)'!BD$6:BD$105)+SUMIF(Capacity_Resource,$E14,'Critical resources (hide)'!BD$6:BD$105)+SUMIF(Capacity_Resource,$F14,'Critical resources (hide)'!BD$6:BD$105)&gt;0,$E$1=2),0,1)</f>
        <v>1</v>
      </c>
      <c r="AR14" s="68">
        <f ca="1">IF(AND(SUMIF(Capacity_Resource,$D14,'Critical resources (hide)'!BE$6:BE$105)+SUMIF(Capacity_Resource,$E14,'Critical resources (hide)'!BE$6:BE$105)+SUMIF(Capacity_Resource,$F14,'Critical resources (hide)'!BE$6:BE$105)&gt;0,$E$1=2),0,1)</f>
        <v>1</v>
      </c>
      <c r="AS14" s="68">
        <f ca="1">IF(AND(SUMIF(Capacity_Resource,$D14,'Critical resources (hide)'!BF$6:BF$105)+SUMIF(Capacity_Resource,$E14,'Critical resources (hide)'!BF$6:BF$105)+SUMIF(Capacity_Resource,$F14,'Critical resources (hide)'!BF$6:BF$105)&gt;0,$E$1=2),0,1)</f>
        <v>1</v>
      </c>
      <c r="AT14" s="68">
        <f ca="1">IF(AND(SUMIF(Capacity_Resource,$D14,'Critical resources (hide)'!BG$6:BG$105)+SUMIF(Capacity_Resource,$E14,'Critical resources (hide)'!BG$6:BG$105)+SUMIF(Capacity_Resource,$F14,'Critical resources (hide)'!BG$6:BG$105)&gt;0,$E$1=2),0,1)</f>
        <v>1</v>
      </c>
      <c r="AU14" s="68">
        <f ca="1">IF(AND(SUMIF(Capacity_Resource,$D14,'Critical resources (hide)'!BH$6:BH$105)+SUMIF(Capacity_Resource,$E14,'Critical resources (hide)'!BH$6:BH$105)+SUMIF(Capacity_Resource,$F14,'Critical resources (hide)'!BH$6:BH$105)&gt;0,$E$1=2),0,1)</f>
        <v>1</v>
      </c>
      <c r="AV14" s="68">
        <f ca="1">IF(AND(SUMIF(Capacity_Resource,$D14,'Critical resources (hide)'!BI$6:BI$105)+SUMIF(Capacity_Resource,$E14,'Critical resources (hide)'!BI$6:BI$105)+SUMIF(Capacity_Resource,$F14,'Critical resources (hide)'!BI$6:BI$105)&gt;0,$E$1=2),0,1)</f>
        <v>1</v>
      </c>
      <c r="AW14" s="68">
        <f ca="1">IF(AND(SUMIF(Capacity_Resource,$D14,'Critical resources (hide)'!BJ$6:BJ$105)+SUMIF(Capacity_Resource,$E14,'Critical resources (hide)'!BJ$6:BJ$105)+SUMIF(Capacity_Resource,$F14,'Critical resources (hide)'!BJ$6:BJ$105)&gt;0,$E$1=2),0,1)</f>
        <v>1</v>
      </c>
      <c r="AX14" s="68">
        <f ca="1">IF(AND(SUMIF(Capacity_Resource,$D14,'Critical resources (hide)'!BK$6:BK$105)+SUMIF(Capacity_Resource,$E14,'Critical resources (hide)'!BK$6:BK$105)+SUMIF(Capacity_Resource,$F14,'Critical resources (hide)'!BK$6:BK$105)&gt;0,$E$1=2),0,1)</f>
        <v>1</v>
      </c>
      <c r="AY14" s="68">
        <f ca="1">IF(AND(SUMIF(Capacity_Resource,$D14,'Critical resources (hide)'!BL$6:BL$105)+SUMIF(Capacity_Resource,$E14,'Critical resources (hide)'!BL$6:BL$105)+SUMIF(Capacity_Resource,$F14,'Critical resources (hide)'!BL$6:BL$105)&gt;0,$E$1=2),0,1)</f>
        <v>1</v>
      </c>
      <c r="AZ14" s="68">
        <f ca="1">IF(AND(SUMIF(Capacity_Resource,$D14,'Critical resources (hide)'!BM$6:BM$105)+SUMIF(Capacity_Resource,$E14,'Critical resources (hide)'!BM$6:BM$105)+SUMIF(Capacity_Resource,$F14,'Critical resources (hide)'!BM$6:BM$105)&gt;0,$E$1=2),0,1)</f>
        <v>1</v>
      </c>
      <c r="BA14" s="68">
        <f ca="1">IF(AND(SUMIF(Capacity_Resource,$D14,'Critical resources (hide)'!BN$6:BN$105)+SUMIF(Capacity_Resource,$E14,'Critical resources (hide)'!BN$6:BN$105)+SUMIF(Capacity_Resource,$F14,'Critical resources (hide)'!BN$6:BN$105)&gt;0,$E$1=2),0,1)</f>
        <v>1</v>
      </c>
      <c r="BB14" s="68">
        <f ca="1">IF(AND(SUMIF(Capacity_Resource,$D14,'Critical resources (hide)'!BO$6:BO$105)+SUMIF(Capacity_Resource,$E14,'Critical resources (hide)'!BO$6:BO$105)+SUMIF(Capacity_Resource,$F14,'Critical resources (hide)'!BO$6:BO$105)&gt;0,$E$1=2),0,1)</f>
        <v>1</v>
      </c>
      <c r="BC14" s="68">
        <f ca="1">IF(AND(SUMIF(Capacity_Resource,$D14,'Critical resources (hide)'!BP$6:BP$105)+SUMIF(Capacity_Resource,$E14,'Critical resources (hide)'!BP$6:BP$105)+SUMIF(Capacity_Resource,$F14,'Critical resources (hide)'!BP$6:BP$105)&gt;0,$E$1=2),0,1)</f>
        <v>1</v>
      </c>
      <c r="BD14" s="68">
        <f ca="1">IF(AND(SUMIF(Capacity_Resource,$D14,'Critical resources (hide)'!BQ$6:BQ$105)+SUMIF(Capacity_Resource,$E14,'Critical resources (hide)'!BQ$6:BQ$105)+SUMIF(Capacity_Resource,$F14,'Critical resources (hide)'!BQ$6:BQ$105)&gt;0,$E$1=2),0,1)</f>
        <v>1</v>
      </c>
      <c r="BE14" s="68">
        <f ca="1">IF(AND(SUMIF(Capacity_Resource,$D14,'Critical resources (hide)'!BR$6:BR$105)+SUMIF(Capacity_Resource,$E14,'Critical resources (hide)'!BR$6:BR$105)+SUMIF(Capacity_Resource,$F14,'Critical resources (hide)'!BR$6:BR$105)&gt;0,$E$1=2),0,1)</f>
        <v>1</v>
      </c>
      <c r="BF14" s="68">
        <f ca="1">IF(AND(SUMIF(Capacity_Resource,$D14,'Critical resources (hide)'!BS$6:BS$105)+SUMIF(Capacity_Resource,$E14,'Critical resources (hide)'!BS$6:BS$105)+SUMIF(Capacity_Resource,$F14,'Critical resources (hide)'!BS$6:BS$105)&gt;0,$E$1=2),0,1)</f>
        <v>1</v>
      </c>
      <c r="BG14" s="68">
        <f ca="1">IF(AND(SUMIF(Capacity_Resource,$D14,'Critical resources (hide)'!BT$6:BT$105)+SUMIF(Capacity_Resource,$E14,'Critical resources (hide)'!BT$6:BT$105)+SUMIF(Capacity_Resource,$F14,'Critical resources (hide)'!BT$6:BT$105)&gt;0,$E$1=2),0,1)</f>
        <v>1</v>
      </c>
      <c r="BH14" s="68">
        <f>IF(ROW(C10)&lt;=Capacity!$A$16,IF('Capacity summary'!$D$14="No",SUM(H14:BG14),'Capacity summary'!$E133),0)</f>
        <v>0</v>
      </c>
      <c r="BI14" s="5" t="str">
        <f>IF(BH14&gt;0,IF(BH14&lt;Capacity!E26,Capacity!F26,Capacity!H26/'Capacity calculation (hide)'!BH14),"")</f>
        <v/>
      </c>
      <c r="BK14" s="319">
        <f>IF($BI14&lt;&gt;"",IF('Capacity summary'!$D$14="Yes",IF(COUNTBLANK('Capacity summary'!$H133:$BG133)&lt;52,IF('Capacity summary'!H133&lt;&gt;"",$BI14*H14,0),H14*$BI14),H14*$BI14),0)</f>
        <v>0</v>
      </c>
      <c r="BL14" s="319">
        <f>IF($BI14&lt;&gt;"",IF('Capacity summary'!$D$14="Yes",IF(COUNTBLANK('Capacity summary'!$H133:$BG133)&lt;52,IF('Capacity summary'!I133&lt;&gt;"",$BI14*I14,0),I14*$BI14),I14*$BI14),0)</f>
        <v>0</v>
      </c>
      <c r="BM14" s="319">
        <f>IF($BI14&lt;&gt;"",IF('Capacity summary'!$D$14="Yes",IF(COUNTBLANK('Capacity summary'!$H133:$BG133)&lt;52,IF('Capacity summary'!J133&lt;&gt;"",$BI14*J14,0),J14*$BI14),J14*$BI14),0)</f>
        <v>0</v>
      </c>
      <c r="BN14" s="319">
        <f>IF($BI14&lt;&gt;"",IF('Capacity summary'!$D$14="Yes",IF(COUNTBLANK('Capacity summary'!$H133:$BG133)&lt;52,IF('Capacity summary'!K133&lt;&gt;"",$BI14*K14,0),K14*$BI14),K14*$BI14),0)</f>
        <v>0</v>
      </c>
      <c r="BO14" s="319">
        <f>IF($BI14&lt;&gt;"",IF('Capacity summary'!$D$14="Yes",IF(COUNTBLANK('Capacity summary'!$H133:$BG133)&lt;52,IF('Capacity summary'!L133&lt;&gt;"",$BI14*L14,0),L14*$BI14),L14*$BI14),0)</f>
        <v>0</v>
      </c>
      <c r="BP14" s="319">
        <f>IF($BI14&lt;&gt;"",IF('Capacity summary'!$D$14="Yes",IF(COUNTBLANK('Capacity summary'!$H133:$BG133)&lt;52,IF('Capacity summary'!M133&lt;&gt;"",$BI14*M14,0),M14*$BI14),M14*$BI14),0)</f>
        <v>0</v>
      </c>
      <c r="BQ14" s="319">
        <f>IF($BI14&lt;&gt;"",IF('Capacity summary'!$D$14="Yes",IF(COUNTBLANK('Capacity summary'!$H133:$BG133)&lt;52,IF('Capacity summary'!N133&lt;&gt;"",$BI14*N14,0),N14*$BI14),N14*$BI14),0)</f>
        <v>0</v>
      </c>
      <c r="BR14" s="319">
        <f>IF($BI14&lt;&gt;"",IF('Capacity summary'!$D$14="Yes",IF(COUNTBLANK('Capacity summary'!$H133:$BG133)&lt;52,IF('Capacity summary'!O133&lt;&gt;"",$BI14*O14,0),O14*$BI14),O14*$BI14),0)</f>
        <v>0</v>
      </c>
      <c r="BS14" s="319">
        <f>IF($BI14&lt;&gt;"",IF('Capacity summary'!$D$14="Yes",IF(COUNTBLANK('Capacity summary'!$H133:$BG133)&lt;52,IF('Capacity summary'!P133&lt;&gt;"",$BI14*P14,0),P14*$BI14),P14*$BI14),0)</f>
        <v>0</v>
      </c>
      <c r="BT14" s="319">
        <f>IF($BI14&lt;&gt;"",IF('Capacity summary'!$D$14="Yes",IF(COUNTBLANK('Capacity summary'!$H133:$BG133)&lt;52,IF('Capacity summary'!Q133&lt;&gt;"",$BI14*Q14,0),Q14*$BI14),Q14*$BI14),0)</f>
        <v>0</v>
      </c>
      <c r="BU14" s="319">
        <f>IF($BI14&lt;&gt;"",IF('Capacity summary'!$D$14="Yes",IF(COUNTBLANK('Capacity summary'!$H133:$BG133)&lt;52,IF('Capacity summary'!R133&lt;&gt;"",$BI14*R14,0),R14*$BI14),R14*$BI14),0)</f>
        <v>0</v>
      </c>
      <c r="BV14" s="319">
        <f>IF($BI14&lt;&gt;"",IF('Capacity summary'!$D$14="Yes",IF(COUNTBLANK('Capacity summary'!$H133:$BG133)&lt;52,IF('Capacity summary'!S133&lt;&gt;"",$BI14*S14,0),S14*$BI14),S14*$BI14),0)</f>
        <v>0</v>
      </c>
      <c r="BW14" s="319">
        <f>IF($BI14&lt;&gt;"",IF('Capacity summary'!$D$14="Yes",IF(COUNTBLANK('Capacity summary'!$H133:$BG133)&lt;52,IF('Capacity summary'!T133&lt;&gt;"",$BI14*T14,0),T14*$BI14),T14*$BI14),0)</f>
        <v>0</v>
      </c>
      <c r="BX14" s="319">
        <f>IF($BI14&lt;&gt;"",IF('Capacity summary'!$D$14="Yes",IF(COUNTBLANK('Capacity summary'!$H133:$BG133)&lt;52,IF('Capacity summary'!U133&lt;&gt;"",$BI14*U14,0),U14*$BI14),U14*$BI14),0)</f>
        <v>0</v>
      </c>
      <c r="BY14" s="319">
        <f>IF($BI14&lt;&gt;"",IF('Capacity summary'!$D$14="Yes",IF(COUNTBLANK('Capacity summary'!$H133:$BG133)&lt;52,IF('Capacity summary'!V133&lt;&gt;"",$BI14*V14,0),V14*$BI14),V14*$BI14),0)</f>
        <v>0</v>
      </c>
      <c r="BZ14" s="319">
        <f>IF($BI14&lt;&gt;"",IF('Capacity summary'!$D$14="Yes",IF(COUNTBLANK('Capacity summary'!$H133:$BG133)&lt;52,IF('Capacity summary'!W133&lt;&gt;"",$BI14*W14,0),W14*$BI14),W14*$BI14),0)</f>
        <v>0</v>
      </c>
      <c r="CA14" s="319">
        <f>IF($BI14&lt;&gt;"",IF('Capacity summary'!$D$14="Yes",IF(COUNTBLANK('Capacity summary'!$H133:$BG133)&lt;52,IF('Capacity summary'!X133&lt;&gt;"",$BI14*X14,0),X14*$BI14),X14*$BI14),0)</f>
        <v>0</v>
      </c>
      <c r="CB14" s="319">
        <f>IF($BI14&lt;&gt;"",IF('Capacity summary'!$D$14="Yes",IF(COUNTBLANK('Capacity summary'!$H133:$BG133)&lt;52,IF('Capacity summary'!Y133&lt;&gt;"",$BI14*Y14,0),Y14*$BI14),Y14*$BI14),0)</f>
        <v>0</v>
      </c>
      <c r="CC14" s="319">
        <f>IF($BI14&lt;&gt;"",IF('Capacity summary'!$D$14="Yes",IF(COUNTBLANK('Capacity summary'!$H133:$BG133)&lt;52,IF('Capacity summary'!Z133&lt;&gt;"",$BI14*Z14,0),Z14*$BI14),Z14*$BI14),0)</f>
        <v>0</v>
      </c>
      <c r="CD14" s="319">
        <f>IF($BI14&lt;&gt;"",IF('Capacity summary'!$D$14="Yes",IF(COUNTBLANK('Capacity summary'!$H133:$BG133)&lt;52,IF('Capacity summary'!AA133&lt;&gt;"",$BI14*AA14,0),AA14*$BI14),AA14*$BI14),0)</f>
        <v>0</v>
      </c>
      <c r="CE14" s="319">
        <f>IF($BI14&lt;&gt;"",IF('Capacity summary'!$D$14="Yes",IF(COUNTBLANK('Capacity summary'!$H133:$BG133)&lt;52,IF('Capacity summary'!AB133&lt;&gt;"",$BI14*AB14,0),AB14*$BI14),AB14*$BI14),0)</f>
        <v>0</v>
      </c>
      <c r="CF14" s="319">
        <f>IF($BI14&lt;&gt;"",IF('Capacity summary'!$D$14="Yes",IF(COUNTBLANK('Capacity summary'!$H133:$BG133)&lt;52,IF('Capacity summary'!AC133&lt;&gt;"",$BI14*AC14,0),AC14*$BI14),AC14*$BI14),0)</f>
        <v>0</v>
      </c>
      <c r="CG14" s="319">
        <f>IF($BI14&lt;&gt;"",IF('Capacity summary'!$D$14="Yes",IF(COUNTBLANK('Capacity summary'!$H133:$BG133)&lt;52,IF('Capacity summary'!AD133&lt;&gt;"",$BI14*AD14,0),AD14*$BI14),AD14*$BI14),0)</f>
        <v>0</v>
      </c>
      <c r="CH14" s="319">
        <f>IF($BI14&lt;&gt;"",IF('Capacity summary'!$D$14="Yes",IF(COUNTBLANK('Capacity summary'!$H133:$BG133)&lt;52,IF('Capacity summary'!AE133&lt;&gt;"",$BI14*AE14,0),AE14*$BI14),AE14*$BI14),0)</f>
        <v>0</v>
      </c>
      <c r="CI14" s="319">
        <f>IF($BI14&lt;&gt;"",IF('Capacity summary'!$D$14="Yes",IF(COUNTBLANK('Capacity summary'!$H133:$BG133)&lt;52,IF('Capacity summary'!AF133&lt;&gt;"",$BI14*AF14,0),AF14*$BI14),AF14*$BI14),0)</f>
        <v>0</v>
      </c>
      <c r="CJ14" s="319">
        <f>IF($BI14&lt;&gt;"",IF('Capacity summary'!$D$14="Yes",IF(COUNTBLANK('Capacity summary'!$H133:$BG133)&lt;52,IF('Capacity summary'!AG133&lt;&gt;"",$BI14*AG14,0),AG14*$BI14),AG14*$BI14),0)</f>
        <v>0</v>
      </c>
      <c r="CK14" s="319">
        <f>IF($BI14&lt;&gt;"",IF('Capacity summary'!$D$14="Yes",IF(COUNTBLANK('Capacity summary'!$H133:$BG133)&lt;52,IF('Capacity summary'!AH133&lt;&gt;"",$BI14*AH14,0),AH14*$BI14),AH14*$BI14),0)</f>
        <v>0</v>
      </c>
      <c r="CL14" s="319">
        <f>IF($BI14&lt;&gt;"",IF('Capacity summary'!$D$14="Yes",IF(COUNTBLANK('Capacity summary'!$H133:$BG133)&lt;52,IF('Capacity summary'!AI133&lt;&gt;"",$BI14*AI14,0),AI14*$BI14),AI14*$BI14),0)</f>
        <v>0</v>
      </c>
      <c r="CM14" s="319">
        <f>IF($BI14&lt;&gt;"",IF('Capacity summary'!$D$14="Yes",IF(COUNTBLANK('Capacity summary'!$H133:$BG133)&lt;52,IF('Capacity summary'!AJ133&lt;&gt;"",$BI14*AJ14,0),AJ14*$BI14),AJ14*$BI14),0)</f>
        <v>0</v>
      </c>
      <c r="CN14" s="319">
        <f>IF($BI14&lt;&gt;"",IF('Capacity summary'!$D$14="Yes",IF(COUNTBLANK('Capacity summary'!$H133:$BG133)&lt;52,IF('Capacity summary'!AK133&lt;&gt;"",$BI14*AK14,0),AK14*$BI14),AK14*$BI14),0)</f>
        <v>0</v>
      </c>
      <c r="CO14" s="319">
        <f>IF($BI14&lt;&gt;"",IF('Capacity summary'!$D$14="Yes",IF(COUNTBLANK('Capacity summary'!$H133:$BG133)&lt;52,IF('Capacity summary'!AL133&lt;&gt;"",$BI14*AL14,0),AL14*$BI14),AL14*$BI14),0)</f>
        <v>0</v>
      </c>
      <c r="CP14" s="319">
        <f>IF($BI14&lt;&gt;"",IF('Capacity summary'!$D$14="Yes",IF(COUNTBLANK('Capacity summary'!$H133:$BG133)&lt;52,IF('Capacity summary'!AM133&lt;&gt;"",$BI14*AM14,0),AM14*$BI14),AM14*$BI14),0)</f>
        <v>0</v>
      </c>
      <c r="CQ14" s="319">
        <f>IF($BI14&lt;&gt;"",IF('Capacity summary'!$D$14="Yes",IF(COUNTBLANK('Capacity summary'!$H133:$BG133)&lt;52,IF('Capacity summary'!AN133&lt;&gt;"",$BI14*AN14,0),AN14*$BI14),AN14*$BI14),0)</f>
        <v>0</v>
      </c>
      <c r="CR14" s="319">
        <f>IF($BI14&lt;&gt;"",IF('Capacity summary'!$D$14="Yes",IF(COUNTBLANK('Capacity summary'!$H133:$BG133)&lt;52,IF('Capacity summary'!AO133&lt;&gt;"",$BI14*AO14,0),AO14*$BI14),AO14*$BI14),0)</f>
        <v>0</v>
      </c>
      <c r="CS14" s="319">
        <f>IF($BI14&lt;&gt;"",IF('Capacity summary'!$D$14="Yes",IF(COUNTBLANK('Capacity summary'!$H133:$BG133)&lt;52,IF('Capacity summary'!AP133&lt;&gt;"",$BI14*AP14,0),AP14*$BI14),AP14*$BI14),0)</f>
        <v>0</v>
      </c>
      <c r="CT14" s="319">
        <f>IF($BI14&lt;&gt;"",IF('Capacity summary'!$D$14="Yes",IF(COUNTBLANK('Capacity summary'!$H133:$BG133)&lt;52,IF('Capacity summary'!AQ133&lt;&gt;"",$BI14*AQ14,0),AQ14*$BI14),AQ14*$BI14),0)</f>
        <v>0</v>
      </c>
      <c r="CU14" s="319">
        <f>IF($BI14&lt;&gt;"",IF('Capacity summary'!$D$14="Yes",IF(COUNTBLANK('Capacity summary'!$H133:$BG133)&lt;52,IF('Capacity summary'!AR133&lt;&gt;"",$BI14*AR14,0),AR14*$BI14),AR14*$BI14),0)</f>
        <v>0</v>
      </c>
      <c r="CV14" s="319">
        <f>IF($BI14&lt;&gt;"",IF('Capacity summary'!$D$14="Yes",IF(COUNTBLANK('Capacity summary'!$H133:$BG133)&lt;52,IF('Capacity summary'!AS133&lt;&gt;"",$BI14*AS14,0),AS14*$BI14),AS14*$BI14),0)</f>
        <v>0</v>
      </c>
      <c r="CW14" s="319">
        <f>IF($BI14&lt;&gt;"",IF('Capacity summary'!$D$14="Yes",IF(COUNTBLANK('Capacity summary'!$H133:$BG133)&lt;52,IF('Capacity summary'!AT133&lt;&gt;"",$BI14*AT14,0),AT14*$BI14),AT14*$BI14),0)</f>
        <v>0</v>
      </c>
      <c r="CX14" s="319">
        <f>IF($BI14&lt;&gt;"",IF('Capacity summary'!$D$14="Yes",IF(COUNTBLANK('Capacity summary'!$H133:$BG133)&lt;52,IF('Capacity summary'!AU133&lt;&gt;"",$BI14*AU14,0),AU14*$BI14),AU14*$BI14),0)</f>
        <v>0</v>
      </c>
      <c r="CY14" s="319">
        <f>IF($BI14&lt;&gt;"",IF('Capacity summary'!$D$14="Yes",IF(COUNTBLANK('Capacity summary'!$H133:$BG133)&lt;52,IF('Capacity summary'!AV133&lt;&gt;"",$BI14*AV14,0),AV14*$BI14),AV14*$BI14),0)</f>
        <v>0</v>
      </c>
      <c r="CZ14" s="319">
        <f>IF($BI14&lt;&gt;"",IF('Capacity summary'!$D$14="Yes",IF(COUNTBLANK('Capacity summary'!$H133:$BG133)&lt;52,IF('Capacity summary'!AW133&lt;&gt;"",$BI14*AW14,0),AW14*$BI14),AW14*$BI14),0)</f>
        <v>0</v>
      </c>
      <c r="DA14" s="319">
        <f>IF($BI14&lt;&gt;"",IF('Capacity summary'!$D$14="Yes",IF(COUNTBLANK('Capacity summary'!$H133:$BG133)&lt;52,IF('Capacity summary'!AX133&lt;&gt;"",$BI14*AX14,0),AX14*$BI14),AX14*$BI14),0)</f>
        <v>0</v>
      </c>
      <c r="DB14" s="319">
        <f>IF($BI14&lt;&gt;"",IF('Capacity summary'!$D$14="Yes",IF(COUNTBLANK('Capacity summary'!$H133:$BG133)&lt;52,IF('Capacity summary'!AY133&lt;&gt;"",$BI14*AY14,0),AY14*$BI14),AY14*$BI14),0)</f>
        <v>0</v>
      </c>
      <c r="DC14" s="319">
        <f>IF($BI14&lt;&gt;"",IF('Capacity summary'!$D$14="Yes",IF(COUNTBLANK('Capacity summary'!$H133:$BG133)&lt;52,IF('Capacity summary'!AZ133&lt;&gt;"",$BI14*AZ14,0),AZ14*$BI14),AZ14*$BI14),0)</f>
        <v>0</v>
      </c>
      <c r="DD14" s="319">
        <f>IF($BI14&lt;&gt;"",IF('Capacity summary'!$D$14="Yes",IF(COUNTBLANK('Capacity summary'!$H133:$BG133)&lt;52,IF('Capacity summary'!BA133&lt;&gt;"",$BI14*BA14,0),BA14*$BI14),BA14*$BI14),0)</f>
        <v>0</v>
      </c>
      <c r="DE14" s="319">
        <f>IF($BI14&lt;&gt;"",IF('Capacity summary'!$D$14="Yes",IF(COUNTBLANK('Capacity summary'!$H133:$BG133)&lt;52,IF('Capacity summary'!BB133&lt;&gt;"",$BI14*BB14,0),BB14*$BI14),BB14*$BI14),0)</f>
        <v>0</v>
      </c>
      <c r="DF14" s="319">
        <f>IF($BI14&lt;&gt;"",IF('Capacity summary'!$D$14="Yes",IF(COUNTBLANK('Capacity summary'!$H133:$BG133)&lt;52,IF('Capacity summary'!BC133&lt;&gt;"",$BI14*BC14,0),BC14*$BI14),BC14*$BI14),0)</f>
        <v>0</v>
      </c>
      <c r="DG14" s="319">
        <f>IF($BI14&lt;&gt;"",IF('Capacity summary'!$D$14="Yes",IF(COUNTBLANK('Capacity summary'!$H133:$BG133)&lt;52,IF('Capacity summary'!BD133&lt;&gt;"",$BI14*BD14,0),BD14*$BI14),BD14*$BI14),0)</f>
        <v>0</v>
      </c>
      <c r="DH14" s="319">
        <f>IF($BI14&lt;&gt;"",IF('Capacity summary'!$D$14="Yes",IF(COUNTBLANK('Capacity summary'!$H133:$BG133)&lt;52,IF('Capacity summary'!BE133&lt;&gt;"",$BI14*BE14,0),BE14*$BI14),BE14*$BI14),0)</f>
        <v>0</v>
      </c>
      <c r="DI14" s="319">
        <f>IF($BI14&lt;&gt;"",IF('Capacity summary'!$D$14="Yes",IF(COUNTBLANK('Capacity summary'!$H133:$BG133)&lt;52,IF('Capacity summary'!BF133&lt;&gt;"",$BI14*BF14,0),BF14*$BI14),BF14*$BI14),0)</f>
        <v>0</v>
      </c>
      <c r="DJ14" s="319">
        <f>IF($BI14&lt;&gt;"",IF('Capacity summary'!$D$14="Yes",IF(COUNTBLANK('Capacity summary'!$H133:$BG133)&lt;52,IF('Capacity summary'!BG133&lt;&gt;"",$BI14*BG14,0),BG14*$BI14),BG14*$BI14),0)</f>
        <v>0</v>
      </c>
      <c r="DK14" s="5">
        <f t="shared" si="2"/>
        <v>0</v>
      </c>
      <c r="DL14" s="5" t="str">
        <f>Capacity!H26</f>
        <v/>
      </c>
      <c r="DP14" s="5"/>
    </row>
    <row r="15" spans="2:120" x14ac:dyDescent="0.2">
      <c r="B15" s="68"/>
      <c r="C15" s="68" t="str">
        <f>ROW(A11)&amp;". "&amp;Capacity!B27</f>
        <v xml:space="preserve">11. </v>
      </c>
      <c r="D15" s="68">
        <f>'Capacity setup'!C22</f>
        <v>0</v>
      </c>
      <c r="E15" s="68">
        <f>'Capacity setup'!D22</f>
        <v>0</v>
      </c>
      <c r="F15" s="68">
        <f>'Capacity setup'!E22</f>
        <v>0</v>
      </c>
      <c r="H15" s="68">
        <f ca="1">IF(AND(SUMIF(Capacity_Resource,$D15,'Critical resources (hide)'!U$6:U$105)+SUMIF(Capacity_Resource,$E15,'Critical resources (hide)'!U$6:U$105)+SUMIF(Capacity_Resource,$F15,'Critical resources (hide)'!U$6:U$105)&gt;0,$E$1=2),0,1)</f>
        <v>1</v>
      </c>
      <c r="I15" s="68">
        <f ca="1">IF(AND(SUMIF(Capacity_Resource,$D15,'Critical resources (hide)'!V$6:V$105)+SUMIF(Capacity_Resource,$E15,'Critical resources (hide)'!V$6:V$105)+SUMIF(Capacity_Resource,$F15,'Critical resources (hide)'!V$6:V$105)&gt;0,$E$1=2),0,1)</f>
        <v>1</v>
      </c>
      <c r="J15" s="68">
        <f ca="1">IF(AND(SUMIF(Capacity_Resource,$D15,'Critical resources (hide)'!W$6:W$105)+SUMIF(Capacity_Resource,$E15,'Critical resources (hide)'!W$6:W$105)+SUMIF(Capacity_Resource,$F15,'Critical resources (hide)'!W$6:W$105)&gt;0,$E$1=2),0,1)</f>
        <v>1</v>
      </c>
      <c r="K15" s="68">
        <f ca="1">IF(AND(SUMIF(Capacity_Resource,$D15,'Critical resources (hide)'!X$6:X$105)+SUMIF(Capacity_Resource,$E15,'Critical resources (hide)'!X$6:X$105)+SUMIF(Capacity_Resource,$F15,'Critical resources (hide)'!X$6:X$105)&gt;0,$E$1=2),0,1)</f>
        <v>1</v>
      </c>
      <c r="L15" s="68">
        <f ca="1">IF(AND(SUMIF(Capacity_Resource,$D15,'Critical resources (hide)'!Y$6:Y$105)+SUMIF(Capacity_Resource,$E15,'Critical resources (hide)'!Y$6:Y$105)+SUMIF(Capacity_Resource,$F15,'Critical resources (hide)'!Y$6:Y$105)&gt;0,$E$1=2),0,1)</f>
        <v>1</v>
      </c>
      <c r="M15" s="68">
        <f ca="1">IF(AND(SUMIF(Capacity_Resource,$D15,'Critical resources (hide)'!Z$6:Z$105)+SUMIF(Capacity_Resource,$E15,'Critical resources (hide)'!Z$6:Z$105)+SUMIF(Capacity_Resource,$F15,'Critical resources (hide)'!Z$6:Z$105)&gt;0,$E$1=2),0,1)</f>
        <v>1</v>
      </c>
      <c r="N15" s="68">
        <f ca="1">IF(AND(SUMIF(Capacity_Resource,$D15,'Critical resources (hide)'!AA$6:AA$105)+SUMIF(Capacity_Resource,$E15,'Critical resources (hide)'!AA$6:AA$105)+SUMIF(Capacity_Resource,$F15,'Critical resources (hide)'!AA$6:AA$105)&gt;0,$E$1=2),0,1)</f>
        <v>1</v>
      </c>
      <c r="O15" s="68">
        <f ca="1">IF(AND(SUMIF(Capacity_Resource,$D15,'Critical resources (hide)'!AB$6:AB$105)+SUMIF(Capacity_Resource,$E15,'Critical resources (hide)'!AB$6:AB$105)+SUMIF(Capacity_Resource,$F15,'Critical resources (hide)'!AB$6:AB$105)&gt;0,$E$1=2),0,1)</f>
        <v>1</v>
      </c>
      <c r="P15" s="68">
        <f ca="1">IF(AND(SUMIF(Capacity_Resource,$D15,'Critical resources (hide)'!AC$6:AC$105)+SUMIF(Capacity_Resource,$E15,'Critical resources (hide)'!AC$6:AC$105)+SUMIF(Capacity_Resource,$F15,'Critical resources (hide)'!AC$6:AC$105)&gt;0,$E$1=2),0,1)</f>
        <v>1</v>
      </c>
      <c r="Q15" s="68">
        <f ca="1">IF(AND(SUMIF(Capacity_Resource,$D15,'Critical resources (hide)'!AD$6:AD$105)+SUMIF(Capacity_Resource,$E15,'Critical resources (hide)'!AD$6:AD$105)+SUMIF(Capacity_Resource,$F15,'Critical resources (hide)'!AD$6:AD$105)&gt;0,$E$1=2),0,1)</f>
        <v>1</v>
      </c>
      <c r="R15" s="68">
        <f ca="1">IF(AND(SUMIF(Capacity_Resource,$D15,'Critical resources (hide)'!AE$6:AE$105)+SUMIF(Capacity_Resource,$E15,'Critical resources (hide)'!AE$6:AE$105)+SUMIF(Capacity_Resource,$F15,'Critical resources (hide)'!AE$6:AE$105)&gt;0,$E$1=2),0,1)</f>
        <v>1</v>
      </c>
      <c r="S15" s="68">
        <f ca="1">IF(AND(SUMIF(Capacity_Resource,$D15,'Critical resources (hide)'!AF$6:AF$105)+SUMIF(Capacity_Resource,$E15,'Critical resources (hide)'!AF$6:AF$105)+SUMIF(Capacity_Resource,$F15,'Critical resources (hide)'!AF$6:AF$105)&gt;0,$E$1=2),0,1)</f>
        <v>1</v>
      </c>
      <c r="T15" s="68">
        <f ca="1">IF(AND(SUMIF(Capacity_Resource,$D15,'Critical resources (hide)'!AG$6:AG$105)+SUMIF(Capacity_Resource,$E15,'Critical resources (hide)'!AG$6:AG$105)+SUMIF(Capacity_Resource,$F15,'Critical resources (hide)'!AG$6:AG$105)&gt;0,$E$1=2),0,1)</f>
        <v>1</v>
      </c>
      <c r="U15" s="68">
        <f ca="1">IF(AND(SUMIF(Capacity_Resource,$D15,'Critical resources (hide)'!AH$6:AH$105)+SUMIF(Capacity_Resource,$E15,'Critical resources (hide)'!AH$6:AH$105)+SUMIF(Capacity_Resource,$F15,'Critical resources (hide)'!AH$6:AH$105)&gt;0,$E$1=2),0,1)</f>
        <v>1</v>
      </c>
      <c r="V15" s="68">
        <f ca="1">IF(AND(SUMIF(Capacity_Resource,$D15,'Critical resources (hide)'!AI$6:AI$105)+SUMIF(Capacity_Resource,$E15,'Critical resources (hide)'!AI$6:AI$105)+SUMIF(Capacity_Resource,$F15,'Critical resources (hide)'!AI$6:AI$105)&gt;0,$E$1=2),0,1)</f>
        <v>1</v>
      </c>
      <c r="W15" s="68">
        <f ca="1">IF(AND(SUMIF(Capacity_Resource,$D15,'Critical resources (hide)'!AJ$6:AJ$105)+SUMIF(Capacity_Resource,$E15,'Critical resources (hide)'!AJ$6:AJ$105)+SUMIF(Capacity_Resource,$F15,'Critical resources (hide)'!AJ$6:AJ$105)&gt;0,$E$1=2),0,1)</f>
        <v>1</v>
      </c>
      <c r="X15" s="68">
        <f ca="1">IF(AND(SUMIF(Capacity_Resource,$D15,'Critical resources (hide)'!AK$6:AK$105)+SUMIF(Capacity_Resource,$E15,'Critical resources (hide)'!AK$6:AK$105)+SUMIF(Capacity_Resource,$F15,'Critical resources (hide)'!AK$6:AK$105)&gt;0,$E$1=2),0,1)</f>
        <v>1</v>
      </c>
      <c r="Y15" s="68">
        <f ca="1">IF(AND(SUMIF(Capacity_Resource,$D15,'Critical resources (hide)'!AL$6:AL$105)+SUMIF(Capacity_Resource,$E15,'Critical resources (hide)'!AL$6:AL$105)+SUMIF(Capacity_Resource,$F15,'Critical resources (hide)'!AL$6:AL$105)&gt;0,$E$1=2),0,1)</f>
        <v>1</v>
      </c>
      <c r="Z15" s="68">
        <f ca="1">IF(AND(SUMIF(Capacity_Resource,$D15,'Critical resources (hide)'!AM$6:AM$105)+SUMIF(Capacity_Resource,$E15,'Critical resources (hide)'!AM$6:AM$105)+SUMIF(Capacity_Resource,$F15,'Critical resources (hide)'!AM$6:AM$105)&gt;0,$E$1=2),0,1)</f>
        <v>1</v>
      </c>
      <c r="AA15" s="68">
        <f ca="1">IF(AND(SUMIF(Capacity_Resource,$D15,'Critical resources (hide)'!AN$6:AN$105)+SUMIF(Capacity_Resource,$E15,'Critical resources (hide)'!AN$6:AN$105)+SUMIF(Capacity_Resource,$F15,'Critical resources (hide)'!AN$6:AN$105)&gt;0,$E$1=2),0,1)</f>
        <v>1</v>
      </c>
      <c r="AB15" s="68">
        <f ca="1">IF(AND(SUMIF(Capacity_Resource,$D15,'Critical resources (hide)'!AO$6:AO$105)+SUMIF(Capacity_Resource,$E15,'Critical resources (hide)'!AO$6:AO$105)+SUMIF(Capacity_Resource,$F15,'Critical resources (hide)'!AO$6:AO$105)&gt;0,$E$1=2),0,1)</f>
        <v>1</v>
      </c>
      <c r="AC15" s="68">
        <f ca="1">IF(AND(SUMIF(Capacity_Resource,$D15,'Critical resources (hide)'!AP$6:AP$105)+SUMIF(Capacity_Resource,$E15,'Critical resources (hide)'!AP$6:AP$105)+SUMIF(Capacity_Resource,$F15,'Critical resources (hide)'!AP$6:AP$105)&gt;0,$E$1=2),0,1)</f>
        <v>1</v>
      </c>
      <c r="AD15" s="68">
        <f ca="1">IF(AND(SUMIF(Capacity_Resource,$D15,'Critical resources (hide)'!AQ$6:AQ$105)+SUMIF(Capacity_Resource,$E15,'Critical resources (hide)'!AQ$6:AQ$105)+SUMIF(Capacity_Resource,$F15,'Critical resources (hide)'!AQ$6:AQ$105)&gt;0,$E$1=2),0,1)</f>
        <v>1</v>
      </c>
      <c r="AE15" s="68">
        <f ca="1">IF(AND(SUMIF(Capacity_Resource,$D15,'Critical resources (hide)'!AR$6:AR$105)+SUMIF(Capacity_Resource,$E15,'Critical resources (hide)'!AR$6:AR$105)+SUMIF(Capacity_Resource,$F15,'Critical resources (hide)'!AR$6:AR$105)&gt;0,$E$1=2),0,1)</f>
        <v>1</v>
      </c>
      <c r="AF15" s="68">
        <f ca="1">IF(AND(SUMIF(Capacity_Resource,$D15,'Critical resources (hide)'!AS$6:AS$105)+SUMIF(Capacity_Resource,$E15,'Critical resources (hide)'!AS$6:AS$105)+SUMIF(Capacity_Resource,$F15,'Critical resources (hide)'!AS$6:AS$105)&gt;0,$E$1=2),0,1)</f>
        <v>1</v>
      </c>
      <c r="AG15" s="68">
        <f ca="1">IF(AND(SUMIF(Capacity_Resource,$D15,'Critical resources (hide)'!AT$6:AT$105)+SUMIF(Capacity_Resource,$E15,'Critical resources (hide)'!AT$6:AT$105)+SUMIF(Capacity_Resource,$F15,'Critical resources (hide)'!AT$6:AT$105)&gt;0,$E$1=2),0,1)</f>
        <v>1</v>
      </c>
      <c r="AH15" s="68">
        <f ca="1">IF(AND(SUMIF(Capacity_Resource,$D15,'Critical resources (hide)'!AU$6:AU$105)+SUMIF(Capacity_Resource,$E15,'Critical resources (hide)'!AU$6:AU$105)+SUMIF(Capacity_Resource,$F15,'Critical resources (hide)'!AU$6:AU$105)&gt;0,$E$1=2),0,1)</f>
        <v>1</v>
      </c>
      <c r="AI15" s="68">
        <f ca="1">IF(AND(SUMIF(Capacity_Resource,$D15,'Critical resources (hide)'!AV$6:AV$105)+SUMIF(Capacity_Resource,$E15,'Critical resources (hide)'!AV$6:AV$105)+SUMIF(Capacity_Resource,$F15,'Critical resources (hide)'!AV$6:AV$105)&gt;0,$E$1=2),0,1)</f>
        <v>1</v>
      </c>
      <c r="AJ15" s="68">
        <f ca="1">IF(AND(SUMIF(Capacity_Resource,$D15,'Critical resources (hide)'!AW$6:AW$105)+SUMIF(Capacity_Resource,$E15,'Critical resources (hide)'!AW$6:AW$105)+SUMIF(Capacity_Resource,$F15,'Critical resources (hide)'!AW$6:AW$105)&gt;0,$E$1=2),0,1)</f>
        <v>1</v>
      </c>
      <c r="AK15" s="68">
        <f ca="1">IF(AND(SUMIF(Capacity_Resource,$D15,'Critical resources (hide)'!AX$6:AX$105)+SUMIF(Capacity_Resource,$E15,'Critical resources (hide)'!AX$6:AX$105)+SUMIF(Capacity_Resource,$F15,'Critical resources (hide)'!AX$6:AX$105)&gt;0,$E$1=2),0,1)</f>
        <v>1</v>
      </c>
      <c r="AL15" s="68">
        <f ca="1">IF(AND(SUMIF(Capacity_Resource,$D15,'Critical resources (hide)'!AY$6:AY$105)+SUMIF(Capacity_Resource,$E15,'Critical resources (hide)'!AY$6:AY$105)+SUMIF(Capacity_Resource,$F15,'Critical resources (hide)'!AY$6:AY$105)&gt;0,$E$1=2),0,1)</f>
        <v>1</v>
      </c>
      <c r="AM15" s="68">
        <f ca="1">IF(AND(SUMIF(Capacity_Resource,$D15,'Critical resources (hide)'!AZ$6:AZ$105)+SUMIF(Capacity_Resource,$E15,'Critical resources (hide)'!AZ$6:AZ$105)+SUMIF(Capacity_Resource,$F15,'Critical resources (hide)'!AZ$6:AZ$105)&gt;0,$E$1=2),0,1)</f>
        <v>1</v>
      </c>
      <c r="AN15" s="68">
        <f ca="1">IF(AND(SUMIF(Capacity_Resource,$D15,'Critical resources (hide)'!BA$6:BA$105)+SUMIF(Capacity_Resource,$E15,'Critical resources (hide)'!BA$6:BA$105)+SUMIF(Capacity_Resource,$F15,'Critical resources (hide)'!BA$6:BA$105)&gt;0,$E$1=2),0,1)</f>
        <v>1</v>
      </c>
      <c r="AO15" s="68">
        <f ca="1">IF(AND(SUMIF(Capacity_Resource,$D15,'Critical resources (hide)'!BB$6:BB$105)+SUMIF(Capacity_Resource,$E15,'Critical resources (hide)'!BB$6:BB$105)+SUMIF(Capacity_Resource,$F15,'Critical resources (hide)'!BB$6:BB$105)&gt;0,$E$1=2),0,1)</f>
        <v>1</v>
      </c>
      <c r="AP15" s="68">
        <f ca="1">IF(AND(SUMIF(Capacity_Resource,$D15,'Critical resources (hide)'!BC$6:BC$105)+SUMIF(Capacity_Resource,$E15,'Critical resources (hide)'!BC$6:BC$105)+SUMIF(Capacity_Resource,$F15,'Critical resources (hide)'!BC$6:BC$105)&gt;0,$E$1=2),0,1)</f>
        <v>1</v>
      </c>
      <c r="AQ15" s="68">
        <f ca="1">IF(AND(SUMIF(Capacity_Resource,$D15,'Critical resources (hide)'!BD$6:BD$105)+SUMIF(Capacity_Resource,$E15,'Critical resources (hide)'!BD$6:BD$105)+SUMIF(Capacity_Resource,$F15,'Critical resources (hide)'!BD$6:BD$105)&gt;0,$E$1=2),0,1)</f>
        <v>1</v>
      </c>
      <c r="AR15" s="68">
        <f ca="1">IF(AND(SUMIF(Capacity_Resource,$D15,'Critical resources (hide)'!BE$6:BE$105)+SUMIF(Capacity_Resource,$E15,'Critical resources (hide)'!BE$6:BE$105)+SUMIF(Capacity_Resource,$F15,'Critical resources (hide)'!BE$6:BE$105)&gt;0,$E$1=2),0,1)</f>
        <v>1</v>
      </c>
      <c r="AS15" s="68">
        <f ca="1">IF(AND(SUMIF(Capacity_Resource,$D15,'Critical resources (hide)'!BF$6:BF$105)+SUMIF(Capacity_Resource,$E15,'Critical resources (hide)'!BF$6:BF$105)+SUMIF(Capacity_Resource,$F15,'Critical resources (hide)'!BF$6:BF$105)&gt;0,$E$1=2),0,1)</f>
        <v>1</v>
      </c>
      <c r="AT15" s="68">
        <f ca="1">IF(AND(SUMIF(Capacity_Resource,$D15,'Critical resources (hide)'!BG$6:BG$105)+SUMIF(Capacity_Resource,$E15,'Critical resources (hide)'!BG$6:BG$105)+SUMIF(Capacity_Resource,$F15,'Critical resources (hide)'!BG$6:BG$105)&gt;0,$E$1=2),0,1)</f>
        <v>1</v>
      </c>
      <c r="AU15" s="68">
        <f ca="1">IF(AND(SUMIF(Capacity_Resource,$D15,'Critical resources (hide)'!BH$6:BH$105)+SUMIF(Capacity_Resource,$E15,'Critical resources (hide)'!BH$6:BH$105)+SUMIF(Capacity_Resource,$F15,'Critical resources (hide)'!BH$6:BH$105)&gt;0,$E$1=2),0,1)</f>
        <v>1</v>
      </c>
      <c r="AV15" s="68">
        <f ca="1">IF(AND(SUMIF(Capacity_Resource,$D15,'Critical resources (hide)'!BI$6:BI$105)+SUMIF(Capacity_Resource,$E15,'Critical resources (hide)'!BI$6:BI$105)+SUMIF(Capacity_Resource,$F15,'Critical resources (hide)'!BI$6:BI$105)&gt;0,$E$1=2),0,1)</f>
        <v>1</v>
      </c>
      <c r="AW15" s="68">
        <f ca="1">IF(AND(SUMIF(Capacity_Resource,$D15,'Critical resources (hide)'!BJ$6:BJ$105)+SUMIF(Capacity_Resource,$E15,'Critical resources (hide)'!BJ$6:BJ$105)+SUMIF(Capacity_Resource,$F15,'Critical resources (hide)'!BJ$6:BJ$105)&gt;0,$E$1=2),0,1)</f>
        <v>1</v>
      </c>
      <c r="AX15" s="68">
        <f ca="1">IF(AND(SUMIF(Capacity_Resource,$D15,'Critical resources (hide)'!BK$6:BK$105)+SUMIF(Capacity_Resource,$E15,'Critical resources (hide)'!BK$6:BK$105)+SUMIF(Capacity_Resource,$F15,'Critical resources (hide)'!BK$6:BK$105)&gt;0,$E$1=2),0,1)</f>
        <v>1</v>
      </c>
      <c r="AY15" s="68">
        <f ca="1">IF(AND(SUMIF(Capacity_Resource,$D15,'Critical resources (hide)'!BL$6:BL$105)+SUMIF(Capacity_Resource,$E15,'Critical resources (hide)'!BL$6:BL$105)+SUMIF(Capacity_Resource,$F15,'Critical resources (hide)'!BL$6:BL$105)&gt;0,$E$1=2),0,1)</f>
        <v>1</v>
      </c>
      <c r="AZ15" s="68">
        <f ca="1">IF(AND(SUMIF(Capacity_Resource,$D15,'Critical resources (hide)'!BM$6:BM$105)+SUMIF(Capacity_Resource,$E15,'Critical resources (hide)'!BM$6:BM$105)+SUMIF(Capacity_Resource,$F15,'Critical resources (hide)'!BM$6:BM$105)&gt;0,$E$1=2),0,1)</f>
        <v>1</v>
      </c>
      <c r="BA15" s="68">
        <f ca="1">IF(AND(SUMIF(Capacity_Resource,$D15,'Critical resources (hide)'!BN$6:BN$105)+SUMIF(Capacity_Resource,$E15,'Critical resources (hide)'!BN$6:BN$105)+SUMIF(Capacity_Resource,$F15,'Critical resources (hide)'!BN$6:BN$105)&gt;0,$E$1=2),0,1)</f>
        <v>1</v>
      </c>
      <c r="BB15" s="68">
        <f ca="1">IF(AND(SUMIF(Capacity_Resource,$D15,'Critical resources (hide)'!BO$6:BO$105)+SUMIF(Capacity_Resource,$E15,'Critical resources (hide)'!BO$6:BO$105)+SUMIF(Capacity_Resource,$F15,'Critical resources (hide)'!BO$6:BO$105)&gt;0,$E$1=2),0,1)</f>
        <v>1</v>
      </c>
      <c r="BC15" s="68">
        <f ca="1">IF(AND(SUMIF(Capacity_Resource,$D15,'Critical resources (hide)'!BP$6:BP$105)+SUMIF(Capacity_Resource,$E15,'Critical resources (hide)'!BP$6:BP$105)+SUMIF(Capacity_Resource,$F15,'Critical resources (hide)'!BP$6:BP$105)&gt;0,$E$1=2),0,1)</f>
        <v>1</v>
      </c>
      <c r="BD15" s="68">
        <f ca="1">IF(AND(SUMIF(Capacity_Resource,$D15,'Critical resources (hide)'!BQ$6:BQ$105)+SUMIF(Capacity_Resource,$E15,'Critical resources (hide)'!BQ$6:BQ$105)+SUMIF(Capacity_Resource,$F15,'Critical resources (hide)'!BQ$6:BQ$105)&gt;0,$E$1=2),0,1)</f>
        <v>1</v>
      </c>
      <c r="BE15" s="68">
        <f ca="1">IF(AND(SUMIF(Capacity_Resource,$D15,'Critical resources (hide)'!BR$6:BR$105)+SUMIF(Capacity_Resource,$E15,'Critical resources (hide)'!BR$6:BR$105)+SUMIF(Capacity_Resource,$F15,'Critical resources (hide)'!BR$6:BR$105)&gt;0,$E$1=2),0,1)</f>
        <v>1</v>
      </c>
      <c r="BF15" s="68">
        <f ca="1">IF(AND(SUMIF(Capacity_Resource,$D15,'Critical resources (hide)'!BS$6:BS$105)+SUMIF(Capacity_Resource,$E15,'Critical resources (hide)'!BS$6:BS$105)+SUMIF(Capacity_Resource,$F15,'Critical resources (hide)'!BS$6:BS$105)&gt;0,$E$1=2),0,1)</f>
        <v>1</v>
      </c>
      <c r="BG15" s="68">
        <f ca="1">IF(AND(SUMIF(Capacity_Resource,$D15,'Critical resources (hide)'!BT$6:BT$105)+SUMIF(Capacity_Resource,$E15,'Critical resources (hide)'!BT$6:BT$105)+SUMIF(Capacity_Resource,$F15,'Critical resources (hide)'!BT$6:BT$105)&gt;0,$E$1=2),0,1)</f>
        <v>1</v>
      </c>
      <c r="BH15" s="68">
        <f>IF(ROW(C11)&lt;=Capacity!$A$16,IF('Capacity summary'!$D$14="No",SUM(H15:BG15),'Capacity summary'!$E134),0)</f>
        <v>0</v>
      </c>
      <c r="BI15" s="5" t="str">
        <f>IF(BH15&gt;0,IF(BH15&lt;Capacity!E27,Capacity!F27,Capacity!H27/'Capacity calculation (hide)'!BH15),"")</f>
        <v/>
      </c>
      <c r="BK15" s="319">
        <f>IF($BI15&lt;&gt;"",IF('Capacity summary'!$D$14="Yes",IF(COUNTBLANK('Capacity summary'!$H134:$BG134)&lt;52,IF('Capacity summary'!H134&lt;&gt;"",$BI15*H15,0),H15*$BI15),H15*$BI15),0)</f>
        <v>0</v>
      </c>
      <c r="BL15" s="319">
        <f>IF($BI15&lt;&gt;"",IF('Capacity summary'!$D$14="Yes",IF(COUNTBLANK('Capacity summary'!$H134:$BG134)&lt;52,IF('Capacity summary'!I134&lt;&gt;"",$BI15*I15,0),I15*$BI15),I15*$BI15),0)</f>
        <v>0</v>
      </c>
      <c r="BM15" s="319">
        <f>IF($BI15&lt;&gt;"",IF('Capacity summary'!$D$14="Yes",IF(COUNTBLANK('Capacity summary'!$H134:$BG134)&lt;52,IF('Capacity summary'!J134&lt;&gt;"",$BI15*J15,0),J15*$BI15),J15*$BI15),0)</f>
        <v>0</v>
      </c>
      <c r="BN15" s="319">
        <f>IF($BI15&lt;&gt;"",IF('Capacity summary'!$D$14="Yes",IF(COUNTBLANK('Capacity summary'!$H134:$BG134)&lt;52,IF('Capacity summary'!K134&lt;&gt;"",$BI15*K15,0),K15*$BI15),K15*$BI15),0)</f>
        <v>0</v>
      </c>
      <c r="BO15" s="319">
        <f>IF($BI15&lt;&gt;"",IF('Capacity summary'!$D$14="Yes",IF(COUNTBLANK('Capacity summary'!$H134:$BG134)&lt;52,IF('Capacity summary'!L134&lt;&gt;"",$BI15*L15,0),L15*$BI15),L15*$BI15),0)</f>
        <v>0</v>
      </c>
      <c r="BP15" s="319">
        <f>IF($BI15&lt;&gt;"",IF('Capacity summary'!$D$14="Yes",IF(COUNTBLANK('Capacity summary'!$H134:$BG134)&lt;52,IF('Capacity summary'!M134&lt;&gt;"",$BI15*M15,0),M15*$BI15),M15*$BI15),0)</f>
        <v>0</v>
      </c>
      <c r="BQ15" s="319">
        <f>IF($BI15&lt;&gt;"",IF('Capacity summary'!$D$14="Yes",IF(COUNTBLANK('Capacity summary'!$H134:$BG134)&lt;52,IF('Capacity summary'!N134&lt;&gt;"",$BI15*N15,0),N15*$BI15),N15*$BI15),0)</f>
        <v>0</v>
      </c>
      <c r="BR15" s="319">
        <f>IF($BI15&lt;&gt;"",IF('Capacity summary'!$D$14="Yes",IF(COUNTBLANK('Capacity summary'!$H134:$BG134)&lt;52,IF('Capacity summary'!O134&lt;&gt;"",$BI15*O15,0),O15*$BI15),O15*$BI15),0)</f>
        <v>0</v>
      </c>
      <c r="BS15" s="319">
        <f>IF($BI15&lt;&gt;"",IF('Capacity summary'!$D$14="Yes",IF(COUNTBLANK('Capacity summary'!$H134:$BG134)&lt;52,IF('Capacity summary'!P134&lt;&gt;"",$BI15*P15,0),P15*$BI15),P15*$BI15),0)</f>
        <v>0</v>
      </c>
      <c r="BT15" s="319">
        <f>IF($BI15&lt;&gt;"",IF('Capacity summary'!$D$14="Yes",IF(COUNTBLANK('Capacity summary'!$H134:$BG134)&lt;52,IF('Capacity summary'!Q134&lt;&gt;"",$BI15*Q15,0),Q15*$BI15),Q15*$BI15),0)</f>
        <v>0</v>
      </c>
      <c r="BU15" s="319">
        <f>IF($BI15&lt;&gt;"",IF('Capacity summary'!$D$14="Yes",IF(COUNTBLANK('Capacity summary'!$H134:$BG134)&lt;52,IF('Capacity summary'!R134&lt;&gt;"",$BI15*R15,0),R15*$BI15),R15*$BI15),0)</f>
        <v>0</v>
      </c>
      <c r="BV15" s="319">
        <f>IF($BI15&lt;&gt;"",IF('Capacity summary'!$D$14="Yes",IF(COUNTBLANK('Capacity summary'!$H134:$BG134)&lt;52,IF('Capacity summary'!S134&lt;&gt;"",$BI15*S15,0),S15*$BI15),S15*$BI15),0)</f>
        <v>0</v>
      </c>
      <c r="BW15" s="319">
        <f>IF($BI15&lt;&gt;"",IF('Capacity summary'!$D$14="Yes",IF(COUNTBLANK('Capacity summary'!$H134:$BG134)&lt;52,IF('Capacity summary'!T134&lt;&gt;"",$BI15*T15,0),T15*$BI15),T15*$BI15),0)</f>
        <v>0</v>
      </c>
      <c r="BX15" s="319">
        <f>IF($BI15&lt;&gt;"",IF('Capacity summary'!$D$14="Yes",IF(COUNTBLANK('Capacity summary'!$H134:$BG134)&lt;52,IF('Capacity summary'!U134&lt;&gt;"",$BI15*U15,0),U15*$BI15),U15*$BI15),0)</f>
        <v>0</v>
      </c>
      <c r="BY15" s="319">
        <f>IF($BI15&lt;&gt;"",IF('Capacity summary'!$D$14="Yes",IF(COUNTBLANK('Capacity summary'!$H134:$BG134)&lt;52,IF('Capacity summary'!V134&lt;&gt;"",$BI15*V15,0),V15*$BI15),V15*$BI15),0)</f>
        <v>0</v>
      </c>
      <c r="BZ15" s="319">
        <f>IF($BI15&lt;&gt;"",IF('Capacity summary'!$D$14="Yes",IF(COUNTBLANK('Capacity summary'!$H134:$BG134)&lt;52,IF('Capacity summary'!W134&lt;&gt;"",$BI15*W15,0),W15*$BI15),W15*$BI15),0)</f>
        <v>0</v>
      </c>
      <c r="CA15" s="319">
        <f>IF($BI15&lt;&gt;"",IF('Capacity summary'!$D$14="Yes",IF(COUNTBLANK('Capacity summary'!$H134:$BG134)&lt;52,IF('Capacity summary'!X134&lt;&gt;"",$BI15*X15,0),X15*$BI15),X15*$BI15),0)</f>
        <v>0</v>
      </c>
      <c r="CB15" s="319">
        <f>IF($BI15&lt;&gt;"",IF('Capacity summary'!$D$14="Yes",IF(COUNTBLANK('Capacity summary'!$H134:$BG134)&lt;52,IF('Capacity summary'!Y134&lt;&gt;"",$BI15*Y15,0),Y15*$BI15),Y15*$BI15),0)</f>
        <v>0</v>
      </c>
      <c r="CC15" s="319">
        <f>IF($BI15&lt;&gt;"",IF('Capacity summary'!$D$14="Yes",IF(COUNTBLANK('Capacity summary'!$H134:$BG134)&lt;52,IF('Capacity summary'!Z134&lt;&gt;"",$BI15*Z15,0),Z15*$BI15),Z15*$BI15),0)</f>
        <v>0</v>
      </c>
      <c r="CD15" s="319">
        <f>IF($BI15&lt;&gt;"",IF('Capacity summary'!$D$14="Yes",IF(COUNTBLANK('Capacity summary'!$H134:$BG134)&lt;52,IF('Capacity summary'!AA134&lt;&gt;"",$BI15*AA15,0),AA15*$BI15),AA15*$BI15),0)</f>
        <v>0</v>
      </c>
      <c r="CE15" s="319">
        <f>IF($BI15&lt;&gt;"",IF('Capacity summary'!$D$14="Yes",IF(COUNTBLANK('Capacity summary'!$H134:$BG134)&lt;52,IF('Capacity summary'!AB134&lt;&gt;"",$BI15*AB15,0),AB15*$BI15),AB15*$BI15),0)</f>
        <v>0</v>
      </c>
      <c r="CF15" s="319">
        <f>IF($BI15&lt;&gt;"",IF('Capacity summary'!$D$14="Yes",IF(COUNTBLANK('Capacity summary'!$H134:$BG134)&lt;52,IF('Capacity summary'!AC134&lt;&gt;"",$BI15*AC15,0),AC15*$BI15),AC15*$BI15),0)</f>
        <v>0</v>
      </c>
      <c r="CG15" s="319">
        <f>IF($BI15&lt;&gt;"",IF('Capacity summary'!$D$14="Yes",IF(COUNTBLANK('Capacity summary'!$H134:$BG134)&lt;52,IF('Capacity summary'!AD134&lt;&gt;"",$BI15*AD15,0),AD15*$BI15),AD15*$BI15),0)</f>
        <v>0</v>
      </c>
      <c r="CH15" s="319">
        <f>IF($BI15&lt;&gt;"",IF('Capacity summary'!$D$14="Yes",IF(COUNTBLANK('Capacity summary'!$H134:$BG134)&lt;52,IF('Capacity summary'!AE134&lt;&gt;"",$BI15*AE15,0),AE15*$BI15),AE15*$BI15),0)</f>
        <v>0</v>
      </c>
      <c r="CI15" s="319">
        <f>IF($BI15&lt;&gt;"",IF('Capacity summary'!$D$14="Yes",IF(COUNTBLANK('Capacity summary'!$H134:$BG134)&lt;52,IF('Capacity summary'!AF134&lt;&gt;"",$BI15*AF15,0),AF15*$BI15),AF15*$BI15),0)</f>
        <v>0</v>
      </c>
      <c r="CJ15" s="319">
        <f>IF($BI15&lt;&gt;"",IF('Capacity summary'!$D$14="Yes",IF(COUNTBLANK('Capacity summary'!$H134:$BG134)&lt;52,IF('Capacity summary'!AG134&lt;&gt;"",$BI15*AG15,0),AG15*$BI15),AG15*$BI15),0)</f>
        <v>0</v>
      </c>
      <c r="CK15" s="319">
        <f>IF($BI15&lt;&gt;"",IF('Capacity summary'!$D$14="Yes",IF(COUNTBLANK('Capacity summary'!$H134:$BG134)&lt;52,IF('Capacity summary'!AH134&lt;&gt;"",$BI15*AH15,0),AH15*$BI15),AH15*$BI15),0)</f>
        <v>0</v>
      </c>
      <c r="CL15" s="319">
        <f>IF($BI15&lt;&gt;"",IF('Capacity summary'!$D$14="Yes",IF(COUNTBLANK('Capacity summary'!$H134:$BG134)&lt;52,IF('Capacity summary'!AI134&lt;&gt;"",$BI15*AI15,0),AI15*$BI15),AI15*$BI15),0)</f>
        <v>0</v>
      </c>
      <c r="CM15" s="319">
        <f>IF($BI15&lt;&gt;"",IF('Capacity summary'!$D$14="Yes",IF(COUNTBLANK('Capacity summary'!$H134:$BG134)&lt;52,IF('Capacity summary'!AJ134&lt;&gt;"",$BI15*AJ15,0),AJ15*$BI15),AJ15*$BI15),0)</f>
        <v>0</v>
      </c>
      <c r="CN15" s="319">
        <f>IF($BI15&lt;&gt;"",IF('Capacity summary'!$D$14="Yes",IF(COUNTBLANK('Capacity summary'!$H134:$BG134)&lt;52,IF('Capacity summary'!AK134&lt;&gt;"",$BI15*AK15,0),AK15*$BI15),AK15*$BI15),0)</f>
        <v>0</v>
      </c>
      <c r="CO15" s="319">
        <f>IF($BI15&lt;&gt;"",IF('Capacity summary'!$D$14="Yes",IF(COUNTBLANK('Capacity summary'!$H134:$BG134)&lt;52,IF('Capacity summary'!AL134&lt;&gt;"",$BI15*AL15,0),AL15*$BI15),AL15*$BI15),0)</f>
        <v>0</v>
      </c>
      <c r="CP15" s="319">
        <f>IF($BI15&lt;&gt;"",IF('Capacity summary'!$D$14="Yes",IF(COUNTBLANK('Capacity summary'!$H134:$BG134)&lt;52,IF('Capacity summary'!AM134&lt;&gt;"",$BI15*AM15,0),AM15*$BI15),AM15*$BI15),0)</f>
        <v>0</v>
      </c>
      <c r="CQ15" s="319">
        <f>IF($BI15&lt;&gt;"",IF('Capacity summary'!$D$14="Yes",IF(COUNTBLANK('Capacity summary'!$H134:$BG134)&lt;52,IF('Capacity summary'!AN134&lt;&gt;"",$BI15*AN15,0),AN15*$BI15),AN15*$BI15),0)</f>
        <v>0</v>
      </c>
      <c r="CR15" s="319">
        <f>IF($BI15&lt;&gt;"",IF('Capacity summary'!$D$14="Yes",IF(COUNTBLANK('Capacity summary'!$H134:$BG134)&lt;52,IF('Capacity summary'!AO134&lt;&gt;"",$BI15*AO15,0),AO15*$BI15),AO15*$BI15),0)</f>
        <v>0</v>
      </c>
      <c r="CS15" s="319">
        <f>IF($BI15&lt;&gt;"",IF('Capacity summary'!$D$14="Yes",IF(COUNTBLANK('Capacity summary'!$H134:$BG134)&lt;52,IF('Capacity summary'!AP134&lt;&gt;"",$BI15*AP15,0),AP15*$BI15),AP15*$BI15),0)</f>
        <v>0</v>
      </c>
      <c r="CT15" s="319">
        <f>IF($BI15&lt;&gt;"",IF('Capacity summary'!$D$14="Yes",IF(COUNTBLANK('Capacity summary'!$H134:$BG134)&lt;52,IF('Capacity summary'!AQ134&lt;&gt;"",$BI15*AQ15,0),AQ15*$BI15),AQ15*$BI15),0)</f>
        <v>0</v>
      </c>
      <c r="CU15" s="319">
        <f>IF($BI15&lt;&gt;"",IF('Capacity summary'!$D$14="Yes",IF(COUNTBLANK('Capacity summary'!$H134:$BG134)&lt;52,IF('Capacity summary'!AR134&lt;&gt;"",$BI15*AR15,0),AR15*$BI15),AR15*$BI15),0)</f>
        <v>0</v>
      </c>
      <c r="CV15" s="319">
        <f>IF($BI15&lt;&gt;"",IF('Capacity summary'!$D$14="Yes",IF(COUNTBLANK('Capacity summary'!$H134:$BG134)&lt;52,IF('Capacity summary'!AS134&lt;&gt;"",$BI15*AS15,0),AS15*$BI15),AS15*$BI15),0)</f>
        <v>0</v>
      </c>
      <c r="CW15" s="319">
        <f>IF($BI15&lt;&gt;"",IF('Capacity summary'!$D$14="Yes",IF(COUNTBLANK('Capacity summary'!$H134:$BG134)&lt;52,IF('Capacity summary'!AT134&lt;&gt;"",$BI15*AT15,0),AT15*$BI15),AT15*$BI15),0)</f>
        <v>0</v>
      </c>
      <c r="CX15" s="319">
        <f>IF($BI15&lt;&gt;"",IF('Capacity summary'!$D$14="Yes",IF(COUNTBLANK('Capacity summary'!$H134:$BG134)&lt;52,IF('Capacity summary'!AU134&lt;&gt;"",$BI15*AU15,0),AU15*$BI15),AU15*$BI15),0)</f>
        <v>0</v>
      </c>
      <c r="CY15" s="319">
        <f>IF($BI15&lt;&gt;"",IF('Capacity summary'!$D$14="Yes",IF(COUNTBLANK('Capacity summary'!$H134:$BG134)&lt;52,IF('Capacity summary'!AV134&lt;&gt;"",$BI15*AV15,0),AV15*$BI15),AV15*$BI15),0)</f>
        <v>0</v>
      </c>
      <c r="CZ15" s="319">
        <f>IF($BI15&lt;&gt;"",IF('Capacity summary'!$D$14="Yes",IF(COUNTBLANK('Capacity summary'!$H134:$BG134)&lt;52,IF('Capacity summary'!AW134&lt;&gt;"",$BI15*AW15,0),AW15*$BI15),AW15*$BI15),0)</f>
        <v>0</v>
      </c>
      <c r="DA15" s="319">
        <f>IF($BI15&lt;&gt;"",IF('Capacity summary'!$D$14="Yes",IF(COUNTBLANK('Capacity summary'!$H134:$BG134)&lt;52,IF('Capacity summary'!AX134&lt;&gt;"",$BI15*AX15,0),AX15*$BI15),AX15*$BI15),0)</f>
        <v>0</v>
      </c>
      <c r="DB15" s="319">
        <f>IF($BI15&lt;&gt;"",IF('Capacity summary'!$D$14="Yes",IF(COUNTBLANK('Capacity summary'!$H134:$BG134)&lt;52,IF('Capacity summary'!AY134&lt;&gt;"",$BI15*AY15,0),AY15*$BI15),AY15*$BI15),0)</f>
        <v>0</v>
      </c>
      <c r="DC15" s="319">
        <f>IF($BI15&lt;&gt;"",IF('Capacity summary'!$D$14="Yes",IF(COUNTBLANK('Capacity summary'!$H134:$BG134)&lt;52,IF('Capacity summary'!AZ134&lt;&gt;"",$BI15*AZ15,0),AZ15*$BI15),AZ15*$BI15),0)</f>
        <v>0</v>
      </c>
      <c r="DD15" s="319">
        <f>IF($BI15&lt;&gt;"",IF('Capacity summary'!$D$14="Yes",IF(COUNTBLANK('Capacity summary'!$H134:$BG134)&lt;52,IF('Capacity summary'!BA134&lt;&gt;"",$BI15*BA15,0),BA15*$BI15),BA15*$BI15),0)</f>
        <v>0</v>
      </c>
      <c r="DE15" s="319">
        <f>IF($BI15&lt;&gt;"",IF('Capacity summary'!$D$14="Yes",IF(COUNTBLANK('Capacity summary'!$H134:$BG134)&lt;52,IF('Capacity summary'!BB134&lt;&gt;"",$BI15*BB15,0),BB15*$BI15),BB15*$BI15),0)</f>
        <v>0</v>
      </c>
      <c r="DF15" s="319">
        <f>IF($BI15&lt;&gt;"",IF('Capacity summary'!$D$14="Yes",IF(COUNTBLANK('Capacity summary'!$H134:$BG134)&lt;52,IF('Capacity summary'!BC134&lt;&gt;"",$BI15*BC15,0),BC15*$BI15),BC15*$BI15),0)</f>
        <v>0</v>
      </c>
      <c r="DG15" s="319">
        <f>IF($BI15&lt;&gt;"",IF('Capacity summary'!$D$14="Yes",IF(COUNTBLANK('Capacity summary'!$H134:$BG134)&lt;52,IF('Capacity summary'!BD134&lt;&gt;"",$BI15*BD15,0),BD15*$BI15),BD15*$BI15),0)</f>
        <v>0</v>
      </c>
      <c r="DH15" s="319">
        <f>IF($BI15&lt;&gt;"",IF('Capacity summary'!$D$14="Yes",IF(COUNTBLANK('Capacity summary'!$H134:$BG134)&lt;52,IF('Capacity summary'!BE134&lt;&gt;"",$BI15*BE15,0),BE15*$BI15),BE15*$BI15),0)</f>
        <v>0</v>
      </c>
      <c r="DI15" s="319">
        <f>IF($BI15&lt;&gt;"",IF('Capacity summary'!$D$14="Yes",IF(COUNTBLANK('Capacity summary'!$H134:$BG134)&lt;52,IF('Capacity summary'!BF134&lt;&gt;"",$BI15*BF15,0),BF15*$BI15),BF15*$BI15),0)</f>
        <v>0</v>
      </c>
      <c r="DJ15" s="319">
        <f>IF($BI15&lt;&gt;"",IF('Capacity summary'!$D$14="Yes",IF(COUNTBLANK('Capacity summary'!$H134:$BG134)&lt;52,IF('Capacity summary'!BG134&lt;&gt;"",$BI15*BG15,0),BG15*$BI15),BG15*$BI15),0)</f>
        <v>0</v>
      </c>
      <c r="DK15" s="5">
        <f t="shared" si="2"/>
        <v>0</v>
      </c>
      <c r="DL15" s="5" t="str">
        <f>Capacity!H27</f>
        <v/>
      </c>
      <c r="DP15" s="5"/>
    </row>
    <row r="16" spans="2:120" x14ac:dyDescent="0.2">
      <c r="B16" s="68"/>
      <c r="C16" s="68" t="str">
        <f>ROW(A12)&amp;". "&amp;Capacity!B28</f>
        <v xml:space="preserve">12. </v>
      </c>
      <c r="D16" s="68">
        <f>'Capacity setup'!C23</f>
        <v>0</v>
      </c>
      <c r="E16" s="68">
        <f>'Capacity setup'!D23</f>
        <v>0</v>
      </c>
      <c r="F16" s="68">
        <f>'Capacity setup'!E23</f>
        <v>0</v>
      </c>
      <c r="H16" s="68">
        <f ca="1">IF(AND(SUMIF(Capacity_Resource,$D16,'Critical resources (hide)'!U$6:U$105)+SUMIF(Capacity_Resource,$E16,'Critical resources (hide)'!U$6:U$105)+SUMIF(Capacity_Resource,$F16,'Critical resources (hide)'!U$6:U$105)&gt;0,$E$1=2),0,1)</f>
        <v>1</v>
      </c>
      <c r="I16" s="68">
        <f ca="1">IF(AND(SUMIF(Capacity_Resource,$D16,'Critical resources (hide)'!V$6:V$105)+SUMIF(Capacity_Resource,$E16,'Critical resources (hide)'!V$6:V$105)+SUMIF(Capacity_Resource,$F16,'Critical resources (hide)'!V$6:V$105)&gt;0,$E$1=2),0,1)</f>
        <v>1</v>
      </c>
      <c r="J16" s="68">
        <f ca="1">IF(AND(SUMIF(Capacity_Resource,$D16,'Critical resources (hide)'!W$6:W$105)+SUMIF(Capacity_Resource,$E16,'Critical resources (hide)'!W$6:W$105)+SUMIF(Capacity_Resource,$F16,'Critical resources (hide)'!W$6:W$105)&gt;0,$E$1=2),0,1)</f>
        <v>1</v>
      </c>
      <c r="K16" s="68">
        <f ca="1">IF(AND(SUMIF(Capacity_Resource,$D16,'Critical resources (hide)'!X$6:X$105)+SUMIF(Capacity_Resource,$E16,'Critical resources (hide)'!X$6:X$105)+SUMIF(Capacity_Resource,$F16,'Critical resources (hide)'!X$6:X$105)&gt;0,$E$1=2),0,1)</f>
        <v>1</v>
      </c>
      <c r="L16" s="68">
        <f ca="1">IF(AND(SUMIF(Capacity_Resource,$D16,'Critical resources (hide)'!Y$6:Y$105)+SUMIF(Capacity_Resource,$E16,'Critical resources (hide)'!Y$6:Y$105)+SUMIF(Capacity_Resource,$F16,'Critical resources (hide)'!Y$6:Y$105)&gt;0,$E$1=2),0,1)</f>
        <v>1</v>
      </c>
      <c r="M16" s="68">
        <f ca="1">IF(AND(SUMIF(Capacity_Resource,$D16,'Critical resources (hide)'!Z$6:Z$105)+SUMIF(Capacity_Resource,$E16,'Critical resources (hide)'!Z$6:Z$105)+SUMIF(Capacity_Resource,$F16,'Critical resources (hide)'!Z$6:Z$105)&gt;0,$E$1=2),0,1)</f>
        <v>1</v>
      </c>
      <c r="N16" s="68">
        <f ca="1">IF(AND(SUMIF(Capacity_Resource,$D16,'Critical resources (hide)'!AA$6:AA$105)+SUMIF(Capacity_Resource,$E16,'Critical resources (hide)'!AA$6:AA$105)+SUMIF(Capacity_Resource,$F16,'Critical resources (hide)'!AA$6:AA$105)&gt;0,$E$1=2),0,1)</f>
        <v>1</v>
      </c>
      <c r="O16" s="68">
        <f ca="1">IF(AND(SUMIF(Capacity_Resource,$D16,'Critical resources (hide)'!AB$6:AB$105)+SUMIF(Capacity_Resource,$E16,'Critical resources (hide)'!AB$6:AB$105)+SUMIF(Capacity_Resource,$F16,'Critical resources (hide)'!AB$6:AB$105)&gt;0,$E$1=2),0,1)</f>
        <v>1</v>
      </c>
      <c r="P16" s="68">
        <f ca="1">IF(AND(SUMIF(Capacity_Resource,$D16,'Critical resources (hide)'!AC$6:AC$105)+SUMIF(Capacity_Resource,$E16,'Critical resources (hide)'!AC$6:AC$105)+SUMIF(Capacity_Resource,$F16,'Critical resources (hide)'!AC$6:AC$105)&gt;0,$E$1=2),0,1)</f>
        <v>1</v>
      </c>
      <c r="Q16" s="68">
        <f ca="1">IF(AND(SUMIF(Capacity_Resource,$D16,'Critical resources (hide)'!AD$6:AD$105)+SUMIF(Capacity_Resource,$E16,'Critical resources (hide)'!AD$6:AD$105)+SUMIF(Capacity_Resource,$F16,'Critical resources (hide)'!AD$6:AD$105)&gt;0,$E$1=2),0,1)</f>
        <v>1</v>
      </c>
      <c r="R16" s="68">
        <f ca="1">IF(AND(SUMIF(Capacity_Resource,$D16,'Critical resources (hide)'!AE$6:AE$105)+SUMIF(Capacity_Resource,$E16,'Critical resources (hide)'!AE$6:AE$105)+SUMIF(Capacity_Resource,$F16,'Critical resources (hide)'!AE$6:AE$105)&gt;0,$E$1=2),0,1)</f>
        <v>1</v>
      </c>
      <c r="S16" s="68">
        <f ca="1">IF(AND(SUMIF(Capacity_Resource,$D16,'Critical resources (hide)'!AF$6:AF$105)+SUMIF(Capacity_Resource,$E16,'Critical resources (hide)'!AF$6:AF$105)+SUMIF(Capacity_Resource,$F16,'Critical resources (hide)'!AF$6:AF$105)&gt;0,$E$1=2),0,1)</f>
        <v>1</v>
      </c>
      <c r="T16" s="68">
        <f ca="1">IF(AND(SUMIF(Capacity_Resource,$D16,'Critical resources (hide)'!AG$6:AG$105)+SUMIF(Capacity_Resource,$E16,'Critical resources (hide)'!AG$6:AG$105)+SUMIF(Capacity_Resource,$F16,'Critical resources (hide)'!AG$6:AG$105)&gt;0,$E$1=2),0,1)</f>
        <v>1</v>
      </c>
      <c r="U16" s="68">
        <f ca="1">IF(AND(SUMIF(Capacity_Resource,$D16,'Critical resources (hide)'!AH$6:AH$105)+SUMIF(Capacity_Resource,$E16,'Critical resources (hide)'!AH$6:AH$105)+SUMIF(Capacity_Resource,$F16,'Critical resources (hide)'!AH$6:AH$105)&gt;0,$E$1=2),0,1)</f>
        <v>1</v>
      </c>
      <c r="V16" s="68">
        <f ca="1">IF(AND(SUMIF(Capacity_Resource,$D16,'Critical resources (hide)'!AI$6:AI$105)+SUMIF(Capacity_Resource,$E16,'Critical resources (hide)'!AI$6:AI$105)+SUMIF(Capacity_Resource,$F16,'Critical resources (hide)'!AI$6:AI$105)&gt;0,$E$1=2),0,1)</f>
        <v>1</v>
      </c>
      <c r="W16" s="68">
        <f ca="1">IF(AND(SUMIF(Capacity_Resource,$D16,'Critical resources (hide)'!AJ$6:AJ$105)+SUMIF(Capacity_Resource,$E16,'Critical resources (hide)'!AJ$6:AJ$105)+SUMIF(Capacity_Resource,$F16,'Critical resources (hide)'!AJ$6:AJ$105)&gt;0,$E$1=2),0,1)</f>
        <v>1</v>
      </c>
      <c r="X16" s="68">
        <f ca="1">IF(AND(SUMIF(Capacity_Resource,$D16,'Critical resources (hide)'!AK$6:AK$105)+SUMIF(Capacity_Resource,$E16,'Critical resources (hide)'!AK$6:AK$105)+SUMIF(Capacity_Resource,$F16,'Critical resources (hide)'!AK$6:AK$105)&gt;0,$E$1=2),0,1)</f>
        <v>1</v>
      </c>
      <c r="Y16" s="68">
        <f ca="1">IF(AND(SUMIF(Capacity_Resource,$D16,'Critical resources (hide)'!AL$6:AL$105)+SUMIF(Capacity_Resource,$E16,'Critical resources (hide)'!AL$6:AL$105)+SUMIF(Capacity_Resource,$F16,'Critical resources (hide)'!AL$6:AL$105)&gt;0,$E$1=2),0,1)</f>
        <v>1</v>
      </c>
      <c r="Z16" s="68">
        <f ca="1">IF(AND(SUMIF(Capacity_Resource,$D16,'Critical resources (hide)'!AM$6:AM$105)+SUMIF(Capacity_Resource,$E16,'Critical resources (hide)'!AM$6:AM$105)+SUMIF(Capacity_Resource,$F16,'Critical resources (hide)'!AM$6:AM$105)&gt;0,$E$1=2),0,1)</f>
        <v>1</v>
      </c>
      <c r="AA16" s="68">
        <f ca="1">IF(AND(SUMIF(Capacity_Resource,$D16,'Critical resources (hide)'!AN$6:AN$105)+SUMIF(Capacity_Resource,$E16,'Critical resources (hide)'!AN$6:AN$105)+SUMIF(Capacity_Resource,$F16,'Critical resources (hide)'!AN$6:AN$105)&gt;0,$E$1=2),0,1)</f>
        <v>1</v>
      </c>
      <c r="AB16" s="68">
        <f ca="1">IF(AND(SUMIF(Capacity_Resource,$D16,'Critical resources (hide)'!AO$6:AO$105)+SUMIF(Capacity_Resource,$E16,'Critical resources (hide)'!AO$6:AO$105)+SUMIF(Capacity_Resource,$F16,'Critical resources (hide)'!AO$6:AO$105)&gt;0,$E$1=2),0,1)</f>
        <v>1</v>
      </c>
      <c r="AC16" s="68">
        <f ca="1">IF(AND(SUMIF(Capacity_Resource,$D16,'Critical resources (hide)'!AP$6:AP$105)+SUMIF(Capacity_Resource,$E16,'Critical resources (hide)'!AP$6:AP$105)+SUMIF(Capacity_Resource,$F16,'Critical resources (hide)'!AP$6:AP$105)&gt;0,$E$1=2),0,1)</f>
        <v>1</v>
      </c>
      <c r="AD16" s="68">
        <f ca="1">IF(AND(SUMIF(Capacity_Resource,$D16,'Critical resources (hide)'!AQ$6:AQ$105)+SUMIF(Capacity_Resource,$E16,'Critical resources (hide)'!AQ$6:AQ$105)+SUMIF(Capacity_Resource,$F16,'Critical resources (hide)'!AQ$6:AQ$105)&gt;0,$E$1=2),0,1)</f>
        <v>1</v>
      </c>
      <c r="AE16" s="68">
        <f ca="1">IF(AND(SUMIF(Capacity_Resource,$D16,'Critical resources (hide)'!AR$6:AR$105)+SUMIF(Capacity_Resource,$E16,'Critical resources (hide)'!AR$6:AR$105)+SUMIF(Capacity_Resource,$F16,'Critical resources (hide)'!AR$6:AR$105)&gt;0,$E$1=2),0,1)</f>
        <v>1</v>
      </c>
      <c r="AF16" s="68">
        <f ca="1">IF(AND(SUMIF(Capacity_Resource,$D16,'Critical resources (hide)'!AS$6:AS$105)+SUMIF(Capacity_Resource,$E16,'Critical resources (hide)'!AS$6:AS$105)+SUMIF(Capacity_Resource,$F16,'Critical resources (hide)'!AS$6:AS$105)&gt;0,$E$1=2),0,1)</f>
        <v>1</v>
      </c>
      <c r="AG16" s="68">
        <f ca="1">IF(AND(SUMIF(Capacity_Resource,$D16,'Critical resources (hide)'!AT$6:AT$105)+SUMIF(Capacity_Resource,$E16,'Critical resources (hide)'!AT$6:AT$105)+SUMIF(Capacity_Resource,$F16,'Critical resources (hide)'!AT$6:AT$105)&gt;0,$E$1=2),0,1)</f>
        <v>1</v>
      </c>
      <c r="AH16" s="68">
        <f ca="1">IF(AND(SUMIF(Capacity_Resource,$D16,'Critical resources (hide)'!AU$6:AU$105)+SUMIF(Capacity_Resource,$E16,'Critical resources (hide)'!AU$6:AU$105)+SUMIF(Capacity_Resource,$F16,'Critical resources (hide)'!AU$6:AU$105)&gt;0,$E$1=2),0,1)</f>
        <v>1</v>
      </c>
      <c r="AI16" s="68">
        <f ca="1">IF(AND(SUMIF(Capacity_Resource,$D16,'Critical resources (hide)'!AV$6:AV$105)+SUMIF(Capacity_Resource,$E16,'Critical resources (hide)'!AV$6:AV$105)+SUMIF(Capacity_Resource,$F16,'Critical resources (hide)'!AV$6:AV$105)&gt;0,$E$1=2),0,1)</f>
        <v>1</v>
      </c>
      <c r="AJ16" s="68">
        <f ca="1">IF(AND(SUMIF(Capacity_Resource,$D16,'Critical resources (hide)'!AW$6:AW$105)+SUMIF(Capacity_Resource,$E16,'Critical resources (hide)'!AW$6:AW$105)+SUMIF(Capacity_Resource,$F16,'Critical resources (hide)'!AW$6:AW$105)&gt;0,$E$1=2),0,1)</f>
        <v>1</v>
      </c>
      <c r="AK16" s="68">
        <f ca="1">IF(AND(SUMIF(Capacity_Resource,$D16,'Critical resources (hide)'!AX$6:AX$105)+SUMIF(Capacity_Resource,$E16,'Critical resources (hide)'!AX$6:AX$105)+SUMIF(Capacity_Resource,$F16,'Critical resources (hide)'!AX$6:AX$105)&gt;0,$E$1=2),0,1)</f>
        <v>1</v>
      </c>
      <c r="AL16" s="68">
        <f ca="1">IF(AND(SUMIF(Capacity_Resource,$D16,'Critical resources (hide)'!AY$6:AY$105)+SUMIF(Capacity_Resource,$E16,'Critical resources (hide)'!AY$6:AY$105)+SUMIF(Capacity_Resource,$F16,'Critical resources (hide)'!AY$6:AY$105)&gt;0,$E$1=2),0,1)</f>
        <v>1</v>
      </c>
      <c r="AM16" s="68">
        <f ca="1">IF(AND(SUMIF(Capacity_Resource,$D16,'Critical resources (hide)'!AZ$6:AZ$105)+SUMIF(Capacity_Resource,$E16,'Critical resources (hide)'!AZ$6:AZ$105)+SUMIF(Capacity_Resource,$F16,'Critical resources (hide)'!AZ$6:AZ$105)&gt;0,$E$1=2),0,1)</f>
        <v>1</v>
      </c>
      <c r="AN16" s="68">
        <f ca="1">IF(AND(SUMIF(Capacity_Resource,$D16,'Critical resources (hide)'!BA$6:BA$105)+SUMIF(Capacity_Resource,$E16,'Critical resources (hide)'!BA$6:BA$105)+SUMIF(Capacity_Resource,$F16,'Critical resources (hide)'!BA$6:BA$105)&gt;0,$E$1=2),0,1)</f>
        <v>1</v>
      </c>
      <c r="AO16" s="68">
        <f ca="1">IF(AND(SUMIF(Capacity_Resource,$D16,'Critical resources (hide)'!BB$6:BB$105)+SUMIF(Capacity_Resource,$E16,'Critical resources (hide)'!BB$6:BB$105)+SUMIF(Capacity_Resource,$F16,'Critical resources (hide)'!BB$6:BB$105)&gt;0,$E$1=2),0,1)</f>
        <v>1</v>
      </c>
      <c r="AP16" s="68">
        <f ca="1">IF(AND(SUMIF(Capacity_Resource,$D16,'Critical resources (hide)'!BC$6:BC$105)+SUMIF(Capacity_Resource,$E16,'Critical resources (hide)'!BC$6:BC$105)+SUMIF(Capacity_Resource,$F16,'Critical resources (hide)'!BC$6:BC$105)&gt;0,$E$1=2),0,1)</f>
        <v>1</v>
      </c>
      <c r="AQ16" s="68">
        <f ca="1">IF(AND(SUMIF(Capacity_Resource,$D16,'Critical resources (hide)'!BD$6:BD$105)+SUMIF(Capacity_Resource,$E16,'Critical resources (hide)'!BD$6:BD$105)+SUMIF(Capacity_Resource,$F16,'Critical resources (hide)'!BD$6:BD$105)&gt;0,$E$1=2),0,1)</f>
        <v>1</v>
      </c>
      <c r="AR16" s="68">
        <f ca="1">IF(AND(SUMIF(Capacity_Resource,$D16,'Critical resources (hide)'!BE$6:BE$105)+SUMIF(Capacity_Resource,$E16,'Critical resources (hide)'!BE$6:BE$105)+SUMIF(Capacity_Resource,$F16,'Critical resources (hide)'!BE$6:BE$105)&gt;0,$E$1=2),0,1)</f>
        <v>1</v>
      </c>
      <c r="AS16" s="68">
        <f ca="1">IF(AND(SUMIF(Capacity_Resource,$D16,'Critical resources (hide)'!BF$6:BF$105)+SUMIF(Capacity_Resource,$E16,'Critical resources (hide)'!BF$6:BF$105)+SUMIF(Capacity_Resource,$F16,'Critical resources (hide)'!BF$6:BF$105)&gt;0,$E$1=2),0,1)</f>
        <v>1</v>
      </c>
      <c r="AT16" s="68">
        <f ca="1">IF(AND(SUMIF(Capacity_Resource,$D16,'Critical resources (hide)'!BG$6:BG$105)+SUMIF(Capacity_Resource,$E16,'Critical resources (hide)'!BG$6:BG$105)+SUMIF(Capacity_Resource,$F16,'Critical resources (hide)'!BG$6:BG$105)&gt;0,$E$1=2),0,1)</f>
        <v>1</v>
      </c>
      <c r="AU16" s="68">
        <f ca="1">IF(AND(SUMIF(Capacity_Resource,$D16,'Critical resources (hide)'!BH$6:BH$105)+SUMIF(Capacity_Resource,$E16,'Critical resources (hide)'!BH$6:BH$105)+SUMIF(Capacity_Resource,$F16,'Critical resources (hide)'!BH$6:BH$105)&gt;0,$E$1=2),0,1)</f>
        <v>1</v>
      </c>
      <c r="AV16" s="68">
        <f ca="1">IF(AND(SUMIF(Capacity_Resource,$D16,'Critical resources (hide)'!BI$6:BI$105)+SUMIF(Capacity_Resource,$E16,'Critical resources (hide)'!BI$6:BI$105)+SUMIF(Capacity_Resource,$F16,'Critical resources (hide)'!BI$6:BI$105)&gt;0,$E$1=2),0,1)</f>
        <v>1</v>
      </c>
      <c r="AW16" s="68">
        <f ca="1">IF(AND(SUMIF(Capacity_Resource,$D16,'Critical resources (hide)'!BJ$6:BJ$105)+SUMIF(Capacity_Resource,$E16,'Critical resources (hide)'!BJ$6:BJ$105)+SUMIF(Capacity_Resource,$F16,'Critical resources (hide)'!BJ$6:BJ$105)&gt;0,$E$1=2),0,1)</f>
        <v>1</v>
      </c>
      <c r="AX16" s="68">
        <f ca="1">IF(AND(SUMIF(Capacity_Resource,$D16,'Critical resources (hide)'!BK$6:BK$105)+SUMIF(Capacity_Resource,$E16,'Critical resources (hide)'!BK$6:BK$105)+SUMIF(Capacity_Resource,$F16,'Critical resources (hide)'!BK$6:BK$105)&gt;0,$E$1=2),0,1)</f>
        <v>1</v>
      </c>
      <c r="AY16" s="68">
        <f ca="1">IF(AND(SUMIF(Capacity_Resource,$D16,'Critical resources (hide)'!BL$6:BL$105)+SUMIF(Capacity_Resource,$E16,'Critical resources (hide)'!BL$6:BL$105)+SUMIF(Capacity_Resource,$F16,'Critical resources (hide)'!BL$6:BL$105)&gt;0,$E$1=2),0,1)</f>
        <v>1</v>
      </c>
      <c r="AZ16" s="68">
        <f ca="1">IF(AND(SUMIF(Capacity_Resource,$D16,'Critical resources (hide)'!BM$6:BM$105)+SUMIF(Capacity_Resource,$E16,'Critical resources (hide)'!BM$6:BM$105)+SUMIF(Capacity_Resource,$F16,'Critical resources (hide)'!BM$6:BM$105)&gt;0,$E$1=2),0,1)</f>
        <v>1</v>
      </c>
      <c r="BA16" s="68">
        <f ca="1">IF(AND(SUMIF(Capacity_Resource,$D16,'Critical resources (hide)'!BN$6:BN$105)+SUMIF(Capacity_Resource,$E16,'Critical resources (hide)'!BN$6:BN$105)+SUMIF(Capacity_Resource,$F16,'Critical resources (hide)'!BN$6:BN$105)&gt;0,$E$1=2),0,1)</f>
        <v>1</v>
      </c>
      <c r="BB16" s="68">
        <f ca="1">IF(AND(SUMIF(Capacity_Resource,$D16,'Critical resources (hide)'!BO$6:BO$105)+SUMIF(Capacity_Resource,$E16,'Critical resources (hide)'!BO$6:BO$105)+SUMIF(Capacity_Resource,$F16,'Critical resources (hide)'!BO$6:BO$105)&gt;0,$E$1=2),0,1)</f>
        <v>1</v>
      </c>
      <c r="BC16" s="68">
        <f ca="1">IF(AND(SUMIF(Capacity_Resource,$D16,'Critical resources (hide)'!BP$6:BP$105)+SUMIF(Capacity_Resource,$E16,'Critical resources (hide)'!BP$6:BP$105)+SUMIF(Capacity_Resource,$F16,'Critical resources (hide)'!BP$6:BP$105)&gt;0,$E$1=2),0,1)</f>
        <v>1</v>
      </c>
      <c r="BD16" s="68">
        <f ca="1">IF(AND(SUMIF(Capacity_Resource,$D16,'Critical resources (hide)'!BQ$6:BQ$105)+SUMIF(Capacity_Resource,$E16,'Critical resources (hide)'!BQ$6:BQ$105)+SUMIF(Capacity_Resource,$F16,'Critical resources (hide)'!BQ$6:BQ$105)&gt;0,$E$1=2),0,1)</f>
        <v>1</v>
      </c>
      <c r="BE16" s="68">
        <f ca="1">IF(AND(SUMIF(Capacity_Resource,$D16,'Critical resources (hide)'!BR$6:BR$105)+SUMIF(Capacity_Resource,$E16,'Critical resources (hide)'!BR$6:BR$105)+SUMIF(Capacity_Resource,$F16,'Critical resources (hide)'!BR$6:BR$105)&gt;0,$E$1=2),0,1)</f>
        <v>1</v>
      </c>
      <c r="BF16" s="68">
        <f ca="1">IF(AND(SUMIF(Capacity_Resource,$D16,'Critical resources (hide)'!BS$6:BS$105)+SUMIF(Capacity_Resource,$E16,'Critical resources (hide)'!BS$6:BS$105)+SUMIF(Capacity_Resource,$F16,'Critical resources (hide)'!BS$6:BS$105)&gt;0,$E$1=2),0,1)</f>
        <v>1</v>
      </c>
      <c r="BG16" s="68">
        <f ca="1">IF(AND(SUMIF(Capacity_Resource,$D16,'Critical resources (hide)'!BT$6:BT$105)+SUMIF(Capacity_Resource,$E16,'Critical resources (hide)'!BT$6:BT$105)+SUMIF(Capacity_Resource,$F16,'Critical resources (hide)'!BT$6:BT$105)&gt;0,$E$1=2),0,1)</f>
        <v>1</v>
      </c>
      <c r="BH16" s="68">
        <f>IF(ROW(C12)&lt;=Capacity!$A$16,IF('Capacity summary'!$D$14="No",SUM(H16:BG16),'Capacity summary'!$E135),0)</f>
        <v>0</v>
      </c>
      <c r="BI16" s="5" t="str">
        <f>IF(BH16&gt;0,IF(BH16&lt;Capacity!E28,Capacity!F28,Capacity!H28/'Capacity calculation (hide)'!BH16),"")</f>
        <v/>
      </c>
      <c r="BK16" s="319">
        <f>IF($BI16&lt;&gt;"",IF('Capacity summary'!$D$14="Yes",IF(COUNTBLANK('Capacity summary'!$H135:$BG135)&lt;52,IF('Capacity summary'!H135&lt;&gt;"",$BI16*H16,0),H16*$BI16),H16*$BI16),0)</f>
        <v>0</v>
      </c>
      <c r="BL16" s="319">
        <f>IF($BI16&lt;&gt;"",IF('Capacity summary'!$D$14="Yes",IF(COUNTBLANK('Capacity summary'!$H135:$BG135)&lt;52,IF('Capacity summary'!I135&lt;&gt;"",$BI16*I16,0),I16*$BI16),I16*$BI16),0)</f>
        <v>0</v>
      </c>
      <c r="BM16" s="319">
        <f>IF($BI16&lt;&gt;"",IF('Capacity summary'!$D$14="Yes",IF(COUNTBLANK('Capacity summary'!$H135:$BG135)&lt;52,IF('Capacity summary'!J135&lt;&gt;"",$BI16*J16,0),J16*$BI16),J16*$BI16),0)</f>
        <v>0</v>
      </c>
      <c r="BN16" s="319">
        <f>IF($BI16&lt;&gt;"",IF('Capacity summary'!$D$14="Yes",IF(COUNTBLANK('Capacity summary'!$H135:$BG135)&lt;52,IF('Capacity summary'!K135&lt;&gt;"",$BI16*K16,0),K16*$BI16),K16*$BI16),0)</f>
        <v>0</v>
      </c>
      <c r="BO16" s="319">
        <f>IF($BI16&lt;&gt;"",IF('Capacity summary'!$D$14="Yes",IF(COUNTBLANK('Capacity summary'!$H135:$BG135)&lt;52,IF('Capacity summary'!L135&lt;&gt;"",$BI16*L16,0),L16*$BI16),L16*$BI16),0)</f>
        <v>0</v>
      </c>
      <c r="BP16" s="319">
        <f>IF($BI16&lt;&gt;"",IF('Capacity summary'!$D$14="Yes",IF(COUNTBLANK('Capacity summary'!$H135:$BG135)&lt;52,IF('Capacity summary'!M135&lt;&gt;"",$BI16*M16,0),M16*$BI16),M16*$BI16),0)</f>
        <v>0</v>
      </c>
      <c r="BQ16" s="319">
        <f>IF($BI16&lt;&gt;"",IF('Capacity summary'!$D$14="Yes",IF(COUNTBLANK('Capacity summary'!$H135:$BG135)&lt;52,IF('Capacity summary'!N135&lt;&gt;"",$BI16*N16,0),N16*$BI16),N16*$BI16),0)</f>
        <v>0</v>
      </c>
      <c r="BR16" s="319">
        <f>IF($BI16&lt;&gt;"",IF('Capacity summary'!$D$14="Yes",IF(COUNTBLANK('Capacity summary'!$H135:$BG135)&lt;52,IF('Capacity summary'!O135&lt;&gt;"",$BI16*O16,0),O16*$BI16),O16*$BI16),0)</f>
        <v>0</v>
      </c>
      <c r="BS16" s="319">
        <f>IF($BI16&lt;&gt;"",IF('Capacity summary'!$D$14="Yes",IF(COUNTBLANK('Capacity summary'!$H135:$BG135)&lt;52,IF('Capacity summary'!P135&lt;&gt;"",$BI16*P16,0),P16*$BI16),P16*$BI16),0)</f>
        <v>0</v>
      </c>
      <c r="BT16" s="319">
        <f>IF($BI16&lt;&gt;"",IF('Capacity summary'!$D$14="Yes",IF(COUNTBLANK('Capacity summary'!$H135:$BG135)&lt;52,IF('Capacity summary'!Q135&lt;&gt;"",$BI16*Q16,0),Q16*$BI16),Q16*$BI16),0)</f>
        <v>0</v>
      </c>
      <c r="BU16" s="319">
        <f>IF($BI16&lt;&gt;"",IF('Capacity summary'!$D$14="Yes",IF(COUNTBLANK('Capacity summary'!$H135:$BG135)&lt;52,IF('Capacity summary'!R135&lt;&gt;"",$BI16*R16,0),R16*$BI16),R16*$BI16),0)</f>
        <v>0</v>
      </c>
      <c r="BV16" s="319">
        <f>IF($BI16&lt;&gt;"",IF('Capacity summary'!$D$14="Yes",IF(COUNTBLANK('Capacity summary'!$H135:$BG135)&lt;52,IF('Capacity summary'!S135&lt;&gt;"",$BI16*S16,0),S16*$BI16),S16*$BI16),0)</f>
        <v>0</v>
      </c>
      <c r="BW16" s="319">
        <f>IF($BI16&lt;&gt;"",IF('Capacity summary'!$D$14="Yes",IF(COUNTBLANK('Capacity summary'!$H135:$BG135)&lt;52,IF('Capacity summary'!T135&lt;&gt;"",$BI16*T16,0),T16*$BI16),T16*$BI16),0)</f>
        <v>0</v>
      </c>
      <c r="BX16" s="319">
        <f>IF($BI16&lt;&gt;"",IF('Capacity summary'!$D$14="Yes",IF(COUNTBLANK('Capacity summary'!$H135:$BG135)&lt;52,IF('Capacity summary'!U135&lt;&gt;"",$BI16*U16,0),U16*$BI16),U16*$BI16),0)</f>
        <v>0</v>
      </c>
      <c r="BY16" s="319">
        <f>IF($BI16&lt;&gt;"",IF('Capacity summary'!$D$14="Yes",IF(COUNTBLANK('Capacity summary'!$H135:$BG135)&lt;52,IF('Capacity summary'!V135&lt;&gt;"",$BI16*V16,0),V16*$BI16),V16*$BI16),0)</f>
        <v>0</v>
      </c>
      <c r="BZ16" s="319">
        <f>IF($BI16&lt;&gt;"",IF('Capacity summary'!$D$14="Yes",IF(COUNTBLANK('Capacity summary'!$H135:$BG135)&lt;52,IF('Capacity summary'!W135&lt;&gt;"",$BI16*W16,0),W16*$BI16),W16*$BI16),0)</f>
        <v>0</v>
      </c>
      <c r="CA16" s="319">
        <f>IF($BI16&lt;&gt;"",IF('Capacity summary'!$D$14="Yes",IF(COUNTBLANK('Capacity summary'!$H135:$BG135)&lt;52,IF('Capacity summary'!X135&lt;&gt;"",$BI16*X16,0),X16*$BI16),X16*$BI16),0)</f>
        <v>0</v>
      </c>
      <c r="CB16" s="319">
        <f>IF($BI16&lt;&gt;"",IF('Capacity summary'!$D$14="Yes",IF(COUNTBLANK('Capacity summary'!$H135:$BG135)&lt;52,IF('Capacity summary'!Y135&lt;&gt;"",$BI16*Y16,0),Y16*$BI16),Y16*$BI16),0)</f>
        <v>0</v>
      </c>
      <c r="CC16" s="319">
        <f>IF($BI16&lt;&gt;"",IF('Capacity summary'!$D$14="Yes",IF(COUNTBLANK('Capacity summary'!$H135:$BG135)&lt;52,IF('Capacity summary'!Z135&lt;&gt;"",$BI16*Z16,0),Z16*$BI16),Z16*$BI16),0)</f>
        <v>0</v>
      </c>
      <c r="CD16" s="319">
        <f>IF($BI16&lt;&gt;"",IF('Capacity summary'!$D$14="Yes",IF(COUNTBLANK('Capacity summary'!$H135:$BG135)&lt;52,IF('Capacity summary'!AA135&lt;&gt;"",$BI16*AA16,0),AA16*$BI16),AA16*$BI16),0)</f>
        <v>0</v>
      </c>
      <c r="CE16" s="319">
        <f>IF($BI16&lt;&gt;"",IF('Capacity summary'!$D$14="Yes",IF(COUNTBLANK('Capacity summary'!$H135:$BG135)&lt;52,IF('Capacity summary'!AB135&lt;&gt;"",$BI16*AB16,0),AB16*$BI16),AB16*$BI16),0)</f>
        <v>0</v>
      </c>
      <c r="CF16" s="319">
        <f>IF($BI16&lt;&gt;"",IF('Capacity summary'!$D$14="Yes",IF(COUNTBLANK('Capacity summary'!$H135:$BG135)&lt;52,IF('Capacity summary'!AC135&lt;&gt;"",$BI16*AC16,0),AC16*$BI16),AC16*$BI16),0)</f>
        <v>0</v>
      </c>
      <c r="CG16" s="319">
        <f>IF($BI16&lt;&gt;"",IF('Capacity summary'!$D$14="Yes",IF(COUNTBLANK('Capacity summary'!$H135:$BG135)&lt;52,IF('Capacity summary'!AD135&lt;&gt;"",$BI16*AD16,0),AD16*$BI16),AD16*$BI16),0)</f>
        <v>0</v>
      </c>
      <c r="CH16" s="319">
        <f>IF($BI16&lt;&gt;"",IF('Capacity summary'!$D$14="Yes",IF(COUNTBLANK('Capacity summary'!$H135:$BG135)&lt;52,IF('Capacity summary'!AE135&lt;&gt;"",$BI16*AE16,0),AE16*$BI16),AE16*$BI16),0)</f>
        <v>0</v>
      </c>
      <c r="CI16" s="319">
        <f>IF($BI16&lt;&gt;"",IF('Capacity summary'!$D$14="Yes",IF(COUNTBLANK('Capacity summary'!$H135:$BG135)&lt;52,IF('Capacity summary'!AF135&lt;&gt;"",$BI16*AF16,0),AF16*$BI16),AF16*$BI16),0)</f>
        <v>0</v>
      </c>
      <c r="CJ16" s="319">
        <f>IF($BI16&lt;&gt;"",IF('Capacity summary'!$D$14="Yes",IF(COUNTBLANK('Capacity summary'!$H135:$BG135)&lt;52,IF('Capacity summary'!AG135&lt;&gt;"",$BI16*AG16,0),AG16*$BI16),AG16*$BI16),0)</f>
        <v>0</v>
      </c>
      <c r="CK16" s="319">
        <f>IF($BI16&lt;&gt;"",IF('Capacity summary'!$D$14="Yes",IF(COUNTBLANK('Capacity summary'!$H135:$BG135)&lt;52,IF('Capacity summary'!AH135&lt;&gt;"",$BI16*AH16,0),AH16*$BI16),AH16*$BI16),0)</f>
        <v>0</v>
      </c>
      <c r="CL16" s="319">
        <f>IF($BI16&lt;&gt;"",IF('Capacity summary'!$D$14="Yes",IF(COUNTBLANK('Capacity summary'!$H135:$BG135)&lt;52,IF('Capacity summary'!AI135&lt;&gt;"",$BI16*AI16,0),AI16*$BI16),AI16*$BI16),0)</f>
        <v>0</v>
      </c>
      <c r="CM16" s="319">
        <f>IF($BI16&lt;&gt;"",IF('Capacity summary'!$D$14="Yes",IF(COUNTBLANK('Capacity summary'!$H135:$BG135)&lt;52,IF('Capacity summary'!AJ135&lt;&gt;"",$BI16*AJ16,0),AJ16*$BI16),AJ16*$BI16),0)</f>
        <v>0</v>
      </c>
      <c r="CN16" s="319">
        <f>IF($BI16&lt;&gt;"",IF('Capacity summary'!$D$14="Yes",IF(COUNTBLANK('Capacity summary'!$H135:$BG135)&lt;52,IF('Capacity summary'!AK135&lt;&gt;"",$BI16*AK16,0),AK16*$BI16),AK16*$BI16),0)</f>
        <v>0</v>
      </c>
      <c r="CO16" s="319">
        <f>IF($BI16&lt;&gt;"",IF('Capacity summary'!$D$14="Yes",IF(COUNTBLANK('Capacity summary'!$H135:$BG135)&lt;52,IF('Capacity summary'!AL135&lt;&gt;"",$BI16*AL16,0),AL16*$BI16),AL16*$BI16),0)</f>
        <v>0</v>
      </c>
      <c r="CP16" s="319">
        <f>IF($BI16&lt;&gt;"",IF('Capacity summary'!$D$14="Yes",IF(COUNTBLANK('Capacity summary'!$H135:$BG135)&lt;52,IF('Capacity summary'!AM135&lt;&gt;"",$BI16*AM16,0),AM16*$BI16),AM16*$BI16),0)</f>
        <v>0</v>
      </c>
      <c r="CQ16" s="319">
        <f>IF($BI16&lt;&gt;"",IF('Capacity summary'!$D$14="Yes",IF(COUNTBLANK('Capacity summary'!$H135:$BG135)&lt;52,IF('Capacity summary'!AN135&lt;&gt;"",$BI16*AN16,0),AN16*$BI16),AN16*$BI16),0)</f>
        <v>0</v>
      </c>
      <c r="CR16" s="319">
        <f>IF($BI16&lt;&gt;"",IF('Capacity summary'!$D$14="Yes",IF(COUNTBLANK('Capacity summary'!$H135:$BG135)&lt;52,IF('Capacity summary'!AO135&lt;&gt;"",$BI16*AO16,0),AO16*$BI16),AO16*$BI16),0)</f>
        <v>0</v>
      </c>
      <c r="CS16" s="319">
        <f>IF($BI16&lt;&gt;"",IF('Capacity summary'!$D$14="Yes",IF(COUNTBLANK('Capacity summary'!$H135:$BG135)&lt;52,IF('Capacity summary'!AP135&lt;&gt;"",$BI16*AP16,0),AP16*$BI16),AP16*$BI16),0)</f>
        <v>0</v>
      </c>
      <c r="CT16" s="319">
        <f>IF($BI16&lt;&gt;"",IF('Capacity summary'!$D$14="Yes",IF(COUNTBLANK('Capacity summary'!$H135:$BG135)&lt;52,IF('Capacity summary'!AQ135&lt;&gt;"",$BI16*AQ16,0),AQ16*$BI16),AQ16*$BI16),0)</f>
        <v>0</v>
      </c>
      <c r="CU16" s="319">
        <f>IF($BI16&lt;&gt;"",IF('Capacity summary'!$D$14="Yes",IF(COUNTBLANK('Capacity summary'!$H135:$BG135)&lt;52,IF('Capacity summary'!AR135&lt;&gt;"",$BI16*AR16,0),AR16*$BI16),AR16*$BI16),0)</f>
        <v>0</v>
      </c>
      <c r="CV16" s="319">
        <f>IF($BI16&lt;&gt;"",IF('Capacity summary'!$D$14="Yes",IF(COUNTBLANK('Capacity summary'!$H135:$BG135)&lt;52,IF('Capacity summary'!AS135&lt;&gt;"",$BI16*AS16,0),AS16*$BI16),AS16*$BI16),0)</f>
        <v>0</v>
      </c>
      <c r="CW16" s="319">
        <f>IF($BI16&lt;&gt;"",IF('Capacity summary'!$D$14="Yes",IF(COUNTBLANK('Capacity summary'!$H135:$BG135)&lt;52,IF('Capacity summary'!AT135&lt;&gt;"",$BI16*AT16,0),AT16*$BI16),AT16*$BI16),0)</f>
        <v>0</v>
      </c>
      <c r="CX16" s="319">
        <f>IF($BI16&lt;&gt;"",IF('Capacity summary'!$D$14="Yes",IF(COUNTBLANK('Capacity summary'!$H135:$BG135)&lt;52,IF('Capacity summary'!AU135&lt;&gt;"",$BI16*AU16,0),AU16*$BI16),AU16*$BI16),0)</f>
        <v>0</v>
      </c>
      <c r="CY16" s="319">
        <f>IF($BI16&lt;&gt;"",IF('Capacity summary'!$D$14="Yes",IF(COUNTBLANK('Capacity summary'!$H135:$BG135)&lt;52,IF('Capacity summary'!AV135&lt;&gt;"",$BI16*AV16,0),AV16*$BI16),AV16*$BI16),0)</f>
        <v>0</v>
      </c>
      <c r="CZ16" s="319">
        <f>IF($BI16&lt;&gt;"",IF('Capacity summary'!$D$14="Yes",IF(COUNTBLANK('Capacity summary'!$H135:$BG135)&lt;52,IF('Capacity summary'!AW135&lt;&gt;"",$BI16*AW16,0),AW16*$BI16),AW16*$BI16),0)</f>
        <v>0</v>
      </c>
      <c r="DA16" s="319">
        <f>IF($BI16&lt;&gt;"",IF('Capacity summary'!$D$14="Yes",IF(COUNTBLANK('Capacity summary'!$H135:$BG135)&lt;52,IF('Capacity summary'!AX135&lt;&gt;"",$BI16*AX16,0),AX16*$BI16),AX16*$BI16),0)</f>
        <v>0</v>
      </c>
      <c r="DB16" s="319">
        <f>IF($BI16&lt;&gt;"",IF('Capacity summary'!$D$14="Yes",IF(COUNTBLANK('Capacity summary'!$H135:$BG135)&lt;52,IF('Capacity summary'!AY135&lt;&gt;"",$BI16*AY16,0),AY16*$BI16),AY16*$BI16),0)</f>
        <v>0</v>
      </c>
      <c r="DC16" s="319">
        <f>IF($BI16&lt;&gt;"",IF('Capacity summary'!$D$14="Yes",IF(COUNTBLANK('Capacity summary'!$H135:$BG135)&lt;52,IF('Capacity summary'!AZ135&lt;&gt;"",$BI16*AZ16,0),AZ16*$BI16),AZ16*$BI16),0)</f>
        <v>0</v>
      </c>
      <c r="DD16" s="319">
        <f>IF($BI16&lt;&gt;"",IF('Capacity summary'!$D$14="Yes",IF(COUNTBLANK('Capacity summary'!$H135:$BG135)&lt;52,IF('Capacity summary'!BA135&lt;&gt;"",$BI16*BA16,0),BA16*$BI16),BA16*$BI16),0)</f>
        <v>0</v>
      </c>
      <c r="DE16" s="319">
        <f>IF($BI16&lt;&gt;"",IF('Capacity summary'!$D$14="Yes",IF(COUNTBLANK('Capacity summary'!$H135:$BG135)&lt;52,IF('Capacity summary'!BB135&lt;&gt;"",$BI16*BB16,0),BB16*$BI16),BB16*$BI16),0)</f>
        <v>0</v>
      </c>
      <c r="DF16" s="319">
        <f>IF($BI16&lt;&gt;"",IF('Capacity summary'!$D$14="Yes",IF(COUNTBLANK('Capacity summary'!$H135:$BG135)&lt;52,IF('Capacity summary'!BC135&lt;&gt;"",$BI16*BC16,0),BC16*$BI16),BC16*$BI16),0)</f>
        <v>0</v>
      </c>
      <c r="DG16" s="319">
        <f>IF($BI16&lt;&gt;"",IF('Capacity summary'!$D$14="Yes",IF(COUNTBLANK('Capacity summary'!$H135:$BG135)&lt;52,IF('Capacity summary'!BD135&lt;&gt;"",$BI16*BD16,0),BD16*$BI16),BD16*$BI16),0)</f>
        <v>0</v>
      </c>
      <c r="DH16" s="319">
        <f>IF($BI16&lt;&gt;"",IF('Capacity summary'!$D$14="Yes",IF(COUNTBLANK('Capacity summary'!$H135:$BG135)&lt;52,IF('Capacity summary'!BE135&lt;&gt;"",$BI16*BE16,0),BE16*$BI16),BE16*$BI16),0)</f>
        <v>0</v>
      </c>
      <c r="DI16" s="319">
        <f>IF($BI16&lt;&gt;"",IF('Capacity summary'!$D$14="Yes",IF(COUNTBLANK('Capacity summary'!$H135:$BG135)&lt;52,IF('Capacity summary'!BF135&lt;&gt;"",$BI16*BF16,0),BF16*$BI16),BF16*$BI16),0)</f>
        <v>0</v>
      </c>
      <c r="DJ16" s="319">
        <f>IF($BI16&lt;&gt;"",IF('Capacity summary'!$D$14="Yes",IF(COUNTBLANK('Capacity summary'!$H135:$BG135)&lt;52,IF('Capacity summary'!BG135&lt;&gt;"",$BI16*BG16,0),BG16*$BI16),BG16*$BI16),0)</f>
        <v>0</v>
      </c>
      <c r="DK16" s="5">
        <f t="shared" si="2"/>
        <v>0</v>
      </c>
      <c r="DL16" s="5" t="str">
        <f>Capacity!H28</f>
        <v/>
      </c>
      <c r="DP16" s="5"/>
    </row>
    <row r="17" spans="2:120" x14ac:dyDescent="0.2">
      <c r="B17" s="68"/>
      <c r="C17" s="68" t="str">
        <f>ROW(A13)&amp;". "&amp;Capacity!B29</f>
        <v xml:space="preserve">13. </v>
      </c>
      <c r="D17" s="68">
        <f>'Capacity setup'!C24</f>
        <v>0</v>
      </c>
      <c r="E17" s="68">
        <f>'Capacity setup'!D24</f>
        <v>0</v>
      </c>
      <c r="F17" s="68">
        <f>'Capacity setup'!E24</f>
        <v>0</v>
      </c>
      <c r="H17" s="68">
        <f ca="1">IF(AND(SUMIF(Capacity_Resource,$D17,'Critical resources (hide)'!U$6:U$105)+SUMIF(Capacity_Resource,$E17,'Critical resources (hide)'!U$6:U$105)+SUMIF(Capacity_Resource,$F17,'Critical resources (hide)'!U$6:U$105)&gt;0,$E$1=2),0,1)</f>
        <v>1</v>
      </c>
      <c r="I17" s="68">
        <f ca="1">IF(AND(SUMIF(Capacity_Resource,$D17,'Critical resources (hide)'!V$6:V$105)+SUMIF(Capacity_Resource,$E17,'Critical resources (hide)'!V$6:V$105)+SUMIF(Capacity_Resource,$F17,'Critical resources (hide)'!V$6:V$105)&gt;0,$E$1=2),0,1)</f>
        <v>1</v>
      </c>
      <c r="J17" s="68">
        <f ca="1">IF(AND(SUMIF(Capacity_Resource,$D17,'Critical resources (hide)'!W$6:W$105)+SUMIF(Capacity_Resource,$E17,'Critical resources (hide)'!W$6:W$105)+SUMIF(Capacity_Resource,$F17,'Critical resources (hide)'!W$6:W$105)&gt;0,$E$1=2),0,1)</f>
        <v>1</v>
      </c>
      <c r="K17" s="68">
        <f ca="1">IF(AND(SUMIF(Capacity_Resource,$D17,'Critical resources (hide)'!X$6:X$105)+SUMIF(Capacity_Resource,$E17,'Critical resources (hide)'!X$6:X$105)+SUMIF(Capacity_Resource,$F17,'Critical resources (hide)'!X$6:X$105)&gt;0,$E$1=2),0,1)</f>
        <v>1</v>
      </c>
      <c r="L17" s="68">
        <f ca="1">IF(AND(SUMIF(Capacity_Resource,$D17,'Critical resources (hide)'!Y$6:Y$105)+SUMIF(Capacity_Resource,$E17,'Critical resources (hide)'!Y$6:Y$105)+SUMIF(Capacity_Resource,$F17,'Critical resources (hide)'!Y$6:Y$105)&gt;0,$E$1=2),0,1)</f>
        <v>1</v>
      </c>
      <c r="M17" s="68">
        <f ca="1">IF(AND(SUMIF(Capacity_Resource,$D17,'Critical resources (hide)'!Z$6:Z$105)+SUMIF(Capacity_Resource,$E17,'Critical resources (hide)'!Z$6:Z$105)+SUMIF(Capacity_Resource,$F17,'Critical resources (hide)'!Z$6:Z$105)&gt;0,$E$1=2),0,1)</f>
        <v>1</v>
      </c>
      <c r="N17" s="68">
        <f ca="1">IF(AND(SUMIF(Capacity_Resource,$D17,'Critical resources (hide)'!AA$6:AA$105)+SUMIF(Capacity_Resource,$E17,'Critical resources (hide)'!AA$6:AA$105)+SUMIF(Capacity_Resource,$F17,'Critical resources (hide)'!AA$6:AA$105)&gt;0,$E$1=2),0,1)</f>
        <v>1</v>
      </c>
      <c r="O17" s="68">
        <f ca="1">IF(AND(SUMIF(Capacity_Resource,$D17,'Critical resources (hide)'!AB$6:AB$105)+SUMIF(Capacity_Resource,$E17,'Critical resources (hide)'!AB$6:AB$105)+SUMIF(Capacity_Resource,$F17,'Critical resources (hide)'!AB$6:AB$105)&gt;0,$E$1=2),0,1)</f>
        <v>1</v>
      </c>
      <c r="P17" s="68">
        <f ca="1">IF(AND(SUMIF(Capacity_Resource,$D17,'Critical resources (hide)'!AC$6:AC$105)+SUMIF(Capacity_Resource,$E17,'Critical resources (hide)'!AC$6:AC$105)+SUMIF(Capacity_Resource,$F17,'Critical resources (hide)'!AC$6:AC$105)&gt;0,$E$1=2),0,1)</f>
        <v>1</v>
      </c>
      <c r="Q17" s="68">
        <f ca="1">IF(AND(SUMIF(Capacity_Resource,$D17,'Critical resources (hide)'!AD$6:AD$105)+SUMIF(Capacity_Resource,$E17,'Critical resources (hide)'!AD$6:AD$105)+SUMIF(Capacity_Resource,$F17,'Critical resources (hide)'!AD$6:AD$105)&gt;0,$E$1=2),0,1)</f>
        <v>1</v>
      </c>
      <c r="R17" s="68">
        <f ca="1">IF(AND(SUMIF(Capacity_Resource,$D17,'Critical resources (hide)'!AE$6:AE$105)+SUMIF(Capacity_Resource,$E17,'Critical resources (hide)'!AE$6:AE$105)+SUMIF(Capacity_Resource,$F17,'Critical resources (hide)'!AE$6:AE$105)&gt;0,$E$1=2),0,1)</f>
        <v>1</v>
      </c>
      <c r="S17" s="68">
        <f ca="1">IF(AND(SUMIF(Capacity_Resource,$D17,'Critical resources (hide)'!AF$6:AF$105)+SUMIF(Capacity_Resource,$E17,'Critical resources (hide)'!AF$6:AF$105)+SUMIF(Capacity_Resource,$F17,'Critical resources (hide)'!AF$6:AF$105)&gt;0,$E$1=2),0,1)</f>
        <v>1</v>
      </c>
      <c r="T17" s="68">
        <f ca="1">IF(AND(SUMIF(Capacity_Resource,$D17,'Critical resources (hide)'!AG$6:AG$105)+SUMIF(Capacity_Resource,$E17,'Critical resources (hide)'!AG$6:AG$105)+SUMIF(Capacity_Resource,$F17,'Critical resources (hide)'!AG$6:AG$105)&gt;0,$E$1=2),0,1)</f>
        <v>1</v>
      </c>
      <c r="U17" s="68">
        <f ca="1">IF(AND(SUMIF(Capacity_Resource,$D17,'Critical resources (hide)'!AH$6:AH$105)+SUMIF(Capacity_Resource,$E17,'Critical resources (hide)'!AH$6:AH$105)+SUMIF(Capacity_Resource,$F17,'Critical resources (hide)'!AH$6:AH$105)&gt;0,$E$1=2),0,1)</f>
        <v>1</v>
      </c>
      <c r="V17" s="68">
        <f ca="1">IF(AND(SUMIF(Capacity_Resource,$D17,'Critical resources (hide)'!AI$6:AI$105)+SUMIF(Capacity_Resource,$E17,'Critical resources (hide)'!AI$6:AI$105)+SUMIF(Capacity_Resource,$F17,'Critical resources (hide)'!AI$6:AI$105)&gt;0,$E$1=2),0,1)</f>
        <v>1</v>
      </c>
      <c r="W17" s="68">
        <f ca="1">IF(AND(SUMIF(Capacity_Resource,$D17,'Critical resources (hide)'!AJ$6:AJ$105)+SUMIF(Capacity_Resource,$E17,'Critical resources (hide)'!AJ$6:AJ$105)+SUMIF(Capacity_Resource,$F17,'Critical resources (hide)'!AJ$6:AJ$105)&gt;0,$E$1=2),0,1)</f>
        <v>1</v>
      </c>
      <c r="X17" s="68">
        <f ca="1">IF(AND(SUMIF(Capacity_Resource,$D17,'Critical resources (hide)'!AK$6:AK$105)+SUMIF(Capacity_Resource,$E17,'Critical resources (hide)'!AK$6:AK$105)+SUMIF(Capacity_Resource,$F17,'Critical resources (hide)'!AK$6:AK$105)&gt;0,$E$1=2),0,1)</f>
        <v>1</v>
      </c>
      <c r="Y17" s="68">
        <f ca="1">IF(AND(SUMIF(Capacity_Resource,$D17,'Critical resources (hide)'!AL$6:AL$105)+SUMIF(Capacity_Resource,$E17,'Critical resources (hide)'!AL$6:AL$105)+SUMIF(Capacity_Resource,$F17,'Critical resources (hide)'!AL$6:AL$105)&gt;0,$E$1=2),0,1)</f>
        <v>1</v>
      </c>
      <c r="Z17" s="68">
        <f ca="1">IF(AND(SUMIF(Capacity_Resource,$D17,'Critical resources (hide)'!AM$6:AM$105)+SUMIF(Capacity_Resource,$E17,'Critical resources (hide)'!AM$6:AM$105)+SUMIF(Capacity_Resource,$F17,'Critical resources (hide)'!AM$6:AM$105)&gt;0,$E$1=2),0,1)</f>
        <v>1</v>
      </c>
      <c r="AA17" s="68">
        <f ca="1">IF(AND(SUMIF(Capacity_Resource,$D17,'Critical resources (hide)'!AN$6:AN$105)+SUMIF(Capacity_Resource,$E17,'Critical resources (hide)'!AN$6:AN$105)+SUMIF(Capacity_Resource,$F17,'Critical resources (hide)'!AN$6:AN$105)&gt;0,$E$1=2),0,1)</f>
        <v>1</v>
      </c>
      <c r="AB17" s="68">
        <f ca="1">IF(AND(SUMIF(Capacity_Resource,$D17,'Critical resources (hide)'!AO$6:AO$105)+SUMIF(Capacity_Resource,$E17,'Critical resources (hide)'!AO$6:AO$105)+SUMIF(Capacity_Resource,$F17,'Critical resources (hide)'!AO$6:AO$105)&gt;0,$E$1=2),0,1)</f>
        <v>1</v>
      </c>
      <c r="AC17" s="68">
        <f ca="1">IF(AND(SUMIF(Capacity_Resource,$D17,'Critical resources (hide)'!AP$6:AP$105)+SUMIF(Capacity_Resource,$E17,'Critical resources (hide)'!AP$6:AP$105)+SUMIF(Capacity_Resource,$F17,'Critical resources (hide)'!AP$6:AP$105)&gt;0,$E$1=2),0,1)</f>
        <v>1</v>
      </c>
      <c r="AD17" s="68">
        <f ca="1">IF(AND(SUMIF(Capacity_Resource,$D17,'Critical resources (hide)'!AQ$6:AQ$105)+SUMIF(Capacity_Resource,$E17,'Critical resources (hide)'!AQ$6:AQ$105)+SUMIF(Capacity_Resource,$F17,'Critical resources (hide)'!AQ$6:AQ$105)&gt;0,$E$1=2),0,1)</f>
        <v>1</v>
      </c>
      <c r="AE17" s="68">
        <f ca="1">IF(AND(SUMIF(Capacity_Resource,$D17,'Critical resources (hide)'!AR$6:AR$105)+SUMIF(Capacity_Resource,$E17,'Critical resources (hide)'!AR$6:AR$105)+SUMIF(Capacity_Resource,$F17,'Critical resources (hide)'!AR$6:AR$105)&gt;0,$E$1=2),0,1)</f>
        <v>1</v>
      </c>
      <c r="AF17" s="68">
        <f ca="1">IF(AND(SUMIF(Capacity_Resource,$D17,'Critical resources (hide)'!AS$6:AS$105)+SUMIF(Capacity_Resource,$E17,'Critical resources (hide)'!AS$6:AS$105)+SUMIF(Capacity_Resource,$F17,'Critical resources (hide)'!AS$6:AS$105)&gt;0,$E$1=2),0,1)</f>
        <v>1</v>
      </c>
      <c r="AG17" s="68">
        <f ca="1">IF(AND(SUMIF(Capacity_Resource,$D17,'Critical resources (hide)'!AT$6:AT$105)+SUMIF(Capacity_Resource,$E17,'Critical resources (hide)'!AT$6:AT$105)+SUMIF(Capacity_Resource,$F17,'Critical resources (hide)'!AT$6:AT$105)&gt;0,$E$1=2),0,1)</f>
        <v>1</v>
      </c>
      <c r="AH17" s="68">
        <f ca="1">IF(AND(SUMIF(Capacity_Resource,$D17,'Critical resources (hide)'!AU$6:AU$105)+SUMIF(Capacity_Resource,$E17,'Critical resources (hide)'!AU$6:AU$105)+SUMIF(Capacity_Resource,$F17,'Critical resources (hide)'!AU$6:AU$105)&gt;0,$E$1=2),0,1)</f>
        <v>1</v>
      </c>
      <c r="AI17" s="68">
        <f ca="1">IF(AND(SUMIF(Capacity_Resource,$D17,'Critical resources (hide)'!AV$6:AV$105)+SUMIF(Capacity_Resource,$E17,'Critical resources (hide)'!AV$6:AV$105)+SUMIF(Capacity_Resource,$F17,'Critical resources (hide)'!AV$6:AV$105)&gt;0,$E$1=2),0,1)</f>
        <v>1</v>
      </c>
      <c r="AJ17" s="68">
        <f ca="1">IF(AND(SUMIF(Capacity_Resource,$D17,'Critical resources (hide)'!AW$6:AW$105)+SUMIF(Capacity_Resource,$E17,'Critical resources (hide)'!AW$6:AW$105)+SUMIF(Capacity_Resource,$F17,'Critical resources (hide)'!AW$6:AW$105)&gt;0,$E$1=2),0,1)</f>
        <v>1</v>
      </c>
      <c r="AK17" s="68">
        <f ca="1">IF(AND(SUMIF(Capacity_Resource,$D17,'Critical resources (hide)'!AX$6:AX$105)+SUMIF(Capacity_Resource,$E17,'Critical resources (hide)'!AX$6:AX$105)+SUMIF(Capacity_Resource,$F17,'Critical resources (hide)'!AX$6:AX$105)&gt;0,$E$1=2),0,1)</f>
        <v>1</v>
      </c>
      <c r="AL17" s="68">
        <f ca="1">IF(AND(SUMIF(Capacity_Resource,$D17,'Critical resources (hide)'!AY$6:AY$105)+SUMIF(Capacity_Resource,$E17,'Critical resources (hide)'!AY$6:AY$105)+SUMIF(Capacity_Resource,$F17,'Critical resources (hide)'!AY$6:AY$105)&gt;0,$E$1=2),0,1)</f>
        <v>1</v>
      </c>
      <c r="AM17" s="68">
        <f ca="1">IF(AND(SUMIF(Capacity_Resource,$D17,'Critical resources (hide)'!AZ$6:AZ$105)+SUMIF(Capacity_Resource,$E17,'Critical resources (hide)'!AZ$6:AZ$105)+SUMIF(Capacity_Resource,$F17,'Critical resources (hide)'!AZ$6:AZ$105)&gt;0,$E$1=2),0,1)</f>
        <v>1</v>
      </c>
      <c r="AN17" s="68">
        <f ca="1">IF(AND(SUMIF(Capacity_Resource,$D17,'Critical resources (hide)'!BA$6:BA$105)+SUMIF(Capacity_Resource,$E17,'Critical resources (hide)'!BA$6:BA$105)+SUMIF(Capacity_Resource,$F17,'Critical resources (hide)'!BA$6:BA$105)&gt;0,$E$1=2),0,1)</f>
        <v>1</v>
      </c>
      <c r="AO17" s="68">
        <f ca="1">IF(AND(SUMIF(Capacity_Resource,$D17,'Critical resources (hide)'!BB$6:BB$105)+SUMIF(Capacity_Resource,$E17,'Critical resources (hide)'!BB$6:BB$105)+SUMIF(Capacity_Resource,$F17,'Critical resources (hide)'!BB$6:BB$105)&gt;0,$E$1=2),0,1)</f>
        <v>1</v>
      </c>
      <c r="AP17" s="68">
        <f ca="1">IF(AND(SUMIF(Capacity_Resource,$D17,'Critical resources (hide)'!BC$6:BC$105)+SUMIF(Capacity_Resource,$E17,'Critical resources (hide)'!BC$6:BC$105)+SUMIF(Capacity_Resource,$F17,'Critical resources (hide)'!BC$6:BC$105)&gt;0,$E$1=2),0,1)</f>
        <v>1</v>
      </c>
      <c r="AQ17" s="68">
        <f ca="1">IF(AND(SUMIF(Capacity_Resource,$D17,'Critical resources (hide)'!BD$6:BD$105)+SUMIF(Capacity_Resource,$E17,'Critical resources (hide)'!BD$6:BD$105)+SUMIF(Capacity_Resource,$F17,'Critical resources (hide)'!BD$6:BD$105)&gt;0,$E$1=2),0,1)</f>
        <v>1</v>
      </c>
      <c r="AR17" s="68">
        <f ca="1">IF(AND(SUMIF(Capacity_Resource,$D17,'Critical resources (hide)'!BE$6:BE$105)+SUMIF(Capacity_Resource,$E17,'Critical resources (hide)'!BE$6:BE$105)+SUMIF(Capacity_Resource,$F17,'Critical resources (hide)'!BE$6:BE$105)&gt;0,$E$1=2),0,1)</f>
        <v>1</v>
      </c>
      <c r="AS17" s="68">
        <f ca="1">IF(AND(SUMIF(Capacity_Resource,$D17,'Critical resources (hide)'!BF$6:BF$105)+SUMIF(Capacity_Resource,$E17,'Critical resources (hide)'!BF$6:BF$105)+SUMIF(Capacity_Resource,$F17,'Critical resources (hide)'!BF$6:BF$105)&gt;0,$E$1=2),0,1)</f>
        <v>1</v>
      </c>
      <c r="AT17" s="68">
        <f ca="1">IF(AND(SUMIF(Capacity_Resource,$D17,'Critical resources (hide)'!BG$6:BG$105)+SUMIF(Capacity_Resource,$E17,'Critical resources (hide)'!BG$6:BG$105)+SUMIF(Capacity_Resource,$F17,'Critical resources (hide)'!BG$6:BG$105)&gt;0,$E$1=2),0,1)</f>
        <v>1</v>
      </c>
      <c r="AU17" s="68">
        <f ca="1">IF(AND(SUMIF(Capacity_Resource,$D17,'Critical resources (hide)'!BH$6:BH$105)+SUMIF(Capacity_Resource,$E17,'Critical resources (hide)'!BH$6:BH$105)+SUMIF(Capacity_Resource,$F17,'Critical resources (hide)'!BH$6:BH$105)&gt;0,$E$1=2),0,1)</f>
        <v>1</v>
      </c>
      <c r="AV17" s="68">
        <f ca="1">IF(AND(SUMIF(Capacity_Resource,$D17,'Critical resources (hide)'!BI$6:BI$105)+SUMIF(Capacity_Resource,$E17,'Critical resources (hide)'!BI$6:BI$105)+SUMIF(Capacity_Resource,$F17,'Critical resources (hide)'!BI$6:BI$105)&gt;0,$E$1=2),0,1)</f>
        <v>1</v>
      </c>
      <c r="AW17" s="68">
        <f ca="1">IF(AND(SUMIF(Capacity_Resource,$D17,'Critical resources (hide)'!BJ$6:BJ$105)+SUMIF(Capacity_Resource,$E17,'Critical resources (hide)'!BJ$6:BJ$105)+SUMIF(Capacity_Resource,$F17,'Critical resources (hide)'!BJ$6:BJ$105)&gt;0,$E$1=2),0,1)</f>
        <v>1</v>
      </c>
      <c r="AX17" s="68">
        <f ca="1">IF(AND(SUMIF(Capacity_Resource,$D17,'Critical resources (hide)'!BK$6:BK$105)+SUMIF(Capacity_Resource,$E17,'Critical resources (hide)'!BK$6:BK$105)+SUMIF(Capacity_Resource,$F17,'Critical resources (hide)'!BK$6:BK$105)&gt;0,$E$1=2),0,1)</f>
        <v>1</v>
      </c>
      <c r="AY17" s="68">
        <f ca="1">IF(AND(SUMIF(Capacity_Resource,$D17,'Critical resources (hide)'!BL$6:BL$105)+SUMIF(Capacity_Resource,$E17,'Critical resources (hide)'!BL$6:BL$105)+SUMIF(Capacity_Resource,$F17,'Critical resources (hide)'!BL$6:BL$105)&gt;0,$E$1=2),0,1)</f>
        <v>1</v>
      </c>
      <c r="AZ17" s="68">
        <f ca="1">IF(AND(SUMIF(Capacity_Resource,$D17,'Critical resources (hide)'!BM$6:BM$105)+SUMIF(Capacity_Resource,$E17,'Critical resources (hide)'!BM$6:BM$105)+SUMIF(Capacity_Resource,$F17,'Critical resources (hide)'!BM$6:BM$105)&gt;0,$E$1=2),0,1)</f>
        <v>1</v>
      </c>
      <c r="BA17" s="68">
        <f ca="1">IF(AND(SUMIF(Capacity_Resource,$D17,'Critical resources (hide)'!BN$6:BN$105)+SUMIF(Capacity_Resource,$E17,'Critical resources (hide)'!BN$6:BN$105)+SUMIF(Capacity_Resource,$F17,'Critical resources (hide)'!BN$6:BN$105)&gt;0,$E$1=2),0,1)</f>
        <v>1</v>
      </c>
      <c r="BB17" s="68">
        <f ca="1">IF(AND(SUMIF(Capacity_Resource,$D17,'Critical resources (hide)'!BO$6:BO$105)+SUMIF(Capacity_Resource,$E17,'Critical resources (hide)'!BO$6:BO$105)+SUMIF(Capacity_Resource,$F17,'Critical resources (hide)'!BO$6:BO$105)&gt;0,$E$1=2),0,1)</f>
        <v>1</v>
      </c>
      <c r="BC17" s="68">
        <f ca="1">IF(AND(SUMIF(Capacity_Resource,$D17,'Critical resources (hide)'!BP$6:BP$105)+SUMIF(Capacity_Resource,$E17,'Critical resources (hide)'!BP$6:BP$105)+SUMIF(Capacity_Resource,$F17,'Critical resources (hide)'!BP$6:BP$105)&gt;0,$E$1=2),0,1)</f>
        <v>1</v>
      </c>
      <c r="BD17" s="68">
        <f ca="1">IF(AND(SUMIF(Capacity_Resource,$D17,'Critical resources (hide)'!BQ$6:BQ$105)+SUMIF(Capacity_Resource,$E17,'Critical resources (hide)'!BQ$6:BQ$105)+SUMIF(Capacity_Resource,$F17,'Critical resources (hide)'!BQ$6:BQ$105)&gt;0,$E$1=2),0,1)</f>
        <v>1</v>
      </c>
      <c r="BE17" s="68">
        <f ca="1">IF(AND(SUMIF(Capacity_Resource,$D17,'Critical resources (hide)'!BR$6:BR$105)+SUMIF(Capacity_Resource,$E17,'Critical resources (hide)'!BR$6:BR$105)+SUMIF(Capacity_Resource,$F17,'Critical resources (hide)'!BR$6:BR$105)&gt;0,$E$1=2),0,1)</f>
        <v>1</v>
      </c>
      <c r="BF17" s="68">
        <f ca="1">IF(AND(SUMIF(Capacity_Resource,$D17,'Critical resources (hide)'!BS$6:BS$105)+SUMIF(Capacity_Resource,$E17,'Critical resources (hide)'!BS$6:BS$105)+SUMIF(Capacity_Resource,$F17,'Critical resources (hide)'!BS$6:BS$105)&gt;0,$E$1=2),0,1)</f>
        <v>1</v>
      </c>
      <c r="BG17" s="68">
        <f ca="1">IF(AND(SUMIF(Capacity_Resource,$D17,'Critical resources (hide)'!BT$6:BT$105)+SUMIF(Capacity_Resource,$E17,'Critical resources (hide)'!BT$6:BT$105)+SUMIF(Capacity_Resource,$F17,'Critical resources (hide)'!BT$6:BT$105)&gt;0,$E$1=2),0,1)</f>
        <v>1</v>
      </c>
      <c r="BH17" s="68">
        <f>IF(ROW(C13)&lt;=Capacity!$A$16,IF('Capacity summary'!$D$14="No",SUM(H17:BG17),'Capacity summary'!$E136),0)</f>
        <v>0</v>
      </c>
      <c r="BI17" s="5" t="str">
        <f>IF(BH17&gt;0,IF(BH17&lt;Capacity!E29,Capacity!F29,Capacity!H29/'Capacity calculation (hide)'!BH17),"")</f>
        <v/>
      </c>
      <c r="BK17" s="319">
        <f>IF($BI17&lt;&gt;"",IF('Capacity summary'!$D$14="Yes",IF(COUNTBLANK('Capacity summary'!$H136:$BG136)&lt;52,IF('Capacity summary'!H136&lt;&gt;"",$BI17*H17,0),H17*$BI17),H17*$BI17),0)</f>
        <v>0</v>
      </c>
      <c r="BL17" s="319">
        <f>IF($BI17&lt;&gt;"",IF('Capacity summary'!$D$14="Yes",IF(COUNTBLANK('Capacity summary'!$H136:$BG136)&lt;52,IF('Capacity summary'!I136&lt;&gt;"",$BI17*I17,0),I17*$BI17),I17*$BI17),0)</f>
        <v>0</v>
      </c>
      <c r="BM17" s="319">
        <f>IF($BI17&lt;&gt;"",IF('Capacity summary'!$D$14="Yes",IF(COUNTBLANK('Capacity summary'!$H136:$BG136)&lt;52,IF('Capacity summary'!J136&lt;&gt;"",$BI17*J17,0),J17*$BI17),J17*$BI17),0)</f>
        <v>0</v>
      </c>
      <c r="BN17" s="319">
        <f>IF($BI17&lt;&gt;"",IF('Capacity summary'!$D$14="Yes",IF(COUNTBLANK('Capacity summary'!$H136:$BG136)&lt;52,IF('Capacity summary'!K136&lt;&gt;"",$BI17*K17,0),K17*$BI17),K17*$BI17),0)</f>
        <v>0</v>
      </c>
      <c r="BO17" s="319">
        <f>IF($BI17&lt;&gt;"",IF('Capacity summary'!$D$14="Yes",IF(COUNTBLANK('Capacity summary'!$H136:$BG136)&lt;52,IF('Capacity summary'!L136&lt;&gt;"",$BI17*L17,0),L17*$BI17),L17*$BI17),0)</f>
        <v>0</v>
      </c>
      <c r="BP17" s="319">
        <f>IF($BI17&lt;&gt;"",IF('Capacity summary'!$D$14="Yes",IF(COUNTBLANK('Capacity summary'!$H136:$BG136)&lt;52,IF('Capacity summary'!M136&lt;&gt;"",$BI17*M17,0),M17*$BI17),M17*$BI17),0)</f>
        <v>0</v>
      </c>
      <c r="BQ17" s="319">
        <f>IF($BI17&lt;&gt;"",IF('Capacity summary'!$D$14="Yes",IF(COUNTBLANK('Capacity summary'!$H136:$BG136)&lt;52,IF('Capacity summary'!N136&lt;&gt;"",$BI17*N17,0),N17*$BI17),N17*$BI17),0)</f>
        <v>0</v>
      </c>
      <c r="BR17" s="319">
        <f>IF($BI17&lt;&gt;"",IF('Capacity summary'!$D$14="Yes",IF(COUNTBLANK('Capacity summary'!$H136:$BG136)&lt;52,IF('Capacity summary'!O136&lt;&gt;"",$BI17*O17,0),O17*$BI17),O17*$BI17),0)</f>
        <v>0</v>
      </c>
      <c r="BS17" s="319">
        <f>IF($BI17&lt;&gt;"",IF('Capacity summary'!$D$14="Yes",IF(COUNTBLANK('Capacity summary'!$H136:$BG136)&lt;52,IF('Capacity summary'!P136&lt;&gt;"",$BI17*P17,0),P17*$BI17),P17*$BI17),0)</f>
        <v>0</v>
      </c>
      <c r="BT17" s="319">
        <f>IF($BI17&lt;&gt;"",IF('Capacity summary'!$D$14="Yes",IF(COUNTBLANK('Capacity summary'!$H136:$BG136)&lt;52,IF('Capacity summary'!Q136&lt;&gt;"",$BI17*Q17,0),Q17*$BI17),Q17*$BI17),0)</f>
        <v>0</v>
      </c>
      <c r="BU17" s="319">
        <f>IF($BI17&lt;&gt;"",IF('Capacity summary'!$D$14="Yes",IF(COUNTBLANK('Capacity summary'!$H136:$BG136)&lt;52,IF('Capacity summary'!R136&lt;&gt;"",$BI17*R17,0),R17*$BI17),R17*$BI17),0)</f>
        <v>0</v>
      </c>
      <c r="BV17" s="319">
        <f>IF($BI17&lt;&gt;"",IF('Capacity summary'!$D$14="Yes",IF(COUNTBLANK('Capacity summary'!$H136:$BG136)&lt;52,IF('Capacity summary'!S136&lt;&gt;"",$BI17*S17,0),S17*$BI17),S17*$BI17),0)</f>
        <v>0</v>
      </c>
      <c r="BW17" s="319">
        <f>IF($BI17&lt;&gt;"",IF('Capacity summary'!$D$14="Yes",IF(COUNTBLANK('Capacity summary'!$H136:$BG136)&lt;52,IF('Capacity summary'!T136&lt;&gt;"",$BI17*T17,0),T17*$BI17),T17*$BI17),0)</f>
        <v>0</v>
      </c>
      <c r="BX17" s="319">
        <f>IF($BI17&lt;&gt;"",IF('Capacity summary'!$D$14="Yes",IF(COUNTBLANK('Capacity summary'!$H136:$BG136)&lt;52,IF('Capacity summary'!U136&lt;&gt;"",$BI17*U17,0),U17*$BI17),U17*$BI17),0)</f>
        <v>0</v>
      </c>
      <c r="BY17" s="319">
        <f>IF($BI17&lt;&gt;"",IF('Capacity summary'!$D$14="Yes",IF(COUNTBLANK('Capacity summary'!$H136:$BG136)&lt;52,IF('Capacity summary'!V136&lt;&gt;"",$BI17*V17,0),V17*$BI17),V17*$BI17),0)</f>
        <v>0</v>
      </c>
      <c r="BZ17" s="319">
        <f>IF($BI17&lt;&gt;"",IF('Capacity summary'!$D$14="Yes",IF(COUNTBLANK('Capacity summary'!$H136:$BG136)&lt;52,IF('Capacity summary'!W136&lt;&gt;"",$BI17*W17,0),W17*$BI17),W17*$BI17),0)</f>
        <v>0</v>
      </c>
      <c r="CA17" s="319">
        <f>IF($BI17&lt;&gt;"",IF('Capacity summary'!$D$14="Yes",IF(COUNTBLANK('Capacity summary'!$H136:$BG136)&lt;52,IF('Capacity summary'!X136&lt;&gt;"",$BI17*X17,0),X17*$BI17),X17*$BI17),0)</f>
        <v>0</v>
      </c>
      <c r="CB17" s="319">
        <f>IF($BI17&lt;&gt;"",IF('Capacity summary'!$D$14="Yes",IF(COUNTBLANK('Capacity summary'!$H136:$BG136)&lt;52,IF('Capacity summary'!Y136&lt;&gt;"",$BI17*Y17,0),Y17*$BI17),Y17*$BI17),0)</f>
        <v>0</v>
      </c>
      <c r="CC17" s="319">
        <f>IF($BI17&lt;&gt;"",IF('Capacity summary'!$D$14="Yes",IF(COUNTBLANK('Capacity summary'!$H136:$BG136)&lt;52,IF('Capacity summary'!Z136&lt;&gt;"",$BI17*Z17,0),Z17*$BI17),Z17*$BI17),0)</f>
        <v>0</v>
      </c>
      <c r="CD17" s="319">
        <f>IF($BI17&lt;&gt;"",IF('Capacity summary'!$D$14="Yes",IF(COUNTBLANK('Capacity summary'!$H136:$BG136)&lt;52,IF('Capacity summary'!AA136&lt;&gt;"",$BI17*AA17,0),AA17*$BI17),AA17*$BI17),0)</f>
        <v>0</v>
      </c>
      <c r="CE17" s="319">
        <f>IF($BI17&lt;&gt;"",IF('Capacity summary'!$D$14="Yes",IF(COUNTBLANK('Capacity summary'!$H136:$BG136)&lt;52,IF('Capacity summary'!AB136&lt;&gt;"",$BI17*AB17,0),AB17*$BI17),AB17*$BI17),0)</f>
        <v>0</v>
      </c>
      <c r="CF17" s="319">
        <f>IF($BI17&lt;&gt;"",IF('Capacity summary'!$D$14="Yes",IF(COUNTBLANK('Capacity summary'!$H136:$BG136)&lt;52,IF('Capacity summary'!AC136&lt;&gt;"",$BI17*AC17,0),AC17*$BI17),AC17*$BI17),0)</f>
        <v>0</v>
      </c>
      <c r="CG17" s="319">
        <f>IF($BI17&lt;&gt;"",IF('Capacity summary'!$D$14="Yes",IF(COUNTBLANK('Capacity summary'!$H136:$BG136)&lt;52,IF('Capacity summary'!AD136&lt;&gt;"",$BI17*AD17,0),AD17*$BI17),AD17*$BI17),0)</f>
        <v>0</v>
      </c>
      <c r="CH17" s="319">
        <f>IF($BI17&lt;&gt;"",IF('Capacity summary'!$D$14="Yes",IF(COUNTBLANK('Capacity summary'!$H136:$BG136)&lt;52,IF('Capacity summary'!AE136&lt;&gt;"",$BI17*AE17,0),AE17*$BI17),AE17*$BI17),0)</f>
        <v>0</v>
      </c>
      <c r="CI17" s="319">
        <f>IF($BI17&lt;&gt;"",IF('Capacity summary'!$D$14="Yes",IF(COUNTBLANK('Capacity summary'!$H136:$BG136)&lt;52,IF('Capacity summary'!AF136&lt;&gt;"",$BI17*AF17,0),AF17*$BI17),AF17*$BI17),0)</f>
        <v>0</v>
      </c>
      <c r="CJ17" s="319">
        <f>IF($BI17&lt;&gt;"",IF('Capacity summary'!$D$14="Yes",IF(COUNTBLANK('Capacity summary'!$H136:$BG136)&lt;52,IF('Capacity summary'!AG136&lt;&gt;"",$BI17*AG17,0),AG17*$BI17),AG17*$BI17),0)</f>
        <v>0</v>
      </c>
      <c r="CK17" s="319">
        <f>IF($BI17&lt;&gt;"",IF('Capacity summary'!$D$14="Yes",IF(COUNTBLANK('Capacity summary'!$H136:$BG136)&lt;52,IF('Capacity summary'!AH136&lt;&gt;"",$BI17*AH17,0),AH17*$BI17),AH17*$BI17),0)</f>
        <v>0</v>
      </c>
      <c r="CL17" s="319">
        <f>IF($BI17&lt;&gt;"",IF('Capacity summary'!$D$14="Yes",IF(COUNTBLANK('Capacity summary'!$H136:$BG136)&lt;52,IF('Capacity summary'!AI136&lt;&gt;"",$BI17*AI17,0),AI17*$BI17),AI17*$BI17),0)</f>
        <v>0</v>
      </c>
      <c r="CM17" s="319">
        <f>IF($BI17&lt;&gt;"",IF('Capacity summary'!$D$14="Yes",IF(COUNTBLANK('Capacity summary'!$H136:$BG136)&lt;52,IF('Capacity summary'!AJ136&lt;&gt;"",$BI17*AJ17,0),AJ17*$BI17),AJ17*$BI17),0)</f>
        <v>0</v>
      </c>
      <c r="CN17" s="319">
        <f>IF($BI17&lt;&gt;"",IF('Capacity summary'!$D$14="Yes",IF(COUNTBLANK('Capacity summary'!$H136:$BG136)&lt;52,IF('Capacity summary'!AK136&lt;&gt;"",$BI17*AK17,0),AK17*$BI17),AK17*$BI17),0)</f>
        <v>0</v>
      </c>
      <c r="CO17" s="319">
        <f>IF($BI17&lt;&gt;"",IF('Capacity summary'!$D$14="Yes",IF(COUNTBLANK('Capacity summary'!$H136:$BG136)&lt;52,IF('Capacity summary'!AL136&lt;&gt;"",$BI17*AL17,0),AL17*$BI17),AL17*$BI17),0)</f>
        <v>0</v>
      </c>
      <c r="CP17" s="319">
        <f>IF($BI17&lt;&gt;"",IF('Capacity summary'!$D$14="Yes",IF(COUNTBLANK('Capacity summary'!$H136:$BG136)&lt;52,IF('Capacity summary'!AM136&lt;&gt;"",$BI17*AM17,0),AM17*$BI17),AM17*$BI17),0)</f>
        <v>0</v>
      </c>
      <c r="CQ17" s="319">
        <f>IF($BI17&lt;&gt;"",IF('Capacity summary'!$D$14="Yes",IF(COUNTBLANK('Capacity summary'!$H136:$BG136)&lt;52,IF('Capacity summary'!AN136&lt;&gt;"",$BI17*AN17,0),AN17*$BI17),AN17*$BI17),0)</f>
        <v>0</v>
      </c>
      <c r="CR17" s="319">
        <f>IF($BI17&lt;&gt;"",IF('Capacity summary'!$D$14="Yes",IF(COUNTBLANK('Capacity summary'!$H136:$BG136)&lt;52,IF('Capacity summary'!AO136&lt;&gt;"",$BI17*AO17,0),AO17*$BI17),AO17*$BI17),0)</f>
        <v>0</v>
      </c>
      <c r="CS17" s="319">
        <f>IF($BI17&lt;&gt;"",IF('Capacity summary'!$D$14="Yes",IF(COUNTBLANK('Capacity summary'!$H136:$BG136)&lt;52,IF('Capacity summary'!AP136&lt;&gt;"",$BI17*AP17,0),AP17*$BI17),AP17*$BI17),0)</f>
        <v>0</v>
      </c>
      <c r="CT17" s="319">
        <f>IF($BI17&lt;&gt;"",IF('Capacity summary'!$D$14="Yes",IF(COUNTBLANK('Capacity summary'!$H136:$BG136)&lt;52,IF('Capacity summary'!AQ136&lt;&gt;"",$BI17*AQ17,0),AQ17*$BI17),AQ17*$BI17),0)</f>
        <v>0</v>
      </c>
      <c r="CU17" s="319">
        <f>IF($BI17&lt;&gt;"",IF('Capacity summary'!$D$14="Yes",IF(COUNTBLANK('Capacity summary'!$H136:$BG136)&lt;52,IF('Capacity summary'!AR136&lt;&gt;"",$BI17*AR17,0),AR17*$BI17),AR17*$BI17),0)</f>
        <v>0</v>
      </c>
      <c r="CV17" s="319">
        <f>IF($BI17&lt;&gt;"",IF('Capacity summary'!$D$14="Yes",IF(COUNTBLANK('Capacity summary'!$H136:$BG136)&lt;52,IF('Capacity summary'!AS136&lt;&gt;"",$BI17*AS17,0),AS17*$BI17),AS17*$BI17),0)</f>
        <v>0</v>
      </c>
      <c r="CW17" s="319">
        <f>IF($BI17&lt;&gt;"",IF('Capacity summary'!$D$14="Yes",IF(COUNTBLANK('Capacity summary'!$H136:$BG136)&lt;52,IF('Capacity summary'!AT136&lt;&gt;"",$BI17*AT17,0),AT17*$BI17),AT17*$BI17),0)</f>
        <v>0</v>
      </c>
      <c r="CX17" s="319">
        <f>IF($BI17&lt;&gt;"",IF('Capacity summary'!$D$14="Yes",IF(COUNTBLANK('Capacity summary'!$H136:$BG136)&lt;52,IF('Capacity summary'!AU136&lt;&gt;"",$BI17*AU17,0),AU17*$BI17),AU17*$BI17),0)</f>
        <v>0</v>
      </c>
      <c r="CY17" s="319">
        <f>IF($BI17&lt;&gt;"",IF('Capacity summary'!$D$14="Yes",IF(COUNTBLANK('Capacity summary'!$H136:$BG136)&lt;52,IF('Capacity summary'!AV136&lt;&gt;"",$BI17*AV17,0),AV17*$BI17),AV17*$BI17),0)</f>
        <v>0</v>
      </c>
      <c r="CZ17" s="319">
        <f>IF($BI17&lt;&gt;"",IF('Capacity summary'!$D$14="Yes",IF(COUNTBLANK('Capacity summary'!$H136:$BG136)&lt;52,IF('Capacity summary'!AW136&lt;&gt;"",$BI17*AW17,0),AW17*$BI17),AW17*$BI17),0)</f>
        <v>0</v>
      </c>
      <c r="DA17" s="319">
        <f>IF($BI17&lt;&gt;"",IF('Capacity summary'!$D$14="Yes",IF(COUNTBLANK('Capacity summary'!$H136:$BG136)&lt;52,IF('Capacity summary'!AX136&lt;&gt;"",$BI17*AX17,0),AX17*$BI17),AX17*$BI17),0)</f>
        <v>0</v>
      </c>
      <c r="DB17" s="319">
        <f>IF($BI17&lt;&gt;"",IF('Capacity summary'!$D$14="Yes",IF(COUNTBLANK('Capacity summary'!$H136:$BG136)&lt;52,IF('Capacity summary'!AY136&lt;&gt;"",$BI17*AY17,0),AY17*$BI17),AY17*$BI17),0)</f>
        <v>0</v>
      </c>
      <c r="DC17" s="319">
        <f>IF($BI17&lt;&gt;"",IF('Capacity summary'!$D$14="Yes",IF(COUNTBLANK('Capacity summary'!$H136:$BG136)&lt;52,IF('Capacity summary'!AZ136&lt;&gt;"",$BI17*AZ17,0),AZ17*$BI17),AZ17*$BI17),0)</f>
        <v>0</v>
      </c>
      <c r="DD17" s="319">
        <f>IF($BI17&lt;&gt;"",IF('Capacity summary'!$D$14="Yes",IF(COUNTBLANK('Capacity summary'!$H136:$BG136)&lt;52,IF('Capacity summary'!BA136&lt;&gt;"",$BI17*BA17,0),BA17*$BI17),BA17*$BI17),0)</f>
        <v>0</v>
      </c>
      <c r="DE17" s="319">
        <f>IF($BI17&lt;&gt;"",IF('Capacity summary'!$D$14="Yes",IF(COUNTBLANK('Capacity summary'!$H136:$BG136)&lt;52,IF('Capacity summary'!BB136&lt;&gt;"",$BI17*BB17,0),BB17*$BI17),BB17*$BI17),0)</f>
        <v>0</v>
      </c>
      <c r="DF17" s="319">
        <f>IF($BI17&lt;&gt;"",IF('Capacity summary'!$D$14="Yes",IF(COUNTBLANK('Capacity summary'!$H136:$BG136)&lt;52,IF('Capacity summary'!BC136&lt;&gt;"",$BI17*BC17,0),BC17*$BI17),BC17*$BI17),0)</f>
        <v>0</v>
      </c>
      <c r="DG17" s="319">
        <f>IF($BI17&lt;&gt;"",IF('Capacity summary'!$D$14="Yes",IF(COUNTBLANK('Capacity summary'!$H136:$BG136)&lt;52,IF('Capacity summary'!BD136&lt;&gt;"",$BI17*BD17,0),BD17*$BI17),BD17*$BI17),0)</f>
        <v>0</v>
      </c>
      <c r="DH17" s="319">
        <f>IF($BI17&lt;&gt;"",IF('Capacity summary'!$D$14="Yes",IF(COUNTBLANK('Capacity summary'!$H136:$BG136)&lt;52,IF('Capacity summary'!BE136&lt;&gt;"",$BI17*BE17,0),BE17*$BI17),BE17*$BI17),0)</f>
        <v>0</v>
      </c>
      <c r="DI17" s="319">
        <f>IF($BI17&lt;&gt;"",IF('Capacity summary'!$D$14="Yes",IF(COUNTBLANK('Capacity summary'!$H136:$BG136)&lt;52,IF('Capacity summary'!BF136&lt;&gt;"",$BI17*BF17,0),BF17*$BI17),BF17*$BI17),0)</f>
        <v>0</v>
      </c>
      <c r="DJ17" s="319">
        <f>IF($BI17&lt;&gt;"",IF('Capacity summary'!$D$14="Yes",IF(COUNTBLANK('Capacity summary'!$H136:$BG136)&lt;52,IF('Capacity summary'!BG136&lt;&gt;"",$BI17*BG17,0),BG17*$BI17),BG17*$BI17),0)</f>
        <v>0</v>
      </c>
      <c r="DK17" s="5">
        <f t="shared" si="2"/>
        <v>0</v>
      </c>
      <c r="DL17" s="5" t="str">
        <f>Capacity!H29</f>
        <v/>
      </c>
      <c r="DP17" s="5"/>
    </row>
    <row r="18" spans="2:120" x14ac:dyDescent="0.2">
      <c r="B18" s="68"/>
      <c r="C18" s="68" t="str">
        <f>ROW(A14)&amp;". "&amp;Capacity!B30</f>
        <v xml:space="preserve">14. </v>
      </c>
      <c r="D18" s="68">
        <f>'Capacity setup'!C25</f>
        <v>0</v>
      </c>
      <c r="E18" s="68">
        <f>'Capacity setup'!D25</f>
        <v>0</v>
      </c>
      <c r="F18" s="68">
        <f>'Capacity setup'!E25</f>
        <v>0</v>
      </c>
      <c r="H18" s="68">
        <f ca="1">IF(AND(SUMIF(Capacity_Resource,$D18,'Critical resources (hide)'!U$6:U$105)+SUMIF(Capacity_Resource,$E18,'Critical resources (hide)'!U$6:U$105)+SUMIF(Capacity_Resource,$F18,'Critical resources (hide)'!U$6:U$105)&gt;0,$E$1=2),0,1)</f>
        <v>1</v>
      </c>
      <c r="I18" s="68">
        <f ca="1">IF(AND(SUMIF(Capacity_Resource,$D18,'Critical resources (hide)'!V$6:V$105)+SUMIF(Capacity_Resource,$E18,'Critical resources (hide)'!V$6:V$105)+SUMIF(Capacity_Resource,$F18,'Critical resources (hide)'!V$6:V$105)&gt;0,$E$1=2),0,1)</f>
        <v>1</v>
      </c>
      <c r="J18" s="68">
        <f ca="1">IF(AND(SUMIF(Capacity_Resource,$D18,'Critical resources (hide)'!W$6:W$105)+SUMIF(Capacity_Resource,$E18,'Critical resources (hide)'!W$6:W$105)+SUMIF(Capacity_Resource,$F18,'Critical resources (hide)'!W$6:W$105)&gt;0,$E$1=2),0,1)</f>
        <v>1</v>
      </c>
      <c r="K18" s="68">
        <f ca="1">IF(AND(SUMIF(Capacity_Resource,$D18,'Critical resources (hide)'!X$6:X$105)+SUMIF(Capacity_Resource,$E18,'Critical resources (hide)'!X$6:X$105)+SUMIF(Capacity_Resource,$F18,'Critical resources (hide)'!X$6:X$105)&gt;0,$E$1=2),0,1)</f>
        <v>1</v>
      </c>
      <c r="L18" s="68">
        <f ca="1">IF(AND(SUMIF(Capacity_Resource,$D18,'Critical resources (hide)'!Y$6:Y$105)+SUMIF(Capacity_Resource,$E18,'Critical resources (hide)'!Y$6:Y$105)+SUMIF(Capacity_Resource,$F18,'Critical resources (hide)'!Y$6:Y$105)&gt;0,$E$1=2),0,1)</f>
        <v>1</v>
      </c>
      <c r="M18" s="68">
        <f ca="1">IF(AND(SUMIF(Capacity_Resource,$D18,'Critical resources (hide)'!Z$6:Z$105)+SUMIF(Capacity_Resource,$E18,'Critical resources (hide)'!Z$6:Z$105)+SUMIF(Capacity_Resource,$F18,'Critical resources (hide)'!Z$6:Z$105)&gt;0,$E$1=2),0,1)</f>
        <v>1</v>
      </c>
      <c r="N18" s="68">
        <f ca="1">IF(AND(SUMIF(Capacity_Resource,$D18,'Critical resources (hide)'!AA$6:AA$105)+SUMIF(Capacity_Resource,$E18,'Critical resources (hide)'!AA$6:AA$105)+SUMIF(Capacity_Resource,$F18,'Critical resources (hide)'!AA$6:AA$105)&gt;0,$E$1=2),0,1)</f>
        <v>1</v>
      </c>
      <c r="O18" s="68">
        <f ca="1">IF(AND(SUMIF(Capacity_Resource,$D18,'Critical resources (hide)'!AB$6:AB$105)+SUMIF(Capacity_Resource,$E18,'Critical resources (hide)'!AB$6:AB$105)+SUMIF(Capacity_Resource,$F18,'Critical resources (hide)'!AB$6:AB$105)&gt;0,$E$1=2),0,1)</f>
        <v>1</v>
      </c>
      <c r="P18" s="68">
        <f ca="1">IF(AND(SUMIF(Capacity_Resource,$D18,'Critical resources (hide)'!AC$6:AC$105)+SUMIF(Capacity_Resource,$E18,'Critical resources (hide)'!AC$6:AC$105)+SUMIF(Capacity_Resource,$F18,'Critical resources (hide)'!AC$6:AC$105)&gt;0,$E$1=2),0,1)</f>
        <v>1</v>
      </c>
      <c r="Q18" s="68">
        <f ca="1">IF(AND(SUMIF(Capacity_Resource,$D18,'Critical resources (hide)'!AD$6:AD$105)+SUMIF(Capacity_Resource,$E18,'Critical resources (hide)'!AD$6:AD$105)+SUMIF(Capacity_Resource,$F18,'Critical resources (hide)'!AD$6:AD$105)&gt;0,$E$1=2),0,1)</f>
        <v>1</v>
      </c>
      <c r="R18" s="68">
        <f ca="1">IF(AND(SUMIF(Capacity_Resource,$D18,'Critical resources (hide)'!AE$6:AE$105)+SUMIF(Capacity_Resource,$E18,'Critical resources (hide)'!AE$6:AE$105)+SUMIF(Capacity_Resource,$F18,'Critical resources (hide)'!AE$6:AE$105)&gt;0,$E$1=2),0,1)</f>
        <v>1</v>
      </c>
      <c r="S18" s="68">
        <f ca="1">IF(AND(SUMIF(Capacity_Resource,$D18,'Critical resources (hide)'!AF$6:AF$105)+SUMIF(Capacity_Resource,$E18,'Critical resources (hide)'!AF$6:AF$105)+SUMIF(Capacity_Resource,$F18,'Critical resources (hide)'!AF$6:AF$105)&gt;0,$E$1=2),0,1)</f>
        <v>1</v>
      </c>
      <c r="T18" s="68">
        <f ca="1">IF(AND(SUMIF(Capacity_Resource,$D18,'Critical resources (hide)'!AG$6:AG$105)+SUMIF(Capacity_Resource,$E18,'Critical resources (hide)'!AG$6:AG$105)+SUMIF(Capacity_Resource,$F18,'Critical resources (hide)'!AG$6:AG$105)&gt;0,$E$1=2),0,1)</f>
        <v>1</v>
      </c>
      <c r="U18" s="68">
        <f ca="1">IF(AND(SUMIF(Capacity_Resource,$D18,'Critical resources (hide)'!AH$6:AH$105)+SUMIF(Capacity_Resource,$E18,'Critical resources (hide)'!AH$6:AH$105)+SUMIF(Capacity_Resource,$F18,'Critical resources (hide)'!AH$6:AH$105)&gt;0,$E$1=2),0,1)</f>
        <v>1</v>
      </c>
      <c r="V18" s="68">
        <f ca="1">IF(AND(SUMIF(Capacity_Resource,$D18,'Critical resources (hide)'!AI$6:AI$105)+SUMIF(Capacity_Resource,$E18,'Critical resources (hide)'!AI$6:AI$105)+SUMIF(Capacity_Resource,$F18,'Critical resources (hide)'!AI$6:AI$105)&gt;0,$E$1=2),0,1)</f>
        <v>1</v>
      </c>
      <c r="W18" s="68">
        <f ca="1">IF(AND(SUMIF(Capacity_Resource,$D18,'Critical resources (hide)'!AJ$6:AJ$105)+SUMIF(Capacity_Resource,$E18,'Critical resources (hide)'!AJ$6:AJ$105)+SUMIF(Capacity_Resource,$F18,'Critical resources (hide)'!AJ$6:AJ$105)&gt;0,$E$1=2),0,1)</f>
        <v>1</v>
      </c>
      <c r="X18" s="68">
        <f ca="1">IF(AND(SUMIF(Capacity_Resource,$D18,'Critical resources (hide)'!AK$6:AK$105)+SUMIF(Capacity_Resource,$E18,'Critical resources (hide)'!AK$6:AK$105)+SUMIF(Capacity_Resource,$F18,'Critical resources (hide)'!AK$6:AK$105)&gt;0,$E$1=2),0,1)</f>
        <v>1</v>
      </c>
      <c r="Y18" s="68">
        <f ca="1">IF(AND(SUMIF(Capacity_Resource,$D18,'Critical resources (hide)'!AL$6:AL$105)+SUMIF(Capacity_Resource,$E18,'Critical resources (hide)'!AL$6:AL$105)+SUMIF(Capacity_Resource,$F18,'Critical resources (hide)'!AL$6:AL$105)&gt;0,$E$1=2),0,1)</f>
        <v>1</v>
      </c>
      <c r="Z18" s="68">
        <f ca="1">IF(AND(SUMIF(Capacity_Resource,$D18,'Critical resources (hide)'!AM$6:AM$105)+SUMIF(Capacity_Resource,$E18,'Critical resources (hide)'!AM$6:AM$105)+SUMIF(Capacity_Resource,$F18,'Critical resources (hide)'!AM$6:AM$105)&gt;0,$E$1=2),0,1)</f>
        <v>1</v>
      </c>
      <c r="AA18" s="68">
        <f ca="1">IF(AND(SUMIF(Capacity_Resource,$D18,'Critical resources (hide)'!AN$6:AN$105)+SUMIF(Capacity_Resource,$E18,'Critical resources (hide)'!AN$6:AN$105)+SUMIF(Capacity_Resource,$F18,'Critical resources (hide)'!AN$6:AN$105)&gt;0,$E$1=2),0,1)</f>
        <v>1</v>
      </c>
      <c r="AB18" s="68">
        <f ca="1">IF(AND(SUMIF(Capacity_Resource,$D18,'Critical resources (hide)'!AO$6:AO$105)+SUMIF(Capacity_Resource,$E18,'Critical resources (hide)'!AO$6:AO$105)+SUMIF(Capacity_Resource,$F18,'Critical resources (hide)'!AO$6:AO$105)&gt;0,$E$1=2),0,1)</f>
        <v>1</v>
      </c>
      <c r="AC18" s="68">
        <f ca="1">IF(AND(SUMIF(Capacity_Resource,$D18,'Critical resources (hide)'!AP$6:AP$105)+SUMIF(Capacity_Resource,$E18,'Critical resources (hide)'!AP$6:AP$105)+SUMIF(Capacity_Resource,$F18,'Critical resources (hide)'!AP$6:AP$105)&gt;0,$E$1=2),0,1)</f>
        <v>1</v>
      </c>
      <c r="AD18" s="68">
        <f ca="1">IF(AND(SUMIF(Capacity_Resource,$D18,'Critical resources (hide)'!AQ$6:AQ$105)+SUMIF(Capacity_Resource,$E18,'Critical resources (hide)'!AQ$6:AQ$105)+SUMIF(Capacity_Resource,$F18,'Critical resources (hide)'!AQ$6:AQ$105)&gt;0,$E$1=2),0,1)</f>
        <v>1</v>
      </c>
      <c r="AE18" s="68">
        <f ca="1">IF(AND(SUMIF(Capacity_Resource,$D18,'Critical resources (hide)'!AR$6:AR$105)+SUMIF(Capacity_Resource,$E18,'Critical resources (hide)'!AR$6:AR$105)+SUMIF(Capacity_Resource,$F18,'Critical resources (hide)'!AR$6:AR$105)&gt;0,$E$1=2),0,1)</f>
        <v>1</v>
      </c>
      <c r="AF18" s="68">
        <f ca="1">IF(AND(SUMIF(Capacity_Resource,$D18,'Critical resources (hide)'!AS$6:AS$105)+SUMIF(Capacity_Resource,$E18,'Critical resources (hide)'!AS$6:AS$105)+SUMIF(Capacity_Resource,$F18,'Critical resources (hide)'!AS$6:AS$105)&gt;0,$E$1=2),0,1)</f>
        <v>1</v>
      </c>
      <c r="AG18" s="68">
        <f ca="1">IF(AND(SUMIF(Capacity_Resource,$D18,'Critical resources (hide)'!AT$6:AT$105)+SUMIF(Capacity_Resource,$E18,'Critical resources (hide)'!AT$6:AT$105)+SUMIF(Capacity_Resource,$F18,'Critical resources (hide)'!AT$6:AT$105)&gt;0,$E$1=2),0,1)</f>
        <v>1</v>
      </c>
      <c r="AH18" s="68">
        <f ca="1">IF(AND(SUMIF(Capacity_Resource,$D18,'Critical resources (hide)'!AU$6:AU$105)+SUMIF(Capacity_Resource,$E18,'Critical resources (hide)'!AU$6:AU$105)+SUMIF(Capacity_Resource,$F18,'Critical resources (hide)'!AU$6:AU$105)&gt;0,$E$1=2),0,1)</f>
        <v>1</v>
      </c>
      <c r="AI18" s="68">
        <f ca="1">IF(AND(SUMIF(Capacity_Resource,$D18,'Critical resources (hide)'!AV$6:AV$105)+SUMIF(Capacity_Resource,$E18,'Critical resources (hide)'!AV$6:AV$105)+SUMIF(Capacity_Resource,$F18,'Critical resources (hide)'!AV$6:AV$105)&gt;0,$E$1=2),0,1)</f>
        <v>1</v>
      </c>
      <c r="AJ18" s="68">
        <f ca="1">IF(AND(SUMIF(Capacity_Resource,$D18,'Critical resources (hide)'!AW$6:AW$105)+SUMIF(Capacity_Resource,$E18,'Critical resources (hide)'!AW$6:AW$105)+SUMIF(Capacity_Resource,$F18,'Critical resources (hide)'!AW$6:AW$105)&gt;0,$E$1=2),0,1)</f>
        <v>1</v>
      </c>
      <c r="AK18" s="68">
        <f ca="1">IF(AND(SUMIF(Capacity_Resource,$D18,'Critical resources (hide)'!AX$6:AX$105)+SUMIF(Capacity_Resource,$E18,'Critical resources (hide)'!AX$6:AX$105)+SUMIF(Capacity_Resource,$F18,'Critical resources (hide)'!AX$6:AX$105)&gt;0,$E$1=2),0,1)</f>
        <v>1</v>
      </c>
      <c r="AL18" s="68">
        <f ca="1">IF(AND(SUMIF(Capacity_Resource,$D18,'Critical resources (hide)'!AY$6:AY$105)+SUMIF(Capacity_Resource,$E18,'Critical resources (hide)'!AY$6:AY$105)+SUMIF(Capacity_Resource,$F18,'Critical resources (hide)'!AY$6:AY$105)&gt;0,$E$1=2),0,1)</f>
        <v>1</v>
      </c>
      <c r="AM18" s="68">
        <f ca="1">IF(AND(SUMIF(Capacity_Resource,$D18,'Critical resources (hide)'!AZ$6:AZ$105)+SUMIF(Capacity_Resource,$E18,'Critical resources (hide)'!AZ$6:AZ$105)+SUMIF(Capacity_Resource,$F18,'Critical resources (hide)'!AZ$6:AZ$105)&gt;0,$E$1=2),0,1)</f>
        <v>1</v>
      </c>
      <c r="AN18" s="68">
        <f ca="1">IF(AND(SUMIF(Capacity_Resource,$D18,'Critical resources (hide)'!BA$6:BA$105)+SUMIF(Capacity_Resource,$E18,'Critical resources (hide)'!BA$6:BA$105)+SUMIF(Capacity_Resource,$F18,'Critical resources (hide)'!BA$6:BA$105)&gt;0,$E$1=2),0,1)</f>
        <v>1</v>
      </c>
      <c r="AO18" s="68">
        <f ca="1">IF(AND(SUMIF(Capacity_Resource,$D18,'Critical resources (hide)'!BB$6:BB$105)+SUMIF(Capacity_Resource,$E18,'Critical resources (hide)'!BB$6:BB$105)+SUMIF(Capacity_Resource,$F18,'Critical resources (hide)'!BB$6:BB$105)&gt;0,$E$1=2),0,1)</f>
        <v>1</v>
      </c>
      <c r="AP18" s="68">
        <f ca="1">IF(AND(SUMIF(Capacity_Resource,$D18,'Critical resources (hide)'!BC$6:BC$105)+SUMIF(Capacity_Resource,$E18,'Critical resources (hide)'!BC$6:BC$105)+SUMIF(Capacity_Resource,$F18,'Critical resources (hide)'!BC$6:BC$105)&gt;0,$E$1=2),0,1)</f>
        <v>1</v>
      </c>
      <c r="AQ18" s="68">
        <f ca="1">IF(AND(SUMIF(Capacity_Resource,$D18,'Critical resources (hide)'!BD$6:BD$105)+SUMIF(Capacity_Resource,$E18,'Critical resources (hide)'!BD$6:BD$105)+SUMIF(Capacity_Resource,$F18,'Critical resources (hide)'!BD$6:BD$105)&gt;0,$E$1=2),0,1)</f>
        <v>1</v>
      </c>
      <c r="AR18" s="68">
        <f ca="1">IF(AND(SUMIF(Capacity_Resource,$D18,'Critical resources (hide)'!BE$6:BE$105)+SUMIF(Capacity_Resource,$E18,'Critical resources (hide)'!BE$6:BE$105)+SUMIF(Capacity_Resource,$F18,'Critical resources (hide)'!BE$6:BE$105)&gt;0,$E$1=2),0,1)</f>
        <v>1</v>
      </c>
      <c r="AS18" s="68">
        <f ca="1">IF(AND(SUMIF(Capacity_Resource,$D18,'Critical resources (hide)'!BF$6:BF$105)+SUMIF(Capacity_Resource,$E18,'Critical resources (hide)'!BF$6:BF$105)+SUMIF(Capacity_Resource,$F18,'Critical resources (hide)'!BF$6:BF$105)&gt;0,$E$1=2),0,1)</f>
        <v>1</v>
      </c>
      <c r="AT18" s="68">
        <f ca="1">IF(AND(SUMIF(Capacity_Resource,$D18,'Critical resources (hide)'!BG$6:BG$105)+SUMIF(Capacity_Resource,$E18,'Critical resources (hide)'!BG$6:BG$105)+SUMIF(Capacity_Resource,$F18,'Critical resources (hide)'!BG$6:BG$105)&gt;0,$E$1=2),0,1)</f>
        <v>1</v>
      </c>
      <c r="AU18" s="68">
        <f ca="1">IF(AND(SUMIF(Capacity_Resource,$D18,'Critical resources (hide)'!BH$6:BH$105)+SUMIF(Capacity_Resource,$E18,'Critical resources (hide)'!BH$6:BH$105)+SUMIF(Capacity_Resource,$F18,'Critical resources (hide)'!BH$6:BH$105)&gt;0,$E$1=2),0,1)</f>
        <v>1</v>
      </c>
      <c r="AV18" s="68">
        <f ca="1">IF(AND(SUMIF(Capacity_Resource,$D18,'Critical resources (hide)'!BI$6:BI$105)+SUMIF(Capacity_Resource,$E18,'Critical resources (hide)'!BI$6:BI$105)+SUMIF(Capacity_Resource,$F18,'Critical resources (hide)'!BI$6:BI$105)&gt;0,$E$1=2),0,1)</f>
        <v>1</v>
      </c>
      <c r="AW18" s="68">
        <f ca="1">IF(AND(SUMIF(Capacity_Resource,$D18,'Critical resources (hide)'!BJ$6:BJ$105)+SUMIF(Capacity_Resource,$E18,'Critical resources (hide)'!BJ$6:BJ$105)+SUMIF(Capacity_Resource,$F18,'Critical resources (hide)'!BJ$6:BJ$105)&gt;0,$E$1=2),0,1)</f>
        <v>1</v>
      </c>
      <c r="AX18" s="68">
        <f ca="1">IF(AND(SUMIF(Capacity_Resource,$D18,'Critical resources (hide)'!BK$6:BK$105)+SUMIF(Capacity_Resource,$E18,'Critical resources (hide)'!BK$6:BK$105)+SUMIF(Capacity_Resource,$F18,'Critical resources (hide)'!BK$6:BK$105)&gt;0,$E$1=2),0,1)</f>
        <v>1</v>
      </c>
      <c r="AY18" s="68">
        <f ca="1">IF(AND(SUMIF(Capacity_Resource,$D18,'Critical resources (hide)'!BL$6:BL$105)+SUMIF(Capacity_Resource,$E18,'Critical resources (hide)'!BL$6:BL$105)+SUMIF(Capacity_Resource,$F18,'Critical resources (hide)'!BL$6:BL$105)&gt;0,$E$1=2),0,1)</f>
        <v>1</v>
      </c>
      <c r="AZ18" s="68">
        <f ca="1">IF(AND(SUMIF(Capacity_Resource,$D18,'Critical resources (hide)'!BM$6:BM$105)+SUMIF(Capacity_Resource,$E18,'Critical resources (hide)'!BM$6:BM$105)+SUMIF(Capacity_Resource,$F18,'Critical resources (hide)'!BM$6:BM$105)&gt;0,$E$1=2),0,1)</f>
        <v>1</v>
      </c>
      <c r="BA18" s="68">
        <f ca="1">IF(AND(SUMIF(Capacity_Resource,$D18,'Critical resources (hide)'!BN$6:BN$105)+SUMIF(Capacity_Resource,$E18,'Critical resources (hide)'!BN$6:BN$105)+SUMIF(Capacity_Resource,$F18,'Critical resources (hide)'!BN$6:BN$105)&gt;0,$E$1=2),0,1)</f>
        <v>1</v>
      </c>
      <c r="BB18" s="68">
        <f ca="1">IF(AND(SUMIF(Capacity_Resource,$D18,'Critical resources (hide)'!BO$6:BO$105)+SUMIF(Capacity_Resource,$E18,'Critical resources (hide)'!BO$6:BO$105)+SUMIF(Capacity_Resource,$F18,'Critical resources (hide)'!BO$6:BO$105)&gt;0,$E$1=2),0,1)</f>
        <v>1</v>
      </c>
      <c r="BC18" s="68">
        <f ca="1">IF(AND(SUMIF(Capacity_Resource,$D18,'Critical resources (hide)'!BP$6:BP$105)+SUMIF(Capacity_Resource,$E18,'Critical resources (hide)'!BP$6:BP$105)+SUMIF(Capacity_Resource,$F18,'Critical resources (hide)'!BP$6:BP$105)&gt;0,$E$1=2),0,1)</f>
        <v>1</v>
      </c>
      <c r="BD18" s="68">
        <f ca="1">IF(AND(SUMIF(Capacity_Resource,$D18,'Critical resources (hide)'!BQ$6:BQ$105)+SUMIF(Capacity_Resource,$E18,'Critical resources (hide)'!BQ$6:BQ$105)+SUMIF(Capacity_Resource,$F18,'Critical resources (hide)'!BQ$6:BQ$105)&gt;0,$E$1=2),0,1)</f>
        <v>1</v>
      </c>
      <c r="BE18" s="68">
        <f ca="1">IF(AND(SUMIF(Capacity_Resource,$D18,'Critical resources (hide)'!BR$6:BR$105)+SUMIF(Capacity_Resource,$E18,'Critical resources (hide)'!BR$6:BR$105)+SUMIF(Capacity_Resource,$F18,'Critical resources (hide)'!BR$6:BR$105)&gt;0,$E$1=2),0,1)</f>
        <v>1</v>
      </c>
      <c r="BF18" s="68">
        <f ca="1">IF(AND(SUMIF(Capacity_Resource,$D18,'Critical resources (hide)'!BS$6:BS$105)+SUMIF(Capacity_Resource,$E18,'Critical resources (hide)'!BS$6:BS$105)+SUMIF(Capacity_Resource,$F18,'Critical resources (hide)'!BS$6:BS$105)&gt;0,$E$1=2),0,1)</f>
        <v>1</v>
      </c>
      <c r="BG18" s="68">
        <f ca="1">IF(AND(SUMIF(Capacity_Resource,$D18,'Critical resources (hide)'!BT$6:BT$105)+SUMIF(Capacity_Resource,$E18,'Critical resources (hide)'!BT$6:BT$105)+SUMIF(Capacity_Resource,$F18,'Critical resources (hide)'!BT$6:BT$105)&gt;0,$E$1=2),0,1)</f>
        <v>1</v>
      </c>
      <c r="BH18" s="68">
        <f>IF(ROW(C14)&lt;=Capacity!$A$16,IF('Capacity summary'!$D$14="No",SUM(H18:BG18),'Capacity summary'!$E137),0)</f>
        <v>0</v>
      </c>
      <c r="BI18" s="5" t="str">
        <f>IF(BH18&gt;0,IF(BH18&lt;Capacity!E30,Capacity!F30,Capacity!H30/'Capacity calculation (hide)'!BH18),"")</f>
        <v/>
      </c>
      <c r="BK18" s="319">
        <f>IF($BI18&lt;&gt;"",IF('Capacity summary'!$D$14="Yes",IF(COUNTBLANK('Capacity summary'!$H137:$BG137)&lt;52,IF('Capacity summary'!H137&lt;&gt;"",$BI18*H18,0),H18*$BI18),H18*$BI18),0)</f>
        <v>0</v>
      </c>
      <c r="BL18" s="319">
        <f>IF($BI18&lt;&gt;"",IF('Capacity summary'!$D$14="Yes",IF(COUNTBLANK('Capacity summary'!$H137:$BG137)&lt;52,IF('Capacity summary'!I137&lt;&gt;"",$BI18*I18,0),I18*$BI18),I18*$BI18),0)</f>
        <v>0</v>
      </c>
      <c r="BM18" s="319">
        <f>IF($BI18&lt;&gt;"",IF('Capacity summary'!$D$14="Yes",IF(COUNTBLANK('Capacity summary'!$H137:$BG137)&lt;52,IF('Capacity summary'!J137&lt;&gt;"",$BI18*J18,0),J18*$BI18),J18*$BI18),0)</f>
        <v>0</v>
      </c>
      <c r="BN18" s="319">
        <f>IF($BI18&lt;&gt;"",IF('Capacity summary'!$D$14="Yes",IF(COUNTBLANK('Capacity summary'!$H137:$BG137)&lt;52,IF('Capacity summary'!K137&lt;&gt;"",$BI18*K18,0),K18*$BI18),K18*$BI18),0)</f>
        <v>0</v>
      </c>
      <c r="BO18" s="319">
        <f>IF($BI18&lt;&gt;"",IF('Capacity summary'!$D$14="Yes",IF(COUNTBLANK('Capacity summary'!$H137:$BG137)&lt;52,IF('Capacity summary'!L137&lt;&gt;"",$BI18*L18,0),L18*$BI18),L18*$BI18),0)</f>
        <v>0</v>
      </c>
      <c r="BP18" s="319">
        <f>IF($BI18&lt;&gt;"",IF('Capacity summary'!$D$14="Yes",IF(COUNTBLANK('Capacity summary'!$H137:$BG137)&lt;52,IF('Capacity summary'!M137&lt;&gt;"",$BI18*M18,0),M18*$BI18),M18*$BI18),0)</f>
        <v>0</v>
      </c>
      <c r="BQ18" s="319">
        <f>IF($BI18&lt;&gt;"",IF('Capacity summary'!$D$14="Yes",IF(COUNTBLANK('Capacity summary'!$H137:$BG137)&lt;52,IF('Capacity summary'!N137&lt;&gt;"",$BI18*N18,0),N18*$BI18),N18*$BI18),0)</f>
        <v>0</v>
      </c>
      <c r="BR18" s="319">
        <f>IF($BI18&lt;&gt;"",IF('Capacity summary'!$D$14="Yes",IF(COUNTBLANK('Capacity summary'!$H137:$BG137)&lt;52,IF('Capacity summary'!O137&lt;&gt;"",$BI18*O18,0),O18*$BI18),O18*$BI18),0)</f>
        <v>0</v>
      </c>
      <c r="BS18" s="319">
        <f>IF($BI18&lt;&gt;"",IF('Capacity summary'!$D$14="Yes",IF(COUNTBLANK('Capacity summary'!$H137:$BG137)&lt;52,IF('Capacity summary'!P137&lt;&gt;"",$BI18*P18,0),P18*$BI18),P18*$BI18),0)</f>
        <v>0</v>
      </c>
      <c r="BT18" s="319">
        <f>IF($BI18&lt;&gt;"",IF('Capacity summary'!$D$14="Yes",IF(COUNTBLANK('Capacity summary'!$H137:$BG137)&lt;52,IF('Capacity summary'!Q137&lt;&gt;"",$BI18*Q18,0),Q18*$BI18),Q18*$BI18),0)</f>
        <v>0</v>
      </c>
      <c r="BU18" s="319">
        <f>IF($BI18&lt;&gt;"",IF('Capacity summary'!$D$14="Yes",IF(COUNTBLANK('Capacity summary'!$H137:$BG137)&lt;52,IF('Capacity summary'!R137&lt;&gt;"",$BI18*R18,0),R18*$BI18),R18*$BI18),0)</f>
        <v>0</v>
      </c>
      <c r="BV18" s="319">
        <f>IF($BI18&lt;&gt;"",IF('Capacity summary'!$D$14="Yes",IF(COUNTBLANK('Capacity summary'!$H137:$BG137)&lt;52,IF('Capacity summary'!S137&lt;&gt;"",$BI18*S18,0),S18*$BI18),S18*$BI18),0)</f>
        <v>0</v>
      </c>
      <c r="BW18" s="319">
        <f>IF($BI18&lt;&gt;"",IF('Capacity summary'!$D$14="Yes",IF(COUNTBLANK('Capacity summary'!$H137:$BG137)&lt;52,IF('Capacity summary'!T137&lt;&gt;"",$BI18*T18,0),T18*$BI18),T18*$BI18),0)</f>
        <v>0</v>
      </c>
      <c r="BX18" s="319">
        <f>IF($BI18&lt;&gt;"",IF('Capacity summary'!$D$14="Yes",IF(COUNTBLANK('Capacity summary'!$H137:$BG137)&lt;52,IF('Capacity summary'!U137&lt;&gt;"",$BI18*U18,0),U18*$BI18),U18*$BI18),0)</f>
        <v>0</v>
      </c>
      <c r="BY18" s="319">
        <f>IF($BI18&lt;&gt;"",IF('Capacity summary'!$D$14="Yes",IF(COUNTBLANK('Capacity summary'!$H137:$BG137)&lt;52,IF('Capacity summary'!V137&lt;&gt;"",$BI18*V18,0),V18*$BI18),V18*$BI18),0)</f>
        <v>0</v>
      </c>
      <c r="BZ18" s="319">
        <f>IF($BI18&lt;&gt;"",IF('Capacity summary'!$D$14="Yes",IF(COUNTBLANK('Capacity summary'!$H137:$BG137)&lt;52,IF('Capacity summary'!W137&lt;&gt;"",$BI18*W18,0),W18*$BI18),W18*$BI18),0)</f>
        <v>0</v>
      </c>
      <c r="CA18" s="319">
        <f>IF($BI18&lt;&gt;"",IF('Capacity summary'!$D$14="Yes",IF(COUNTBLANK('Capacity summary'!$H137:$BG137)&lt;52,IF('Capacity summary'!X137&lt;&gt;"",$BI18*X18,0),X18*$BI18),X18*$BI18),0)</f>
        <v>0</v>
      </c>
      <c r="CB18" s="319">
        <f>IF($BI18&lt;&gt;"",IF('Capacity summary'!$D$14="Yes",IF(COUNTBLANK('Capacity summary'!$H137:$BG137)&lt;52,IF('Capacity summary'!Y137&lt;&gt;"",$BI18*Y18,0),Y18*$BI18),Y18*$BI18),0)</f>
        <v>0</v>
      </c>
      <c r="CC18" s="319">
        <f>IF($BI18&lt;&gt;"",IF('Capacity summary'!$D$14="Yes",IF(COUNTBLANK('Capacity summary'!$H137:$BG137)&lt;52,IF('Capacity summary'!Z137&lt;&gt;"",$BI18*Z18,0),Z18*$BI18),Z18*$BI18),0)</f>
        <v>0</v>
      </c>
      <c r="CD18" s="319">
        <f>IF($BI18&lt;&gt;"",IF('Capacity summary'!$D$14="Yes",IF(COUNTBLANK('Capacity summary'!$H137:$BG137)&lt;52,IF('Capacity summary'!AA137&lt;&gt;"",$BI18*AA18,0),AA18*$BI18),AA18*$BI18),0)</f>
        <v>0</v>
      </c>
      <c r="CE18" s="319">
        <f>IF($BI18&lt;&gt;"",IF('Capacity summary'!$D$14="Yes",IF(COUNTBLANK('Capacity summary'!$H137:$BG137)&lt;52,IF('Capacity summary'!AB137&lt;&gt;"",$BI18*AB18,0),AB18*$BI18),AB18*$BI18),0)</f>
        <v>0</v>
      </c>
      <c r="CF18" s="319">
        <f>IF($BI18&lt;&gt;"",IF('Capacity summary'!$D$14="Yes",IF(COUNTBLANK('Capacity summary'!$H137:$BG137)&lt;52,IF('Capacity summary'!AC137&lt;&gt;"",$BI18*AC18,0),AC18*$BI18),AC18*$BI18),0)</f>
        <v>0</v>
      </c>
      <c r="CG18" s="319">
        <f>IF($BI18&lt;&gt;"",IF('Capacity summary'!$D$14="Yes",IF(COUNTBLANK('Capacity summary'!$H137:$BG137)&lt;52,IF('Capacity summary'!AD137&lt;&gt;"",$BI18*AD18,0),AD18*$BI18),AD18*$BI18),0)</f>
        <v>0</v>
      </c>
      <c r="CH18" s="319">
        <f>IF($BI18&lt;&gt;"",IF('Capacity summary'!$D$14="Yes",IF(COUNTBLANK('Capacity summary'!$H137:$BG137)&lt;52,IF('Capacity summary'!AE137&lt;&gt;"",$BI18*AE18,0),AE18*$BI18),AE18*$BI18),0)</f>
        <v>0</v>
      </c>
      <c r="CI18" s="319">
        <f>IF($BI18&lt;&gt;"",IF('Capacity summary'!$D$14="Yes",IF(COUNTBLANK('Capacity summary'!$H137:$BG137)&lt;52,IF('Capacity summary'!AF137&lt;&gt;"",$BI18*AF18,0),AF18*$BI18),AF18*$BI18),0)</f>
        <v>0</v>
      </c>
      <c r="CJ18" s="319">
        <f>IF($BI18&lt;&gt;"",IF('Capacity summary'!$D$14="Yes",IF(COUNTBLANK('Capacity summary'!$H137:$BG137)&lt;52,IF('Capacity summary'!AG137&lt;&gt;"",$BI18*AG18,0),AG18*$BI18),AG18*$BI18),0)</f>
        <v>0</v>
      </c>
      <c r="CK18" s="319">
        <f>IF($BI18&lt;&gt;"",IF('Capacity summary'!$D$14="Yes",IF(COUNTBLANK('Capacity summary'!$H137:$BG137)&lt;52,IF('Capacity summary'!AH137&lt;&gt;"",$BI18*AH18,0),AH18*$BI18),AH18*$BI18),0)</f>
        <v>0</v>
      </c>
      <c r="CL18" s="319">
        <f>IF($BI18&lt;&gt;"",IF('Capacity summary'!$D$14="Yes",IF(COUNTBLANK('Capacity summary'!$H137:$BG137)&lt;52,IF('Capacity summary'!AI137&lt;&gt;"",$BI18*AI18,0),AI18*$BI18),AI18*$BI18),0)</f>
        <v>0</v>
      </c>
      <c r="CM18" s="319">
        <f>IF($BI18&lt;&gt;"",IF('Capacity summary'!$D$14="Yes",IF(COUNTBLANK('Capacity summary'!$H137:$BG137)&lt;52,IF('Capacity summary'!AJ137&lt;&gt;"",$BI18*AJ18,0),AJ18*$BI18),AJ18*$BI18),0)</f>
        <v>0</v>
      </c>
      <c r="CN18" s="319">
        <f>IF($BI18&lt;&gt;"",IF('Capacity summary'!$D$14="Yes",IF(COUNTBLANK('Capacity summary'!$H137:$BG137)&lt;52,IF('Capacity summary'!AK137&lt;&gt;"",$BI18*AK18,0),AK18*$BI18),AK18*$BI18),0)</f>
        <v>0</v>
      </c>
      <c r="CO18" s="319">
        <f>IF($BI18&lt;&gt;"",IF('Capacity summary'!$D$14="Yes",IF(COUNTBLANK('Capacity summary'!$H137:$BG137)&lt;52,IF('Capacity summary'!AL137&lt;&gt;"",$BI18*AL18,0),AL18*$BI18),AL18*$BI18),0)</f>
        <v>0</v>
      </c>
      <c r="CP18" s="319">
        <f>IF($BI18&lt;&gt;"",IF('Capacity summary'!$D$14="Yes",IF(COUNTBLANK('Capacity summary'!$H137:$BG137)&lt;52,IF('Capacity summary'!AM137&lt;&gt;"",$BI18*AM18,0),AM18*$BI18),AM18*$BI18),0)</f>
        <v>0</v>
      </c>
      <c r="CQ18" s="319">
        <f>IF($BI18&lt;&gt;"",IF('Capacity summary'!$D$14="Yes",IF(COUNTBLANK('Capacity summary'!$H137:$BG137)&lt;52,IF('Capacity summary'!AN137&lt;&gt;"",$BI18*AN18,0),AN18*$BI18),AN18*$BI18),0)</f>
        <v>0</v>
      </c>
      <c r="CR18" s="319">
        <f>IF($BI18&lt;&gt;"",IF('Capacity summary'!$D$14="Yes",IF(COUNTBLANK('Capacity summary'!$H137:$BG137)&lt;52,IF('Capacity summary'!AO137&lt;&gt;"",$BI18*AO18,0),AO18*$BI18),AO18*$BI18),0)</f>
        <v>0</v>
      </c>
      <c r="CS18" s="319">
        <f>IF($BI18&lt;&gt;"",IF('Capacity summary'!$D$14="Yes",IF(COUNTBLANK('Capacity summary'!$H137:$BG137)&lt;52,IF('Capacity summary'!AP137&lt;&gt;"",$BI18*AP18,0),AP18*$BI18),AP18*$BI18),0)</f>
        <v>0</v>
      </c>
      <c r="CT18" s="319">
        <f>IF($BI18&lt;&gt;"",IF('Capacity summary'!$D$14="Yes",IF(COUNTBLANK('Capacity summary'!$H137:$BG137)&lt;52,IF('Capacity summary'!AQ137&lt;&gt;"",$BI18*AQ18,0),AQ18*$BI18),AQ18*$BI18),0)</f>
        <v>0</v>
      </c>
      <c r="CU18" s="319">
        <f>IF($BI18&lt;&gt;"",IF('Capacity summary'!$D$14="Yes",IF(COUNTBLANK('Capacity summary'!$H137:$BG137)&lt;52,IF('Capacity summary'!AR137&lt;&gt;"",$BI18*AR18,0),AR18*$BI18),AR18*$BI18),0)</f>
        <v>0</v>
      </c>
      <c r="CV18" s="319">
        <f>IF($BI18&lt;&gt;"",IF('Capacity summary'!$D$14="Yes",IF(COUNTBLANK('Capacity summary'!$H137:$BG137)&lt;52,IF('Capacity summary'!AS137&lt;&gt;"",$BI18*AS18,0),AS18*$BI18),AS18*$BI18),0)</f>
        <v>0</v>
      </c>
      <c r="CW18" s="319">
        <f>IF($BI18&lt;&gt;"",IF('Capacity summary'!$D$14="Yes",IF(COUNTBLANK('Capacity summary'!$H137:$BG137)&lt;52,IF('Capacity summary'!AT137&lt;&gt;"",$BI18*AT18,0),AT18*$BI18),AT18*$BI18),0)</f>
        <v>0</v>
      </c>
      <c r="CX18" s="319">
        <f>IF($BI18&lt;&gt;"",IF('Capacity summary'!$D$14="Yes",IF(COUNTBLANK('Capacity summary'!$H137:$BG137)&lt;52,IF('Capacity summary'!AU137&lt;&gt;"",$BI18*AU18,0),AU18*$BI18),AU18*$BI18),0)</f>
        <v>0</v>
      </c>
      <c r="CY18" s="319">
        <f>IF($BI18&lt;&gt;"",IF('Capacity summary'!$D$14="Yes",IF(COUNTBLANK('Capacity summary'!$H137:$BG137)&lt;52,IF('Capacity summary'!AV137&lt;&gt;"",$BI18*AV18,0),AV18*$BI18),AV18*$BI18),0)</f>
        <v>0</v>
      </c>
      <c r="CZ18" s="319">
        <f>IF($BI18&lt;&gt;"",IF('Capacity summary'!$D$14="Yes",IF(COUNTBLANK('Capacity summary'!$H137:$BG137)&lt;52,IF('Capacity summary'!AW137&lt;&gt;"",$BI18*AW18,0),AW18*$BI18),AW18*$BI18),0)</f>
        <v>0</v>
      </c>
      <c r="DA18" s="319">
        <f>IF($BI18&lt;&gt;"",IF('Capacity summary'!$D$14="Yes",IF(COUNTBLANK('Capacity summary'!$H137:$BG137)&lt;52,IF('Capacity summary'!AX137&lt;&gt;"",$BI18*AX18,0),AX18*$BI18),AX18*$BI18),0)</f>
        <v>0</v>
      </c>
      <c r="DB18" s="319">
        <f>IF($BI18&lt;&gt;"",IF('Capacity summary'!$D$14="Yes",IF(COUNTBLANK('Capacity summary'!$H137:$BG137)&lt;52,IF('Capacity summary'!AY137&lt;&gt;"",$BI18*AY18,0),AY18*$BI18),AY18*$BI18),0)</f>
        <v>0</v>
      </c>
      <c r="DC18" s="319">
        <f>IF($BI18&lt;&gt;"",IF('Capacity summary'!$D$14="Yes",IF(COUNTBLANK('Capacity summary'!$H137:$BG137)&lt;52,IF('Capacity summary'!AZ137&lt;&gt;"",$BI18*AZ18,0),AZ18*$BI18),AZ18*$BI18),0)</f>
        <v>0</v>
      </c>
      <c r="DD18" s="319">
        <f>IF($BI18&lt;&gt;"",IF('Capacity summary'!$D$14="Yes",IF(COUNTBLANK('Capacity summary'!$H137:$BG137)&lt;52,IF('Capacity summary'!BA137&lt;&gt;"",$BI18*BA18,0),BA18*$BI18),BA18*$BI18),0)</f>
        <v>0</v>
      </c>
      <c r="DE18" s="319">
        <f>IF($BI18&lt;&gt;"",IF('Capacity summary'!$D$14="Yes",IF(COUNTBLANK('Capacity summary'!$H137:$BG137)&lt;52,IF('Capacity summary'!BB137&lt;&gt;"",$BI18*BB18,0),BB18*$BI18),BB18*$BI18),0)</f>
        <v>0</v>
      </c>
      <c r="DF18" s="319">
        <f>IF($BI18&lt;&gt;"",IF('Capacity summary'!$D$14="Yes",IF(COUNTBLANK('Capacity summary'!$H137:$BG137)&lt;52,IF('Capacity summary'!BC137&lt;&gt;"",$BI18*BC18,0),BC18*$BI18),BC18*$BI18),0)</f>
        <v>0</v>
      </c>
      <c r="DG18" s="319">
        <f>IF($BI18&lt;&gt;"",IF('Capacity summary'!$D$14="Yes",IF(COUNTBLANK('Capacity summary'!$H137:$BG137)&lt;52,IF('Capacity summary'!BD137&lt;&gt;"",$BI18*BD18,0),BD18*$BI18),BD18*$BI18),0)</f>
        <v>0</v>
      </c>
      <c r="DH18" s="319">
        <f>IF($BI18&lt;&gt;"",IF('Capacity summary'!$D$14="Yes",IF(COUNTBLANK('Capacity summary'!$H137:$BG137)&lt;52,IF('Capacity summary'!BE137&lt;&gt;"",$BI18*BE18,0),BE18*$BI18),BE18*$BI18),0)</f>
        <v>0</v>
      </c>
      <c r="DI18" s="319">
        <f>IF($BI18&lt;&gt;"",IF('Capacity summary'!$D$14="Yes",IF(COUNTBLANK('Capacity summary'!$H137:$BG137)&lt;52,IF('Capacity summary'!BF137&lt;&gt;"",$BI18*BF18,0),BF18*$BI18),BF18*$BI18),0)</f>
        <v>0</v>
      </c>
      <c r="DJ18" s="319">
        <f>IF($BI18&lt;&gt;"",IF('Capacity summary'!$D$14="Yes",IF(COUNTBLANK('Capacity summary'!$H137:$BG137)&lt;52,IF('Capacity summary'!BG137&lt;&gt;"",$BI18*BG18,0),BG18*$BI18),BG18*$BI18),0)</f>
        <v>0</v>
      </c>
      <c r="DK18" s="5">
        <f t="shared" si="2"/>
        <v>0</v>
      </c>
      <c r="DL18" s="5" t="str">
        <f>Capacity!H30</f>
        <v/>
      </c>
      <c r="DP18" s="5"/>
    </row>
    <row r="19" spans="2:120" x14ac:dyDescent="0.2">
      <c r="B19" s="68"/>
      <c r="C19" s="68" t="str">
        <f>ROW(A15)&amp;". "&amp;Capacity!B31</f>
        <v xml:space="preserve">15. </v>
      </c>
      <c r="D19" s="68">
        <f>'Capacity setup'!C26</f>
        <v>0</v>
      </c>
      <c r="E19" s="68">
        <f>'Capacity setup'!D26</f>
        <v>0</v>
      </c>
      <c r="F19" s="68">
        <f>'Capacity setup'!E26</f>
        <v>0</v>
      </c>
      <c r="H19" s="68">
        <f ca="1">IF(AND(SUMIF(Capacity_Resource,$D19,'Critical resources (hide)'!U$6:U$105)+SUMIF(Capacity_Resource,$E19,'Critical resources (hide)'!U$6:U$105)+SUMIF(Capacity_Resource,$F19,'Critical resources (hide)'!U$6:U$105)&gt;0,$E$1=2),0,1)</f>
        <v>1</v>
      </c>
      <c r="I19" s="68">
        <f ca="1">IF(AND(SUMIF(Capacity_Resource,$D19,'Critical resources (hide)'!V$6:V$105)+SUMIF(Capacity_Resource,$E19,'Critical resources (hide)'!V$6:V$105)+SUMIF(Capacity_Resource,$F19,'Critical resources (hide)'!V$6:V$105)&gt;0,$E$1=2),0,1)</f>
        <v>1</v>
      </c>
      <c r="J19" s="68">
        <f ca="1">IF(AND(SUMIF(Capacity_Resource,$D19,'Critical resources (hide)'!W$6:W$105)+SUMIF(Capacity_Resource,$E19,'Critical resources (hide)'!W$6:W$105)+SUMIF(Capacity_Resource,$F19,'Critical resources (hide)'!W$6:W$105)&gt;0,$E$1=2),0,1)</f>
        <v>1</v>
      </c>
      <c r="K19" s="68">
        <f ca="1">IF(AND(SUMIF(Capacity_Resource,$D19,'Critical resources (hide)'!X$6:X$105)+SUMIF(Capacity_Resource,$E19,'Critical resources (hide)'!X$6:X$105)+SUMIF(Capacity_Resource,$F19,'Critical resources (hide)'!X$6:X$105)&gt;0,$E$1=2),0,1)</f>
        <v>1</v>
      </c>
      <c r="L19" s="68">
        <f ca="1">IF(AND(SUMIF(Capacity_Resource,$D19,'Critical resources (hide)'!Y$6:Y$105)+SUMIF(Capacity_Resource,$E19,'Critical resources (hide)'!Y$6:Y$105)+SUMIF(Capacity_Resource,$F19,'Critical resources (hide)'!Y$6:Y$105)&gt;0,$E$1=2),0,1)</f>
        <v>1</v>
      </c>
      <c r="M19" s="68">
        <f ca="1">IF(AND(SUMIF(Capacity_Resource,$D19,'Critical resources (hide)'!Z$6:Z$105)+SUMIF(Capacity_Resource,$E19,'Critical resources (hide)'!Z$6:Z$105)+SUMIF(Capacity_Resource,$F19,'Critical resources (hide)'!Z$6:Z$105)&gt;0,$E$1=2),0,1)</f>
        <v>1</v>
      </c>
      <c r="N19" s="68">
        <f ca="1">IF(AND(SUMIF(Capacity_Resource,$D19,'Critical resources (hide)'!AA$6:AA$105)+SUMIF(Capacity_Resource,$E19,'Critical resources (hide)'!AA$6:AA$105)+SUMIF(Capacity_Resource,$F19,'Critical resources (hide)'!AA$6:AA$105)&gt;0,$E$1=2),0,1)</f>
        <v>1</v>
      </c>
      <c r="O19" s="68">
        <f ca="1">IF(AND(SUMIF(Capacity_Resource,$D19,'Critical resources (hide)'!AB$6:AB$105)+SUMIF(Capacity_Resource,$E19,'Critical resources (hide)'!AB$6:AB$105)+SUMIF(Capacity_Resource,$F19,'Critical resources (hide)'!AB$6:AB$105)&gt;0,$E$1=2),0,1)</f>
        <v>1</v>
      </c>
      <c r="P19" s="68">
        <f ca="1">IF(AND(SUMIF(Capacity_Resource,$D19,'Critical resources (hide)'!AC$6:AC$105)+SUMIF(Capacity_Resource,$E19,'Critical resources (hide)'!AC$6:AC$105)+SUMIF(Capacity_Resource,$F19,'Critical resources (hide)'!AC$6:AC$105)&gt;0,$E$1=2),0,1)</f>
        <v>1</v>
      </c>
      <c r="Q19" s="68">
        <f ca="1">IF(AND(SUMIF(Capacity_Resource,$D19,'Critical resources (hide)'!AD$6:AD$105)+SUMIF(Capacity_Resource,$E19,'Critical resources (hide)'!AD$6:AD$105)+SUMIF(Capacity_Resource,$F19,'Critical resources (hide)'!AD$6:AD$105)&gt;0,$E$1=2),0,1)</f>
        <v>1</v>
      </c>
      <c r="R19" s="68">
        <f ca="1">IF(AND(SUMIF(Capacity_Resource,$D19,'Critical resources (hide)'!AE$6:AE$105)+SUMIF(Capacity_Resource,$E19,'Critical resources (hide)'!AE$6:AE$105)+SUMIF(Capacity_Resource,$F19,'Critical resources (hide)'!AE$6:AE$105)&gt;0,$E$1=2),0,1)</f>
        <v>1</v>
      </c>
      <c r="S19" s="68">
        <f ca="1">IF(AND(SUMIF(Capacity_Resource,$D19,'Critical resources (hide)'!AF$6:AF$105)+SUMIF(Capacity_Resource,$E19,'Critical resources (hide)'!AF$6:AF$105)+SUMIF(Capacity_Resource,$F19,'Critical resources (hide)'!AF$6:AF$105)&gt;0,$E$1=2),0,1)</f>
        <v>1</v>
      </c>
      <c r="T19" s="68">
        <f ca="1">IF(AND(SUMIF(Capacity_Resource,$D19,'Critical resources (hide)'!AG$6:AG$105)+SUMIF(Capacity_Resource,$E19,'Critical resources (hide)'!AG$6:AG$105)+SUMIF(Capacity_Resource,$F19,'Critical resources (hide)'!AG$6:AG$105)&gt;0,$E$1=2),0,1)</f>
        <v>1</v>
      </c>
      <c r="U19" s="68">
        <f ca="1">IF(AND(SUMIF(Capacity_Resource,$D19,'Critical resources (hide)'!AH$6:AH$105)+SUMIF(Capacity_Resource,$E19,'Critical resources (hide)'!AH$6:AH$105)+SUMIF(Capacity_Resource,$F19,'Critical resources (hide)'!AH$6:AH$105)&gt;0,$E$1=2),0,1)</f>
        <v>1</v>
      </c>
      <c r="V19" s="68">
        <f ca="1">IF(AND(SUMIF(Capacity_Resource,$D19,'Critical resources (hide)'!AI$6:AI$105)+SUMIF(Capacity_Resource,$E19,'Critical resources (hide)'!AI$6:AI$105)+SUMIF(Capacity_Resource,$F19,'Critical resources (hide)'!AI$6:AI$105)&gt;0,$E$1=2),0,1)</f>
        <v>1</v>
      </c>
      <c r="W19" s="68">
        <f ca="1">IF(AND(SUMIF(Capacity_Resource,$D19,'Critical resources (hide)'!AJ$6:AJ$105)+SUMIF(Capacity_Resource,$E19,'Critical resources (hide)'!AJ$6:AJ$105)+SUMIF(Capacity_Resource,$F19,'Critical resources (hide)'!AJ$6:AJ$105)&gt;0,$E$1=2),0,1)</f>
        <v>1</v>
      </c>
      <c r="X19" s="68">
        <f ca="1">IF(AND(SUMIF(Capacity_Resource,$D19,'Critical resources (hide)'!AK$6:AK$105)+SUMIF(Capacity_Resource,$E19,'Critical resources (hide)'!AK$6:AK$105)+SUMIF(Capacity_Resource,$F19,'Critical resources (hide)'!AK$6:AK$105)&gt;0,$E$1=2),0,1)</f>
        <v>1</v>
      </c>
      <c r="Y19" s="68">
        <f ca="1">IF(AND(SUMIF(Capacity_Resource,$D19,'Critical resources (hide)'!AL$6:AL$105)+SUMIF(Capacity_Resource,$E19,'Critical resources (hide)'!AL$6:AL$105)+SUMIF(Capacity_Resource,$F19,'Critical resources (hide)'!AL$6:AL$105)&gt;0,$E$1=2),0,1)</f>
        <v>1</v>
      </c>
      <c r="Z19" s="68">
        <f ca="1">IF(AND(SUMIF(Capacity_Resource,$D19,'Critical resources (hide)'!AM$6:AM$105)+SUMIF(Capacity_Resource,$E19,'Critical resources (hide)'!AM$6:AM$105)+SUMIF(Capacity_Resource,$F19,'Critical resources (hide)'!AM$6:AM$105)&gt;0,$E$1=2),0,1)</f>
        <v>1</v>
      </c>
      <c r="AA19" s="68">
        <f ca="1">IF(AND(SUMIF(Capacity_Resource,$D19,'Critical resources (hide)'!AN$6:AN$105)+SUMIF(Capacity_Resource,$E19,'Critical resources (hide)'!AN$6:AN$105)+SUMIF(Capacity_Resource,$F19,'Critical resources (hide)'!AN$6:AN$105)&gt;0,$E$1=2),0,1)</f>
        <v>1</v>
      </c>
      <c r="AB19" s="68">
        <f ca="1">IF(AND(SUMIF(Capacity_Resource,$D19,'Critical resources (hide)'!AO$6:AO$105)+SUMIF(Capacity_Resource,$E19,'Critical resources (hide)'!AO$6:AO$105)+SUMIF(Capacity_Resource,$F19,'Critical resources (hide)'!AO$6:AO$105)&gt;0,$E$1=2),0,1)</f>
        <v>1</v>
      </c>
      <c r="AC19" s="68">
        <f ca="1">IF(AND(SUMIF(Capacity_Resource,$D19,'Critical resources (hide)'!AP$6:AP$105)+SUMIF(Capacity_Resource,$E19,'Critical resources (hide)'!AP$6:AP$105)+SUMIF(Capacity_Resource,$F19,'Critical resources (hide)'!AP$6:AP$105)&gt;0,$E$1=2),0,1)</f>
        <v>1</v>
      </c>
      <c r="AD19" s="68">
        <f ca="1">IF(AND(SUMIF(Capacity_Resource,$D19,'Critical resources (hide)'!AQ$6:AQ$105)+SUMIF(Capacity_Resource,$E19,'Critical resources (hide)'!AQ$6:AQ$105)+SUMIF(Capacity_Resource,$F19,'Critical resources (hide)'!AQ$6:AQ$105)&gt;0,$E$1=2),0,1)</f>
        <v>1</v>
      </c>
      <c r="AE19" s="68">
        <f ca="1">IF(AND(SUMIF(Capacity_Resource,$D19,'Critical resources (hide)'!AR$6:AR$105)+SUMIF(Capacity_Resource,$E19,'Critical resources (hide)'!AR$6:AR$105)+SUMIF(Capacity_Resource,$F19,'Critical resources (hide)'!AR$6:AR$105)&gt;0,$E$1=2),0,1)</f>
        <v>1</v>
      </c>
      <c r="AF19" s="68">
        <f ca="1">IF(AND(SUMIF(Capacity_Resource,$D19,'Critical resources (hide)'!AS$6:AS$105)+SUMIF(Capacity_Resource,$E19,'Critical resources (hide)'!AS$6:AS$105)+SUMIF(Capacity_Resource,$F19,'Critical resources (hide)'!AS$6:AS$105)&gt;0,$E$1=2),0,1)</f>
        <v>1</v>
      </c>
      <c r="AG19" s="68">
        <f ca="1">IF(AND(SUMIF(Capacity_Resource,$D19,'Critical resources (hide)'!AT$6:AT$105)+SUMIF(Capacity_Resource,$E19,'Critical resources (hide)'!AT$6:AT$105)+SUMIF(Capacity_Resource,$F19,'Critical resources (hide)'!AT$6:AT$105)&gt;0,$E$1=2),0,1)</f>
        <v>1</v>
      </c>
      <c r="AH19" s="68">
        <f ca="1">IF(AND(SUMIF(Capacity_Resource,$D19,'Critical resources (hide)'!AU$6:AU$105)+SUMIF(Capacity_Resource,$E19,'Critical resources (hide)'!AU$6:AU$105)+SUMIF(Capacity_Resource,$F19,'Critical resources (hide)'!AU$6:AU$105)&gt;0,$E$1=2),0,1)</f>
        <v>1</v>
      </c>
      <c r="AI19" s="68">
        <f ca="1">IF(AND(SUMIF(Capacity_Resource,$D19,'Critical resources (hide)'!AV$6:AV$105)+SUMIF(Capacity_Resource,$E19,'Critical resources (hide)'!AV$6:AV$105)+SUMIF(Capacity_Resource,$F19,'Critical resources (hide)'!AV$6:AV$105)&gt;0,$E$1=2),0,1)</f>
        <v>1</v>
      </c>
      <c r="AJ19" s="68">
        <f ca="1">IF(AND(SUMIF(Capacity_Resource,$D19,'Critical resources (hide)'!AW$6:AW$105)+SUMIF(Capacity_Resource,$E19,'Critical resources (hide)'!AW$6:AW$105)+SUMIF(Capacity_Resource,$F19,'Critical resources (hide)'!AW$6:AW$105)&gt;0,$E$1=2),0,1)</f>
        <v>1</v>
      </c>
      <c r="AK19" s="68">
        <f ca="1">IF(AND(SUMIF(Capacity_Resource,$D19,'Critical resources (hide)'!AX$6:AX$105)+SUMIF(Capacity_Resource,$E19,'Critical resources (hide)'!AX$6:AX$105)+SUMIF(Capacity_Resource,$F19,'Critical resources (hide)'!AX$6:AX$105)&gt;0,$E$1=2),0,1)</f>
        <v>1</v>
      </c>
      <c r="AL19" s="68">
        <f ca="1">IF(AND(SUMIF(Capacity_Resource,$D19,'Critical resources (hide)'!AY$6:AY$105)+SUMIF(Capacity_Resource,$E19,'Critical resources (hide)'!AY$6:AY$105)+SUMIF(Capacity_Resource,$F19,'Critical resources (hide)'!AY$6:AY$105)&gt;0,$E$1=2),0,1)</f>
        <v>1</v>
      </c>
      <c r="AM19" s="68">
        <f ca="1">IF(AND(SUMIF(Capacity_Resource,$D19,'Critical resources (hide)'!AZ$6:AZ$105)+SUMIF(Capacity_Resource,$E19,'Critical resources (hide)'!AZ$6:AZ$105)+SUMIF(Capacity_Resource,$F19,'Critical resources (hide)'!AZ$6:AZ$105)&gt;0,$E$1=2),0,1)</f>
        <v>1</v>
      </c>
      <c r="AN19" s="68">
        <f ca="1">IF(AND(SUMIF(Capacity_Resource,$D19,'Critical resources (hide)'!BA$6:BA$105)+SUMIF(Capacity_Resource,$E19,'Critical resources (hide)'!BA$6:BA$105)+SUMIF(Capacity_Resource,$F19,'Critical resources (hide)'!BA$6:BA$105)&gt;0,$E$1=2),0,1)</f>
        <v>1</v>
      </c>
      <c r="AO19" s="68">
        <f ca="1">IF(AND(SUMIF(Capacity_Resource,$D19,'Critical resources (hide)'!BB$6:BB$105)+SUMIF(Capacity_Resource,$E19,'Critical resources (hide)'!BB$6:BB$105)+SUMIF(Capacity_Resource,$F19,'Critical resources (hide)'!BB$6:BB$105)&gt;0,$E$1=2),0,1)</f>
        <v>1</v>
      </c>
      <c r="AP19" s="68">
        <f ca="1">IF(AND(SUMIF(Capacity_Resource,$D19,'Critical resources (hide)'!BC$6:BC$105)+SUMIF(Capacity_Resource,$E19,'Critical resources (hide)'!BC$6:BC$105)+SUMIF(Capacity_Resource,$F19,'Critical resources (hide)'!BC$6:BC$105)&gt;0,$E$1=2),0,1)</f>
        <v>1</v>
      </c>
      <c r="AQ19" s="68">
        <f ca="1">IF(AND(SUMIF(Capacity_Resource,$D19,'Critical resources (hide)'!BD$6:BD$105)+SUMIF(Capacity_Resource,$E19,'Critical resources (hide)'!BD$6:BD$105)+SUMIF(Capacity_Resource,$F19,'Critical resources (hide)'!BD$6:BD$105)&gt;0,$E$1=2),0,1)</f>
        <v>1</v>
      </c>
      <c r="AR19" s="68">
        <f ca="1">IF(AND(SUMIF(Capacity_Resource,$D19,'Critical resources (hide)'!BE$6:BE$105)+SUMIF(Capacity_Resource,$E19,'Critical resources (hide)'!BE$6:BE$105)+SUMIF(Capacity_Resource,$F19,'Critical resources (hide)'!BE$6:BE$105)&gt;0,$E$1=2),0,1)</f>
        <v>1</v>
      </c>
      <c r="AS19" s="68">
        <f ca="1">IF(AND(SUMIF(Capacity_Resource,$D19,'Critical resources (hide)'!BF$6:BF$105)+SUMIF(Capacity_Resource,$E19,'Critical resources (hide)'!BF$6:BF$105)+SUMIF(Capacity_Resource,$F19,'Critical resources (hide)'!BF$6:BF$105)&gt;0,$E$1=2),0,1)</f>
        <v>1</v>
      </c>
      <c r="AT19" s="68">
        <f ca="1">IF(AND(SUMIF(Capacity_Resource,$D19,'Critical resources (hide)'!BG$6:BG$105)+SUMIF(Capacity_Resource,$E19,'Critical resources (hide)'!BG$6:BG$105)+SUMIF(Capacity_Resource,$F19,'Critical resources (hide)'!BG$6:BG$105)&gt;0,$E$1=2),0,1)</f>
        <v>1</v>
      </c>
      <c r="AU19" s="68">
        <f ca="1">IF(AND(SUMIF(Capacity_Resource,$D19,'Critical resources (hide)'!BH$6:BH$105)+SUMIF(Capacity_Resource,$E19,'Critical resources (hide)'!BH$6:BH$105)+SUMIF(Capacity_Resource,$F19,'Critical resources (hide)'!BH$6:BH$105)&gt;0,$E$1=2),0,1)</f>
        <v>1</v>
      </c>
      <c r="AV19" s="68">
        <f ca="1">IF(AND(SUMIF(Capacity_Resource,$D19,'Critical resources (hide)'!BI$6:BI$105)+SUMIF(Capacity_Resource,$E19,'Critical resources (hide)'!BI$6:BI$105)+SUMIF(Capacity_Resource,$F19,'Critical resources (hide)'!BI$6:BI$105)&gt;0,$E$1=2),0,1)</f>
        <v>1</v>
      </c>
      <c r="AW19" s="68">
        <f ca="1">IF(AND(SUMIF(Capacity_Resource,$D19,'Critical resources (hide)'!BJ$6:BJ$105)+SUMIF(Capacity_Resource,$E19,'Critical resources (hide)'!BJ$6:BJ$105)+SUMIF(Capacity_Resource,$F19,'Critical resources (hide)'!BJ$6:BJ$105)&gt;0,$E$1=2),0,1)</f>
        <v>1</v>
      </c>
      <c r="AX19" s="68">
        <f ca="1">IF(AND(SUMIF(Capacity_Resource,$D19,'Critical resources (hide)'!BK$6:BK$105)+SUMIF(Capacity_Resource,$E19,'Critical resources (hide)'!BK$6:BK$105)+SUMIF(Capacity_Resource,$F19,'Critical resources (hide)'!BK$6:BK$105)&gt;0,$E$1=2),0,1)</f>
        <v>1</v>
      </c>
      <c r="AY19" s="68">
        <f ca="1">IF(AND(SUMIF(Capacity_Resource,$D19,'Critical resources (hide)'!BL$6:BL$105)+SUMIF(Capacity_Resource,$E19,'Critical resources (hide)'!BL$6:BL$105)+SUMIF(Capacity_Resource,$F19,'Critical resources (hide)'!BL$6:BL$105)&gt;0,$E$1=2),0,1)</f>
        <v>1</v>
      </c>
      <c r="AZ19" s="68">
        <f ca="1">IF(AND(SUMIF(Capacity_Resource,$D19,'Critical resources (hide)'!BM$6:BM$105)+SUMIF(Capacity_Resource,$E19,'Critical resources (hide)'!BM$6:BM$105)+SUMIF(Capacity_Resource,$F19,'Critical resources (hide)'!BM$6:BM$105)&gt;0,$E$1=2),0,1)</f>
        <v>1</v>
      </c>
      <c r="BA19" s="68">
        <f ca="1">IF(AND(SUMIF(Capacity_Resource,$D19,'Critical resources (hide)'!BN$6:BN$105)+SUMIF(Capacity_Resource,$E19,'Critical resources (hide)'!BN$6:BN$105)+SUMIF(Capacity_Resource,$F19,'Critical resources (hide)'!BN$6:BN$105)&gt;0,$E$1=2),0,1)</f>
        <v>1</v>
      </c>
      <c r="BB19" s="68">
        <f ca="1">IF(AND(SUMIF(Capacity_Resource,$D19,'Critical resources (hide)'!BO$6:BO$105)+SUMIF(Capacity_Resource,$E19,'Critical resources (hide)'!BO$6:BO$105)+SUMIF(Capacity_Resource,$F19,'Critical resources (hide)'!BO$6:BO$105)&gt;0,$E$1=2),0,1)</f>
        <v>1</v>
      </c>
      <c r="BC19" s="68">
        <f ca="1">IF(AND(SUMIF(Capacity_Resource,$D19,'Critical resources (hide)'!BP$6:BP$105)+SUMIF(Capacity_Resource,$E19,'Critical resources (hide)'!BP$6:BP$105)+SUMIF(Capacity_Resource,$F19,'Critical resources (hide)'!BP$6:BP$105)&gt;0,$E$1=2),0,1)</f>
        <v>1</v>
      </c>
      <c r="BD19" s="68">
        <f ca="1">IF(AND(SUMIF(Capacity_Resource,$D19,'Critical resources (hide)'!BQ$6:BQ$105)+SUMIF(Capacity_Resource,$E19,'Critical resources (hide)'!BQ$6:BQ$105)+SUMIF(Capacity_Resource,$F19,'Critical resources (hide)'!BQ$6:BQ$105)&gt;0,$E$1=2),0,1)</f>
        <v>1</v>
      </c>
      <c r="BE19" s="68">
        <f ca="1">IF(AND(SUMIF(Capacity_Resource,$D19,'Critical resources (hide)'!BR$6:BR$105)+SUMIF(Capacity_Resource,$E19,'Critical resources (hide)'!BR$6:BR$105)+SUMIF(Capacity_Resource,$F19,'Critical resources (hide)'!BR$6:BR$105)&gt;0,$E$1=2),0,1)</f>
        <v>1</v>
      </c>
      <c r="BF19" s="68">
        <f ca="1">IF(AND(SUMIF(Capacity_Resource,$D19,'Critical resources (hide)'!BS$6:BS$105)+SUMIF(Capacity_Resource,$E19,'Critical resources (hide)'!BS$6:BS$105)+SUMIF(Capacity_Resource,$F19,'Critical resources (hide)'!BS$6:BS$105)&gt;0,$E$1=2),0,1)</f>
        <v>1</v>
      </c>
      <c r="BG19" s="68">
        <f ca="1">IF(AND(SUMIF(Capacity_Resource,$D19,'Critical resources (hide)'!BT$6:BT$105)+SUMIF(Capacity_Resource,$E19,'Critical resources (hide)'!BT$6:BT$105)+SUMIF(Capacity_Resource,$F19,'Critical resources (hide)'!BT$6:BT$105)&gt;0,$E$1=2),0,1)</f>
        <v>1</v>
      </c>
      <c r="BH19" s="68">
        <f>IF(ROW(C15)&lt;=Capacity!$A$16,IF('Capacity summary'!$D$14="No",SUM(H19:BG19),'Capacity summary'!$E138),0)</f>
        <v>0</v>
      </c>
      <c r="BI19" s="5" t="str">
        <f>IF(BH19&gt;0,IF(BH19&lt;Capacity!E31,Capacity!F31,Capacity!H31/'Capacity calculation (hide)'!BH19),"")</f>
        <v/>
      </c>
      <c r="BK19" s="319">
        <f>IF($BI19&lt;&gt;"",IF('Capacity summary'!$D$14="Yes",IF(COUNTBLANK('Capacity summary'!$H138:$BG138)&lt;52,IF('Capacity summary'!H138&lt;&gt;"",$BI19*H19,0),H19*$BI19),H19*$BI19),0)</f>
        <v>0</v>
      </c>
      <c r="BL19" s="319">
        <f>IF($BI19&lt;&gt;"",IF('Capacity summary'!$D$14="Yes",IF(COUNTBLANK('Capacity summary'!$H138:$BG138)&lt;52,IF('Capacity summary'!I138&lt;&gt;"",$BI19*I19,0),I19*$BI19),I19*$BI19),0)</f>
        <v>0</v>
      </c>
      <c r="BM19" s="319">
        <f>IF($BI19&lt;&gt;"",IF('Capacity summary'!$D$14="Yes",IF(COUNTBLANK('Capacity summary'!$H138:$BG138)&lt;52,IF('Capacity summary'!J138&lt;&gt;"",$BI19*J19,0),J19*$BI19),J19*$BI19),0)</f>
        <v>0</v>
      </c>
      <c r="BN19" s="319">
        <f>IF($BI19&lt;&gt;"",IF('Capacity summary'!$D$14="Yes",IF(COUNTBLANK('Capacity summary'!$H138:$BG138)&lt;52,IF('Capacity summary'!K138&lt;&gt;"",$BI19*K19,0),K19*$BI19),K19*$BI19),0)</f>
        <v>0</v>
      </c>
      <c r="BO19" s="319">
        <f>IF($BI19&lt;&gt;"",IF('Capacity summary'!$D$14="Yes",IF(COUNTBLANK('Capacity summary'!$H138:$BG138)&lt;52,IF('Capacity summary'!L138&lt;&gt;"",$BI19*L19,0),L19*$BI19),L19*$BI19),0)</f>
        <v>0</v>
      </c>
      <c r="BP19" s="319">
        <f>IF($BI19&lt;&gt;"",IF('Capacity summary'!$D$14="Yes",IF(COUNTBLANK('Capacity summary'!$H138:$BG138)&lt;52,IF('Capacity summary'!M138&lt;&gt;"",$BI19*M19,0),M19*$BI19),M19*$BI19),0)</f>
        <v>0</v>
      </c>
      <c r="BQ19" s="319">
        <f>IF($BI19&lt;&gt;"",IF('Capacity summary'!$D$14="Yes",IF(COUNTBLANK('Capacity summary'!$H138:$BG138)&lt;52,IF('Capacity summary'!N138&lt;&gt;"",$BI19*N19,0),N19*$BI19),N19*$BI19),0)</f>
        <v>0</v>
      </c>
      <c r="BR19" s="319">
        <f>IF($BI19&lt;&gt;"",IF('Capacity summary'!$D$14="Yes",IF(COUNTBLANK('Capacity summary'!$H138:$BG138)&lt;52,IF('Capacity summary'!O138&lt;&gt;"",$BI19*O19,0),O19*$BI19),O19*$BI19),0)</f>
        <v>0</v>
      </c>
      <c r="BS19" s="319">
        <f>IF($BI19&lt;&gt;"",IF('Capacity summary'!$D$14="Yes",IF(COUNTBLANK('Capacity summary'!$H138:$BG138)&lt;52,IF('Capacity summary'!P138&lt;&gt;"",$BI19*P19,0),P19*$BI19),P19*$BI19),0)</f>
        <v>0</v>
      </c>
      <c r="BT19" s="319">
        <f>IF($BI19&lt;&gt;"",IF('Capacity summary'!$D$14="Yes",IF(COUNTBLANK('Capacity summary'!$H138:$BG138)&lt;52,IF('Capacity summary'!Q138&lt;&gt;"",$BI19*Q19,0),Q19*$BI19),Q19*$BI19),0)</f>
        <v>0</v>
      </c>
      <c r="BU19" s="319">
        <f>IF($BI19&lt;&gt;"",IF('Capacity summary'!$D$14="Yes",IF(COUNTBLANK('Capacity summary'!$H138:$BG138)&lt;52,IF('Capacity summary'!R138&lt;&gt;"",$BI19*R19,0),R19*$BI19),R19*$BI19),0)</f>
        <v>0</v>
      </c>
      <c r="BV19" s="319">
        <f>IF($BI19&lt;&gt;"",IF('Capacity summary'!$D$14="Yes",IF(COUNTBLANK('Capacity summary'!$H138:$BG138)&lt;52,IF('Capacity summary'!S138&lt;&gt;"",$BI19*S19,0),S19*$BI19),S19*$BI19),0)</f>
        <v>0</v>
      </c>
      <c r="BW19" s="319">
        <f>IF($BI19&lt;&gt;"",IF('Capacity summary'!$D$14="Yes",IF(COUNTBLANK('Capacity summary'!$H138:$BG138)&lt;52,IF('Capacity summary'!T138&lt;&gt;"",$BI19*T19,0),T19*$BI19),T19*$BI19),0)</f>
        <v>0</v>
      </c>
      <c r="BX19" s="319">
        <f>IF($BI19&lt;&gt;"",IF('Capacity summary'!$D$14="Yes",IF(COUNTBLANK('Capacity summary'!$H138:$BG138)&lt;52,IF('Capacity summary'!U138&lt;&gt;"",$BI19*U19,0),U19*$BI19),U19*$BI19),0)</f>
        <v>0</v>
      </c>
      <c r="BY19" s="319">
        <f>IF($BI19&lt;&gt;"",IF('Capacity summary'!$D$14="Yes",IF(COUNTBLANK('Capacity summary'!$H138:$BG138)&lt;52,IF('Capacity summary'!V138&lt;&gt;"",$BI19*V19,0),V19*$BI19),V19*$BI19),0)</f>
        <v>0</v>
      </c>
      <c r="BZ19" s="319">
        <f>IF($BI19&lt;&gt;"",IF('Capacity summary'!$D$14="Yes",IF(COUNTBLANK('Capacity summary'!$H138:$BG138)&lt;52,IF('Capacity summary'!W138&lt;&gt;"",$BI19*W19,0),W19*$BI19),W19*$BI19),0)</f>
        <v>0</v>
      </c>
      <c r="CA19" s="319">
        <f>IF($BI19&lt;&gt;"",IF('Capacity summary'!$D$14="Yes",IF(COUNTBLANK('Capacity summary'!$H138:$BG138)&lt;52,IF('Capacity summary'!X138&lt;&gt;"",$BI19*X19,0),X19*$BI19),X19*$BI19),0)</f>
        <v>0</v>
      </c>
      <c r="CB19" s="319">
        <f>IF($BI19&lt;&gt;"",IF('Capacity summary'!$D$14="Yes",IF(COUNTBLANK('Capacity summary'!$H138:$BG138)&lt;52,IF('Capacity summary'!Y138&lt;&gt;"",$BI19*Y19,0),Y19*$BI19),Y19*$BI19),0)</f>
        <v>0</v>
      </c>
      <c r="CC19" s="319">
        <f>IF($BI19&lt;&gt;"",IF('Capacity summary'!$D$14="Yes",IF(COUNTBLANK('Capacity summary'!$H138:$BG138)&lt;52,IF('Capacity summary'!Z138&lt;&gt;"",$BI19*Z19,0),Z19*$BI19),Z19*$BI19),0)</f>
        <v>0</v>
      </c>
      <c r="CD19" s="319">
        <f>IF($BI19&lt;&gt;"",IF('Capacity summary'!$D$14="Yes",IF(COUNTBLANK('Capacity summary'!$H138:$BG138)&lt;52,IF('Capacity summary'!AA138&lt;&gt;"",$BI19*AA19,0),AA19*$BI19),AA19*$BI19),0)</f>
        <v>0</v>
      </c>
      <c r="CE19" s="319">
        <f>IF($BI19&lt;&gt;"",IF('Capacity summary'!$D$14="Yes",IF(COUNTBLANK('Capacity summary'!$H138:$BG138)&lt;52,IF('Capacity summary'!AB138&lt;&gt;"",$BI19*AB19,0),AB19*$BI19),AB19*$BI19),0)</f>
        <v>0</v>
      </c>
      <c r="CF19" s="319">
        <f>IF($BI19&lt;&gt;"",IF('Capacity summary'!$D$14="Yes",IF(COUNTBLANK('Capacity summary'!$H138:$BG138)&lt;52,IF('Capacity summary'!AC138&lt;&gt;"",$BI19*AC19,0),AC19*$BI19),AC19*$BI19),0)</f>
        <v>0</v>
      </c>
      <c r="CG19" s="319">
        <f>IF($BI19&lt;&gt;"",IF('Capacity summary'!$D$14="Yes",IF(COUNTBLANK('Capacity summary'!$H138:$BG138)&lt;52,IF('Capacity summary'!AD138&lt;&gt;"",$BI19*AD19,0),AD19*$BI19),AD19*$BI19),0)</f>
        <v>0</v>
      </c>
      <c r="CH19" s="319">
        <f>IF($BI19&lt;&gt;"",IF('Capacity summary'!$D$14="Yes",IF(COUNTBLANK('Capacity summary'!$H138:$BG138)&lt;52,IF('Capacity summary'!AE138&lt;&gt;"",$BI19*AE19,0),AE19*$BI19),AE19*$BI19),0)</f>
        <v>0</v>
      </c>
      <c r="CI19" s="319">
        <f>IF($BI19&lt;&gt;"",IF('Capacity summary'!$D$14="Yes",IF(COUNTBLANK('Capacity summary'!$H138:$BG138)&lt;52,IF('Capacity summary'!AF138&lt;&gt;"",$BI19*AF19,0),AF19*$BI19),AF19*$BI19),0)</f>
        <v>0</v>
      </c>
      <c r="CJ19" s="319">
        <f>IF($BI19&lt;&gt;"",IF('Capacity summary'!$D$14="Yes",IF(COUNTBLANK('Capacity summary'!$H138:$BG138)&lt;52,IF('Capacity summary'!AG138&lt;&gt;"",$BI19*AG19,0),AG19*$BI19),AG19*$BI19),0)</f>
        <v>0</v>
      </c>
      <c r="CK19" s="319">
        <f>IF($BI19&lt;&gt;"",IF('Capacity summary'!$D$14="Yes",IF(COUNTBLANK('Capacity summary'!$H138:$BG138)&lt;52,IF('Capacity summary'!AH138&lt;&gt;"",$BI19*AH19,0),AH19*$BI19),AH19*$BI19),0)</f>
        <v>0</v>
      </c>
      <c r="CL19" s="319">
        <f>IF($BI19&lt;&gt;"",IF('Capacity summary'!$D$14="Yes",IF(COUNTBLANK('Capacity summary'!$H138:$BG138)&lt;52,IF('Capacity summary'!AI138&lt;&gt;"",$BI19*AI19,0),AI19*$BI19),AI19*$BI19),0)</f>
        <v>0</v>
      </c>
      <c r="CM19" s="319">
        <f>IF($BI19&lt;&gt;"",IF('Capacity summary'!$D$14="Yes",IF(COUNTBLANK('Capacity summary'!$H138:$BG138)&lt;52,IF('Capacity summary'!AJ138&lt;&gt;"",$BI19*AJ19,0),AJ19*$BI19),AJ19*$BI19),0)</f>
        <v>0</v>
      </c>
      <c r="CN19" s="319">
        <f>IF($BI19&lt;&gt;"",IF('Capacity summary'!$D$14="Yes",IF(COUNTBLANK('Capacity summary'!$H138:$BG138)&lt;52,IF('Capacity summary'!AK138&lt;&gt;"",$BI19*AK19,0),AK19*$BI19),AK19*$BI19),0)</f>
        <v>0</v>
      </c>
      <c r="CO19" s="319">
        <f>IF($BI19&lt;&gt;"",IF('Capacity summary'!$D$14="Yes",IF(COUNTBLANK('Capacity summary'!$H138:$BG138)&lt;52,IF('Capacity summary'!AL138&lt;&gt;"",$BI19*AL19,0),AL19*$BI19),AL19*$BI19),0)</f>
        <v>0</v>
      </c>
      <c r="CP19" s="319">
        <f>IF($BI19&lt;&gt;"",IF('Capacity summary'!$D$14="Yes",IF(COUNTBLANK('Capacity summary'!$H138:$BG138)&lt;52,IF('Capacity summary'!AM138&lt;&gt;"",$BI19*AM19,0),AM19*$BI19),AM19*$BI19),0)</f>
        <v>0</v>
      </c>
      <c r="CQ19" s="319">
        <f>IF($BI19&lt;&gt;"",IF('Capacity summary'!$D$14="Yes",IF(COUNTBLANK('Capacity summary'!$H138:$BG138)&lt;52,IF('Capacity summary'!AN138&lt;&gt;"",$BI19*AN19,0),AN19*$BI19),AN19*$BI19),0)</f>
        <v>0</v>
      </c>
      <c r="CR19" s="319">
        <f>IF($BI19&lt;&gt;"",IF('Capacity summary'!$D$14="Yes",IF(COUNTBLANK('Capacity summary'!$H138:$BG138)&lt;52,IF('Capacity summary'!AO138&lt;&gt;"",$BI19*AO19,0),AO19*$BI19),AO19*$BI19),0)</f>
        <v>0</v>
      </c>
      <c r="CS19" s="319">
        <f>IF($BI19&lt;&gt;"",IF('Capacity summary'!$D$14="Yes",IF(COUNTBLANK('Capacity summary'!$H138:$BG138)&lt;52,IF('Capacity summary'!AP138&lt;&gt;"",$BI19*AP19,0),AP19*$BI19),AP19*$BI19),0)</f>
        <v>0</v>
      </c>
      <c r="CT19" s="319">
        <f>IF($BI19&lt;&gt;"",IF('Capacity summary'!$D$14="Yes",IF(COUNTBLANK('Capacity summary'!$H138:$BG138)&lt;52,IF('Capacity summary'!AQ138&lt;&gt;"",$BI19*AQ19,0),AQ19*$BI19),AQ19*$BI19),0)</f>
        <v>0</v>
      </c>
      <c r="CU19" s="319">
        <f>IF($BI19&lt;&gt;"",IF('Capacity summary'!$D$14="Yes",IF(COUNTBLANK('Capacity summary'!$H138:$BG138)&lt;52,IF('Capacity summary'!AR138&lt;&gt;"",$BI19*AR19,0),AR19*$BI19),AR19*$BI19),0)</f>
        <v>0</v>
      </c>
      <c r="CV19" s="319">
        <f>IF($BI19&lt;&gt;"",IF('Capacity summary'!$D$14="Yes",IF(COUNTBLANK('Capacity summary'!$H138:$BG138)&lt;52,IF('Capacity summary'!AS138&lt;&gt;"",$BI19*AS19,0),AS19*$BI19),AS19*$BI19),0)</f>
        <v>0</v>
      </c>
      <c r="CW19" s="319">
        <f>IF($BI19&lt;&gt;"",IF('Capacity summary'!$D$14="Yes",IF(COUNTBLANK('Capacity summary'!$H138:$BG138)&lt;52,IF('Capacity summary'!AT138&lt;&gt;"",$BI19*AT19,0),AT19*$BI19),AT19*$BI19),0)</f>
        <v>0</v>
      </c>
      <c r="CX19" s="319">
        <f>IF($BI19&lt;&gt;"",IF('Capacity summary'!$D$14="Yes",IF(COUNTBLANK('Capacity summary'!$H138:$BG138)&lt;52,IF('Capacity summary'!AU138&lt;&gt;"",$BI19*AU19,0),AU19*$BI19),AU19*$BI19),0)</f>
        <v>0</v>
      </c>
      <c r="CY19" s="319">
        <f>IF($BI19&lt;&gt;"",IF('Capacity summary'!$D$14="Yes",IF(COUNTBLANK('Capacity summary'!$H138:$BG138)&lt;52,IF('Capacity summary'!AV138&lt;&gt;"",$BI19*AV19,0),AV19*$BI19),AV19*$BI19),0)</f>
        <v>0</v>
      </c>
      <c r="CZ19" s="319">
        <f>IF($BI19&lt;&gt;"",IF('Capacity summary'!$D$14="Yes",IF(COUNTBLANK('Capacity summary'!$H138:$BG138)&lt;52,IF('Capacity summary'!AW138&lt;&gt;"",$BI19*AW19,0),AW19*$BI19),AW19*$BI19),0)</f>
        <v>0</v>
      </c>
      <c r="DA19" s="319">
        <f>IF($BI19&lt;&gt;"",IF('Capacity summary'!$D$14="Yes",IF(COUNTBLANK('Capacity summary'!$H138:$BG138)&lt;52,IF('Capacity summary'!AX138&lt;&gt;"",$BI19*AX19,0),AX19*$BI19),AX19*$BI19),0)</f>
        <v>0</v>
      </c>
      <c r="DB19" s="319">
        <f>IF($BI19&lt;&gt;"",IF('Capacity summary'!$D$14="Yes",IF(COUNTBLANK('Capacity summary'!$H138:$BG138)&lt;52,IF('Capacity summary'!AY138&lt;&gt;"",$BI19*AY19,0),AY19*$BI19),AY19*$BI19),0)</f>
        <v>0</v>
      </c>
      <c r="DC19" s="319">
        <f>IF($BI19&lt;&gt;"",IF('Capacity summary'!$D$14="Yes",IF(COUNTBLANK('Capacity summary'!$H138:$BG138)&lt;52,IF('Capacity summary'!AZ138&lt;&gt;"",$BI19*AZ19,0),AZ19*$BI19),AZ19*$BI19),0)</f>
        <v>0</v>
      </c>
      <c r="DD19" s="319">
        <f>IF($BI19&lt;&gt;"",IF('Capacity summary'!$D$14="Yes",IF(COUNTBLANK('Capacity summary'!$H138:$BG138)&lt;52,IF('Capacity summary'!BA138&lt;&gt;"",$BI19*BA19,0),BA19*$BI19),BA19*$BI19),0)</f>
        <v>0</v>
      </c>
      <c r="DE19" s="319">
        <f>IF($BI19&lt;&gt;"",IF('Capacity summary'!$D$14="Yes",IF(COUNTBLANK('Capacity summary'!$H138:$BG138)&lt;52,IF('Capacity summary'!BB138&lt;&gt;"",$BI19*BB19,0),BB19*$BI19),BB19*$BI19),0)</f>
        <v>0</v>
      </c>
      <c r="DF19" s="319">
        <f>IF($BI19&lt;&gt;"",IF('Capacity summary'!$D$14="Yes",IF(COUNTBLANK('Capacity summary'!$H138:$BG138)&lt;52,IF('Capacity summary'!BC138&lt;&gt;"",$BI19*BC19,0),BC19*$BI19),BC19*$BI19),0)</f>
        <v>0</v>
      </c>
      <c r="DG19" s="319">
        <f>IF($BI19&lt;&gt;"",IF('Capacity summary'!$D$14="Yes",IF(COUNTBLANK('Capacity summary'!$H138:$BG138)&lt;52,IF('Capacity summary'!BD138&lt;&gt;"",$BI19*BD19,0),BD19*$BI19),BD19*$BI19),0)</f>
        <v>0</v>
      </c>
      <c r="DH19" s="319">
        <f>IF($BI19&lt;&gt;"",IF('Capacity summary'!$D$14="Yes",IF(COUNTBLANK('Capacity summary'!$H138:$BG138)&lt;52,IF('Capacity summary'!BE138&lt;&gt;"",$BI19*BE19,0),BE19*$BI19),BE19*$BI19),0)</f>
        <v>0</v>
      </c>
      <c r="DI19" s="319">
        <f>IF($BI19&lt;&gt;"",IF('Capacity summary'!$D$14="Yes",IF(COUNTBLANK('Capacity summary'!$H138:$BG138)&lt;52,IF('Capacity summary'!BF138&lt;&gt;"",$BI19*BF19,0),BF19*$BI19),BF19*$BI19),0)</f>
        <v>0</v>
      </c>
      <c r="DJ19" s="319">
        <f>IF($BI19&lt;&gt;"",IF('Capacity summary'!$D$14="Yes",IF(COUNTBLANK('Capacity summary'!$H138:$BG138)&lt;52,IF('Capacity summary'!BG138&lt;&gt;"",$BI19*BG19,0),BG19*$BI19),BG19*$BI19),0)</f>
        <v>0</v>
      </c>
      <c r="DK19" s="5">
        <f t="shared" si="2"/>
        <v>0</v>
      </c>
      <c r="DL19" s="5" t="str">
        <f>Capacity!H31</f>
        <v/>
      </c>
      <c r="DP19" s="5"/>
    </row>
    <row r="20" spans="2:120" x14ac:dyDescent="0.2">
      <c r="B20" s="68"/>
      <c r="C20" s="68" t="str">
        <f>ROW(A16)&amp;". "&amp;Capacity!B32</f>
        <v xml:space="preserve">16. </v>
      </c>
      <c r="D20" s="68">
        <f>'Capacity setup'!C27</f>
        <v>0</v>
      </c>
      <c r="E20" s="68">
        <f>'Capacity setup'!D27</f>
        <v>0</v>
      </c>
      <c r="F20" s="68">
        <f>'Capacity setup'!E27</f>
        <v>0</v>
      </c>
      <c r="H20" s="68">
        <f ca="1">IF(AND(SUMIF(Capacity_Resource,$D20,'Critical resources (hide)'!U$6:U$105)+SUMIF(Capacity_Resource,$E20,'Critical resources (hide)'!U$6:U$105)+SUMIF(Capacity_Resource,$F20,'Critical resources (hide)'!U$6:U$105)&gt;0,$E$1=2),0,1)</f>
        <v>1</v>
      </c>
      <c r="I20" s="68">
        <f ca="1">IF(AND(SUMIF(Capacity_Resource,$D20,'Critical resources (hide)'!V$6:V$105)+SUMIF(Capacity_Resource,$E20,'Critical resources (hide)'!V$6:V$105)+SUMIF(Capacity_Resource,$F20,'Critical resources (hide)'!V$6:V$105)&gt;0,$E$1=2),0,1)</f>
        <v>1</v>
      </c>
      <c r="J20" s="68">
        <f ca="1">IF(AND(SUMIF(Capacity_Resource,$D20,'Critical resources (hide)'!W$6:W$105)+SUMIF(Capacity_Resource,$E20,'Critical resources (hide)'!W$6:W$105)+SUMIF(Capacity_Resource,$F20,'Critical resources (hide)'!W$6:W$105)&gt;0,$E$1=2),0,1)</f>
        <v>1</v>
      </c>
      <c r="K20" s="68">
        <f ca="1">IF(AND(SUMIF(Capacity_Resource,$D20,'Critical resources (hide)'!X$6:X$105)+SUMIF(Capacity_Resource,$E20,'Critical resources (hide)'!X$6:X$105)+SUMIF(Capacity_Resource,$F20,'Critical resources (hide)'!X$6:X$105)&gt;0,$E$1=2),0,1)</f>
        <v>1</v>
      </c>
      <c r="L20" s="68">
        <f ca="1">IF(AND(SUMIF(Capacity_Resource,$D20,'Critical resources (hide)'!Y$6:Y$105)+SUMIF(Capacity_Resource,$E20,'Critical resources (hide)'!Y$6:Y$105)+SUMIF(Capacity_Resource,$F20,'Critical resources (hide)'!Y$6:Y$105)&gt;0,$E$1=2),0,1)</f>
        <v>1</v>
      </c>
      <c r="M20" s="68">
        <f ca="1">IF(AND(SUMIF(Capacity_Resource,$D20,'Critical resources (hide)'!Z$6:Z$105)+SUMIF(Capacity_Resource,$E20,'Critical resources (hide)'!Z$6:Z$105)+SUMIF(Capacity_Resource,$F20,'Critical resources (hide)'!Z$6:Z$105)&gt;0,$E$1=2),0,1)</f>
        <v>1</v>
      </c>
      <c r="N20" s="68">
        <f ca="1">IF(AND(SUMIF(Capacity_Resource,$D20,'Critical resources (hide)'!AA$6:AA$105)+SUMIF(Capacity_Resource,$E20,'Critical resources (hide)'!AA$6:AA$105)+SUMIF(Capacity_Resource,$F20,'Critical resources (hide)'!AA$6:AA$105)&gt;0,$E$1=2),0,1)</f>
        <v>1</v>
      </c>
      <c r="O20" s="68">
        <f ca="1">IF(AND(SUMIF(Capacity_Resource,$D20,'Critical resources (hide)'!AB$6:AB$105)+SUMIF(Capacity_Resource,$E20,'Critical resources (hide)'!AB$6:AB$105)+SUMIF(Capacity_Resource,$F20,'Critical resources (hide)'!AB$6:AB$105)&gt;0,$E$1=2),0,1)</f>
        <v>1</v>
      </c>
      <c r="P20" s="68">
        <f ca="1">IF(AND(SUMIF(Capacity_Resource,$D20,'Critical resources (hide)'!AC$6:AC$105)+SUMIF(Capacity_Resource,$E20,'Critical resources (hide)'!AC$6:AC$105)+SUMIF(Capacity_Resource,$F20,'Critical resources (hide)'!AC$6:AC$105)&gt;0,$E$1=2),0,1)</f>
        <v>1</v>
      </c>
      <c r="Q20" s="68">
        <f ca="1">IF(AND(SUMIF(Capacity_Resource,$D20,'Critical resources (hide)'!AD$6:AD$105)+SUMIF(Capacity_Resource,$E20,'Critical resources (hide)'!AD$6:AD$105)+SUMIF(Capacity_Resource,$F20,'Critical resources (hide)'!AD$6:AD$105)&gt;0,$E$1=2),0,1)</f>
        <v>1</v>
      </c>
      <c r="R20" s="68">
        <f ca="1">IF(AND(SUMIF(Capacity_Resource,$D20,'Critical resources (hide)'!AE$6:AE$105)+SUMIF(Capacity_Resource,$E20,'Critical resources (hide)'!AE$6:AE$105)+SUMIF(Capacity_Resource,$F20,'Critical resources (hide)'!AE$6:AE$105)&gt;0,$E$1=2),0,1)</f>
        <v>1</v>
      </c>
      <c r="S20" s="68">
        <f ca="1">IF(AND(SUMIF(Capacity_Resource,$D20,'Critical resources (hide)'!AF$6:AF$105)+SUMIF(Capacity_Resource,$E20,'Critical resources (hide)'!AF$6:AF$105)+SUMIF(Capacity_Resource,$F20,'Critical resources (hide)'!AF$6:AF$105)&gt;0,$E$1=2),0,1)</f>
        <v>1</v>
      </c>
      <c r="T20" s="68">
        <f ca="1">IF(AND(SUMIF(Capacity_Resource,$D20,'Critical resources (hide)'!AG$6:AG$105)+SUMIF(Capacity_Resource,$E20,'Critical resources (hide)'!AG$6:AG$105)+SUMIF(Capacity_Resource,$F20,'Critical resources (hide)'!AG$6:AG$105)&gt;0,$E$1=2),0,1)</f>
        <v>1</v>
      </c>
      <c r="U20" s="68">
        <f ca="1">IF(AND(SUMIF(Capacity_Resource,$D20,'Critical resources (hide)'!AH$6:AH$105)+SUMIF(Capacity_Resource,$E20,'Critical resources (hide)'!AH$6:AH$105)+SUMIF(Capacity_Resource,$F20,'Critical resources (hide)'!AH$6:AH$105)&gt;0,$E$1=2),0,1)</f>
        <v>1</v>
      </c>
      <c r="V20" s="68">
        <f ca="1">IF(AND(SUMIF(Capacity_Resource,$D20,'Critical resources (hide)'!AI$6:AI$105)+SUMIF(Capacity_Resource,$E20,'Critical resources (hide)'!AI$6:AI$105)+SUMIF(Capacity_Resource,$F20,'Critical resources (hide)'!AI$6:AI$105)&gt;0,$E$1=2),0,1)</f>
        <v>1</v>
      </c>
      <c r="W20" s="68">
        <f ca="1">IF(AND(SUMIF(Capacity_Resource,$D20,'Critical resources (hide)'!AJ$6:AJ$105)+SUMIF(Capacity_Resource,$E20,'Critical resources (hide)'!AJ$6:AJ$105)+SUMIF(Capacity_Resource,$F20,'Critical resources (hide)'!AJ$6:AJ$105)&gt;0,$E$1=2),0,1)</f>
        <v>1</v>
      </c>
      <c r="X20" s="68">
        <f ca="1">IF(AND(SUMIF(Capacity_Resource,$D20,'Critical resources (hide)'!AK$6:AK$105)+SUMIF(Capacity_Resource,$E20,'Critical resources (hide)'!AK$6:AK$105)+SUMIF(Capacity_Resource,$F20,'Critical resources (hide)'!AK$6:AK$105)&gt;0,$E$1=2),0,1)</f>
        <v>1</v>
      </c>
      <c r="Y20" s="68">
        <f ca="1">IF(AND(SUMIF(Capacity_Resource,$D20,'Critical resources (hide)'!AL$6:AL$105)+SUMIF(Capacity_Resource,$E20,'Critical resources (hide)'!AL$6:AL$105)+SUMIF(Capacity_Resource,$F20,'Critical resources (hide)'!AL$6:AL$105)&gt;0,$E$1=2),0,1)</f>
        <v>1</v>
      </c>
      <c r="Z20" s="68">
        <f ca="1">IF(AND(SUMIF(Capacity_Resource,$D20,'Critical resources (hide)'!AM$6:AM$105)+SUMIF(Capacity_Resource,$E20,'Critical resources (hide)'!AM$6:AM$105)+SUMIF(Capacity_Resource,$F20,'Critical resources (hide)'!AM$6:AM$105)&gt;0,$E$1=2),0,1)</f>
        <v>1</v>
      </c>
      <c r="AA20" s="68">
        <f ca="1">IF(AND(SUMIF(Capacity_Resource,$D20,'Critical resources (hide)'!AN$6:AN$105)+SUMIF(Capacity_Resource,$E20,'Critical resources (hide)'!AN$6:AN$105)+SUMIF(Capacity_Resource,$F20,'Critical resources (hide)'!AN$6:AN$105)&gt;0,$E$1=2),0,1)</f>
        <v>1</v>
      </c>
      <c r="AB20" s="68">
        <f ca="1">IF(AND(SUMIF(Capacity_Resource,$D20,'Critical resources (hide)'!AO$6:AO$105)+SUMIF(Capacity_Resource,$E20,'Critical resources (hide)'!AO$6:AO$105)+SUMIF(Capacity_Resource,$F20,'Critical resources (hide)'!AO$6:AO$105)&gt;0,$E$1=2),0,1)</f>
        <v>1</v>
      </c>
      <c r="AC20" s="68">
        <f ca="1">IF(AND(SUMIF(Capacity_Resource,$D20,'Critical resources (hide)'!AP$6:AP$105)+SUMIF(Capacity_Resource,$E20,'Critical resources (hide)'!AP$6:AP$105)+SUMIF(Capacity_Resource,$F20,'Critical resources (hide)'!AP$6:AP$105)&gt;0,$E$1=2),0,1)</f>
        <v>1</v>
      </c>
      <c r="AD20" s="68">
        <f ca="1">IF(AND(SUMIF(Capacity_Resource,$D20,'Critical resources (hide)'!AQ$6:AQ$105)+SUMIF(Capacity_Resource,$E20,'Critical resources (hide)'!AQ$6:AQ$105)+SUMIF(Capacity_Resource,$F20,'Critical resources (hide)'!AQ$6:AQ$105)&gt;0,$E$1=2),0,1)</f>
        <v>1</v>
      </c>
      <c r="AE20" s="68">
        <f ca="1">IF(AND(SUMIF(Capacity_Resource,$D20,'Critical resources (hide)'!AR$6:AR$105)+SUMIF(Capacity_Resource,$E20,'Critical resources (hide)'!AR$6:AR$105)+SUMIF(Capacity_Resource,$F20,'Critical resources (hide)'!AR$6:AR$105)&gt;0,$E$1=2),0,1)</f>
        <v>1</v>
      </c>
      <c r="AF20" s="68">
        <f ca="1">IF(AND(SUMIF(Capacity_Resource,$D20,'Critical resources (hide)'!AS$6:AS$105)+SUMIF(Capacity_Resource,$E20,'Critical resources (hide)'!AS$6:AS$105)+SUMIF(Capacity_Resource,$F20,'Critical resources (hide)'!AS$6:AS$105)&gt;0,$E$1=2),0,1)</f>
        <v>1</v>
      </c>
      <c r="AG20" s="68">
        <f ca="1">IF(AND(SUMIF(Capacity_Resource,$D20,'Critical resources (hide)'!AT$6:AT$105)+SUMIF(Capacity_Resource,$E20,'Critical resources (hide)'!AT$6:AT$105)+SUMIF(Capacity_Resource,$F20,'Critical resources (hide)'!AT$6:AT$105)&gt;0,$E$1=2),0,1)</f>
        <v>1</v>
      </c>
      <c r="AH20" s="68">
        <f ca="1">IF(AND(SUMIF(Capacity_Resource,$D20,'Critical resources (hide)'!AU$6:AU$105)+SUMIF(Capacity_Resource,$E20,'Critical resources (hide)'!AU$6:AU$105)+SUMIF(Capacity_Resource,$F20,'Critical resources (hide)'!AU$6:AU$105)&gt;0,$E$1=2),0,1)</f>
        <v>1</v>
      </c>
      <c r="AI20" s="68">
        <f ca="1">IF(AND(SUMIF(Capacity_Resource,$D20,'Critical resources (hide)'!AV$6:AV$105)+SUMIF(Capacity_Resource,$E20,'Critical resources (hide)'!AV$6:AV$105)+SUMIF(Capacity_Resource,$F20,'Critical resources (hide)'!AV$6:AV$105)&gt;0,$E$1=2),0,1)</f>
        <v>1</v>
      </c>
      <c r="AJ20" s="68">
        <f ca="1">IF(AND(SUMIF(Capacity_Resource,$D20,'Critical resources (hide)'!AW$6:AW$105)+SUMIF(Capacity_Resource,$E20,'Critical resources (hide)'!AW$6:AW$105)+SUMIF(Capacity_Resource,$F20,'Critical resources (hide)'!AW$6:AW$105)&gt;0,$E$1=2),0,1)</f>
        <v>1</v>
      </c>
      <c r="AK20" s="68">
        <f ca="1">IF(AND(SUMIF(Capacity_Resource,$D20,'Critical resources (hide)'!AX$6:AX$105)+SUMIF(Capacity_Resource,$E20,'Critical resources (hide)'!AX$6:AX$105)+SUMIF(Capacity_Resource,$F20,'Critical resources (hide)'!AX$6:AX$105)&gt;0,$E$1=2),0,1)</f>
        <v>1</v>
      </c>
      <c r="AL20" s="68">
        <f ca="1">IF(AND(SUMIF(Capacity_Resource,$D20,'Critical resources (hide)'!AY$6:AY$105)+SUMIF(Capacity_Resource,$E20,'Critical resources (hide)'!AY$6:AY$105)+SUMIF(Capacity_Resource,$F20,'Critical resources (hide)'!AY$6:AY$105)&gt;0,$E$1=2),0,1)</f>
        <v>1</v>
      </c>
      <c r="AM20" s="68">
        <f ca="1">IF(AND(SUMIF(Capacity_Resource,$D20,'Critical resources (hide)'!AZ$6:AZ$105)+SUMIF(Capacity_Resource,$E20,'Critical resources (hide)'!AZ$6:AZ$105)+SUMIF(Capacity_Resource,$F20,'Critical resources (hide)'!AZ$6:AZ$105)&gt;0,$E$1=2),0,1)</f>
        <v>1</v>
      </c>
      <c r="AN20" s="68">
        <f ca="1">IF(AND(SUMIF(Capacity_Resource,$D20,'Critical resources (hide)'!BA$6:BA$105)+SUMIF(Capacity_Resource,$E20,'Critical resources (hide)'!BA$6:BA$105)+SUMIF(Capacity_Resource,$F20,'Critical resources (hide)'!BA$6:BA$105)&gt;0,$E$1=2),0,1)</f>
        <v>1</v>
      </c>
      <c r="AO20" s="68">
        <f ca="1">IF(AND(SUMIF(Capacity_Resource,$D20,'Critical resources (hide)'!BB$6:BB$105)+SUMIF(Capacity_Resource,$E20,'Critical resources (hide)'!BB$6:BB$105)+SUMIF(Capacity_Resource,$F20,'Critical resources (hide)'!BB$6:BB$105)&gt;0,$E$1=2),0,1)</f>
        <v>1</v>
      </c>
      <c r="AP20" s="68">
        <f ca="1">IF(AND(SUMIF(Capacity_Resource,$D20,'Critical resources (hide)'!BC$6:BC$105)+SUMIF(Capacity_Resource,$E20,'Critical resources (hide)'!BC$6:BC$105)+SUMIF(Capacity_Resource,$F20,'Critical resources (hide)'!BC$6:BC$105)&gt;0,$E$1=2),0,1)</f>
        <v>1</v>
      </c>
      <c r="AQ20" s="68">
        <f ca="1">IF(AND(SUMIF(Capacity_Resource,$D20,'Critical resources (hide)'!BD$6:BD$105)+SUMIF(Capacity_Resource,$E20,'Critical resources (hide)'!BD$6:BD$105)+SUMIF(Capacity_Resource,$F20,'Critical resources (hide)'!BD$6:BD$105)&gt;0,$E$1=2),0,1)</f>
        <v>1</v>
      </c>
      <c r="AR20" s="68">
        <f ca="1">IF(AND(SUMIF(Capacity_Resource,$D20,'Critical resources (hide)'!BE$6:BE$105)+SUMIF(Capacity_Resource,$E20,'Critical resources (hide)'!BE$6:BE$105)+SUMIF(Capacity_Resource,$F20,'Critical resources (hide)'!BE$6:BE$105)&gt;0,$E$1=2),0,1)</f>
        <v>1</v>
      </c>
      <c r="AS20" s="68">
        <f ca="1">IF(AND(SUMIF(Capacity_Resource,$D20,'Critical resources (hide)'!BF$6:BF$105)+SUMIF(Capacity_Resource,$E20,'Critical resources (hide)'!BF$6:BF$105)+SUMIF(Capacity_Resource,$F20,'Critical resources (hide)'!BF$6:BF$105)&gt;0,$E$1=2),0,1)</f>
        <v>1</v>
      </c>
      <c r="AT20" s="68">
        <f ca="1">IF(AND(SUMIF(Capacity_Resource,$D20,'Critical resources (hide)'!BG$6:BG$105)+SUMIF(Capacity_Resource,$E20,'Critical resources (hide)'!BG$6:BG$105)+SUMIF(Capacity_Resource,$F20,'Critical resources (hide)'!BG$6:BG$105)&gt;0,$E$1=2),0,1)</f>
        <v>1</v>
      </c>
      <c r="AU20" s="68">
        <f ca="1">IF(AND(SUMIF(Capacity_Resource,$D20,'Critical resources (hide)'!BH$6:BH$105)+SUMIF(Capacity_Resource,$E20,'Critical resources (hide)'!BH$6:BH$105)+SUMIF(Capacity_Resource,$F20,'Critical resources (hide)'!BH$6:BH$105)&gt;0,$E$1=2),0,1)</f>
        <v>1</v>
      </c>
      <c r="AV20" s="68">
        <f ca="1">IF(AND(SUMIF(Capacity_Resource,$D20,'Critical resources (hide)'!BI$6:BI$105)+SUMIF(Capacity_Resource,$E20,'Critical resources (hide)'!BI$6:BI$105)+SUMIF(Capacity_Resource,$F20,'Critical resources (hide)'!BI$6:BI$105)&gt;0,$E$1=2),0,1)</f>
        <v>1</v>
      </c>
      <c r="AW20" s="68">
        <f ca="1">IF(AND(SUMIF(Capacity_Resource,$D20,'Critical resources (hide)'!BJ$6:BJ$105)+SUMIF(Capacity_Resource,$E20,'Critical resources (hide)'!BJ$6:BJ$105)+SUMIF(Capacity_Resource,$F20,'Critical resources (hide)'!BJ$6:BJ$105)&gt;0,$E$1=2),0,1)</f>
        <v>1</v>
      </c>
      <c r="AX20" s="68">
        <f ca="1">IF(AND(SUMIF(Capacity_Resource,$D20,'Critical resources (hide)'!BK$6:BK$105)+SUMIF(Capacity_Resource,$E20,'Critical resources (hide)'!BK$6:BK$105)+SUMIF(Capacity_Resource,$F20,'Critical resources (hide)'!BK$6:BK$105)&gt;0,$E$1=2),0,1)</f>
        <v>1</v>
      </c>
      <c r="AY20" s="68">
        <f ca="1">IF(AND(SUMIF(Capacity_Resource,$D20,'Critical resources (hide)'!BL$6:BL$105)+SUMIF(Capacity_Resource,$E20,'Critical resources (hide)'!BL$6:BL$105)+SUMIF(Capacity_Resource,$F20,'Critical resources (hide)'!BL$6:BL$105)&gt;0,$E$1=2),0,1)</f>
        <v>1</v>
      </c>
      <c r="AZ20" s="68">
        <f ca="1">IF(AND(SUMIF(Capacity_Resource,$D20,'Critical resources (hide)'!BM$6:BM$105)+SUMIF(Capacity_Resource,$E20,'Critical resources (hide)'!BM$6:BM$105)+SUMIF(Capacity_Resource,$F20,'Critical resources (hide)'!BM$6:BM$105)&gt;0,$E$1=2),0,1)</f>
        <v>1</v>
      </c>
      <c r="BA20" s="68">
        <f ca="1">IF(AND(SUMIF(Capacity_Resource,$D20,'Critical resources (hide)'!BN$6:BN$105)+SUMIF(Capacity_Resource,$E20,'Critical resources (hide)'!BN$6:BN$105)+SUMIF(Capacity_Resource,$F20,'Critical resources (hide)'!BN$6:BN$105)&gt;0,$E$1=2),0,1)</f>
        <v>1</v>
      </c>
      <c r="BB20" s="68">
        <f ca="1">IF(AND(SUMIF(Capacity_Resource,$D20,'Critical resources (hide)'!BO$6:BO$105)+SUMIF(Capacity_Resource,$E20,'Critical resources (hide)'!BO$6:BO$105)+SUMIF(Capacity_Resource,$F20,'Critical resources (hide)'!BO$6:BO$105)&gt;0,$E$1=2),0,1)</f>
        <v>1</v>
      </c>
      <c r="BC20" s="68">
        <f ca="1">IF(AND(SUMIF(Capacity_Resource,$D20,'Critical resources (hide)'!BP$6:BP$105)+SUMIF(Capacity_Resource,$E20,'Critical resources (hide)'!BP$6:BP$105)+SUMIF(Capacity_Resource,$F20,'Critical resources (hide)'!BP$6:BP$105)&gt;0,$E$1=2),0,1)</f>
        <v>1</v>
      </c>
      <c r="BD20" s="68">
        <f ca="1">IF(AND(SUMIF(Capacity_Resource,$D20,'Critical resources (hide)'!BQ$6:BQ$105)+SUMIF(Capacity_Resource,$E20,'Critical resources (hide)'!BQ$6:BQ$105)+SUMIF(Capacity_Resource,$F20,'Critical resources (hide)'!BQ$6:BQ$105)&gt;0,$E$1=2),0,1)</f>
        <v>1</v>
      </c>
      <c r="BE20" s="68">
        <f ca="1">IF(AND(SUMIF(Capacity_Resource,$D20,'Critical resources (hide)'!BR$6:BR$105)+SUMIF(Capacity_Resource,$E20,'Critical resources (hide)'!BR$6:BR$105)+SUMIF(Capacity_Resource,$F20,'Critical resources (hide)'!BR$6:BR$105)&gt;0,$E$1=2),0,1)</f>
        <v>1</v>
      </c>
      <c r="BF20" s="68">
        <f ca="1">IF(AND(SUMIF(Capacity_Resource,$D20,'Critical resources (hide)'!BS$6:BS$105)+SUMIF(Capacity_Resource,$E20,'Critical resources (hide)'!BS$6:BS$105)+SUMIF(Capacity_Resource,$F20,'Critical resources (hide)'!BS$6:BS$105)&gt;0,$E$1=2),0,1)</f>
        <v>1</v>
      </c>
      <c r="BG20" s="68">
        <f ca="1">IF(AND(SUMIF(Capacity_Resource,$D20,'Critical resources (hide)'!BT$6:BT$105)+SUMIF(Capacity_Resource,$E20,'Critical resources (hide)'!BT$6:BT$105)+SUMIF(Capacity_Resource,$F20,'Critical resources (hide)'!BT$6:BT$105)&gt;0,$E$1=2),0,1)</f>
        <v>1</v>
      </c>
      <c r="BH20" s="68">
        <f>IF(ROW(C16)&lt;=Capacity!$A$16,IF('Capacity summary'!$D$14="No",SUM(H20:BG20),'Capacity summary'!$E139),0)</f>
        <v>0</v>
      </c>
      <c r="BI20" s="5" t="str">
        <f>IF(BH20&gt;0,IF(BH20&lt;Capacity!E32,Capacity!F32,Capacity!H32/'Capacity calculation (hide)'!BH20),"")</f>
        <v/>
      </c>
      <c r="BK20" s="319">
        <f>IF($BI20&lt;&gt;"",IF('Capacity summary'!$D$14="Yes",IF(COUNTBLANK('Capacity summary'!$H139:$BG139)&lt;52,IF('Capacity summary'!H139&lt;&gt;"",$BI20*H20,0),H20*$BI20),H20*$BI20),0)</f>
        <v>0</v>
      </c>
      <c r="BL20" s="319">
        <f>IF($BI20&lt;&gt;"",IF('Capacity summary'!$D$14="Yes",IF(COUNTBLANK('Capacity summary'!$H139:$BG139)&lt;52,IF('Capacity summary'!I139&lt;&gt;"",$BI20*I20,0),I20*$BI20),I20*$BI20),0)</f>
        <v>0</v>
      </c>
      <c r="BM20" s="319">
        <f>IF($BI20&lt;&gt;"",IF('Capacity summary'!$D$14="Yes",IF(COUNTBLANK('Capacity summary'!$H139:$BG139)&lt;52,IF('Capacity summary'!J139&lt;&gt;"",$BI20*J20,0),J20*$BI20),J20*$BI20),0)</f>
        <v>0</v>
      </c>
      <c r="BN20" s="319">
        <f>IF($BI20&lt;&gt;"",IF('Capacity summary'!$D$14="Yes",IF(COUNTBLANK('Capacity summary'!$H139:$BG139)&lt;52,IF('Capacity summary'!K139&lt;&gt;"",$BI20*K20,0),K20*$BI20),K20*$BI20),0)</f>
        <v>0</v>
      </c>
      <c r="BO20" s="319">
        <f>IF($BI20&lt;&gt;"",IF('Capacity summary'!$D$14="Yes",IF(COUNTBLANK('Capacity summary'!$H139:$BG139)&lt;52,IF('Capacity summary'!L139&lt;&gt;"",$BI20*L20,0),L20*$BI20),L20*$BI20),0)</f>
        <v>0</v>
      </c>
      <c r="BP20" s="319">
        <f>IF($BI20&lt;&gt;"",IF('Capacity summary'!$D$14="Yes",IF(COUNTBLANK('Capacity summary'!$H139:$BG139)&lt;52,IF('Capacity summary'!M139&lt;&gt;"",$BI20*M20,0),M20*$BI20),M20*$BI20),0)</f>
        <v>0</v>
      </c>
      <c r="BQ20" s="319">
        <f>IF($BI20&lt;&gt;"",IF('Capacity summary'!$D$14="Yes",IF(COUNTBLANK('Capacity summary'!$H139:$BG139)&lt;52,IF('Capacity summary'!N139&lt;&gt;"",$BI20*N20,0),N20*$BI20),N20*$BI20),0)</f>
        <v>0</v>
      </c>
      <c r="BR20" s="319">
        <f>IF($BI20&lt;&gt;"",IF('Capacity summary'!$D$14="Yes",IF(COUNTBLANK('Capacity summary'!$H139:$BG139)&lt;52,IF('Capacity summary'!O139&lt;&gt;"",$BI20*O20,0),O20*$BI20),O20*$BI20),0)</f>
        <v>0</v>
      </c>
      <c r="BS20" s="319">
        <f>IF($BI20&lt;&gt;"",IF('Capacity summary'!$D$14="Yes",IF(COUNTBLANK('Capacity summary'!$H139:$BG139)&lt;52,IF('Capacity summary'!P139&lt;&gt;"",$BI20*P20,0),P20*$BI20),P20*$BI20),0)</f>
        <v>0</v>
      </c>
      <c r="BT20" s="319">
        <f>IF($BI20&lt;&gt;"",IF('Capacity summary'!$D$14="Yes",IF(COUNTBLANK('Capacity summary'!$H139:$BG139)&lt;52,IF('Capacity summary'!Q139&lt;&gt;"",$BI20*Q20,0),Q20*$BI20),Q20*$BI20),0)</f>
        <v>0</v>
      </c>
      <c r="BU20" s="319">
        <f>IF($BI20&lt;&gt;"",IF('Capacity summary'!$D$14="Yes",IF(COUNTBLANK('Capacity summary'!$H139:$BG139)&lt;52,IF('Capacity summary'!R139&lt;&gt;"",$BI20*R20,0),R20*$BI20),R20*$BI20),0)</f>
        <v>0</v>
      </c>
      <c r="BV20" s="319">
        <f>IF($BI20&lt;&gt;"",IF('Capacity summary'!$D$14="Yes",IF(COUNTBLANK('Capacity summary'!$H139:$BG139)&lt;52,IF('Capacity summary'!S139&lt;&gt;"",$BI20*S20,0),S20*$BI20),S20*$BI20),0)</f>
        <v>0</v>
      </c>
      <c r="BW20" s="319">
        <f>IF($BI20&lt;&gt;"",IF('Capacity summary'!$D$14="Yes",IF(COUNTBLANK('Capacity summary'!$H139:$BG139)&lt;52,IF('Capacity summary'!T139&lt;&gt;"",$BI20*T20,0),T20*$BI20),T20*$BI20),0)</f>
        <v>0</v>
      </c>
      <c r="BX20" s="319">
        <f>IF($BI20&lt;&gt;"",IF('Capacity summary'!$D$14="Yes",IF(COUNTBLANK('Capacity summary'!$H139:$BG139)&lt;52,IF('Capacity summary'!U139&lt;&gt;"",$BI20*U20,0),U20*$BI20),U20*$BI20),0)</f>
        <v>0</v>
      </c>
      <c r="BY20" s="319">
        <f>IF($BI20&lt;&gt;"",IF('Capacity summary'!$D$14="Yes",IF(COUNTBLANK('Capacity summary'!$H139:$BG139)&lt;52,IF('Capacity summary'!V139&lt;&gt;"",$BI20*V20,0),V20*$BI20),V20*$BI20),0)</f>
        <v>0</v>
      </c>
      <c r="BZ20" s="319">
        <f>IF($BI20&lt;&gt;"",IF('Capacity summary'!$D$14="Yes",IF(COUNTBLANK('Capacity summary'!$H139:$BG139)&lt;52,IF('Capacity summary'!W139&lt;&gt;"",$BI20*W20,0),W20*$BI20),W20*$BI20),0)</f>
        <v>0</v>
      </c>
      <c r="CA20" s="319">
        <f>IF($BI20&lt;&gt;"",IF('Capacity summary'!$D$14="Yes",IF(COUNTBLANK('Capacity summary'!$H139:$BG139)&lt;52,IF('Capacity summary'!X139&lt;&gt;"",$BI20*X20,0),X20*$BI20),X20*$BI20),0)</f>
        <v>0</v>
      </c>
      <c r="CB20" s="319">
        <f>IF($BI20&lt;&gt;"",IF('Capacity summary'!$D$14="Yes",IF(COUNTBLANK('Capacity summary'!$H139:$BG139)&lt;52,IF('Capacity summary'!Y139&lt;&gt;"",$BI20*Y20,0),Y20*$BI20),Y20*$BI20),0)</f>
        <v>0</v>
      </c>
      <c r="CC20" s="319">
        <f>IF($BI20&lt;&gt;"",IF('Capacity summary'!$D$14="Yes",IF(COUNTBLANK('Capacity summary'!$H139:$BG139)&lt;52,IF('Capacity summary'!Z139&lt;&gt;"",$BI20*Z20,0),Z20*$BI20),Z20*$BI20),0)</f>
        <v>0</v>
      </c>
      <c r="CD20" s="319">
        <f>IF($BI20&lt;&gt;"",IF('Capacity summary'!$D$14="Yes",IF(COUNTBLANK('Capacity summary'!$H139:$BG139)&lt;52,IF('Capacity summary'!AA139&lt;&gt;"",$BI20*AA20,0),AA20*$BI20),AA20*$BI20),0)</f>
        <v>0</v>
      </c>
      <c r="CE20" s="319">
        <f>IF($BI20&lt;&gt;"",IF('Capacity summary'!$D$14="Yes",IF(COUNTBLANK('Capacity summary'!$H139:$BG139)&lt;52,IF('Capacity summary'!AB139&lt;&gt;"",$BI20*AB20,0),AB20*$BI20),AB20*$BI20),0)</f>
        <v>0</v>
      </c>
      <c r="CF20" s="319">
        <f>IF($BI20&lt;&gt;"",IF('Capacity summary'!$D$14="Yes",IF(COUNTBLANK('Capacity summary'!$H139:$BG139)&lt;52,IF('Capacity summary'!AC139&lt;&gt;"",$BI20*AC20,0),AC20*$BI20),AC20*$BI20),0)</f>
        <v>0</v>
      </c>
      <c r="CG20" s="319">
        <f>IF($BI20&lt;&gt;"",IF('Capacity summary'!$D$14="Yes",IF(COUNTBLANK('Capacity summary'!$H139:$BG139)&lt;52,IF('Capacity summary'!AD139&lt;&gt;"",$BI20*AD20,0),AD20*$BI20),AD20*$BI20),0)</f>
        <v>0</v>
      </c>
      <c r="CH20" s="319">
        <f>IF($BI20&lt;&gt;"",IF('Capacity summary'!$D$14="Yes",IF(COUNTBLANK('Capacity summary'!$H139:$BG139)&lt;52,IF('Capacity summary'!AE139&lt;&gt;"",$BI20*AE20,0),AE20*$BI20),AE20*$BI20),0)</f>
        <v>0</v>
      </c>
      <c r="CI20" s="319">
        <f>IF($BI20&lt;&gt;"",IF('Capacity summary'!$D$14="Yes",IF(COUNTBLANK('Capacity summary'!$H139:$BG139)&lt;52,IF('Capacity summary'!AF139&lt;&gt;"",$BI20*AF20,0),AF20*$BI20),AF20*$BI20),0)</f>
        <v>0</v>
      </c>
      <c r="CJ20" s="319">
        <f>IF($BI20&lt;&gt;"",IF('Capacity summary'!$D$14="Yes",IF(COUNTBLANK('Capacity summary'!$H139:$BG139)&lt;52,IF('Capacity summary'!AG139&lt;&gt;"",$BI20*AG20,0),AG20*$BI20),AG20*$BI20),0)</f>
        <v>0</v>
      </c>
      <c r="CK20" s="319">
        <f>IF($BI20&lt;&gt;"",IF('Capacity summary'!$D$14="Yes",IF(COUNTBLANK('Capacity summary'!$H139:$BG139)&lt;52,IF('Capacity summary'!AH139&lt;&gt;"",$BI20*AH20,0),AH20*$BI20),AH20*$BI20),0)</f>
        <v>0</v>
      </c>
      <c r="CL20" s="319">
        <f>IF($BI20&lt;&gt;"",IF('Capacity summary'!$D$14="Yes",IF(COUNTBLANK('Capacity summary'!$H139:$BG139)&lt;52,IF('Capacity summary'!AI139&lt;&gt;"",$BI20*AI20,0),AI20*$BI20),AI20*$BI20),0)</f>
        <v>0</v>
      </c>
      <c r="CM20" s="319">
        <f>IF($BI20&lt;&gt;"",IF('Capacity summary'!$D$14="Yes",IF(COUNTBLANK('Capacity summary'!$H139:$BG139)&lt;52,IF('Capacity summary'!AJ139&lt;&gt;"",$BI20*AJ20,0),AJ20*$BI20),AJ20*$BI20),0)</f>
        <v>0</v>
      </c>
      <c r="CN20" s="319">
        <f>IF($BI20&lt;&gt;"",IF('Capacity summary'!$D$14="Yes",IF(COUNTBLANK('Capacity summary'!$H139:$BG139)&lt;52,IF('Capacity summary'!AK139&lt;&gt;"",$BI20*AK20,0),AK20*$BI20),AK20*$BI20),0)</f>
        <v>0</v>
      </c>
      <c r="CO20" s="319">
        <f>IF($BI20&lt;&gt;"",IF('Capacity summary'!$D$14="Yes",IF(COUNTBLANK('Capacity summary'!$H139:$BG139)&lt;52,IF('Capacity summary'!AL139&lt;&gt;"",$BI20*AL20,0),AL20*$BI20),AL20*$BI20),0)</f>
        <v>0</v>
      </c>
      <c r="CP20" s="319">
        <f>IF($BI20&lt;&gt;"",IF('Capacity summary'!$D$14="Yes",IF(COUNTBLANK('Capacity summary'!$H139:$BG139)&lt;52,IF('Capacity summary'!AM139&lt;&gt;"",$BI20*AM20,0),AM20*$BI20),AM20*$BI20),0)</f>
        <v>0</v>
      </c>
      <c r="CQ20" s="319">
        <f>IF($BI20&lt;&gt;"",IF('Capacity summary'!$D$14="Yes",IF(COUNTBLANK('Capacity summary'!$H139:$BG139)&lt;52,IF('Capacity summary'!AN139&lt;&gt;"",$BI20*AN20,0),AN20*$BI20),AN20*$BI20),0)</f>
        <v>0</v>
      </c>
      <c r="CR20" s="319">
        <f>IF($BI20&lt;&gt;"",IF('Capacity summary'!$D$14="Yes",IF(COUNTBLANK('Capacity summary'!$H139:$BG139)&lt;52,IF('Capacity summary'!AO139&lt;&gt;"",$BI20*AO20,0),AO20*$BI20),AO20*$BI20),0)</f>
        <v>0</v>
      </c>
      <c r="CS20" s="319">
        <f>IF($BI20&lt;&gt;"",IF('Capacity summary'!$D$14="Yes",IF(COUNTBLANK('Capacity summary'!$H139:$BG139)&lt;52,IF('Capacity summary'!AP139&lt;&gt;"",$BI20*AP20,0),AP20*$BI20),AP20*$BI20),0)</f>
        <v>0</v>
      </c>
      <c r="CT20" s="319">
        <f>IF($BI20&lt;&gt;"",IF('Capacity summary'!$D$14="Yes",IF(COUNTBLANK('Capacity summary'!$H139:$BG139)&lt;52,IF('Capacity summary'!AQ139&lt;&gt;"",$BI20*AQ20,0),AQ20*$BI20),AQ20*$BI20),0)</f>
        <v>0</v>
      </c>
      <c r="CU20" s="319">
        <f>IF($BI20&lt;&gt;"",IF('Capacity summary'!$D$14="Yes",IF(COUNTBLANK('Capacity summary'!$H139:$BG139)&lt;52,IF('Capacity summary'!AR139&lt;&gt;"",$BI20*AR20,0),AR20*$BI20),AR20*$BI20),0)</f>
        <v>0</v>
      </c>
      <c r="CV20" s="319">
        <f>IF($BI20&lt;&gt;"",IF('Capacity summary'!$D$14="Yes",IF(COUNTBLANK('Capacity summary'!$H139:$BG139)&lt;52,IF('Capacity summary'!AS139&lt;&gt;"",$BI20*AS20,0),AS20*$BI20),AS20*$BI20),0)</f>
        <v>0</v>
      </c>
      <c r="CW20" s="319">
        <f>IF($BI20&lt;&gt;"",IF('Capacity summary'!$D$14="Yes",IF(COUNTBLANK('Capacity summary'!$H139:$BG139)&lt;52,IF('Capacity summary'!AT139&lt;&gt;"",$BI20*AT20,0),AT20*$BI20),AT20*$BI20),0)</f>
        <v>0</v>
      </c>
      <c r="CX20" s="319">
        <f>IF($BI20&lt;&gt;"",IF('Capacity summary'!$D$14="Yes",IF(COUNTBLANK('Capacity summary'!$H139:$BG139)&lt;52,IF('Capacity summary'!AU139&lt;&gt;"",$BI20*AU20,0),AU20*$BI20),AU20*$BI20),0)</f>
        <v>0</v>
      </c>
      <c r="CY20" s="319">
        <f>IF($BI20&lt;&gt;"",IF('Capacity summary'!$D$14="Yes",IF(COUNTBLANK('Capacity summary'!$H139:$BG139)&lt;52,IF('Capacity summary'!AV139&lt;&gt;"",$BI20*AV20,0),AV20*$BI20),AV20*$BI20),0)</f>
        <v>0</v>
      </c>
      <c r="CZ20" s="319">
        <f>IF($BI20&lt;&gt;"",IF('Capacity summary'!$D$14="Yes",IF(COUNTBLANK('Capacity summary'!$H139:$BG139)&lt;52,IF('Capacity summary'!AW139&lt;&gt;"",$BI20*AW20,0),AW20*$BI20),AW20*$BI20),0)</f>
        <v>0</v>
      </c>
      <c r="DA20" s="319">
        <f>IF($BI20&lt;&gt;"",IF('Capacity summary'!$D$14="Yes",IF(COUNTBLANK('Capacity summary'!$H139:$BG139)&lt;52,IF('Capacity summary'!AX139&lt;&gt;"",$BI20*AX20,0),AX20*$BI20),AX20*$BI20),0)</f>
        <v>0</v>
      </c>
      <c r="DB20" s="319">
        <f>IF($BI20&lt;&gt;"",IF('Capacity summary'!$D$14="Yes",IF(COUNTBLANK('Capacity summary'!$H139:$BG139)&lt;52,IF('Capacity summary'!AY139&lt;&gt;"",$BI20*AY20,0),AY20*$BI20),AY20*$BI20),0)</f>
        <v>0</v>
      </c>
      <c r="DC20" s="319">
        <f>IF($BI20&lt;&gt;"",IF('Capacity summary'!$D$14="Yes",IF(COUNTBLANK('Capacity summary'!$H139:$BG139)&lt;52,IF('Capacity summary'!AZ139&lt;&gt;"",$BI20*AZ20,0),AZ20*$BI20),AZ20*$BI20),0)</f>
        <v>0</v>
      </c>
      <c r="DD20" s="319">
        <f>IF($BI20&lt;&gt;"",IF('Capacity summary'!$D$14="Yes",IF(COUNTBLANK('Capacity summary'!$H139:$BG139)&lt;52,IF('Capacity summary'!BA139&lt;&gt;"",$BI20*BA20,0),BA20*$BI20),BA20*$BI20),0)</f>
        <v>0</v>
      </c>
      <c r="DE20" s="319">
        <f>IF($BI20&lt;&gt;"",IF('Capacity summary'!$D$14="Yes",IF(COUNTBLANK('Capacity summary'!$H139:$BG139)&lt;52,IF('Capacity summary'!BB139&lt;&gt;"",$BI20*BB20,0),BB20*$BI20),BB20*$BI20),0)</f>
        <v>0</v>
      </c>
      <c r="DF20" s="319">
        <f>IF($BI20&lt;&gt;"",IF('Capacity summary'!$D$14="Yes",IF(COUNTBLANK('Capacity summary'!$H139:$BG139)&lt;52,IF('Capacity summary'!BC139&lt;&gt;"",$BI20*BC20,0),BC20*$BI20),BC20*$BI20),0)</f>
        <v>0</v>
      </c>
      <c r="DG20" s="319">
        <f>IF($BI20&lt;&gt;"",IF('Capacity summary'!$D$14="Yes",IF(COUNTBLANK('Capacity summary'!$H139:$BG139)&lt;52,IF('Capacity summary'!BD139&lt;&gt;"",$BI20*BD20,0),BD20*$BI20),BD20*$BI20),0)</f>
        <v>0</v>
      </c>
      <c r="DH20" s="319">
        <f>IF($BI20&lt;&gt;"",IF('Capacity summary'!$D$14="Yes",IF(COUNTBLANK('Capacity summary'!$H139:$BG139)&lt;52,IF('Capacity summary'!BE139&lt;&gt;"",$BI20*BE20,0),BE20*$BI20),BE20*$BI20),0)</f>
        <v>0</v>
      </c>
      <c r="DI20" s="319">
        <f>IF($BI20&lt;&gt;"",IF('Capacity summary'!$D$14="Yes",IF(COUNTBLANK('Capacity summary'!$H139:$BG139)&lt;52,IF('Capacity summary'!BF139&lt;&gt;"",$BI20*BF20,0),BF20*$BI20),BF20*$BI20),0)</f>
        <v>0</v>
      </c>
      <c r="DJ20" s="319">
        <f>IF($BI20&lt;&gt;"",IF('Capacity summary'!$D$14="Yes",IF(COUNTBLANK('Capacity summary'!$H139:$BG139)&lt;52,IF('Capacity summary'!BG139&lt;&gt;"",$BI20*BG20,0),BG20*$BI20),BG20*$BI20),0)</f>
        <v>0</v>
      </c>
      <c r="DK20" s="5">
        <f t="shared" si="2"/>
        <v>0</v>
      </c>
      <c r="DL20" s="5" t="str">
        <f>Capacity!H32</f>
        <v/>
      </c>
      <c r="DP20" s="5"/>
    </row>
    <row r="21" spans="2:120" x14ac:dyDescent="0.2">
      <c r="B21" s="68"/>
      <c r="C21" s="68" t="str">
        <f>ROW(A17)&amp;". "&amp;Capacity!B33</f>
        <v xml:space="preserve">17. </v>
      </c>
      <c r="D21" s="68">
        <f>'Capacity setup'!C28</f>
        <v>0</v>
      </c>
      <c r="E21" s="68">
        <f>'Capacity setup'!D28</f>
        <v>0</v>
      </c>
      <c r="F21" s="68">
        <f>'Capacity setup'!E28</f>
        <v>0</v>
      </c>
      <c r="H21" s="68">
        <f ca="1">IF(AND(SUMIF(Capacity_Resource,$D21,'Critical resources (hide)'!U$6:U$105)+SUMIF(Capacity_Resource,$E21,'Critical resources (hide)'!U$6:U$105)+SUMIF(Capacity_Resource,$F21,'Critical resources (hide)'!U$6:U$105)&gt;0,$E$1=2),0,1)</f>
        <v>1</v>
      </c>
      <c r="I21" s="68">
        <f ca="1">IF(AND(SUMIF(Capacity_Resource,$D21,'Critical resources (hide)'!V$6:V$105)+SUMIF(Capacity_Resource,$E21,'Critical resources (hide)'!V$6:V$105)+SUMIF(Capacity_Resource,$F21,'Critical resources (hide)'!V$6:V$105)&gt;0,$E$1=2),0,1)</f>
        <v>1</v>
      </c>
      <c r="J21" s="68">
        <f ca="1">IF(AND(SUMIF(Capacity_Resource,$D21,'Critical resources (hide)'!W$6:W$105)+SUMIF(Capacity_Resource,$E21,'Critical resources (hide)'!W$6:W$105)+SUMIF(Capacity_Resource,$F21,'Critical resources (hide)'!W$6:W$105)&gt;0,$E$1=2),0,1)</f>
        <v>1</v>
      </c>
      <c r="K21" s="68">
        <f ca="1">IF(AND(SUMIF(Capacity_Resource,$D21,'Critical resources (hide)'!X$6:X$105)+SUMIF(Capacity_Resource,$E21,'Critical resources (hide)'!X$6:X$105)+SUMIF(Capacity_Resource,$F21,'Critical resources (hide)'!X$6:X$105)&gt;0,$E$1=2),0,1)</f>
        <v>1</v>
      </c>
      <c r="L21" s="68">
        <f ca="1">IF(AND(SUMIF(Capacity_Resource,$D21,'Critical resources (hide)'!Y$6:Y$105)+SUMIF(Capacity_Resource,$E21,'Critical resources (hide)'!Y$6:Y$105)+SUMIF(Capacity_Resource,$F21,'Critical resources (hide)'!Y$6:Y$105)&gt;0,$E$1=2),0,1)</f>
        <v>1</v>
      </c>
      <c r="M21" s="68">
        <f ca="1">IF(AND(SUMIF(Capacity_Resource,$D21,'Critical resources (hide)'!Z$6:Z$105)+SUMIF(Capacity_Resource,$E21,'Critical resources (hide)'!Z$6:Z$105)+SUMIF(Capacity_Resource,$F21,'Critical resources (hide)'!Z$6:Z$105)&gt;0,$E$1=2),0,1)</f>
        <v>1</v>
      </c>
      <c r="N21" s="68">
        <f ca="1">IF(AND(SUMIF(Capacity_Resource,$D21,'Critical resources (hide)'!AA$6:AA$105)+SUMIF(Capacity_Resource,$E21,'Critical resources (hide)'!AA$6:AA$105)+SUMIF(Capacity_Resource,$F21,'Critical resources (hide)'!AA$6:AA$105)&gt;0,$E$1=2),0,1)</f>
        <v>1</v>
      </c>
      <c r="O21" s="68">
        <f ca="1">IF(AND(SUMIF(Capacity_Resource,$D21,'Critical resources (hide)'!AB$6:AB$105)+SUMIF(Capacity_Resource,$E21,'Critical resources (hide)'!AB$6:AB$105)+SUMIF(Capacity_Resource,$F21,'Critical resources (hide)'!AB$6:AB$105)&gt;0,$E$1=2),0,1)</f>
        <v>1</v>
      </c>
      <c r="P21" s="68">
        <f ca="1">IF(AND(SUMIF(Capacity_Resource,$D21,'Critical resources (hide)'!AC$6:AC$105)+SUMIF(Capacity_Resource,$E21,'Critical resources (hide)'!AC$6:AC$105)+SUMIF(Capacity_Resource,$F21,'Critical resources (hide)'!AC$6:AC$105)&gt;0,$E$1=2),0,1)</f>
        <v>1</v>
      </c>
      <c r="Q21" s="68">
        <f ca="1">IF(AND(SUMIF(Capacity_Resource,$D21,'Critical resources (hide)'!AD$6:AD$105)+SUMIF(Capacity_Resource,$E21,'Critical resources (hide)'!AD$6:AD$105)+SUMIF(Capacity_Resource,$F21,'Critical resources (hide)'!AD$6:AD$105)&gt;0,$E$1=2),0,1)</f>
        <v>1</v>
      </c>
      <c r="R21" s="68">
        <f ca="1">IF(AND(SUMIF(Capacity_Resource,$D21,'Critical resources (hide)'!AE$6:AE$105)+SUMIF(Capacity_Resource,$E21,'Critical resources (hide)'!AE$6:AE$105)+SUMIF(Capacity_Resource,$F21,'Critical resources (hide)'!AE$6:AE$105)&gt;0,$E$1=2),0,1)</f>
        <v>1</v>
      </c>
      <c r="S21" s="68">
        <f ca="1">IF(AND(SUMIF(Capacity_Resource,$D21,'Critical resources (hide)'!AF$6:AF$105)+SUMIF(Capacity_Resource,$E21,'Critical resources (hide)'!AF$6:AF$105)+SUMIF(Capacity_Resource,$F21,'Critical resources (hide)'!AF$6:AF$105)&gt;0,$E$1=2),0,1)</f>
        <v>1</v>
      </c>
      <c r="T21" s="68">
        <f ca="1">IF(AND(SUMIF(Capacity_Resource,$D21,'Critical resources (hide)'!AG$6:AG$105)+SUMIF(Capacity_Resource,$E21,'Critical resources (hide)'!AG$6:AG$105)+SUMIF(Capacity_Resource,$F21,'Critical resources (hide)'!AG$6:AG$105)&gt;0,$E$1=2),0,1)</f>
        <v>1</v>
      </c>
      <c r="U21" s="68">
        <f ca="1">IF(AND(SUMIF(Capacity_Resource,$D21,'Critical resources (hide)'!AH$6:AH$105)+SUMIF(Capacity_Resource,$E21,'Critical resources (hide)'!AH$6:AH$105)+SUMIF(Capacity_Resource,$F21,'Critical resources (hide)'!AH$6:AH$105)&gt;0,$E$1=2),0,1)</f>
        <v>1</v>
      </c>
      <c r="V21" s="68">
        <f ca="1">IF(AND(SUMIF(Capacity_Resource,$D21,'Critical resources (hide)'!AI$6:AI$105)+SUMIF(Capacity_Resource,$E21,'Critical resources (hide)'!AI$6:AI$105)+SUMIF(Capacity_Resource,$F21,'Critical resources (hide)'!AI$6:AI$105)&gt;0,$E$1=2),0,1)</f>
        <v>1</v>
      </c>
      <c r="W21" s="68">
        <f ca="1">IF(AND(SUMIF(Capacity_Resource,$D21,'Critical resources (hide)'!AJ$6:AJ$105)+SUMIF(Capacity_Resource,$E21,'Critical resources (hide)'!AJ$6:AJ$105)+SUMIF(Capacity_Resource,$F21,'Critical resources (hide)'!AJ$6:AJ$105)&gt;0,$E$1=2),0,1)</f>
        <v>1</v>
      </c>
      <c r="X21" s="68">
        <f ca="1">IF(AND(SUMIF(Capacity_Resource,$D21,'Critical resources (hide)'!AK$6:AK$105)+SUMIF(Capacity_Resource,$E21,'Critical resources (hide)'!AK$6:AK$105)+SUMIF(Capacity_Resource,$F21,'Critical resources (hide)'!AK$6:AK$105)&gt;0,$E$1=2),0,1)</f>
        <v>1</v>
      </c>
      <c r="Y21" s="68">
        <f ca="1">IF(AND(SUMIF(Capacity_Resource,$D21,'Critical resources (hide)'!AL$6:AL$105)+SUMIF(Capacity_Resource,$E21,'Critical resources (hide)'!AL$6:AL$105)+SUMIF(Capacity_Resource,$F21,'Critical resources (hide)'!AL$6:AL$105)&gt;0,$E$1=2),0,1)</f>
        <v>1</v>
      </c>
      <c r="Z21" s="68">
        <f ca="1">IF(AND(SUMIF(Capacity_Resource,$D21,'Critical resources (hide)'!AM$6:AM$105)+SUMIF(Capacity_Resource,$E21,'Critical resources (hide)'!AM$6:AM$105)+SUMIF(Capacity_Resource,$F21,'Critical resources (hide)'!AM$6:AM$105)&gt;0,$E$1=2),0,1)</f>
        <v>1</v>
      </c>
      <c r="AA21" s="68">
        <f ca="1">IF(AND(SUMIF(Capacity_Resource,$D21,'Critical resources (hide)'!AN$6:AN$105)+SUMIF(Capacity_Resource,$E21,'Critical resources (hide)'!AN$6:AN$105)+SUMIF(Capacity_Resource,$F21,'Critical resources (hide)'!AN$6:AN$105)&gt;0,$E$1=2),0,1)</f>
        <v>1</v>
      </c>
      <c r="AB21" s="68">
        <f ca="1">IF(AND(SUMIF(Capacity_Resource,$D21,'Critical resources (hide)'!AO$6:AO$105)+SUMIF(Capacity_Resource,$E21,'Critical resources (hide)'!AO$6:AO$105)+SUMIF(Capacity_Resource,$F21,'Critical resources (hide)'!AO$6:AO$105)&gt;0,$E$1=2),0,1)</f>
        <v>1</v>
      </c>
      <c r="AC21" s="68">
        <f ca="1">IF(AND(SUMIF(Capacity_Resource,$D21,'Critical resources (hide)'!AP$6:AP$105)+SUMIF(Capacity_Resource,$E21,'Critical resources (hide)'!AP$6:AP$105)+SUMIF(Capacity_Resource,$F21,'Critical resources (hide)'!AP$6:AP$105)&gt;0,$E$1=2),0,1)</f>
        <v>1</v>
      </c>
      <c r="AD21" s="68">
        <f ca="1">IF(AND(SUMIF(Capacity_Resource,$D21,'Critical resources (hide)'!AQ$6:AQ$105)+SUMIF(Capacity_Resource,$E21,'Critical resources (hide)'!AQ$6:AQ$105)+SUMIF(Capacity_Resource,$F21,'Critical resources (hide)'!AQ$6:AQ$105)&gt;0,$E$1=2),0,1)</f>
        <v>1</v>
      </c>
      <c r="AE21" s="68">
        <f ca="1">IF(AND(SUMIF(Capacity_Resource,$D21,'Critical resources (hide)'!AR$6:AR$105)+SUMIF(Capacity_Resource,$E21,'Critical resources (hide)'!AR$6:AR$105)+SUMIF(Capacity_Resource,$F21,'Critical resources (hide)'!AR$6:AR$105)&gt;0,$E$1=2),0,1)</f>
        <v>1</v>
      </c>
      <c r="AF21" s="68">
        <f ca="1">IF(AND(SUMIF(Capacity_Resource,$D21,'Critical resources (hide)'!AS$6:AS$105)+SUMIF(Capacity_Resource,$E21,'Critical resources (hide)'!AS$6:AS$105)+SUMIF(Capacity_Resource,$F21,'Critical resources (hide)'!AS$6:AS$105)&gt;0,$E$1=2),0,1)</f>
        <v>1</v>
      </c>
      <c r="AG21" s="68">
        <f ca="1">IF(AND(SUMIF(Capacity_Resource,$D21,'Critical resources (hide)'!AT$6:AT$105)+SUMIF(Capacity_Resource,$E21,'Critical resources (hide)'!AT$6:AT$105)+SUMIF(Capacity_Resource,$F21,'Critical resources (hide)'!AT$6:AT$105)&gt;0,$E$1=2),0,1)</f>
        <v>1</v>
      </c>
      <c r="AH21" s="68">
        <f ca="1">IF(AND(SUMIF(Capacity_Resource,$D21,'Critical resources (hide)'!AU$6:AU$105)+SUMIF(Capacity_Resource,$E21,'Critical resources (hide)'!AU$6:AU$105)+SUMIF(Capacity_Resource,$F21,'Critical resources (hide)'!AU$6:AU$105)&gt;0,$E$1=2),0,1)</f>
        <v>1</v>
      </c>
      <c r="AI21" s="68">
        <f ca="1">IF(AND(SUMIF(Capacity_Resource,$D21,'Critical resources (hide)'!AV$6:AV$105)+SUMIF(Capacity_Resource,$E21,'Critical resources (hide)'!AV$6:AV$105)+SUMIF(Capacity_Resource,$F21,'Critical resources (hide)'!AV$6:AV$105)&gt;0,$E$1=2),0,1)</f>
        <v>1</v>
      </c>
      <c r="AJ21" s="68">
        <f ca="1">IF(AND(SUMIF(Capacity_Resource,$D21,'Critical resources (hide)'!AW$6:AW$105)+SUMIF(Capacity_Resource,$E21,'Critical resources (hide)'!AW$6:AW$105)+SUMIF(Capacity_Resource,$F21,'Critical resources (hide)'!AW$6:AW$105)&gt;0,$E$1=2),0,1)</f>
        <v>1</v>
      </c>
      <c r="AK21" s="68">
        <f ca="1">IF(AND(SUMIF(Capacity_Resource,$D21,'Critical resources (hide)'!AX$6:AX$105)+SUMIF(Capacity_Resource,$E21,'Critical resources (hide)'!AX$6:AX$105)+SUMIF(Capacity_Resource,$F21,'Critical resources (hide)'!AX$6:AX$105)&gt;0,$E$1=2),0,1)</f>
        <v>1</v>
      </c>
      <c r="AL21" s="68">
        <f ca="1">IF(AND(SUMIF(Capacity_Resource,$D21,'Critical resources (hide)'!AY$6:AY$105)+SUMIF(Capacity_Resource,$E21,'Critical resources (hide)'!AY$6:AY$105)+SUMIF(Capacity_Resource,$F21,'Critical resources (hide)'!AY$6:AY$105)&gt;0,$E$1=2),0,1)</f>
        <v>1</v>
      </c>
      <c r="AM21" s="68">
        <f ca="1">IF(AND(SUMIF(Capacity_Resource,$D21,'Critical resources (hide)'!AZ$6:AZ$105)+SUMIF(Capacity_Resource,$E21,'Critical resources (hide)'!AZ$6:AZ$105)+SUMIF(Capacity_Resource,$F21,'Critical resources (hide)'!AZ$6:AZ$105)&gt;0,$E$1=2),0,1)</f>
        <v>1</v>
      </c>
      <c r="AN21" s="68">
        <f ca="1">IF(AND(SUMIF(Capacity_Resource,$D21,'Critical resources (hide)'!BA$6:BA$105)+SUMIF(Capacity_Resource,$E21,'Critical resources (hide)'!BA$6:BA$105)+SUMIF(Capacity_Resource,$F21,'Critical resources (hide)'!BA$6:BA$105)&gt;0,$E$1=2),0,1)</f>
        <v>1</v>
      </c>
      <c r="AO21" s="68">
        <f ca="1">IF(AND(SUMIF(Capacity_Resource,$D21,'Critical resources (hide)'!BB$6:BB$105)+SUMIF(Capacity_Resource,$E21,'Critical resources (hide)'!BB$6:BB$105)+SUMIF(Capacity_Resource,$F21,'Critical resources (hide)'!BB$6:BB$105)&gt;0,$E$1=2),0,1)</f>
        <v>1</v>
      </c>
      <c r="AP21" s="68">
        <f ca="1">IF(AND(SUMIF(Capacity_Resource,$D21,'Critical resources (hide)'!BC$6:BC$105)+SUMIF(Capacity_Resource,$E21,'Critical resources (hide)'!BC$6:BC$105)+SUMIF(Capacity_Resource,$F21,'Critical resources (hide)'!BC$6:BC$105)&gt;0,$E$1=2),0,1)</f>
        <v>1</v>
      </c>
      <c r="AQ21" s="68">
        <f ca="1">IF(AND(SUMIF(Capacity_Resource,$D21,'Critical resources (hide)'!BD$6:BD$105)+SUMIF(Capacity_Resource,$E21,'Critical resources (hide)'!BD$6:BD$105)+SUMIF(Capacity_Resource,$F21,'Critical resources (hide)'!BD$6:BD$105)&gt;0,$E$1=2),0,1)</f>
        <v>1</v>
      </c>
      <c r="AR21" s="68">
        <f ca="1">IF(AND(SUMIF(Capacity_Resource,$D21,'Critical resources (hide)'!BE$6:BE$105)+SUMIF(Capacity_Resource,$E21,'Critical resources (hide)'!BE$6:BE$105)+SUMIF(Capacity_Resource,$F21,'Critical resources (hide)'!BE$6:BE$105)&gt;0,$E$1=2),0,1)</f>
        <v>1</v>
      </c>
      <c r="AS21" s="68">
        <f ca="1">IF(AND(SUMIF(Capacity_Resource,$D21,'Critical resources (hide)'!BF$6:BF$105)+SUMIF(Capacity_Resource,$E21,'Critical resources (hide)'!BF$6:BF$105)+SUMIF(Capacity_Resource,$F21,'Critical resources (hide)'!BF$6:BF$105)&gt;0,$E$1=2),0,1)</f>
        <v>1</v>
      </c>
      <c r="AT21" s="68">
        <f ca="1">IF(AND(SUMIF(Capacity_Resource,$D21,'Critical resources (hide)'!BG$6:BG$105)+SUMIF(Capacity_Resource,$E21,'Critical resources (hide)'!BG$6:BG$105)+SUMIF(Capacity_Resource,$F21,'Critical resources (hide)'!BG$6:BG$105)&gt;0,$E$1=2),0,1)</f>
        <v>1</v>
      </c>
      <c r="AU21" s="68">
        <f ca="1">IF(AND(SUMIF(Capacity_Resource,$D21,'Critical resources (hide)'!BH$6:BH$105)+SUMIF(Capacity_Resource,$E21,'Critical resources (hide)'!BH$6:BH$105)+SUMIF(Capacity_Resource,$F21,'Critical resources (hide)'!BH$6:BH$105)&gt;0,$E$1=2),0,1)</f>
        <v>1</v>
      </c>
      <c r="AV21" s="68">
        <f ca="1">IF(AND(SUMIF(Capacity_Resource,$D21,'Critical resources (hide)'!BI$6:BI$105)+SUMIF(Capacity_Resource,$E21,'Critical resources (hide)'!BI$6:BI$105)+SUMIF(Capacity_Resource,$F21,'Critical resources (hide)'!BI$6:BI$105)&gt;0,$E$1=2),0,1)</f>
        <v>1</v>
      </c>
      <c r="AW21" s="68">
        <f ca="1">IF(AND(SUMIF(Capacity_Resource,$D21,'Critical resources (hide)'!BJ$6:BJ$105)+SUMIF(Capacity_Resource,$E21,'Critical resources (hide)'!BJ$6:BJ$105)+SUMIF(Capacity_Resource,$F21,'Critical resources (hide)'!BJ$6:BJ$105)&gt;0,$E$1=2),0,1)</f>
        <v>1</v>
      </c>
      <c r="AX21" s="68">
        <f ca="1">IF(AND(SUMIF(Capacity_Resource,$D21,'Critical resources (hide)'!BK$6:BK$105)+SUMIF(Capacity_Resource,$E21,'Critical resources (hide)'!BK$6:BK$105)+SUMIF(Capacity_Resource,$F21,'Critical resources (hide)'!BK$6:BK$105)&gt;0,$E$1=2),0,1)</f>
        <v>1</v>
      </c>
      <c r="AY21" s="68">
        <f ca="1">IF(AND(SUMIF(Capacity_Resource,$D21,'Critical resources (hide)'!BL$6:BL$105)+SUMIF(Capacity_Resource,$E21,'Critical resources (hide)'!BL$6:BL$105)+SUMIF(Capacity_Resource,$F21,'Critical resources (hide)'!BL$6:BL$105)&gt;0,$E$1=2),0,1)</f>
        <v>1</v>
      </c>
      <c r="AZ21" s="68">
        <f ca="1">IF(AND(SUMIF(Capacity_Resource,$D21,'Critical resources (hide)'!BM$6:BM$105)+SUMIF(Capacity_Resource,$E21,'Critical resources (hide)'!BM$6:BM$105)+SUMIF(Capacity_Resource,$F21,'Critical resources (hide)'!BM$6:BM$105)&gt;0,$E$1=2),0,1)</f>
        <v>1</v>
      </c>
      <c r="BA21" s="68">
        <f ca="1">IF(AND(SUMIF(Capacity_Resource,$D21,'Critical resources (hide)'!BN$6:BN$105)+SUMIF(Capacity_Resource,$E21,'Critical resources (hide)'!BN$6:BN$105)+SUMIF(Capacity_Resource,$F21,'Critical resources (hide)'!BN$6:BN$105)&gt;0,$E$1=2),0,1)</f>
        <v>1</v>
      </c>
      <c r="BB21" s="68">
        <f ca="1">IF(AND(SUMIF(Capacity_Resource,$D21,'Critical resources (hide)'!BO$6:BO$105)+SUMIF(Capacity_Resource,$E21,'Critical resources (hide)'!BO$6:BO$105)+SUMIF(Capacity_Resource,$F21,'Critical resources (hide)'!BO$6:BO$105)&gt;0,$E$1=2),0,1)</f>
        <v>1</v>
      </c>
      <c r="BC21" s="68">
        <f ca="1">IF(AND(SUMIF(Capacity_Resource,$D21,'Critical resources (hide)'!BP$6:BP$105)+SUMIF(Capacity_Resource,$E21,'Critical resources (hide)'!BP$6:BP$105)+SUMIF(Capacity_Resource,$F21,'Critical resources (hide)'!BP$6:BP$105)&gt;0,$E$1=2),0,1)</f>
        <v>1</v>
      </c>
      <c r="BD21" s="68">
        <f ca="1">IF(AND(SUMIF(Capacity_Resource,$D21,'Critical resources (hide)'!BQ$6:BQ$105)+SUMIF(Capacity_Resource,$E21,'Critical resources (hide)'!BQ$6:BQ$105)+SUMIF(Capacity_Resource,$F21,'Critical resources (hide)'!BQ$6:BQ$105)&gt;0,$E$1=2),0,1)</f>
        <v>1</v>
      </c>
      <c r="BE21" s="68">
        <f ca="1">IF(AND(SUMIF(Capacity_Resource,$D21,'Critical resources (hide)'!BR$6:BR$105)+SUMIF(Capacity_Resource,$E21,'Critical resources (hide)'!BR$6:BR$105)+SUMIF(Capacity_Resource,$F21,'Critical resources (hide)'!BR$6:BR$105)&gt;0,$E$1=2),0,1)</f>
        <v>1</v>
      </c>
      <c r="BF21" s="68">
        <f ca="1">IF(AND(SUMIF(Capacity_Resource,$D21,'Critical resources (hide)'!BS$6:BS$105)+SUMIF(Capacity_Resource,$E21,'Critical resources (hide)'!BS$6:BS$105)+SUMIF(Capacity_Resource,$F21,'Critical resources (hide)'!BS$6:BS$105)&gt;0,$E$1=2),0,1)</f>
        <v>1</v>
      </c>
      <c r="BG21" s="68">
        <f ca="1">IF(AND(SUMIF(Capacity_Resource,$D21,'Critical resources (hide)'!BT$6:BT$105)+SUMIF(Capacity_Resource,$E21,'Critical resources (hide)'!BT$6:BT$105)+SUMIF(Capacity_Resource,$F21,'Critical resources (hide)'!BT$6:BT$105)&gt;0,$E$1=2),0,1)</f>
        <v>1</v>
      </c>
      <c r="BH21" s="68">
        <f>IF(ROW(C17)&lt;=Capacity!$A$16,IF('Capacity summary'!$D$14="No",SUM(H21:BG21),'Capacity summary'!$E140),0)</f>
        <v>0</v>
      </c>
      <c r="BI21" s="5" t="str">
        <f>IF(BH21&gt;0,IF(BH21&lt;Capacity!E33,Capacity!F33,Capacity!H33/'Capacity calculation (hide)'!BH21),"")</f>
        <v/>
      </c>
      <c r="BK21" s="319">
        <f>IF($BI21&lt;&gt;"",IF('Capacity summary'!$D$14="Yes",IF(COUNTBLANK('Capacity summary'!$H140:$BG140)&lt;52,IF('Capacity summary'!H140&lt;&gt;"",$BI21*H21,0),H21*$BI21),H21*$BI21),0)</f>
        <v>0</v>
      </c>
      <c r="BL21" s="319">
        <f>IF($BI21&lt;&gt;"",IF('Capacity summary'!$D$14="Yes",IF(COUNTBLANK('Capacity summary'!$H140:$BG140)&lt;52,IF('Capacity summary'!I140&lt;&gt;"",$BI21*I21,0),I21*$BI21),I21*$BI21),0)</f>
        <v>0</v>
      </c>
      <c r="BM21" s="319">
        <f>IF($BI21&lt;&gt;"",IF('Capacity summary'!$D$14="Yes",IF(COUNTBLANK('Capacity summary'!$H140:$BG140)&lt;52,IF('Capacity summary'!J140&lt;&gt;"",$BI21*J21,0),J21*$BI21),J21*$BI21),0)</f>
        <v>0</v>
      </c>
      <c r="BN21" s="319">
        <f>IF($BI21&lt;&gt;"",IF('Capacity summary'!$D$14="Yes",IF(COUNTBLANK('Capacity summary'!$H140:$BG140)&lt;52,IF('Capacity summary'!K140&lt;&gt;"",$BI21*K21,0),K21*$BI21),K21*$BI21),0)</f>
        <v>0</v>
      </c>
      <c r="BO21" s="319">
        <f>IF($BI21&lt;&gt;"",IF('Capacity summary'!$D$14="Yes",IF(COUNTBLANK('Capacity summary'!$H140:$BG140)&lt;52,IF('Capacity summary'!L140&lt;&gt;"",$BI21*L21,0),L21*$BI21),L21*$BI21),0)</f>
        <v>0</v>
      </c>
      <c r="BP21" s="319">
        <f>IF($BI21&lt;&gt;"",IF('Capacity summary'!$D$14="Yes",IF(COUNTBLANK('Capacity summary'!$H140:$BG140)&lt;52,IF('Capacity summary'!M140&lt;&gt;"",$BI21*M21,0),M21*$BI21),M21*$BI21),0)</f>
        <v>0</v>
      </c>
      <c r="BQ21" s="319">
        <f>IF($BI21&lt;&gt;"",IF('Capacity summary'!$D$14="Yes",IF(COUNTBLANK('Capacity summary'!$H140:$BG140)&lt;52,IF('Capacity summary'!N140&lt;&gt;"",$BI21*N21,0),N21*$BI21),N21*$BI21),0)</f>
        <v>0</v>
      </c>
      <c r="BR21" s="319">
        <f>IF($BI21&lt;&gt;"",IF('Capacity summary'!$D$14="Yes",IF(COUNTBLANK('Capacity summary'!$H140:$BG140)&lt;52,IF('Capacity summary'!O140&lt;&gt;"",$BI21*O21,0),O21*$BI21),O21*$BI21),0)</f>
        <v>0</v>
      </c>
      <c r="BS21" s="319">
        <f>IF($BI21&lt;&gt;"",IF('Capacity summary'!$D$14="Yes",IF(COUNTBLANK('Capacity summary'!$H140:$BG140)&lt;52,IF('Capacity summary'!P140&lt;&gt;"",$BI21*P21,0),P21*$BI21),P21*$BI21),0)</f>
        <v>0</v>
      </c>
      <c r="BT21" s="319">
        <f>IF($BI21&lt;&gt;"",IF('Capacity summary'!$D$14="Yes",IF(COUNTBLANK('Capacity summary'!$H140:$BG140)&lt;52,IF('Capacity summary'!Q140&lt;&gt;"",$BI21*Q21,0),Q21*$BI21),Q21*$BI21),0)</f>
        <v>0</v>
      </c>
      <c r="BU21" s="319">
        <f>IF($BI21&lt;&gt;"",IF('Capacity summary'!$D$14="Yes",IF(COUNTBLANK('Capacity summary'!$H140:$BG140)&lt;52,IF('Capacity summary'!R140&lt;&gt;"",$BI21*R21,0),R21*$BI21),R21*$BI21),0)</f>
        <v>0</v>
      </c>
      <c r="BV21" s="319">
        <f>IF($BI21&lt;&gt;"",IF('Capacity summary'!$D$14="Yes",IF(COUNTBLANK('Capacity summary'!$H140:$BG140)&lt;52,IF('Capacity summary'!S140&lt;&gt;"",$BI21*S21,0),S21*$BI21),S21*$BI21),0)</f>
        <v>0</v>
      </c>
      <c r="BW21" s="319">
        <f>IF($BI21&lt;&gt;"",IF('Capacity summary'!$D$14="Yes",IF(COUNTBLANK('Capacity summary'!$H140:$BG140)&lt;52,IF('Capacity summary'!T140&lt;&gt;"",$BI21*T21,0),T21*$BI21),T21*$BI21),0)</f>
        <v>0</v>
      </c>
      <c r="BX21" s="319">
        <f>IF($BI21&lt;&gt;"",IF('Capacity summary'!$D$14="Yes",IF(COUNTBLANK('Capacity summary'!$H140:$BG140)&lt;52,IF('Capacity summary'!U140&lt;&gt;"",$BI21*U21,0),U21*$BI21),U21*$BI21),0)</f>
        <v>0</v>
      </c>
      <c r="BY21" s="319">
        <f>IF($BI21&lt;&gt;"",IF('Capacity summary'!$D$14="Yes",IF(COUNTBLANK('Capacity summary'!$H140:$BG140)&lt;52,IF('Capacity summary'!V140&lt;&gt;"",$BI21*V21,0),V21*$BI21),V21*$BI21),0)</f>
        <v>0</v>
      </c>
      <c r="BZ21" s="319">
        <f>IF($BI21&lt;&gt;"",IF('Capacity summary'!$D$14="Yes",IF(COUNTBLANK('Capacity summary'!$H140:$BG140)&lt;52,IF('Capacity summary'!W140&lt;&gt;"",$BI21*W21,0),W21*$BI21),W21*$BI21),0)</f>
        <v>0</v>
      </c>
      <c r="CA21" s="319">
        <f>IF($BI21&lt;&gt;"",IF('Capacity summary'!$D$14="Yes",IF(COUNTBLANK('Capacity summary'!$H140:$BG140)&lt;52,IF('Capacity summary'!X140&lt;&gt;"",$BI21*X21,0),X21*$BI21),X21*$BI21),0)</f>
        <v>0</v>
      </c>
      <c r="CB21" s="319">
        <f>IF($BI21&lt;&gt;"",IF('Capacity summary'!$D$14="Yes",IF(COUNTBLANK('Capacity summary'!$H140:$BG140)&lt;52,IF('Capacity summary'!Y140&lt;&gt;"",$BI21*Y21,0),Y21*$BI21),Y21*$BI21),0)</f>
        <v>0</v>
      </c>
      <c r="CC21" s="319">
        <f>IF($BI21&lt;&gt;"",IF('Capacity summary'!$D$14="Yes",IF(COUNTBLANK('Capacity summary'!$H140:$BG140)&lt;52,IF('Capacity summary'!Z140&lt;&gt;"",$BI21*Z21,0),Z21*$BI21),Z21*$BI21),0)</f>
        <v>0</v>
      </c>
      <c r="CD21" s="319">
        <f>IF($BI21&lt;&gt;"",IF('Capacity summary'!$D$14="Yes",IF(COUNTBLANK('Capacity summary'!$H140:$BG140)&lt;52,IF('Capacity summary'!AA140&lt;&gt;"",$BI21*AA21,0),AA21*$BI21),AA21*$BI21),0)</f>
        <v>0</v>
      </c>
      <c r="CE21" s="319">
        <f>IF($BI21&lt;&gt;"",IF('Capacity summary'!$D$14="Yes",IF(COUNTBLANK('Capacity summary'!$H140:$BG140)&lt;52,IF('Capacity summary'!AB140&lt;&gt;"",$BI21*AB21,0),AB21*$BI21),AB21*$BI21),0)</f>
        <v>0</v>
      </c>
      <c r="CF21" s="319">
        <f>IF($BI21&lt;&gt;"",IF('Capacity summary'!$D$14="Yes",IF(COUNTBLANK('Capacity summary'!$H140:$BG140)&lt;52,IF('Capacity summary'!AC140&lt;&gt;"",$BI21*AC21,0),AC21*$BI21),AC21*$BI21),0)</f>
        <v>0</v>
      </c>
      <c r="CG21" s="319">
        <f>IF($BI21&lt;&gt;"",IF('Capacity summary'!$D$14="Yes",IF(COUNTBLANK('Capacity summary'!$H140:$BG140)&lt;52,IF('Capacity summary'!AD140&lt;&gt;"",$BI21*AD21,0),AD21*$BI21),AD21*$BI21),0)</f>
        <v>0</v>
      </c>
      <c r="CH21" s="319">
        <f>IF($BI21&lt;&gt;"",IF('Capacity summary'!$D$14="Yes",IF(COUNTBLANK('Capacity summary'!$H140:$BG140)&lt;52,IF('Capacity summary'!AE140&lt;&gt;"",$BI21*AE21,0),AE21*$BI21),AE21*$BI21),0)</f>
        <v>0</v>
      </c>
      <c r="CI21" s="319">
        <f>IF($BI21&lt;&gt;"",IF('Capacity summary'!$D$14="Yes",IF(COUNTBLANK('Capacity summary'!$H140:$BG140)&lt;52,IF('Capacity summary'!AF140&lt;&gt;"",$BI21*AF21,0),AF21*$BI21),AF21*$BI21),0)</f>
        <v>0</v>
      </c>
      <c r="CJ21" s="319">
        <f>IF($BI21&lt;&gt;"",IF('Capacity summary'!$D$14="Yes",IF(COUNTBLANK('Capacity summary'!$H140:$BG140)&lt;52,IF('Capacity summary'!AG140&lt;&gt;"",$BI21*AG21,0),AG21*$BI21),AG21*$BI21),0)</f>
        <v>0</v>
      </c>
      <c r="CK21" s="319">
        <f>IF($BI21&lt;&gt;"",IF('Capacity summary'!$D$14="Yes",IF(COUNTBLANK('Capacity summary'!$H140:$BG140)&lt;52,IF('Capacity summary'!AH140&lt;&gt;"",$BI21*AH21,0),AH21*$BI21),AH21*$BI21),0)</f>
        <v>0</v>
      </c>
      <c r="CL21" s="319">
        <f>IF($BI21&lt;&gt;"",IF('Capacity summary'!$D$14="Yes",IF(COUNTBLANK('Capacity summary'!$H140:$BG140)&lt;52,IF('Capacity summary'!AI140&lt;&gt;"",$BI21*AI21,0),AI21*$BI21),AI21*$BI21),0)</f>
        <v>0</v>
      </c>
      <c r="CM21" s="319">
        <f>IF($BI21&lt;&gt;"",IF('Capacity summary'!$D$14="Yes",IF(COUNTBLANK('Capacity summary'!$H140:$BG140)&lt;52,IF('Capacity summary'!AJ140&lt;&gt;"",$BI21*AJ21,0),AJ21*$BI21),AJ21*$BI21),0)</f>
        <v>0</v>
      </c>
      <c r="CN21" s="319">
        <f>IF($BI21&lt;&gt;"",IF('Capacity summary'!$D$14="Yes",IF(COUNTBLANK('Capacity summary'!$H140:$BG140)&lt;52,IF('Capacity summary'!AK140&lt;&gt;"",$BI21*AK21,0),AK21*$BI21),AK21*$BI21),0)</f>
        <v>0</v>
      </c>
      <c r="CO21" s="319">
        <f>IF($BI21&lt;&gt;"",IF('Capacity summary'!$D$14="Yes",IF(COUNTBLANK('Capacity summary'!$H140:$BG140)&lt;52,IF('Capacity summary'!AL140&lt;&gt;"",$BI21*AL21,0),AL21*$BI21),AL21*$BI21),0)</f>
        <v>0</v>
      </c>
      <c r="CP21" s="319">
        <f>IF($BI21&lt;&gt;"",IF('Capacity summary'!$D$14="Yes",IF(COUNTBLANK('Capacity summary'!$H140:$BG140)&lt;52,IF('Capacity summary'!AM140&lt;&gt;"",$BI21*AM21,0),AM21*$BI21),AM21*$BI21),0)</f>
        <v>0</v>
      </c>
      <c r="CQ21" s="319">
        <f>IF($BI21&lt;&gt;"",IF('Capacity summary'!$D$14="Yes",IF(COUNTBLANK('Capacity summary'!$H140:$BG140)&lt;52,IF('Capacity summary'!AN140&lt;&gt;"",$BI21*AN21,0),AN21*$BI21),AN21*$BI21),0)</f>
        <v>0</v>
      </c>
      <c r="CR21" s="319">
        <f>IF($BI21&lt;&gt;"",IF('Capacity summary'!$D$14="Yes",IF(COUNTBLANK('Capacity summary'!$H140:$BG140)&lt;52,IF('Capacity summary'!AO140&lt;&gt;"",$BI21*AO21,0),AO21*$BI21),AO21*$BI21),0)</f>
        <v>0</v>
      </c>
      <c r="CS21" s="319">
        <f>IF($BI21&lt;&gt;"",IF('Capacity summary'!$D$14="Yes",IF(COUNTBLANK('Capacity summary'!$H140:$BG140)&lt;52,IF('Capacity summary'!AP140&lt;&gt;"",$BI21*AP21,0),AP21*$BI21),AP21*$BI21),0)</f>
        <v>0</v>
      </c>
      <c r="CT21" s="319">
        <f>IF($BI21&lt;&gt;"",IF('Capacity summary'!$D$14="Yes",IF(COUNTBLANK('Capacity summary'!$H140:$BG140)&lt;52,IF('Capacity summary'!AQ140&lt;&gt;"",$BI21*AQ21,0),AQ21*$BI21),AQ21*$BI21),0)</f>
        <v>0</v>
      </c>
      <c r="CU21" s="319">
        <f>IF($BI21&lt;&gt;"",IF('Capacity summary'!$D$14="Yes",IF(COUNTBLANK('Capacity summary'!$H140:$BG140)&lt;52,IF('Capacity summary'!AR140&lt;&gt;"",$BI21*AR21,0),AR21*$BI21),AR21*$BI21),0)</f>
        <v>0</v>
      </c>
      <c r="CV21" s="319">
        <f>IF($BI21&lt;&gt;"",IF('Capacity summary'!$D$14="Yes",IF(COUNTBLANK('Capacity summary'!$H140:$BG140)&lt;52,IF('Capacity summary'!AS140&lt;&gt;"",$BI21*AS21,0),AS21*$BI21),AS21*$BI21),0)</f>
        <v>0</v>
      </c>
      <c r="CW21" s="319">
        <f>IF($BI21&lt;&gt;"",IF('Capacity summary'!$D$14="Yes",IF(COUNTBLANK('Capacity summary'!$H140:$BG140)&lt;52,IF('Capacity summary'!AT140&lt;&gt;"",$BI21*AT21,0),AT21*$BI21),AT21*$BI21),0)</f>
        <v>0</v>
      </c>
      <c r="CX21" s="319">
        <f>IF($BI21&lt;&gt;"",IF('Capacity summary'!$D$14="Yes",IF(COUNTBLANK('Capacity summary'!$H140:$BG140)&lt;52,IF('Capacity summary'!AU140&lt;&gt;"",$BI21*AU21,0),AU21*$BI21),AU21*$BI21),0)</f>
        <v>0</v>
      </c>
      <c r="CY21" s="319">
        <f>IF($BI21&lt;&gt;"",IF('Capacity summary'!$D$14="Yes",IF(COUNTBLANK('Capacity summary'!$H140:$BG140)&lt;52,IF('Capacity summary'!AV140&lt;&gt;"",$BI21*AV21,0),AV21*$BI21),AV21*$BI21),0)</f>
        <v>0</v>
      </c>
      <c r="CZ21" s="319">
        <f>IF($BI21&lt;&gt;"",IF('Capacity summary'!$D$14="Yes",IF(COUNTBLANK('Capacity summary'!$H140:$BG140)&lt;52,IF('Capacity summary'!AW140&lt;&gt;"",$BI21*AW21,0),AW21*$BI21),AW21*$BI21),0)</f>
        <v>0</v>
      </c>
      <c r="DA21" s="319">
        <f>IF($BI21&lt;&gt;"",IF('Capacity summary'!$D$14="Yes",IF(COUNTBLANK('Capacity summary'!$H140:$BG140)&lt;52,IF('Capacity summary'!AX140&lt;&gt;"",$BI21*AX21,0),AX21*$BI21),AX21*$BI21),0)</f>
        <v>0</v>
      </c>
      <c r="DB21" s="319">
        <f>IF($BI21&lt;&gt;"",IF('Capacity summary'!$D$14="Yes",IF(COUNTBLANK('Capacity summary'!$H140:$BG140)&lt;52,IF('Capacity summary'!AY140&lt;&gt;"",$BI21*AY21,0),AY21*$BI21),AY21*$BI21),0)</f>
        <v>0</v>
      </c>
      <c r="DC21" s="319">
        <f>IF($BI21&lt;&gt;"",IF('Capacity summary'!$D$14="Yes",IF(COUNTBLANK('Capacity summary'!$H140:$BG140)&lt;52,IF('Capacity summary'!AZ140&lt;&gt;"",$BI21*AZ21,0),AZ21*$BI21),AZ21*$BI21),0)</f>
        <v>0</v>
      </c>
      <c r="DD21" s="319">
        <f>IF($BI21&lt;&gt;"",IF('Capacity summary'!$D$14="Yes",IF(COUNTBLANK('Capacity summary'!$H140:$BG140)&lt;52,IF('Capacity summary'!BA140&lt;&gt;"",$BI21*BA21,0),BA21*$BI21),BA21*$BI21),0)</f>
        <v>0</v>
      </c>
      <c r="DE21" s="319">
        <f>IF($BI21&lt;&gt;"",IF('Capacity summary'!$D$14="Yes",IF(COUNTBLANK('Capacity summary'!$H140:$BG140)&lt;52,IF('Capacity summary'!BB140&lt;&gt;"",$BI21*BB21,0),BB21*$BI21),BB21*$BI21),0)</f>
        <v>0</v>
      </c>
      <c r="DF21" s="319">
        <f>IF($BI21&lt;&gt;"",IF('Capacity summary'!$D$14="Yes",IF(COUNTBLANK('Capacity summary'!$H140:$BG140)&lt;52,IF('Capacity summary'!BC140&lt;&gt;"",$BI21*BC21,0),BC21*$BI21),BC21*$BI21),0)</f>
        <v>0</v>
      </c>
      <c r="DG21" s="319">
        <f>IF($BI21&lt;&gt;"",IF('Capacity summary'!$D$14="Yes",IF(COUNTBLANK('Capacity summary'!$H140:$BG140)&lt;52,IF('Capacity summary'!BD140&lt;&gt;"",$BI21*BD21,0),BD21*$BI21),BD21*$BI21),0)</f>
        <v>0</v>
      </c>
      <c r="DH21" s="319">
        <f>IF($BI21&lt;&gt;"",IF('Capacity summary'!$D$14="Yes",IF(COUNTBLANK('Capacity summary'!$H140:$BG140)&lt;52,IF('Capacity summary'!BE140&lt;&gt;"",$BI21*BE21,0),BE21*$BI21),BE21*$BI21),0)</f>
        <v>0</v>
      </c>
      <c r="DI21" s="319">
        <f>IF($BI21&lt;&gt;"",IF('Capacity summary'!$D$14="Yes",IF(COUNTBLANK('Capacity summary'!$H140:$BG140)&lt;52,IF('Capacity summary'!BF140&lt;&gt;"",$BI21*BF21,0),BF21*$BI21),BF21*$BI21),0)</f>
        <v>0</v>
      </c>
      <c r="DJ21" s="319">
        <f>IF($BI21&lt;&gt;"",IF('Capacity summary'!$D$14="Yes",IF(COUNTBLANK('Capacity summary'!$H140:$BG140)&lt;52,IF('Capacity summary'!BG140&lt;&gt;"",$BI21*BG21,0),BG21*$BI21),BG21*$BI21),0)</f>
        <v>0</v>
      </c>
      <c r="DK21" s="5">
        <f t="shared" si="2"/>
        <v>0</v>
      </c>
      <c r="DL21" s="5" t="str">
        <f>Capacity!H33</f>
        <v/>
      </c>
      <c r="DP21" s="5"/>
    </row>
    <row r="22" spans="2:120" x14ac:dyDescent="0.2">
      <c r="B22" s="68"/>
      <c r="C22" s="68" t="str">
        <f>ROW(A18)&amp;". "&amp;Capacity!B34</f>
        <v xml:space="preserve">18. </v>
      </c>
      <c r="D22" s="68">
        <f>'Capacity setup'!C29</f>
        <v>0</v>
      </c>
      <c r="E22" s="68">
        <f>'Capacity setup'!D29</f>
        <v>0</v>
      </c>
      <c r="F22" s="68">
        <f>'Capacity setup'!E29</f>
        <v>0</v>
      </c>
      <c r="H22" s="68">
        <f ca="1">IF(AND(SUMIF(Capacity_Resource,$D22,'Critical resources (hide)'!U$6:U$105)+SUMIF(Capacity_Resource,$E22,'Critical resources (hide)'!U$6:U$105)+SUMIF(Capacity_Resource,$F22,'Critical resources (hide)'!U$6:U$105)&gt;0,$E$1=2),0,1)</f>
        <v>1</v>
      </c>
      <c r="I22" s="68">
        <f ca="1">IF(AND(SUMIF(Capacity_Resource,$D22,'Critical resources (hide)'!V$6:V$105)+SUMIF(Capacity_Resource,$E22,'Critical resources (hide)'!V$6:V$105)+SUMIF(Capacity_Resource,$F22,'Critical resources (hide)'!V$6:V$105)&gt;0,$E$1=2),0,1)</f>
        <v>1</v>
      </c>
      <c r="J22" s="68">
        <f ca="1">IF(AND(SUMIF(Capacity_Resource,$D22,'Critical resources (hide)'!W$6:W$105)+SUMIF(Capacity_Resource,$E22,'Critical resources (hide)'!W$6:W$105)+SUMIF(Capacity_Resource,$F22,'Critical resources (hide)'!W$6:W$105)&gt;0,$E$1=2),0,1)</f>
        <v>1</v>
      </c>
      <c r="K22" s="68">
        <f ca="1">IF(AND(SUMIF(Capacity_Resource,$D22,'Critical resources (hide)'!X$6:X$105)+SUMIF(Capacity_Resource,$E22,'Critical resources (hide)'!X$6:X$105)+SUMIF(Capacity_Resource,$F22,'Critical resources (hide)'!X$6:X$105)&gt;0,$E$1=2),0,1)</f>
        <v>1</v>
      </c>
      <c r="L22" s="68">
        <f ca="1">IF(AND(SUMIF(Capacity_Resource,$D22,'Critical resources (hide)'!Y$6:Y$105)+SUMIF(Capacity_Resource,$E22,'Critical resources (hide)'!Y$6:Y$105)+SUMIF(Capacity_Resource,$F22,'Critical resources (hide)'!Y$6:Y$105)&gt;0,$E$1=2),0,1)</f>
        <v>1</v>
      </c>
      <c r="M22" s="68">
        <f ca="1">IF(AND(SUMIF(Capacity_Resource,$D22,'Critical resources (hide)'!Z$6:Z$105)+SUMIF(Capacity_Resource,$E22,'Critical resources (hide)'!Z$6:Z$105)+SUMIF(Capacity_Resource,$F22,'Critical resources (hide)'!Z$6:Z$105)&gt;0,$E$1=2),0,1)</f>
        <v>1</v>
      </c>
      <c r="N22" s="68">
        <f ca="1">IF(AND(SUMIF(Capacity_Resource,$D22,'Critical resources (hide)'!AA$6:AA$105)+SUMIF(Capacity_Resource,$E22,'Critical resources (hide)'!AA$6:AA$105)+SUMIF(Capacity_Resource,$F22,'Critical resources (hide)'!AA$6:AA$105)&gt;0,$E$1=2),0,1)</f>
        <v>1</v>
      </c>
      <c r="O22" s="68">
        <f ca="1">IF(AND(SUMIF(Capacity_Resource,$D22,'Critical resources (hide)'!AB$6:AB$105)+SUMIF(Capacity_Resource,$E22,'Critical resources (hide)'!AB$6:AB$105)+SUMIF(Capacity_Resource,$F22,'Critical resources (hide)'!AB$6:AB$105)&gt;0,$E$1=2),0,1)</f>
        <v>1</v>
      </c>
      <c r="P22" s="68">
        <f ca="1">IF(AND(SUMIF(Capacity_Resource,$D22,'Critical resources (hide)'!AC$6:AC$105)+SUMIF(Capacity_Resource,$E22,'Critical resources (hide)'!AC$6:AC$105)+SUMIF(Capacity_Resource,$F22,'Critical resources (hide)'!AC$6:AC$105)&gt;0,$E$1=2),0,1)</f>
        <v>1</v>
      </c>
      <c r="Q22" s="68">
        <f ca="1">IF(AND(SUMIF(Capacity_Resource,$D22,'Critical resources (hide)'!AD$6:AD$105)+SUMIF(Capacity_Resource,$E22,'Critical resources (hide)'!AD$6:AD$105)+SUMIF(Capacity_Resource,$F22,'Critical resources (hide)'!AD$6:AD$105)&gt;0,$E$1=2),0,1)</f>
        <v>1</v>
      </c>
      <c r="R22" s="68">
        <f ca="1">IF(AND(SUMIF(Capacity_Resource,$D22,'Critical resources (hide)'!AE$6:AE$105)+SUMIF(Capacity_Resource,$E22,'Critical resources (hide)'!AE$6:AE$105)+SUMIF(Capacity_Resource,$F22,'Critical resources (hide)'!AE$6:AE$105)&gt;0,$E$1=2),0,1)</f>
        <v>1</v>
      </c>
      <c r="S22" s="68">
        <f ca="1">IF(AND(SUMIF(Capacity_Resource,$D22,'Critical resources (hide)'!AF$6:AF$105)+SUMIF(Capacity_Resource,$E22,'Critical resources (hide)'!AF$6:AF$105)+SUMIF(Capacity_Resource,$F22,'Critical resources (hide)'!AF$6:AF$105)&gt;0,$E$1=2),0,1)</f>
        <v>1</v>
      </c>
      <c r="T22" s="68">
        <f ca="1">IF(AND(SUMIF(Capacity_Resource,$D22,'Critical resources (hide)'!AG$6:AG$105)+SUMIF(Capacity_Resource,$E22,'Critical resources (hide)'!AG$6:AG$105)+SUMIF(Capacity_Resource,$F22,'Critical resources (hide)'!AG$6:AG$105)&gt;0,$E$1=2),0,1)</f>
        <v>1</v>
      </c>
      <c r="U22" s="68">
        <f ca="1">IF(AND(SUMIF(Capacity_Resource,$D22,'Critical resources (hide)'!AH$6:AH$105)+SUMIF(Capacity_Resource,$E22,'Critical resources (hide)'!AH$6:AH$105)+SUMIF(Capacity_Resource,$F22,'Critical resources (hide)'!AH$6:AH$105)&gt;0,$E$1=2),0,1)</f>
        <v>1</v>
      </c>
      <c r="V22" s="68">
        <f ca="1">IF(AND(SUMIF(Capacity_Resource,$D22,'Critical resources (hide)'!AI$6:AI$105)+SUMIF(Capacity_Resource,$E22,'Critical resources (hide)'!AI$6:AI$105)+SUMIF(Capacity_Resource,$F22,'Critical resources (hide)'!AI$6:AI$105)&gt;0,$E$1=2),0,1)</f>
        <v>1</v>
      </c>
      <c r="W22" s="68">
        <f ca="1">IF(AND(SUMIF(Capacity_Resource,$D22,'Critical resources (hide)'!AJ$6:AJ$105)+SUMIF(Capacity_Resource,$E22,'Critical resources (hide)'!AJ$6:AJ$105)+SUMIF(Capacity_Resource,$F22,'Critical resources (hide)'!AJ$6:AJ$105)&gt;0,$E$1=2),0,1)</f>
        <v>1</v>
      </c>
      <c r="X22" s="68">
        <f ca="1">IF(AND(SUMIF(Capacity_Resource,$D22,'Critical resources (hide)'!AK$6:AK$105)+SUMIF(Capacity_Resource,$E22,'Critical resources (hide)'!AK$6:AK$105)+SUMIF(Capacity_Resource,$F22,'Critical resources (hide)'!AK$6:AK$105)&gt;0,$E$1=2),0,1)</f>
        <v>1</v>
      </c>
      <c r="Y22" s="68">
        <f ca="1">IF(AND(SUMIF(Capacity_Resource,$D22,'Critical resources (hide)'!AL$6:AL$105)+SUMIF(Capacity_Resource,$E22,'Critical resources (hide)'!AL$6:AL$105)+SUMIF(Capacity_Resource,$F22,'Critical resources (hide)'!AL$6:AL$105)&gt;0,$E$1=2),0,1)</f>
        <v>1</v>
      </c>
      <c r="Z22" s="68">
        <f ca="1">IF(AND(SUMIF(Capacity_Resource,$D22,'Critical resources (hide)'!AM$6:AM$105)+SUMIF(Capacity_Resource,$E22,'Critical resources (hide)'!AM$6:AM$105)+SUMIF(Capacity_Resource,$F22,'Critical resources (hide)'!AM$6:AM$105)&gt;0,$E$1=2),0,1)</f>
        <v>1</v>
      </c>
      <c r="AA22" s="68">
        <f ca="1">IF(AND(SUMIF(Capacity_Resource,$D22,'Critical resources (hide)'!AN$6:AN$105)+SUMIF(Capacity_Resource,$E22,'Critical resources (hide)'!AN$6:AN$105)+SUMIF(Capacity_Resource,$F22,'Critical resources (hide)'!AN$6:AN$105)&gt;0,$E$1=2),0,1)</f>
        <v>1</v>
      </c>
      <c r="AB22" s="68">
        <f ca="1">IF(AND(SUMIF(Capacity_Resource,$D22,'Critical resources (hide)'!AO$6:AO$105)+SUMIF(Capacity_Resource,$E22,'Critical resources (hide)'!AO$6:AO$105)+SUMIF(Capacity_Resource,$F22,'Critical resources (hide)'!AO$6:AO$105)&gt;0,$E$1=2),0,1)</f>
        <v>1</v>
      </c>
      <c r="AC22" s="68">
        <f ca="1">IF(AND(SUMIF(Capacity_Resource,$D22,'Critical resources (hide)'!AP$6:AP$105)+SUMIF(Capacity_Resource,$E22,'Critical resources (hide)'!AP$6:AP$105)+SUMIF(Capacity_Resource,$F22,'Critical resources (hide)'!AP$6:AP$105)&gt;0,$E$1=2),0,1)</f>
        <v>1</v>
      </c>
      <c r="AD22" s="68">
        <f ca="1">IF(AND(SUMIF(Capacity_Resource,$D22,'Critical resources (hide)'!AQ$6:AQ$105)+SUMIF(Capacity_Resource,$E22,'Critical resources (hide)'!AQ$6:AQ$105)+SUMIF(Capacity_Resource,$F22,'Critical resources (hide)'!AQ$6:AQ$105)&gt;0,$E$1=2),0,1)</f>
        <v>1</v>
      </c>
      <c r="AE22" s="68">
        <f ca="1">IF(AND(SUMIF(Capacity_Resource,$D22,'Critical resources (hide)'!AR$6:AR$105)+SUMIF(Capacity_Resource,$E22,'Critical resources (hide)'!AR$6:AR$105)+SUMIF(Capacity_Resource,$F22,'Critical resources (hide)'!AR$6:AR$105)&gt;0,$E$1=2),0,1)</f>
        <v>1</v>
      </c>
      <c r="AF22" s="68">
        <f ca="1">IF(AND(SUMIF(Capacity_Resource,$D22,'Critical resources (hide)'!AS$6:AS$105)+SUMIF(Capacity_Resource,$E22,'Critical resources (hide)'!AS$6:AS$105)+SUMIF(Capacity_Resource,$F22,'Critical resources (hide)'!AS$6:AS$105)&gt;0,$E$1=2),0,1)</f>
        <v>1</v>
      </c>
      <c r="AG22" s="68">
        <f ca="1">IF(AND(SUMIF(Capacity_Resource,$D22,'Critical resources (hide)'!AT$6:AT$105)+SUMIF(Capacity_Resource,$E22,'Critical resources (hide)'!AT$6:AT$105)+SUMIF(Capacity_Resource,$F22,'Critical resources (hide)'!AT$6:AT$105)&gt;0,$E$1=2),0,1)</f>
        <v>1</v>
      </c>
      <c r="AH22" s="68">
        <f ca="1">IF(AND(SUMIF(Capacity_Resource,$D22,'Critical resources (hide)'!AU$6:AU$105)+SUMIF(Capacity_Resource,$E22,'Critical resources (hide)'!AU$6:AU$105)+SUMIF(Capacity_Resource,$F22,'Critical resources (hide)'!AU$6:AU$105)&gt;0,$E$1=2),0,1)</f>
        <v>1</v>
      </c>
      <c r="AI22" s="68">
        <f ca="1">IF(AND(SUMIF(Capacity_Resource,$D22,'Critical resources (hide)'!AV$6:AV$105)+SUMIF(Capacity_Resource,$E22,'Critical resources (hide)'!AV$6:AV$105)+SUMIF(Capacity_Resource,$F22,'Critical resources (hide)'!AV$6:AV$105)&gt;0,$E$1=2),0,1)</f>
        <v>1</v>
      </c>
      <c r="AJ22" s="68">
        <f ca="1">IF(AND(SUMIF(Capacity_Resource,$D22,'Critical resources (hide)'!AW$6:AW$105)+SUMIF(Capacity_Resource,$E22,'Critical resources (hide)'!AW$6:AW$105)+SUMIF(Capacity_Resource,$F22,'Critical resources (hide)'!AW$6:AW$105)&gt;0,$E$1=2),0,1)</f>
        <v>1</v>
      </c>
      <c r="AK22" s="68">
        <f ca="1">IF(AND(SUMIF(Capacity_Resource,$D22,'Critical resources (hide)'!AX$6:AX$105)+SUMIF(Capacity_Resource,$E22,'Critical resources (hide)'!AX$6:AX$105)+SUMIF(Capacity_Resource,$F22,'Critical resources (hide)'!AX$6:AX$105)&gt;0,$E$1=2),0,1)</f>
        <v>1</v>
      </c>
      <c r="AL22" s="68">
        <f ca="1">IF(AND(SUMIF(Capacity_Resource,$D22,'Critical resources (hide)'!AY$6:AY$105)+SUMIF(Capacity_Resource,$E22,'Critical resources (hide)'!AY$6:AY$105)+SUMIF(Capacity_Resource,$F22,'Critical resources (hide)'!AY$6:AY$105)&gt;0,$E$1=2),0,1)</f>
        <v>1</v>
      </c>
      <c r="AM22" s="68">
        <f ca="1">IF(AND(SUMIF(Capacity_Resource,$D22,'Critical resources (hide)'!AZ$6:AZ$105)+SUMIF(Capacity_Resource,$E22,'Critical resources (hide)'!AZ$6:AZ$105)+SUMIF(Capacity_Resource,$F22,'Critical resources (hide)'!AZ$6:AZ$105)&gt;0,$E$1=2),0,1)</f>
        <v>1</v>
      </c>
      <c r="AN22" s="68">
        <f ca="1">IF(AND(SUMIF(Capacity_Resource,$D22,'Critical resources (hide)'!BA$6:BA$105)+SUMIF(Capacity_Resource,$E22,'Critical resources (hide)'!BA$6:BA$105)+SUMIF(Capacity_Resource,$F22,'Critical resources (hide)'!BA$6:BA$105)&gt;0,$E$1=2),0,1)</f>
        <v>1</v>
      </c>
      <c r="AO22" s="68">
        <f ca="1">IF(AND(SUMIF(Capacity_Resource,$D22,'Critical resources (hide)'!BB$6:BB$105)+SUMIF(Capacity_Resource,$E22,'Critical resources (hide)'!BB$6:BB$105)+SUMIF(Capacity_Resource,$F22,'Critical resources (hide)'!BB$6:BB$105)&gt;0,$E$1=2),0,1)</f>
        <v>1</v>
      </c>
      <c r="AP22" s="68">
        <f ca="1">IF(AND(SUMIF(Capacity_Resource,$D22,'Critical resources (hide)'!BC$6:BC$105)+SUMIF(Capacity_Resource,$E22,'Critical resources (hide)'!BC$6:BC$105)+SUMIF(Capacity_Resource,$F22,'Critical resources (hide)'!BC$6:BC$105)&gt;0,$E$1=2),0,1)</f>
        <v>1</v>
      </c>
      <c r="AQ22" s="68">
        <f ca="1">IF(AND(SUMIF(Capacity_Resource,$D22,'Critical resources (hide)'!BD$6:BD$105)+SUMIF(Capacity_Resource,$E22,'Critical resources (hide)'!BD$6:BD$105)+SUMIF(Capacity_Resource,$F22,'Critical resources (hide)'!BD$6:BD$105)&gt;0,$E$1=2),0,1)</f>
        <v>1</v>
      </c>
      <c r="AR22" s="68">
        <f ca="1">IF(AND(SUMIF(Capacity_Resource,$D22,'Critical resources (hide)'!BE$6:BE$105)+SUMIF(Capacity_Resource,$E22,'Critical resources (hide)'!BE$6:BE$105)+SUMIF(Capacity_Resource,$F22,'Critical resources (hide)'!BE$6:BE$105)&gt;0,$E$1=2),0,1)</f>
        <v>1</v>
      </c>
      <c r="AS22" s="68">
        <f ca="1">IF(AND(SUMIF(Capacity_Resource,$D22,'Critical resources (hide)'!BF$6:BF$105)+SUMIF(Capacity_Resource,$E22,'Critical resources (hide)'!BF$6:BF$105)+SUMIF(Capacity_Resource,$F22,'Critical resources (hide)'!BF$6:BF$105)&gt;0,$E$1=2),0,1)</f>
        <v>1</v>
      </c>
      <c r="AT22" s="68">
        <f ca="1">IF(AND(SUMIF(Capacity_Resource,$D22,'Critical resources (hide)'!BG$6:BG$105)+SUMIF(Capacity_Resource,$E22,'Critical resources (hide)'!BG$6:BG$105)+SUMIF(Capacity_Resource,$F22,'Critical resources (hide)'!BG$6:BG$105)&gt;0,$E$1=2),0,1)</f>
        <v>1</v>
      </c>
      <c r="AU22" s="68">
        <f ca="1">IF(AND(SUMIF(Capacity_Resource,$D22,'Critical resources (hide)'!BH$6:BH$105)+SUMIF(Capacity_Resource,$E22,'Critical resources (hide)'!BH$6:BH$105)+SUMIF(Capacity_Resource,$F22,'Critical resources (hide)'!BH$6:BH$105)&gt;0,$E$1=2),0,1)</f>
        <v>1</v>
      </c>
      <c r="AV22" s="68">
        <f ca="1">IF(AND(SUMIF(Capacity_Resource,$D22,'Critical resources (hide)'!BI$6:BI$105)+SUMIF(Capacity_Resource,$E22,'Critical resources (hide)'!BI$6:BI$105)+SUMIF(Capacity_Resource,$F22,'Critical resources (hide)'!BI$6:BI$105)&gt;0,$E$1=2),0,1)</f>
        <v>1</v>
      </c>
      <c r="AW22" s="68">
        <f ca="1">IF(AND(SUMIF(Capacity_Resource,$D22,'Critical resources (hide)'!BJ$6:BJ$105)+SUMIF(Capacity_Resource,$E22,'Critical resources (hide)'!BJ$6:BJ$105)+SUMIF(Capacity_Resource,$F22,'Critical resources (hide)'!BJ$6:BJ$105)&gt;0,$E$1=2),0,1)</f>
        <v>1</v>
      </c>
      <c r="AX22" s="68">
        <f ca="1">IF(AND(SUMIF(Capacity_Resource,$D22,'Critical resources (hide)'!BK$6:BK$105)+SUMIF(Capacity_Resource,$E22,'Critical resources (hide)'!BK$6:BK$105)+SUMIF(Capacity_Resource,$F22,'Critical resources (hide)'!BK$6:BK$105)&gt;0,$E$1=2),0,1)</f>
        <v>1</v>
      </c>
      <c r="AY22" s="68">
        <f ca="1">IF(AND(SUMIF(Capacity_Resource,$D22,'Critical resources (hide)'!BL$6:BL$105)+SUMIF(Capacity_Resource,$E22,'Critical resources (hide)'!BL$6:BL$105)+SUMIF(Capacity_Resource,$F22,'Critical resources (hide)'!BL$6:BL$105)&gt;0,$E$1=2),0,1)</f>
        <v>1</v>
      </c>
      <c r="AZ22" s="68">
        <f ca="1">IF(AND(SUMIF(Capacity_Resource,$D22,'Critical resources (hide)'!BM$6:BM$105)+SUMIF(Capacity_Resource,$E22,'Critical resources (hide)'!BM$6:BM$105)+SUMIF(Capacity_Resource,$F22,'Critical resources (hide)'!BM$6:BM$105)&gt;0,$E$1=2),0,1)</f>
        <v>1</v>
      </c>
      <c r="BA22" s="68">
        <f ca="1">IF(AND(SUMIF(Capacity_Resource,$D22,'Critical resources (hide)'!BN$6:BN$105)+SUMIF(Capacity_Resource,$E22,'Critical resources (hide)'!BN$6:BN$105)+SUMIF(Capacity_Resource,$F22,'Critical resources (hide)'!BN$6:BN$105)&gt;0,$E$1=2),0,1)</f>
        <v>1</v>
      </c>
      <c r="BB22" s="68">
        <f ca="1">IF(AND(SUMIF(Capacity_Resource,$D22,'Critical resources (hide)'!BO$6:BO$105)+SUMIF(Capacity_Resource,$E22,'Critical resources (hide)'!BO$6:BO$105)+SUMIF(Capacity_Resource,$F22,'Critical resources (hide)'!BO$6:BO$105)&gt;0,$E$1=2),0,1)</f>
        <v>1</v>
      </c>
      <c r="BC22" s="68">
        <f ca="1">IF(AND(SUMIF(Capacity_Resource,$D22,'Critical resources (hide)'!BP$6:BP$105)+SUMIF(Capacity_Resource,$E22,'Critical resources (hide)'!BP$6:BP$105)+SUMIF(Capacity_Resource,$F22,'Critical resources (hide)'!BP$6:BP$105)&gt;0,$E$1=2),0,1)</f>
        <v>1</v>
      </c>
      <c r="BD22" s="68">
        <f ca="1">IF(AND(SUMIF(Capacity_Resource,$D22,'Critical resources (hide)'!BQ$6:BQ$105)+SUMIF(Capacity_Resource,$E22,'Critical resources (hide)'!BQ$6:BQ$105)+SUMIF(Capacity_Resource,$F22,'Critical resources (hide)'!BQ$6:BQ$105)&gt;0,$E$1=2),0,1)</f>
        <v>1</v>
      </c>
      <c r="BE22" s="68">
        <f ca="1">IF(AND(SUMIF(Capacity_Resource,$D22,'Critical resources (hide)'!BR$6:BR$105)+SUMIF(Capacity_Resource,$E22,'Critical resources (hide)'!BR$6:BR$105)+SUMIF(Capacity_Resource,$F22,'Critical resources (hide)'!BR$6:BR$105)&gt;0,$E$1=2),0,1)</f>
        <v>1</v>
      </c>
      <c r="BF22" s="68">
        <f ca="1">IF(AND(SUMIF(Capacity_Resource,$D22,'Critical resources (hide)'!BS$6:BS$105)+SUMIF(Capacity_Resource,$E22,'Critical resources (hide)'!BS$6:BS$105)+SUMIF(Capacity_Resource,$F22,'Critical resources (hide)'!BS$6:BS$105)&gt;0,$E$1=2),0,1)</f>
        <v>1</v>
      </c>
      <c r="BG22" s="68">
        <f ca="1">IF(AND(SUMIF(Capacity_Resource,$D22,'Critical resources (hide)'!BT$6:BT$105)+SUMIF(Capacity_Resource,$E22,'Critical resources (hide)'!BT$6:BT$105)+SUMIF(Capacity_Resource,$F22,'Critical resources (hide)'!BT$6:BT$105)&gt;0,$E$1=2),0,1)</f>
        <v>1</v>
      </c>
      <c r="BH22" s="68">
        <f>IF(ROW(C18)&lt;=Capacity!$A$16,IF('Capacity summary'!$D$14="No",SUM(H22:BG22),'Capacity summary'!$E141),0)</f>
        <v>0</v>
      </c>
      <c r="BI22" s="5" t="str">
        <f>IF(BH22&gt;0,IF(BH22&lt;Capacity!E34,Capacity!F34,Capacity!H34/'Capacity calculation (hide)'!BH22),"")</f>
        <v/>
      </c>
      <c r="BK22" s="319">
        <f>IF($BI22&lt;&gt;"",IF('Capacity summary'!$D$14="Yes",IF(COUNTBLANK('Capacity summary'!$H141:$BG141)&lt;52,IF('Capacity summary'!H141&lt;&gt;"",$BI22*H22,0),H22*$BI22),H22*$BI22),0)</f>
        <v>0</v>
      </c>
      <c r="BL22" s="319">
        <f>IF($BI22&lt;&gt;"",IF('Capacity summary'!$D$14="Yes",IF(COUNTBLANK('Capacity summary'!$H141:$BG141)&lt;52,IF('Capacity summary'!I141&lt;&gt;"",$BI22*I22,0),I22*$BI22),I22*$BI22),0)</f>
        <v>0</v>
      </c>
      <c r="BM22" s="319">
        <f>IF($BI22&lt;&gt;"",IF('Capacity summary'!$D$14="Yes",IF(COUNTBLANK('Capacity summary'!$H141:$BG141)&lt;52,IF('Capacity summary'!J141&lt;&gt;"",$BI22*J22,0),J22*$BI22),J22*$BI22),0)</f>
        <v>0</v>
      </c>
      <c r="BN22" s="319">
        <f>IF($BI22&lt;&gt;"",IF('Capacity summary'!$D$14="Yes",IF(COUNTBLANK('Capacity summary'!$H141:$BG141)&lt;52,IF('Capacity summary'!K141&lt;&gt;"",$BI22*K22,0),K22*$BI22),K22*$BI22),0)</f>
        <v>0</v>
      </c>
      <c r="BO22" s="319">
        <f>IF($BI22&lt;&gt;"",IF('Capacity summary'!$D$14="Yes",IF(COUNTBLANK('Capacity summary'!$H141:$BG141)&lt;52,IF('Capacity summary'!L141&lt;&gt;"",$BI22*L22,0),L22*$BI22),L22*$BI22),0)</f>
        <v>0</v>
      </c>
      <c r="BP22" s="319">
        <f>IF($BI22&lt;&gt;"",IF('Capacity summary'!$D$14="Yes",IF(COUNTBLANK('Capacity summary'!$H141:$BG141)&lt;52,IF('Capacity summary'!M141&lt;&gt;"",$BI22*M22,0),M22*$BI22),M22*$BI22),0)</f>
        <v>0</v>
      </c>
      <c r="BQ22" s="319">
        <f>IF($BI22&lt;&gt;"",IF('Capacity summary'!$D$14="Yes",IF(COUNTBLANK('Capacity summary'!$H141:$BG141)&lt;52,IF('Capacity summary'!N141&lt;&gt;"",$BI22*N22,0),N22*$BI22),N22*$BI22),0)</f>
        <v>0</v>
      </c>
      <c r="BR22" s="319">
        <f>IF($BI22&lt;&gt;"",IF('Capacity summary'!$D$14="Yes",IF(COUNTBLANK('Capacity summary'!$H141:$BG141)&lt;52,IF('Capacity summary'!O141&lt;&gt;"",$BI22*O22,0),O22*$BI22),O22*$BI22),0)</f>
        <v>0</v>
      </c>
      <c r="BS22" s="319">
        <f>IF($BI22&lt;&gt;"",IF('Capacity summary'!$D$14="Yes",IF(COUNTBLANK('Capacity summary'!$H141:$BG141)&lt;52,IF('Capacity summary'!P141&lt;&gt;"",$BI22*P22,0),P22*$BI22),P22*$BI22),0)</f>
        <v>0</v>
      </c>
      <c r="BT22" s="319">
        <f>IF($BI22&lt;&gt;"",IF('Capacity summary'!$D$14="Yes",IF(COUNTBLANK('Capacity summary'!$H141:$BG141)&lt;52,IF('Capacity summary'!Q141&lt;&gt;"",$BI22*Q22,0),Q22*$BI22),Q22*$BI22),0)</f>
        <v>0</v>
      </c>
      <c r="BU22" s="319">
        <f>IF($BI22&lt;&gt;"",IF('Capacity summary'!$D$14="Yes",IF(COUNTBLANK('Capacity summary'!$H141:$BG141)&lt;52,IF('Capacity summary'!R141&lt;&gt;"",$BI22*R22,0),R22*$BI22),R22*$BI22),0)</f>
        <v>0</v>
      </c>
      <c r="BV22" s="319">
        <f>IF($BI22&lt;&gt;"",IF('Capacity summary'!$D$14="Yes",IF(COUNTBLANK('Capacity summary'!$H141:$BG141)&lt;52,IF('Capacity summary'!S141&lt;&gt;"",$BI22*S22,0),S22*$BI22),S22*$BI22),0)</f>
        <v>0</v>
      </c>
      <c r="BW22" s="319">
        <f>IF($BI22&lt;&gt;"",IF('Capacity summary'!$D$14="Yes",IF(COUNTBLANK('Capacity summary'!$H141:$BG141)&lt;52,IF('Capacity summary'!T141&lt;&gt;"",$BI22*T22,0),T22*$BI22),T22*$BI22),0)</f>
        <v>0</v>
      </c>
      <c r="BX22" s="319">
        <f>IF($BI22&lt;&gt;"",IF('Capacity summary'!$D$14="Yes",IF(COUNTBLANK('Capacity summary'!$H141:$BG141)&lt;52,IF('Capacity summary'!U141&lt;&gt;"",$BI22*U22,0),U22*$BI22),U22*$BI22),0)</f>
        <v>0</v>
      </c>
      <c r="BY22" s="319">
        <f>IF($BI22&lt;&gt;"",IF('Capacity summary'!$D$14="Yes",IF(COUNTBLANK('Capacity summary'!$H141:$BG141)&lt;52,IF('Capacity summary'!V141&lt;&gt;"",$BI22*V22,0),V22*$BI22),V22*$BI22),0)</f>
        <v>0</v>
      </c>
      <c r="BZ22" s="319">
        <f>IF($BI22&lt;&gt;"",IF('Capacity summary'!$D$14="Yes",IF(COUNTBLANK('Capacity summary'!$H141:$BG141)&lt;52,IF('Capacity summary'!W141&lt;&gt;"",$BI22*W22,0),W22*$BI22),W22*$BI22),0)</f>
        <v>0</v>
      </c>
      <c r="CA22" s="319">
        <f>IF($BI22&lt;&gt;"",IF('Capacity summary'!$D$14="Yes",IF(COUNTBLANK('Capacity summary'!$H141:$BG141)&lt;52,IF('Capacity summary'!X141&lt;&gt;"",$BI22*X22,0),X22*$BI22),X22*$BI22),0)</f>
        <v>0</v>
      </c>
      <c r="CB22" s="319">
        <f>IF($BI22&lt;&gt;"",IF('Capacity summary'!$D$14="Yes",IF(COUNTBLANK('Capacity summary'!$H141:$BG141)&lt;52,IF('Capacity summary'!Y141&lt;&gt;"",$BI22*Y22,0),Y22*$BI22),Y22*$BI22),0)</f>
        <v>0</v>
      </c>
      <c r="CC22" s="319">
        <f>IF($BI22&lt;&gt;"",IF('Capacity summary'!$D$14="Yes",IF(COUNTBLANK('Capacity summary'!$H141:$BG141)&lt;52,IF('Capacity summary'!Z141&lt;&gt;"",$BI22*Z22,0),Z22*$BI22),Z22*$BI22),0)</f>
        <v>0</v>
      </c>
      <c r="CD22" s="319">
        <f>IF($BI22&lt;&gt;"",IF('Capacity summary'!$D$14="Yes",IF(COUNTBLANK('Capacity summary'!$H141:$BG141)&lt;52,IF('Capacity summary'!AA141&lt;&gt;"",$BI22*AA22,0),AA22*$BI22),AA22*$BI22),0)</f>
        <v>0</v>
      </c>
      <c r="CE22" s="319">
        <f>IF($BI22&lt;&gt;"",IF('Capacity summary'!$D$14="Yes",IF(COUNTBLANK('Capacity summary'!$H141:$BG141)&lt;52,IF('Capacity summary'!AB141&lt;&gt;"",$BI22*AB22,0),AB22*$BI22),AB22*$BI22),0)</f>
        <v>0</v>
      </c>
      <c r="CF22" s="319">
        <f>IF($BI22&lt;&gt;"",IF('Capacity summary'!$D$14="Yes",IF(COUNTBLANK('Capacity summary'!$H141:$BG141)&lt;52,IF('Capacity summary'!AC141&lt;&gt;"",$BI22*AC22,0),AC22*$BI22),AC22*$BI22),0)</f>
        <v>0</v>
      </c>
      <c r="CG22" s="319">
        <f>IF($BI22&lt;&gt;"",IF('Capacity summary'!$D$14="Yes",IF(COUNTBLANK('Capacity summary'!$H141:$BG141)&lt;52,IF('Capacity summary'!AD141&lt;&gt;"",$BI22*AD22,0),AD22*$BI22),AD22*$BI22),0)</f>
        <v>0</v>
      </c>
      <c r="CH22" s="319">
        <f>IF($BI22&lt;&gt;"",IF('Capacity summary'!$D$14="Yes",IF(COUNTBLANK('Capacity summary'!$H141:$BG141)&lt;52,IF('Capacity summary'!AE141&lt;&gt;"",$BI22*AE22,0),AE22*$BI22),AE22*$BI22),0)</f>
        <v>0</v>
      </c>
      <c r="CI22" s="319">
        <f>IF($BI22&lt;&gt;"",IF('Capacity summary'!$D$14="Yes",IF(COUNTBLANK('Capacity summary'!$H141:$BG141)&lt;52,IF('Capacity summary'!AF141&lt;&gt;"",$BI22*AF22,0),AF22*$BI22),AF22*$BI22),0)</f>
        <v>0</v>
      </c>
      <c r="CJ22" s="319">
        <f>IF($BI22&lt;&gt;"",IF('Capacity summary'!$D$14="Yes",IF(COUNTBLANK('Capacity summary'!$H141:$BG141)&lt;52,IF('Capacity summary'!AG141&lt;&gt;"",$BI22*AG22,0),AG22*$BI22),AG22*$BI22),0)</f>
        <v>0</v>
      </c>
      <c r="CK22" s="319">
        <f>IF($BI22&lt;&gt;"",IF('Capacity summary'!$D$14="Yes",IF(COUNTBLANK('Capacity summary'!$H141:$BG141)&lt;52,IF('Capacity summary'!AH141&lt;&gt;"",$BI22*AH22,0),AH22*$BI22),AH22*$BI22),0)</f>
        <v>0</v>
      </c>
      <c r="CL22" s="319">
        <f>IF($BI22&lt;&gt;"",IF('Capacity summary'!$D$14="Yes",IF(COUNTBLANK('Capacity summary'!$H141:$BG141)&lt;52,IF('Capacity summary'!AI141&lt;&gt;"",$BI22*AI22,0),AI22*$BI22),AI22*$BI22),0)</f>
        <v>0</v>
      </c>
      <c r="CM22" s="319">
        <f>IF($BI22&lt;&gt;"",IF('Capacity summary'!$D$14="Yes",IF(COUNTBLANK('Capacity summary'!$H141:$BG141)&lt;52,IF('Capacity summary'!AJ141&lt;&gt;"",$BI22*AJ22,0),AJ22*$BI22),AJ22*$BI22),0)</f>
        <v>0</v>
      </c>
      <c r="CN22" s="319">
        <f>IF($BI22&lt;&gt;"",IF('Capacity summary'!$D$14="Yes",IF(COUNTBLANK('Capacity summary'!$H141:$BG141)&lt;52,IF('Capacity summary'!AK141&lt;&gt;"",$BI22*AK22,0),AK22*$BI22),AK22*$BI22),0)</f>
        <v>0</v>
      </c>
      <c r="CO22" s="319">
        <f>IF($BI22&lt;&gt;"",IF('Capacity summary'!$D$14="Yes",IF(COUNTBLANK('Capacity summary'!$H141:$BG141)&lt;52,IF('Capacity summary'!AL141&lt;&gt;"",$BI22*AL22,0),AL22*$BI22),AL22*$BI22),0)</f>
        <v>0</v>
      </c>
      <c r="CP22" s="319">
        <f>IF($BI22&lt;&gt;"",IF('Capacity summary'!$D$14="Yes",IF(COUNTBLANK('Capacity summary'!$H141:$BG141)&lt;52,IF('Capacity summary'!AM141&lt;&gt;"",$BI22*AM22,0),AM22*$BI22),AM22*$BI22),0)</f>
        <v>0</v>
      </c>
      <c r="CQ22" s="319">
        <f>IF($BI22&lt;&gt;"",IF('Capacity summary'!$D$14="Yes",IF(COUNTBLANK('Capacity summary'!$H141:$BG141)&lt;52,IF('Capacity summary'!AN141&lt;&gt;"",$BI22*AN22,0),AN22*$BI22),AN22*$BI22),0)</f>
        <v>0</v>
      </c>
      <c r="CR22" s="319">
        <f>IF($BI22&lt;&gt;"",IF('Capacity summary'!$D$14="Yes",IF(COUNTBLANK('Capacity summary'!$H141:$BG141)&lt;52,IF('Capacity summary'!AO141&lt;&gt;"",$BI22*AO22,0),AO22*$BI22),AO22*$BI22),0)</f>
        <v>0</v>
      </c>
      <c r="CS22" s="319">
        <f>IF($BI22&lt;&gt;"",IF('Capacity summary'!$D$14="Yes",IF(COUNTBLANK('Capacity summary'!$H141:$BG141)&lt;52,IF('Capacity summary'!AP141&lt;&gt;"",$BI22*AP22,0),AP22*$BI22),AP22*$BI22),0)</f>
        <v>0</v>
      </c>
      <c r="CT22" s="319">
        <f>IF($BI22&lt;&gt;"",IF('Capacity summary'!$D$14="Yes",IF(COUNTBLANK('Capacity summary'!$H141:$BG141)&lt;52,IF('Capacity summary'!AQ141&lt;&gt;"",$BI22*AQ22,0),AQ22*$BI22),AQ22*$BI22),0)</f>
        <v>0</v>
      </c>
      <c r="CU22" s="319">
        <f>IF($BI22&lt;&gt;"",IF('Capacity summary'!$D$14="Yes",IF(COUNTBLANK('Capacity summary'!$H141:$BG141)&lt;52,IF('Capacity summary'!AR141&lt;&gt;"",$BI22*AR22,0),AR22*$BI22),AR22*$BI22),0)</f>
        <v>0</v>
      </c>
      <c r="CV22" s="319">
        <f>IF($BI22&lt;&gt;"",IF('Capacity summary'!$D$14="Yes",IF(COUNTBLANK('Capacity summary'!$H141:$BG141)&lt;52,IF('Capacity summary'!AS141&lt;&gt;"",$BI22*AS22,0),AS22*$BI22),AS22*$BI22),0)</f>
        <v>0</v>
      </c>
      <c r="CW22" s="319">
        <f>IF($BI22&lt;&gt;"",IF('Capacity summary'!$D$14="Yes",IF(COUNTBLANK('Capacity summary'!$H141:$BG141)&lt;52,IF('Capacity summary'!AT141&lt;&gt;"",$BI22*AT22,0),AT22*$BI22),AT22*$BI22),0)</f>
        <v>0</v>
      </c>
      <c r="CX22" s="319">
        <f>IF($BI22&lt;&gt;"",IF('Capacity summary'!$D$14="Yes",IF(COUNTBLANK('Capacity summary'!$H141:$BG141)&lt;52,IF('Capacity summary'!AU141&lt;&gt;"",$BI22*AU22,0),AU22*$BI22),AU22*$BI22),0)</f>
        <v>0</v>
      </c>
      <c r="CY22" s="319">
        <f>IF($BI22&lt;&gt;"",IF('Capacity summary'!$D$14="Yes",IF(COUNTBLANK('Capacity summary'!$H141:$BG141)&lt;52,IF('Capacity summary'!AV141&lt;&gt;"",$BI22*AV22,0),AV22*$BI22),AV22*$BI22),0)</f>
        <v>0</v>
      </c>
      <c r="CZ22" s="319">
        <f>IF($BI22&lt;&gt;"",IF('Capacity summary'!$D$14="Yes",IF(COUNTBLANK('Capacity summary'!$H141:$BG141)&lt;52,IF('Capacity summary'!AW141&lt;&gt;"",$BI22*AW22,0),AW22*$BI22),AW22*$BI22),0)</f>
        <v>0</v>
      </c>
      <c r="DA22" s="319">
        <f>IF($BI22&lt;&gt;"",IF('Capacity summary'!$D$14="Yes",IF(COUNTBLANK('Capacity summary'!$H141:$BG141)&lt;52,IF('Capacity summary'!AX141&lt;&gt;"",$BI22*AX22,0),AX22*$BI22),AX22*$BI22),0)</f>
        <v>0</v>
      </c>
      <c r="DB22" s="319">
        <f>IF($BI22&lt;&gt;"",IF('Capacity summary'!$D$14="Yes",IF(COUNTBLANK('Capacity summary'!$H141:$BG141)&lt;52,IF('Capacity summary'!AY141&lt;&gt;"",$BI22*AY22,0),AY22*$BI22),AY22*$BI22),0)</f>
        <v>0</v>
      </c>
      <c r="DC22" s="319">
        <f>IF($BI22&lt;&gt;"",IF('Capacity summary'!$D$14="Yes",IF(COUNTBLANK('Capacity summary'!$H141:$BG141)&lt;52,IF('Capacity summary'!AZ141&lt;&gt;"",$BI22*AZ22,0),AZ22*$BI22),AZ22*$BI22),0)</f>
        <v>0</v>
      </c>
      <c r="DD22" s="319">
        <f>IF($BI22&lt;&gt;"",IF('Capacity summary'!$D$14="Yes",IF(COUNTBLANK('Capacity summary'!$H141:$BG141)&lt;52,IF('Capacity summary'!BA141&lt;&gt;"",$BI22*BA22,0),BA22*$BI22),BA22*$BI22),0)</f>
        <v>0</v>
      </c>
      <c r="DE22" s="319">
        <f>IF($BI22&lt;&gt;"",IF('Capacity summary'!$D$14="Yes",IF(COUNTBLANK('Capacity summary'!$H141:$BG141)&lt;52,IF('Capacity summary'!BB141&lt;&gt;"",$BI22*BB22,0),BB22*$BI22),BB22*$BI22),0)</f>
        <v>0</v>
      </c>
      <c r="DF22" s="319">
        <f>IF($BI22&lt;&gt;"",IF('Capacity summary'!$D$14="Yes",IF(COUNTBLANK('Capacity summary'!$H141:$BG141)&lt;52,IF('Capacity summary'!BC141&lt;&gt;"",$BI22*BC22,0),BC22*$BI22),BC22*$BI22),0)</f>
        <v>0</v>
      </c>
      <c r="DG22" s="319">
        <f>IF($BI22&lt;&gt;"",IF('Capacity summary'!$D$14="Yes",IF(COUNTBLANK('Capacity summary'!$H141:$BG141)&lt;52,IF('Capacity summary'!BD141&lt;&gt;"",$BI22*BD22,0),BD22*$BI22),BD22*$BI22),0)</f>
        <v>0</v>
      </c>
      <c r="DH22" s="319">
        <f>IF($BI22&lt;&gt;"",IF('Capacity summary'!$D$14="Yes",IF(COUNTBLANK('Capacity summary'!$H141:$BG141)&lt;52,IF('Capacity summary'!BE141&lt;&gt;"",$BI22*BE22,0),BE22*$BI22),BE22*$BI22),0)</f>
        <v>0</v>
      </c>
      <c r="DI22" s="319">
        <f>IF($BI22&lt;&gt;"",IF('Capacity summary'!$D$14="Yes",IF(COUNTBLANK('Capacity summary'!$H141:$BG141)&lt;52,IF('Capacity summary'!BF141&lt;&gt;"",$BI22*BF22,0),BF22*$BI22),BF22*$BI22),0)</f>
        <v>0</v>
      </c>
      <c r="DJ22" s="319">
        <f>IF($BI22&lt;&gt;"",IF('Capacity summary'!$D$14="Yes",IF(COUNTBLANK('Capacity summary'!$H141:$BG141)&lt;52,IF('Capacity summary'!BG141&lt;&gt;"",$BI22*BG22,0),BG22*$BI22),BG22*$BI22),0)</f>
        <v>0</v>
      </c>
      <c r="DK22" s="5">
        <f t="shared" si="2"/>
        <v>0</v>
      </c>
      <c r="DL22" s="5" t="str">
        <f>Capacity!H34</f>
        <v/>
      </c>
      <c r="DP22" s="5"/>
    </row>
    <row r="23" spans="2:120" x14ac:dyDescent="0.2">
      <c r="B23" s="68"/>
      <c r="C23" s="68" t="str">
        <f>ROW(A19)&amp;". "&amp;Capacity!B35</f>
        <v xml:space="preserve">19. </v>
      </c>
      <c r="D23" s="68">
        <f>'Capacity setup'!C30</f>
        <v>0</v>
      </c>
      <c r="E23" s="68">
        <f>'Capacity setup'!D30</f>
        <v>0</v>
      </c>
      <c r="F23" s="68">
        <f>'Capacity setup'!E30</f>
        <v>0</v>
      </c>
      <c r="H23" s="68">
        <f ca="1">IF(AND(SUMIF(Capacity_Resource,$D23,'Critical resources (hide)'!U$6:U$105)+SUMIF(Capacity_Resource,$E23,'Critical resources (hide)'!U$6:U$105)+SUMIF(Capacity_Resource,$F23,'Critical resources (hide)'!U$6:U$105)&gt;0,$E$1=2),0,1)</f>
        <v>1</v>
      </c>
      <c r="I23" s="68">
        <f ca="1">IF(AND(SUMIF(Capacity_Resource,$D23,'Critical resources (hide)'!V$6:V$105)+SUMIF(Capacity_Resource,$E23,'Critical resources (hide)'!V$6:V$105)+SUMIF(Capacity_Resource,$F23,'Critical resources (hide)'!V$6:V$105)&gt;0,$E$1=2),0,1)</f>
        <v>1</v>
      </c>
      <c r="J23" s="68">
        <f ca="1">IF(AND(SUMIF(Capacity_Resource,$D23,'Critical resources (hide)'!W$6:W$105)+SUMIF(Capacity_Resource,$E23,'Critical resources (hide)'!W$6:W$105)+SUMIF(Capacity_Resource,$F23,'Critical resources (hide)'!W$6:W$105)&gt;0,$E$1=2),0,1)</f>
        <v>1</v>
      </c>
      <c r="K23" s="68">
        <f ca="1">IF(AND(SUMIF(Capacity_Resource,$D23,'Critical resources (hide)'!X$6:X$105)+SUMIF(Capacity_Resource,$E23,'Critical resources (hide)'!X$6:X$105)+SUMIF(Capacity_Resource,$F23,'Critical resources (hide)'!X$6:X$105)&gt;0,$E$1=2),0,1)</f>
        <v>1</v>
      </c>
      <c r="L23" s="68">
        <f ca="1">IF(AND(SUMIF(Capacity_Resource,$D23,'Critical resources (hide)'!Y$6:Y$105)+SUMIF(Capacity_Resource,$E23,'Critical resources (hide)'!Y$6:Y$105)+SUMIF(Capacity_Resource,$F23,'Critical resources (hide)'!Y$6:Y$105)&gt;0,$E$1=2),0,1)</f>
        <v>1</v>
      </c>
      <c r="M23" s="68">
        <f ca="1">IF(AND(SUMIF(Capacity_Resource,$D23,'Critical resources (hide)'!Z$6:Z$105)+SUMIF(Capacity_Resource,$E23,'Critical resources (hide)'!Z$6:Z$105)+SUMIF(Capacity_Resource,$F23,'Critical resources (hide)'!Z$6:Z$105)&gt;0,$E$1=2),0,1)</f>
        <v>1</v>
      </c>
      <c r="N23" s="68">
        <f ca="1">IF(AND(SUMIF(Capacity_Resource,$D23,'Critical resources (hide)'!AA$6:AA$105)+SUMIF(Capacity_Resource,$E23,'Critical resources (hide)'!AA$6:AA$105)+SUMIF(Capacity_Resource,$F23,'Critical resources (hide)'!AA$6:AA$105)&gt;0,$E$1=2),0,1)</f>
        <v>1</v>
      </c>
      <c r="O23" s="68">
        <f ca="1">IF(AND(SUMIF(Capacity_Resource,$D23,'Critical resources (hide)'!AB$6:AB$105)+SUMIF(Capacity_Resource,$E23,'Critical resources (hide)'!AB$6:AB$105)+SUMIF(Capacity_Resource,$F23,'Critical resources (hide)'!AB$6:AB$105)&gt;0,$E$1=2),0,1)</f>
        <v>1</v>
      </c>
      <c r="P23" s="68">
        <f ca="1">IF(AND(SUMIF(Capacity_Resource,$D23,'Critical resources (hide)'!AC$6:AC$105)+SUMIF(Capacity_Resource,$E23,'Critical resources (hide)'!AC$6:AC$105)+SUMIF(Capacity_Resource,$F23,'Critical resources (hide)'!AC$6:AC$105)&gt;0,$E$1=2),0,1)</f>
        <v>1</v>
      </c>
      <c r="Q23" s="68">
        <f ca="1">IF(AND(SUMIF(Capacity_Resource,$D23,'Critical resources (hide)'!AD$6:AD$105)+SUMIF(Capacity_Resource,$E23,'Critical resources (hide)'!AD$6:AD$105)+SUMIF(Capacity_Resource,$F23,'Critical resources (hide)'!AD$6:AD$105)&gt;0,$E$1=2),0,1)</f>
        <v>1</v>
      </c>
      <c r="R23" s="68">
        <f ca="1">IF(AND(SUMIF(Capacity_Resource,$D23,'Critical resources (hide)'!AE$6:AE$105)+SUMIF(Capacity_Resource,$E23,'Critical resources (hide)'!AE$6:AE$105)+SUMIF(Capacity_Resource,$F23,'Critical resources (hide)'!AE$6:AE$105)&gt;0,$E$1=2),0,1)</f>
        <v>1</v>
      </c>
      <c r="S23" s="68">
        <f ca="1">IF(AND(SUMIF(Capacity_Resource,$D23,'Critical resources (hide)'!AF$6:AF$105)+SUMIF(Capacity_Resource,$E23,'Critical resources (hide)'!AF$6:AF$105)+SUMIF(Capacity_Resource,$F23,'Critical resources (hide)'!AF$6:AF$105)&gt;0,$E$1=2),0,1)</f>
        <v>1</v>
      </c>
      <c r="T23" s="68">
        <f ca="1">IF(AND(SUMIF(Capacity_Resource,$D23,'Critical resources (hide)'!AG$6:AG$105)+SUMIF(Capacity_Resource,$E23,'Critical resources (hide)'!AG$6:AG$105)+SUMIF(Capacity_Resource,$F23,'Critical resources (hide)'!AG$6:AG$105)&gt;0,$E$1=2),0,1)</f>
        <v>1</v>
      </c>
      <c r="U23" s="68">
        <f ca="1">IF(AND(SUMIF(Capacity_Resource,$D23,'Critical resources (hide)'!AH$6:AH$105)+SUMIF(Capacity_Resource,$E23,'Critical resources (hide)'!AH$6:AH$105)+SUMIF(Capacity_Resource,$F23,'Critical resources (hide)'!AH$6:AH$105)&gt;0,$E$1=2),0,1)</f>
        <v>1</v>
      </c>
      <c r="V23" s="68">
        <f ca="1">IF(AND(SUMIF(Capacity_Resource,$D23,'Critical resources (hide)'!AI$6:AI$105)+SUMIF(Capacity_Resource,$E23,'Critical resources (hide)'!AI$6:AI$105)+SUMIF(Capacity_Resource,$F23,'Critical resources (hide)'!AI$6:AI$105)&gt;0,$E$1=2),0,1)</f>
        <v>1</v>
      </c>
      <c r="W23" s="68">
        <f ca="1">IF(AND(SUMIF(Capacity_Resource,$D23,'Critical resources (hide)'!AJ$6:AJ$105)+SUMIF(Capacity_Resource,$E23,'Critical resources (hide)'!AJ$6:AJ$105)+SUMIF(Capacity_Resource,$F23,'Critical resources (hide)'!AJ$6:AJ$105)&gt;0,$E$1=2),0,1)</f>
        <v>1</v>
      </c>
      <c r="X23" s="68">
        <f ca="1">IF(AND(SUMIF(Capacity_Resource,$D23,'Critical resources (hide)'!AK$6:AK$105)+SUMIF(Capacity_Resource,$E23,'Critical resources (hide)'!AK$6:AK$105)+SUMIF(Capacity_Resource,$F23,'Critical resources (hide)'!AK$6:AK$105)&gt;0,$E$1=2),0,1)</f>
        <v>1</v>
      </c>
      <c r="Y23" s="68">
        <f ca="1">IF(AND(SUMIF(Capacity_Resource,$D23,'Critical resources (hide)'!AL$6:AL$105)+SUMIF(Capacity_Resource,$E23,'Critical resources (hide)'!AL$6:AL$105)+SUMIF(Capacity_Resource,$F23,'Critical resources (hide)'!AL$6:AL$105)&gt;0,$E$1=2),0,1)</f>
        <v>1</v>
      </c>
      <c r="Z23" s="68">
        <f ca="1">IF(AND(SUMIF(Capacity_Resource,$D23,'Critical resources (hide)'!AM$6:AM$105)+SUMIF(Capacity_Resource,$E23,'Critical resources (hide)'!AM$6:AM$105)+SUMIF(Capacity_Resource,$F23,'Critical resources (hide)'!AM$6:AM$105)&gt;0,$E$1=2),0,1)</f>
        <v>1</v>
      </c>
      <c r="AA23" s="68">
        <f ca="1">IF(AND(SUMIF(Capacity_Resource,$D23,'Critical resources (hide)'!AN$6:AN$105)+SUMIF(Capacity_Resource,$E23,'Critical resources (hide)'!AN$6:AN$105)+SUMIF(Capacity_Resource,$F23,'Critical resources (hide)'!AN$6:AN$105)&gt;0,$E$1=2),0,1)</f>
        <v>1</v>
      </c>
      <c r="AB23" s="68">
        <f ca="1">IF(AND(SUMIF(Capacity_Resource,$D23,'Critical resources (hide)'!AO$6:AO$105)+SUMIF(Capacity_Resource,$E23,'Critical resources (hide)'!AO$6:AO$105)+SUMIF(Capacity_Resource,$F23,'Critical resources (hide)'!AO$6:AO$105)&gt;0,$E$1=2),0,1)</f>
        <v>1</v>
      </c>
      <c r="AC23" s="68">
        <f ca="1">IF(AND(SUMIF(Capacity_Resource,$D23,'Critical resources (hide)'!AP$6:AP$105)+SUMIF(Capacity_Resource,$E23,'Critical resources (hide)'!AP$6:AP$105)+SUMIF(Capacity_Resource,$F23,'Critical resources (hide)'!AP$6:AP$105)&gt;0,$E$1=2),0,1)</f>
        <v>1</v>
      </c>
      <c r="AD23" s="68">
        <f ca="1">IF(AND(SUMIF(Capacity_Resource,$D23,'Critical resources (hide)'!AQ$6:AQ$105)+SUMIF(Capacity_Resource,$E23,'Critical resources (hide)'!AQ$6:AQ$105)+SUMIF(Capacity_Resource,$F23,'Critical resources (hide)'!AQ$6:AQ$105)&gt;0,$E$1=2),0,1)</f>
        <v>1</v>
      </c>
      <c r="AE23" s="68">
        <f ca="1">IF(AND(SUMIF(Capacity_Resource,$D23,'Critical resources (hide)'!AR$6:AR$105)+SUMIF(Capacity_Resource,$E23,'Critical resources (hide)'!AR$6:AR$105)+SUMIF(Capacity_Resource,$F23,'Critical resources (hide)'!AR$6:AR$105)&gt;0,$E$1=2),0,1)</f>
        <v>1</v>
      </c>
      <c r="AF23" s="68">
        <f ca="1">IF(AND(SUMIF(Capacity_Resource,$D23,'Critical resources (hide)'!AS$6:AS$105)+SUMIF(Capacity_Resource,$E23,'Critical resources (hide)'!AS$6:AS$105)+SUMIF(Capacity_Resource,$F23,'Critical resources (hide)'!AS$6:AS$105)&gt;0,$E$1=2),0,1)</f>
        <v>1</v>
      </c>
      <c r="AG23" s="68">
        <f ca="1">IF(AND(SUMIF(Capacity_Resource,$D23,'Critical resources (hide)'!AT$6:AT$105)+SUMIF(Capacity_Resource,$E23,'Critical resources (hide)'!AT$6:AT$105)+SUMIF(Capacity_Resource,$F23,'Critical resources (hide)'!AT$6:AT$105)&gt;0,$E$1=2),0,1)</f>
        <v>1</v>
      </c>
      <c r="AH23" s="68">
        <f ca="1">IF(AND(SUMIF(Capacity_Resource,$D23,'Critical resources (hide)'!AU$6:AU$105)+SUMIF(Capacity_Resource,$E23,'Critical resources (hide)'!AU$6:AU$105)+SUMIF(Capacity_Resource,$F23,'Critical resources (hide)'!AU$6:AU$105)&gt;0,$E$1=2),0,1)</f>
        <v>1</v>
      </c>
      <c r="AI23" s="68">
        <f ca="1">IF(AND(SUMIF(Capacity_Resource,$D23,'Critical resources (hide)'!AV$6:AV$105)+SUMIF(Capacity_Resource,$E23,'Critical resources (hide)'!AV$6:AV$105)+SUMIF(Capacity_Resource,$F23,'Critical resources (hide)'!AV$6:AV$105)&gt;0,$E$1=2),0,1)</f>
        <v>1</v>
      </c>
      <c r="AJ23" s="68">
        <f ca="1">IF(AND(SUMIF(Capacity_Resource,$D23,'Critical resources (hide)'!AW$6:AW$105)+SUMIF(Capacity_Resource,$E23,'Critical resources (hide)'!AW$6:AW$105)+SUMIF(Capacity_Resource,$F23,'Critical resources (hide)'!AW$6:AW$105)&gt;0,$E$1=2),0,1)</f>
        <v>1</v>
      </c>
      <c r="AK23" s="68">
        <f ca="1">IF(AND(SUMIF(Capacity_Resource,$D23,'Critical resources (hide)'!AX$6:AX$105)+SUMIF(Capacity_Resource,$E23,'Critical resources (hide)'!AX$6:AX$105)+SUMIF(Capacity_Resource,$F23,'Critical resources (hide)'!AX$6:AX$105)&gt;0,$E$1=2),0,1)</f>
        <v>1</v>
      </c>
      <c r="AL23" s="68">
        <f ca="1">IF(AND(SUMIF(Capacity_Resource,$D23,'Critical resources (hide)'!AY$6:AY$105)+SUMIF(Capacity_Resource,$E23,'Critical resources (hide)'!AY$6:AY$105)+SUMIF(Capacity_Resource,$F23,'Critical resources (hide)'!AY$6:AY$105)&gt;0,$E$1=2),0,1)</f>
        <v>1</v>
      </c>
      <c r="AM23" s="68">
        <f ca="1">IF(AND(SUMIF(Capacity_Resource,$D23,'Critical resources (hide)'!AZ$6:AZ$105)+SUMIF(Capacity_Resource,$E23,'Critical resources (hide)'!AZ$6:AZ$105)+SUMIF(Capacity_Resource,$F23,'Critical resources (hide)'!AZ$6:AZ$105)&gt;0,$E$1=2),0,1)</f>
        <v>1</v>
      </c>
      <c r="AN23" s="68">
        <f ca="1">IF(AND(SUMIF(Capacity_Resource,$D23,'Critical resources (hide)'!BA$6:BA$105)+SUMIF(Capacity_Resource,$E23,'Critical resources (hide)'!BA$6:BA$105)+SUMIF(Capacity_Resource,$F23,'Critical resources (hide)'!BA$6:BA$105)&gt;0,$E$1=2),0,1)</f>
        <v>1</v>
      </c>
      <c r="AO23" s="68">
        <f ca="1">IF(AND(SUMIF(Capacity_Resource,$D23,'Critical resources (hide)'!BB$6:BB$105)+SUMIF(Capacity_Resource,$E23,'Critical resources (hide)'!BB$6:BB$105)+SUMIF(Capacity_Resource,$F23,'Critical resources (hide)'!BB$6:BB$105)&gt;0,$E$1=2),0,1)</f>
        <v>1</v>
      </c>
      <c r="AP23" s="68">
        <f ca="1">IF(AND(SUMIF(Capacity_Resource,$D23,'Critical resources (hide)'!BC$6:BC$105)+SUMIF(Capacity_Resource,$E23,'Critical resources (hide)'!BC$6:BC$105)+SUMIF(Capacity_Resource,$F23,'Critical resources (hide)'!BC$6:BC$105)&gt;0,$E$1=2),0,1)</f>
        <v>1</v>
      </c>
      <c r="AQ23" s="68">
        <f ca="1">IF(AND(SUMIF(Capacity_Resource,$D23,'Critical resources (hide)'!BD$6:BD$105)+SUMIF(Capacity_Resource,$E23,'Critical resources (hide)'!BD$6:BD$105)+SUMIF(Capacity_Resource,$F23,'Critical resources (hide)'!BD$6:BD$105)&gt;0,$E$1=2),0,1)</f>
        <v>1</v>
      </c>
      <c r="AR23" s="68">
        <f ca="1">IF(AND(SUMIF(Capacity_Resource,$D23,'Critical resources (hide)'!BE$6:BE$105)+SUMIF(Capacity_Resource,$E23,'Critical resources (hide)'!BE$6:BE$105)+SUMIF(Capacity_Resource,$F23,'Critical resources (hide)'!BE$6:BE$105)&gt;0,$E$1=2),0,1)</f>
        <v>1</v>
      </c>
      <c r="AS23" s="68">
        <f ca="1">IF(AND(SUMIF(Capacity_Resource,$D23,'Critical resources (hide)'!BF$6:BF$105)+SUMIF(Capacity_Resource,$E23,'Critical resources (hide)'!BF$6:BF$105)+SUMIF(Capacity_Resource,$F23,'Critical resources (hide)'!BF$6:BF$105)&gt;0,$E$1=2),0,1)</f>
        <v>1</v>
      </c>
      <c r="AT23" s="68">
        <f ca="1">IF(AND(SUMIF(Capacity_Resource,$D23,'Critical resources (hide)'!BG$6:BG$105)+SUMIF(Capacity_Resource,$E23,'Critical resources (hide)'!BG$6:BG$105)+SUMIF(Capacity_Resource,$F23,'Critical resources (hide)'!BG$6:BG$105)&gt;0,$E$1=2),0,1)</f>
        <v>1</v>
      </c>
      <c r="AU23" s="68">
        <f ca="1">IF(AND(SUMIF(Capacity_Resource,$D23,'Critical resources (hide)'!BH$6:BH$105)+SUMIF(Capacity_Resource,$E23,'Critical resources (hide)'!BH$6:BH$105)+SUMIF(Capacity_Resource,$F23,'Critical resources (hide)'!BH$6:BH$105)&gt;0,$E$1=2),0,1)</f>
        <v>1</v>
      </c>
      <c r="AV23" s="68">
        <f ca="1">IF(AND(SUMIF(Capacity_Resource,$D23,'Critical resources (hide)'!BI$6:BI$105)+SUMIF(Capacity_Resource,$E23,'Critical resources (hide)'!BI$6:BI$105)+SUMIF(Capacity_Resource,$F23,'Critical resources (hide)'!BI$6:BI$105)&gt;0,$E$1=2),0,1)</f>
        <v>1</v>
      </c>
      <c r="AW23" s="68">
        <f ca="1">IF(AND(SUMIF(Capacity_Resource,$D23,'Critical resources (hide)'!BJ$6:BJ$105)+SUMIF(Capacity_Resource,$E23,'Critical resources (hide)'!BJ$6:BJ$105)+SUMIF(Capacity_Resource,$F23,'Critical resources (hide)'!BJ$6:BJ$105)&gt;0,$E$1=2),0,1)</f>
        <v>1</v>
      </c>
      <c r="AX23" s="68">
        <f ca="1">IF(AND(SUMIF(Capacity_Resource,$D23,'Critical resources (hide)'!BK$6:BK$105)+SUMIF(Capacity_Resource,$E23,'Critical resources (hide)'!BK$6:BK$105)+SUMIF(Capacity_Resource,$F23,'Critical resources (hide)'!BK$6:BK$105)&gt;0,$E$1=2),0,1)</f>
        <v>1</v>
      </c>
      <c r="AY23" s="68">
        <f ca="1">IF(AND(SUMIF(Capacity_Resource,$D23,'Critical resources (hide)'!BL$6:BL$105)+SUMIF(Capacity_Resource,$E23,'Critical resources (hide)'!BL$6:BL$105)+SUMIF(Capacity_Resource,$F23,'Critical resources (hide)'!BL$6:BL$105)&gt;0,$E$1=2),0,1)</f>
        <v>1</v>
      </c>
      <c r="AZ23" s="68">
        <f ca="1">IF(AND(SUMIF(Capacity_Resource,$D23,'Critical resources (hide)'!BM$6:BM$105)+SUMIF(Capacity_Resource,$E23,'Critical resources (hide)'!BM$6:BM$105)+SUMIF(Capacity_Resource,$F23,'Critical resources (hide)'!BM$6:BM$105)&gt;0,$E$1=2),0,1)</f>
        <v>1</v>
      </c>
      <c r="BA23" s="68">
        <f ca="1">IF(AND(SUMIF(Capacity_Resource,$D23,'Critical resources (hide)'!BN$6:BN$105)+SUMIF(Capacity_Resource,$E23,'Critical resources (hide)'!BN$6:BN$105)+SUMIF(Capacity_Resource,$F23,'Critical resources (hide)'!BN$6:BN$105)&gt;0,$E$1=2),0,1)</f>
        <v>1</v>
      </c>
      <c r="BB23" s="68">
        <f ca="1">IF(AND(SUMIF(Capacity_Resource,$D23,'Critical resources (hide)'!BO$6:BO$105)+SUMIF(Capacity_Resource,$E23,'Critical resources (hide)'!BO$6:BO$105)+SUMIF(Capacity_Resource,$F23,'Critical resources (hide)'!BO$6:BO$105)&gt;0,$E$1=2),0,1)</f>
        <v>1</v>
      </c>
      <c r="BC23" s="68">
        <f ca="1">IF(AND(SUMIF(Capacity_Resource,$D23,'Critical resources (hide)'!BP$6:BP$105)+SUMIF(Capacity_Resource,$E23,'Critical resources (hide)'!BP$6:BP$105)+SUMIF(Capacity_Resource,$F23,'Critical resources (hide)'!BP$6:BP$105)&gt;0,$E$1=2),0,1)</f>
        <v>1</v>
      </c>
      <c r="BD23" s="68">
        <f ca="1">IF(AND(SUMIF(Capacity_Resource,$D23,'Critical resources (hide)'!BQ$6:BQ$105)+SUMIF(Capacity_Resource,$E23,'Critical resources (hide)'!BQ$6:BQ$105)+SUMIF(Capacity_Resource,$F23,'Critical resources (hide)'!BQ$6:BQ$105)&gt;0,$E$1=2),0,1)</f>
        <v>1</v>
      </c>
      <c r="BE23" s="68">
        <f ca="1">IF(AND(SUMIF(Capacity_Resource,$D23,'Critical resources (hide)'!BR$6:BR$105)+SUMIF(Capacity_Resource,$E23,'Critical resources (hide)'!BR$6:BR$105)+SUMIF(Capacity_Resource,$F23,'Critical resources (hide)'!BR$6:BR$105)&gt;0,$E$1=2),0,1)</f>
        <v>1</v>
      </c>
      <c r="BF23" s="68">
        <f ca="1">IF(AND(SUMIF(Capacity_Resource,$D23,'Critical resources (hide)'!BS$6:BS$105)+SUMIF(Capacity_Resource,$E23,'Critical resources (hide)'!BS$6:BS$105)+SUMIF(Capacity_Resource,$F23,'Critical resources (hide)'!BS$6:BS$105)&gt;0,$E$1=2),0,1)</f>
        <v>1</v>
      </c>
      <c r="BG23" s="68">
        <f ca="1">IF(AND(SUMIF(Capacity_Resource,$D23,'Critical resources (hide)'!BT$6:BT$105)+SUMIF(Capacity_Resource,$E23,'Critical resources (hide)'!BT$6:BT$105)+SUMIF(Capacity_Resource,$F23,'Critical resources (hide)'!BT$6:BT$105)&gt;0,$E$1=2),0,1)</f>
        <v>1</v>
      </c>
      <c r="BH23" s="68">
        <f>IF(ROW(C19)&lt;=Capacity!$A$16,IF('Capacity summary'!$D$14="No",SUM(H23:BG23),'Capacity summary'!$E142),0)</f>
        <v>0</v>
      </c>
      <c r="BI23" s="5" t="str">
        <f>IF(BH23&gt;0,IF(BH23&lt;Capacity!E35,Capacity!F35,Capacity!H35/'Capacity calculation (hide)'!BH23),"")</f>
        <v/>
      </c>
      <c r="BK23" s="319">
        <f>IF($BI23&lt;&gt;"",IF('Capacity summary'!$D$14="Yes",IF(COUNTBLANK('Capacity summary'!$H142:$BG142)&lt;52,IF('Capacity summary'!H142&lt;&gt;"",$BI23*H23,0),H23*$BI23),H23*$BI23),0)</f>
        <v>0</v>
      </c>
      <c r="BL23" s="319">
        <f>IF($BI23&lt;&gt;"",IF('Capacity summary'!$D$14="Yes",IF(COUNTBLANK('Capacity summary'!$H142:$BG142)&lt;52,IF('Capacity summary'!I142&lt;&gt;"",$BI23*I23,0),I23*$BI23),I23*$BI23),0)</f>
        <v>0</v>
      </c>
      <c r="BM23" s="319">
        <f>IF($BI23&lt;&gt;"",IF('Capacity summary'!$D$14="Yes",IF(COUNTBLANK('Capacity summary'!$H142:$BG142)&lt;52,IF('Capacity summary'!J142&lt;&gt;"",$BI23*J23,0),J23*$BI23),J23*$BI23),0)</f>
        <v>0</v>
      </c>
      <c r="BN23" s="319">
        <f>IF($BI23&lt;&gt;"",IF('Capacity summary'!$D$14="Yes",IF(COUNTBLANK('Capacity summary'!$H142:$BG142)&lt;52,IF('Capacity summary'!K142&lt;&gt;"",$BI23*K23,0),K23*$BI23),K23*$BI23),0)</f>
        <v>0</v>
      </c>
      <c r="BO23" s="319">
        <f>IF($BI23&lt;&gt;"",IF('Capacity summary'!$D$14="Yes",IF(COUNTBLANK('Capacity summary'!$H142:$BG142)&lt;52,IF('Capacity summary'!L142&lt;&gt;"",$BI23*L23,0),L23*$BI23),L23*$BI23),0)</f>
        <v>0</v>
      </c>
      <c r="BP23" s="319">
        <f>IF($BI23&lt;&gt;"",IF('Capacity summary'!$D$14="Yes",IF(COUNTBLANK('Capacity summary'!$H142:$BG142)&lt;52,IF('Capacity summary'!M142&lt;&gt;"",$BI23*M23,0),M23*$BI23),M23*$BI23),0)</f>
        <v>0</v>
      </c>
      <c r="BQ23" s="319">
        <f>IF($BI23&lt;&gt;"",IF('Capacity summary'!$D$14="Yes",IF(COUNTBLANK('Capacity summary'!$H142:$BG142)&lt;52,IF('Capacity summary'!N142&lt;&gt;"",$BI23*N23,0),N23*$BI23),N23*$BI23),0)</f>
        <v>0</v>
      </c>
      <c r="BR23" s="319">
        <f>IF($BI23&lt;&gt;"",IF('Capacity summary'!$D$14="Yes",IF(COUNTBLANK('Capacity summary'!$H142:$BG142)&lt;52,IF('Capacity summary'!O142&lt;&gt;"",$BI23*O23,0),O23*$BI23),O23*$BI23),0)</f>
        <v>0</v>
      </c>
      <c r="BS23" s="319">
        <f>IF($BI23&lt;&gt;"",IF('Capacity summary'!$D$14="Yes",IF(COUNTBLANK('Capacity summary'!$H142:$BG142)&lt;52,IF('Capacity summary'!P142&lt;&gt;"",$BI23*P23,0),P23*$BI23),P23*$BI23),0)</f>
        <v>0</v>
      </c>
      <c r="BT23" s="319">
        <f>IF($BI23&lt;&gt;"",IF('Capacity summary'!$D$14="Yes",IF(COUNTBLANK('Capacity summary'!$H142:$BG142)&lt;52,IF('Capacity summary'!Q142&lt;&gt;"",$BI23*Q23,0),Q23*$BI23),Q23*$BI23),0)</f>
        <v>0</v>
      </c>
      <c r="BU23" s="319">
        <f>IF($BI23&lt;&gt;"",IF('Capacity summary'!$D$14="Yes",IF(COUNTBLANK('Capacity summary'!$H142:$BG142)&lt;52,IF('Capacity summary'!R142&lt;&gt;"",$BI23*R23,0),R23*$BI23),R23*$BI23),0)</f>
        <v>0</v>
      </c>
      <c r="BV23" s="319">
        <f>IF($BI23&lt;&gt;"",IF('Capacity summary'!$D$14="Yes",IF(COUNTBLANK('Capacity summary'!$H142:$BG142)&lt;52,IF('Capacity summary'!S142&lt;&gt;"",$BI23*S23,0),S23*$BI23),S23*$BI23),0)</f>
        <v>0</v>
      </c>
      <c r="BW23" s="319">
        <f>IF($BI23&lt;&gt;"",IF('Capacity summary'!$D$14="Yes",IF(COUNTBLANK('Capacity summary'!$H142:$BG142)&lt;52,IF('Capacity summary'!T142&lt;&gt;"",$BI23*T23,0),T23*$BI23),T23*$BI23),0)</f>
        <v>0</v>
      </c>
      <c r="BX23" s="319">
        <f>IF($BI23&lt;&gt;"",IF('Capacity summary'!$D$14="Yes",IF(COUNTBLANK('Capacity summary'!$H142:$BG142)&lt;52,IF('Capacity summary'!U142&lt;&gt;"",$BI23*U23,0),U23*$BI23),U23*$BI23),0)</f>
        <v>0</v>
      </c>
      <c r="BY23" s="319">
        <f>IF($BI23&lt;&gt;"",IF('Capacity summary'!$D$14="Yes",IF(COUNTBLANK('Capacity summary'!$H142:$BG142)&lt;52,IF('Capacity summary'!V142&lt;&gt;"",$BI23*V23,0),V23*$BI23),V23*$BI23),0)</f>
        <v>0</v>
      </c>
      <c r="BZ23" s="319">
        <f>IF($BI23&lt;&gt;"",IF('Capacity summary'!$D$14="Yes",IF(COUNTBLANK('Capacity summary'!$H142:$BG142)&lt;52,IF('Capacity summary'!W142&lt;&gt;"",$BI23*W23,0),W23*$BI23),W23*$BI23),0)</f>
        <v>0</v>
      </c>
      <c r="CA23" s="319">
        <f>IF($BI23&lt;&gt;"",IF('Capacity summary'!$D$14="Yes",IF(COUNTBLANK('Capacity summary'!$H142:$BG142)&lt;52,IF('Capacity summary'!X142&lt;&gt;"",$BI23*X23,0),X23*$BI23),X23*$BI23),0)</f>
        <v>0</v>
      </c>
      <c r="CB23" s="319">
        <f>IF($BI23&lt;&gt;"",IF('Capacity summary'!$D$14="Yes",IF(COUNTBLANK('Capacity summary'!$H142:$BG142)&lt;52,IF('Capacity summary'!Y142&lt;&gt;"",$BI23*Y23,0),Y23*$BI23),Y23*$BI23),0)</f>
        <v>0</v>
      </c>
      <c r="CC23" s="319">
        <f>IF($BI23&lt;&gt;"",IF('Capacity summary'!$D$14="Yes",IF(COUNTBLANK('Capacity summary'!$H142:$BG142)&lt;52,IF('Capacity summary'!Z142&lt;&gt;"",$BI23*Z23,0),Z23*$BI23),Z23*$BI23),0)</f>
        <v>0</v>
      </c>
      <c r="CD23" s="319">
        <f>IF($BI23&lt;&gt;"",IF('Capacity summary'!$D$14="Yes",IF(COUNTBLANK('Capacity summary'!$H142:$BG142)&lt;52,IF('Capacity summary'!AA142&lt;&gt;"",$BI23*AA23,0),AA23*$BI23),AA23*$BI23),0)</f>
        <v>0</v>
      </c>
      <c r="CE23" s="319">
        <f>IF($BI23&lt;&gt;"",IF('Capacity summary'!$D$14="Yes",IF(COUNTBLANK('Capacity summary'!$H142:$BG142)&lt;52,IF('Capacity summary'!AB142&lt;&gt;"",$BI23*AB23,0),AB23*$BI23),AB23*$BI23),0)</f>
        <v>0</v>
      </c>
      <c r="CF23" s="319">
        <f>IF($BI23&lt;&gt;"",IF('Capacity summary'!$D$14="Yes",IF(COUNTBLANK('Capacity summary'!$H142:$BG142)&lt;52,IF('Capacity summary'!AC142&lt;&gt;"",$BI23*AC23,0),AC23*$BI23),AC23*$BI23),0)</f>
        <v>0</v>
      </c>
      <c r="CG23" s="319">
        <f>IF($BI23&lt;&gt;"",IF('Capacity summary'!$D$14="Yes",IF(COUNTBLANK('Capacity summary'!$H142:$BG142)&lt;52,IF('Capacity summary'!AD142&lt;&gt;"",$BI23*AD23,0),AD23*$BI23),AD23*$BI23),0)</f>
        <v>0</v>
      </c>
      <c r="CH23" s="319">
        <f>IF($BI23&lt;&gt;"",IF('Capacity summary'!$D$14="Yes",IF(COUNTBLANK('Capacity summary'!$H142:$BG142)&lt;52,IF('Capacity summary'!AE142&lt;&gt;"",$BI23*AE23,0),AE23*$BI23),AE23*$BI23),0)</f>
        <v>0</v>
      </c>
      <c r="CI23" s="319">
        <f>IF($BI23&lt;&gt;"",IF('Capacity summary'!$D$14="Yes",IF(COUNTBLANK('Capacity summary'!$H142:$BG142)&lt;52,IF('Capacity summary'!AF142&lt;&gt;"",$BI23*AF23,0),AF23*$BI23),AF23*$BI23),0)</f>
        <v>0</v>
      </c>
      <c r="CJ23" s="319">
        <f>IF($BI23&lt;&gt;"",IF('Capacity summary'!$D$14="Yes",IF(COUNTBLANK('Capacity summary'!$H142:$BG142)&lt;52,IF('Capacity summary'!AG142&lt;&gt;"",$BI23*AG23,0),AG23*$BI23),AG23*$BI23),0)</f>
        <v>0</v>
      </c>
      <c r="CK23" s="319">
        <f>IF($BI23&lt;&gt;"",IF('Capacity summary'!$D$14="Yes",IF(COUNTBLANK('Capacity summary'!$H142:$BG142)&lt;52,IF('Capacity summary'!AH142&lt;&gt;"",$BI23*AH23,0),AH23*$BI23),AH23*$BI23),0)</f>
        <v>0</v>
      </c>
      <c r="CL23" s="319">
        <f>IF($BI23&lt;&gt;"",IF('Capacity summary'!$D$14="Yes",IF(COUNTBLANK('Capacity summary'!$H142:$BG142)&lt;52,IF('Capacity summary'!AI142&lt;&gt;"",$BI23*AI23,0),AI23*$BI23),AI23*$BI23),0)</f>
        <v>0</v>
      </c>
      <c r="CM23" s="319">
        <f>IF($BI23&lt;&gt;"",IF('Capacity summary'!$D$14="Yes",IF(COUNTBLANK('Capacity summary'!$H142:$BG142)&lt;52,IF('Capacity summary'!AJ142&lt;&gt;"",$BI23*AJ23,0),AJ23*$BI23),AJ23*$BI23),0)</f>
        <v>0</v>
      </c>
      <c r="CN23" s="319">
        <f>IF($BI23&lt;&gt;"",IF('Capacity summary'!$D$14="Yes",IF(COUNTBLANK('Capacity summary'!$H142:$BG142)&lt;52,IF('Capacity summary'!AK142&lt;&gt;"",$BI23*AK23,0),AK23*$BI23),AK23*$BI23),0)</f>
        <v>0</v>
      </c>
      <c r="CO23" s="319">
        <f>IF($BI23&lt;&gt;"",IF('Capacity summary'!$D$14="Yes",IF(COUNTBLANK('Capacity summary'!$H142:$BG142)&lt;52,IF('Capacity summary'!AL142&lt;&gt;"",$BI23*AL23,0),AL23*$BI23),AL23*$BI23),0)</f>
        <v>0</v>
      </c>
      <c r="CP23" s="319">
        <f>IF($BI23&lt;&gt;"",IF('Capacity summary'!$D$14="Yes",IF(COUNTBLANK('Capacity summary'!$H142:$BG142)&lt;52,IF('Capacity summary'!AM142&lt;&gt;"",$BI23*AM23,0),AM23*$BI23),AM23*$BI23),0)</f>
        <v>0</v>
      </c>
      <c r="CQ23" s="319">
        <f>IF($BI23&lt;&gt;"",IF('Capacity summary'!$D$14="Yes",IF(COUNTBLANK('Capacity summary'!$H142:$BG142)&lt;52,IF('Capacity summary'!AN142&lt;&gt;"",$BI23*AN23,0),AN23*$BI23),AN23*$BI23),0)</f>
        <v>0</v>
      </c>
      <c r="CR23" s="319">
        <f>IF($BI23&lt;&gt;"",IF('Capacity summary'!$D$14="Yes",IF(COUNTBLANK('Capacity summary'!$H142:$BG142)&lt;52,IF('Capacity summary'!AO142&lt;&gt;"",$BI23*AO23,0),AO23*$BI23),AO23*$BI23),0)</f>
        <v>0</v>
      </c>
      <c r="CS23" s="319">
        <f>IF($BI23&lt;&gt;"",IF('Capacity summary'!$D$14="Yes",IF(COUNTBLANK('Capacity summary'!$H142:$BG142)&lt;52,IF('Capacity summary'!AP142&lt;&gt;"",$BI23*AP23,0),AP23*$BI23),AP23*$BI23),0)</f>
        <v>0</v>
      </c>
      <c r="CT23" s="319">
        <f>IF($BI23&lt;&gt;"",IF('Capacity summary'!$D$14="Yes",IF(COUNTBLANK('Capacity summary'!$H142:$BG142)&lt;52,IF('Capacity summary'!AQ142&lt;&gt;"",$BI23*AQ23,0),AQ23*$BI23),AQ23*$BI23),0)</f>
        <v>0</v>
      </c>
      <c r="CU23" s="319">
        <f>IF($BI23&lt;&gt;"",IF('Capacity summary'!$D$14="Yes",IF(COUNTBLANK('Capacity summary'!$H142:$BG142)&lt;52,IF('Capacity summary'!AR142&lt;&gt;"",$BI23*AR23,0),AR23*$BI23),AR23*$BI23),0)</f>
        <v>0</v>
      </c>
      <c r="CV23" s="319">
        <f>IF($BI23&lt;&gt;"",IF('Capacity summary'!$D$14="Yes",IF(COUNTBLANK('Capacity summary'!$H142:$BG142)&lt;52,IF('Capacity summary'!AS142&lt;&gt;"",$BI23*AS23,0),AS23*$BI23),AS23*$BI23),0)</f>
        <v>0</v>
      </c>
      <c r="CW23" s="319">
        <f>IF($BI23&lt;&gt;"",IF('Capacity summary'!$D$14="Yes",IF(COUNTBLANK('Capacity summary'!$H142:$BG142)&lt;52,IF('Capacity summary'!AT142&lt;&gt;"",$BI23*AT23,0),AT23*$BI23),AT23*$BI23),0)</f>
        <v>0</v>
      </c>
      <c r="CX23" s="319">
        <f>IF($BI23&lt;&gt;"",IF('Capacity summary'!$D$14="Yes",IF(COUNTBLANK('Capacity summary'!$H142:$BG142)&lt;52,IF('Capacity summary'!AU142&lt;&gt;"",$BI23*AU23,0),AU23*$BI23),AU23*$BI23),0)</f>
        <v>0</v>
      </c>
      <c r="CY23" s="319">
        <f>IF($BI23&lt;&gt;"",IF('Capacity summary'!$D$14="Yes",IF(COUNTBLANK('Capacity summary'!$H142:$BG142)&lt;52,IF('Capacity summary'!AV142&lt;&gt;"",$BI23*AV23,0),AV23*$BI23),AV23*$BI23),0)</f>
        <v>0</v>
      </c>
      <c r="CZ23" s="319">
        <f>IF($BI23&lt;&gt;"",IF('Capacity summary'!$D$14="Yes",IF(COUNTBLANK('Capacity summary'!$H142:$BG142)&lt;52,IF('Capacity summary'!AW142&lt;&gt;"",$BI23*AW23,0),AW23*$BI23),AW23*$BI23),0)</f>
        <v>0</v>
      </c>
      <c r="DA23" s="319">
        <f>IF($BI23&lt;&gt;"",IF('Capacity summary'!$D$14="Yes",IF(COUNTBLANK('Capacity summary'!$H142:$BG142)&lt;52,IF('Capacity summary'!AX142&lt;&gt;"",$BI23*AX23,0),AX23*$BI23),AX23*$BI23),0)</f>
        <v>0</v>
      </c>
      <c r="DB23" s="319">
        <f>IF($BI23&lt;&gt;"",IF('Capacity summary'!$D$14="Yes",IF(COUNTBLANK('Capacity summary'!$H142:$BG142)&lt;52,IF('Capacity summary'!AY142&lt;&gt;"",$BI23*AY23,0),AY23*$BI23),AY23*$BI23),0)</f>
        <v>0</v>
      </c>
      <c r="DC23" s="319">
        <f>IF($BI23&lt;&gt;"",IF('Capacity summary'!$D$14="Yes",IF(COUNTBLANK('Capacity summary'!$H142:$BG142)&lt;52,IF('Capacity summary'!AZ142&lt;&gt;"",$BI23*AZ23,0),AZ23*$BI23),AZ23*$BI23),0)</f>
        <v>0</v>
      </c>
      <c r="DD23" s="319">
        <f>IF($BI23&lt;&gt;"",IF('Capacity summary'!$D$14="Yes",IF(COUNTBLANK('Capacity summary'!$H142:$BG142)&lt;52,IF('Capacity summary'!BA142&lt;&gt;"",$BI23*BA23,0),BA23*$BI23),BA23*$BI23),0)</f>
        <v>0</v>
      </c>
      <c r="DE23" s="319">
        <f>IF($BI23&lt;&gt;"",IF('Capacity summary'!$D$14="Yes",IF(COUNTBLANK('Capacity summary'!$H142:$BG142)&lt;52,IF('Capacity summary'!BB142&lt;&gt;"",$BI23*BB23,0),BB23*$BI23),BB23*$BI23),0)</f>
        <v>0</v>
      </c>
      <c r="DF23" s="319">
        <f>IF($BI23&lt;&gt;"",IF('Capacity summary'!$D$14="Yes",IF(COUNTBLANK('Capacity summary'!$H142:$BG142)&lt;52,IF('Capacity summary'!BC142&lt;&gt;"",$BI23*BC23,0),BC23*$BI23),BC23*$BI23),0)</f>
        <v>0</v>
      </c>
      <c r="DG23" s="319">
        <f>IF($BI23&lt;&gt;"",IF('Capacity summary'!$D$14="Yes",IF(COUNTBLANK('Capacity summary'!$H142:$BG142)&lt;52,IF('Capacity summary'!BD142&lt;&gt;"",$BI23*BD23,0),BD23*$BI23),BD23*$BI23),0)</f>
        <v>0</v>
      </c>
      <c r="DH23" s="319">
        <f>IF($BI23&lt;&gt;"",IF('Capacity summary'!$D$14="Yes",IF(COUNTBLANK('Capacity summary'!$H142:$BG142)&lt;52,IF('Capacity summary'!BE142&lt;&gt;"",$BI23*BE23,0),BE23*$BI23),BE23*$BI23),0)</f>
        <v>0</v>
      </c>
      <c r="DI23" s="319">
        <f>IF($BI23&lt;&gt;"",IF('Capacity summary'!$D$14="Yes",IF(COUNTBLANK('Capacity summary'!$H142:$BG142)&lt;52,IF('Capacity summary'!BF142&lt;&gt;"",$BI23*BF23,0),BF23*$BI23),BF23*$BI23),0)</f>
        <v>0</v>
      </c>
      <c r="DJ23" s="319">
        <f>IF($BI23&lt;&gt;"",IF('Capacity summary'!$D$14="Yes",IF(COUNTBLANK('Capacity summary'!$H142:$BG142)&lt;52,IF('Capacity summary'!BG142&lt;&gt;"",$BI23*BG23,0),BG23*$BI23),BG23*$BI23),0)</f>
        <v>0</v>
      </c>
      <c r="DK23" s="5">
        <f t="shared" si="2"/>
        <v>0</v>
      </c>
      <c r="DL23" s="5" t="str">
        <f>Capacity!H35</f>
        <v/>
      </c>
      <c r="DP23" s="5"/>
    </row>
    <row r="24" spans="2:120" x14ac:dyDescent="0.2">
      <c r="B24" s="68"/>
      <c r="C24" s="68" t="str">
        <f>ROW(A20)&amp;". "&amp;Capacity!B36</f>
        <v xml:space="preserve">20. </v>
      </c>
      <c r="D24" s="68">
        <f>'Capacity setup'!C31</f>
        <v>0</v>
      </c>
      <c r="E24" s="68">
        <f>'Capacity setup'!D31</f>
        <v>0</v>
      </c>
      <c r="F24" s="68">
        <f>'Capacity setup'!E31</f>
        <v>0</v>
      </c>
      <c r="H24" s="68">
        <f ca="1">IF(AND(SUMIF(Capacity_Resource,$D24,'Critical resources (hide)'!U$6:U$105)+SUMIF(Capacity_Resource,$E24,'Critical resources (hide)'!U$6:U$105)+SUMIF(Capacity_Resource,$F24,'Critical resources (hide)'!U$6:U$105)&gt;0,$E$1=2),0,1)</f>
        <v>1</v>
      </c>
      <c r="I24" s="68">
        <f ca="1">IF(AND(SUMIF(Capacity_Resource,$D24,'Critical resources (hide)'!V$6:V$105)+SUMIF(Capacity_Resource,$E24,'Critical resources (hide)'!V$6:V$105)+SUMIF(Capacity_Resource,$F24,'Critical resources (hide)'!V$6:V$105)&gt;0,$E$1=2),0,1)</f>
        <v>1</v>
      </c>
      <c r="J24" s="68">
        <f ca="1">IF(AND(SUMIF(Capacity_Resource,$D24,'Critical resources (hide)'!W$6:W$105)+SUMIF(Capacity_Resource,$E24,'Critical resources (hide)'!W$6:W$105)+SUMIF(Capacity_Resource,$F24,'Critical resources (hide)'!W$6:W$105)&gt;0,$E$1=2),0,1)</f>
        <v>1</v>
      </c>
      <c r="K24" s="68">
        <f ca="1">IF(AND(SUMIF(Capacity_Resource,$D24,'Critical resources (hide)'!X$6:X$105)+SUMIF(Capacity_Resource,$E24,'Critical resources (hide)'!X$6:X$105)+SUMIF(Capacity_Resource,$F24,'Critical resources (hide)'!X$6:X$105)&gt;0,$E$1=2),0,1)</f>
        <v>1</v>
      </c>
      <c r="L24" s="68">
        <f ca="1">IF(AND(SUMIF(Capacity_Resource,$D24,'Critical resources (hide)'!Y$6:Y$105)+SUMIF(Capacity_Resource,$E24,'Critical resources (hide)'!Y$6:Y$105)+SUMIF(Capacity_Resource,$F24,'Critical resources (hide)'!Y$6:Y$105)&gt;0,$E$1=2),0,1)</f>
        <v>1</v>
      </c>
      <c r="M24" s="68">
        <f ca="1">IF(AND(SUMIF(Capacity_Resource,$D24,'Critical resources (hide)'!Z$6:Z$105)+SUMIF(Capacity_Resource,$E24,'Critical resources (hide)'!Z$6:Z$105)+SUMIF(Capacity_Resource,$F24,'Critical resources (hide)'!Z$6:Z$105)&gt;0,$E$1=2),0,1)</f>
        <v>1</v>
      </c>
      <c r="N24" s="68">
        <f ca="1">IF(AND(SUMIF(Capacity_Resource,$D24,'Critical resources (hide)'!AA$6:AA$105)+SUMIF(Capacity_Resource,$E24,'Critical resources (hide)'!AA$6:AA$105)+SUMIF(Capacity_Resource,$F24,'Critical resources (hide)'!AA$6:AA$105)&gt;0,$E$1=2),0,1)</f>
        <v>1</v>
      </c>
      <c r="O24" s="68">
        <f ca="1">IF(AND(SUMIF(Capacity_Resource,$D24,'Critical resources (hide)'!AB$6:AB$105)+SUMIF(Capacity_Resource,$E24,'Critical resources (hide)'!AB$6:AB$105)+SUMIF(Capacity_Resource,$F24,'Critical resources (hide)'!AB$6:AB$105)&gt;0,$E$1=2),0,1)</f>
        <v>1</v>
      </c>
      <c r="P24" s="68">
        <f ca="1">IF(AND(SUMIF(Capacity_Resource,$D24,'Critical resources (hide)'!AC$6:AC$105)+SUMIF(Capacity_Resource,$E24,'Critical resources (hide)'!AC$6:AC$105)+SUMIF(Capacity_Resource,$F24,'Critical resources (hide)'!AC$6:AC$105)&gt;0,$E$1=2),0,1)</f>
        <v>1</v>
      </c>
      <c r="Q24" s="68">
        <f ca="1">IF(AND(SUMIF(Capacity_Resource,$D24,'Critical resources (hide)'!AD$6:AD$105)+SUMIF(Capacity_Resource,$E24,'Critical resources (hide)'!AD$6:AD$105)+SUMIF(Capacity_Resource,$F24,'Critical resources (hide)'!AD$6:AD$105)&gt;0,$E$1=2),0,1)</f>
        <v>1</v>
      </c>
      <c r="R24" s="68">
        <f ca="1">IF(AND(SUMIF(Capacity_Resource,$D24,'Critical resources (hide)'!AE$6:AE$105)+SUMIF(Capacity_Resource,$E24,'Critical resources (hide)'!AE$6:AE$105)+SUMIF(Capacity_Resource,$F24,'Critical resources (hide)'!AE$6:AE$105)&gt;0,$E$1=2),0,1)</f>
        <v>1</v>
      </c>
      <c r="S24" s="68">
        <f ca="1">IF(AND(SUMIF(Capacity_Resource,$D24,'Critical resources (hide)'!AF$6:AF$105)+SUMIF(Capacity_Resource,$E24,'Critical resources (hide)'!AF$6:AF$105)+SUMIF(Capacity_Resource,$F24,'Critical resources (hide)'!AF$6:AF$105)&gt;0,$E$1=2),0,1)</f>
        <v>1</v>
      </c>
      <c r="T24" s="68">
        <f ca="1">IF(AND(SUMIF(Capacity_Resource,$D24,'Critical resources (hide)'!AG$6:AG$105)+SUMIF(Capacity_Resource,$E24,'Critical resources (hide)'!AG$6:AG$105)+SUMIF(Capacity_Resource,$F24,'Critical resources (hide)'!AG$6:AG$105)&gt;0,$E$1=2),0,1)</f>
        <v>1</v>
      </c>
      <c r="U24" s="68">
        <f ca="1">IF(AND(SUMIF(Capacity_Resource,$D24,'Critical resources (hide)'!AH$6:AH$105)+SUMIF(Capacity_Resource,$E24,'Critical resources (hide)'!AH$6:AH$105)+SUMIF(Capacity_Resource,$F24,'Critical resources (hide)'!AH$6:AH$105)&gt;0,$E$1=2),0,1)</f>
        <v>1</v>
      </c>
      <c r="V24" s="68">
        <f ca="1">IF(AND(SUMIF(Capacity_Resource,$D24,'Critical resources (hide)'!AI$6:AI$105)+SUMIF(Capacity_Resource,$E24,'Critical resources (hide)'!AI$6:AI$105)+SUMIF(Capacity_Resource,$F24,'Critical resources (hide)'!AI$6:AI$105)&gt;0,$E$1=2),0,1)</f>
        <v>1</v>
      </c>
      <c r="W24" s="68">
        <f ca="1">IF(AND(SUMIF(Capacity_Resource,$D24,'Critical resources (hide)'!AJ$6:AJ$105)+SUMIF(Capacity_Resource,$E24,'Critical resources (hide)'!AJ$6:AJ$105)+SUMIF(Capacity_Resource,$F24,'Critical resources (hide)'!AJ$6:AJ$105)&gt;0,$E$1=2),0,1)</f>
        <v>1</v>
      </c>
      <c r="X24" s="68">
        <f ca="1">IF(AND(SUMIF(Capacity_Resource,$D24,'Critical resources (hide)'!AK$6:AK$105)+SUMIF(Capacity_Resource,$E24,'Critical resources (hide)'!AK$6:AK$105)+SUMIF(Capacity_Resource,$F24,'Critical resources (hide)'!AK$6:AK$105)&gt;0,$E$1=2),0,1)</f>
        <v>1</v>
      </c>
      <c r="Y24" s="68">
        <f ca="1">IF(AND(SUMIF(Capacity_Resource,$D24,'Critical resources (hide)'!AL$6:AL$105)+SUMIF(Capacity_Resource,$E24,'Critical resources (hide)'!AL$6:AL$105)+SUMIF(Capacity_Resource,$F24,'Critical resources (hide)'!AL$6:AL$105)&gt;0,$E$1=2),0,1)</f>
        <v>1</v>
      </c>
      <c r="Z24" s="68">
        <f ca="1">IF(AND(SUMIF(Capacity_Resource,$D24,'Critical resources (hide)'!AM$6:AM$105)+SUMIF(Capacity_Resource,$E24,'Critical resources (hide)'!AM$6:AM$105)+SUMIF(Capacity_Resource,$F24,'Critical resources (hide)'!AM$6:AM$105)&gt;0,$E$1=2),0,1)</f>
        <v>1</v>
      </c>
      <c r="AA24" s="68">
        <f ca="1">IF(AND(SUMIF(Capacity_Resource,$D24,'Critical resources (hide)'!AN$6:AN$105)+SUMIF(Capacity_Resource,$E24,'Critical resources (hide)'!AN$6:AN$105)+SUMIF(Capacity_Resource,$F24,'Critical resources (hide)'!AN$6:AN$105)&gt;0,$E$1=2),0,1)</f>
        <v>1</v>
      </c>
      <c r="AB24" s="68">
        <f ca="1">IF(AND(SUMIF(Capacity_Resource,$D24,'Critical resources (hide)'!AO$6:AO$105)+SUMIF(Capacity_Resource,$E24,'Critical resources (hide)'!AO$6:AO$105)+SUMIF(Capacity_Resource,$F24,'Critical resources (hide)'!AO$6:AO$105)&gt;0,$E$1=2),0,1)</f>
        <v>1</v>
      </c>
      <c r="AC24" s="68">
        <f ca="1">IF(AND(SUMIF(Capacity_Resource,$D24,'Critical resources (hide)'!AP$6:AP$105)+SUMIF(Capacity_Resource,$E24,'Critical resources (hide)'!AP$6:AP$105)+SUMIF(Capacity_Resource,$F24,'Critical resources (hide)'!AP$6:AP$105)&gt;0,$E$1=2),0,1)</f>
        <v>1</v>
      </c>
      <c r="AD24" s="68">
        <f ca="1">IF(AND(SUMIF(Capacity_Resource,$D24,'Critical resources (hide)'!AQ$6:AQ$105)+SUMIF(Capacity_Resource,$E24,'Critical resources (hide)'!AQ$6:AQ$105)+SUMIF(Capacity_Resource,$F24,'Critical resources (hide)'!AQ$6:AQ$105)&gt;0,$E$1=2),0,1)</f>
        <v>1</v>
      </c>
      <c r="AE24" s="68">
        <f ca="1">IF(AND(SUMIF(Capacity_Resource,$D24,'Critical resources (hide)'!AR$6:AR$105)+SUMIF(Capacity_Resource,$E24,'Critical resources (hide)'!AR$6:AR$105)+SUMIF(Capacity_Resource,$F24,'Critical resources (hide)'!AR$6:AR$105)&gt;0,$E$1=2),0,1)</f>
        <v>1</v>
      </c>
      <c r="AF24" s="68">
        <f ca="1">IF(AND(SUMIF(Capacity_Resource,$D24,'Critical resources (hide)'!AS$6:AS$105)+SUMIF(Capacity_Resource,$E24,'Critical resources (hide)'!AS$6:AS$105)+SUMIF(Capacity_Resource,$F24,'Critical resources (hide)'!AS$6:AS$105)&gt;0,$E$1=2),0,1)</f>
        <v>1</v>
      </c>
      <c r="AG24" s="68">
        <f ca="1">IF(AND(SUMIF(Capacity_Resource,$D24,'Critical resources (hide)'!AT$6:AT$105)+SUMIF(Capacity_Resource,$E24,'Critical resources (hide)'!AT$6:AT$105)+SUMIF(Capacity_Resource,$F24,'Critical resources (hide)'!AT$6:AT$105)&gt;0,$E$1=2),0,1)</f>
        <v>1</v>
      </c>
      <c r="AH24" s="68">
        <f ca="1">IF(AND(SUMIF(Capacity_Resource,$D24,'Critical resources (hide)'!AU$6:AU$105)+SUMIF(Capacity_Resource,$E24,'Critical resources (hide)'!AU$6:AU$105)+SUMIF(Capacity_Resource,$F24,'Critical resources (hide)'!AU$6:AU$105)&gt;0,$E$1=2),0,1)</f>
        <v>1</v>
      </c>
      <c r="AI24" s="68">
        <f ca="1">IF(AND(SUMIF(Capacity_Resource,$D24,'Critical resources (hide)'!AV$6:AV$105)+SUMIF(Capacity_Resource,$E24,'Critical resources (hide)'!AV$6:AV$105)+SUMIF(Capacity_Resource,$F24,'Critical resources (hide)'!AV$6:AV$105)&gt;0,$E$1=2),0,1)</f>
        <v>1</v>
      </c>
      <c r="AJ24" s="68">
        <f ca="1">IF(AND(SUMIF(Capacity_Resource,$D24,'Critical resources (hide)'!AW$6:AW$105)+SUMIF(Capacity_Resource,$E24,'Critical resources (hide)'!AW$6:AW$105)+SUMIF(Capacity_Resource,$F24,'Critical resources (hide)'!AW$6:AW$105)&gt;0,$E$1=2),0,1)</f>
        <v>1</v>
      </c>
      <c r="AK24" s="68">
        <f ca="1">IF(AND(SUMIF(Capacity_Resource,$D24,'Critical resources (hide)'!AX$6:AX$105)+SUMIF(Capacity_Resource,$E24,'Critical resources (hide)'!AX$6:AX$105)+SUMIF(Capacity_Resource,$F24,'Critical resources (hide)'!AX$6:AX$105)&gt;0,$E$1=2),0,1)</f>
        <v>1</v>
      </c>
      <c r="AL24" s="68">
        <f ca="1">IF(AND(SUMIF(Capacity_Resource,$D24,'Critical resources (hide)'!AY$6:AY$105)+SUMIF(Capacity_Resource,$E24,'Critical resources (hide)'!AY$6:AY$105)+SUMIF(Capacity_Resource,$F24,'Critical resources (hide)'!AY$6:AY$105)&gt;0,$E$1=2),0,1)</f>
        <v>1</v>
      </c>
      <c r="AM24" s="68">
        <f ca="1">IF(AND(SUMIF(Capacity_Resource,$D24,'Critical resources (hide)'!AZ$6:AZ$105)+SUMIF(Capacity_Resource,$E24,'Critical resources (hide)'!AZ$6:AZ$105)+SUMIF(Capacity_Resource,$F24,'Critical resources (hide)'!AZ$6:AZ$105)&gt;0,$E$1=2),0,1)</f>
        <v>1</v>
      </c>
      <c r="AN24" s="68">
        <f ca="1">IF(AND(SUMIF(Capacity_Resource,$D24,'Critical resources (hide)'!BA$6:BA$105)+SUMIF(Capacity_Resource,$E24,'Critical resources (hide)'!BA$6:BA$105)+SUMIF(Capacity_Resource,$F24,'Critical resources (hide)'!BA$6:BA$105)&gt;0,$E$1=2),0,1)</f>
        <v>1</v>
      </c>
      <c r="AO24" s="68">
        <f ca="1">IF(AND(SUMIF(Capacity_Resource,$D24,'Critical resources (hide)'!BB$6:BB$105)+SUMIF(Capacity_Resource,$E24,'Critical resources (hide)'!BB$6:BB$105)+SUMIF(Capacity_Resource,$F24,'Critical resources (hide)'!BB$6:BB$105)&gt;0,$E$1=2),0,1)</f>
        <v>1</v>
      </c>
      <c r="AP24" s="68">
        <f ca="1">IF(AND(SUMIF(Capacity_Resource,$D24,'Critical resources (hide)'!BC$6:BC$105)+SUMIF(Capacity_Resource,$E24,'Critical resources (hide)'!BC$6:BC$105)+SUMIF(Capacity_Resource,$F24,'Critical resources (hide)'!BC$6:BC$105)&gt;0,$E$1=2),0,1)</f>
        <v>1</v>
      </c>
      <c r="AQ24" s="68">
        <f ca="1">IF(AND(SUMIF(Capacity_Resource,$D24,'Critical resources (hide)'!BD$6:BD$105)+SUMIF(Capacity_Resource,$E24,'Critical resources (hide)'!BD$6:BD$105)+SUMIF(Capacity_Resource,$F24,'Critical resources (hide)'!BD$6:BD$105)&gt;0,$E$1=2),0,1)</f>
        <v>1</v>
      </c>
      <c r="AR24" s="68">
        <f ca="1">IF(AND(SUMIF(Capacity_Resource,$D24,'Critical resources (hide)'!BE$6:BE$105)+SUMIF(Capacity_Resource,$E24,'Critical resources (hide)'!BE$6:BE$105)+SUMIF(Capacity_Resource,$F24,'Critical resources (hide)'!BE$6:BE$105)&gt;0,$E$1=2),0,1)</f>
        <v>1</v>
      </c>
      <c r="AS24" s="68">
        <f ca="1">IF(AND(SUMIF(Capacity_Resource,$D24,'Critical resources (hide)'!BF$6:BF$105)+SUMIF(Capacity_Resource,$E24,'Critical resources (hide)'!BF$6:BF$105)+SUMIF(Capacity_Resource,$F24,'Critical resources (hide)'!BF$6:BF$105)&gt;0,$E$1=2),0,1)</f>
        <v>1</v>
      </c>
      <c r="AT24" s="68">
        <f ca="1">IF(AND(SUMIF(Capacity_Resource,$D24,'Critical resources (hide)'!BG$6:BG$105)+SUMIF(Capacity_Resource,$E24,'Critical resources (hide)'!BG$6:BG$105)+SUMIF(Capacity_Resource,$F24,'Critical resources (hide)'!BG$6:BG$105)&gt;0,$E$1=2),0,1)</f>
        <v>1</v>
      </c>
      <c r="AU24" s="68">
        <f ca="1">IF(AND(SUMIF(Capacity_Resource,$D24,'Critical resources (hide)'!BH$6:BH$105)+SUMIF(Capacity_Resource,$E24,'Critical resources (hide)'!BH$6:BH$105)+SUMIF(Capacity_Resource,$F24,'Critical resources (hide)'!BH$6:BH$105)&gt;0,$E$1=2),0,1)</f>
        <v>1</v>
      </c>
      <c r="AV24" s="68">
        <f ca="1">IF(AND(SUMIF(Capacity_Resource,$D24,'Critical resources (hide)'!BI$6:BI$105)+SUMIF(Capacity_Resource,$E24,'Critical resources (hide)'!BI$6:BI$105)+SUMIF(Capacity_Resource,$F24,'Critical resources (hide)'!BI$6:BI$105)&gt;0,$E$1=2),0,1)</f>
        <v>1</v>
      </c>
      <c r="AW24" s="68">
        <f ca="1">IF(AND(SUMIF(Capacity_Resource,$D24,'Critical resources (hide)'!BJ$6:BJ$105)+SUMIF(Capacity_Resource,$E24,'Critical resources (hide)'!BJ$6:BJ$105)+SUMIF(Capacity_Resource,$F24,'Critical resources (hide)'!BJ$6:BJ$105)&gt;0,$E$1=2),0,1)</f>
        <v>1</v>
      </c>
      <c r="AX24" s="68">
        <f ca="1">IF(AND(SUMIF(Capacity_Resource,$D24,'Critical resources (hide)'!BK$6:BK$105)+SUMIF(Capacity_Resource,$E24,'Critical resources (hide)'!BK$6:BK$105)+SUMIF(Capacity_Resource,$F24,'Critical resources (hide)'!BK$6:BK$105)&gt;0,$E$1=2),0,1)</f>
        <v>1</v>
      </c>
      <c r="AY24" s="68">
        <f ca="1">IF(AND(SUMIF(Capacity_Resource,$D24,'Critical resources (hide)'!BL$6:BL$105)+SUMIF(Capacity_Resource,$E24,'Critical resources (hide)'!BL$6:BL$105)+SUMIF(Capacity_Resource,$F24,'Critical resources (hide)'!BL$6:BL$105)&gt;0,$E$1=2),0,1)</f>
        <v>1</v>
      </c>
      <c r="AZ24" s="68">
        <f ca="1">IF(AND(SUMIF(Capacity_Resource,$D24,'Critical resources (hide)'!BM$6:BM$105)+SUMIF(Capacity_Resource,$E24,'Critical resources (hide)'!BM$6:BM$105)+SUMIF(Capacity_Resource,$F24,'Critical resources (hide)'!BM$6:BM$105)&gt;0,$E$1=2),0,1)</f>
        <v>1</v>
      </c>
      <c r="BA24" s="68">
        <f ca="1">IF(AND(SUMIF(Capacity_Resource,$D24,'Critical resources (hide)'!BN$6:BN$105)+SUMIF(Capacity_Resource,$E24,'Critical resources (hide)'!BN$6:BN$105)+SUMIF(Capacity_Resource,$F24,'Critical resources (hide)'!BN$6:BN$105)&gt;0,$E$1=2),0,1)</f>
        <v>1</v>
      </c>
      <c r="BB24" s="68">
        <f ca="1">IF(AND(SUMIF(Capacity_Resource,$D24,'Critical resources (hide)'!BO$6:BO$105)+SUMIF(Capacity_Resource,$E24,'Critical resources (hide)'!BO$6:BO$105)+SUMIF(Capacity_Resource,$F24,'Critical resources (hide)'!BO$6:BO$105)&gt;0,$E$1=2),0,1)</f>
        <v>1</v>
      </c>
      <c r="BC24" s="68">
        <f ca="1">IF(AND(SUMIF(Capacity_Resource,$D24,'Critical resources (hide)'!BP$6:BP$105)+SUMIF(Capacity_Resource,$E24,'Critical resources (hide)'!BP$6:BP$105)+SUMIF(Capacity_Resource,$F24,'Critical resources (hide)'!BP$6:BP$105)&gt;0,$E$1=2),0,1)</f>
        <v>1</v>
      </c>
      <c r="BD24" s="68">
        <f ca="1">IF(AND(SUMIF(Capacity_Resource,$D24,'Critical resources (hide)'!BQ$6:BQ$105)+SUMIF(Capacity_Resource,$E24,'Critical resources (hide)'!BQ$6:BQ$105)+SUMIF(Capacity_Resource,$F24,'Critical resources (hide)'!BQ$6:BQ$105)&gt;0,$E$1=2),0,1)</f>
        <v>1</v>
      </c>
      <c r="BE24" s="68">
        <f ca="1">IF(AND(SUMIF(Capacity_Resource,$D24,'Critical resources (hide)'!BR$6:BR$105)+SUMIF(Capacity_Resource,$E24,'Critical resources (hide)'!BR$6:BR$105)+SUMIF(Capacity_Resource,$F24,'Critical resources (hide)'!BR$6:BR$105)&gt;0,$E$1=2),0,1)</f>
        <v>1</v>
      </c>
      <c r="BF24" s="68">
        <f ca="1">IF(AND(SUMIF(Capacity_Resource,$D24,'Critical resources (hide)'!BS$6:BS$105)+SUMIF(Capacity_Resource,$E24,'Critical resources (hide)'!BS$6:BS$105)+SUMIF(Capacity_Resource,$F24,'Critical resources (hide)'!BS$6:BS$105)&gt;0,$E$1=2),0,1)</f>
        <v>1</v>
      </c>
      <c r="BG24" s="68">
        <f ca="1">IF(AND(SUMIF(Capacity_Resource,$D24,'Critical resources (hide)'!BT$6:BT$105)+SUMIF(Capacity_Resource,$E24,'Critical resources (hide)'!BT$6:BT$105)+SUMIF(Capacity_Resource,$F24,'Critical resources (hide)'!BT$6:BT$105)&gt;0,$E$1=2),0,1)</f>
        <v>1</v>
      </c>
      <c r="BH24" s="68">
        <f>IF(ROW(C20)&lt;=Capacity!$A$16,IF('Capacity summary'!$D$14="No",SUM(H24:BG24),'Capacity summary'!$E143),0)</f>
        <v>0</v>
      </c>
      <c r="BI24" s="5" t="str">
        <f>IF(BH24&gt;0,IF(BH24&lt;Capacity!E36,Capacity!F36,Capacity!H36/'Capacity calculation (hide)'!BH24),"")</f>
        <v/>
      </c>
      <c r="BK24" s="319">
        <f>IF($BI24&lt;&gt;"",IF('Capacity summary'!$D$14="Yes",IF(COUNTBLANK('Capacity summary'!$H143:$BG143)&lt;52,IF('Capacity summary'!H143&lt;&gt;"",$BI24*H24,0),H24*$BI24),H24*$BI24),0)</f>
        <v>0</v>
      </c>
      <c r="BL24" s="319">
        <f>IF($BI24&lt;&gt;"",IF('Capacity summary'!$D$14="Yes",IF(COUNTBLANK('Capacity summary'!$H143:$BG143)&lt;52,IF('Capacity summary'!I143&lt;&gt;"",$BI24*I24,0),I24*$BI24),I24*$BI24),0)</f>
        <v>0</v>
      </c>
      <c r="BM24" s="319">
        <f>IF($BI24&lt;&gt;"",IF('Capacity summary'!$D$14="Yes",IF(COUNTBLANK('Capacity summary'!$H143:$BG143)&lt;52,IF('Capacity summary'!J143&lt;&gt;"",$BI24*J24,0),J24*$BI24),J24*$BI24),0)</f>
        <v>0</v>
      </c>
      <c r="BN24" s="319">
        <f>IF($BI24&lt;&gt;"",IF('Capacity summary'!$D$14="Yes",IF(COUNTBLANK('Capacity summary'!$H143:$BG143)&lt;52,IF('Capacity summary'!K143&lt;&gt;"",$BI24*K24,0),K24*$BI24),K24*$BI24),0)</f>
        <v>0</v>
      </c>
      <c r="BO24" s="319">
        <f>IF($BI24&lt;&gt;"",IF('Capacity summary'!$D$14="Yes",IF(COUNTBLANK('Capacity summary'!$H143:$BG143)&lt;52,IF('Capacity summary'!L143&lt;&gt;"",$BI24*L24,0),L24*$BI24),L24*$BI24),0)</f>
        <v>0</v>
      </c>
      <c r="BP24" s="319">
        <f>IF($BI24&lt;&gt;"",IF('Capacity summary'!$D$14="Yes",IF(COUNTBLANK('Capacity summary'!$H143:$BG143)&lt;52,IF('Capacity summary'!M143&lt;&gt;"",$BI24*M24,0),M24*$BI24),M24*$BI24),0)</f>
        <v>0</v>
      </c>
      <c r="BQ24" s="319">
        <f>IF($BI24&lt;&gt;"",IF('Capacity summary'!$D$14="Yes",IF(COUNTBLANK('Capacity summary'!$H143:$BG143)&lt;52,IF('Capacity summary'!N143&lt;&gt;"",$BI24*N24,0),N24*$BI24),N24*$BI24),0)</f>
        <v>0</v>
      </c>
      <c r="BR24" s="319">
        <f>IF($BI24&lt;&gt;"",IF('Capacity summary'!$D$14="Yes",IF(COUNTBLANK('Capacity summary'!$H143:$BG143)&lt;52,IF('Capacity summary'!O143&lt;&gt;"",$BI24*O24,0),O24*$BI24),O24*$BI24),0)</f>
        <v>0</v>
      </c>
      <c r="BS24" s="319">
        <f>IF($BI24&lt;&gt;"",IF('Capacity summary'!$D$14="Yes",IF(COUNTBLANK('Capacity summary'!$H143:$BG143)&lt;52,IF('Capacity summary'!P143&lt;&gt;"",$BI24*P24,0),P24*$BI24),P24*$BI24),0)</f>
        <v>0</v>
      </c>
      <c r="BT24" s="319">
        <f>IF($BI24&lt;&gt;"",IF('Capacity summary'!$D$14="Yes",IF(COUNTBLANK('Capacity summary'!$H143:$BG143)&lt;52,IF('Capacity summary'!Q143&lt;&gt;"",$BI24*Q24,0),Q24*$BI24),Q24*$BI24),0)</f>
        <v>0</v>
      </c>
      <c r="BU24" s="319">
        <f>IF($BI24&lt;&gt;"",IF('Capacity summary'!$D$14="Yes",IF(COUNTBLANK('Capacity summary'!$H143:$BG143)&lt;52,IF('Capacity summary'!R143&lt;&gt;"",$BI24*R24,0),R24*$BI24),R24*$BI24),0)</f>
        <v>0</v>
      </c>
      <c r="BV24" s="319">
        <f>IF($BI24&lt;&gt;"",IF('Capacity summary'!$D$14="Yes",IF(COUNTBLANK('Capacity summary'!$H143:$BG143)&lt;52,IF('Capacity summary'!S143&lt;&gt;"",$BI24*S24,0),S24*$BI24),S24*$BI24),0)</f>
        <v>0</v>
      </c>
      <c r="BW24" s="319">
        <f>IF($BI24&lt;&gt;"",IF('Capacity summary'!$D$14="Yes",IF(COUNTBLANK('Capacity summary'!$H143:$BG143)&lt;52,IF('Capacity summary'!T143&lt;&gt;"",$BI24*T24,0),T24*$BI24),T24*$BI24),0)</f>
        <v>0</v>
      </c>
      <c r="BX24" s="319">
        <f>IF($BI24&lt;&gt;"",IF('Capacity summary'!$D$14="Yes",IF(COUNTBLANK('Capacity summary'!$H143:$BG143)&lt;52,IF('Capacity summary'!U143&lt;&gt;"",$BI24*U24,0),U24*$BI24),U24*$BI24),0)</f>
        <v>0</v>
      </c>
      <c r="BY24" s="319">
        <f>IF($BI24&lt;&gt;"",IF('Capacity summary'!$D$14="Yes",IF(COUNTBLANK('Capacity summary'!$H143:$BG143)&lt;52,IF('Capacity summary'!V143&lt;&gt;"",$BI24*V24,0),V24*$BI24),V24*$BI24),0)</f>
        <v>0</v>
      </c>
      <c r="BZ24" s="319">
        <f>IF($BI24&lt;&gt;"",IF('Capacity summary'!$D$14="Yes",IF(COUNTBLANK('Capacity summary'!$H143:$BG143)&lt;52,IF('Capacity summary'!W143&lt;&gt;"",$BI24*W24,0),W24*$BI24),W24*$BI24),0)</f>
        <v>0</v>
      </c>
      <c r="CA24" s="319">
        <f>IF($BI24&lt;&gt;"",IF('Capacity summary'!$D$14="Yes",IF(COUNTBLANK('Capacity summary'!$H143:$BG143)&lt;52,IF('Capacity summary'!X143&lt;&gt;"",$BI24*X24,0),X24*$BI24),X24*$BI24),0)</f>
        <v>0</v>
      </c>
      <c r="CB24" s="319">
        <f>IF($BI24&lt;&gt;"",IF('Capacity summary'!$D$14="Yes",IF(COUNTBLANK('Capacity summary'!$H143:$BG143)&lt;52,IF('Capacity summary'!Y143&lt;&gt;"",$BI24*Y24,0),Y24*$BI24),Y24*$BI24),0)</f>
        <v>0</v>
      </c>
      <c r="CC24" s="319">
        <f>IF($BI24&lt;&gt;"",IF('Capacity summary'!$D$14="Yes",IF(COUNTBLANK('Capacity summary'!$H143:$BG143)&lt;52,IF('Capacity summary'!Z143&lt;&gt;"",$BI24*Z24,0),Z24*$BI24),Z24*$BI24),0)</f>
        <v>0</v>
      </c>
      <c r="CD24" s="319">
        <f>IF($BI24&lt;&gt;"",IF('Capacity summary'!$D$14="Yes",IF(COUNTBLANK('Capacity summary'!$H143:$BG143)&lt;52,IF('Capacity summary'!AA143&lt;&gt;"",$BI24*AA24,0),AA24*$BI24),AA24*$BI24),0)</f>
        <v>0</v>
      </c>
      <c r="CE24" s="319">
        <f>IF($BI24&lt;&gt;"",IF('Capacity summary'!$D$14="Yes",IF(COUNTBLANK('Capacity summary'!$H143:$BG143)&lt;52,IF('Capacity summary'!AB143&lt;&gt;"",$BI24*AB24,0),AB24*$BI24),AB24*$BI24),0)</f>
        <v>0</v>
      </c>
      <c r="CF24" s="319">
        <f>IF($BI24&lt;&gt;"",IF('Capacity summary'!$D$14="Yes",IF(COUNTBLANK('Capacity summary'!$H143:$BG143)&lt;52,IF('Capacity summary'!AC143&lt;&gt;"",$BI24*AC24,0),AC24*$BI24),AC24*$BI24),0)</f>
        <v>0</v>
      </c>
      <c r="CG24" s="319">
        <f>IF($BI24&lt;&gt;"",IF('Capacity summary'!$D$14="Yes",IF(COUNTBLANK('Capacity summary'!$H143:$BG143)&lt;52,IF('Capacity summary'!AD143&lt;&gt;"",$BI24*AD24,0),AD24*$BI24),AD24*$BI24),0)</f>
        <v>0</v>
      </c>
      <c r="CH24" s="319">
        <f>IF($BI24&lt;&gt;"",IF('Capacity summary'!$D$14="Yes",IF(COUNTBLANK('Capacity summary'!$H143:$BG143)&lt;52,IF('Capacity summary'!AE143&lt;&gt;"",$BI24*AE24,0),AE24*$BI24),AE24*$BI24),0)</f>
        <v>0</v>
      </c>
      <c r="CI24" s="319">
        <f>IF($BI24&lt;&gt;"",IF('Capacity summary'!$D$14="Yes",IF(COUNTBLANK('Capacity summary'!$H143:$BG143)&lt;52,IF('Capacity summary'!AF143&lt;&gt;"",$BI24*AF24,0),AF24*$BI24),AF24*$BI24),0)</f>
        <v>0</v>
      </c>
      <c r="CJ24" s="319">
        <f>IF($BI24&lt;&gt;"",IF('Capacity summary'!$D$14="Yes",IF(COUNTBLANK('Capacity summary'!$H143:$BG143)&lt;52,IF('Capacity summary'!AG143&lt;&gt;"",$BI24*AG24,0),AG24*$BI24),AG24*$BI24),0)</f>
        <v>0</v>
      </c>
      <c r="CK24" s="319">
        <f>IF($BI24&lt;&gt;"",IF('Capacity summary'!$D$14="Yes",IF(COUNTBLANK('Capacity summary'!$H143:$BG143)&lt;52,IF('Capacity summary'!AH143&lt;&gt;"",$BI24*AH24,0),AH24*$BI24),AH24*$BI24),0)</f>
        <v>0</v>
      </c>
      <c r="CL24" s="319">
        <f>IF($BI24&lt;&gt;"",IF('Capacity summary'!$D$14="Yes",IF(COUNTBLANK('Capacity summary'!$H143:$BG143)&lt;52,IF('Capacity summary'!AI143&lt;&gt;"",$BI24*AI24,0),AI24*$BI24),AI24*$BI24),0)</f>
        <v>0</v>
      </c>
      <c r="CM24" s="319">
        <f>IF($BI24&lt;&gt;"",IF('Capacity summary'!$D$14="Yes",IF(COUNTBLANK('Capacity summary'!$H143:$BG143)&lt;52,IF('Capacity summary'!AJ143&lt;&gt;"",$BI24*AJ24,0),AJ24*$BI24),AJ24*$BI24),0)</f>
        <v>0</v>
      </c>
      <c r="CN24" s="319">
        <f>IF($BI24&lt;&gt;"",IF('Capacity summary'!$D$14="Yes",IF(COUNTBLANK('Capacity summary'!$H143:$BG143)&lt;52,IF('Capacity summary'!AK143&lt;&gt;"",$BI24*AK24,0),AK24*$BI24),AK24*$BI24),0)</f>
        <v>0</v>
      </c>
      <c r="CO24" s="319">
        <f>IF($BI24&lt;&gt;"",IF('Capacity summary'!$D$14="Yes",IF(COUNTBLANK('Capacity summary'!$H143:$BG143)&lt;52,IF('Capacity summary'!AL143&lt;&gt;"",$BI24*AL24,0),AL24*$BI24),AL24*$BI24),0)</f>
        <v>0</v>
      </c>
      <c r="CP24" s="319">
        <f>IF($BI24&lt;&gt;"",IF('Capacity summary'!$D$14="Yes",IF(COUNTBLANK('Capacity summary'!$H143:$BG143)&lt;52,IF('Capacity summary'!AM143&lt;&gt;"",$BI24*AM24,0),AM24*$BI24),AM24*$BI24),0)</f>
        <v>0</v>
      </c>
      <c r="CQ24" s="319">
        <f>IF($BI24&lt;&gt;"",IF('Capacity summary'!$D$14="Yes",IF(COUNTBLANK('Capacity summary'!$H143:$BG143)&lt;52,IF('Capacity summary'!AN143&lt;&gt;"",$BI24*AN24,0),AN24*$BI24),AN24*$BI24),0)</f>
        <v>0</v>
      </c>
      <c r="CR24" s="319">
        <f>IF($BI24&lt;&gt;"",IF('Capacity summary'!$D$14="Yes",IF(COUNTBLANK('Capacity summary'!$H143:$BG143)&lt;52,IF('Capacity summary'!AO143&lt;&gt;"",$BI24*AO24,0),AO24*$BI24),AO24*$BI24),0)</f>
        <v>0</v>
      </c>
      <c r="CS24" s="319">
        <f>IF($BI24&lt;&gt;"",IF('Capacity summary'!$D$14="Yes",IF(COUNTBLANK('Capacity summary'!$H143:$BG143)&lt;52,IF('Capacity summary'!AP143&lt;&gt;"",$BI24*AP24,0),AP24*$BI24),AP24*$BI24),0)</f>
        <v>0</v>
      </c>
      <c r="CT24" s="319">
        <f>IF($BI24&lt;&gt;"",IF('Capacity summary'!$D$14="Yes",IF(COUNTBLANK('Capacity summary'!$H143:$BG143)&lt;52,IF('Capacity summary'!AQ143&lt;&gt;"",$BI24*AQ24,0),AQ24*$BI24),AQ24*$BI24),0)</f>
        <v>0</v>
      </c>
      <c r="CU24" s="319">
        <f>IF($BI24&lt;&gt;"",IF('Capacity summary'!$D$14="Yes",IF(COUNTBLANK('Capacity summary'!$H143:$BG143)&lt;52,IF('Capacity summary'!AR143&lt;&gt;"",$BI24*AR24,0),AR24*$BI24),AR24*$BI24),0)</f>
        <v>0</v>
      </c>
      <c r="CV24" s="319">
        <f>IF($BI24&lt;&gt;"",IF('Capacity summary'!$D$14="Yes",IF(COUNTBLANK('Capacity summary'!$H143:$BG143)&lt;52,IF('Capacity summary'!AS143&lt;&gt;"",$BI24*AS24,0),AS24*$BI24),AS24*$BI24),0)</f>
        <v>0</v>
      </c>
      <c r="CW24" s="319">
        <f>IF($BI24&lt;&gt;"",IF('Capacity summary'!$D$14="Yes",IF(COUNTBLANK('Capacity summary'!$H143:$BG143)&lt;52,IF('Capacity summary'!AT143&lt;&gt;"",$BI24*AT24,0),AT24*$BI24),AT24*$BI24),0)</f>
        <v>0</v>
      </c>
      <c r="CX24" s="319">
        <f>IF($BI24&lt;&gt;"",IF('Capacity summary'!$D$14="Yes",IF(COUNTBLANK('Capacity summary'!$H143:$BG143)&lt;52,IF('Capacity summary'!AU143&lt;&gt;"",$BI24*AU24,0),AU24*$BI24),AU24*$BI24),0)</f>
        <v>0</v>
      </c>
      <c r="CY24" s="319">
        <f>IF($BI24&lt;&gt;"",IF('Capacity summary'!$D$14="Yes",IF(COUNTBLANK('Capacity summary'!$H143:$BG143)&lt;52,IF('Capacity summary'!AV143&lt;&gt;"",$BI24*AV24,0),AV24*$BI24),AV24*$BI24),0)</f>
        <v>0</v>
      </c>
      <c r="CZ24" s="319">
        <f>IF($BI24&lt;&gt;"",IF('Capacity summary'!$D$14="Yes",IF(COUNTBLANK('Capacity summary'!$H143:$BG143)&lt;52,IF('Capacity summary'!AW143&lt;&gt;"",$BI24*AW24,0),AW24*$BI24),AW24*$BI24),0)</f>
        <v>0</v>
      </c>
      <c r="DA24" s="319">
        <f>IF($BI24&lt;&gt;"",IF('Capacity summary'!$D$14="Yes",IF(COUNTBLANK('Capacity summary'!$H143:$BG143)&lt;52,IF('Capacity summary'!AX143&lt;&gt;"",$BI24*AX24,0),AX24*$BI24),AX24*$BI24),0)</f>
        <v>0</v>
      </c>
      <c r="DB24" s="319">
        <f>IF($BI24&lt;&gt;"",IF('Capacity summary'!$D$14="Yes",IF(COUNTBLANK('Capacity summary'!$H143:$BG143)&lt;52,IF('Capacity summary'!AY143&lt;&gt;"",$BI24*AY24,0),AY24*$BI24),AY24*$BI24),0)</f>
        <v>0</v>
      </c>
      <c r="DC24" s="319">
        <f>IF($BI24&lt;&gt;"",IF('Capacity summary'!$D$14="Yes",IF(COUNTBLANK('Capacity summary'!$H143:$BG143)&lt;52,IF('Capacity summary'!AZ143&lt;&gt;"",$BI24*AZ24,0),AZ24*$BI24),AZ24*$BI24),0)</f>
        <v>0</v>
      </c>
      <c r="DD24" s="319">
        <f>IF($BI24&lt;&gt;"",IF('Capacity summary'!$D$14="Yes",IF(COUNTBLANK('Capacity summary'!$H143:$BG143)&lt;52,IF('Capacity summary'!BA143&lt;&gt;"",$BI24*BA24,0),BA24*$BI24),BA24*$BI24),0)</f>
        <v>0</v>
      </c>
      <c r="DE24" s="319">
        <f>IF($BI24&lt;&gt;"",IF('Capacity summary'!$D$14="Yes",IF(COUNTBLANK('Capacity summary'!$H143:$BG143)&lt;52,IF('Capacity summary'!BB143&lt;&gt;"",$BI24*BB24,0),BB24*$BI24),BB24*$BI24),0)</f>
        <v>0</v>
      </c>
      <c r="DF24" s="319">
        <f>IF($BI24&lt;&gt;"",IF('Capacity summary'!$D$14="Yes",IF(COUNTBLANK('Capacity summary'!$H143:$BG143)&lt;52,IF('Capacity summary'!BC143&lt;&gt;"",$BI24*BC24,0),BC24*$BI24),BC24*$BI24),0)</f>
        <v>0</v>
      </c>
      <c r="DG24" s="319">
        <f>IF($BI24&lt;&gt;"",IF('Capacity summary'!$D$14="Yes",IF(COUNTBLANK('Capacity summary'!$H143:$BG143)&lt;52,IF('Capacity summary'!BD143&lt;&gt;"",$BI24*BD24,0),BD24*$BI24),BD24*$BI24),0)</f>
        <v>0</v>
      </c>
      <c r="DH24" s="319">
        <f>IF($BI24&lt;&gt;"",IF('Capacity summary'!$D$14="Yes",IF(COUNTBLANK('Capacity summary'!$H143:$BG143)&lt;52,IF('Capacity summary'!BE143&lt;&gt;"",$BI24*BE24,0),BE24*$BI24),BE24*$BI24),0)</f>
        <v>0</v>
      </c>
      <c r="DI24" s="319">
        <f>IF($BI24&lt;&gt;"",IF('Capacity summary'!$D$14="Yes",IF(COUNTBLANK('Capacity summary'!$H143:$BG143)&lt;52,IF('Capacity summary'!BF143&lt;&gt;"",$BI24*BF24,0),BF24*$BI24),BF24*$BI24),0)</f>
        <v>0</v>
      </c>
      <c r="DJ24" s="319">
        <f>IF($BI24&lt;&gt;"",IF('Capacity summary'!$D$14="Yes",IF(COUNTBLANK('Capacity summary'!$H143:$BG143)&lt;52,IF('Capacity summary'!BG143&lt;&gt;"",$BI24*BG24,0),BG24*$BI24),BG24*$BI24),0)</f>
        <v>0</v>
      </c>
      <c r="DK24" s="5">
        <f t="shared" si="2"/>
        <v>0</v>
      </c>
      <c r="DL24" s="5" t="str">
        <f>Capacity!H36</f>
        <v/>
      </c>
      <c r="DP24" s="5"/>
    </row>
    <row r="25" spans="2:120" x14ac:dyDescent="0.2">
      <c r="B25" s="68"/>
      <c r="C25" s="68" t="str">
        <f>ROW(A21)&amp;". "&amp;Capacity!B37</f>
        <v xml:space="preserve">21. </v>
      </c>
      <c r="D25" s="68">
        <f>'Capacity setup'!C32</f>
        <v>0</v>
      </c>
      <c r="E25" s="68">
        <f>'Capacity setup'!D32</f>
        <v>0</v>
      </c>
      <c r="F25" s="68">
        <f>'Capacity setup'!E32</f>
        <v>0</v>
      </c>
      <c r="H25" s="68">
        <f ca="1">IF(AND(SUMIF(Capacity_Resource,$D25,'Critical resources (hide)'!U$6:U$105)+SUMIF(Capacity_Resource,$E25,'Critical resources (hide)'!U$6:U$105)+SUMIF(Capacity_Resource,$F25,'Critical resources (hide)'!U$6:U$105)&gt;0,$E$1=2),0,1)</f>
        <v>1</v>
      </c>
      <c r="I25" s="68">
        <f ca="1">IF(AND(SUMIF(Capacity_Resource,$D25,'Critical resources (hide)'!V$6:V$105)+SUMIF(Capacity_Resource,$E25,'Critical resources (hide)'!V$6:V$105)+SUMIF(Capacity_Resource,$F25,'Critical resources (hide)'!V$6:V$105)&gt;0,$E$1=2),0,1)</f>
        <v>1</v>
      </c>
      <c r="J25" s="68">
        <f ca="1">IF(AND(SUMIF(Capacity_Resource,$D25,'Critical resources (hide)'!W$6:W$105)+SUMIF(Capacity_Resource,$E25,'Critical resources (hide)'!W$6:W$105)+SUMIF(Capacity_Resource,$F25,'Critical resources (hide)'!W$6:W$105)&gt;0,$E$1=2),0,1)</f>
        <v>1</v>
      </c>
      <c r="K25" s="68">
        <f ca="1">IF(AND(SUMIF(Capacity_Resource,$D25,'Critical resources (hide)'!X$6:X$105)+SUMIF(Capacity_Resource,$E25,'Critical resources (hide)'!X$6:X$105)+SUMIF(Capacity_Resource,$F25,'Critical resources (hide)'!X$6:X$105)&gt;0,$E$1=2),0,1)</f>
        <v>1</v>
      </c>
      <c r="L25" s="68">
        <f ca="1">IF(AND(SUMIF(Capacity_Resource,$D25,'Critical resources (hide)'!Y$6:Y$105)+SUMIF(Capacity_Resource,$E25,'Critical resources (hide)'!Y$6:Y$105)+SUMIF(Capacity_Resource,$F25,'Critical resources (hide)'!Y$6:Y$105)&gt;0,$E$1=2),0,1)</f>
        <v>1</v>
      </c>
      <c r="M25" s="68">
        <f ca="1">IF(AND(SUMIF(Capacity_Resource,$D25,'Critical resources (hide)'!Z$6:Z$105)+SUMIF(Capacity_Resource,$E25,'Critical resources (hide)'!Z$6:Z$105)+SUMIF(Capacity_Resource,$F25,'Critical resources (hide)'!Z$6:Z$105)&gt;0,$E$1=2),0,1)</f>
        <v>1</v>
      </c>
      <c r="N25" s="68">
        <f ca="1">IF(AND(SUMIF(Capacity_Resource,$D25,'Critical resources (hide)'!AA$6:AA$105)+SUMIF(Capacity_Resource,$E25,'Critical resources (hide)'!AA$6:AA$105)+SUMIF(Capacity_Resource,$F25,'Critical resources (hide)'!AA$6:AA$105)&gt;0,$E$1=2),0,1)</f>
        <v>1</v>
      </c>
      <c r="O25" s="68">
        <f ca="1">IF(AND(SUMIF(Capacity_Resource,$D25,'Critical resources (hide)'!AB$6:AB$105)+SUMIF(Capacity_Resource,$E25,'Critical resources (hide)'!AB$6:AB$105)+SUMIF(Capacity_Resource,$F25,'Critical resources (hide)'!AB$6:AB$105)&gt;0,$E$1=2),0,1)</f>
        <v>1</v>
      </c>
      <c r="P25" s="68">
        <f ca="1">IF(AND(SUMIF(Capacity_Resource,$D25,'Critical resources (hide)'!AC$6:AC$105)+SUMIF(Capacity_Resource,$E25,'Critical resources (hide)'!AC$6:AC$105)+SUMIF(Capacity_Resource,$F25,'Critical resources (hide)'!AC$6:AC$105)&gt;0,$E$1=2),0,1)</f>
        <v>1</v>
      </c>
      <c r="Q25" s="68">
        <f ca="1">IF(AND(SUMIF(Capacity_Resource,$D25,'Critical resources (hide)'!AD$6:AD$105)+SUMIF(Capacity_Resource,$E25,'Critical resources (hide)'!AD$6:AD$105)+SUMIF(Capacity_Resource,$F25,'Critical resources (hide)'!AD$6:AD$105)&gt;0,$E$1=2),0,1)</f>
        <v>1</v>
      </c>
      <c r="R25" s="68">
        <f ca="1">IF(AND(SUMIF(Capacity_Resource,$D25,'Critical resources (hide)'!AE$6:AE$105)+SUMIF(Capacity_Resource,$E25,'Critical resources (hide)'!AE$6:AE$105)+SUMIF(Capacity_Resource,$F25,'Critical resources (hide)'!AE$6:AE$105)&gt;0,$E$1=2),0,1)</f>
        <v>1</v>
      </c>
      <c r="S25" s="68">
        <f ca="1">IF(AND(SUMIF(Capacity_Resource,$D25,'Critical resources (hide)'!AF$6:AF$105)+SUMIF(Capacity_Resource,$E25,'Critical resources (hide)'!AF$6:AF$105)+SUMIF(Capacity_Resource,$F25,'Critical resources (hide)'!AF$6:AF$105)&gt;0,$E$1=2),0,1)</f>
        <v>1</v>
      </c>
      <c r="T25" s="68">
        <f ca="1">IF(AND(SUMIF(Capacity_Resource,$D25,'Critical resources (hide)'!AG$6:AG$105)+SUMIF(Capacity_Resource,$E25,'Critical resources (hide)'!AG$6:AG$105)+SUMIF(Capacity_Resource,$F25,'Critical resources (hide)'!AG$6:AG$105)&gt;0,$E$1=2),0,1)</f>
        <v>1</v>
      </c>
      <c r="U25" s="68">
        <f ca="1">IF(AND(SUMIF(Capacity_Resource,$D25,'Critical resources (hide)'!AH$6:AH$105)+SUMIF(Capacity_Resource,$E25,'Critical resources (hide)'!AH$6:AH$105)+SUMIF(Capacity_Resource,$F25,'Critical resources (hide)'!AH$6:AH$105)&gt;0,$E$1=2),0,1)</f>
        <v>1</v>
      </c>
      <c r="V25" s="68">
        <f ca="1">IF(AND(SUMIF(Capacity_Resource,$D25,'Critical resources (hide)'!AI$6:AI$105)+SUMIF(Capacity_Resource,$E25,'Critical resources (hide)'!AI$6:AI$105)+SUMIF(Capacity_Resource,$F25,'Critical resources (hide)'!AI$6:AI$105)&gt;0,$E$1=2),0,1)</f>
        <v>1</v>
      </c>
      <c r="W25" s="68">
        <f ca="1">IF(AND(SUMIF(Capacity_Resource,$D25,'Critical resources (hide)'!AJ$6:AJ$105)+SUMIF(Capacity_Resource,$E25,'Critical resources (hide)'!AJ$6:AJ$105)+SUMIF(Capacity_Resource,$F25,'Critical resources (hide)'!AJ$6:AJ$105)&gt;0,$E$1=2),0,1)</f>
        <v>1</v>
      </c>
      <c r="X25" s="68">
        <f ca="1">IF(AND(SUMIF(Capacity_Resource,$D25,'Critical resources (hide)'!AK$6:AK$105)+SUMIF(Capacity_Resource,$E25,'Critical resources (hide)'!AK$6:AK$105)+SUMIF(Capacity_Resource,$F25,'Critical resources (hide)'!AK$6:AK$105)&gt;0,$E$1=2),0,1)</f>
        <v>1</v>
      </c>
      <c r="Y25" s="68">
        <f ca="1">IF(AND(SUMIF(Capacity_Resource,$D25,'Critical resources (hide)'!AL$6:AL$105)+SUMIF(Capacity_Resource,$E25,'Critical resources (hide)'!AL$6:AL$105)+SUMIF(Capacity_Resource,$F25,'Critical resources (hide)'!AL$6:AL$105)&gt;0,$E$1=2),0,1)</f>
        <v>1</v>
      </c>
      <c r="Z25" s="68">
        <f ca="1">IF(AND(SUMIF(Capacity_Resource,$D25,'Critical resources (hide)'!AM$6:AM$105)+SUMIF(Capacity_Resource,$E25,'Critical resources (hide)'!AM$6:AM$105)+SUMIF(Capacity_Resource,$F25,'Critical resources (hide)'!AM$6:AM$105)&gt;0,$E$1=2),0,1)</f>
        <v>1</v>
      </c>
      <c r="AA25" s="68">
        <f ca="1">IF(AND(SUMIF(Capacity_Resource,$D25,'Critical resources (hide)'!AN$6:AN$105)+SUMIF(Capacity_Resource,$E25,'Critical resources (hide)'!AN$6:AN$105)+SUMIF(Capacity_Resource,$F25,'Critical resources (hide)'!AN$6:AN$105)&gt;0,$E$1=2),0,1)</f>
        <v>1</v>
      </c>
      <c r="AB25" s="68">
        <f ca="1">IF(AND(SUMIF(Capacity_Resource,$D25,'Critical resources (hide)'!AO$6:AO$105)+SUMIF(Capacity_Resource,$E25,'Critical resources (hide)'!AO$6:AO$105)+SUMIF(Capacity_Resource,$F25,'Critical resources (hide)'!AO$6:AO$105)&gt;0,$E$1=2),0,1)</f>
        <v>1</v>
      </c>
      <c r="AC25" s="68">
        <f ca="1">IF(AND(SUMIF(Capacity_Resource,$D25,'Critical resources (hide)'!AP$6:AP$105)+SUMIF(Capacity_Resource,$E25,'Critical resources (hide)'!AP$6:AP$105)+SUMIF(Capacity_Resource,$F25,'Critical resources (hide)'!AP$6:AP$105)&gt;0,$E$1=2),0,1)</f>
        <v>1</v>
      </c>
      <c r="AD25" s="68">
        <f ca="1">IF(AND(SUMIF(Capacity_Resource,$D25,'Critical resources (hide)'!AQ$6:AQ$105)+SUMIF(Capacity_Resource,$E25,'Critical resources (hide)'!AQ$6:AQ$105)+SUMIF(Capacity_Resource,$F25,'Critical resources (hide)'!AQ$6:AQ$105)&gt;0,$E$1=2),0,1)</f>
        <v>1</v>
      </c>
      <c r="AE25" s="68">
        <f ca="1">IF(AND(SUMIF(Capacity_Resource,$D25,'Critical resources (hide)'!AR$6:AR$105)+SUMIF(Capacity_Resource,$E25,'Critical resources (hide)'!AR$6:AR$105)+SUMIF(Capacity_Resource,$F25,'Critical resources (hide)'!AR$6:AR$105)&gt;0,$E$1=2),0,1)</f>
        <v>1</v>
      </c>
      <c r="AF25" s="68">
        <f ca="1">IF(AND(SUMIF(Capacity_Resource,$D25,'Critical resources (hide)'!AS$6:AS$105)+SUMIF(Capacity_Resource,$E25,'Critical resources (hide)'!AS$6:AS$105)+SUMIF(Capacity_Resource,$F25,'Critical resources (hide)'!AS$6:AS$105)&gt;0,$E$1=2),0,1)</f>
        <v>1</v>
      </c>
      <c r="AG25" s="68">
        <f ca="1">IF(AND(SUMIF(Capacity_Resource,$D25,'Critical resources (hide)'!AT$6:AT$105)+SUMIF(Capacity_Resource,$E25,'Critical resources (hide)'!AT$6:AT$105)+SUMIF(Capacity_Resource,$F25,'Critical resources (hide)'!AT$6:AT$105)&gt;0,$E$1=2),0,1)</f>
        <v>1</v>
      </c>
      <c r="AH25" s="68">
        <f ca="1">IF(AND(SUMIF(Capacity_Resource,$D25,'Critical resources (hide)'!AU$6:AU$105)+SUMIF(Capacity_Resource,$E25,'Critical resources (hide)'!AU$6:AU$105)+SUMIF(Capacity_Resource,$F25,'Critical resources (hide)'!AU$6:AU$105)&gt;0,$E$1=2),0,1)</f>
        <v>1</v>
      </c>
      <c r="AI25" s="68">
        <f ca="1">IF(AND(SUMIF(Capacity_Resource,$D25,'Critical resources (hide)'!AV$6:AV$105)+SUMIF(Capacity_Resource,$E25,'Critical resources (hide)'!AV$6:AV$105)+SUMIF(Capacity_Resource,$F25,'Critical resources (hide)'!AV$6:AV$105)&gt;0,$E$1=2),0,1)</f>
        <v>1</v>
      </c>
      <c r="AJ25" s="68">
        <f ca="1">IF(AND(SUMIF(Capacity_Resource,$D25,'Critical resources (hide)'!AW$6:AW$105)+SUMIF(Capacity_Resource,$E25,'Critical resources (hide)'!AW$6:AW$105)+SUMIF(Capacity_Resource,$F25,'Critical resources (hide)'!AW$6:AW$105)&gt;0,$E$1=2),0,1)</f>
        <v>1</v>
      </c>
      <c r="AK25" s="68">
        <f ca="1">IF(AND(SUMIF(Capacity_Resource,$D25,'Critical resources (hide)'!AX$6:AX$105)+SUMIF(Capacity_Resource,$E25,'Critical resources (hide)'!AX$6:AX$105)+SUMIF(Capacity_Resource,$F25,'Critical resources (hide)'!AX$6:AX$105)&gt;0,$E$1=2),0,1)</f>
        <v>1</v>
      </c>
      <c r="AL25" s="68">
        <f ca="1">IF(AND(SUMIF(Capacity_Resource,$D25,'Critical resources (hide)'!AY$6:AY$105)+SUMIF(Capacity_Resource,$E25,'Critical resources (hide)'!AY$6:AY$105)+SUMIF(Capacity_Resource,$F25,'Critical resources (hide)'!AY$6:AY$105)&gt;0,$E$1=2),0,1)</f>
        <v>1</v>
      </c>
      <c r="AM25" s="68">
        <f ca="1">IF(AND(SUMIF(Capacity_Resource,$D25,'Critical resources (hide)'!AZ$6:AZ$105)+SUMIF(Capacity_Resource,$E25,'Critical resources (hide)'!AZ$6:AZ$105)+SUMIF(Capacity_Resource,$F25,'Critical resources (hide)'!AZ$6:AZ$105)&gt;0,$E$1=2),0,1)</f>
        <v>1</v>
      </c>
      <c r="AN25" s="68">
        <f ca="1">IF(AND(SUMIF(Capacity_Resource,$D25,'Critical resources (hide)'!BA$6:BA$105)+SUMIF(Capacity_Resource,$E25,'Critical resources (hide)'!BA$6:BA$105)+SUMIF(Capacity_Resource,$F25,'Critical resources (hide)'!BA$6:BA$105)&gt;0,$E$1=2),0,1)</f>
        <v>1</v>
      </c>
      <c r="AO25" s="68">
        <f ca="1">IF(AND(SUMIF(Capacity_Resource,$D25,'Critical resources (hide)'!BB$6:BB$105)+SUMIF(Capacity_Resource,$E25,'Critical resources (hide)'!BB$6:BB$105)+SUMIF(Capacity_Resource,$F25,'Critical resources (hide)'!BB$6:BB$105)&gt;0,$E$1=2),0,1)</f>
        <v>1</v>
      </c>
      <c r="AP25" s="68">
        <f ca="1">IF(AND(SUMIF(Capacity_Resource,$D25,'Critical resources (hide)'!BC$6:BC$105)+SUMIF(Capacity_Resource,$E25,'Critical resources (hide)'!BC$6:BC$105)+SUMIF(Capacity_Resource,$F25,'Critical resources (hide)'!BC$6:BC$105)&gt;0,$E$1=2),0,1)</f>
        <v>1</v>
      </c>
      <c r="AQ25" s="68">
        <f ca="1">IF(AND(SUMIF(Capacity_Resource,$D25,'Critical resources (hide)'!BD$6:BD$105)+SUMIF(Capacity_Resource,$E25,'Critical resources (hide)'!BD$6:BD$105)+SUMIF(Capacity_Resource,$F25,'Critical resources (hide)'!BD$6:BD$105)&gt;0,$E$1=2),0,1)</f>
        <v>1</v>
      </c>
      <c r="AR25" s="68">
        <f ca="1">IF(AND(SUMIF(Capacity_Resource,$D25,'Critical resources (hide)'!BE$6:BE$105)+SUMIF(Capacity_Resource,$E25,'Critical resources (hide)'!BE$6:BE$105)+SUMIF(Capacity_Resource,$F25,'Critical resources (hide)'!BE$6:BE$105)&gt;0,$E$1=2),0,1)</f>
        <v>1</v>
      </c>
      <c r="AS25" s="68">
        <f ca="1">IF(AND(SUMIF(Capacity_Resource,$D25,'Critical resources (hide)'!BF$6:BF$105)+SUMIF(Capacity_Resource,$E25,'Critical resources (hide)'!BF$6:BF$105)+SUMIF(Capacity_Resource,$F25,'Critical resources (hide)'!BF$6:BF$105)&gt;0,$E$1=2),0,1)</f>
        <v>1</v>
      </c>
      <c r="AT25" s="68">
        <f ca="1">IF(AND(SUMIF(Capacity_Resource,$D25,'Critical resources (hide)'!BG$6:BG$105)+SUMIF(Capacity_Resource,$E25,'Critical resources (hide)'!BG$6:BG$105)+SUMIF(Capacity_Resource,$F25,'Critical resources (hide)'!BG$6:BG$105)&gt;0,$E$1=2),0,1)</f>
        <v>1</v>
      </c>
      <c r="AU25" s="68">
        <f ca="1">IF(AND(SUMIF(Capacity_Resource,$D25,'Critical resources (hide)'!BH$6:BH$105)+SUMIF(Capacity_Resource,$E25,'Critical resources (hide)'!BH$6:BH$105)+SUMIF(Capacity_Resource,$F25,'Critical resources (hide)'!BH$6:BH$105)&gt;0,$E$1=2),0,1)</f>
        <v>1</v>
      </c>
      <c r="AV25" s="68">
        <f ca="1">IF(AND(SUMIF(Capacity_Resource,$D25,'Critical resources (hide)'!BI$6:BI$105)+SUMIF(Capacity_Resource,$E25,'Critical resources (hide)'!BI$6:BI$105)+SUMIF(Capacity_Resource,$F25,'Critical resources (hide)'!BI$6:BI$105)&gt;0,$E$1=2),0,1)</f>
        <v>1</v>
      </c>
      <c r="AW25" s="68">
        <f ca="1">IF(AND(SUMIF(Capacity_Resource,$D25,'Critical resources (hide)'!BJ$6:BJ$105)+SUMIF(Capacity_Resource,$E25,'Critical resources (hide)'!BJ$6:BJ$105)+SUMIF(Capacity_Resource,$F25,'Critical resources (hide)'!BJ$6:BJ$105)&gt;0,$E$1=2),0,1)</f>
        <v>1</v>
      </c>
      <c r="AX25" s="68">
        <f ca="1">IF(AND(SUMIF(Capacity_Resource,$D25,'Critical resources (hide)'!BK$6:BK$105)+SUMIF(Capacity_Resource,$E25,'Critical resources (hide)'!BK$6:BK$105)+SUMIF(Capacity_Resource,$F25,'Critical resources (hide)'!BK$6:BK$105)&gt;0,$E$1=2),0,1)</f>
        <v>1</v>
      </c>
      <c r="AY25" s="68">
        <f ca="1">IF(AND(SUMIF(Capacity_Resource,$D25,'Critical resources (hide)'!BL$6:BL$105)+SUMIF(Capacity_Resource,$E25,'Critical resources (hide)'!BL$6:BL$105)+SUMIF(Capacity_Resource,$F25,'Critical resources (hide)'!BL$6:BL$105)&gt;0,$E$1=2),0,1)</f>
        <v>1</v>
      </c>
      <c r="AZ25" s="68">
        <f ca="1">IF(AND(SUMIF(Capacity_Resource,$D25,'Critical resources (hide)'!BM$6:BM$105)+SUMIF(Capacity_Resource,$E25,'Critical resources (hide)'!BM$6:BM$105)+SUMIF(Capacity_Resource,$F25,'Critical resources (hide)'!BM$6:BM$105)&gt;0,$E$1=2),0,1)</f>
        <v>1</v>
      </c>
      <c r="BA25" s="68">
        <f ca="1">IF(AND(SUMIF(Capacity_Resource,$D25,'Critical resources (hide)'!BN$6:BN$105)+SUMIF(Capacity_Resource,$E25,'Critical resources (hide)'!BN$6:BN$105)+SUMIF(Capacity_Resource,$F25,'Critical resources (hide)'!BN$6:BN$105)&gt;0,$E$1=2),0,1)</f>
        <v>1</v>
      </c>
      <c r="BB25" s="68">
        <f ca="1">IF(AND(SUMIF(Capacity_Resource,$D25,'Critical resources (hide)'!BO$6:BO$105)+SUMIF(Capacity_Resource,$E25,'Critical resources (hide)'!BO$6:BO$105)+SUMIF(Capacity_Resource,$F25,'Critical resources (hide)'!BO$6:BO$105)&gt;0,$E$1=2),0,1)</f>
        <v>1</v>
      </c>
      <c r="BC25" s="68">
        <f ca="1">IF(AND(SUMIF(Capacity_Resource,$D25,'Critical resources (hide)'!BP$6:BP$105)+SUMIF(Capacity_Resource,$E25,'Critical resources (hide)'!BP$6:BP$105)+SUMIF(Capacity_Resource,$F25,'Critical resources (hide)'!BP$6:BP$105)&gt;0,$E$1=2),0,1)</f>
        <v>1</v>
      </c>
      <c r="BD25" s="68">
        <f ca="1">IF(AND(SUMIF(Capacity_Resource,$D25,'Critical resources (hide)'!BQ$6:BQ$105)+SUMIF(Capacity_Resource,$E25,'Critical resources (hide)'!BQ$6:BQ$105)+SUMIF(Capacity_Resource,$F25,'Critical resources (hide)'!BQ$6:BQ$105)&gt;0,$E$1=2),0,1)</f>
        <v>1</v>
      </c>
      <c r="BE25" s="68">
        <f ca="1">IF(AND(SUMIF(Capacity_Resource,$D25,'Critical resources (hide)'!BR$6:BR$105)+SUMIF(Capacity_Resource,$E25,'Critical resources (hide)'!BR$6:BR$105)+SUMIF(Capacity_Resource,$F25,'Critical resources (hide)'!BR$6:BR$105)&gt;0,$E$1=2),0,1)</f>
        <v>1</v>
      </c>
      <c r="BF25" s="68">
        <f ca="1">IF(AND(SUMIF(Capacity_Resource,$D25,'Critical resources (hide)'!BS$6:BS$105)+SUMIF(Capacity_Resource,$E25,'Critical resources (hide)'!BS$6:BS$105)+SUMIF(Capacity_Resource,$F25,'Critical resources (hide)'!BS$6:BS$105)&gt;0,$E$1=2),0,1)</f>
        <v>1</v>
      </c>
      <c r="BG25" s="68">
        <f ca="1">IF(AND(SUMIF(Capacity_Resource,$D25,'Critical resources (hide)'!BT$6:BT$105)+SUMIF(Capacity_Resource,$E25,'Critical resources (hide)'!BT$6:BT$105)+SUMIF(Capacity_Resource,$F25,'Critical resources (hide)'!BT$6:BT$105)&gt;0,$E$1=2),0,1)</f>
        <v>1</v>
      </c>
      <c r="BH25" s="68">
        <f>IF(ROW(C21)&lt;=Capacity!$A$16,IF('Capacity summary'!$D$14="No",SUM(H25:BG25),'Capacity summary'!$E144),0)</f>
        <v>0</v>
      </c>
      <c r="BI25" s="5" t="str">
        <f>IF(BH25&gt;0,IF(BH25&lt;Capacity!E37,Capacity!F37,Capacity!H37/'Capacity calculation (hide)'!BH25),"")</f>
        <v/>
      </c>
      <c r="BK25" s="319">
        <f>IF($BI25&lt;&gt;"",IF('Capacity summary'!$D$14="Yes",IF(COUNTBLANK('Capacity summary'!$H144:$BG144)&lt;52,IF('Capacity summary'!H144&lt;&gt;"",$BI25*H25,0),H25*$BI25),H25*$BI25),0)</f>
        <v>0</v>
      </c>
      <c r="BL25" s="319">
        <f>IF($BI25&lt;&gt;"",IF('Capacity summary'!$D$14="Yes",IF(COUNTBLANK('Capacity summary'!$H144:$BG144)&lt;52,IF('Capacity summary'!I144&lt;&gt;"",$BI25*I25,0),I25*$BI25),I25*$BI25),0)</f>
        <v>0</v>
      </c>
      <c r="BM25" s="319">
        <f>IF($BI25&lt;&gt;"",IF('Capacity summary'!$D$14="Yes",IF(COUNTBLANK('Capacity summary'!$H144:$BG144)&lt;52,IF('Capacity summary'!J144&lt;&gt;"",$BI25*J25,0),J25*$BI25),J25*$BI25),0)</f>
        <v>0</v>
      </c>
      <c r="BN25" s="319">
        <f>IF($BI25&lt;&gt;"",IF('Capacity summary'!$D$14="Yes",IF(COUNTBLANK('Capacity summary'!$H144:$BG144)&lt;52,IF('Capacity summary'!K144&lt;&gt;"",$BI25*K25,0),K25*$BI25),K25*$BI25),0)</f>
        <v>0</v>
      </c>
      <c r="BO25" s="319">
        <f>IF($BI25&lt;&gt;"",IF('Capacity summary'!$D$14="Yes",IF(COUNTBLANK('Capacity summary'!$H144:$BG144)&lt;52,IF('Capacity summary'!L144&lt;&gt;"",$BI25*L25,0),L25*$BI25),L25*$BI25),0)</f>
        <v>0</v>
      </c>
      <c r="BP25" s="319">
        <f>IF($BI25&lt;&gt;"",IF('Capacity summary'!$D$14="Yes",IF(COUNTBLANK('Capacity summary'!$H144:$BG144)&lt;52,IF('Capacity summary'!M144&lt;&gt;"",$BI25*M25,0),M25*$BI25),M25*$BI25),0)</f>
        <v>0</v>
      </c>
      <c r="BQ25" s="319">
        <f>IF($BI25&lt;&gt;"",IF('Capacity summary'!$D$14="Yes",IF(COUNTBLANK('Capacity summary'!$H144:$BG144)&lt;52,IF('Capacity summary'!N144&lt;&gt;"",$BI25*N25,0),N25*$BI25),N25*$BI25),0)</f>
        <v>0</v>
      </c>
      <c r="BR25" s="319">
        <f>IF($BI25&lt;&gt;"",IF('Capacity summary'!$D$14="Yes",IF(COUNTBLANK('Capacity summary'!$H144:$BG144)&lt;52,IF('Capacity summary'!O144&lt;&gt;"",$BI25*O25,0),O25*$BI25),O25*$BI25),0)</f>
        <v>0</v>
      </c>
      <c r="BS25" s="319">
        <f>IF($BI25&lt;&gt;"",IF('Capacity summary'!$D$14="Yes",IF(COUNTBLANK('Capacity summary'!$H144:$BG144)&lt;52,IF('Capacity summary'!P144&lt;&gt;"",$BI25*P25,0),P25*$BI25),P25*$BI25),0)</f>
        <v>0</v>
      </c>
      <c r="BT25" s="319">
        <f>IF($BI25&lt;&gt;"",IF('Capacity summary'!$D$14="Yes",IF(COUNTBLANK('Capacity summary'!$H144:$BG144)&lt;52,IF('Capacity summary'!Q144&lt;&gt;"",$BI25*Q25,0),Q25*$BI25),Q25*$BI25),0)</f>
        <v>0</v>
      </c>
      <c r="BU25" s="319">
        <f>IF($BI25&lt;&gt;"",IF('Capacity summary'!$D$14="Yes",IF(COUNTBLANK('Capacity summary'!$H144:$BG144)&lt;52,IF('Capacity summary'!R144&lt;&gt;"",$BI25*R25,0),R25*$BI25),R25*$BI25),0)</f>
        <v>0</v>
      </c>
      <c r="BV25" s="319">
        <f>IF($BI25&lt;&gt;"",IF('Capacity summary'!$D$14="Yes",IF(COUNTBLANK('Capacity summary'!$H144:$BG144)&lt;52,IF('Capacity summary'!S144&lt;&gt;"",$BI25*S25,0),S25*$BI25),S25*$BI25),0)</f>
        <v>0</v>
      </c>
      <c r="BW25" s="319">
        <f>IF($BI25&lt;&gt;"",IF('Capacity summary'!$D$14="Yes",IF(COUNTBLANK('Capacity summary'!$H144:$BG144)&lt;52,IF('Capacity summary'!T144&lt;&gt;"",$BI25*T25,0),T25*$BI25),T25*$BI25),0)</f>
        <v>0</v>
      </c>
      <c r="BX25" s="319">
        <f>IF($BI25&lt;&gt;"",IF('Capacity summary'!$D$14="Yes",IF(COUNTBLANK('Capacity summary'!$H144:$BG144)&lt;52,IF('Capacity summary'!U144&lt;&gt;"",$BI25*U25,0),U25*$BI25),U25*$BI25),0)</f>
        <v>0</v>
      </c>
      <c r="BY25" s="319">
        <f>IF($BI25&lt;&gt;"",IF('Capacity summary'!$D$14="Yes",IF(COUNTBLANK('Capacity summary'!$H144:$BG144)&lt;52,IF('Capacity summary'!V144&lt;&gt;"",$BI25*V25,0),V25*$BI25),V25*$BI25),0)</f>
        <v>0</v>
      </c>
      <c r="BZ25" s="319">
        <f>IF($BI25&lt;&gt;"",IF('Capacity summary'!$D$14="Yes",IF(COUNTBLANK('Capacity summary'!$H144:$BG144)&lt;52,IF('Capacity summary'!W144&lt;&gt;"",$BI25*W25,0),W25*$BI25),W25*$BI25),0)</f>
        <v>0</v>
      </c>
      <c r="CA25" s="319">
        <f>IF($BI25&lt;&gt;"",IF('Capacity summary'!$D$14="Yes",IF(COUNTBLANK('Capacity summary'!$H144:$BG144)&lt;52,IF('Capacity summary'!X144&lt;&gt;"",$BI25*X25,0),X25*$BI25),X25*$BI25),0)</f>
        <v>0</v>
      </c>
      <c r="CB25" s="319">
        <f>IF($BI25&lt;&gt;"",IF('Capacity summary'!$D$14="Yes",IF(COUNTBLANK('Capacity summary'!$H144:$BG144)&lt;52,IF('Capacity summary'!Y144&lt;&gt;"",$BI25*Y25,0),Y25*$BI25),Y25*$BI25),0)</f>
        <v>0</v>
      </c>
      <c r="CC25" s="319">
        <f>IF($BI25&lt;&gt;"",IF('Capacity summary'!$D$14="Yes",IF(COUNTBLANK('Capacity summary'!$H144:$BG144)&lt;52,IF('Capacity summary'!Z144&lt;&gt;"",$BI25*Z25,0),Z25*$BI25),Z25*$BI25),0)</f>
        <v>0</v>
      </c>
      <c r="CD25" s="319">
        <f>IF($BI25&lt;&gt;"",IF('Capacity summary'!$D$14="Yes",IF(COUNTBLANK('Capacity summary'!$H144:$BG144)&lt;52,IF('Capacity summary'!AA144&lt;&gt;"",$BI25*AA25,0),AA25*$BI25),AA25*$BI25),0)</f>
        <v>0</v>
      </c>
      <c r="CE25" s="319">
        <f>IF($BI25&lt;&gt;"",IF('Capacity summary'!$D$14="Yes",IF(COUNTBLANK('Capacity summary'!$H144:$BG144)&lt;52,IF('Capacity summary'!AB144&lt;&gt;"",$BI25*AB25,0),AB25*$BI25),AB25*$BI25),0)</f>
        <v>0</v>
      </c>
      <c r="CF25" s="319">
        <f>IF($BI25&lt;&gt;"",IF('Capacity summary'!$D$14="Yes",IF(COUNTBLANK('Capacity summary'!$H144:$BG144)&lt;52,IF('Capacity summary'!AC144&lt;&gt;"",$BI25*AC25,0),AC25*$BI25),AC25*$BI25),0)</f>
        <v>0</v>
      </c>
      <c r="CG25" s="319">
        <f>IF($BI25&lt;&gt;"",IF('Capacity summary'!$D$14="Yes",IF(COUNTBLANK('Capacity summary'!$H144:$BG144)&lt;52,IF('Capacity summary'!AD144&lt;&gt;"",$BI25*AD25,0),AD25*$BI25),AD25*$BI25),0)</f>
        <v>0</v>
      </c>
      <c r="CH25" s="319">
        <f>IF($BI25&lt;&gt;"",IF('Capacity summary'!$D$14="Yes",IF(COUNTBLANK('Capacity summary'!$H144:$BG144)&lt;52,IF('Capacity summary'!AE144&lt;&gt;"",$BI25*AE25,0),AE25*$BI25),AE25*$BI25),0)</f>
        <v>0</v>
      </c>
      <c r="CI25" s="319">
        <f>IF($BI25&lt;&gt;"",IF('Capacity summary'!$D$14="Yes",IF(COUNTBLANK('Capacity summary'!$H144:$BG144)&lt;52,IF('Capacity summary'!AF144&lt;&gt;"",$BI25*AF25,0),AF25*$BI25),AF25*$BI25),0)</f>
        <v>0</v>
      </c>
      <c r="CJ25" s="319">
        <f>IF($BI25&lt;&gt;"",IF('Capacity summary'!$D$14="Yes",IF(COUNTBLANK('Capacity summary'!$H144:$BG144)&lt;52,IF('Capacity summary'!AG144&lt;&gt;"",$BI25*AG25,0),AG25*$BI25),AG25*$BI25),0)</f>
        <v>0</v>
      </c>
      <c r="CK25" s="319">
        <f>IF($BI25&lt;&gt;"",IF('Capacity summary'!$D$14="Yes",IF(COUNTBLANK('Capacity summary'!$H144:$BG144)&lt;52,IF('Capacity summary'!AH144&lt;&gt;"",$BI25*AH25,0),AH25*$BI25),AH25*$BI25),0)</f>
        <v>0</v>
      </c>
      <c r="CL25" s="319">
        <f>IF($BI25&lt;&gt;"",IF('Capacity summary'!$D$14="Yes",IF(COUNTBLANK('Capacity summary'!$H144:$BG144)&lt;52,IF('Capacity summary'!AI144&lt;&gt;"",$BI25*AI25,0),AI25*$BI25),AI25*$BI25),0)</f>
        <v>0</v>
      </c>
      <c r="CM25" s="319">
        <f>IF($BI25&lt;&gt;"",IF('Capacity summary'!$D$14="Yes",IF(COUNTBLANK('Capacity summary'!$H144:$BG144)&lt;52,IF('Capacity summary'!AJ144&lt;&gt;"",$BI25*AJ25,0),AJ25*$BI25),AJ25*$BI25),0)</f>
        <v>0</v>
      </c>
      <c r="CN25" s="319">
        <f>IF($BI25&lt;&gt;"",IF('Capacity summary'!$D$14="Yes",IF(COUNTBLANK('Capacity summary'!$H144:$BG144)&lt;52,IF('Capacity summary'!AK144&lt;&gt;"",$BI25*AK25,0),AK25*$BI25),AK25*$BI25),0)</f>
        <v>0</v>
      </c>
      <c r="CO25" s="319">
        <f>IF($BI25&lt;&gt;"",IF('Capacity summary'!$D$14="Yes",IF(COUNTBLANK('Capacity summary'!$H144:$BG144)&lt;52,IF('Capacity summary'!AL144&lt;&gt;"",$BI25*AL25,0),AL25*$BI25),AL25*$BI25),0)</f>
        <v>0</v>
      </c>
      <c r="CP25" s="319">
        <f>IF($BI25&lt;&gt;"",IF('Capacity summary'!$D$14="Yes",IF(COUNTBLANK('Capacity summary'!$H144:$BG144)&lt;52,IF('Capacity summary'!AM144&lt;&gt;"",$BI25*AM25,0),AM25*$BI25),AM25*$BI25),0)</f>
        <v>0</v>
      </c>
      <c r="CQ25" s="319">
        <f>IF($BI25&lt;&gt;"",IF('Capacity summary'!$D$14="Yes",IF(COUNTBLANK('Capacity summary'!$H144:$BG144)&lt;52,IF('Capacity summary'!AN144&lt;&gt;"",$BI25*AN25,0),AN25*$BI25),AN25*$BI25),0)</f>
        <v>0</v>
      </c>
      <c r="CR25" s="319">
        <f>IF($BI25&lt;&gt;"",IF('Capacity summary'!$D$14="Yes",IF(COUNTBLANK('Capacity summary'!$H144:$BG144)&lt;52,IF('Capacity summary'!AO144&lt;&gt;"",$BI25*AO25,0),AO25*$BI25),AO25*$BI25),0)</f>
        <v>0</v>
      </c>
      <c r="CS25" s="319">
        <f>IF($BI25&lt;&gt;"",IF('Capacity summary'!$D$14="Yes",IF(COUNTBLANK('Capacity summary'!$H144:$BG144)&lt;52,IF('Capacity summary'!AP144&lt;&gt;"",$BI25*AP25,0),AP25*$BI25),AP25*$BI25),0)</f>
        <v>0</v>
      </c>
      <c r="CT25" s="319">
        <f>IF($BI25&lt;&gt;"",IF('Capacity summary'!$D$14="Yes",IF(COUNTBLANK('Capacity summary'!$H144:$BG144)&lt;52,IF('Capacity summary'!AQ144&lt;&gt;"",$BI25*AQ25,0),AQ25*$BI25),AQ25*$BI25),0)</f>
        <v>0</v>
      </c>
      <c r="CU25" s="319">
        <f>IF($BI25&lt;&gt;"",IF('Capacity summary'!$D$14="Yes",IF(COUNTBLANK('Capacity summary'!$H144:$BG144)&lt;52,IF('Capacity summary'!AR144&lt;&gt;"",$BI25*AR25,0),AR25*$BI25),AR25*$BI25),0)</f>
        <v>0</v>
      </c>
      <c r="CV25" s="319">
        <f>IF($BI25&lt;&gt;"",IF('Capacity summary'!$D$14="Yes",IF(COUNTBLANK('Capacity summary'!$H144:$BG144)&lt;52,IF('Capacity summary'!AS144&lt;&gt;"",$BI25*AS25,0),AS25*$BI25),AS25*$BI25),0)</f>
        <v>0</v>
      </c>
      <c r="CW25" s="319">
        <f>IF($BI25&lt;&gt;"",IF('Capacity summary'!$D$14="Yes",IF(COUNTBLANK('Capacity summary'!$H144:$BG144)&lt;52,IF('Capacity summary'!AT144&lt;&gt;"",$BI25*AT25,0),AT25*$BI25),AT25*$BI25),0)</f>
        <v>0</v>
      </c>
      <c r="CX25" s="319">
        <f>IF($BI25&lt;&gt;"",IF('Capacity summary'!$D$14="Yes",IF(COUNTBLANK('Capacity summary'!$H144:$BG144)&lt;52,IF('Capacity summary'!AU144&lt;&gt;"",$BI25*AU25,0),AU25*$BI25),AU25*$BI25),0)</f>
        <v>0</v>
      </c>
      <c r="CY25" s="319">
        <f>IF($BI25&lt;&gt;"",IF('Capacity summary'!$D$14="Yes",IF(COUNTBLANK('Capacity summary'!$H144:$BG144)&lt;52,IF('Capacity summary'!AV144&lt;&gt;"",$BI25*AV25,0),AV25*$BI25),AV25*$BI25),0)</f>
        <v>0</v>
      </c>
      <c r="CZ25" s="319">
        <f>IF($BI25&lt;&gt;"",IF('Capacity summary'!$D$14="Yes",IF(COUNTBLANK('Capacity summary'!$H144:$BG144)&lt;52,IF('Capacity summary'!AW144&lt;&gt;"",$BI25*AW25,0),AW25*$BI25),AW25*$BI25),0)</f>
        <v>0</v>
      </c>
      <c r="DA25" s="319">
        <f>IF($BI25&lt;&gt;"",IF('Capacity summary'!$D$14="Yes",IF(COUNTBLANK('Capacity summary'!$H144:$BG144)&lt;52,IF('Capacity summary'!AX144&lt;&gt;"",$BI25*AX25,0),AX25*$BI25),AX25*$BI25),0)</f>
        <v>0</v>
      </c>
      <c r="DB25" s="319">
        <f>IF($BI25&lt;&gt;"",IF('Capacity summary'!$D$14="Yes",IF(COUNTBLANK('Capacity summary'!$H144:$BG144)&lt;52,IF('Capacity summary'!AY144&lt;&gt;"",$BI25*AY25,0),AY25*$BI25),AY25*$BI25),0)</f>
        <v>0</v>
      </c>
      <c r="DC25" s="319">
        <f>IF($BI25&lt;&gt;"",IF('Capacity summary'!$D$14="Yes",IF(COUNTBLANK('Capacity summary'!$H144:$BG144)&lt;52,IF('Capacity summary'!AZ144&lt;&gt;"",$BI25*AZ25,0),AZ25*$BI25),AZ25*$BI25),0)</f>
        <v>0</v>
      </c>
      <c r="DD25" s="319">
        <f>IF($BI25&lt;&gt;"",IF('Capacity summary'!$D$14="Yes",IF(COUNTBLANK('Capacity summary'!$H144:$BG144)&lt;52,IF('Capacity summary'!BA144&lt;&gt;"",$BI25*BA25,0),BA25*$BI25),BA25*$BI25),0)</f>
        <v>0</v>
      </c>
      <c r="DE25" s="319">
        <f>IF($BI25&lt;&gt;"",IF('Capacity summary'!$D$14="Yes",IF(COUNTBLANK('Capacity summary'!$H144:$BG144)&lt;52,IF('Capacity summary'!BB144&lt;&gt;"",$BI25*BB25,0),BB25*$BI25),BB25*$BI25),0)</f>
        <v>0</v>
      </c>
      <c r="DF25" s="319">
        <f>IF($BI25&lt;&gt;"",IF('Capacity summary'!$D$14="Yes",IF(COUNTBLANK('Capacity summary'!$H144:$BG144)&lt;52,IF('Capacity summary'!BC144&lt;&gt;"",$BI25*BC25,0),BC25*$BI25),BC25*$BI25),0)</f>
        <v>0</v>
      </c>
      <c r="DG25" s="319">
        <f>IF($BI25&lt;&gt;"",IF('Capacity summary'!$D$14="Yes",IF(COUNTBLANK('Capacity summary'!$H144:$BG144)&lt;52,IF('Capacity summary'!BD144&lt;&gt;"",$BI25*BD25,0),BD25*$BI25),BD25*$BI25),0)</f>
        <v>0</v>
      </c>
      <c r="DH25" s="319">
        <f>IF($BI25&lt;&gt;"",IF('Capacity summary'!$D$14="Yes",IF(COUNTBLANK('Capacity summary'!$H144:$BG144)&lt;52,IF('Capacity summary'!BE144&lt;&gt;"",$BI25*BE25,0),BE25*$BI25),BE25*$BI25),0)</f>
        <v>0</v>
      </c>
      <c r="DI25" s="319">
        <f>IF($BI25&lt;&gt;"",IF('Capacity summary'!$D$14="Yes",IF(COUNTBLANK('Capacity summary'!$H144:$BG144)&lt;52,IF('Capacity summary'!BF144&lt;&gt;"",$BI25*BF25,0),BF25*$BI25),BF25*$BI25),0)</f>
        <v>0</v>
      </c>
      <c r="DJ25" s="319">
        <f>IF($BI25&lt;&gt;"",IF('Capacity summary'!$D$14="Yes",IF(COUNTBLANK('Capacity summary'!$H144:$BG144)&lt;52,IF('Capacity summary'!BG144&lt;&gt;"",$BI25*BG25,0),BG25*$BI25),BG25*$BI25),0)</f>
        <v>0</v>
      </c>
      <c r="DK25" s="5">
        <f t="shared" si="2"/>
        <v>0</v>
      </c>
      <c r="DL25" s="5" t="str">
        <f>Capacity!H37</f>
        <v/>
      </c>
      <c r="DP25" s="5"/>
    </row>
    <row r="26" spans="2:120" x14ac:dyDescent="0.2">
      <c r="B26" s="68"/>
      <c r="C26" s="68" t="str">
        <f>ROW(A22)&amp;". "&amp;Capacity!B38</f>
        <v xml:space="preserve">22. </v>
      </c>
      <c r="D26" s="68">
        <f>'Capacity setup'!C33</f>
        <v>0</v>
      </c>
      <c r="E26" s="68">
        <f>'Capacity setup'!D33</f>
        <v>0</v>
      </c>
      <c r="F26" s="68">
        <f>'Capacity setup'!E33</f>
        <v>0</v>
      </c>
      <c r="H26" s="68">
        <f ca="1">IF(AND(SUMIF(Capacity_Resource,$D26,'Critical resources (hide)'!U$6:U$105)+SUMIF(Capacity_Resource,$E26,'Critical resources (hide)'!U$6:U$105)+SUMIF(Capacity_Resource,$F26,'Critical resources (hide)'!U$6:U$105)&gt;0,$E$1=2),0,1)</f>
        <v>1</v>
      </c>
      <c r="I26" s="68">
        <f ca="1">IF(AND(SUMIF(Capacity_Resource,$D26,'Critical resources (hide)'!V$6:V$105)+SUMIF(Capacity_Resource,$E26,'Critical resources (hide)'!V$6:V$105)+SUMIF(Capacity_Resource,$F26,'Critical resources (hide)'!V$6:V$105)&gt;0,$E$1=2),0,1)</f>
        <v>1</v>
      </c>
      <c r="J26" s="68">
        <f ca="1">IF(AND(SUMIF(Capacity_Resource,$D26,'Critical resources (hide)'!W$6:W$105)+SUMIF(Capacity_Resource,$E26,'Critical resources (hide)'!W$6:W$105)+SUMIF(Capacity_Resource,$F26,'Critical resources (hide)'!W$6:W$105)&gt;0,$E$1=2),0,1)</f>
        <v>1</v>
      </c>
      <c r="K26" s="68">
        <f ca="1">IF(AND(SUMIF(Capacity_Resource,$D26,'Critical resources (hide)'!X$6:X$105)+SUMIF(Capacity_Resource,$E26,'Critical resources (hide)'!X$6:X$105)+SUMIF(Capacity_Resource,$F26,'Critical resources (hide)'!X$6:X$105)&gt;0,$E$1=2),0,1)</f>
        <v>1</v>
      </c>
      <c r="L26" s="68">
        <f ca="1">IF(AND(SUMIF(Capacity_Resource,$D26,'Critical resources (hide)'!Y$6:Y$105)+SUMIF(Capacity_Resource,$E26,'Critical resources (hide)'!Y$6:Y$105)+SUMIF(Capacity_Resource,$F26,'Critical resources (hide)'!Y$6:Y$105)&gt;0,$E$1=2),0,1)</f>
        <v>1</v>
      </c>
      <c r="M26" s="68">
        <f ca="1">IF(AND(SUMIF(Capacity_Resource,$D26,'Critical resources (hide)'!Z$6:Z$105)+SUMIF(Capacity_Resource,$E26,'Critical resources (hide)'!Z$6:Z$105)+SUMIF(Capacity_Resource,$F26,'Critical resources (hide)'!Z$6:Z$105)&gt;0,$E$1=2),0,1)</f>
        <v>1</v>
      </c>
      <c r="N26" s="68">
        <f ca="1">IF(AND(SUMIF(Capacity_Resource,$D26,'Critical resources (hide)'!AA$6:AA$105)+SUMIF(Capacity_Resource,$E26,'Critical resources (hide)'!AA$6:AA$105)+SUMIF(Capacity_Resource,$F26,'Critical resources (hide)'!AA$6:AA$105)&gt;0,$E$1=2),0,1)</f>
        <v>1</v>
      </c>
      <c r="O26" s="68">
        <f ca="1">IF(AND(SUMIF(Capacity_Resource,$D26,'Critical resources (hide)'!AB$6:AB$105)+SUMIF(Capacity_Resource,$E26,'Critical resources (hide)'!AB$6:AB$105)+SUMIF(Capacity_Resource,$F26,'Critical resources (hide)'!AB$6:AB$105)&gt;0,$E$1=2),0,1)</f>
        <v>1</v>
      </c>
      <c r="P26" s="68">
        <f ca="1">IF(AND(SUMIF(Capacity_Resource,$D26,'Critical resources (hide)'!AC$6:AC$105)+SUMIF(Capacity_Resource,$E26,'Critical resources (hide)'!AC$6:AC$105)+SUMIF(Capacity_Resource,$F26,'Critical resources (hide)'!AC$6:AC$105)&gt;0,$E$1=2),0,1)</f>
        <v>1</v>
      </c>
      <c r="Q26" s="68">
        <f ca="1">IF(AND(SUMIF(Capacity_Resource,$D26,'Critical resources (hide)'!AD$6:AD$105)+SUMIF(Capacity_Resource,$E26,'Critical resources (hide)'!AD$6:AD$105)+SUMIF(Capacity_Resource,$F26,'Critical resources (hide)'!AD$6:AD$105)&gt;0,$E$1=2),0,1)</f>
        <v>1</v>
      </c>
      <c r="R26" s="68">
        <f ca="1">IF(AND(SUMIF(Capacity_Resource,$D26,'Critical resources (hide)'!AE$6:AE$105)+SUMIF(Capacity_Resource,$E26,'Critical resources (hide)'!AE$6:AE$105)+SUMIF(Capacity_Resource,$F26,'Critical resources (hide)'!AE$6:AE$105)&gt;0,$E$1=2),0,1)</f>
        <v>1</v>
      </c>
      <c r="S26" s="68">
        <f ca="1">IF(AND(SUMIF(Capacity_Resource,$D26,'Critical resources (hide)'!AF$6:AF$105)+SUMIF(Capacity_Resource,$E26,'Critical resources (hide)'!AF$6:AF$105)+SUMIF(Capacity_Resource,$F26,'Critical resources (hide)'!AF$6:AF$105)&gt;0,$E$1=2),0,1)</f>
        <v>1</v>
      </c>
      <c r="T26" s="68">
        <f ca="1">IF(AND(SUMIF(Capacity_Resource,$D26,'Critical resources (hide)'!AG$6:AG$105)+SUMIF(Capacity_Resource,$E26,'Critical resources (hide)'!AG$6:AG$105)+SUMIF(Capacity_Resource,$F26,'Critical resources (hide)'!AG$6:AG$105)&gt;0,$E$1=2),0,1)</f>
        <v>1</v>
      </c>
      <c r="U26" s="68">
        <f ca="1">IF(AND(SUMIF(Capacity_Resource,$D26,'Critical resources (hide)'!AH$6:AH$105)+SUMIF(Capacity_Resource,$E26,'Critical resources (hide)'!AH$6:AH$105)+SUMIF(Capacity_Resource,$F26,'Critical resources (hide)'!AH$6:AH$105)&gt;0,$E$1=2),0,1)</f>
        <v>1</v>
      </c>
      <c r="V26" s="68">
        <f ca="1">IF(AND(SUMIF(Capacity_Resource,$D26,'Critical resources (hide)'!AI$6:AI$105)+SUMIF(Capacity_Resource,$E26,'Critical resources (hide)'!AI$6:AI$105)+SUMIF(Capacity_Resource,$F26,'Critical resources (hide)'!AI$6:AI$105)&gt;0,$E$1=2),0,1)</f>
        <v>1</v>
      </c>
      <c r="W26" s="68">
        <f ca="1">IF(AND(SUMIF(Capacity_Resource,$D26,'Critical resources (hide)'!AJ$6:AJ$105)+SUMIF(Capacity_Resource,$E26,'Critical resources (hide)'!AJ$6:AJ$105)+SUMIF(Capacity_Resource,$F26,'Critical resources (hide)'!AJ$6:AJ$105)&gt;0,$E$1=2),0,1)</f>
        <v>1</v>
      </c>
      <c r="X26" s="68">
        <f ca="1">IF(AND(SUMIF(Capacity_Resource,$D26,'Critical resources (hide)'!AK$6:AK$105)+SUMIF(Capacity_Resource,$E26,'Critical resources (hide)'!AK$6:AK$105)+SUMIF(Capacity_Resource,$F26,'Critical resources (hide)'!AK$6:AK$105)&gt;0,$E$1=2),0,1)</f>
        <v>1</v>
      </c>
      <c r="Y26" s="68">
        <f ca="1">IF(AND(SUMIF(Capacity_Resource,$D26,'Critical resources (hide)'!AL$6:AL$105)+SUMIF(Capacity_Resource,$E26,'Critical resources (hide)'!AL$6:AL$105)+SUMIF(Capacity_Resource,$F26,'Critical resources (hide)'!AL$6:AL$105)&gt;0,$E$1=2),0,1)</f>
        <v>1</v>
      </c>
      <c r="Z26" s="68">
        <f ca="1">IF(AND(SUMIF(Capacity_Resource,$D26,'Critical resources (hide)'!AM$6:AM$105)+SUMIF(Capacity_Resource,$E26,'Critical resources (hide)'!AM$6:AM$105)+SUMIF(Capacity_Resource,$F26,'Critical resources (hide)'!AM$6:AM$105)&gt;0,$E$1=2),0,1)</f>
        <v>1</v>
      </c>
      <c r="AA26" s="68">
        <f ca="1">IF(AND(SUMIF(Capacity_Resource,$D26,'Critical resources (hide)'!AN$6:AN$105)+SUMIF(Capacity_Resource,$E26,'Critical resources (hide)'!AN$6:AN$105)+SUMIF(Capacity_Resource,$F26,'Critical resources (hide)'!AN$6:AN$105)&gt;0,$E$1=2),0,1)</f>
        <v>1</v>
      </c>
      <c r="AB26" s="68">
        <f ca="1">IF(AND(SUMIF(Capacity_Resource,$D26,'Critical resources (hide)'!AO$6:AO$105)+SUMIF(Capacity_Resource,$E26,'Critical resources (hide)'!AO$6:AO$105)+SUMIF(Capacity_Resource,$F26,'Critical resources (hide)'!AO$6:AO$105)&gt;0,$E$1=2),0,1)</f>
        <v>1</v>
      </c>
      <c r="AC26" s="68">
        <f ca="1">IF(AND(SUMIF(Capacity_Resource,$D26,'Critical resources (hide)'!AP$6:AP$105)+SUMIF(Capacity_Resource,$E26,'Critical resources (hide)'!AP$6:AP$105)+SUMIF(Capacity_Resource,$F26,'Critical resources (hide)'!AP$6:AP$105)&gt;0,$E$1=2),0,1)</f>
        <v>1</v>
      </c>
      <c r="AD26" s="68">
        <f ca="1">IF(AND(SUMIF(Capacity_Resource,$D26,'Critical resources (hide)'!AQ$6:AQ$105)+SUMIF(Capacity_Resource,$E26,'Critical resources (hide)'!AQ$6:AQ$105)+SUMIF(Capacity_Resource,$F26,'Critical resources (hide)'!AQ$6:AQ$105)&gt;0,$E$1=2),0,1)</f>
        <v>1</v>
      </c>
      <c r="AE26" s="68">
        <f ca="1">IF(AND(SUMIF(Capacity_Resource,$D26,'Critical resources (hide)'!AR$6:AR$105)+SUMIF(Capacity_Resource,$E26,'Critical resources (hide)'!AR$6:AR$105)+SUMIF(Capacity_Resource,$F26,'Critical resources (hide)'!AR$6:AR$105)&gt;0,$E$1=2),0,1)</f>
        <v>1</v>
      </c>
      <c r="AF26" s="68">
        <f ca="1">IF(AND(SUMIF(Capacity_Resource,$D26,'Critical resources (hide)'!AS$6:AS$105)+SUMIF(Capacity_Resource,$E26,'Critical resources (hide)'!AS$6:AS$105)+SUMIF(Capacity_Resource,$F26,'Critical resources (hide)'!AS$6:AS$105)&gt;0,$E$1=2),0,1)</f>
        <v>1</v>
      </c>
      <c r="AG26" s="68">
        <f ca="1">IF(AND(SUMIF(Capacity_Resource,$D26,'Critical resources (hide)'!AT$6:AT$105)+SUMIF(Capacity_Resource,$E26,'Critical resources (hide)'!AT$6:AT$105)+SUMIF(Capacity_Resource,$F26,'Critical resources (hide)'!AT$6:AT$105)&gt;0,$E$1=2),0,1)</f>
        <v>1</v>
      </c>
      <c r="AH26" s="68">
        <f ca="1">IF(AND(SUMIF(Capacity_Resource,$D26,'Critical resources (hide)'!AU$6:AU$105)+SUMIF(Capacity_Resource,$E26,'Critical resources (hide)'!AU$6:AU$105)+SUMIF(Capacity_Resource,$F26,'Critical resources (hide)'!AU$6:AU$105)&gt;0,$E$1=2),0,1)</f>
        <v>1</v>
      </c>
      <c r="AI26" s="68">
        <f ca="1">IF(AND(SUMIF(Capacity_Resource,$D26,'Critical resources (hide)'!AV$6:AV$105)+SUMIF(Capacity_Resource,$E26,'Critical resources (hide)'!AV$6:AV$105)+SUMIF(Capacity_Resource,$F26,'Critical resources (hide)'!AV$6:AV$105)&gt;0,$E$1=2),0,1)</f>
        <v>1</v>
      </c>
      <c r="AJ26" s="68">
        <f ca="1">IF(AND(SUMIF(Capacity_Resource,$D26,'Critical resources (hide)'!AW$6:AW$105)+SUMIF(Capacity_Resource,$E26,'Critical resources (hide)'!AW$6:AW$105)+SUMIF(Capacity_Resource,$F26,'Critical resources (hide)'!AW$6:AW$105)&gt;0,$E$1=2),0,1)</f>
        <v>1</v>
      </c>
      <c r="AK26" s="68">
        <f ca="1">IF(AND(SUMIF(Capacity_Resource,$D26,'Critical resources (hide)'!AX$6:AX$105)+SUMIF(Capacity_Resource,$E26,'Critical resources (hide)'!AX$6:AX$105)+SUMIF(Capacity_Resource,$F26,'Critical resources (hide)'!AX$6:AX$105)&gt;0,$E$1=2),0,1)</f>
        <v>1</v>
      </c>
      <c r="AL26" s="68">
        <f ca="1">IF(AND(SUMIF(Capacity_Resource,$D26,'Critical resources (hide)'!AY$6:AY$105)+SUMIF(Capacity_Resource,$E26,'Critical resources (hide)'!AY$6:AY$105)+SUMIF(Capacity_Resource,$F26,'Critical resources (hide)'!AY$6:AY$105)&gt;0,$E$1=2),0,1)</f>
        <v>1</v>
      </c>
      <c r="AM26" s="68">
        <f ca="1">IF(AND(SUMIF(Capacity_Resource,$D26,'Critical resources (hide)'!AZ$6:AZ$105)+SUMIF(Capacity_Resource,$E26,'Critical resources (hide)'!AZ$6:AZ$105)+SUMIF(Capacity_Resource,$F26,'Critical resources (hide)'!AZ$6:AZ$105)&gt;0,$E$1=2),0,1)</f>
        <v>1</v>
      </c>
      <c r="AN26" s="68">
        <f ca="1">IF(AND(SUMIF(Capacity_Resource,$D26,'Critical resources (hide)'!BA$6:BA$105)+SUMIF(Capacity_Resource,$E26,'Critical resources (hide)'!BA$6:BA$105)+SUMIF(Capacity_Resource,$F26,'Critical resources (hide)'!BA$6:BA$105)&gt;0,$E$1=2),0,1)</f>
        <v>1</v>
      </c>
      <c r="AO26" s="68">
        <f ca="1">IF(AND(SUMIF(Capacity_Resource,$D26,'Critical resources (hide)'!BB$6:BB$105)+SUMIF(Capacity_Resource,$E26,'Critical resources (hide)'!BB$6:BB$105)+SUMIF(Capacity_Resource,$F26,'Critical resources (hide)'!BB$6:BB$105)&gt;0,$E$1=2),0,1)</f>
        <v>1</v>
      </c>
      <c r="AP26" s="68">
        <f ca="1">IF(AND(SUMIF(Capacity_Resource,$D26,'Critical resources (hide)'!BC$6:BC$105)+SUMIF(Capacity_Resource,$E26,'Critical resources (hide)'!BC$6:BC$105)+SUMIF(Capacity_Resource,$F26,'Critical resources (hide)'!BC$6:BC$105)&gt;0,$E$1=2),0,1)</f>
        <v>1</v>
      </c>
      <c r="AQ26" s="68">
        <f ca="1">IF(AND(SUMIF(Capacity_Resource,$D26,'Critical resources (hide)'!BD$6:BD$105)+SUMIF(Capacity_Resource,$E26,'Critical resources (hide)'!BD$6:BD$105)+SUMIF(Capacity_Resource,$F26,'Critical resources (hide)'!BD$6:BD$105)&gt;0,$E$1=2),0,1)</f>
        <v>1</v>
      </c>
      <c r="AR26" s="68">
        <f ca="1">IF(AND(SUMIF(Capacity_Resource,$D26,'Critical resources (hide)'!BE$6:BE$105)+SUMIF(Capacity_Resource,$E26,'Critical resources (hide)'!BE$6:BE$105)+SUMIF(Capacity_Resource,$F26,'Critical resources (hide)'!BE$6:BE$105)&gt;0,$E$1=2),0,1)</f>
        <v>1</v>
      </c>
      <c r="AS26" s="68">
        <f ca="1">IF(AND(SUMIF(Capacity_Resource,$D26,'Critical resources (hide)'!BF$6:BF$105)+SUMIF(Capacity_Resource,$E26,'Critical resources (hide)'!BF$6:BF$105)+SUMIF(Capacity_Resource,$F26,'Critical resources (hide)'!BF$6:BF$105)&gt;0,$E$1=2),0,1)</f>
        <v>1</v>
      </c>
      <c r="AT26" s="68">
        <f ca="1">IF(AND(SUMIF(Capacity_Resource,$D26,'Critical resources (hide)'!BG$6:BG$105)+SUMIF(Capacity_Resource,$E26,'Critical resources (hide)'!BG$6:BG$105)+SUMIF(Capacity_Resource,$F26,'Critical resources (hide)'!BG$6:BG$105)&gt;0,$E$1=2),0,1)</f>
        <v>1</v>
      </c>
      <c r="AU26" s="68">
        <f ca="1">IF(AND(SUMIF(Capacity_Resource,$D26,'Critical resources (hide)'!BH$6:BH$105)+SUMIF(Capacity_Resource,$E26,'Critical resources (hide)'!BH$6:BH$105)+SUMIF(Capacity_Resource,$F26,'Critical resources (hide)'!BH$6:BH$105)&gt;0,$E$1=2),0,1)</f>
        <v>1</v>
      </c>
      <c r="AV26" s="68">
        <f ca="1">IF(AND(SUMIF(Capacity_Resource,$D26,'Critical resources (hide)'!BI$6:BI$105)+SUMIF(Capacity_Resource,$E26,'Critical resources (hide)'!BI$6:BI$105)+SUMIF(Capacity_Resource,$F26,'Critical resources (hide)'!BI$6:BI$105)&gt;0,$E$1=2),0,1)</f>
        <v>1</v>
      </c>
      <c r="AW26" s="68">
        <f ca="1">IF(AND(SUMIF(Capacity_Resource,$D26,'Critical resources (hide)'!BJ$6:BJ$105)+SUMIF(Capacity_Resource,$E26,'Critical resources (hide)'!BJ$6:BJ$105)+SUMIF(Capacity_Resource,$F26,'Critical resources (hide)'!BJ$6:BJ$105)&gt;0,$E$1=2),0,1)</f>
        <v>1</v>
      </c>
      <c r="AX26" s="68">
        <f ca="1">IF(AND(SUMIF(Capacity_Resource,$D26,'Critical resources (hide)'!BK$6:BK$105)+SUMIF(Capacity_Resource,$E26,'Critical resources (hide)'!BK$6:BK$105)+SUMIF(Capacity_Resource,$F26,'Critical resources (hide)'!BK$6:BK$105)&gt;0,$E$1=2),0,1)</f>
        <v>1</v>
      </c>
      <c r="AY26" s="68">
        <f ca="1">IF(AND(SUMIF(Capacity_Resource,$D26,'Critical resources (hide)'!BL$6:BL$105)+SUMIF(Capacity_Resource,$E26,'Critical resources (hide)'!BL$6:BL$105)+SUMIF(Capacity_Resource,$F26,'Critical resources (hide)'!BL$6:BL$105)&gt;0,$E$1=2),0,1)</f>
        <v>1</v>
      </c>
      <c r="AZ26" s="68">
        <f ca="1">IF(AND(SUMIF(Capacity_Resource,$D26,'Critical resources (hide)'!BM$6:BM$105)+SUMIF(Capacity_Resource,$E26,'Critical resources (hide)'!BM$6:BM$105)+SUMIF(Capacity_Resource,$F26,'Critical resources (hide)'!BM$6:BM$105)&gt;0,$E$1=2),0,1)</f>
        <v>1</v>
      </c>
      <c r="BA26" s="68">
        <f ca="1">IF(AND(SUMIF(Capacity_Resource,$D26,'Critical resources (hide)'!BN$6:BN$105)+SUMIF(Capacity_Resource,$E26,'Critical resources (hide)'!BN$6:BN$105)+SUMIF(Capacity_Resource,$F26,'Critical resources (hide)'!BN$6:BN$105)&gt;0,$E$1=2),0,1)</f>
        <v>1</v>
      </c>
      <c r="BB26" s="68">
        <f ca="1">IF(AND(SUMIF(Capacity_Resource,$D26,'Critical resources (hide)'!BO$6:BO$105)+SUMIF(Capacity_Resource,$E26,'Critical resources (hide)'!BO$6:BO$105)+SUMIF(Capacity_Resource,$F26,'Critical resources (hide)'!BO$6:BO$105)&gt;0,$E$1=2),0,1)</f>
        <v>1</v>
      </c>
      <c r="BC26" s="68">
        <f ca="1">IF(AND(SUMIF(Capacity_Resource,$D26,'Critical resources (hide)'!BP$6:BP$105)+SUMIF(Capacity_Resource,$E26,'Critical resources (hide)'!BP$6:BP$105)+SUMIF(Capacity_Resource,$F26,'Critical resources (hide)'!BP$6:BP$105)&gt;0,$E$1=2),0,1)</f>
        <v>1</v>
      </c>
      <c r="BD26" s="68">
        <f ca="1">IF(AND(SUMIF(Capacity_Resource,$D26,'Critical resources (hide)'!BQ$6:BQ$105)+SUMIF(Capacity_Resource,$E26,'Critical resources (hide)'!BQ$6:BQ$105)+SUMIF(Capacity_Resource,$F26,'Critical resources (hide)'!BQ$6:BQ$105)&gt;0,$E$1=2),0,1)</f>
        <v>1</v>
      </c>
      <c r="BE26" s="68">
        <f ca="1">IF(AND(SUMIF(Capacity_Resource,$D26,'Critical resources (hide)'!BR$6:BR$105)+SUMIF(Capacity_Resource,$E26,'Critical resources (hide)'!BR$6:BR$105)+SUMIF(Capacity_Resource,$F26,'Critical resources (hide)'!BR$6:BR$105)&gt;0,$E$1=2),0,1)</f>
        <v>1</v>
      </c>
      <c r="BF26" s="68">
        <f ca="1">IF(AND(SUMIF(Capacity_Resource,$D26,'Critical resources (hide)'!BS$6:BS$105)+SUMIF(Capacity_Resource,$E26,'Critical resources (hide)'!BS$6:BS$105)+SUMIF(Capacity_Resource,$F26,'Critical resources (hide)'!BS$6:BS$105)&gt;0,$E$1=2),0,1)</f>
        <v>1</v>
      </c>
      <c r="BG26" s="68">
        <f ca="1">IF(AND(SUMIF(Capacity_Resource,$D26,'Critical resources (hide)'!BT$6:BT$105)+SUMIF(Capacity_Resource,$E26,'Critical resources (hide)'!BT$6:BT$105)+SUMIF(Capacity_Resource,$F26,'Critical resources (hide)'!BT$6:BT$105)&gt;0,$E$1=2),0,1)</f>
        <v>1</v>
      </c>
      <c r="BH26" s="68">
        <f>IF(ROW(C22)&lt;=Capacity!$A$16,IF('Capacity summary'!$D$14="No",SUM(H26:BG26),'Capacity summary'!$E145),0)</f>
        <v>0</v>
      </c>
      <c r="BI26" s="5" t="str">
        <f>IF(BH26&gt;0,IF(BH26&lt;Capacity!E38,Capacity!F38,Capacity!H38/'Capacity calculation (hide)'!BH26),"")</f>
        <v/>
      </c>
      <c r="BK26" s="319">
        <f>IF($BI26&lt;&gt;"",IF('Capacity summary'!$D$14="Yes",IF(COUNTBLANK('Capacity summary'!$H145:$BG145)&lt;52,IF('Capacity summary'!H145&lt;&gt;"",$BI26*H26,0),H26*$BI26),H26*$BI26),0)</f>
        <v>0</v>
      </c>
      <c r="BL26" s="319">
        <f>IF($BI26&lt;&gt;"",IF('Capacity summary'!$D$14="Yes",IF(COUNTBLANK('Capacity summary'!$H145:$BG145)&lt;52,IF('Capacity summary'!I145&lt;&gt;"",$BI26*I26,0),I26*$BI26),I26*$BI26),0)</f>
        <v>0</v>
      </c>
      <c r="BM26" s="319">
        <f>IF($BI26&lt;&gt;"",IF('Capacity summary'!$D$14="Yes",IF(COUNTBLANK('Capacity summary'!$H145:$BG145)&lt;52,IF('Capacity summary'!J145&lt;&gt;"",$BI26*J26,0),J26*$BI26),J26*$BI26),0)</f>
        <v>0</v>
      </c>
      <c r="BN26" s="319">
        <f>IF($BI26&lt;&gt;"",IF('Capacity summary'!$D$14="Yes",IF(COUNTBLANK('Capacity summary'!$H145:$BG145)&lt;52,IF('Capacity summary'!K145&lt;&gt;"",$BI26*K26,0),K26*$BI26),K26*$BI26),0)</f>
        <v>0</v>
      </c>
      <c r="BO26" s="319">
        <f>IF($BI26&lt;&gt;"",IF('Capacity summary'!$D$14="Yes",IF(COUNTBLANK('Capacity summary'!$H145:$BG145)&lt;52,IF('Capacity summary'!L145&lt;&gt;"",$BI26*L26,0),L26*$BI26),L26*$BI26),0)</f>
        <v>0</v>
      </c>
      <c r="BP26" s="319">
        <f>IF($BI26&lt;&gt;"",IF('Capacity summary'!$D$14="Yes",IF(COUNTBLANK('Capacity summary'!$H145:$BG145)&lt;52,IF('Capacity summary'!M145&lt;&gt;"",$BI26*M26,0),M26*$BI26),M26*$BI26),0)</f>
        <v>0</v>
      </c>
      <c r="BQ26" s="319">
        <f>IF($BI26&lt;&gt;"",IF('Capacity summary'!$D$14="Yes",IF(COUNTBLANK('Capacity summary'!$H145:$BG145)&lt;52,IF('Capacity summary'!N145&lt;&gt;"",$BI26*N26,0),N26*$BI26),N26*$BI26),0)</f>
        <v>0</v>
      </c>
      <c r="BR26" s="319">
        <f>IF($BI26&lt;&gt;"",IF('Capacity summary'!$D$14="Yes",IF(COUNTBLANK('Capacity summary'!$H145:$BG145)&lt;52,IF('Capacity summary'!O145&lt;&gt;"",$BI26*O26,0),O26*$BI26),O26*$BI26),0)</f>
        <v>0</v>
      </c>
      <c r="BS26" s="319">
        <f>IF($BI26&lt;&gt;"",IF('Capacity summary'!$D$14="Yes",IF(COUNTBLANK('Capacity summary'!$H145:$BG145)&lt;52,IF('Capacity summary'!P145&lt;&gt;"",$BI26*P26,0),P26*$BI26),P26*$BI26),0)</f>
        <v>0</v>
      </c>
      <c r="BT26" s="319">
        <f>IF($BI26&lt;&gt;"",IF('Capacity summary'!$D$14="Yes",IF(COUNTBLANK('Capacity summary'!$H145:$BG145)&lt;52,IF('Capacity summary'!Q145&lt;&gt;"",$BI26*Q26,0),Q26*$BI26),Q26*$BI26),0)</f>
        <v>0</v>
      </c>
      <c r="BU26" s="319">
        <f>IF($BI26&lt;&gt;"",IF('Capacity summary'!$D$14="Yes",IF(COUNTBLANK('Capacity summary'!$H145:$BG145)&lt;52,IF('Capacity summary'!R145&lt;&gt;"",$BI26*R26,0),R26*$BI26),R26*$BI26),0)</f>
        <v>0</v>
      </c>
      <c r="BV26" s="319">
        <f>IF($BI26&lt;&gt;"",IF('Capacity summary'!$D$14="Yes",IF(COUNTBLANK('Capacity summary'!$H145:$BG145)&lt;52,IF('Capacity summary'!S145&lt;&gt;"",$BI26*S26,0),S26*$BI26),S26*$BI26),0)</f>
        <v>0</v>
      </c>
      <c r="BW26" s="319">
        <f>IF($BI26&lt;&gt;"",IF('Capacity summary'!$D$14="Yes",IF(COUNTBLANK('Capacity summary'!$H145:$BG145)&lt;52,IF('Capacity summary'!T145&lt;&gt;"",$BI26*T26,0),T26*$BI26),T26*$BI26),0)</f>
        <v>0</v>
      </c>
      <c r="BX26" s="319">
        <f>IF($BI26&lt;&gt;"",IF('Capacity summary'!$D$14="Yes",IF(COUNTBLANK('Capacity summary'!$H145:$BG145)&lt;52,IF('Capacity summary'!U145&lt;&gt;"",$BI26*U26,0),U26*$BI26),U26*$BI26),0)</f>
        <v>0</v>
      </c>
      <c r="BY26" s="319">
        <f>IF($BI26&lt;&gt;"",IF('Capacity summary'!$D$14="Yes",IF(COUNTBLANK('Capacity summary'!$H145:$BG145)&lt;52,IF('Capacity summary'!V145&lt;&gt;"",$BI26*V26,0),V26*$BI26),V26*$BI26),0)</f>
        <v>0</v>
      </c>
      <c r="BZ26" s="319">
        <f>IF($BI26&lt;&gt;"",IF('Capacity summary'!$D$14="Yes",IF(COUNTBLANK('Capacity summary'!$H145:$BG145)&lt;52,IF('Capacity summary'!W145&lt;&gt;"",$BI26*W26,0),W26*$BI26),W26*$BI26),0)</f>
        <v>0</v>
      </c>
      <c r="CA26" s="319">
        <f>IF($BI26&lt;&gt;"",IF('Capacity summary'!$D$14="Yes",IF(COUNTBLANK('Capacity summary'!$H145:$BG145)&lt;52,IF('Capacity summary'!X145&lt;&gt;"",$BI26*X26,0),X26*$BI26),X26*$BI26),0)</f>
        <v>0</v>
      </c>
      <c r="CB26" s="319">
        <f>IF($BI26&lt;&gt;"",IF('Capacity summary'!$D$14="Yes",IF(COUNTBLANK('Capacity summary'!$H145:$BG145)&lt;52,IF('Capacity summary'!Y145&lt;&gt;"",$BI26*Y26,0),Y26*$BI26),Y26*$BI26),0)</f>
        <v>0</v>
      </c>
      <c r="CC26" s="319">
        <f>IF($BI26&lt;&gt;"",IF('Capacity summary'!$D$14="Yes",IF(COUNTBLANK('Capacity summary'!$H145:$BG145)&lt;52,IF('Capacity summary'!Z145&lt;&gt;"",$BI26*Z26,0),Z26*$BI26),Z26*$BI26),0)</f>
        <v>0</v>
      </c>
      <c r="CD26" s="319">
        <f>IF($BI26&lt;&gt;"",IF('Capacity summary'!$D$14="Yes",IF(COUNTBLANK('Capacity summary'!$H145:$BG145)&lt;52,IF('Capacity summary'!AA145&lt;&gt;"",$BI26*AA26,0),AA26*$BI26),AA26*$BI26),0)</f>
        <v>0</v>
      </c>
      <c r="CE26" s="319">
        <f>IF($BI26&lt;&gt;"",IF('Capacity summary'!$D$14="Yes",IF(COUNTBLANK('Capacity summary'!$H145:$BG145)&lt;52,IF('Capacity summary'!AB145&lt;&gt;"",$BI26*AB26,0),AB26*$BI26),AB26*$BI26),0)</f>
        <v>0</v>
      </c>
      <c r="CF26" s="319">
        <f>IF($BI26&lt;&gt;"",IF('Capacity summary'!$D$14="Yes",IF(COUNTBLANK('Capacity summary'!$H145:$BG145)&lt;52,IF('Capacity summary'!AC145&lt;&gt;"",$BI26*AC26,0),AC26*$BI26),AC26*$BI26),0)</f>
        <v>0</v>
      </c>
      <c r="CG26" s="319">
        <f>IF($BI26&lt;&gt;"",IF('Capacity summary'!$D$14="Yes",IF(COUNTBLANK('Capacity summary'!$H145:$BG145)&lt;52,IF('Capacity summary'!AD145&lt;&gt;"",$BI26*AD26,0),AD26*$BI26),AD26*$BI26),0)</f>
        <v>0</v>
      </c>
      <c r="CH26" s="319">
        <f>IF($BI26&lt;&gt;"",IF('Capacity summary'!$D$14="Yes",IF(COUNTBLANK('Capacity summary'!$H145:$BG145)&lt;52,IF('Capacity summary'!AE145&lt;&gt;"",$BI26*AE26,0),AE26*$BI26),AE26*$BI26),0)</f>
        <v>0</v>
      </c>
      <c r="CI26" s="319">
        <f>IF($BI26&lt;&gt;"",IF('Capacity summary'!$D$14="Yes",IF(COUNTBLANK('Capacity summary'!$H145:$BG145)&lt;52,IF('Capacity summary'!AF145&lt;&gt;"",$BI26*AF26,0),AF26*$BI26),AF26*$BI26),0)</f>
        <v>0</v>
      </c>
      <c r="CJ26" s="319">
        <f>IF($BI26&lt;&gt;"",IF('Capacity summary'!$D$14="Yes",IF(COUNTBLANK('Capacity summary'!$H145:$BG145)&lt;52,IF('Capacity summary'!AG145&lt;&gt;"",$BI26*AG26,0),AG26*$BI26),AG26*$BI26),0)</f>
        <v>0</v>
      </c>
      <c r="CK26" s="319">
        <f>IF($BI26&lt;&gt;"",IF('Capacity summary'!$D$14="Yes",IF(COUNTBLANK('Capacity summary'!$H145:$BG145)&lt;52,IF('Capacity summary'!AH145&lt;&gt;"",$BI26*AH26,0),AH26*$BI26),AH26*$BI26),0)</f>
        <v>0</v>
      </c>
      <c r="CL26" s="319">
        <f>IF($BI26&lt;&gt;"",IF('Capacity summary'!$D$14="Yes",IF(COUNTBLANK('Capacity summary'!$H145:$BG145)&lt;52,IF('Capacity summary'!AI145&lt;&gt;"",$BI26*AI26,0),AI26*$BI26),AI26*$BI26),0)</f>
        <v>0</v>
      </c>
      <c r="CM26" s="319">
        <f>IF($BI26&lt;&gt;"",IF('Capacity summary'!$D$14="Yes",IF(COUNTBLANK('Capacity summary'!$H145:$BG145)&lt;52,IF('Capacity summary'!AJ145&lt;&gt;"",$BI26*AJ26,0),AJ26*$BI26),AJ26*$BI26),0)</f>
        <v>0</v>
      </c>
      <c r="CN26" s="319">
        <f>IF($BI26&lt;&gt;"",IF('Capacity summary'!$D$14="Yes",IF(COUNTBLANK('Capacity summary'!$H145:$BG145)&lt;52,IF('Capacity summary'!AK145&lt;&gt;"",$BI26*AK26,0),AK26*$BI26),AK26*$BI26),0)</f>
        <v>0</v>
      </c>
      <c r="CO26" s="319">
        <f>IF($BI26&lt;&gt;"",IF('Capacity summary'!$D$14="Yes",IF(COUNTBLANK('Capacity summary'!$H145:$BG145)&lt;52,IF('Capacity summary'!AL145&lt;&gt;"",$BI26*AL26,0),AL26*$BI26),AL26*$BI26),0)</f>
        <v>0</v>
      </c>
      <c r="CP26" s="319">
        <f>IF($BI26&lt;&gt;"",IF('Capacity summary'!$D$14="Yes",IF(COUNTBLANK('Capacity summary'!$H145:$BG145)&lt;52,IF('Capacity summary'!AM145&lt;&gt;"",$BI26*AM26,0),AM26*$BI26),AM26*$BI26),0)</f>
        <v>0</v>
      </c>
      <c r="CQ26" s="319">
        <f>IF($BI26&lt;&gt;"",IF('Capacity summary'!$D$14="Yes",IF(COUNTBLANK('Capacity summary'!$H145:$BG145)&lt;52,IF('Capacity summary'!AN145&lt;&gt;"",$BI26*AN26,0),AN26*$BI26),AN26*$BI26),0)</f>
        <v>0</v>
      </c>
      <c r="CR26" s="319">
        <f>IF($BI26&lt;&gt;"",IF('Capacity summary'!$D$14="Yes",IF(COUNTBLANK('Capacity summary'!$H145:$BG145)&lt;52,IF('Capacity summary'!AO145&lt;&gt;"",$BI26*AO26,0),AO26*$BI26),AO26*$BI26),0)</f>
        <v>0</v>
      </c>
      <c r="CS26" s="319">
        <f>IF($BI26&lt;&gt;"",IF('Capacity summary'!$D$14="Yes",IF(COUNTBLANK('Capacity summary'!$H145:$BG145)&lt;52,IF('Capacity summary'!AP145&lt;&gt;"",$BI26*AP26,0),AP26*$BI26),AP26*$BI26),0)</f>
        <v>0</v>
      </c>
      <c r="CT26" s="319">
        <f>IF($BI26&lt;&gt;"",IF('Capacity summary'!$D$14="Yes",IF(COUNTBLANK('Capacity summary'!$H145:$BG145)&lt;52,IF('Capacity summary'!AQ145&lt;&gt;"",$BI26*AQ26,0),AQ26*$BI26),AQ26*$BI26),0)</f>
        <v>0</v>
      </c>
      <c r="CU26" s="319">
        <f>IF($BI26&lt;&gt;"",IF('Capacity summary'!$D$14="Yes",IF(COUNTBLANK('Capacity summary'!$H145:$BG145)&lt;52,IF('Capacity summary'!AR145&lt;&gt;"",$BI26*AR26,0),AR26*$BI26),AR26*$BI26),0)</f>
        <v>0</v>
      </c>
      <c r="CV26" s="319">
        <f>IF($BI26&lt;&gt;"",IF('Capacity summary'!$D$14="Yes",IF(COUNTBLANK('Capacity summary'!$H145:$BG145)&lt;52,IF('Capacity summary'!AS145&lt;&gt;"",$BI26*AS26,0),AS26*$BI26),AS26*$BI26),0)</f>
        <v>0</v>
      </c>
      <c r="CW26" s="319">
        <f>IF($BI26&lt;&gt;"",IF('Capacity summary'!$D$14="Yes",IF(COUNTBLANK('Capacity summary'!$H145:$BG145)&lt;52,IF('Capacity summary'!AT145&lt;&gt;"",$BI26*AT26,0),AT26*$BI26),AT26*$BI26),0)</f>
        <v>0</v>
      </c>
      <c r="CX26" s="319">
        <f>IF($BI26&lt;&gt;"",IF('Capacity summary'!$D$14="Yes",IF(COUNTBLANK('Capacity summary'!$H145:$BG145)&lt;52,IF('Capacity summary'!AU145&lt;&gt;"",$BI26*AU26,0),AU26*$BI26),AU26*$BI26),0)</f>
        <v>0</v>
      </c>
      <c r="CY26" s="319">
        <f>IF($BI26&lt;&gt;"",IF('Capacity summary'!$D$14="Yes",IF(COUNTBLANK('Capacity summary'!$H145:$BG145)&lt;52,IF('Capacity summary'!AV145&lt;&gt;"",$BI26*AV26,0),AV26*$BI26),AV26*$BI26),0)</f>
        <v>0</v>
      </c>
      <c r="CZ26" s="319">
        <f>IF($BI26&lt;&gt;"",IF('Capacity summary'!$D$14="Yes",IF(COUNTBLANK('Capacity summary'!$H145:$BG145)&lt;52,IF('Capacity summary'!AW145&lt;&gt;"",$BI26*AW26,0),AW26*$BI26),AW26*$BI26),0)</f>
        <v>0</v>
      </c>
      <c r="DA26" s="319">
        <f>IF($BI26&lt;&gt;"",IF('Capacity summary'!$D$14="Yes",IF(COUNTBLANK('Capacity summary'!$H145:$BG145)&lt;52,IF('Capacity summary'!AX145&lt;&gt;"",$BI26*AX26,0),AX26*$BI26),AX26*$BI26),0)</f>
        <v>0</v>
      </c>
      <c r="DB26" s="319">
        <f>IF($BI26&lt;&gt;"",IF('Capacity summary'!$D$14="Yes",IF(COUNTBLANK('Capacity summary'!$H145:$BG145)&lt;52,IF('Capacity summary'!AY145&lt;&gt;"",$BI26*AY26,0),AY26*$BI26),AY26*$BI26),0)</f>
        <v>0</v>
      </c>
      <c r="DC26" s="319">
        <f>IF($BI26&lt;&gt;"",IF('Capacity summary'!$D$14="Yes",IF(COUNTBLANK('Capacity summary'!$H145:$BG145)&lt;52,IF('Capacity summary'!AZ145&lt;&gt;"",$BI26*AZ26,0),AZ26*$BI26),AZ26*$BI26),0)</f>
        <v>0</v>
      </c>
      <c r="DD26" s="319">
        <f>IF($BI26&lt;&gt;"",IF('Capacity summary'!$D$14="Yes",IF(COUNTBLANK('Capacity summary'!$H145:$BG145)&lt;52,IF('Capacity summary'!BA145&lt;&gt;"",$BI26*BA26,0),BA26*$BI26),BA26*$BI26),0)</f>
        <v>0</v>
      </c>
      <c r="DE26" s="319">
        <f>IF($BI26&lt;&gt;"",IF('Capacity summary'!$D$14="Yes",IF(COUNTBLANK('Capacity summary'!$H145:$BG145)&lt;52,IF('Capacity summary'!BB145&lt;&gt;"",$BI26*BB26,0),BB26*$BI26),BB26*$BI26),0)</f>
        <v>0</v>
      </c>
      <c r="DF26" s="319">
        <f>IF($BI26&lt;&gt;"",IF('Capacity summary'!$D$14="Yes",IF(COUNTBLANK('Capacity summary'!$H145:$BG145)&lt;52,IF('Capacity summary'!BC145&lt;&gt;"",$BI26*BC26,0),BC26*$BI26),BC26*$BI26),0)</f>
        <v>0</v>
      </c>
      <c r="DG26" s="319">
        <f>IF($BI26&lt;&gt;"",IF('Capacity summary'!$D$14="Yes",IF(COUNTBLANK('Capacity summary'!$H145:$BG145)&lt;52,IF('Capacity summary'!BD145&lt;&gt;"",$BI26*BD26,0),BD26*$BI26),BD26*$BI26),0)</f>
        <v>0</v>
      </c>
      <c r="DH26" s="319">
        <f>IF($BI26&lt;&gt;"",IF('Capacity summary'!$D$14="Yes",IF(COUNTBLANK('Capacity summary'!$H145:$BG145)&lt;52,IF('Capacity summary'!BE145&lt;&gt;"",$BI26*BE26,0),BE26*$BI26),BE26*$BI26),0)</f>
        <v>0</v>
      </c>
      <c r="DI26" s="319">
        <f>IF($BI26&lt;&gt;"",IF('Capacity summary'!$D$14="Yes",IF(COUNTBLANK('Capacity summary'!$H145:$BG145)&lt;52,IF('Capacity summary'!BF145&lt;&gt;"",$BI26*BF26,0),BF26*$BI26),BF26*$BI26),0)</f>
        <v>0</v>
      </c>
      <c r="DJ26" s="319">
        <f>IF($BI26&lt;&gt;"",IF('Capacity summary'!$D$14="Yes",IF(COUNTBLANK('Capacity summary'!$H145:$BG145)&lt;52,IF('Capacity summary'!BG145&lt;&gt;"",$BI26*BG26,0),BG26*$BI26),BG26*$BI26),0)</f>
        <v>0</v>
      </c>
      <c r="DK26" s="5">
        <f t="shared" si="2"/>
        <v>0</v>
      </c>
      <c r="DL26" s="5" t="str">
        <f>Capacity!H38</f>
        <v/>
      </c>
      <c r="DP26" s="5"/>
    </row>
    <row r="27" spans="2:120" x14ac:dyDescent="0.2">
      <c r="B27" s="68"/>
      <c r="C27" s="68" t="str">
        <f>ROW(A23)&amp;". "&amp;Capacity!B39</f>
        <v xml:space="preserve">23. </v>
      </c>
      <c r="D27" s="68">
        <f>'Capacity setup'!C34</f>
        <v>0</v>
      </c>
      <c r="E27" s="68">
        <f>'Capacity setup'!D34</f>
        <v>0</v>
      </c>
      <c r="F27" s="68">
        <f>'Capacity setup'!E34</f>
        <v>0</v>
      </c>
      <c r="H27" s="68">
        <f ca="1">IF(AND(SUMIF(Capacity_Resource,$D27,'Critical resources (hide)'!U$6:U$105)+SUMIF(Capacity_Resource,$E27,'Critical resources (hide)'!U$6:U$105)+SUMIF(Capacity_Resource,$F27,'Critical resources (hide)'!U$6:U$105)&gt;0,$E$1=2),0,1)</f>
        <v>1</v>
      </c>
      <c r="I27" s="68">
        <f ca="1">IF(AND(SUMIF(Capacity_Resource,$D27,'Critical resources (hide)'!V$6:V$105)+SUMIF(Capacity_Resource,$E27,'Critical resources (hide)'!V$6:V$105)+SUMIF(Capacity_Resource,$F27,'Critical resources (hide)'!V$6:V$105)&gt;0,$E$1=2),0,1)</f>
        <v>1</v>
      </c>
      <c r="J27" s="68">
        <f ca="1">IF(AND(SUMIF(Capacity_Resource,$D27,'Critical resources (hide)'!W$6:W$105)+SUMIF(Capacity_Resource,$E27,'Critical resources (hide)'!W$6:W$105)+SUMIF(Capacity_Resource,$F27,'Critical resources (hide)'!W$6:W$105)&gt;0,$E$1=2),0,1)</f>
        <v>1</v>
      </c>
      <c r="K27" s="68">
        <f ca="1">IF(AND(SUMIF(Capacity_Resource,$D27,'Critical resources (hide)'!X$6:X$105)+SUMIF(Capacity_Resource,$E27,'Critical resources (hide)'!X$6:X$105)+SUMIF(Capacity_Resource,$F27,'Critical resources (hide)'!X$6:X$105)&gt;0,$E$1=2),0,1)</f>
        <v>1</v>
      </c>
      <c r="L27" s="68">
        <f ca="1">IF(AND(SUMIF(Capacity_Resource,$D27,'Critical resources (hide)'!Y$6:Y$105)+SUMIF(Capacity_Resource,$E27,'Critical resources (hide)'!Y$6:Y$105)+SUMIF(Capacity_Resource,$F27,'Critical resources (hide)'!Y$6:Y$105)&gt;0,$E$1=2),0,1)</f>
        <v>1</v>
      </c>
      <c r="M27" s="68">
        <f ca="1">IF(AND(SUMIF(Capacity_Resource,$D27,'Critical resources (hide)'!Z$6:Z$105)+SUMIF(Capacity_Resource,$E27,'Critical resources (hide)'!Z$6:Z$105)+SUMIF(Capacity_Resource,$F27,'Critical resources (hide)'!Z$6:Z$105)&gt;0,$E$1=2),0,1)</f>
        <v>1</v>
      </c>
      <c r="N27" s="68">
        <f ca="1">IF(AND(SUMIF(Capacity_Resource,$D27,'Critical resources (hide)'!AA$6:AA$105)+SUMIF(Capacity_Resource,$E27,'Critical resources (hide)'!AA$6:AA$105)+SUMIF(Capacity_Resource,$F27,'Critical resources (hide)'!AA$6:AA$105)&gt;0,$E$1=2),0,1)</f>
        <v>1</v>
      </c>
      <c r="O27" s="68">
        <f ca="1">IF(AND(SUMIF(Capacity_Resource,$D27,'Critical resources (hide)'!AB$6:AB$105)+SUMIF(Capacity_Resource,$E27,'Critical resources (hide)'!AB$6:AB$105)+SUMIF(Capacity_Resource,$F27,'Critical resources (hide)'!AB$6:AB$105)&gt;0,$E$1=2),0,1)</f>
        <v>1</v>
      </c>
      <c r="P27" s="68">
        <f ca="1">IF(AND(SUMIF(Capacity_Resource,$D27,'Critical resources (hide)'!AC$6:AC$105)+SUMIF(Capacity_Resource,$E27,'Critical resources (hide)'!AC$6:AC$105)+SUMIF(Capacity_Resource,$F27,'Critical resources (hide)'!AC$6:AC$105)&gt;0,$E$1=2),0,1)</f>
        <v>1</v>
      </c>
      <c r="Q27" s="68">
        <f ca="1">IF(AND(SUMIF(Capacity_Resource,$D27,'Critical resources (hide)'!AD$6:AD$105)+SUMIF(Capacity_Resource,$E27,'Critical resources (hide)'!AD$6:AD$105)+SUMIF(Capacity_Resource,$F27,'Critical resources (hide)'!AD$6:AD$105)&gt;0,$E$1=2),0,1)</f>
        <v>1</v>
      </c>
      <c r="R27" s="68">
        <f ca="1">IF(AND(SUMIF(Capacity_Resource,$D27,'Critical resources (hide)'!AE$6:AE$105)+SUMIF(Capacity_Resource,$E27,'Critical resources (hide)'!AE$6:AE$105)+SUMIF(Capacity_Resource,$F27,'Critical resources (hide)'!AE$6:AE$105)&gt;0,$E$1=2),0,1)</f>
        <v>1</v>
      </c>
      <c r="S27" s="68">
        <f ca="1">IF(AND(SUMIF(Capacity_Resource,$D27,'Critical resources (hide)'!AF$6:AF$105)+SUMIF(Capacity_Resource,$E27,'Critical resources (hide)'!AF$6:AF$105)+SUMIF(Capacity_Resource,$F27,'Critical resources (hide)'!AF$6:AF$105)&gt;0,$E$1=2),0,1)</f>
        <v>1</v>
      </c>
      <c r="T27" s="68">
        <f ca="1">IF(AND(SUMIF(Capacity_Resource,$D27,'Critical resources (hide)'!AG$6:AG$105)+SUMIF(Capacity_Resource,$E27,'Critical resources (hide)'!AG$6:AG$105)+SUMIF(Capacity_Resource,$F27,'Critical resources (hide)'!AG$6:AG$105)&gt;0,$E$1=2),0,1)</f>
        <v>1</v>
      </c>
      <c r="U27" s="68">
        <f ca="1">IF(AND(SUMIF(Capacity_Resource,$D27,'Critical resources (hide)'!AH$6:AH$105)+SUMIF(Capacity_Resource,$E27,'Critical resources (hide)'!AH$6:AH$105)+SUMIF(Capacity_Resource,$F27,'Critical resources (hide)'!AH$6:AH$105)&gt;0,$E$1=2),0,1)</f>
        <v>1</v>
      </c>
      <c r="V27" s="68">
        <f ca="1">IF(AND(SUMIF(Capacity_Resource,$D27,'Critical resources (hide)'!AI$6:AI$105)+SUMIF(Capacity_Resource,$E27,'Critical resources (hide)'!AI$6:AI$105)+SUMIF(Capacity_Resource,$F27,'Critical resources (hide)'!AI$6:AI$105)&gt;0,$E$1=2),0,1)</f>
        <v>1</v>
      </c>
      <c r="W27" s="68">
        <f ca="1">IF(AND(SUMIF(Capacity_Resource,$D27,'Critical resources (hide)'!AJ$6:AJ$105)+SUMIF(Capacity_Resource,$E27,'Critical resources (hide)'!AJ$6:AJ$105)+SUMIF(Capacity_Resource,$F27,'Critical resources (hide)'!AJ$6:AJ$105)&gt;0,$E$1=2),0,1)</f>
        <v>1</v>
      </c>
      <c r="X27" s="68">
        <f ca="1">IF(AND(SUMIF(Capacity_Resource,$D27,'Critical resources (hide)'!AK$6:AK$105)+SUMIF(Capacity_Resource,$E27,'Critical resources (hide)'!AK$6:AK$105)+SUMIF(Capacity_Resource,$F27,'Critical resources (hide)'!AK$6:AK$105)&gt;0,$E$1=2),0,1)</f>
        <v>1</v>
      </c>
      <c r="Y27" s="68">
        <f ca="1">IF(AND(SUMIF(Capacity_Resource,$D27,'Critical resources (hide)'!AL$6:AL$105)+SUMIF(Capacity_Resource,$E27,'Critical resources (hide)'!AL$6:AL$105)+SUMIF(Capacity_Resource,$F27,'Critical resources (hide)'!AL$6:AL$105)&gt;0,$E$1=2),0,1)</f>
        <v>1</v>
      </c>
      <c r="Z27" s="68">
        <f ca="1">IF(AND(SUMIF(Capacity_Resource,$D27,'Critical resources (hide)'!AM$6:AM$105)+SUMIF(Capacity_Resource,$E27,'Critical resources (hide)'!AM$6:AM$105)+SUMIF(Capacity_Resource,$F27,'Critical resources (hide)'!AM$6:AM$105)&gt;0,$E$1=2),0,1)</f>
        <v>1</v>
      </c>
      <c r="AA27" s="68">
        <f ca="1">IF(AND(SUMIF(Capacity_Resource,$D27,'Critical resources (hide)'!AN$6:AN$105)+SUMIF(Capacity_Resource,$E27,'Critical resources (hide)'!AN$6:AN$105)+SUMIF(Capacity_Resource,$F27,'Critical resources (hide)'!AN$6:AN$105)&gt;0,$E$1=2),0,1)</f>
        <v>1</v>
      </c>
      <c r="AB27" s="68">
        <f ca="1">IF(AND(SUMIF(Capacity_Resource,$D27,'Critical resources (hide)'!AO$6:AO$105)+SUMIF(Capacity_Resource,$E27,'Critical resources (hide)'!AO$6:AO$105)+SUMIF(Capacity_Resource,$F27,'Critical resources (hide)'!AO$6:AO$105)&gt;0,$E$1=2),0,1)</f>
        <v>1</v>
      </c>
      <c r="AC27" s="68">
        <f ca="1">IF(AND(SUMIF(Capacity_Resource,$D27,'Critical resources (hide)'!AP$6:AP$105)+SUMIF(Capacity_Resource,$E27,'Critical resources (hide)'!AP$6:AP$105)+SUMIF(Capacity_Resource,$F27,'Critical resources (hide)'!AP$6:AP$105)&gt;0,$E$1=2),0,1)</f>
        <v>1</v>
      </c>
      <c r="AD27" s="68">
        <f ca="1">IF(AND(SUMIF(Capacity_Resource,$D27,'Critical resources (hide)'!AQ$6:AQ$105)+SUMIF(Capacity_Resource,$E27,'Critical resources (hide)'!AQ$6:AQ$105)+SUMIF(Capacity_Resource,$F27,'Critical resources (hide)'!AQ$6:AQ$105)&gt;0,$E$1=2),0,1)</f>
        <v>1</v>
      </c>
      <c r="AE27" s="68">
        <f ca="1">IF(AND(SUMIF(Capacity_Resource,$D27,'Critical resources (hide)'!AR$6:AR$105)+SUMIF(Capacity_Resource,$E27,'Critical resources (hide)'!AR$6:AR$105)+SUMIF(Capacity_Resource,$F27,'Critical resources (hide)'!AR$6:AR$105)&gt;0,$E$1=2),0,1)</f>
        <v>1</v>
      </c>
      <c r="AF27" s="68">
        <f ca="1">IF(AND(SUMIF(Capacity_Resource,$D27,'Critical resources (hide)'!AS$6:AS$105)+SUMIF(Capacity_Resource,$E27,'Critical resources (hide)'!AS$6:AS$105)+SUMIF(Capacity_Resource,$F27,'Critical resources (hide)'!AS$6:AS$105)&gt;0,$E$1=2),0,1)</f>
        <v>1</v>
      </c>
      <c r="AG27" s="68">
        <f ca="1">IF(AND(SUMIF(Capacity_Resource,$D27,'Critical resources (hide)'!AT$6:AT$105)+SUMIF(Capacity_Resource,$E27,'Critical resources (hide)'!AT$6:AT$105)+SUMIF(Capacity_Resource,$F27,'Critical resources (hide)'!AT$6:AT$105)&gt;0,$E$1=2),0,1)</f>
        <v>1</v>
      </c>
      <c r="AH27" s="68">
        <f ca="1">IF(AND(SUMIF(Capacity_Resource,$D27,'Critical resources (hide)'!AU$6:AU$105)+SUMIF(Capacity_Resource,$E27,'Critical resources (hide)'!AU$6:AU$105)+SUMIF(Capacity_Resource,$F27,'Critical resources (hide)'!AU$6:AU$105)&gt;0,$E$1=2),0,1)</f>
        <v>1</v>
      </c>
      <c r="AI27" s="68">
        <f ca="1">IF(AND(SUMIF(Capacity_Resource,$D27,'Critical resources (hide)'!AV$6:AV$105)+SUMIF(Capacity_Resource,$E27,'Critical resources (hide)'!AV$6:AV$105)+SUMIF(Capacity_Resource,$F27,'Critical resources (hide)'!AV$6:AV$105)&gt;0,$E$1=2),0,1)</f>
        <v>1</v>
      </c>
      <c r="AJ27" s="68">
        <f ca="1">IF(AND(SUMIF(Capacity_Resource,$D27,'Critical resources (hide)'!AW$6:AW$105)+SUMIF(Capacity_Resource,$E27,'Critical resources (hide)'!AW$6:AW$105)+SUMIF(Capacity_Resource,$F27,'Critical resources (hide)'!AW$6:AW$105)&gt;0,$E$1=2),0,1)</f>
        <v>1</v>
      </c>
      <c r="AK27" s="68">
        <f ca="1">IF(AND(SUMIF(Capacity_Resource,$D27,'Critical resources (hide)'!AX$6:AX$105)+SUMIF(Capacity_Resource,$E27,'Critical resources (hide)'!AX$6:AX$105)+SUMIF(Capacity_Resource,$F27,'Critical resources (hide)'!AX$6:AX$105)&gt;0,$E$1=2),0,1)</f>
        <v>1</v>
      </c>
      <c r="AL27" s="68">
        <f ca="1">IF(AND(SUMIF(Capacity_Resource,$D27,'Critical resources (hide)'!AY$6:AY$105)+SUMIF(Capacity_Resource,$E27,'Critical resources (hide)'!AY$6:AY$105)+SUMIF(Capacity_Resource,$F27,'Critical resources (hide)'!AY$6:AY$105)&gt;0,$E$1=2),0,1)</f>
        <v>1</v>
      </c>
      <c r="AM27" s="68">
        <f ca="1">IF(AND(SUMIF(Capacity_Resource,$D27,'Critical resources (hide)'!AZ$6:AZ$105)+SUMIF(Capacity_Resource,$E27,'Critical resources (hide)'!AZ$6:AZ$105)+SUMIF(Capacity_Resource,$F27,'Critical resources (hide)'!AZ$6:AZ$105)&gt;0,$E$1=2),0,1)</f>
        <v>1</v>
      </c>
      <c r="AN27" s="68">
        <f ca="1">IF(AND(SUMIF(Capacity_Resource,$D27,'Critical resources (hide)'!BA$6:BA$105)+SUMIF(Capacity_Resource,$E27,'Critical resources (hide)'!BA$6:BA$105)+SUMIF(Capacity_Resource,$F27,'Critical resources (hide)'!BA$6:BA$105)&gt;0,$E$1=2),0,1)</f>
        <v>1</v>
      </c>
      <c r="AO27" s="68">
        <f ca="1">IF(AND(SUMIF(Capacity_Resource,$D27,'Critical resources (hide)'!BB$6:BB$105)+SUMIF(Capacity_Resource,$E27,'Critical resources (hide)'!BB$6:BB$105)+SUMIF(Capacity_Resource,$F27,'Critical resources (hide)'!BB$6:BB$105)&gt;0,$E$1=2),0,1)</f>
        <v>1</v>
      </c>
      <c r="AP27" s="68">
        <f ca="1">IF(AND(SUMIF(Capacity_Resource,$D27,'Critical resources (hide)'!BC$6:BC$105)+SUMIF(Capacity_Resource,$E27,'Critical resources (hide)'!BC$6:BC$105)+SUMIF(Capacity_Resource,$F27,'Critical resources (hide)'!BC$6:BC$105)&gt;0,$E$1=2),0,1)</f>
        <v>1</v>
      </c>
      <c r="AQ27" s="68">
        <f ca="1">IF(AND(SUMIF(Capacity_Resource,$D27,'Critical resources (hide)'!BD$6:BD$105)+SUMIF(Capacity_Resource,$E27,'Critical resources (hide)'!BD$6:BD$105)+SUMIF(Capacity_Resource,$F27,'Critical resources (hide)'!BD$6:BD$105)&gt;0,$E$1=2),0,1)</f>
        <v>1</v>
      </c>
      <c r="AR27" s="68">
        <f ca="1">IF(AND(SUMIF(Capacity_Resource,$D27,'Critical resources (hide)'!BE$6:BE$105)+SUMIF(Capacity_Resource,$E27,'Critical resources (hide)'!BE$6:BE$105)+SUMIF(Capacity_Resource,$F27,'Critical resources (hide)'!BE$6:BE$105)&gt;0,$E$1=2),0,1)</f>
        <v>1</v>
      </c>
      <c r="AS27" s="68">
        <f ca="1">IF(AND(SUMIF(Capacity_Resource,$D27,'Critical resources (hide)'!BF$6:BF$105)+SUMIF(Capacity_Resource,$E27,'Critical resources (hide)'!BF$6:BF$105)+SUMIF(Capacity_Resource,$F27,'Critical resources (hide)'!BF$6:BF$105)&gt;0,$E$1=2),0,1)</f>
        <v>1</v>
      </c>
      <c r="AT27" s="68">
        <f ca="1">IF(AND(SUMIF(Capacity_Resource,$D27,'Critical resources (hide)'!BG$6:BG$105)+SUMIF(Capacity_Resource,$E27,'Critical resources (hide)'!BG$6:BG$105)+SUMIF(Capacity_Resource,$F27,'Critical resources (hide)'!BG$6:BG$105)&gt;0,$E$1=2),0,1)</f>
        <v>1</v>
      </c>
      <c r="AU27" s="68">
        <f ca="1">IF(AND(SUMIF(Capacity_Resource,$D27,'Critical resources (hide)'!BH$6:BH$105)+SUMIF(Capacity_Resource,$E27,'Critical resources (hide)'!BH$6:BH$105)+SUMIF(Capacity_Resource,$F27,'Critical resources (hide)'!BH$6:BH$105)&gt;0,$E$1=2),0,1)</f>
        <v>1</v>
      </c>
      <c r="AV27" s="68">
        <f ca="1">IF(AND(SUMIF(Capacity_Resource,$D27,'Critical resources (hide)'!BI$6:BI$105)+SUMIF(Capacity_Resource,$E27,'Critical resources (hide)'!BI$6:BI$105)+SUMIF(Capacity_Resource,$F27,'Critical resources (hide)'!BI$6:BI$105)&gt;0,$E$1=2),0,1)</f>
        <v>1</v>
      </c>
      <c r="AW27" s="68">
        <f ca="1">IF(AND(SUMIF(Capacity_Resource,$D27,'Critical resources (hide)'!BJ$6:BJ$105)+SUMIF(Capacity_Resource,$E27,'Critical resources (hide)'!BJ$6:BJ$105)+SUMIF(Capacity_Resource,$F27,'Critical resources (hide)'!BJ$6:BJ$105)&gt;0,$E$1=2),0,1)</f>
        <v>1</v>
      </c>
      <c r="AX27" s="68">
        <f ca="1">IF(AND(SUMIF(Capacity_Resource,$D27,'Critical resources (hide)'!BK$6:BK$105)+SUMIF(Capacity_Resource,$E27,'Critical resources (hide)'!BK$6:BK$105)+SUMIF(Capacity_Resource,$F27,'Critical resources (hide)'!BK$6:BK$105)&gt;0,$E$1=2),0,1)</f>
        <v>1</v>
      </c>
      <c r="AY27" s="68">
        <f ca="1">IF(AND(SUMIF(Capacity_Resource,$D27,'Critical resources (hide)'!BL$6:BL$105)+SUMIF(Capacity_Resource,$E27,'Critical resources (hide)'!BL$6:BL$105)+SUMIF(Capacity_Resource,$F27,'Critical resources (hide)'!BL$6:BL$105)&gt;0,$E$1=2),0,1)</f>
        <v>1</v>
      </c>
      <c r="AZ27" s="68">
        <f ca="1">IF(AND(SUMIF(Capacity_Resource,$D27,'Critical resources (hide)'!BM$6:BM$105)+SUMIF(Capacity_Resource,$E27,'Critical resources (hide)'!BM$6:BM$105)+SUMIF(Capacity_Resource,$F27,'Critical resources (hide)'!BM$6:BM$105)&gt;0,$E$1=2),0,1)</f>
        <v>1</v>
      </c>
      <c r="BA27" s="68">
        <f ca="1">IF(AND(SUMIF(Capacity_Resource,$D27,'Critical resources (hide)'!BN$6:BN$105)+SUMIF(Capacity_Resource,$E27,'Critical resources (hide)'!BN$6:BN$105)+SUMIF(Capacity_Resource,$F27,'Critical resources (hide)'!BN$6:BN$105)&gt;0,$E$1=2),0,1)</f>
        <v>1</v>
      </c>
      <c r="BB27" s="68">
        <f ca="1">IF(AND(SUMIF(Capacity_Resource,$D27,'Critical resources (hide)'!BO$6:BO$105)+SUMIF(Capacity_Resource,$E27,'Critical resources (hide)'!BO$6:BO$105)+SUMIF(Capacity_Resource,$F27,'Critical resources (hide)'!BO$6:BO$105)&gt;0,$E$1=2),0,1)</f>
        <v>1</v>
      </c>
      <c r="BC27" s="68">
        <f ca="1">IF(AND(SUMIF(Capacity_Resource,$D27,'Critical resources (hide)'!BP$6:BP$105)+SUMIF(Capacity_Resource,$E27,'Critical resources (hide)'!BP$6:BP$105)+SUMIF(Capacity_Resource,$F27,'Critical resources (hide)'!BP$6:BP$105)&gt;0,$E$1=2),0,1)</f>
        <v>1</v>
      </c>
      <c r="BD27" s="68">
        <f ca="1">IF(AND(SUMIF(Capacity_Resource,$D27,'Critical resources (hide)'!BQ$6:BQ$105)+SUMIF(Capacity_Resource,$E27,'Critical resources (hide)'!BQ$6:BQ$105)+SUMIF(Capacity_Resource,$F27,'Critical resources (hide)'!BQ$6:BQ$105)&gt;0,$E$1=2),0,1)</f>
        <v>1</v>
      </c>
      <c r="BE27" s="68">
        <f ca="1">IF(AND(SUMIF(Capacity_Resource,$D27,'Critical resources (hide)'!BR$6:BR$105)+SUMIF(Capacity_Resource,$E27,'Critical resources (hide)'!BR$6:BR$105)+SUMIF(Capacity_Resource,$F27,'Critical resources (hide)'!BR$6:BR$105)&gt;0,$E$1=2),0,1)</f>
        <v>1</v>
      </c>
      <c r="BF27" s="68">
        <f ca="1">IF(AND(SUMIF(Capacity_Resource,$D27,'Critical resources (hide)'!BS$6:BS$105)+SUMIF(Capacity_Resource,$E27,'Critical resources (hide)'!BS$6:BS$105)+SUMIF(Capacity_Resource,$F27,'Critical resources (hide)'!BS$6:BS$105)&gt;0,$E$1=2),0,1)</f>
        <v>1</v>
      </c>
      <c r="BG27" s="68">
        <f ca="1">IF(AND(SUMIF(Capacity_Resource,$D27,'Critical resources (hide)'!BT$6:BT$105)+SUMIF(Capacity_Resource,$E27,'Critical resources (hide)'!BT$6:BT$105)+SUMIF(Capacity_Resource,$F27,'Critical resources (hide)'!BT$6:BT$105)&gt;0,$E$1=2),0,1)</f>
        <v>1</v>
      </c>
      <c r="BH27" s="68">
        <f>IF(ROW(C23)&lt;=Capacity!$A$16,IF('Capacity summary'!$D$14="No",SUM(H27:BG27),'Capacity summary'!$E146),0)</f>
        <v>0</v>
      </c>
      <c r="BI27" s="5" t="str">
        <f>IF(BH27&gt;0,IF(BH27&lt;Capacity!E39,Capacity!F39,Capacity!H39/'Capacity calculation (hide)'!BH27),"")</f>
        <v/>
      </c>
      <c r="BK27" s="319">
        <f>IF($BI27&lt;&gt;"",IF('Capacity summary'!$D$14="Yes",IF(COUNTBLANK('Capacity summary'!$H146:$BG146)&lt;52,IF('Capacity summary'!H146&lt;&gt;"",$BI27*H27,0),H27*$BI27),H27*$BI27),0)</f>
        <v>0</v>
      </c>
      <c r="BL27" s="319">
        <f>IF($BI27&lt;&gt;"",IF('Capacity summary'!$D$14="Yes",IF(COUNTBLANK('Capacity summary'!$H146:$BG146)&lt;52,IF('Capacity summary'!I146&lt;&gt;"",$BI27*I27,0),I27*$BI27),I27*$BI27),0)</f>
        <v>0</v>
      </c>
      <c r="BM27" s="319">
        <f>IF($BI27&lt;&gt;"",IF('Capacity summary'!$D$14="Yes",IF(COUNTBLANK('Capacity summary'!$H146:$BG146)&lt;52,IF('Capacity summary'!J146&lt;&gt;"",$BI27*J27,0),J27*$BI27),J27*$BI27),0)</f>
        <v>0</v>
      </c>
      <c r="BN27" s="319">
        <f>IF($BI27&lt;&gt;"",IF('Capacity summary'!$D$14="Yes",IF(COUNTBLANK('Capacity summary'!$H146:$BG146)&lt;52,IF('Capacity summary'!K146&lt;&gt;"",$BI27*K27,0),K27*$BI27),K27*$BI27),0)</f>
        <v>0</v>
      </c>
      <c r="BO27" s="319">
        <f>IF($BI27&lt;&gt;"",IF('Capacity summary'!$D$14="Yes",IF(COUNTBLANK('Capacity summary'!$H146:$BG146)&lt;52,IF('Capacity summary'!L146&lt;&gt;"",$BI27*L27,0),L27*$BI27),L27*$BI27),0)</f>
        <v>0</v>
      </c>
      <c r="BP27" s="319">
        <f>IF($BI27&lt;&gt;"",IF('Capacity summary'!$D$14="Yes",IF(COUNTBLANK('Capacity summary'!$H146:$BG146)&lt;52,IF('Capacity summary'!M146&lt;&gt;"",$BI27*M27,0),M27*$BI27),M27*$BI27),0)</f>
        <v>0</v>
      </c>
      <c r="BQ27" s="319">
        <f>IF($BI27&lt;&gt;"",IF('Capacity summary'!$D$14="Yes",IF(COUNTBLANK('Capacity summary'!$H146:$BG146)&lt;52,IF('Capacity summary'!N146&lt;&gt;"",$BI27*N27,0),N27*$BI27),N27*$BI27),0)</f>
        <v>0</v>
      </c>
      <c r="BR27" s="319">
        <f>IF($BI27&lt;&gt;"",IF('Capacity summary'!$D$14="Yes",IF(COUNTBLANK('Capacity summary'!$H146:$BG146)&lt;52,IF('Capacity summary'!O146&lt;&gt;"",$BI27*O27,0),O27*$BI27),O27*$BI27),0)</f>
        <v>0</v>
      </c>
      <c r="BS27" s="319">
        <f>IF($BI27&lt;&gt;"",IF('Capacity summary'!$D$14="Yes",IF(COUNTBLANK('Capacity summary'!$H146:$BG146)&lt;52,IF('Capacity summary'!P146&lt;&gt;"",$BI27*P27,0),P27*$BI27),P27*$BI27),0)</f>
        <v>0</v>
      </c>
      <c r="BT27" s="319">
        <f>IF($BI27&lt;&gt;"",IF('Capacity summary'!$D$14="Yes",IF(COUNTBLANK('Capacity summary'!$H146:$BG146)&lt;52,IF('Capacity summary'!Q146&lt;&gt;"",$BI27*Q27,0),Q27*$BI27),Q27*$BI27),0)</f>
        <v>0</v>
      </c>
      <c r="BU27" s="319">
        <f>IF($BI27&lt;&gt;"",IF('Capacity summary'!$D$14="Yes",IF(COUNTBLANK('Capacity summary'!$H146:$BG146)&lt;52,IF('Capacity summary'!R146&lt;&gt;"",$BI27*R27,0),R27*$BI27),R27*$BI27),0)</f>
        <v>0</v>
      </c>
      <c r="BV27" s="319">
        <f>IF($BI27&lt;&gt;"",IF('Capacity summary'!$D$14="Yes",IF(COUNTBLANK('Capacity summary'!$H146:$BG146)&lt;52,IF('Capacity summary'!S146&lt;&gt;"",$BI27*S27,0),S27*$BI27),S27*$BI27),0)</f>
        <v>0</v>
      </c>
      <c r="BW27" s="319">
        <f>IF($BI27&lt;&gt;"",IF('Capacity summary'!$D$14="Yes",IF(COUNTBLANK('Capacity summary'!$H146:$BG146)&lt;52,IF('Capacity summary'!T146&lt;&gt;"",$BI27*T27,0),T27*$BI27),T27*$BI27),0)</f>
        <v>0</v>
      </c>
      <c r="BX27" s="319">
        <f>IF($BI27&lt;&gt;"",IF('Capacity summary'!$D$14="Yes",IF(COUNTBLANK('Capacity summary'!$H146:$BG146)&lt;52,IF('Capacity summary'!U146&lt;&gt;"",$BI27*U27,0),U27*$BI27),U27*$BI27),0)</f>
        <v>0</v>
      </c>
      <c r="BY27" s="319">
        <f>IF($BI27&lt;&gt;"",IF('Capacity summary'!$D$14="Yes",IF(COUNTBLANK('Capacity summary'!$H146:$BG146)&lt;52,IF('Capacity summary'!V146&lt;&gt;"",$BI27*V27,0),V27*$BI27),V27*$BI27),0)</f>
        <v>0</v>
      </c>
      <c r="BZ27" s="319">
        <f>IF($BI27&lt;&gt;"",IF('Capacity summary'!$D$14="Yes",IF(COUNTBLANK('Capacity summary'!$H146:$BG146)&lt;52,IF('Capacity summary'!W146&lt;&gt;"",$BI27*W27,0),W27*$BI27),W27*$BI27),0)</f>
        <v>0</v>
      </c>
      <c r="CA27" s="319">
        <f>IF($BI27&lt;&gt;"",IF('Capacity summary'!$D$14="Yes",IF(COUNTBLANK('Capacity summary'!$H146:$BG146)&lt;52,IF('Capacity summary'!X146&lt;&gt;"",$BI27*X27,0),X27*$BI27),X27*$BI27),0)</f>
        <v>0</v>
      </c>
      <c r="CB27" s="319">
        <f>IF($BI27&lt;&gt;"",IF('Capacity summary'!$D$14="Yes",IF(COUNTBLANK('Capacity summary'!$H146:$BG146)&lt;52,IF('Capacity summary'!Y146&lt;&gt;"",$BI27*Y27,0),Y27*$BI27),Y27*$BI27),0)</f>
        <v>0</v>
      </c>
      <c r="CC27" s="319">
        <f>IF($BI27&lt;&gt;"",IF('Capacity summary'!$D$14="Yes",IF(COUNTBLANK('Capacity summary'!$H146:$BG146)&lt;52,IF('Capacity summary'!Z146&lt;&gt;"",$BI27*Z27,0),Z27*$BI27),Z27*$BI27),0)</f>
        <v>0</v>
      </c>
      <c r="CD27" s="319">
        <f>IF($BI27&lt;&gt;"",IF('Capacity summary'!$D$14="Yes",IF(COUNTBLANK('Capacity summary'!$H146:$BG146)&lt;52,IF('Capacity summary'!AA146&lt;&gt;"",$BI27*AA27,0),AA27*$BI27),AA27*$BI27),0)</f>
        <v>0</v>
      </c>
      <c r="CE27" s="319">
        <f>IF($BI27&lt;&gt;"",IF('Capacity summary'!$D$14="Yes",IF(COUNTBLANK('Capacity summary'!$H146:$BG146)&lt;52,IF('Capacity summary'!AB146&lt;&gt;"",$BI27*AB27,0),AB27*$BI27),AB27*$BI27),0)</f>
        <v>0</v>
      </c>
      <c r="CF27" s="319">
        <f>IF($BI27&lt;&gt;"",IF('Capacity summary'!$D$14="Yes",IF(COUNTBLANK('Capacity summary'!$H146:$BG146)&lt;52,IF('Capacity summary'!AC146&lt;&gt;"",$BI27*AC27,0),AC27*$BI27),AC27*$BI27),0)</f>
        <v>0</v>
      </c>
      <c r="CG27" s="319">
        <f>IF($BI27&lt;&gt;"",IF('Capacity summary'!$D$14="Yes",IF(COUNTBLANK('Capacity summary'!$H146:$BG146)&lt;52,IF('Capacity summary'!AD146&lt;&gt;"",$BI27*AD27,0),AD27*$BI27),AD27*$BI27),0)</f>
        <v>0</v>
      </c>
      <c r="CH27" s="319">
        <f>IF($BI27&lt;&gt;"",IF('Capacity summary'!$D$14="Yes",IF(COUNTBLANK('Capacity summary'!$H146:$BG146)&lt;52,IF('Capacity summary'!AE146&lt;&gt;"",$BI27*AE27,0),AE27*$BI27),AE27*$BI27),0)</f>
        <v>0</v>
      </c>
      <c r="CI27" s="319">
        <f>IF($BI27&lt;&gt;"",IF('Capacity summary'!$D$14="Yes",IF(COUNTBLANK('Capacity summary'!$H146:$BG146)&lt;52,IF('Capacity summary'!AF146&lt;&gt;"",$BI27*AF27,0),AF27*$BI27),AF27*$BI27),0)</f>
        <v>0</v>
      </c>
      <c r="CJ27" s="319">
        <f>IF($BI27&lt;&gt;"",IF('Capacity summary'!$D$14="Yes",IF(COUNTBLANK('Capacity summary'!$H146:$BG146)&lt;52,IF('Capacity summary'!AG146&lt;&gt;"",$BI27*AG27,0),AG27*$BI27),AG27*$BI27),0)</f>
        <v>0</v>
      </c>
      <c r="CK27" s="319">
        <f>IF($BI27&lt;&gt;"",IF('Capacity summary'!$D$14="Yes",IF(COUNTBLANK('Capacity summary'!$H146:$BG146)&lt;52,IF('Capacity summary'!AH146&lt;&gt;"",$BI27*AH27,0),AH27*$BI27),AH27*$BI27),0)</f>
        <v>0</v>
      </c>
      <c r="CL27" s="319">
        <f>IF($BI27&lt;&gt;"",IF('Capacity summary'!$D$14="Yes",IF(COUNTBLANK('Capacity summary'!$H146:$BG146)&lt;52,IF('Capacity summary'!AI146&lt;&gt;"",$BI27*AI27,0),AI27*$BI27),AI27*$BI27),0)</f>
        <v>0</v>
      </c>
      <c r="CM27" s="319">
        <f>IF($BI27&lt;&gt;"",IF('Capacity summary'!$D$14="Yes",IF(COUNTBLANK('Capacity summary'!$H146:$BG146)&lt;52,IF('Capacity summary'!AJ146&lt;&gt;"",$BI27*AJ27,0),AJ27*$BI27),AJ27*$BI27),0)</f>
        <v>0</v>
      </c>
      <c r="CN27" s="319">
        <f>IF($BI27&lt;&gt;"",IF('Capacity summary'!$D$14="Yes",IF(COUNTBLANK('Capacity summary'!$H146:$BG146)&lt;52,IF('Capacity summary'!AK146&lt;&gt;"",$BI27*AK27,0),AK27*$BI27),AK27*$BI27),0)</f>
        <v>0</v>
      </c>
      <c r="CO27" s="319">
        <f>IF($BI27&lt;&gt;"",IF('Capacity summary'!$D$14="Yes",IF(COUNTBLANK('Capacity summary'!$H146:$BG146)&lt;52,IF('Capacity summary'!AL146&lt;&gt;"",$BI27*AL27,0),AL27*$BI27),AL27*$BI27),0)</f>
        <v>0</v>
      </c>
      <c r="CP27" s="319">
        <f>IF($BI27&lt;&gt;"",IF('Capacity summary'!$D$14="Yes",IF(COUNTBLANK('Capacity summary'!$H146:$BG146)&lt;52,IF('Capacity summary'!AM146&lt;&gt;"",$BI27*AM27,0),AM27*$BI27),AM27*$BI27),0)</f>
        <v>0</v>
      </c>
      <c r="CQ27" s="319">
        <f>IF($BI27&lt;&gt;"",IF('Capacity summary'!$D$14="Yes",IF(COUNTBLANK('Capacity summary'!$H146:$BG146)&lt;52,IF('Capacity summary'!AN146&lt;&gt;"",$BI27*AN27,0),AN27*$BI27),AN27*$BI27),0)</f>
        <v>0</v>
      </c>
      <c r="CR27" s="319">
        <f>IF($BI27&lt;&gt;"",IF('Capacity summary'!$D$14="Yes",IF(COUNTBLANK('Capacity summary'!$H146:$BG146)&lt;52,IF('Capacity summary'!AO146&lt;&gt;"",$BI27*AO27,0),AO27*$BI27),AO27*$BI27),0)</f>
        <v>0</v>
      </c>
      <c r="CS27" s="319">
        <f>IF($BI27&lt;&gt;"",IF('Capacity summary'!$D$14="Yes",IF(COUNTBLANK('Capacity summary'!$H146:$BG146)&lt;52,IF('Capacity summary'!AP146&lt;&gt;"",$BI27*AP27,0),AP27*$BI27),AP27*$BI27),0)</f>
        <v>0</v>
      </c>
      <c r="CT27" s="319">
        <f>IF($BI27&lt;&gt;"",IF('Capacity summary'!$D$14="Yes",IF(COUNTBLANK('Capacity summary'!$H146:$BG146)&lt;52,IF('Capacity summary'!AQ146&lt;&gt;"",$BI27*AQ27,0),AQ27*$BI27),AQ27*$BI27),0)</f>
        <v>0</v>
      </c>
      <c r="CU27" s="319">
        <f>IF($BI27&lt;&gt;"",IF('Capacity summary'!$D$14="Yes",IF(COUNTBLANK('Capacity summary'!$H146:$BG146)&lt;52,IF('Capacity summary'!AR146&lt;&gt;"",$BI27*AR27,0),AR27*$BI27),AR27*$BI27),0)</f>
        <v>0</v>
      </c>
      <c r="CV27" s="319">
        <f>IF($BI27&lt;&gt;"",IF('Capacity summary'!$D$14="Yes",IF(COUNTBLANK('Capacity summary'!$H146:$BG146)&lt;52,IF('Capacity summary'!AS146&lt;&gt;"",$BI27*AS27,0),AS27*$BI27),AS27*$BI27),0)</f>
        <v>0</v>
      </c>
      <c r="CW27" s="319">
        <f>IF($BI27&lt;&gt;"",IF('Capacity summary'!$D$14="Yes",IF(COUNTBLANK('Capacity summary'!$H146:$BG146)&lt;52,IF('Capacity summary'!AT146&lt;&gt;"",$BI27*AT27,0),AT27*$BI27),AT27*$BI27),0)</f>
        <v>0</v>
      </c>
      <c r="CX27" s="319">
        <f>IF($BI27&lt;&gt;"",IF('Capacity summary'!$D$14="Yes",IF(COUNTBLANK('Capacity summary'!$H146:$BG146)&lt;52,IF('Capacity summary'!AU146&lt;&gt;"",$BI27*AU27,0),AU27*$BI27),AU27*$BI27),0)</f>
        <v>0</v>
      </c>
      <c r="CY27" s="319">
        <f>IF($BI27&lt;&gt;"",IF('Capacity summary'!$D$14="Yes",IF(COUNTBLANK('Capacity summary'!$H146:$BG146)&lt;52,IF('Capacity summary'!AV146&lt;&gt;"",$BI27*AV27,0),AV27*$BI27),AV27*$BI27),0)</f>
        <v>0</v>
      </c>
      <c r="CZ27" s="319">
        <f>IF($BI27&lt;&gt;"",IF('Capacity summary'!$D$14="Yes",IF(COUNTBLANK('Capacity summary'!$H146:$BG146)&lt;52,IF('Capacity summary'!AW146&lt;&gt;"",$BI27*AW27,0),AW27*$BI27),AW27*$BI27),0)</f>
        <v>0</v>
      </c>
      <c r="DA27" s="319">
        <f>IF($BI27&lt;&gt;"",IF('Capacity summary'!$D$14="Yes",IF(COUNTBLANK('Capacity summary'!$H146:$BG146)&lt;52,IF('Capacity summary'!AX146&lt;&gt;"",$BI27*AX27,0),AX27*$BI27),AX27*$BI27),0)</f>
        <v>0</v>
      </c>
      <c r="DB27" s="319">
        <f>IF($BI27&lt;&gt;"",IF('Capacity summary'!$D$14="Yes",IF(COUNTBLANK('Capacity summary'!$H146:$BG146)&lt;52,IF('Capacity summary'!AY146&lt;&gt;"",$BI27*AY27,0),AY27*$BI27),AY27*$BI27),0)</f>
        <v>0</v>
      </c>
      <c r="DC27" s="319">
        <f>IF($BI27&lt;&gt;"",IF('Capacity summary'!$D$14="Yes",IF(COUNTBLANK('Capacity summary'!$H146:$BG146)&lt;52,IF('Capacity summary'!AZ146&lt;&gt;"",$BI27*AZ27,0),AZ27*$BI27),AZ27*$BI27),0)</f>
        <v>0</v>
      </c>
      <c r="DD27" s="319">
        <f>IF($BI27&lt;&gt;"",IF('Capacity summary'!$D$14="Yes",IF(COUNTBLANK('Capacity summary'!$H146:$BG146)&lt;52,IF('Capacity summary'!BA146&lt;&gt;"",$BI27*BA27,0),BA27*$BI27),BA27*$BI27),0)</f>
        <v>0</v>
      </c>
      <c r="DE27" s="319">
        <f>IF($BI27&lt;&gt;"",IF('Capacity summary'!$D$14="Yes",IF(COUNTBLANK('Capacity summary'!$H146:$BG146)&lt;52,IF('Capacity summary'!BB146&lt;&gt;"",$BI27*BB27,0),BB27*$BI27),BB27*$BI27),0)</f>
        <v>0</v>
      </c>
      <c r="DF27" s="319">
        <f>IF($BI27&lt;&gt;"",IF('Capacity summary'!$D$14="Yes",IF(COUNTBLANK('Capacity summary'!$H146:$BG146)&lt;52,IF('Capacity summary'!BC146&lt;&gt;"",$BI27*BC27,0),BC27*$BI27),BC27*$BI27),0)</f>
        <v>0</v>
      </c>
      <c r="DG27" s="319">
        <f>IF($BI27&lt;&gt;"",IF('Capacity summary'!$D$14="Yes",IF(COUNTBLANK('Capacity summary'!$H146:$BG146)&lt;52,IF('Capacity summary'!BD146&lt;&gt;"",$BI27*BD27,0),BD27*$BI27),BD27*$BI27),0)</f>
        <v>0</v>
      </c>
      <c r="DH27" s="319">
        <f>IF($BI27&lt;&gt;"",IF('Capacity summary'!$D$14="Yes",IF(COUNTBLANK('Capacity summary'!$H146:$BG146)&lt;52,IF('Capacity summary'!BE146&lt;&gt;"",$BI27*BE27,0),BE27*$BI27),BE27*$BI27),0)</f>
        <v>0</v>
      </c>
      <c r="DI27" s="319">
        <f>IF($BI27&lt;&gt;"",IF('Capacity summary'!$D$14="Yes",IF(COUNTBLANK('Capacity summary'!$H146:$BG146)&lt;52,IF('Capacity summary'!BF146&lt;&gt;"",$BI27*BF27,0),BF27*$BI27),BF27*$BI27),0)</f>
        <v>0</v>
      </c>
      <c r="DJ27" s="319">
        <f>IF($BI27&lt;&gt;"",IF('Capacity summary'!$D$14="Yes",IF(COUNTBLANK('Capacity summary'!$H146:$BG146)&lt;52,IF('Capacity summary'!BG146&lt;&gt;"",$BI27*BG27,0),BG27*$BI27),BG27*$BI27),0)</f>
        <v>0</v>
      </c>
      <c r="DK27" s="5">
        <f t="shared" si="2"/>
        <v>0</v>
      </c>
      <c r="DL27" s="5" t="str">
        <f>Capacity!H39</f>
        <v/>
      </c>
      <c r="DP27" s="5"/>
    </row>
    <row r="28" spans="2:120" x14ac:dyDescent="0.2">
      <c r="B28" s="68"/>
      <c r="C28" s="68" t="str">
        <f>ROW(A24)&amp;". "&amp;Capacity!B40</f>
        <v xml:space="preserve">24. </v>
      </c>
      <c r="D28" s="68">
        <f>'Capacity setup'!C35</f>
        <v>0</v>
      </c>
      <c r="E28" s="68">
        <f>'Capacity setup'!D35</f>
        <v>0</v>
      </c>
      <c r="F28" s="68">
        <f>'Capacity setup'!E35</f>
        <v>0</v>
      </c>
      <c r="H28" s="68">
        <f ca="1">IF(AND(SUMIF(Capacity_Resource,$D28,'Critical resources (hide)'!U$6:U$105)+SUMIF(Capacity_Resource,$E28,'Critical resources (hide)'!U$6:U$105)+SUMIF(Capacity_Resource,$F28,'Critical resources (hide)'!U$6:U$105)&gt;0,$E$1=2),0,1)</f>
        <v>1</v>
      </c>
      <c r="I28" s="68">
        <f ca="1">IF(AND(SUMIF(Capacity_Resource,$D28,'Critical resources (hide)'!V$6:V$105)+SUMIF(Capacity_Resource,$E28,'Critical resources (hide)'!V$6:V$105)+SUMIF(Capacity_Resource,$F28,'Critical resources (hide)'!V$6:V$105)&gt;0,$E$1=2),0,1)</f>
        <v>1</v>
      </c>
      <c r="J28" s="68">
        <f ca="1">IF(AND(SUMIF(Capacity_Resource,$D28,'Critical resources (hide)'!W$6:W$105)+SUMIF(Capacity_Resource,$E28,'Critical resources (hide)'!W$6:W$105)+SUMIF(Capacity_Resource,$F28,'Critical resources (hide)'!W$6:W$105)&gt;0,$E$1=2),0,1)</f>
        <v>1</v>
      </c>
      <c r="K28" s="68">
        <f ca="1">IF(AND(SUMIF(Capacity_Resource,$D28,'Critical resources (hide)'!X$6:X$105)+SUMIF(Capacity_Resource,$E28,'Critical resources (hide)'!X$6:X$105)+SUMIF(Capacity_Resource,$F28,'Critical resources (hide)'!X$6:X$105)&gt;0,$E$1=2),0,1)</f>
        <v>1</v>
      </c>
      <c r="L28" s="68">
        <f ca="1">IF(AND(SUMIF(Capacity_Resource,$D28,'Critical resources (hide)'!Y$6:Y$105)+SUMIF(Capacity_Resource,$E28,'Critical resources (hide)'!Y$6:Y$105)+SUMIF(Capacity_Resource,$F28,'Critical resources (hide)'!Y$6:Y$105)&gt;0,$E$1=2),0,1)</f>
        <v>1</v>
      </c>
      <c r="M28" s="68">
        <f ca="1">IF(AND(SUMIF(Capacity_Resource,$D28,'Critical resources (hide)'!Z$6:Z$105)+SUMIF(Capacity_Resource,$E28,'Critical resources (hide)'!Z$6:Z$105)+SUMIF(Capacity_Resource,$F28,'Critical resources (hide)'!Z$6:Z$105)&gt;0,$E$1=2),0,1)</f>
        <v>1</v>
      </c>
      <c r="N28" s="68">
        <f ca="1">IF(AND(SUMIF(Capacity_Resource,$D28,'Critical resources (hide)'!AA$6:AA$105)+SUMIF(Capacity_Resource,$E28,'Critical resources (hide)'!AA$6:AA$105)+SUMIF(Capacity_Resource,$F28,'Critical resources (hide)'!AA$6:AA$105)&gt;0,$E$1=2),0,1)</f>
        <v>1</v>
      </c>
      <c r="O28" s="68">
        <f ca="1">IF(AND(SUMIF(Capacity_Resource,$D28,'Critical resources (hide)'!AB$6:AB$105)+SUMIF(Capacity_Resource,$E28,'Critical resources (hide)'!AB$6:AB$105)+SUMIF(Capacity_Resource,$F28,'Critical resources (hide)'!AB$6:AB$105)&gt;0,$E$1=2),0,1)</f>
        <v>1</v>
      </c>
      <c r="P28" s="68">
        <f ca="1">IF(AND(SUMIF(Capacity_Resource,$D28,'Critical resources (hide)'!AC$6:AC$105)+SUMIF(Capacity_Resource,$E28,'Critical resources (hide)'!AC$6:AC$105)+SUMIF(Capacity_Resource,$F28,'Critical resources (hide)'!AC$6:AC$105)&gt;0,$E$1=2),0,1)</f>
        <v>1</v>
      </c>
      <c r="Q28" s="68">
        <f ca="1">IF(AND(SUMIF(Capacity_Resource,$D28,'Critical resources (hide)'!AD$6:AD$105)+SUMIF(Capacity_Resource,$E28,'Critical resources (hide)'!AD$6:AD$105)+SUMIF(Capacity_Resource,$F28,'Critical resources (hide)'!AD$6:AD$105)&gt;0,$E$1=2),0,1)</f>
        <v>1</v>
      </c>
      <c r="R28" s="68">
        <f ca="1">IF(AND(SUMIF(Capacity_Resource,$D28,'Critical resources (hide)'!AE$6:AE$105)+SUMIF(Capacity_Resource,$E28,'Critical resources (hide)'!AE$6:AE$105)+SUMIF(Capacity_Resource,$F28,'Critical resources (hide)'!AE$6:AE$105)&gt;0,$E$1=2),0,1)</f>
        <v>1</v>
      </c>
      <c r="S28" s="68">
        <f ca="1">IF(AND(SUMIF(Capacity_Resource,$D28,'Critical resources (hide)'!AF$6:AF$105)+SUMIF(Capacity_Resource,$E28,'Critical resources (hide)'!AF$6:AF$105)+SUMIF(Capacity_Resource,$F28,'Critical resources (hide)'!AF$6:AF$105)&gt;0,$E$1=2),0,1)</f>
        <v>1</v>
      </c>
      <c r="T28" s="68">
        <f ca="1">IF(AND(SUMIF(Capacity_Resource,$D28,'Critical resources (hide)'!AG$6:AG$105)+SUMIF(Capacity_Resource,$E28,'Critical resources (hide)'!AG$6:AG$105)+SUMIF(Capacity_Resource,$F28,'Critical resources (hide)'!AG$6:AG$105)&gt;0,$E$1=2),0,1)</f>
        <v>1</v>
      </c>
      <c r="U28" s="68">
        <f ca="1">IF(AND(SUMIF(Capacity_Resource,$D28,'Critical resources (hide)'!AH$6:AH$105)+SUMIF(Capacity_Resource,$E28,'Critical resources (hide)'!AH$6:AH$105)+SUMIF(Capacity_Resource,$F28,'Critical resources (hide)'!AH$6:AH$105)&gt;0,$E$1=2),0,1)</f>
        <v>1</v>
      </c>
      <c r="V28" s="68">
        <f ca="1">IF(AND(SUMIF(Capacity_Resource,$D28,'Critical resources (hide)'!AI$6:AI$105)+SUMIF(Capacity_Resource,$E28,'Critical resources (hide)'!AI$6:AI$105)+SUMIF(Capacity_Resource,$F28,'Critical resources (hide)'!AI$6:AI$105)&gt;0,$E$1=2),0,1)</f>
        <v>1</v>
      </c>
      <c r="W28" s="68">
        <f ca="1">IF(AND(SUMIF(Capacity_Resource,$D28,'Critical resources (hide)'!AJ$6:AJ$105)+SUMIF(Capacity_Resource,$E28,'Critical resources (hide)'!AJ$6:AJ$105)+SUMIF(Capacity_Resource,$F28,'Critical resources (hide)'!AJ$6:AJ$105)&gt;0,$E$1=2),0,1)</f>
        <v>1</v>
      </c>
      <c r="X28" s="68">
        <f ca="1">IF(AND(SUMIF(Capacity_Resource,$D28,'Critical resources (hide)'!AK$6:AK$105)+SUMIF(Capacity_Resource,$E28,'Critical resources (hide)'!AK$6:AK$105)+SUMIF(Capacity_Resource,$F28,'Critical resources (hide)'!AK$6:AK$105)&gt;0,$E$1=2),0,1)</f>
        <v>1</v>
      </c>
      <c r="Y28" s="68">
        <f ca="1">IF(AND(SUMIF(Capacity_Resource,$D28,'Critical resources (hide)'!AL$6:AL$105)+SUMIF(Capacity_Resource,$E28,'Critical resources (hide)'!AL$6:AL$105)+SUMIF(Capacity_Resource,$F28,'Critical resources (hide)'!AL$6:AL$105)&gt;0,$E$1=2),0,1)</f>
        <v>1</v>
      </c>
      <c r="Z28" s="68">
        <f ca="1">IF(AND(SUMIF(Capacity_Resource,$D28,'Critical resources (hide)'!AM$6:AM$105)+SUMIF(Capacity_Resource,$E28,'Critical resources (hide)'!AM$6:AM$105)+SUMIF(Capacity_Resource,$F28,'Critical resources (hide)'!AM$6:AM$105)&gt;0,$E$1=2),0,1)</f>
        <v>1</v>
      </c>
      <c r="AA28" s="68">
        <f ca="1">IF(AND(SUMIF(Capacity_Resource,$D28,'Critical resources (hide)'!AN$6:AN$105)+SUMIF(Capacity_Resource,$E28,'Critical resources (hide)'!AN$6:AN$105)+SUMIF(Capacity_Resource,$F28,'Critical resources (hide)'!AN$6:AN$105)&gt;0,$E$1=2),0,1)</f>
        <v>1</v>
      </c>
      <c r="AB28" s="68">
        <f ca="1">IF(AND(SUMIF(Capacity_Resource,$D28,'Critical resources (hide)'!AO$6:AO$105)+SUMIF(Capacity_Resource,$E28,'Critical resources (hide)'!AO$6:AO$105)+SUMIF(Capacity_Resource,$F28,'Critical resources (hide)'!AO$6:AO$105)&gt;0,$E$1=2),0,1)</f>
        <v>1</v>
      </c>
      <c r="AC28" s="68">
        <f ca="1">IF(AND(SUMIF(Capacity_Resource,$D28,'Critical resources (hide)'!AP$6:AP$105)+SUMIF(Capacity_Resource,$E28,'Critical resources (hide)'!AP$6:AP$105)+SUMIF(Capacity_Resource,$F28,'Critical resources (hide)'!AP$6:AP$105)&gt;0,$E$1=2),0,1)</f>
        <v>1</v>
      </c>
      <c r="AD28" s="68">
        <f ca="1">IF(AND(SUMIF(Capacity_Resource,$D28,'Critical resources (hide)'!AQ$6:AQ$105)+SUMIF(Capacity_Resource,$E28,'Critical resources (hide)'!AQ$6:AQ$105)+SUMIF(Capacity_Resource,$F28,'Critical resources (hide)'!AQ$6:AQ$105)&gt;0,$E$1=2),0,1)</f>
        <v>1</v>
      </c>
      <c r="AE28" s="68">
        <f ca="1">IF(AND(SUMIF(Capacity_Resource,$D28,'Critical resources (hide)'!AR$6:AR$105)+SUMIF(Capacity_Resource,$E28,'Critical resources (hide)'!AR$6:AR$105)+SUMIF(Capacity_Resource,$F28,'Critical resources (hide)'!AR$6:AR$105)&gt;0,$E$1=2),0,1)</f>
        <v>1</v>
      </c>
      <c r="AF28" s="68">
        <f ca="1">IF(AND(SUMIF(Capacity_Resource,$D28,'Critical resources (hide)'!AS$6:AS$105)+SUMIF(Capacity_Resource,$E28,'Critical resources (hide)'!AS$6:AS$105)+SUMIF(Capacity_Resource,$F28,'Critical resources (hide)'!AS$6:AS$105)&gt;0,$E$1=2),0,1)</f>
        <v>1</v>
      </c>
      <c r="AG28" s="68">
        <f ca="1">IF(AND(SUMIF(Capacity_Resource,$D28,'Critical resources (hide)'!AT$6:AT$105)+SUMIF(Capacity_Resource,$E28,'Critical resources (hide)'!AT$6:AT$105)+SUMIF(Capacity_Resource,$F28,'Critical resources (hide)'!AT$6:AT$105)&gt;0,$E$1=2),0,1)</f>
        <v>1</v>
      </c>
      <c r="AH28" s="68">
        <f ca="1">IF(AND(SUMIF(Capacity_Resource,$D28,'Critical resources (hide)'!AU$6:AU$105)+SUMIF(Capacity_Resource,$E28,'Critical resources (hide)'!AU$6:AU$105)+SUMIF(Capacity_Resource,$F28,'Critical resources (hide)'!AU$6:AU$105)&gt;0,$E$1=2),0,1)</f>
        <v>1</v>
      </c>
      <c r="AI28" s="68">
        <f ca="1">IF(AND(SUMIF(Capacity_Resource,$D28,'Critical resources (hide)'!AV$6:AV$105)+SUMIF(Capacity_Resource,$E28,'Critical resources (hide)'!AV$6:AV$105)+SUMIF(Capacity_Resource,$F28,'Critical resources (hide)'!AV$6:AV$105)&gt;0,$E$1=2),0,1)</f>
        <v>1</v>
      </c>
      <c r="AJ28" s="68">
        <f ca="1">IF(AND(SUMIF(Capacity_Resource,$D28,'Critical resources (hide)'!AW$6:AW$105)+SUMIF(Capacity_Resource,$E28,'Critical resources (hide)'!AW$6:AW$105)+SUMIF(Capacity_Resource,$F28,'Critical resources (hide)'!AW$6:AW$105)&gt;0,$E$1=2),0,1)</f>
        <v>1</v>
      </c>
      <c r="AK28" s="68">
        <f ca="1">IF(AND(SUMIF(Capacity_Resource,$D28,'Critical resources (hide)'!AX$6:AX$105)+SUMIF(Capacity_Resource,$E28,'Critical resources (hide)'!AX$6:AX$105)+SUMIF(Capacity_Resource,$F28,'Critical resources (hide)'!AX$6:AX$105)&gt;0,$E$1=2),0,1)</f>
        <v>1</v>
      </c>
      <c r="AL28" s="68">
        <f ca="1">IF(AND(SUMIF(Capacity_Resource,$D28,'Critical resources (hide)'!AY$6:AY$105)+SUMIF(Capacity_Resource,$E28,'Critical resources (hide)'!AY$6:AY$105)+SUMIF(Capacity_Resource,$F28,'Critical resources (hide)'!AY$6:AY$105)&gt;0,$E$1=2),0,1)</f>
        <v>1</v>
      </c>
      <c r="AM28" s="68">
        <f ca="1">IF(AND(SUMIF(Capacity_Resource,$D28,'Critical resources (hide)'!AZ$6:AZ$105)+SUMIF(Capacity_Resource,$E28,'Critical resources (hide)'!AZ$6:AZ$105)+SUMIF(Capacity_Resource,$F28,'Critical resources (hide)'!AZ$6:AZ$105)&gt;0,$E$1=2),0,1)</f>
        <v>1</v>
      </c>
      <c r="AN28" s="68">
        <f ca="1">IF(AND(SUMIF(Capacity_Resource,$D28,'Critical resources (hide)'!BA$6:BA$105)+SUMIF(Capacity_Resource,$E28,'Critical resources (hide)'!BA$6:BA$105)+SUMIF(Capacity_Resource,$F28,'Critical resources (hide)'!BA$6:BA$105)&gt;0,$E$1=2),0,1)</f>
        <v>1</v>
      </c>
      <c r="AO28" s="68">
        <f ca="1">IF(AND(SUMIF(Capacity_Resource,$D28,'Critical resources (hide)'!BB$6:BB$105)+SUMIF(Capacity_Resource,$E28,'Critical resources (hide)'!BB$6:BB$105)+SUMIF(Capacity_Resource,$F28,'Critical resources (hide)'!BB$6:BB$105)&gt;0,$E$1=2),0,1)</f>
        <v>1</v>
      </c>
      <c r="AP28" s="68">
        <f ca="1">IF(AND(SUMIF(Capacity_Resource,$D28,'Critical resources (hide)'!BC$6:BC$105)+SUMIF(Capacity_Resource,$E28,'Critical resources (hide)'!BC$6:BC$105)+SUMIF(Capacity_Resource,$F28,'Critical resources (hide)'!BC$6:BC$105)&gt;0,$E$1=2),0,1)</f>
        <v>1</v>
      </c>
      <c r="AQ28" s="68">
        <f ca="1">IF(AND(SUMIF(Capacity_Resource,$D28,'Critical resources (hide)'!BD$6:BD$105)+SUMIF(Capacity_Resource,$E28,'Critical resources (hide)'!BD$6:BD$105)+SUMIF(Capacity_Resource,$F28,'Critical resources (hide)'!BD$6:BD$105)&gt;0,$E$1=2),0,1)</f>
        <v>1</v>
      </c>
      <c r="AR28" s="68">
        <f ca="1">IF(AND(SUMIF(Capacity_Resource,$D28,'Critical resources (hide)'!BE$6:BE$105)+SUMIF(Capacity_Resource,$E28,'Critical resources (hide)'!BE$6:BE$105)+SUMIF(Capacity_Resource,$F28,'Critical resources (hide)'!BE$6:BE$105)&gt;0,$E$1=2),0,1)</f>
        <v>1</v>
      </c>
      <c r="AS28" s="68">
        <f ca="1">IF(AND(SUMIF(Capacity_Resource,$D28,'Critical resources (hide)'!BF$6:BF$105)+SUMIF(Capacity_Resource,$E28,'Critical resources (hide)'!BF$6:BF$105)+SUMIF(Capacity_Resource,$F28,'Critical resources (hide)'!BF$6:BF$105)&gt;0,$E$1=2),0,1)</f>
        <v>1</v>
      </c>
      <c r="AT28" s="68">
        <f ca="1">IF(AND(SUMIF(Capacity_Resource,$D28,'Critical resources (hide)'!BG$6:BG$105)+SUMIF(Capacity_Resource,$E28,'Critical resources (hide)'!BG$6:BG$105)+SUMIF(Capacity_Resource,$F28,'Critical resources (hide)'!BG$6:BG$105)&gt;0,$E$1=2),0,1)</f>
        <v>1</v>
      </c>
      <c r="AU28" s="68">
        <f ca="1">IF(AND(SUMIF(Capacity_Resource,$D28,'Critical resources (hide)'!BH$6:BH$105)+SUMIF(Capacity_Resource,$E28,'Critical resources (hide)'!BH$6:BH$105)+SUMIF(Capacity_Resource,$F28,'Critical resources (hide)'!BH$6:BH$105)&gt;0,$E$1=2),0,1)</f>
        <v>1</v>
      </c>
      <c r="AV28" s="68">
        <f ca="1">IF(AND(SUMIF(Capacity_Resource,$D28,'Critical resources (hide)'!BI$6:BI$105)+SUMIF(Capacity_Resource,$E28,'Critical resources (hide)'!BI$6:BI$105)+SUMIF(Capacity_Resource,$F28,'Critical resources (hide)'!BI$6:BI$105)&gt;0,$E$1=2),0,1)</f>
        <v>1</v>
      </c>
      <c r="AW28" s="68">
        <f ca="1">IF(AND(SUMIF(Capacity_Resource,$D28,'Critical resources (hide)'!BJ$6:BJ$105)+SUMIF(Capacity_Resource,$E28,'Critical resources (hide)'!BJ$6:BJ$105)+SUMIF(Capacity_Resource,$F28,'Critical resources (hide)'!BJ$6:BJ$105)&gt;0,$E$1=2),0,1)</f>
        <v>1</v>
      </c>
      <c r="AX28" s="68">
        <f ca="1">IF(AND(SUMIF(Capacity_Resource,$D28,'Critical resources (hide)'!BK$6:BK$105)+SUMIF(Capacity_Resource,$E28,'Critical resources (hide)'!BK$6:BK$105)+SUMIF(Capacity_Resource,$F28,'Critical resources (hide)'!BK$6:BK$105)&gt;0,$E$1=2),0,1)</f>
        <v>1</v>
      </c>
      <c r="AY28" s="68">
        <f ca="1">IF(AND(SUMIF(Capacity_Resource,$D28,'Critical resources (hide)'!BL$6:BL$105)+SUMIF(Capacity_Resource,$E28,'Critical resources (hide)'!BL$6:BL$105)+SUMIF(Capacity_Resource,$F28,'Critical resources (hide)'!BL$6:BL$105)&gt;0,$E$1=2),0,1)</f>
        <v>1</v>
      </c>
      <c r="AZ28" s="68">
        <f ca="1">IF(AND(SUMIF(Capacity_Resource,$D28,'Critical resources (hide)'!BM$6:BM$105)+SUMIF(Capacity_Resource,$E28,'Critical resources (hide)'!BM$6:BM$105)+SUMIF(Capacity_Resource,$F28,'Critical resources (hide)'!BM$6:BM$105)&gt;0,$E$1=2),0,1)</f>
        <v>1</v>
      </c>
      <c r="BA28" s="68">
        <f ca="1">IF(AND(SUMIF(Capacity_Resource,$D28,'Critical resources (hide)'!BN$6:BN$105)+SUMIF(Capacity_Resource,$E28,'Critical resources (hide)'!BN$6:BN$105)+SUMIF(Capacity_Resource,$F28,'Critical resources (hide)'!BN$6:BN$105)&gt;0,$E$1=2),0,1)</f>
        <v>1</v>
      </c>
      <c r="BB28" s="68">
        <f ca="1">IF(AND(SUMIF(Capacity_Resource,$D28,'Critical resources (hide)'!BO$6:BO$105)+SUMIF(Capacity_Resource,$E28,'Critical resources (hide)'!BO$6:BO$105)+SUMIF(Capacity_Resource,$F28,'Critical resources (hide)'!BO$6:BO$105)&gt;0,$E$1=2),0,1)</f>
        <v>1</v>
      </c>
      <c r="BC28" s="68">
        <f ca="1">IF(AND(SUMIF(Capacity_Resource,$D28,'Critical resources (hide)'!BP$6:BP$105)+SUMIF(Capacity_Resource,$E28,'Critical resources (hide)'!BP$6:BP$105)+SUMIF(Capacity_Resource,$F28,'Critical resources (hide)'!BP$6:BP$105)&gt;0,$E$1=2),0,1)</f>
        <v>1</v>
      </c>
      <c r="BD28" s="68">
        <f ca="1">IF(AND(SUMIF(Capacity_Resource,$D28,'Critical resources (hide)'!BQ$6:BQ$105)+SUMIF(Capacity_Resource,$E28,'Critical resources (hide)'!BQ$6:BQ$105)+SUMIF(Capacity_Resource,$F28,'Critical resources (hide)'!BQ$6:BQ$105)&gt;0,$E$1=2),0,1)</f>
        <v>1</v>
      </c>
      <c r="BE28" s="68">
        <f ca="1">IF(AND(SUMIF(Capacity_Resource,$D28,'Critical resources (hide)'!BR$6:BR$105)+SUMIF(Capacity_Resource,$E28,'Critical resources (hide)'!BR$6:BR$105)+SUMIF(Capacity_Resource,$F28,'Critical resources (hide)'!BR$6:BR$105)&gt;0,$E$1=2),0,1)</f>
        <v>1</v>
      </c>
      <c r="BF28" s="68">
        <f ca="1">IF(AND(SUMIF(Capacity_Resource,$D28,'Critical resources (hide)'!BS$6:BS$105)+SUMIF(Capacity_Resource,$E28,'Critical resources (hide)'!BS$6:BS$105)+SUMIF(Capacity_Resource,$F28,'Critical resources (hide)'!BS$6:BS$105)&gt;0,$E$1=2),0,1)</f>
        <v>1</v>
      </c>
      <c r="BG28" s="68">
        <f ca="1">IF(AND(SUMIF(Capacity_Resource,$D28,'Critical resources (hide)'!BT$6:BT$105)+SUMIF(Capacity_Resource,$E28,'Critical resources (hide)'!BT$6:BT$105)+SUMIF(Capacity_Resource,$F28,'Critical resources (hide)'!BT$6:BT$105)&gt;0,$E$1=2),0,1)</f>
        <v>1</v>
      </c>
      <c r="BH28" s="68">
        <f>IF(ROW(C24)&lt;=Capacity!$A$16,IF('Capacity summary'!$D$14="No",SUM(H28:BG28),'Capacity summary'!$E147),0)</f>
        <v>0</v>
      </c>
      <c r="BI28" s="5" t="str">
        <f>IF(BH28&gt;0,IF(BH28&lt;Capacity!E40,Capacity!F40,Capacity!H40/'Capacity calculation (hide)'!BH28),"")</f>
        <v/>
      </c>
      <c r="BK28" s="319">
        <f>IF($BI28&lt;&gt;"",IF('Capacity summary'!$D$14="Yes",IF(COUNTBLANK('Capacity summary'!$H147:$BG147)&lt;52,IF('Capacity summary'!H147&lt;&gt;"",$BI28*H28,0),H28*$BI28),H28*$BI28),0)</f>
        <v>0</v>
      </c>
      <c r="BL28" s="319">
        <f>IF($BI28&lt;&gt;"",IF('Capacity summary'!$D$14="Yes",IF(COUNTBLANK('Capacity summary'!$H147:$BG147)&lt;52,IF('Capacity summary'!I147&lt;&gt;"",$BI28*I28,0),I28*$BI28),I28*$BI28),0)</f>
        <v>0</v>
      </c>
      <c r="BM28" s="319">
        <f>IF($BI28&lt;&gt;"",IF('Capacity summary'!$D$14="Yes",IF(COUNTBLANK('Capacity summary'!$H147:$BG147)&lt;52,IF('Capacity summary'!J147&lt;&gt;"",$BI28*J28,0),J28*$BI28),J28*$BI28),0)</f>
        <v>0</v>
      </c>
      <c r="BN28" s="319">
        <f>IF($BI28&lt;&gt;"",IF('Capacity summary'!$D$14="Yes",IF(COUNTBLANK('Capacity summary'!$H147:$BG147)&lt;52,IF('Capacity summary'!K147&lt;&gt;"",$BI28*K28,0),K28*$BI28),K28*$BI28),0)</f>
        <v>0</v>
      </c>
      <c r="BO28" s="319">
        <f>IF($BI28&lt;&gt;"",IF('Capacity summary'!$D$14="Yes",IF(COUNTBLANK('Capacity summary'!$H147:$BG147)&lt;52,IF('Capacity summary'!L147&lt;&gt;"",$BI28*L28,0),L28*$BI28),L28*$BI28),0)</f>
        <v>0</v>
      </c>
      <c r="BP28" s="319">
        <f>IF($BI28&lt;&gt;"",IF('Capacity summary'!$D$14="Yes",IF(COUNTBLANK('Capacity summary'!$H147:$BG147)&lt;52,IF('Capacity summary'!M147&lt;&gt;"",$BI28*M28,0),M28*$BI28),M28*$BI28),0)</f>
        <v>0</v>
      </c>
      <c r="BQ28" s="319">
        <f>IF($BI28&lt;&gt;"",IF('Capacity summary'!$D$14="Yes",IF(COUNTBLANK('Capacity summary'!$H147:$BG147)&lt;52,IF('Capacity summary'!N147&lt;&gt;"",$BI28*N28,0),N28*$BI28),N28*$BI28),0)</f>
        <v>0</v>
      </c>
      <c r="BR28" s="319">
        <f>IF($BI28&lt;&gt;"",IF('Capacity summary'!$D$14="Yes",IF(COUNTBLANK('Capacity summary'!$H147:$BG147)&lt;52,IF('Capacity summary'!O147&lt;&gt;"",$BI28*O28,0),O28*$BI28),O28*$BI28),0)</f>
        <v>0</v>
      </c>
      <c r="BS28" s="319">
        <f>IF($BI28&lt;&gt;"",IF('Capacity summary'!$D$14="Yes",IF(COUNTBLANK('Capacity summary'!$H147:$BG147)&lt;52,IF('Capacity summary'!P147&lt;&gt;"",$BI28*P28,0),P28*$BI28),P28*$BI28),0)</f>
        <v>0</v>
      </c>
      <c r="BT28" s="319">
        <f>IF($BI28&lt;&gt;"",IF('Capacity summary'!$D$14="Yes",IF(COUNTBLANK('Capacity summary'!$H147:$BG147)&lt;52,IF('Capacity summary'!Q147&lt;&gt;"",$BI28*Q28,0),Q28*$BI28),Q28*$BI28),0)</f>
        <v>0</v>
      </c>
      <c r="BU28" s="319">
        <f>IF($BI28&lt;&gt;"",IF('Capacity summary'!$D$14="Yes",IF(COUNTBLANK('Capacity summary'!$H147:$BG147)&lt;52,IF('Capacity summary'!R147&lt;&gt;"",$BI28*R28,0),R28*$BI28),R28*$BI28),0)</f>
        <v>0</v>
      </c>
      <c r="BV28" s="319">
        <f>IF($BI28&lt;&gt;"",IF('Capacity summary'!$D$14="Yes",IF(COUNTBLANK('Capacity summary'!$H147:$BG147)&lt;52,IF('Capacity summary'!S147&lt;&gt;"",$BI28*S28,0),S28*$BI28),S28*$BI28),0)</f>
        <v>0</v>
      </c>
      <c r="BW28" s="319">
        <f>IF($BI28&lt;&gt;"",IF('Capacity summary'!$D$14="Yes",IF(COUNTBLANK('Capacity summary'!$H147:$BG147)&lt;52,IF('Capacity summary'!T147&lt;&gt;"",$BI28*T28,0),T28*$BI28),T28*$BI28),0)</f>
        <v>0</v>
      </c>
      <c r="BX28" s="319">
        <f>IF($BI28&lt;&gt;"",IF('Capacity summary'!$D$14="Yes",IF(COUNTBLANK('Capacity summary'!$H147:$BG147)&lt;52,IF('Capacity summary'!U147&lt;&gt;"",$BI28*U28,0),U28*$BI28),U28*$BI28),0)</f>
        <v>0</v>
      </c>
      <c r="BY28" s="319">
        <f>IF($BI28&lt;&gt;"",IF('Capacity summary'!$D$14="Yes",IF(COUNTBLANK('Capacity summary'!$H147:$BG147)&lt;52,IF('Capacity summary'!V147&lt;&gt;"",$BI28*V28,0),V28*$BI28),V28*$BI28),0)</f>
        <v>0</v>
      </c>
      <c r="BZ28" s="319">
        <f>IF($BI28&lt;&gt;"",IF('Capacity summary'!$D$14="Yes",IF(COUNTBLANK('Capacity summary'!$H147:$BG147)&lt;52,IF('Capacity summary'!W147&lt;&gt;"",$BI28*W28,0),W28*$BI28),W28*$BI28),0)</f>
        <v>0</v>
      </c>
      <c r="CA28" s="319">
        <f>IF($BI28&lt;&gt;"",IF('Capacity summary'!$D$14="Yes",IF(COUNTBLANK('Capacity summary'!$H147:$BG147)&lt;52,IF('Capacity summary'!X147&lt;&gt;"",$BI28*X28,0),X28*$BI28),X28*$BI28),0)</f>
        <v>0</v>
      </c>
      <c r="CB28" s="319">
        <f>IF($BI28&lt;&gt;"",IF('Capacity summary'!$D$14="Yes",IF(COUNTBLANK('Capacity summary'!$H147:$BG147)&lt;52,IF('Capacity summary'!Y147&lt;&gt;"",$BI28*Y28,0),Y28*$BI28),Y28*$BI28),0)</f>
        <v>0</v>
      </c>
      <c r="CC28" s="319">
        <f>IF($BI28&lt;&gt;"",IF('Capacity summary'!$D$14="Yes",IF(COUNTBLANK('Capacity summary'!$H147:$BG147)&lt;52,IF('Capacity summary'!Z147&lt;&gt;"",$BI28*Z28,0),Z28*$BI28),Z28*$BI28),0)</f>
        <v>0</v>
      </c>
      <c r="CD28" s="319">
        <f>IF($BI28&lt;&gt;"",IF('Capacity summary'!$D$14="Yes",IF(COUNTBLANK('Capacity summary'!$H147:$BG147)&lt;52,IF('Capacity summary'!AA147&lt;&gt;"",$BI28*AA28,0),AA28*$BI28),AA28*$BI28),0)</f>
        <v>0</v>
      </c>
      <c r="CE28" s="319">
        <f>IF($BI28&lt;&gt;"",IF('Capacity summary'!$D$14="Yes",IF(COUNTBLANK('Capacity summary'!$H147:$BG147)&lt;52,IF('Capacity summary'!AB147&lt;&gt;"",$BI28*AB28,0),AB28*$BI28),AB28*$BI28),0)</f>
        <v>0</v>
      </c>
      <c r="CF28" s="319">
        <f>IF($BI28&lt;&gt;"",IF('Capacity summary'!$D$14="Yes",IF(COUNTBLANK('Capacity summary'!$H147:$BG147)&lt;52,IF('Capacity summary'!AC147&lt;&gt;"",$BI28*AC28,0),AC28*$BI28),AC28*$BI28),0)</f>
        <v>0</v>
      </c>
      <c r="CG28" s="319">
        <f>IF($BI28&lt;&gt;"",IF('Capacity summary'!$D$14="Yes",IF(COUNTBLANK('Capacity summary'!$H147:$BG147)&lt;52,IF('Capacity summary'!AD147&lt;&gt;"",$BI28*AD28,0),AD28*$BI28),AD28*$BI28),0)</f>
        <v>0</v>
      </c>
      <c r="CH28" s="319">
        <f>IF($BI28&lt;&gt;"",IF('Capacity summary'!$D$14="Yes",IF(COUNTBLANK('Capacity summary'!$H147:$BG147)&lt;52,IF('Capacity summary'!AE147&lt;&gt;"",$BI28*AE28,0),AE28*$BI28),AE28*$BI28),0)</f>
        <v>0</v>
      </c>
      <c r="CI28" s="319">
        <f>IF($BI28&lt;&gt;"",IF('Capacity summary'!$D$14="Yes",IF(COUNTBLANK('Capacity summary'!$H147:$BG147)&lt;52,IF('Capacity summary'!AF147&lt;&gt;"",$BI28*AF28,0),AF28*$BI28),AF28*$BI28),0)</f>
        <v>0</v>
      </c>
      <c r="CJ28" s="319">
        <f>IF($BI28&lt;&gt;"",IF('Capacity summary'!$D$14="Yes",IF(COUNTBLANK('Capacity summary'!$H147:$BG147)&lt;52,IF('Capacity summary'!AG147&lt;&gt;"",$BI28*AG28,0),AG28*$BI28),AG28*$BI28),0)</f>
        <v>0</v>
      </c>
      <c r="CK28" s="319">
        <f>IF($BI28&lt;&gt;"",IF('Capacity summary'!$D$14="Yes",IF(COUNTBLANK('Capacity summary'!$H147:$BG147)&lt;52,IF('Capacity summary'!AH147&lt;&gt;"",$BI28*AH28,0),AH28*$BI28),AH28*$BI28),0)</f>
        <v>0</v>
      </c>
      <c r="CL28" s="319">
        <f>IF($BI28&lt;&gt;"",IF('Capacity summary'!$D$14="Yes",IF(COUNTBLANK('Capacity summary'!$H147:$BG147)&lt;52,IF('Capacity summary'!AI147&lt;&gt;"",$BI28*AI28,0),AI28*$BI28),AI28*$BI28),0)</f>
        <v>0</v>
      </c>
      <c r="CM28" s="319">
        <f>IF($BI28&lt;&gt;"",IF('Capacity summary'!$D$14="Yes",IF(COUNTBLANK('Capacity summary'!$H147:$BG147)&lt;52,IF('Capacity summary'!AJ147&lt;&gt;"",$BI28*AJ28,0),AJ28*$BI28),AJ28*$BI28),0)</f>
        <v>0</v>
      </c>
      <c r="CN28" s="319">
        <f>IF($BI28&lt;&gt;"",IF('Capacity summary'!$D$14="Yes",IF(COUNTBLANK('Capacity summary'!$H147:$BG147)&lt;52,IF('Capacity summary'!AK147&lt;&gt;"",$BI28*AK28,0),AK28*$BI28),AK28*$BI28),0)</f>
        <v>0</v>
      </c>
      <c r="CO28" s="319">
        <f>IF($BI28&lt;&gt;"",IF('Capacity summary'!$D$14="Yes",IF(COUNTBLANK('Capacity summary'!$H147:$BG147)&lt;52,IF('Capacity summary'!AL147&lt;&gt;"",$BI28*AL28,0),AL28*$BI28),AL28*$BI28),0)</f>
        <v>0</v>
      </c>
      <c r="CP28" s="319">
        <f>IF($BI28&lt;&gt;"",IF('Capacity summary'!$D$14="Yes",IF(COUNTBLANK('Capacity summary'!$H147:$BG147)&lt;52,IF('Capacity summary'!AM147&lt;&gt;"",$BI28*AM28,0),AM28*$BI28),AM28*$BI28),0)</f>
        <v>0</v>
      </c>
      <c r="CQ28" s="319">
        <f>IF($BI28&lt;&gt;"",IF('Capacity summary'!$D$14="Yes",IF(COUNTBLANK('Capacity summary'!$H147:$BG147)&lt;52,IF('Capacity summary'!AN147&lt;&gt;"",$BI28*AN28,0),AN28*$BI28),AN28*$BI28),0)</f>
        <v>0</v>
      </c>
      <c r="CR28" s="319">
        <f>IF($BI28&lt;&gt;"",IF('Capacity summary'!$D$14="Yes",IF(COUNTBLANK('Capacity summary'!$H147:$BG147)&lt;52,IF('Capacity summary'!AO147&lt;&gt;"",$BI28*AO28,0),AO28*$BI28),AO28*$BI28),0)</f>
        <v>0</v>
      </c>
      <c r="CS28" s="319">
        <f>IF($BI28&lt;&gt;"",IF('Capacity summary'!$D$14="Yes",IF(COUNTBLANK('Capacity summary'!$H147:$BG147)&lt;52,IF('Capacity summary'!AP147&lt;&gt;"",$BI28*AP28,0),AP28*$BI28),AP28*$BI28),0)</f>
        <v>0</v>
      </c>
      <c r="CT28" s="319">
        <f>IF($BI28&lt;&gt;"",IF('Capacity summary'!$D$14="Yes",IF(COUNTBLANK('Capacity summary'!$H147:$BG147)&lt;52,IF('Capacity summary'!AQ147&lt;&gt;"",$BI28*AQ28,0),AQ28*$BI28),AQ28*$BI28),0)</f>
        <v>0</v>
      </c>
      <c r="CU28" s="319">
        <f>IF($BI28&lt;&gt;"",IF('Capacity summary'!$D$14="Yes",IF(COUNTBLANK('Capacity summary'!$H147:$BG147)&lt;52,IF('Capacity summary'!AR147&lt;&gt;"",$BI28*AR28,0),AR28*$BI28),AR28*$BI28),0)</f>
        <v>0</v>
      </c>
      <c r="CV28" s="319">
        <f>IF($BI28&lt;&gt;"",IF('Capacity summary'!$D$14="Yes",IF(COUNTBLANK('Capacity summary'!$H147:$BG147)&lt;52,IF('Capacity summary'!AS147&lt;&gt;"",$BI28*AS28,0),AS28*$BI28),AS28*$BI28),0)</f>
        <v>0</v>
      </c>
      <c r="CW28" s="319">
        <f>IF($BI28&lt;&gt;"",IF('Capacity summary'!$D$14="Yes",IF(COUNTBLANK('Capacity summary'!$H147:$BG147)&lt;52,IF('Capacity summary'!AT147&lt;&gt;"",$BI28*AT28,0),AT28*$BI28),AT28*$BI28),0)</f>
        <v>0</v>
      </c>
      <c r="CX28" s="319">
        <f>IF($BI28&lt;&gt;"",IF('Capacity summary'!$D$14="Yes",IF(COUNTBLANK('Capacity summary'!$H147:$BG147)&lt;52,IF('Capacity summary'!AU147&lt;&gt;"",$BI28*AU28,0),AU28*$BI28),AU28*$BI28),0)</f>
        <v>0</v>
      </c>
      <c r="CY28" s="319">
        <f>IF($BI28&lt;&gt;"",IF('Capacity summary'!$D$14="Yes",IF(COUNTBLANK('Capacity summary'!$H147:$BG147)&lt;52,IF('Capacity summary'!AV147&lt;&gt;"",$BI28*AV28,0),AV28*$BI28),AV28*$BI28),0)</f>
        <v>0</v>
      </c>
      <c r="CZ28" s="319">
        <f>IF($BI28&lt;&gt;"",IF('Capacity summary'!$D$14="Yes",IF(COUNTBLANK('Capacity summary'!$H147:$BG147)&lt;52,IF('Capacity summary'!AW147&lt;&gt;"",$BI28*AW28,0),AW28*$BI28),AW28*$BI28),0)</f>
        <v>0</v>
      </c>
      <c r="DA28" s="319">
        <f>IF($BI28&lt;&gt;"",IF('Capacity summary'!$D$14="Yes",IF(COUNTBLANK('Capacity summary'!$H147:$BG147)&lt;52,IF('Capacity summary'!AX147&lt;&gt;"",$BI28*AX28,0),AX28*$BI28),AX28*$BI28),0)</f>
        <v>0</v>
      </c>
      <c r="DB28" s="319">
        <f>IF($BI28&lt;&gt;"",IF('Capacity summary'!$D$14="Yes",IF(COUNTBLANK('Capacity summary'!$H147:$BG147)&lt;52,IF('Capacity summary'!AY147&lt;&gt;"",$BI28*AY28,0),AY28*$BI28),AY28*$BI28),0)</f>
        <v>0</v>
      </c>
      <c r="DC28" s="319">
        <f>IF($BI28&lt;&gt;"",IF('Capacity summary'!$D$14="Yes",IF(COUNTBLANK('Capacity summary'!$H147:$BG147)&lt;52,IF('Capacity summary'!AZ147&lt;&gt;"",$BI28*AZ28,0),AZ28*$BI28),AZ28*$BI28),0)</f>
        <v>0</v>
      </c>
      <c r="DD28" s="319">
        <f>IF($BI28&lt;&gt;"",IF('Capacity summary'!$D$14="Yes",IF(COUNTBLANK('Capacity summary'!$H147:$BG147)&lt;52,IF('Capacity summary'!BA147&lt;&gt;"",$BI28*BA28,0),BA28*$BI28),BA28*$BI28),0)</f>
        <v>0</v>
      </c>
      <c r="DE28" s="319">
        <f>IF($BI28&lt;&gt;"",IF('Capacity summary'!$D$14="Yes",IF(COUNTBLANK('Capacity summary'!$H147:$BG147)&lt;52,IF('Capacity summary'!BB147&lt;&gt;"",$BI28*BB28,0),BB28*$BI28),BB28*$BI28),0)</f>
        <v>0</v>
      </c>
      <c r="DF28" s="319">
        <f>IF($BI28&lt;&gt;"",IF('Capacity summary'!$D$14="Yes",IF(COUNTBLANK('Capacity summary'!$H147:$BG147)&lt;52,IF('Capacity summary'!BC147&lt;&gt;"",$BI28*BC28,0),BC28*$BI28),BC28*$BI28),0)</f>
        <v>0</v>
      </c>
      <c r="DG28" s="319">
        <f>IF($BI28&lt;&gt;"",IF('Capacity summary'!$D$14="Yes",IF(COUNTBLANK('Capacity summary'!$H147:$BG147)&lt;52,IF('Capacity summary'!BD147&lt;&gt;"",$BI28*BD28,0),BD28*$BI28),BD28*$BI28),0)</f>
        <v>0</v>
      </c>
      <c r="DH28" s="319">
        <f>IF($BI28&lt;&gt;"",IF('Capacity summary'!$D$14="Yes",IF(COUNTBLANK('Capacity summary'!$H147:$BG147)&lt;52,IF('Capacity summary'!BE147&lt;&gt;"",$BI28*BE28,0),BE28*$BI28),BE28*$BI28),0)</f>
        <v>0</v>
      </c>
      <c r="DI28" s="319">
        <f>IF($BI28&lt;&gt;"",IF('Capacity summary'!$D$14="Yes",IF(COUNTBLANK('Capacity summary'!$H147:$BG147)&lt;52,IF('Capacity summary'!BF147&lt;&gt;"",$BI28*BF28,0),BF28*$BI28),BF28*$BI28),0)</f>
        <v>0</v>
      </c>
      <c r="DJ28" s="319">
        <f>IF($BI28&lt;&gt;"",IF('Capacity summary'!$D$14="Yes",IF(COUNTBLANK('Capacity summary'!$H147:$BG147)&lt;52,IF('Capacity summary'!BG147&lt;&gt;"",$BI28*BG28,0),BG28*$BI28),BG28*$BI28),0)</f>
        <v>0</v>
      </c>
      <c r="DK28" s="5">
        <f t="shared" si="2"/>
        <v>0</v>
      </c>
      <c r="DL28" s="5" t="str">
        <f>Capacity!H40</f>
        <v/>
      </c>
      <c r="DP28" s="5"/>
    </row>
    <row r="29" spans="2:120" x14ac:dyDescent="0.2">
      <c r="B29" s="68"/>
      <c r="C29" s="68" t="str">
        <f>ROW(A25)&amp;". "&amp;Capacity!B41</f>
        <v xml:space="preserve">25. </v>
      </c>
      <c r="D29" s="68">
        <f>'Capacity setup'!C36</f>
        <v>0</v>
      </c>
      <c r="E29" s="68">
        <f>'Capacity setup'!D36</f>
        <v>0</v>
      </c>
      <c r="F29" s="68">
        <f>'Capacity setup'!E36</f>
        <v>0</v>
      </c>
      <c r="H29" s="68">
        <f ca="1">IF(AND(SUMIF(Capacity_Resource,$D29,'Critical resources (hide)'!U$6:U$105)+SUMIF(Capacity_Resource,$E29,'Critical resources (hide)'!U$6:U$105)+SUMIF(Capacity_Resource,$F29,'Critical resources (hide)'!U$6:U$105)&gt;0,$E$1=2),0,1)</f>
        <v>1</v>
      </c>
      <c r="I29" s="68">
        <f ca="1">IF(AND(SUMIF(Capacity_Resource,$D29,'Critical resources (hide)'!V$6:V$105)+SUMIF(Capacity_Resource,$E29,'Critical resources (hide)'!V$6:V$105)+SUMIF(Capacity_Resource,$F29,'Critical resources (hide)'!V$6:V$105)&gt;0,$E$1=2),0,1)</f>
        <v>1</v>
      </c>
      <c r="J29" s="68">
        <f ca="1">IF(AND(SUMIF(Capacity_Resource,$D29,'Critical resources (hide)'!W$6:W$105)+SUMIF(Capacity_Resource,$E29,'Critical resources (hide)'!W$6:W$105)+SUMIF(Capacity_Resource,$F29,'Critical resources (hide)'!W$6:W$105)&gt;0,$E$1=2),0,1)</f>
        <v>1</v>
      </c>
      <c r="K29" s="68">
        <f ca="1">IF(AND(SUMIF(Capacity_Resource,$D29,'Critical resources (hide)'!X$6:X$105)+SUMIF(Capacity_Resource,$E29,'Critical resources (hide)'!X$6:X$105)+SUMIF(Capacity_Resource,$F29,'Critical resources (hide)'!X$6:X$105)&gt;0,$E$1=2),0,1)</f>
        <v>1</v>
      </c>
      <c r="L29" s="68">
        <f ca="1">IF(AND(SUMIF(Capacity_Resource,$D29,'Critical resources (hide)'!Y$6:Y$105)+SUMIF(Capacity_Resource,$E29,'Critical resources (hide)'!Y$6:Y$105)+SUMIF(Capacity_Resource,$F29,'Critical resources (hide)'!Y$6:Y$105)&gt;0,$E$1=2),0,1)</f>
        <v>1</v>
      </c>
      <c r="M29" s="68">
        <f ca="1">IF(AND(SUMIF(Capacity_Resource,$D29,'Critical resources (hide)'!Z$6:Z$105)+SUMIF(Capacity_Resource,$E29,'Critical resources (hide)'!Z$6:Z$105)+SUMIF(Capacity_Resource,$F29,'Critical resources (hide)'!Z$6:Z$105)&gt;0,$E$1=2),0,1)</f>
        <v>1</v>
      </c>
      <c r="N29" s="68">
        <f ca="1">IF(AND(SUMIF(Capacity_Resource,$D29,'Critical resources (hide)'!AA$6:AA$105)+SUMIF(Capacity_Resource,$E29,'Critical resources (hide)'!AA$6:AA$105)+SUMIF(Capacity_Resource,$F29,'Critical resources (hide)'!AA$6:AA$105)&gt;0,$E$1=2),0,1)</f>
        <v>1</v>
      </c>
      <c r="O29" s="68">
        <f ca="1">IF(AND(SUMIF(Capacity_Resource,$D29,'Critical resources (hide)'!AB$6:AB$105)+SUMIF(Capacity_Resource,$E29,'Critical resources (hide)'!AB$6:AB$105)+SUMIF(Capacity_Resource,$F29,'Critical resources (hide)'!AB$6:AB$105)&gt;0,$E$1=2),0,1)</f>
        <v>1</v>
      </c>
      <c r="P29" s="68">
        <f ca="1">IF(AND(SUMIF(Capacity_Resource,$D29,'Critical resources (hide)'!AC$6:AC$105)+SUMIF(Capacity_Resource,$E29,'Critical resources (hide)'!AC$6:AC$105)+SUMIF(Capacity_Resource,$F29,'Critical resources (hide)'!AC$6:AC$105)&gt;0,$E$1=2),0,1)</f>
        <v>1</v>
      </c>
      <c r="Q29" s="68">
        <f ca="1">IF(AND(SUMIF(Capacity_Resource,$D29,'Critical resources (hide)'!AD$6:AD$105)+SUMIF(Capacity_Resource,$E29,'Critical resources (hide)'!AD$6:AD$105)+SUMIF(Capacity_Resource,$F29,'Critical resources (hide)'!AD$6:AD$105)&gt;0,$E$1=2),0,1)</f>
        <v>1</v>
      </c>
      <c r="R29" s="68">
        <f ca="1">IF(AND(SUMIF(Capacity_Resource,$D29,'Critical resources (hide)'!AE$6:AE$105)+SUMIF(Capacity_Resource,$E29,'Critical resources (hide)'!AE$6:AE$105)+SUMIF(Capacity_Resource,$F29,'Critical resources (hide)'!AE$6:AE$105)&gt;0,$E$1=2),0,1)</f>
        <v>1</v>
      </c>
      <c r="S29" s="68">
        <f ca="1">IF(AND(SUMIF(Capacity_Resource,$D29,'Critical resources (hide)'!AF$6:AF$105)+SUMIF(Capacity_Resource,$E29,'Critical resources (hide)'!AF$6:AF$105)+SUMIF(Capacity_Resource,$F29,'Critical resources (hide)'!AF$6:AF$105)&gt;0,$E$1=2),0,1)</f>
        <v>1</v>
      </c>
      <c r="T29" s="68">
        <f ca="1">IF(AND(SUMIF(Capacity_Resource,$D29,'Critical resources (hide)'!AG$6:AG$105)+SUMIF(Capacity_Resource,$E29,'Critical resources (hide)'!AG$6:AG$105)+SUMIF(Capacity_Resource,$F29,'Critical resources (hide)'!AG$6:AG$105)&gt;0,$E$1=2),0,1)</f>
        <v>1</v>
      </c>
      <c r="U29" s="68">
        <f ca="1">IF(AND(SUMIF(Capacity_Resource,$D29,'Critical resources (hide)'!AH$6:AH$105)+SUMIF(Capacity_Resource,$E29,'Critical resources (hide)'!AH$6:AH$105)+SUMIF(Capacity_Resource,$F29,'Critical resources (hide)'!AH$6:AH$105)&gt;0,$E$1=2),0,1)</f>
        <v>1</v>
      </c>
      <c r="V29" s="68">
        <f ca="1">IF(AND(SUMIF(Capacity_Resource,$D29,'Critical resources (hide)'!AI$6:AI$105)+SUMIF(Capacity_Resource,$E29,'Critical resources (hide)'!AI$6:AI$105)+SUMIF(Capacity_Resource,$F29,'Critical resources (hide)'!AI$6:AI$105)&gt;0,$E$1=2),0,1)</f>
        <v>1</v>
      </c>
      <c r="W29" s="68">
        <f ca="1">IF(AND(SUMIF(Capacity_Resource,$D29,'Critical resources (hide)'!AJ$6:AJ$105)+SUMIF(Capacity_Resource,$E29,'Critical resources (hide)'!AJ$6:AJ$105)+SUMIF(Capacity_Resource,$F29,'Critical resources (hide)'!AJ$6:AJ$105)&gt;0,$E$1=2),0,1)</f>
        <v>1</v>
      </c>
      <c r="X29" s="68">
        <f ca="1">IF(AND(SUMIF(Capacity_Resource,$D29,'Critical resources (hide)'!AK$6:AK$105)+SUMIF(Capacity_Resource,$E29,'Critical resources (hide)'!AK$6:AK$105)+SUMIF(Capacity_Resource,$F29,'Critical resources (hide)'!AK$6:AK$105)&gt;0,$E$1=2),0,1)</f>
        <v>1</v>
      </c>
      <c r="Y29" s="68">
        <f ca="1">IF(AND(SUMIF(Capacity_Resource,$D29,'Critical resources (hide)'!AL$6:AL$105)+SUMIF(Capacity_Resource,$E29,'Critical resources (hide)'!AL$6:AL$105)+SUMIF(Capacity_Resource,$F29,'Critical resources (hide)'!AL$6:AL$105)&gt;0,$E$1=2),0,1)</f>
        <v>1</v>
      </c>
      <c r="Z29" s="68">
        <f ca="1">IF(AND(SUMIF(Capacity_Resource,$D29,'Critical resources (hide)'!AM$6:AM$105)+SUMIF(Capacity_Resource,$E29,'Critical resources (hide)'!AM$6:AM$105)+SUMIF(Capacity_Resource,$F29,'Critical resources (hide)'!AM$6:AM$105)&gt;0,$E$1=2),0,1)</f>
        <v>1</v>
      </c>
      <c r="AA29" s="68">
        <f ca="1">IF(AND(SUMIF(Capacity_Resource,$D29,'Critical resources (hide)'!AN$6:AN$105)+SUMIF(Capacity_Resource,$E29,'Critical resources (hide)'!AN$6:AN$105)+SUMIF(Capacity_Resource,$F29,'Critical resources (hide)'!AN$6:AN$105)&gt;0,$E$1=2),0,1)</f>
        <v>1</v>
      </c>
      <c r="AB29" s="68">
        <f ca="1">IF(AND(SUMIF(Capacity_Resource,$D29,'Critical resources (hide)'!AO$6:AO$105)+SUMIF(Capacity_Resource,$E29,'Critical resources (hide)'!AO$6:AO$105)+SUMIF(Capacity_Resource,$F29,'Critical resources (hide)'!AO$6:AO$105)&gt;0,$E$1=2),0,1)</f>
        <v>1</v>
      </c>
      <c r="AC29" s="68">
        <f ca="1">IF(AND(SUMIF(Capacity_Resource,$D29,'Critical resources (hide)'!AP$6:AP$105)+SUMIF(Capacity_Resource,$E29,'Critical resources (hide)'!AP$6:AP$105)+SUMIF(Capacity_Resource,$F29,'Critical resources (hide)'!AP$6:AP$105)&gt;0,$E$1=2),0,1)</f>
        <v>1</v>
      </c>
      <c r="AD29" s="68">
        <f ca="1">IF(AND(SUMIF(Capacity_Resource,$D29,'Critical resources (hide)'!AQ$6:AQ$105)+SUMIF(Capacity_Resource,$E29,'Critical resources (hide)'!AQ$6:AQ$105)+SUMIF(Capacity_Resource,$F29,'Critical resources (hide)'!AQ$6:AQ$105)&gt;0,$E$1=2),0,1)</f>
        <v>1</v>
      </c>
      <c r="AE29" s="68">
        <f ca="1">IF(AND(SUMIF(Capacity_Resource,$D29,'Critical resources (hide)'!AR$6:AR$105)+SUMIF(Capacity_Resource,$E29,'Critical resources (hide)'!AR$6:AR$105)+SUMIF(Capacity_Resource,$F29,'Critical resources (hide)'!AR$6:AR$105)&gt;0,$E$1=2),0,1)</f>
        <v>1</v>
      </c>
      <c r="AF29" s="68">
        <f ca="1">IF(AND(SUMIF(Capacity_Resource,$D29,'Critical resources (hide)'!AS$6:AS$105)+SUMIF(Capacity_Resource,$E29,'Critical resources (hide)'!AS$6:AS$105)+SUMIF(Capacity_Resource,$F29,'Critical resources (hide)'!AS$6:AS$105)&gt;0,$E$1=2),0,1)</f>
        <v>1</v>
      </c>
      <c r="AG29" s="68">
        <f ca="1">IF(AND(SUMIF(Capacity_Resource,$D29,'Critical resources (hide)'!AT$6:AT$105)+SUMIF(Capacity_Resource,$E29,'Critical resources (hide)'!AT$6:AT$105)+SUMIF(Capacity_Resource,$F29,'Critical resources (hide)'!AT$6:AT$105)&gt;0,$E$1=2),0,1)</f>
        <v>1</v>
      </c>
      <c r="AH29" s="68">
        <f ca="1">IF(AND(SUMIF(Capacity_Resource,$D29,'Critical resources (hide)'!AU$6:AU$105)+SUMIF(Capacity_Resource,$E29,'Critical resources (hide)'!AU$6:AU$105)+SUMIF(Capacity_Resource,$F29,'Critical resources (hide)'!AU$6:AU$105)&gt;0,$E$1=2),0,1)</f>
        <v>1</v>
      </c>
      <c r="AI29" s="68">
        <f ca="1">IF(AND(SUMIF(Capacity_Resource,$D29,'Critical resources (hide)'!AV$6:AV$105)+SUMIF(Capacity_Resource,$E29,'Critical resources (hide)'!AV$6:AV$105)+SUMIF(Capacity_Resource,$F29,'Critical resources (hide)'!AV$6:AV$105)&gt;0,$E$1=2),0,1)</f>
        <v>1</v>
      </c>
      <c r="AJ29" s="68">
        <f ca="1">IF(AND(SUMIF(Capacity_Resource,$D29,'Critical resources (hide)'!AW$6:AW$105)+SUMIF(Capacity_Resource,$E29,'Critical resources (hide)'!AW$6:AW$105)+SUMIF(Capacity_Resource,$F29,'Critical resources (hide)'!AW$6:AW$105)&gt;0,$E$1=2),0,1)</f>
        <v>1</v>
      </c>
      <c r="AK29" s="68">
        <f ca="1">IF(AND(SUMIF(Capacity_Resource,$D29,'Critical resources (hide)'!AX$6:AX$105)+SUMIF(Capacity_Resource,$E29,'Critical resources (hide)'!AX$6:AX$105)+SUMIF(Capacity_Resource,$F29,'Critical resources (hide)'!AX$6:AX$105)&gt;0,$E$1=2),0,1)</f>
        <v>1</v>
      </c>
      <c r="AL29" s="68">
        <f ca="1">IF(AND(SUMIF(Capacity_Resource,$D29,'Critical resources (hide)'!AY$6:AY$105)+SUMIF(Capacity_Resource,$E29,'Critical resources (hide)'!AY$6:AY$105)+SUMIF(Capacity_Resource,$F29,'Critical resources (hide)'!AY$6:AY$105)&gt;0,$E$1=2),0,1)</f>
        <v>1</v>
      </c>
      <c r="AM29" s="68">
        <f ca="1">IF(AND(SUMIF(Capacity_Resource,$D29,'Critical resources (hide)'!AZ$6:AZ$105)+SUMIF(Capacity_Resource,$E29,'Critical resources (hide)'!AZ$6:AZ$105)+SUMIF(Capacity_Resource,$F29,'Critical resources (hide)'!AZ$6:AZ$105)&gt;0,$E$1=2),0,1)</f>
        <v>1</v>
      </c>
      <c r="AN29" s="68">
        <f ca="1">IF(AND(SUMIF(Capacity_Resource,$D29,'Critical resources (hide)'!BA$6:BA$105)+SUMIF(Capacity_Resource,$E29,'Critical resources (hide)'!BA$6:BA$105)+SUMIF(Capacity_Resource,$F29,'Critical resources (hide)'!BA$6:BA$105)&gt;0,$E$1=2),0,1)</f>
        <v>1</v>
      </c>
      <c r="AO29" s="68">
        <f ca="1">IF(AND(SUMIF(Capacity_Resource,$D29,'Critical resources (hide)'!BB$6:BB$105)+SUMIF(Capacity_Resource,$E29,'Critical resources (hide)'!BB$6:BB$105)+SUMIF(Capacity_Resource,$F29,'Critical resources (hide)'!BB$6:BB$105)&gt;0,$E$1=2),0,1)</f>
        <v>1</v>
      </c>
      <c r="AP29" s="68">
        <f ca="1">IF(AND(SUMIF(Capacity_Resource,$D29,'Critical resources (hide)'!BC$6:BC$105)+SUMIF(Capacity_Resource,$E29,'Critical resources (hide)'!BC$6:BC$105)+SUMIF(Capacity_Resource,$F29,'Critical resources (hide)'!BC$6:BC$105)&gt;0,$E$1=2),0,1)</f>
        <v>1</v>
      </c>
      <c r="AQ29" s="68">
        <f ca="1">IF(AND(SUMIF(Capacity_Resource,$D29,'Critical resources (hide)'!BD$6:BD$105)+SUMIF(Capacity_Resource,$E29,'Critical resources (hide)'!BD$6:BD$105)+SUMIF(Capacity_Resource,$F29,'Critical resources (hide)'!BD$6:BD$105)&gt;0,$E$1=2),0,1)</f>
        <v>1</v>
      </c>
      <c r="AR29" s="68">
        <f ca="1">IF(AND(SUMIF(Capacity_Resource,$D29,'Critical resources (hide)'!BE$6:BE$105)+SUMIF(Capacity_Resource,$E29,'Critical resources (hide)'!BE$6:BE$105)+SUMIF(Capacity_Resource,$F29,'Critical resources (hide)'!BE$6:BE$105)&gt;0,$E$1=2),0,1)</f>
        <v>1</v>
      </c>
      <c r="AS29" s="68">
        <f ca="1">IF(AND(SUMIF(Capacity_Resource,$D29,'Critical resources (hide)'!BF$6:BF$105)+SUMIF(Capacity_Resource,$E29,'Critical resources (hide)'!BF$6:BF$105)+SUMIF(Capacity_Resource,$F29,'Critical resources (hide)'!BF$6:BF$105)&gt;0,$E$1=2),0,1)</f>
        <v>1</v>
      </c>
      <c r="AT29" s="68">
        <f ca="1">IF(AND(SUMIF(Capacity_Resource,$D29,'Critical resources (hide)'!BG$6:BG$105)+SUMIF(Capacity_Resource,$E29,'Critical resources (hide)'!BG$6:BG$105)+SUMIF(Capacity_Resource,$F29,'Critical resources (hide)'!BG$6:BG$105)&gt;0,$E$1=2),0,1)</f>
        <v>1</v>
      </c>
      <c r="AU29" s="68">
        <f ca="1">IF(AND(SUMIF(Capacity_Resource,$D29,'Critical resources (hide)'!BH$6:BH$105)+SUMIF(Capacity_Resource,$E29,'Critical resources (hide)'!BH$6:BH$105)+SUMIF(Capacity_Resource,$F29,'Critical resources (hide)'!BH$6:BH$105)&gt;0,$E$1=2),0,1)</f>
        <v>1</v>
      </c>
      <c r="AV29" s="68">
        <f ca="1">IF(AND(SUMIF(Capacity_Resource,$D29,'Critical resources (hide)'!BI$6:BI$105)+SUMIF(Capacity_Resource,$E29,'Critical resources (hide)'!BI$6:BI$105)+SUMIF(Capacity_Resource,$F29,'Critical resources (hide)'!BI$6:BI$105)&gt;0,$E$1=2),0,1)</f>
        <v>1</v>
      </c>
      <c r="AW29" s="68">
        <f ca="1">IF(AND(SUMIF(Capacity_Resource,$D29,'Critical resources (hide)'!BJ$6:BJ$105)+SUMIF(Capacity_Resource,$E29,'Critical resources (hide)'!BJ$6:BJ$105)+SUMIF(Capacity_Resource,$F29,'Critical resources (hide)'!BJ$6:BJ$105)&gt;0,$E$1=2),0,1)</f>
        <v>1</v>
      </c>
      <c r="AX29" s="68">
        <f ca="1">IF(AND(SUMIF(Capacity_Resource,$D29,'Critical resources (hide)'!BK$6:BK$105)+SUMIF(Capacity_Resource,$E29,'Critical resources (hide)'!BK$6:BK$105)+SUMIF(Capacity_Resource,$F29,'Critical resources (hide)'!BK$6:BK$105)&gt;0,$E$1=2),0,1)</f>
        <v>1</v>
      </c>
      <c r="AY29" s="68">
        <f ca="1">IF(AND(SUMIF(Capacity_Resource,$D29,'Critical resources (hide)'!BL$6:BL$105)+SUMIF(Capacity_Resource,$E29,'Critical resources (hide)'!BL$6:BL$105)+SUMIF(Capacity_Resource,$F29,'Critical resources (hide)'!BL$6:BL$105)&gt;0,$E$1=2),0,1)</f>
        <v>1</v>
      </c>
      <c r="AZ29" s="68">
        <f ca="1">IF(AND(SUMIF(Capacity_Resource,$D29,'Critical resources (hide)'!BM$6:BM$105)+SUMIF(Capacity_Resource,$E29,'Critical resources (hide)'!BM$6:BM$105)+SUMIF(Capacity_Resource,$F29,'Critical resources (hide)'!BM$6:BM$105)&gt;0,$E$1=2),0,1)</f>
        <v>1</v>
      </c>
      <c r="BA29" s="68">
        <f ca="1">IF(AND(SUMIF(Capacity_Resource,$D29,'Critical resources (hide)'!BN$6:BN$105)+SUMIF(Capacity_Resource,$E29,'Critical resources (hide)'!BN$6:BN$105)+SUMIF(Capacity_Resource,$F29,'Critical resources (hide)'!BN$6:BN$105)&gt;0,$E$1=2),0,1)</f>
        <v>1</v>
      </c>
      <c r="BB29" s="68">
        <f ca="1">IF(AND(SUMIF(Capacity_Resource,$D29,'Critical resources (hide)'!BO$6:BO$105)+SUMIF(Capacity_Resource,$E29,'Critical resources (hide)'!BO$6:BO$105)+SUMIF(Capacity_Resource,$F29,'Critical resources (hide)'!BO$6:BO$105)&gt;0,$E$1=2),0,1)</f>
        <v>1</v>
      </c>
      <c r="BC29" s="68">
        <f ca="1">IF(AND(SUMIF(Capacity_Resource,$D29,'Critical resources (hide)'!BP$6:BP$105)+SUMIF(Capacity_Resource,$E29,'Critical resources (hide)'!BP$6:BP$105)+SUMIF(Capacity_Resource,$F29,'Critical resources (hide)'!BP$6:BP$105)&gt;0,$E$1=2),0,1)</f>
        <v>1</v>
      </c>
      <c r="BD29" s="68">
        <f ca="1">IF(AND(SUMIF(Capacity_Resource,$D29,'Critical resources (hide)'!BQ$6:BQ$105)+SUMIF(Capacity_Resource,$E29,'Critical resources (hide)'!BQ$6:BQ$105)+SUMIF(Capacity_Resource,$F29,'Critical resources (hide)'!BQ$6:BQ$105)&gt;0,$E$1=2),0,1)</f>
        <v>1</v>
      </c>
      <c r="BE29" s="68">
        <f ca="1">IF(AND(SUMIF(Capacity_Resource,$D29,'Critical resources (hide)'!BR$6:BR$105)+SUMIF(Capacity_Resource,$E29,'Critical resources (hide)'!BR$6:BR$105)+SUMIF(Capacity_Resource,$F29,'Critical resources (hide)'!BR$6:BR$105)&gt;0,$E$1=2),0,1)</f>
        <v>1</v>
      </c>
      <c r="BF29" s="68">
        <f ca="1">IF(AND(SUMIF(Capacity_Resource,$D29,'Critical resources (hide)'!BS$6:BS$105)+SUMIF(Capacity_Resource,$E29,'Critical resources (hide)'!BS$6:BS$105)+SUMIF(Capacity_Resource,$F29,'Critical resources (hide)'!BS$6:BS$105)&gt;0,$E$1=2),0,1)</f>
        <v>1</v>
      </c>
      <c r="BG29" s="68">
        <f ca="1">IF(AND(SUMIF(Capacity_Resource,$D29,'Critical resources (hide)'!BT$6:BT$105)+SUMIF(Capacity_Resource,$E29,'Critical resources (hide)'!BT$6:BT$105)+SUMIF(Capacity_Resource,$F29,'Critical resources (hide)'!BT$6:BT$105)&gt;0,$E$1=2),0,1)</f>
        <v>1</v>
      </c>
      <c r="BH29" s="68">
        <f>IF(ROW(C25)&lt;=Capacity!$A$16,IF('Capacity summary'!$D$14="No",SUM(H29:BG29),'Capacity summary'!$E148),0)</f>
        <v>0</v>
      </c>
      <c r="BI29" s="5" t="str">
        <f>IF(BH29&gt;0,IF(BH29&lt;Capacity!E41,Capacity!F41,Capacity!H41/'Capacity calculation (hide)'!BH29),"")</f>
        <v/>
      </c>
      <c r="BK29" s="319">
        <f>IF($BI29&lt;&gt;"",IF('Capacity summary'!$D$14="Yes",IF(COUNTBLANK('Capacity summary'!$H148:$BG148)&lt;52,IF('Capacity summary'!H148&lt;&gt;"",$BI29*H29,0),H29*$BI29),H29*$BI29),0)</f>
        <v>0</v>
      </c>
      <c r="BL29" s="319">
        <f>IF($BI29&lt;&gt;"",IF('Capacity summary'!$D$14="Yes",IF(COUNTBLANK('Capacity summary'!$H148:$BG148)&lt;52,IF('Capacity summary'!I148&lt;&gt;"",$BI29*I29,0),I29*$BI29),I29*$BI29),0)</f>
        <v>0</v>
      </c>
      <c r="BM29" s="319">
        <f>IF($BI29&lt;&gt;"",IF('Capacity summary'!$D$14="Yes",IF(COUNTBLANK('Capacity summary'!$H148:$BG148)&lt;52,IF('Capacity summary'!J148&lt;&gt;"",$BI29*J29,0),J29*$BI29),J29*$BI29),0)</f>
        <v>0</v>
      </c>
      <c r="BN29" s="319">
        <f>IF($BI29&lt;&gt;"",IF('Capacity summary'!$D$14="Yes",IF(COUNTBLANK('Capacity summary'!$H148:$BG148)&lt;52,IF('Capacity summary'!K148&lt;&gt;"",$BI29*K29,0),K29*$BI29),K29*$BI29),0)</f>
        <v>0</v>
      </c>
      <c r="BO29" s="319">
        <f>IF($BI29&lt;&gt;"",IF('Capacity summary'!$D$14="Yes",IF(COUNTBLANK('Capacity summary'!$H148:$BG148)&lt;52,IF('Capacity summary'!L148&lt;&gt;"",$BI29*L29,0),L29*$BI29),L29*$BI29),0)</f>
        <v>0</v>
      </c>
      <c r="BP29" s="319">
        <f>IF($BI29&lt;&gt;"",IF('Capacity summary'!$D$14="Yes",IF(COUNTBLANK('Capacity summary'!$H148:$BG148)&lt;52,IF('Capacity summary'!M148&lt;&gt;"",$BI29*M29,0),M29*$BI29),M29*$BI29),0)</f>
        <v>0</v>
      </c>
      <c r="BQ29" s="319">
        <f>IF($BI29&lt;&gt;"",IF('Capacity summary'!$D$14="Yes",IF(COUNTBLANK('Capacity summary'!$H148:$BG148)&lt;52,IF('Capacity summary'!N148&lt;&gt;"",$BI29*N29,0),N29*$BI29),N29*$BI29),0)</f>
        <v>0</v>
      </c>
      <c r="BR29" s="319">
        <f>IF($BI29&lt;&gt;"",IF('Capacity summary'!$D$14="Yes",IF(COUNTBLANK('Capacity summary'!$H148:$BG148)&lt;52,IF('Capacity summary'!O148&lt;&gt;"",$BI29*O29,0),O29*$BI29),O29*$BI29),0)</f>
        <v>0</v>
      </c>
      <c r="BS29" s="319">
        <f>IF($BI29&lt;&gt;"",IF('Capacity summary'!$D$14="Yes",IF(COUNTBLANK('Capacity summary'!$H148:$BG148)&lt;52,IF('Capacity summary'!P148&lt;&gt;"",$BI29*P29,0),P29*$BI29),P29*$BI29),0)</f>
        <v>0</v>
      </c>
      <c r="BT29" s="319">
        <f>IF($BI29&lt;&gt;"",IF('Capacity summary'!$D$14="Yes",IF(COUNTBLANK('Capacity summary'!$H148:$BG148)&lt;52,IF('Capacity summary'!Q148&lt;&gt;"",$BI29*Q29,0),Q29*$BI29),Q29*$BI29),0)</f>
        <v>0</v>
      </c>
      <c r="BU29" s="319">
        <f>IF($BI29&lt;&gt;"",IF('Capacity summary'!$D$14="Yes",IF(COUNTBLANK('Capacity summary'!$H148:$BG148)&lt;52,IF('Capacity summary'!R148&lt;&gt;"",$BI29*R29,0),R29*$BI29),R29*$BI29),0)</f>
        <v>0</v>
      </c>
      <c r="BV29" s="319">
        <f>IF($BI29&lt;&gt;"",IF('Capacity summary'!$D$14="Yes",IF(COUNTBLANK('Capacity summary'!$H148:$BG148)&lt;52,IF('Capacity summary'!S148&lt;&gt;"",$BI29*S29,0),S29*$BI29),S29*$BI29),0)</f>
        <v>0</v>
      </c>
      <c r="BW29" s="319">
        <f>IF($BI29&lt;&gt;"",IF('Capacity summary'!$D$14="Yes",IF(COUNTBLANK('Capacity summary'!$H148:$BG148)&lt;52,IF('Capacity summary'!T148&lt;&gt;"",$BI29*T29,0),T29*$BI29),T29*$BI29),0)</f>
        <v>0</v>
      </c>
      <c r="BX29" s="319">
        <f>IF($BI29&lt;&gt;"",IF('Capacity summary'!$D$14="Yes",IF(COUNTBLANK('Capacity summary'!$H148:$BG148)&lt;52,IF('Capacity summary'!U148&lt;&gt;"",$BI29*U29,0),U29*$BI29),U29*$BI29),0)</f>
        <v>0</v>
      </c>
      <c r="BY29" s="319">
        <f>IF($BI29&lt;&gt;"",IF('Capacity summary'!$D$14="Yes",IF(COUNTBLANK('Capacity summary'!$H148:$BG148)&lt;52,IF('Capacity summary'!V148&lt;&gt;"",$BI29*V29,0),V29*$BI29),V29*$BI29),0)</f>
        <v>0</v>
      </c>
      <c r="BZ29" s="319">
        <f>IF($BI29&lt;&gt;"",IF('Capacity summary'!$D$14="Yes",IF(COUNTBLANK('Capacity summary'!$H148:$BG148)&lt;52,IF('Capacity summary'!W148&lt;&gt;"",$BI29*W29,0),W29*$BI29),W29*$BI29),0)</f>
        <v>0</v>
      </c>
      <c r="CA29" s="319">
        <f>IF($BI29&lt;&gt;"",IF('Capacity summary'!$D$14="Yes",IF(COUNTBLANK('Capacity summary'!$H148:$BG148)&lt;52,IF('Capacity summary'!X148&lt;&gt;"",$BI29*X29,0),X29*$BI29),X29*$BI29),0)</f>
        <v>0</v>
      </c>
      <c r="CB29" s="319">
        <f>IF($BI29&lt;&gt;"",IF('Capacity summary'!$D$14="Yes",IF(COUNTBLANK('Capacity summary'!$H148:$BG148)&lt;52,IF('Capacity summary'!Y148&lt;&gt;"",$BI29*Y29,0),Y29*$BI29),Y29*$BI29),0)</f>
        <v>0</v>
      </c>
      <c r="CC29" s="319">
        <f>IF($BI29&lt;&gt;"",IF('Capacity summary'!$D$14="Yes",IF(COUNTBLANK('Capacity summary'!$H148:$BG148)&lt;52,IF('Capacity summary'!Z148&lt;&gt;"",$BI29*Z29,0),Z29*$BI29),Z29*$BI29),0)</f>
        <v>0</v>
      </c>
      <c r="CD29" s="319">
        <f>IF($BI29&lt;&gt;"",IF('Capacity summary'!$D$14="Yes",IF(COUNTBLANK('Capacity summary'!$H148:$BG148)&lt;52,IF('Capacity summary'!AA148&lt;&gt;"",$BI29*AA29,0),AA29*$BI29),AA29*$BI29),0)</f>
        <v>0</v>
      </c>
      <c r="CE29" s="319">
        <f>IF($BI29&lt;&gt;"",IF('Capacity summary'!$D$14="Yes",IF(COUNTBLANK('Capacity summary'!$H148:$BG148)&lt;52,IF('Capacity summary'!AB148&lt;&gt;"",$BI29*AB29,0),AB29*$BI29),AB29*$BI29),0)</f>
        <v>0</v>
      </c>
      <c r="CF29" s="319">
        <f>IF($BI29&lt;&gt;"",IF('Capacity summary'!$D$14="Yes",IF(COUNTBLANK('Capacity summary'!$H148:$BG148)&lt;52,IF('Capacity summary'!AC148&lt;&gt;"",$BI29*AC29,0),AC29*$BI29),AC29*$BI29),0)</f>
        <v>0</v>
      </c>
      <c r="CG29" s="319">
        <f>IF($BI29&lt;&gt;"",IF('Capacity summary'!$D$14="Yes",IF(COUNTBLANK('Capacity summary'!$H148:$BG148)&lt;52,IF('Capacity summary'!AD148&lt;&gt;"",$BI29*AD29,0),AD29*$BI29),AD29*$BI29),0)</f>
        <v>0</v>
      </c>
      <c r="CH29" s="319">
        <f>IF($BI29&lt;&gt;"",IF('Capacity summary'!$D$14="Yes",IF(COUNTBLANK('Capacity summary'!$H148:$BG148)&lt;52,IF('Capacity summary'!AE148&lt;&gt;"",$BI29*AE29,0),AE29*$BI29),AE29*$BI29),0)</f>
        <v>0</v>
      </c>
      <c r="CI29" s="319">
        <f>IF($BI29&lt;&gt;"",IF('Capacity summary'!$D$14="Yes",IF(COUNTBLANK('Capacity summary'!$H148:$BG148)&lt;52,IF('Capacity summary'!AF148&lt;&gt;"",$BI29*AF29,0),AF29*$BI29),AF29*$BI29),0)</f>
        <v>0</v>
      </c>
      <c r="CJ29" s="319">
        <f>IF($BI29&lt;&gt;"",IF('Capacity summary'!$D$14="Yes",IF(COUNTBLANK('Capacity summary'!$H148:$BG148)&lt;52,IF('Capacity summary'!AG148&lt;&gt;"",$BI29*AG29,0),AG29*$BI29),AG29*$BI29),0)</f>
        <v>0</v>
      </c>
      <c r="CK29" s="319">
        <f>IF($BI29&lt;&gt;"",IF('Capacity summary'!$D$14="Yes",IF(COUNTBLANK('Capacity summary'!$H148:$BG148)&lt;52,IF('Capacity summary'!AH148&lt;&gt;"",$BI29*AH29,0),AH29*$BI29),AH29*$BI29),0)</f>
        <v>0</v>
      </c>
      <c r="CL29" s="319">
        <f>IF($BI29&lt;&gt;"",IF('Capacity summary'!$D$14="Yes",IF(COUNTBLANK('Capacity summary'!$H148:$BG148)&lt;52,IF('Capacity summary'!AI148&lt;&gt;"",$BI29*AI29,0),AI29*$BI29),AI29*$BI29),0)</f>
        <v>0</v>
      </c>
      <c r="CM29" s="319">
        <f>IF($BI29&lt;&gt;"",IF('Capacity summary'!$D$14="Yes",IF(COUNTBLANK('Capacity summary'!$H148:$BG148)&lt;52,IF('Capacity summary'!AJ148&lt;&gt;"",$BI29*AJ29,0),AJ29*$BI29),AJ29*$BI29),0)</f>
        <v>0</v>
      </c>
      <c r="CN29" s="319">
        <f>IF($BI29&lt;&gt;"",IF('Capacity summary'!$D$14="Yes",IF(COUNTBLANK('Capacity summary'!$H148:$BG148)&lt;52,IF('Capacity summary'!AK148&lt;&gt;"",$BI29*AK29,0),AK29*$BI29),AK29*$BI29),0)</f>
        <v>0</v>
      </c>
      <c r="CO29" s="319">
        <f>IF($BI29&lt;&gt;"",IF('Capacity summary'!$D$14="Yes",IF(COUNTBLANK('Capacity summary'!$H148:$BG148)&lt;52,IF('Capacity summary'!AL148&lt;&gt;"",$BI29*AL29,0),AL29*$BI29),AL29*$BI29),0)</f>
        <v>0</v>
      </c>
      <c r="CP29" s="319">
        <f>IF($BI29&lt;&gt;"",IF('Capacity summary'!$D$14="Yes",IF(COUNTBLANK('Capacity summary'!$H148:$BG148)&lt;52,IF('Capacity summary'!AM148&lt;&gt;"",$BI29*AM29,0),AM29*$BI29),AM29*$BI29),0)</f>
        <v>0</v>
      </c>
      <c r="CQ29" s="319">
        <f>IF($BI29&lt;&gt;"",IF('Capacity summary'!$D$14="Yes",IF(COUNTBLANK('Capacity summary'!$H148:$BG148)&lt;52,IF('Capacity summary'!AN148&lt;&gt;"",$BI29*AN29,0),AN29*$BI29),AN29*$BI29),0)</f>
        <v>0</v>
      </c>
      <c r="CR29" s="319">
        <f>IF($BI29&lt;&gt;"",IF('Capacity summary'!$D$14="Yes",IF(COUNTBLANK('Capacity summary'!$H148:$BG148)&lt;52,IF('Capacity summary'!AO148&lt;&gt;"",$BI29*AO29,0),AO29*$BI29),AO29*$BI29),0)</f>
        <v>0</v>
      </c>
      <c r="CS29" s="319">
        <f>IF($BI29&lt;&gt;"",IF('Capacity summary'!$D$14="Yes",IF(COUNTBLANK('Capacity summary'!$H148:$BG148)&lt;52,IF('Capacity summary'!AP148&lt;&gt;"",$BI29*AP29,0),AP29*$BI29),AP29*$BI29),0)</f>
        <v>0</v>
      </c>
      <c r="CT29" s="319">
        <f>IF($BI29&lt;&gt;"",IF('Capacity summary'!$D$14="Yes",IF(COUNTBLANK('Capacity summary'!$H148:$BG148)&lt;52,IF('Capacity summary'!AQ148&lt;&gt;"",$BI29*AQ29,0),AQ29*$BI29),AQ29*$BI29),0)</f>
        <v>0</v>
      </c>
      <c r="CU29" s="319">
        <f>IF($BI29&lt;&gt;"",IF('Capacity summary'!$D$14="Yes",IF(COUNTBLANK('Capacity summary'!$H148:$BG148)&lt;52,IF('Capacity summary'!AR148&lt;&gt;"",$BI29*AR29,0),AR29*$BI29),AR29*$BI29),0)</f>
        <v>0</v>
      </c>
      <c r="CV29" s="319">
        <f>IF($BI29&lt;&gt;"",IF('Capacity summary'!$D$14="Yes",IF(COUNTBLANK('Capacity summary'!$H148:$BG148)&lt;52,IF('Capacity summary'!AS148&lt;&gt;"",$BI29*AS29,0),AS29*$BI29),AS29*$BI29),0)</f>
        <v>0</v>
      </c>
      <c r="CW29" s="319">
        <f>IF($BI29&lt;&gt;"",IF('Capacity summary'!$D$14="Yes",IF(COUNTBLANK('Capacity summary'!$H148:$BG148)&lt;52,IF('Capacity summary'!AT148&lt;&gt;"",$BI29*AT29,0),AT29*$BI29),AT29*$BI29),0)</f>
        <v>0</v>
      </c>
      <c r="CX29" s="319">
        <f>IF($BI29&lt;&gt;"",IF('Capacity summary'!$D$14="Yes",IF(COUNTBLANK('Capacity summary'!$H148:$BG148)&lt;52,IF('Capacity summary'!AU148&lt;&gt;"",$BI29*AU29,0),AU29*$BI29),AU29*$BI29),0)</f>
        <v>0</v>
      </c>
      <c r="CY29" s="319">
        <f>IF($BI29&lt;&gt;"",IF('Capacity summary'!$D$14="Yes",IF(COUNTBLANK('Capacity summary'!$H148:$BG148)&lt;52,IF('Capacity summary'!AV148&lt;&gt;"",$BI29*AV29,0),AV29*$BI29),AV29*$BI29),0)</f>
        <v>0</v>
      </c>
      <c r="CZ29" s="319">
        <f>IF($BI29&lt;&gt;"",IF('Capacity summary'!$D$14="Yes",IF(COUNTBLANK('Capacity summary'!$H148:$BG148)&lt;52,IF('Capacity summary'!AW148&lt;&gt;"",$BI29*AW29,0),AW29*$BI29),AW29*$BI29),0)</f>
        <v>0</v>
      </c>
      <c r="DA29" s="319">
        <f>IF($BI29&lt;&gt;"",IF('Capacity summary'!$D$14="Yes",IF(COUNTBLANK('Capacity summary'!$H148:$BG148)&lt;52,IF('Capacity summary'!AX148&lt;&gt;"",$BI29*AX29,0),AX29*$BI29),AX29*$BI29),0)</f>
        <v>0</v>
      </c>
      <c r="DB29" s="319">
        <f>IF($BI29&lt;&gt;"",IF('Capacity summary'!$D$14="Yes",IF(COUNTBLANK('Capacity summary'!$H148:$BG148)&lt;52,IF('Capacity summary'!AY148&lt;&gt;"",$BI29*AY29,0),AY29*$BI29),AY29*$BI29),0)</f>
        <v>0</v>
      </c>
      <c r="DC29" s="319">
        <f>IF($BI29&lt;&gt;"",IF('Capacity summary'!$D$14="Yes",IF(COUNTBLANK('Capacity summary'!$H148:$BG148)&lt;52,IF('Capacity summary'!AZ148&lt;&gt;"",$BI29*AZ29,0),AZ29*$BI29),AZ29*$BI29),0)</f>
        <v>0</v>
      </c>
      <c r="DD29" s="319">
        <f>IF($BI29&lt;&gt;"",IF('Capacity summary'!$D$14="Yes",IF(COUNTBLANK('Capacity summary'!$H148:$BG148)&lt;52,IF('Capacity summary'!BA148&lt;&gt;"",$BI29*BA29,0),BA29*$BI29),BA29*$BI29),0)</f>
        <v>0</v>
      </c>
      <c r="DE29" s="319">
        <f>IF($BI29&lt;&gt;"",IF('Capacity summary'!$D$14="Yes",IF(COUNTBLANK('Capacity summary'!$H148:$BG148)&lt;52,IF('Capacity summary'!BB148&lt;&gt;"",$BI29*BB29,0),BB29*$BI29),BB29*$BI29),0)</f>
        <v>0</v>
      </c>
      <c r="DF29" s="319">
        <f>IF($BI29&lt;&gt;"",IF('Capacity summary'!$D$14="Yes",IF(COUNTBLANK('Capacity summary'!$H148:$BG148)&lt;52,IF('Capacity summary'!BC148&lt;&gt;"",$BI29*BC29,0),BC29*$BI29),BC29*$BI29),0)</f>
        <v>0</v>
      </c>
      <c r="DG29" s="319">
        <f>IF($BI29&lt;&gt;"",IF('Capacity summary'!$D$14="Yes",IF(COUNTBLANK('Capacity summary'!$H148:$BG148)&lt;52,IF('Capacity summary'!BD148&lt;&gt;"",$BI29*BD29,0),BD29*$BI29),BD29*$BI29),0)</f>
        <v>0</v>
      </c>
      <c r="DH29" s="319">
        <f>IF($BI29&lt;&gt;"",IF('Capacity summary'!$D$14="Yes",IF(COUNTBLANK('Capacity summary'!$H148:$BG148)&lt;52,IF('Capacity summary'!BE148&lt;&gt;"",$BI29*BE29,0),BE29*$BI29),BE29*$BI29),0)</f>
        <v>0</v>
      </c>
      <c r="DI29" s="319">
        <f>IF($BI29&lt;&gt;"",IF('Capacity summary'!$D$14="Yes",IF(COUNTBLANK('Capacity summary'!$H148:$BG148)&lt;52,IF('Capacity summary'!BF148&lt;&gt;"",$BI29*BF29,0),BF29*$BI29),BF29*$BI29),0)</f>
        <v>0</v>
      </c>
      <c r="DJ29" s="319">
        <f>IF($BI29&lt;&gt;"",IF('Capacity summary'!$D$14="Yes",IF(COUNTBLANK('Capacity summary'!$H148:$BG148)&lt;52,IF('Capacity summary'!BG148&lt;&gt;"",$BI29*BG29,0),BG29*$BI29),BG29*$BI29),0)</f>
        <v>0</v>
      </c>
      <c r="DK29" s="5">
        <f t="shared" si="2"/>
        <v>0</v>
      </c>
      <c r="DL29" s="5" t="str">
        <f>Capacity!H41</f>
        <v/>
      </c>
      <c r="DP29" s="5"/>
    </row>
    <row r="30" spans="2:120" x14ac:dyDescent="0.2">
      <c r="B30" s="68"/>
      <c r="C30" s="68" t="str">
        <f>ROW(A26)&amp;". "&amp;Capacity!B42</f>
        <v xml:space="preserve">26. </v>
      </c>
      <c r="D30" s="68">
        <f>'Capacity setup'!C37</f>
        <v>0</v>
      </c>
      <c r="E30" s="68">
        <f>'Capacity setup'!D37</f>
        <v>0</v>
      </c>
      <c r="F30" s="68">
        <f>'Capacity setup'!E37</f>
        <v>0</v>
      </c>
      <c r="H30" s="68">
        <f ca="1">IF(AND(SUMIF(Capacity_Resource,$D30,'Critical resources (hide)'!U$6:U$105)+SUMIF(Capacity_Resource,$E30,'Critical resources (hide)'!U$6:U$105)+SUMIF(Capacity_Resource,$F30,'Critical resources (hide)'!U$6:U$105)&gt;0,$E$1=2),0,1)</f>
        <v>1</v>
      </c>
      <c r="I30" s="68">
        <f ca="1">IF(AND(SUMIF(Capacity_Resource,$D30,'Critical resources (hide)'!V$6:V$105)+SUMIF(Capacity_Resource,$E30,'Critical resources (hide)'!V$6:V$105)+SUMIF(Capacity_Resource,$F30,'Critical resources (hide)'!V$6:V$105)&gt;0,$E$1=2),0,1)</f>
        <v>1</v>
      </c>
      <c r="J30" s="68">
        <f ca="1">IF(AND(SUMIF(Capacity_Resource,$D30,'Critical resources (hide)'!W$6:W$105)+SUMIF(Capacity_Resource,$E30,'Critical resources (hide)'!W$6:W$105)+SUMIF(Capacity_Resource,$F30,'Critical resources (hide)'!W$6:W$105)&gt;0,$E$1=2),0,1)</f>
        <v>1</v>
      </c>
      <c r="K30" s="68">
        <f ca="1">IF(AND(SUMIF(Capacity_Resource,$D30,'Critical resources (hide)'!X$6:X$105)+SUMIF(Capacity_Resource,$E30,'Critical resources (hide)'!X$6:X$105)+SUMIF(Capacity_Resource,$F30,'Critical resources (hide)'!X$6:X$105)&gt;0,$E$1=2),0,1)</f>
        <v>1</v>
      </c>
      <c r="L30" s="68">
        <f ca="1">IF(AND(SUMIF(Capacity_Resource,$D30,'Critical resources (hide)'!Y$6:Y$105)+SUMIF(Capacity_Resource,$E30,'Critical resources (hide)'!Y$6:Y$105)+SUMIF(Capacity_Resource,$F30,'Critical resources (hide)'!Y$6:Y$105)&gt;0,$E$1=2),0,1)</f>
        <v>1</v>
      </c>
      <c r="M30" s="68">
        <f ca="1">IF(AND(SUMIF(Capacity_Resource,$D30,'Critical resources (hide)'!Z$6:Z$105)+SUMIF(Capacity_Resource,$E30,'Critical resources (hide)'!Z$6:Z$105)+SUMIF(Capacity_Resource,$F30,'Critical resources (hide)'!Z$6:Z$105)&gt;0,$E$1=2),0,1)</f>
        <v>1</v>
      </c>
      <c r="N30" s="68">
        <f ca="1">IF(AND(SUMIF(Capacity_Resource,$D30,'Critical resources (hide)'!AA$6:AA$105)+SUMIF(Capacity_Resource,$E30,'Critical resources (hide)'!AA$6:AA$105)+SUMIF(Capacity_Resource,$F30,'Critical resources (hide)'!AA$6:AA$105)&gt;0,$E$1=2),0,1)</f>
        <v>1</v>
      </c>
      <c r="O30" s="68">
        <f ca="1">IF(AND(SUMIF(Capacity_Resource,$D30,'Critical resources (hide)'!AB$6:AB$105)+SUMIF(Capacity_Resource,$E30,'Critical resources (hide)'!AB$6:AB$105)+SUMIF(Capacity_Resource,$F30,'Critical resources (hide)'!AB$6:AB$105)&gt;0,$E$1=2),0,1)</f>
        <v>1</v>
      </c>
      <c r="P30" s="68">
        <f ca="1">IF(AND(SUMIF(Capacity_Resource,$D30,'Critical resources (hide)'!AC$6:AC$105)+SUMIF(Capacity_Resource,$E30,'Critical resources (hide)'!AC$6:AC$105)+SUMIF(Capacity_Resource,$F30,'Critical resources (hide)'!AC$6:AC$105)&gt;0,$E$1=2),0,1)</f>
        <v>1</v>
      </c>
      <c r="Q30" s="68">
        <f ca="1">IF(AND(SUMIF(Capacity_Resource,$D30,'Critical resources (hide)'!AD$6:AD$105)+SUMIF(Capacity_Resource,$E30,'Critical resources (hide)'!AD$6:AD$105)+SUMIF(Capacity_Resource,$F30,'Critical resources (hide)'!AD$6:AD$105)&gt;0,$E$1=2),0,1)</f>
        <v>1</v>
      </c>
      <c r="R30" s="68">
        <f ca="1">IF(AND(SUMIF(Capacity_Resource,$D30,'Critical resources (hide)'!AE$6:AE$105)+SUMIF(Capacity_Resource,$E30,'Critical resources (hide)'!AE$6:AE$105)+SUMIF(Capacity_Resource,$F30,'Critical resources (hide)'!AE$6:AE$105)&gt;0,$E$1=2),0,1)</f>
        <v>1</v>
      </c>
      <c r="S30" s="68">
        <f ca="1">IF(AND(SUMIF(Capacity_Resource,$D30,'Critical resources (hide)'!AF$6:AF$105)+SUMIF(Capacity_Resource,$E30,'Critical resources (hide)'!AF$6:AF$105)+SUMIF(Capacity_Resource,$F30,'Critical resources (hide)'!AF$6:AF$105)&gt;0,$E$1=2),0,1)</f>
        <v>1</v>
      </c>
      <c r="T30" s="68">
        <f ca="1">IF(AND(SUMIF(Capacity_Resource,$D30,'Critical resources (hide)'!AG$6:AG$105)+SUMIF(Capacity_Resource,$E30,'Critical resources (hide)'!AG$6:AG$105)+SUMIF(Capacity_Resource,$F30,'Critical resources (hide)'!AG$6:AG$105)&gt;0,$E$1=2),0,1)</f>
        <v>1</v>
      </c>
      <c r="U30" s="68">
        <f ca="1">IF(AND(SUMIF(Capacity_Resource,$D30,'Critical resources (hide)'!AH$6:AH$105)+SUMIF(Capacity_Resource,$E30,'Critical resources (hide)'!AH$6:AH$105)+SUMIF(Capacity_Resource,$F30,'Critical resources (hide)'!AH$6:AH$105)&gt;0,$E$1=2),0,1)</f>
        <v>1</v>
      </c>
      <c r="V30" s="68">
        <f ca="1">IF(AND(SUMIF(Capacity_Resource,$D30,'Critical resources (hide)'!AI$6:AI$105)+SUMIF(Capacity_Resource,$E30,'Critical resources (hide)'!AI$6:AI$105)+SUMIF(Capacity_Resource,$F30,'Critical resources (hide)'!AI$6:AI$105)&gt;0,$E$1=2),0,1)</f>
        <v>1</v>
      </c>
      <c r="W30" s="68">
        <f ca="1">IF(AND(SUMIF(Capacity_Resource,$D30,'Critical resources (hide)'!AJ$6:AJ$105)+SUMIF(Capacity_Resource,$E30,'Critical resources (hide)'!AJ$6:AJ$105)+SUMIF(Capacity_Resource,$F30,'Critical resources (hide)'!AJ$6:AJ$105)&gt;0,$E$1=2),0,1)</f>
        <v>1</v>
      </c>
      <c r="X30" s="68">
        <f ca="1">IF(AND(SUMIF(Capacity_Resource,$D30,'Critical resources (hide)'!AK$6:AK$105)+SUMIF(Capacity_Resource,$E30,'Critical resources (hide)'!AK$6:AK$105)+SUMIF(Capacity_Resource,$F30,'Critical resources (hide)'!AK$6:AK$105)&gt;0,$E$1=2),0,1)</f>
        <v>1</v>
      </c>
      <c r="Y30" s="68">
        <f ca="1">IF(AND(SUMIF(Capacity_Resource,$D30,'Critical resources (hide)'!AL$6:AL$105)+SUMIF(Capacity_Resource,$E30,'Critical resources (hide)'!AL$6:AL$105)+SUMIF(Capacity_Resource,$F30,'Critical resources (hide)'!AL$6:AL$105)&gt;0,$E$1=2),0,1)</f>
        <v>1</v>
      </c>
      <c r="Z30" s="68">
        <f ca="1">IF(AND(SUMIF(Capacity_Resource,$D30,'Critical resources (hide)'!AM$6:AM$105)+SUMIF(Capacity_Resource,$E30,'Critical resources (hide)'!AM$6:AM$105)+SUMIF(Capacity_Resource,$F30,'Critical resources (hide)'!AM$6:AM$105)&gt;0,$E$1=2),0,1)</f>
        <v>1</v>
      </c>
      <c r="AA30" s="68">
        <f ca="1">IF(AND(SUMIF(Capacity_Resource,$D30,'Critical resources (hide)'!AN$6:AN$105)+SUMIF(Capacity_Resource,$E30,'Critical resources (hide)'!AN$6:AN$105)+SUMIF(Capacity_Resource,$F30,'Critical resources (hide)'!AN$6:AN$105)&gt;0,$E$1=2),0,1)</f>
        <v>1</v>
      </c>
      <c r="AB30" s="68">
        <f ca="1">IF(AND(SUMIF(Capacity_Resource,$D30,'Critical resources (hide)'!AO$6:AO$105)+SUMIF(Capacity_Resource,$E30,'Critical resources (hide)'!AO$6:AO$105)+SUMIF(Capacity_Resource,$F30,'Critical resources (hide)'!AO$6:AO$105)&gt;0,$E$1=2),0,1)</f>
        <v>1</v>
      </c>
      <c r="AC30" s="68">
        <f ca="1">IF(AND(SUMIF(Capacity_Resource,$D30,'Critical resources (hide)'!AP$6:AP$105)+SUMIF(Capacity_Resource,$E30,'Critical resources (hide)'!AP$6:AP$105)+SUMIF(Capacity_Resource,$F30,'Critical resources (hide)'!AP$6:AP$105)&gt;0,$E$1=2),0,1)</f>
        <v>1</v>
      </c>
      <c r="AD30" s="68">
        <f ca="1">IF(AND(SUMIF(Capacity_Resource,$D30,'Critical resources (hide)'!AQ$6:AQ$105)+SUMIF(Capacity_Resource,$E30,'Critical resources (hide)'!AQ$6:AQ$105)+SUMIF(Capacity_Resource,$F30,'Critical resources (hide)'!AQ$6:AQ$105)&gt;0,$E$1=2),0,1)</f>
        <v>1</v>
      </c>
      <c r="AE30" s="68">
        <f ca="1">IF(AND(SUMIF(Capacity_Resource,$D30,'Critical resources (hide)'!AR$6:AR$105)+SUMIF(Capacity_Resource,$E30,'Critical resources (hide)'!AR$6:AR$105)+SUMIF(Capacity_Resource,$F30,'Critical resources (hide)'!AR$6:AR$105)&gt;0,$E$1=2),0,1)</f>
        <v>1</v>
      </c>
      <c r="AF30" s="68">
        <f ca="1">IF(AND(SUMIF(Capacity_Resource,$D30,'Critical resources (hide)'!AS$6:AS$105)+SUMIF(Capacity_Resource,$E30,'Critical resources (hide)'!AS$6:AS$105)+SUMIF(Capacity_Resource,$F30,'Critical resources (hide)'!AS$6:AS$105)&gt;0,$E$1=2),0,1)</f>
        <v>1</v>
      </c>
      <c r="AG30" s="68">
        <f ca="1">IF(AND(SUMIF(Capacity_Resource,$D30,'Critical resources (hide)'!AT$6:AT$105)+SUMIF(Capacity_Resource,$E30,'Critical resources (hide)'!AT$6:AT$105)+SUMIF(Capacity_Resource,$F30,'Critical resources (hide)'!AT$6:AT$105)&gt;0,$E$1=2),0,1)</f>
        <v>1</v>
      </c>
      <c r="AH30" s="68">
        <f ca="1">IF(AND(SUMIF(Capacity_Resource,$D30,'Critical resources (hide)'!AU$6:AU$105)+SUMIF(Capacity_Resource,$E30,'Critical resources (hide)'!AU$6:AU$105)+SUMIF(Capacity_Resource,$F30,'Critical resources (hide)'!AU$6:AU$105)&gt;0,$E$1=2),0,1)</f>
        <v>1</v>
      </c>
      <c r="AI30" s="68">
        <f ca="1">IF(AND(SUMIF(Capacity_Resource,$D30,'Critical resources (hide)'!AV$6:AV$105)+SUMIF(Capacity_Resource,$E30,'Critical resources (hide)'!AV$6:AV$105)+SUMIF(Capacity_Resource,$F30,'Critical resources (hide)'!AV$6:AV$105)&gt;0,$E$1=2),0,1)</f>
        <v>1</v>
      </c>
      <c r="AJ30" s="68">
        <f ca="1">IF(AND(SUMIF(Capacity_Resource,$D30,'Critical resources (hide)'!AW$6:AW$105)+SUMIF(Capacity_Resource,$E30,'Critical resources (hide)'!AW$6:AW$105)+SUMIF(Capacity_Resource,$F30,'Critical resources (hide)'!AW$6:AW$105)&gt;0,$E$1=2),0,1)</f>
        <v>1</v>
      </c>
      <c r="AK30" s="68">
        <f ca="1">IF(AND(SUMIF(Capacity_Resource,$D30,'Critical resources (hide)'!AX$6:AX$105)+SUMIF(Capacity_Resource,$E30,'Critical resources (hide)'!AX$6:AX$105)+SUMIF(Capacity_Resource,$F30,'Critical resources (hide)'!AX$6:AX$105)&gt;0,$E$1=2),0,1)</f>
        <v>1</v>
      </c>
      <c r="AL30" s="68">
        <f ca="1">IF(AND(SUMIF(Capacity_Resource,$D30,'Critical resources (hide)'!AY$6:AY$105)+SUMIF(Capacity_Resource,$E30,'Critical resources (hide)'!AY$6:AY$105)+SUMIF(Capacity_Resource,$F30,'Critical resources (hide)'!AY$6:AY$105)&gt;0,$E$1=2),0,1)</f>
        <v>1</v>
      </c>
      <c r="AM30" s="68">
        <f ca="1">IF(AND(SUMIF(Capacity_Resource,$D30,'Critical resources (hide)'!AZ$6:AZ$105)+SUMIF(Capacity_Resource,$E30,'Critical resources (hide)'!AZ$6:AZ$105)+SUMIF(Capacity_Resource,$F30,'Critical resources (hide)'!AZ$6:AZ$105)&gt;0,$E$1=2),0,1)</f>
        <v>1</v>
      </c>
      <c r="AN30" s="68">
        <f ca="1">IF(AND(SUMIF(Capacity_Resource,$D30,'Critical resources (hide)'!BA$6:BA$105)+SUMIF(Capacity_Resource,$E30,'Critical resources (hide)'!BA$6:BA$105)+SUMIF(Capacity_Resource,$F30,'Critical resources (hide)'!BA$6:BA$105)&gt;0,$E$1=2),0,1)</f>
        <v>1</v>
      </c>
      <c r="AO30" s="68">
        <f ca="1">IF(AND(SUMIF(Capacity_Resource,$D30,'Critical resources (hide)'!BB$6:BB$105)+SUMIF(Capacity_Resource,$E30,'Critical resources (hide)'!BB$6:BB$105)+SUMIF(Capacity_Resource,$F30,'Critical resources (hide)'!BB$6:BB$105)&gt;0,$E$1=2),0,1)</f>
        <v>1</v>
      </c>
      <c r="AP30" s="68">
        <f ca="1">IF(AND(SUMIF(Capacity_Resource,$D30,'Critical resources (hide)'!BC$6:BC$105)+SUMIF(Capacity_Resource,$E30,'Critical resources (hide)'!BC$6:BC$105)+SUMIF(Capacity_Resource,$F30,'Critical resources (hide)'!BC$6:BC$105)&gt;0,$E$1=2),0,1)</f>
        <v>1</v>
      </c>
      <c r="AQ30" s="68">
        <f ca="1">IF(AND(SUMIF(Capacity_Resource,$D30,'Critical resources (hide)'!BD$6:BD$105)+SUMIF(Capacity_Resource,$E30,'Critical resources (hide)'!BD$6:BD$105)+SUMIF(Capacity_Resource,$F30,'Critical resources (hide)'!BD$6:BD$105)&gt;0,$E$1=2),0,1)</f>
        <v>1</v>
      </c>
      <c r="AR30" s="68">
        <f ca="1">IF(AND(SUMIF(Capacity_Resource,$D30,'Critical resources (hide)'!BE$6:BE$105)+SUMIF(Capacity_Resource,$E30,'Critical resources (hide)'!BE$6:BE$105)+SUMIF(Capacity_Resource,$F30,'Critical resources (hide)'!BE$6:BE$105)&gt;0,$E$1=2),0,1)</f>
        <v>1</v>
      </c>
      <c r="AS30" s="68">
        <f ca="1">IF(AND(SUMIF(Capacity_Resource,$D30,'Critical resources (hide)'!BF$6:BF$105)+SUMIF(Capacity_Resource,$E30,'Critical resources (hide)'!BF$6:BF$105)+SUMIF(Capacity_Resource,$F30,'Critical resources (hide)'!BF$6:BF$105)&gt;0,$E$1=2),0,1)</f>
        <v>1</v>
      </c>
      <c r="AT30" s="68">
        <f ca="1">IF(AND(SUMIF(Capacity_Resource,$D30,'Critical resources (hide)'!BG$6:BG$105)+SUMIF(Capacity_Resource,$E30,'Critical resources (hide)'!BG$6:BG$105)+SUMIF(Capacity_Resource,$F30,'Critical resources (hide)'!BG$6:BG$105)&gt;0,$E$1=2),0,1)</f>
        <v>1</v>
      </c>
      <c r="AU30" s="68">
        <f ca="1">IF(AND(SUMIF(Capacity_Resource,$D30,'Critical resources (hide)'!BH$6:BH$105)+SUMIF(Capacity_Resource,$E30,'Critical resources (hide)'!BH$6:BH$105)+SUMIF(Capacity_Resource,$F30,'Critical resources (hide)'!BH$6:BH$105)&gt;0,$E$1=2),0,1)</f>
        <v>1</v>
      </c>
      <c r="AV30" s="68">
        <f ca="1">IF(AND(SUMIF(Capacity_Resource,$D30,'Critical resources (hide)'!BI$6:BI$105)+SUMIF(Capacity_Resource,$E30,'Critical resources (hide)'!BI$6:BI$105)+SUMIF(Capacity_Resource,$F30,'Critical resources (hide)'!BI$6:BI$105)&gt;0,$E$1=2),0,1)</f>
        <v>1</v>
      </c>
      <c r="AW30" s="68">
        <f ca="1">IF(AND(SUMIF(Capacity_Resource,$D30,'Critical resources (hide)'!BJ$6:BJ$105)+SUMIF(Capacity_Resource,$E30,'Critical resources (hide)'!BJ$6:BJ$105)+SUMIF(Capacity_Resource,$F30,'Critical resources (hide)'!BJ$6:BJ$105)&gt;0,$E$1=2),0,1)</f>
        <v>1</v>
      </c>
      <c r="AX30" s="68">
        <f ca="1">IF(AND(SUMIF(Capacity_Resource,$D30,'Critical resources (hide)'!BK$6:BK$105)+SUMIF(Capacity_Resource,$E30,'Critical resources (hide)'!BK$6:BK$105)+SUMIF(Capacity_Resource,$F30,'Critical resources (hide)'!BK$6:BK$105)&gt;0,$E$1=2),0,1)</f>
        <v>1</v>
      </c>
      <c r="AY30" s="68">
        <f ca="1">IF(AND(SUMIF(Capacity_Resource,$D30,'Critical resources (hide)'!BL$6:BL$105)+SUMIF(Capacity_Resource,$E30,'Critical resources (hide)'!BL$6:BL$105)+SUMIF(Capacity_Resource,$F30,'Critical resources (hide)'!BL$6:BL$105)&gt;0,$E$1=2),0,1)</f>
        <v>1</v>
      </c>
      <c r="AZ30" s="68">
        <f ca="1">IF(AND(SUMIF(Capacity_Resource,$D30,'Critical resources (hide)'!BM$6:BM$105)+SUMIF(Capacity_Resource,$E30,'Critical resources (hide)'!BM$6:BM$105)+SUMIF(Capacity_Resource,$F30,'Critical resources (hide)'!BM$6:BM$105)&gt;0,$E$1=2),0,1)</f>
        <v>1</v>
      </c>
      <c r="BA30" s="68">
        <f ca="1">IF(AND(SUMIF(Capacity_Resource,$D30,'Critical resources (hide)'!BN$6:BN$105)+SUMIF(Capacity_Resource,$E30,'Critical resources (hide)'!BN$6:BN$105)+SUMIF(Capacity_Resource,$F30,'Critical resources (hide)'!BN$6:BN$105)&gt;0,$E$1=2),0,1)</f>
        <v>1</v>
      </c>
      <c r="BB30" s="68">
        <f ca="1">IF(AND(SUMIF(Capacity_Resource,$D30,'Critical resources (hide)'!BO$6:BO$105)+SUMIF(Capacity_Resource,$E30,'Critical resources (hide)'!BO$6:BO$105)+SUMIF(Capacity_Resource,$F30,'Critical resources (hide)'!BO$6:BO$105)&gt;0,$E$1=2),0,1)</f>
        <v>1</v>
      </c>
      <c r="BC30" s="68">
        <f ca="1">IF(AND(SUMIF(Capacity_Resource,$D30,'Critical resources (hide)'!BP$6:BP$105)+SUMIF(Capacity_Resource,$E30,'Critical resources (hide)'!BP$6:BP$105)+SUMIF(Capacity_Resource,$F30,'Critical resources (hide)'!BP$6:BP$105)&gt;0,$E$1=2),0,1)</f>
        <v>1</v>
      </c>
      <c r="BD30" s="68">
        <f ca="1">IF(AND(SUMIF(Capacity_Resource,$D30,'Critical resources (hide)'!BQ$6:BQ$105)+SUMIF(Capacity_Resource,$E30,'Critical resources (hide)'!BQ$6:BQ$105)+SUMIF(Capacity_Resource,$F30,'Critical resources (hide)'!BQ$6:BQ$105)&gt;0,$E$1=2),0,1)</f>
        <v>1</v>
      </c>
      <c r="BE30" s="68">
        <f ca="1">IF(AND(SUMIF(Capacity_Resource,$D30,'Critical resources (hide)'!BR$6:BR$105)+SUMIF(Capacity_Resource,$E30,'Critical resources (hide)'!BR$6:BR$105)+SUMIF(Capacity_Resource,$F30,'Critical resources (hide)'!BR$6:BR$105)&gt;0,$E$1=2),0,1)</f>
        <v>1</v>
      </c>
      <c r="BF30" s="68">
        <f ca="1">IF(AND(SUMIF(Capacity_Resource,$D30,'Critical resources (hide)'!BS$6:BS$105)+SUMIF(Capacity_Resource,$E30,'Critical resources (hide)'!BS$6:BS$105)+SUMIF(Capacity_Resource,$F30,'Critical resources (hide)'!BS$6:BS$105)&gt;0,$E$1=2),0,1)</f>
        <v>1</v>
      </c>
      <c r="BG30" s="68">
        <f ca="1">IF(AND(SUMIF(Capacity_Resource,$D30,'Critical resources (hide)'!BT$6:BT$105)+SUMIF(Capacity_Resource,$E30,'Critical resources (hide)'!BT$6:BT$105)+SUMIF(Capacity_Resource,$F30,'Critical resources (hide)'!BT$6:BT$105)&gt;0,$E$1=2),0,1)</f>
        <v>1</v>
      </c>
      <c r="BH30" s="68">
        <f>IF(ROW(C26)&lt;=Capacity!$A$16,IF('Capacity summary'!$D$14="No",SUM(H30:BG30),'Capacity summary'!$E149),0)</f>
        <v>0</v>
      </c>
      <c r="BI30" s="5" t="str">
        <f>IF(BH30&gt;0,IF(BH30&lt;Capacity!E42,Capacity!F42,Capacity!H42/'Capacity calculation (hide)'!BH30),"")</f>
        <v/>
      </c>
      <c r="BK30" s="319">
        <f>IF($BI30&lt;&gt;"",IF('Capacity summary'!$D$14="Yes",IF(COUNTBLANK('Capacity summary'!$H149:$BG149)&lt;52,IF('Capacity summary'!H149&lt;&gt;"",$BI30*H30,0),H30*$BI30),H30*$BI30),0)</f>
        <v>0</v>
      </c>
      <c r="BL30" s="319">
        <f>IF($BI30&lt;&gt;"",IF('Capacity summary'!$D$14="Yes",IF(COUNTBLANK('Capacity summary'!$H149:$BG149)&lt;52,IF('Capacity summary'!I149&lt;&gt;"",$BI30*I30,0),I30*$BI30),I30*$BI30),0)</f>
        <v>0</v>
      </c>
      <c r="BM30" s="319">
        <f>IF($BI30&lt;&gt;"",IF('Capacity summary'!$D$14="Yes",IF(COUNTBLANK('Capacity summary'!$H149:$BG149)&lt;52,IF('Capacity summary'!J149&lt;&gt;"",$BI30*J30,0),J30*$BI30),J30*$BI30),0)</f>
        <v>0</v>
      </c>
      <c r="BN30" s="319">
        <f>IF($BI30&lt;&gt;"",IF('Capacity summary'!$D$14="Yes",IF(COUNTBLANK('Capacity summary'!$H149:$BG149)&lt;52,IF('Capacity summary'!K149&lt;&gt;"",$BI30*K30,0),K30*$BI30),K30*$BI30),0)</f>
        <v>0</v>
      </c>
      <c r="BO30" s="319">
        <f>IF($BI30&lt;&gt;"",IF('Capacity summary'!$D$14="Yes",IF(COUNTBLANK('Capacity summary'!$H149:$BG149)&lt;52,IF('Capacity summary'!L149&lt;&gt;"",$BI30*L30,0),L30*$BI30),L30*$BI30),0)</f>
        <v>0</v>
      </c>
      <c r="BP30" s="319">
        <f>IF($BI30&lt;&gt;"",IF('Capacity summary'!$D$14="Yes",IF(COUNTBLANK('Capacity summary'!$H149:$BG149)&lt;52,IF('Capacity summary'!M149&lt;&gt;"",$BI30*M30,0),M30*$BI30),M30*$BI30),0)</f>
        <v>0</v>
      </c>
      <c r="BQ30" s="319">
        <f>IF($BI30&lt;&gt;"",IF('Capacity summary'!$D$14="Yes",IF(COUNTBLANK('Capacity summary'!$H149:$BG149)&lt;52,IF('Capacity summary'!N149&lt;&gt;"",$BI30*N30,0),N30*$BI30),N30*$BI30),0)</f>
        <v>0</v>
      </c>
      <c r="BR30" s="319">
        <f>IF($BI30&lt;&gt;"",IF('Capacity summary'!$D$14="Yes",IF(COUNTBLANK('Capacity summary'!$H149:$BG149)&lt;52,IF('Capacity summary'!O149&lt;&gt;"",$BI30*O30,0),O30*$BI30),O30*$BI30),0)</f>
        <v>0</v>
      </c>
      <c r="BS30" s="319">
        <f>IF($BI30&lt;&gt;"",IF('Capacity summary'!$D$14="Yes",IF(COUNTBLANK('Capacity summary'!$H149:$BG149)&lt;52,IF('Capacity summary'!P149&lt;&gt;"",$BI30*P30,0),P30*$BI30),P30*$BI30),0)</f>
        <v>0</v>
      </c>
      <c r="BT30" s="319">
        <f>IF($BI30&lt;&gt;"",IF('Capacity summary'!$D$14="Yes",IF(COUNTBLANK('Capacity summary'!$H149:$BG149)&lt;52,IF('Capacity summary'!Q149&lt;&gt;"",$BI30*Q30,0),Q30*$BI30),Q30*$BI30),0)</f>
        <v>0</v>
      </c>
      <c r="BU30" s="319">
        <f>IF($BI30&lt;&gt;"",IF('Capacity summary'!$D$14="Yes",IF(COUNTBLANK('Capacity summary'!$H149:$BG149)&lt;52,IF('Capacity summary'!R149&lt;&gt;"",$BI30*R30,0),R30*$BI30),R30*$BI30),0)</f>
        <v>0</v>
      </c>
      <c r="BV30" s="319">
        <f>IF($BI30&lt;&gt;"",IF('Capacity summary'!$D$14="Yes",IF(COUNTBLANK('Capacity summary'!$H149:$BG149)&lt;52,IF('Capacity summary'!S149&lt;&gt;"",$BI30*S30,0),S30*$BI30),S30*$BI30),0)</f>
        <v>0</v>
      </c>
      <c r="BW30" s="319">
        <f>IF($BI30&lt;&gt;"",IF('Capacity summary'!$D$14="Yes",IF(COUNTBLANK('Capacity summary'!$H149:$BG149)&lt;52,IF('Capacity summary'!T149&lt;&gt;"",$BI30*T30,0),T30*$BI30),T30*$BI30),0)</f>
        <v>0</v>
      </c>
      <c r="BX30" s="319">
        <f>IF($BI30&lt;&gt;"",IF('Capacity summary'!$D$14="Yes",IF(COUNTBLANK('Capacity summary'!$H149:$BG149)&lt;52,IF('Capacity summary'!U149&lt;&gt;"",$BI30*U30,0),U30*$BI30),U30*$BI30),0)</f>
        <v>0</v>
      </c>
      <c r="BY30" s="319">
        <f>IF($BI30&lt;&gt;"",IF('Capacity summary'!$D$14="Yes",IF(COUNTBLANK('Capacity summary'!$H149:$BG149)&lt;52,IF('Capacity summary'!V149&lt;&gt;"",$BI30*V30,0),V30*$BI30),V30*$BI30),0)</f>
        <v>0</v>
      </c>
      <c r="BZ30" s="319">
        <f>IF($BI30&lt;&gt;"",IF('Capacity summary'!$D$14="Yes",IF(COUNTBLANK('Capacity summary'!$H149:$BG149)&lt;52,IF('Capacity summary'!W149&lt;&gt;"",$BI30*W30,0),W30*$BI30),W30*$BI30),0)</f>
        <v>0</v>
      </c>
      <c r="CA30" s="319">
        <f>IF($BI30&lt;&gt;"",IF('Capacity summary'!$D$14="Yes",IF(COUNTBLANK('Capacity summary'!$H149:$BG149)&lt;52,IF('Capacity summary'!X149&lt;&gt;"",$BI30*X30,0),X30*$BI30),X30*$BI30),0)</f>
        <v>0</v>
      </c>
      <c r="CB30" s="319">
        <f>IF($BI30&lt;&gt;"",IF('Capacity summary'!$D$14="Yes",IF(COUNTBLANK('Capacity summary'!$H149:$BG149)&lt;52,IF('Capacity summary'!Y149&lt;&gt;"",$BI30*Y30,0),Y30*$BI30),Y30*$BI30),0)</f>
        <v>0</v>
      </c>
      <c r="CC30" s="319">
        <f>IF($BI30&lt;&gt;"",IF('Capacity summary'!$D$14="Yes",IF(COUNTBLANK('Capacity summary'!$H149:$BG149)&lt;52,IF('Capacity summary'!Z149&lt;&gt;"",$BI30*Z30,0),Z30*$BI30),Z30*$BI30),0)</f>
        <v>0</v>
      </c>
      <c r="CD30" s="319">
        <f>IF($BI30&lt;&gt;"",IF('Capacity summary'!$D$14="Yes",IF(COUNTBLANK('Capacity summary'!$H149:$BG149)&lt;52,IF('Capacity summary'!AA149&lt;&gt;"",$BI30*AA30,0),AA30*$BI30),AA30*$BI30),0)</f>
        <v>0</v>
      </c>
      <c r="CE30" s="319">
        <f>IF($BI30&lt;&gt;"",IF('Capacity summary'!$D$14="Yes",IF(COUNTBLANK('Capacity summary'!$H149:$BG149)&lt;52,IF('Capacity summary'!AB149&lt;&gt;"",$BI30*AB30,0),AB30*$BI30),AB30*$BI30),0)</f>
        <v>0</v>
      </c>
      <c r="CF30" s="319">
        <f>IF($BI30&lt;&gt;"",IF('Capacity summary'!$D$14="Yes",IF(COUNTBLANK('Capacity summary'!$H149:$BG149)&lt;52,IF('Capacity summary'!AC149&lt;&gt;"",$BI30*AC30,0),AC30*$BI30),AC30*$BI30),0)</f>
        <v>0</v>
      </c>
      <c r="CG30" s="319">
        <f>IF($BI30&lt;&gt;"",IF('Capacity summary'!$D$14="Yes",IF(COUNTBLANK('Capacity summary'!$H149:$BG149)&lt;52,IF('Capacity summary'!AD149&lt;&gt;"",$BI30*AD30,0),AD30*$BI30),AD30*$BI30),0)</f>
        <v>0</v>
      </c>
      <c r="CH30" s="319">
        <f>IF($BI30&lt;&gt;"",IF('Capacity summary'!$D$14="Yes",IF(COUNTBLANK('Capacity summary'!$H149:$BG149)&lt;52,IF('Capacity summary'!AE149&lt;&gt;"",$BI30*AE30,0),AE30*$BI30),AE30*$BI30),0)</f>
        <v>0</v>
      </c>
      <c r="CI30" s="319">
        <f>IF($BI30&lt;&gt;"",IF('Capacity summary'!$D$14="Yes",IF(COUNTBLANK('Capacity summary'!$H149:$BG149)&lt;52,IF('Capacity summary'!AF149&lt;&gt;"",$BI30*AF30,0),AF30*$BI30),AF30*$BI30),0)</f>
        <v>0</v>
      </c>
      <c r="CJ30" s="319">
        <f>IF($BI30&lt;&gt;"",IF('Capacity summary'!$D$14="Yes",IF(COUNTBLANK('Capacity summary'!$H149:$BG149)&lt;52,IF('Capacity summary'!AG149&lt;&gt;"",$BI30*AG30,0),AG30*$BI30),AG30*$BI30),0)</f>
        <v>0</v>
      </c>
      <c r="CK30" s="319">
        <f>IF($BI30&lt;&gt;"",IF('Capacity summary'!$D$14="Yes",IF(COUNTBLANK('Capacity summary'!$H149:$BG149)&lt;52,IF('Capacity summary'!AH149&lt;&gt;"",$BI30*AH30,0),AH30*$BI30),AH30*$BI30),0)</f>
        <v>0</v>
      </c>
      <c r="CL30" s="319">
        <f>IF($BI30&lt;&gt;"",IF('Capacity summary'!$D$14="Yes",IF(COUNTBLANK('Capacity summary'!$H149:$BG149)&lt;52,IF('Capacity summary'!AI149&lt;&gt;"",$BI30*AI30,0),AI30*$BI30),AI30*$BI30),0)</f>
        <v>0</v>
      </c>
      <c r="CM30" s="319">
        <f>IF($BI30&lt;&gt;"",IF('Capacity summary'!$D$14="Yes",IF(COUNTBLANK('Capacity summary'!$H149:$BG149)&lt;52,IF('Capacity summary'!AJ149&lt;&gt;"",$BI30*AJ30,0),AJ30*$BI30),AJ30*$BI30),0)</f>
        <v>0</v>
      </c>
      <c r="CN30" s="319">
        <f>IF($BI30&lt;&gt;"",IF('Capacity summary'!$D$14="Yes",IF(COUNTBLANK('Capacity summary'!$H149:$BG149)&lt;52,IF('Capacity summary'!AK149&lt;&gt;"",$BI30*AK30,0),AK30*$BI30),AK30*$BI30),0)</f>
        <v>0</v>
      </c>
      <c r="CO30" s="319">
        <f>IF($BI30&lt;&gt;"",IF('Capacity summary'!$D$14="Yes",IF(COUNTBLANK('Capacity summary'!$H149:$BG149)&lt;52,IF('Capacity summary'!AL149&lt;&gt;"",$BI30*AL30,0),AL30*$BI30),AL30*$BI30),0)</f>
        <v>0</v>
      </c>
      <c r="CP30" s="319">
        <f>IF($BI30&lt;&gt;"",IF('Capacity summary'!$D$14="Yes",IF(COUNTBLANK('Capacity summary'!$H149:$BG149)&lt;52,IF('Capacity summary'!AM149&lt;&gt;"",$BI30*AM30,0),AM30*$BI30),AM30*$BI30),0)</f>
        <v>0</v>
      </c>
      <c r="CQ30" s="319">
        <f>IF($BI30&lt;&gt;"",IF('Capacity summary'!$D$14="Yes",IF(COUNTBLANK('Capacity summary'!$H149:$BG149)&lt;52,IF('Capacity summary'!AN149&lt;&gt;"",$BI30*AN30,0),AN30*$BI30),AN30*$BI30),0)</f>
        <v>0</v>
      </c>
      <c r="CR30" s="319">
        <f>IF($BI30&lt;&gt;"",IF('Capacity summary'!$D$14="Yes",IF(COUNTBLANK('Capacity summary'!$H149:$BG149)&lt;52,IF('Capacity summary'!AO149&lt;&gt;"",$BI30*AO30,0),AO30*$BI30),AO30*$BI30),0)</f>
        <v>0</v>
      </c>
      <c r="CS30" s="319">
        <f>IF($BI30&lt;&gt;"",IF('Capacity summary'!$D$14="Yes",IF(COUNTBLANK('Capacity summary'!$H149:$BG149)&lt;52,IF('Capacity summary'!AP149&lt;&gt;"",$BI30*AP30,0),AP30*$BI30),AP30*$BI30),0)</f>
        <v>0</v>
      </c>
      <c r="CT30" s="319">
        <f>IF($BI30&lt;&gt;"",IF('Capacity summary'!$D$14="Yes",IF(COUNTBLANK('Capacity summary'!$H149:$BG149)&lt;52,IF('Capacity summary'!AQ149&lt;&gt;"",$BI30*AQ30,0),AQ30*$BI30),AQ30*$BI30),0)</f>
        <v>0</v>
      </c>
      <c r="CU30" s="319">
        <f>IF($BI30&lt;&gt;"",IF('Capacity summary'!$D$14="Yes",IF(COUNTBLANK('Capacity summary'!$H149:$BG149)&lt;52,IF('Capacity summary'!AR149&lt;&gt;"",$BI30*AR30,0),AR30*$BI30),AR30*$BI30),0)</f>
        <v>0</v>
      </c>
      <c r="CV30" s="319">
        <f>IF($BI30&lt;&gt;"",IF('Capacity summary'!$D$14="Yes",IF(COUNTBLANK('Capacity summary'!$H149:$BG149)&lt;52,IF('Capacity summary'!AS149&lt;&gt;"",$BI30*AS30,0),AS30*$BI30),AS30*$BI30),0)</f>
        <v>0</v>
      </c>
      <c r="CW30" s="319">
        <f>IF($BI30&lt;&gt;"",IF('Capacity summary'!$D$14="Yes",IF(COUNTBLANK('Capacity summary'!$H149:$BG149)&lt;52,IF('Capacity summary'!AT149&lt;&gt;"",$BI30*AT30,0),AT30*$BI30),AT30*$BI30),0)</f>
        <v>0</v>
      </c>
      <c r="CX30" s="319">
        <f>IF($BI30&lt;&gt;"",IF('Capacity summary'!$D$14="Yes",IF(COUNTBLANK('Capacity summary'!$H149:$BG149)&lt;52,IF('Capacity summary'!AU149&lt;&gt;"",$BI30*AU30,0),AU30*$BI30),AU30*$BI30),0)</f>
        <v>0</v>
      </c>
      <c r="CY30" s="319">
        <f>IF($BI30&lt;&gt;"",IF('Capacity summary'!$D$14="Yes",IF(COUNTBLANK('Capacity summary'!$H149:$BG149)&lt;52,IF('Capacity summary'!AV149&lt;&gt;"",$BI30*AV30,0),AV30*$BI30),AV30*$BI30),0)</f>
        <v>0</v>
      </c>
      <c r="CZ30" s="319">
        <f>IF($BI30&lt;&gt;"",IF('Capacity summary'!$D$14="Yes",IF(COUNTBLANK('Capacity summary'!$H149:$BG149)&lt;52,IF('Capacity summary'!AW149&lt;&gt;"",$BI30*AW30,0),AW30*$BI30),AW30*$BI30),0)</f>
        <v>0</v>
      </c>
      <c r="DA30" s="319">
        <f>IF($BI30&lt;&gt;"",IF('Capacity summary'!$D$14="Yes",IF(COUNTBLANK('Capacity summary'!$H149:$BG149)&lt;52,IF('Capacity summary'!AX149&lt;&gt;"",$BI30*AX30,0),AX30*$BI30),AX30*$BI30),0)</f>
        <v>0</v>
      </c>
      <c r="DB30" s="319">
        <f>IF($BI30&lt;&gt;"",IF('Capacity summary'!$D$14="Yes",IF(COUNTBLANK('Capacity summary'!$H149:$BG149)&lt;52,IF('Capacity summary'!AY149&lt;&gt;"",$BI30*AY30,0),AY30*$BI30),AY30*$BI30),0)</f>
        <v>0</v>
      </c>
      <c r="DC30" s="319">
        <f>IF($BI30&lt;&gt;"",IF('Capacity summary'!$D$14="Yes",IF(COUNTBLANK('Capacity summary'!$H149:$BG149)&lt;52,IF('Capacity summary'!AZ149&lt;&gt;"",$BI30*AZ30,0),AZ30*$BI30),AZ30*$BI30),0)</f>
        <v>0</v>
      </c>
      <c r="DD30" s="319">
        <f>IF($BI30&lt;&gt;"",IF('Capacity summary'!$D$14="Yes",IF(COUNTBLANK('Capacity summary'!$H149:$BG149)&lt;52,IF('Capacity summary'!BA149&lt;&gt;"",$BI30*BA30,0),BA30*$BI30),BA30*$BI30),0)</f>
        <v>0</v>
      </c>
      <c r="DE30" s="319">
        <f>IF($BI30&lt;&gt;"",IF('Capacity summary'!$D$14="Yes",IF(COUNTBLANK('Capacity summary'!$H149:$BG149)&lt;52,IF('Capacity summary'!BB149&lt;&gt;"",$BI30*BB30,0),BB30*$BI30),BB30*$BI30),0)</f>
        <v>0</v>
      </c>
      <c r="DF30" s="319">
        <f>IF($BI30&lt;&gt;"",IF('Capacity summary'!$D$14="Yes",IF(COUNTBLANK('Capacity summary'!$H149:$BG149)&lt;52,IF('Capacity summary'!BC149&lt;&gt;"",$BI30*BC30,0),BC30*$BI30),BC30*$BI30),0)</f>
        <v>0</v>
      </c>
      <c r="DG30" s="319">
        <f>IF($BI30&lt;&gt;"",IF('Capacity summary'!$D$14="Yes",IF(COUNTBLANK('Capacity summary'!$H149:$BG149)&lt;52,IF('Capacity summary'!BD149&lt;&gt;"",$BI30*BD30,0),BD30*$BI30),BD30*$BI30),0)</f>
        <v>0</v>
      </c>
      <c r="DH30" s="319">
        <f>IF($BI30&lt;&gt;"",IF('Capacity summary'!$D$14="Yes",IF(COUNTBLANK('Capacity summary'!$H149:$BG149)&lt;52,IF('Capacity summary'!BE149&lt;&gt;"",$BI30*BE30,0),BE30*$BI30),BE30*$BI30),0)</f>
        <v>0</v>
      </c>
      <c r="DI30" s="319">
        <f>IF($BI30&lt;&gt;"",IF('Capacity summary'!$D$14="Yes",IF(COUNTBLANK('Capacity summary'!$H149:$BG149)&lt;52,IF('Capacity summary'!BF149&lt;&gt;"",$BI30*BF30,0),BF30*$BI30),BF30*$BI30),0)</f>
        <v>0</v>
      </c>
      <c r="DJ30" s="319">
        <f>IF($BI30&lt;&gt;"",IF('Capacity summary'!$D$14="Yes",IF(COUNTBLANK('Capacity summary'!$H149:$BG149)&lt;52,IF('Capacity summary'!BG149&lt;&gt;"",$BI30*BG30,0),BG30*$BI30),BG30*$BI30),0)</f>
        <v>0</v>
      </c>
      <c r="DK30" s="5">
        <f t="shared" si="2"/>
        <v>0</v>
      </c>
      <c r="DL30" s="5" t="str">
        <f>Capacity!H42</f>
        <v/>
      </c>
      <c r="DP30" s="5"/>
    </row>
    <row r="31" spans="2:120" x14ac:dyDescent="0.2">
      <c r="B31" s="68"/>
      <c r="C31" s="68" t="str">
        <f>ROW(A27)&amp;". "&amp;Capacity!B43</f>
        <v xml:space="preserve">27. </v>
      </c>
      <c r="D31" s="68">
        <f>'Capacity setup'!C38</f>
        <v>0</v>
      </c>
      <c r="E31" s="68">
        <f>'Capacity setup'!D38</f>
        <v>0</v>
      </c>
      <c r="F31" s="68">
        <f>'Capacity setup'!E38</f>
        <v>0</v>
      </c>
      <c r="H31" s="68">
        <f ca="1">IF(AND(SUMIF(Capacity_Resource,$D31,'Critical resources (hide)'!U$6:U$105)+SUMIF(Capacity_Resource,$E31,'Critical resources (hide)'!U$6:U$105)+SUMIF(Capacity_Resource,$F31,'Critical resources (hide)'!U$6:U$105)&gt;0,$E$1=2),0,1)</f>
        <v>1</v>
      </c>
      <c r="I31" s="68">
        <f ca="1">IF(AND(SUMIF(Capacity_Resource,$D31,'Critical resources (hide)'!V$6:V$105)+SUMIF(Capacity_Resource,$E31,'Critical resources (hide)'!V$6:V$105)+SUMIF(Capacity_Resource,$F31,'Critical resources (hide)'!V$6:V$105)&gt;0,$E$1=2),0,1)</f>
        <v>1</v>
      </c>
      <c r="J31" s="68">
        <f ca="1">IF(AND(SUMIF(Capacity_Resource,$D31,'Critical resources (hide)'!W$6:W$105)+SUMIF(Capacity_Resource,$E31,'Critical resources (hide)'!W$6:W$105)+SUMIF(Capacity_Resource,$F31,'Critical resources (hide)'!W$6:W$105)&gt;0,$E$1=2),0,1)</f>
        <v>1</v>
      </c>
      <c r="K31" s="68">
        <f ca="1">IF(AND(SUMIF(Capacity_Resource,$D31,'Critical resources (hide)'!X$6:X$105)+SUMIF(Capacity_Resource,$E31,'Critical resources (hide)'!X$6:X$105)+SUMIF(Capacity_Resource,$F31,'Critical resources (hide)'!X$6:X$105)&gt;0,$E$1=2),0,1)</f>
        <v>1</v>
      </c>
      <c r="L31" s="68">
        <f ca="1">IF(AND(SUMIF(Capacity_Resource,$D31,'Critical resources (hide)'!Y$6:Y$105)+SUMIF(Capacity_Resource,$E31,'Critical resources (hide)'!Y$6:Y$105)+SUMIF(Capacity_Resource,$F31,'Critical resources (hide)'!Y$6:Y$105)&gt;0,$E$1=2),0,1)</f>
        <v>1</v>
      </c>
      <c r="M31" s="68">
        <f ca="1">IF(AND(SUMIF(Capacity_Resource,$D31,'Critical resources (hide)'!Z$6:Z$105)+SUMIF(Capacity_Resource,$E31,'Critical resources (hide)'!Z$6:Z$105)+SUMIF(Capacity_Resource,$F31,'Critical resources (hide)'!Z$6:Z$105)&gt;0,$E$1=2),0,1)</f>
        <v>1</v>
      </c>
      <c r="N31" s="68">
        <f ca="1">IF(AND(SUMIF(Capacity_Resource,$D31,'Critical resources (hide)'!AA$6:AA$105)+SUMIF(Capacity_Resource,$E31,'Critical resources (hide)'!AA$6:AA$105)+SUMIF(Capacity_Resource,$F31,'Critical resources (hide)'!AA$6:AA$105)&gt;0,$E$1=2),0,1)</f>
        <v>1</v>
      </c>
      <c r="O31" s="68">
        <f ca="1">IF(AND(SUMIF(Capacity_Resource,$D31,'Critical resources (hide)'!AB$6:AB$105)+SUMIF(Capacity_Resource,$E31,'Critical resources (hide)'!AB$6:AB$105)+SUMIF(Capacity_Resource,$F31,'Critical resources (hide)'!AB$6:AB$105)&gt;0,$E$1=2),0,1)</f>
        <v>1</v>
      </c>
      <c r="P31" s="68">
        <f ca="1">IF(AND(SUMIF(Capacity_Resource,$D31,'Critical resources (hide)'!AC$6:AC$105)+SUMIF(Capacity_Resource,$E31,'Critical resources (hide)'!AC$6:AC$105)+SUMIF(Capacity_Resource,$F31,'Critical resources (hide)'!AC$6:AC$105)&gt;0,$E$1=2),0,1)</f>
        <v>1</v>
      </c>
      <c r="Q31" s="68">
        <f ca="1">IF(AND(SUMIF(Capacity_Resource,$D31,'Critical resources (hide)'!AD$6:AD$105)+SUMIF(Capacity_Resource,$E31,'Critical resources (hide)'!AD$6:AD$105)+SUMIF(Capacity_Resource,$F31,'Critical resources (hide)'!AD$6:AD$105)&gt;0,$E$1=2),0,1)</f>
        <v>1</v>
      </c>
      <c r="R31" s="68">
        <f ca="1">IF(AND(SUMIF(Capacity_Resource,$D31,'Critical resources (hide)'!AE$6:AE$105)+SUMIF(Capacity_Resource,$E31,'Critical resources (hide)'!AE$6:AE$105)+SUMIF(Capacity_Resource,$F31,'Critical resources (hide)'!AE$6:AE$105)&gt;0,$E$1=2),0,1)</f>
        <v>1</v>
      </c>
      <c r="S31" s="68">
        <f ca="1">IF(AND(SUMIF(Capacity_Resource,$D31,'Critical resources (hide)'!AF$6:AF$105)+SUMIF(Capacity_Resource,$E31,'Critical resources (hide)'!AF$6:AF$105)+SUMIF(Capacity_Resource,$F31,'Critical resources (hide)'!AF$6:AF$105)&gt;0,$E$1=2),0,1)</f>
        <v>1</v>
      </c>
      <c r="T31" s="68">
        <f ca="1">IF(AND(SUMIF(Capacity_Resource,$D31,'Critical resources (hide)'!AG$6:AG$105)+SUMIF(Capacity_Resource,$E31,'Critical resources (hide)'!AG$6:AG$105)+SUMIF(Capacity_Resource,$F31,'Critical resources (hide)'!AG$6:AG$105)&gt;0,$E$1=2),0,1)</f>
        <v>1</v>
      </c>
      <c r="U31" s="68">
        <f ca="1">IF(AND(SUMIF(Capacity_Resource,$D31,'Critical resources (hide)'!AH$6:AH$105)+SUMIF(Capacity_Resource,$E31,'Critical resources (hide)'!AH$6:AH$105)+SUMIF(Capacity_Resource,$F31,'Critical resources (hide)'!AH$6:AH$105)&gt;0,$E$1=2),0,1)</f>
        <v>1</v>
      </c>
      <c r="V31" s="68">
        <f ca="1">IF(AND(SUMIF(Capacity_Resource,$D31,'Critical resources (hide)'!AI$6:AI$105)+SUMIF(Capacity_Resource,$E31,'Critical resources (hide)'!AI$6:AI$105)+SUMIF(Capacity_Resource,$F31,'Critical resources (hide)'!AI$6:AI$105)&gt;0,$E$1=2),0,1)</f>
        <v>1</v>
      </c>
      <c r="W31" s="68">
        <f ca="1">IF(AND(SUMIF(Capacity_Resource,$D31,'Critical resources (hide)'!AJ$6:AJ$105)+SUMIF(Capacity_Resource,$E31,'Critical resources (hide)'!AJ$6:AJ$105)+SUMIF(Capacity_Resource,$F31,'Critical resources (hide)'!AJ$6:AJ$105)&gt;0,$E$1=2),0,1)</f>
        <v>1</v>
      </c>
      <c r="X31" s="68">
        <f ca="1">IF(AND(SUMIF(Capacity_Resource,$D31,'Critical resources (hide)'!AK$6:AK$105)+SUMIF(Capacity_Resource,$E31,'Critical resources (hide)'!AK$6:AK$105)+SUMIF(Capacity_Resource,$F31,'Critical resources (hide)'!AK$6:AK$105)&gt;0,$E$1=2),0,1)</f>
        <v>1</v>
      </c>
      <c r="Y31" s="68">
        <f ca="1">IF(AND(SUMIF(Capacity_Resource,$D31,'Critical resources (hide)'!AL$6:AL$105)+SUMIF(Capacity_Resource,$E31,'Critical resources (hide)'!AL$6:AL$105)+SUMIF(Capacity_Resource,$F31,'Critical resources (hide)'!AL$6:AL$105)&gt;0,$E$1=2),0,1)</f>
        <v>1</v>
      </c>
      <c r="Z31" s="68">
        <f ca="1">IF(AND(SUMIF(Capacity_Resource,$D31,'Critical resources (hide)'!AM$6:AM$105)+SUMIF(Capacity_Resource,$E31,'Critical resources (hide)'!AM$6:AM$105)+SUMIF(Capacity_Resource,$F31,'Critical resources (hide)'!AM$6:AM$105)&gt;0,$E$1=2),0,1)</f>
        <v>1</v>
      </c>
      <c r="AA31" s="68">
        <f ca="1">IF(AND(SUMIF(Capacity_Resource,$D31,'Critical resources (hide)'!AN$6:AN$105)+SUMIF(Capacity_Resource,$E31,'Critical resources (hide)'!AN$6:AN$105)+SUMIF(Capacity_Resource,$F31,'Critical resources (hide)'!AN$6:AN$105)&gt;0,$E$1=2),0,1)</f>
        <v>1</v>
      </c>
      <c r="AB31" s="68">
        <f ca="1">IF(AND(SUMIF(Capacity_Resource,$D31,'Critical resources (hide)'!AO$6:AO$105)+SUMIF(Capacity_Resource,$E31,'Critical resources (hide)'!AO$6:AO$105)+SUMIF(Capacity_Resource,$F31,'Critical resources (hide)'!AO$6:AO$105)&gt;0,$E$1=2),0,1)</f>
        <v>1</v>
      </c>
      <c r="AC31" s="68">
        <f ca="1">IF(AND(SUMIF(Capacity_Resource,$D31,'Critical resources (hide)'!AP$6:AP$105)+SUMIF(Capacity_Resource,$E31,'Critical resources (hide)'!AP$6:AP$105)+SUMIF(Capacity_Resource,$F31,'Critical resources (hide)'!AP$6:AP$105)&gt;0,$E$1=2),0,1)</f>
        <v>1</v>
      </c>
      <c r="AD31" s="68">
        <f ca="1">IF(AND(SUMIF(Capacity_Resource,$D31,'Critical resources (hide)'!AQ$6:AQ$105)+SUMIF(Capacity_Resource,$E31,'Critical resources (hide)'!AQ$6:AQ$105)+SUMIF(Capacity_Resource,$F31,'Critical resources (hide)'!AQ$6:AQ$105)&gt;0,$E$1=2),0,1)</f>
        <v>1</v>
      </c>
      <c r="AE31" s="68">
        <f ca="1">IF(AND(SUMIF(Capacity_Resource,$D31,'Critical resources (hide)'!AR$6:AR$105)+SUMIF(Capacity_Resource,$E31,'Critical resources (hide)'!AR$6:AR$105)+SUMIF(Capacity_Resource,$F31,'Critical resources (hide)'!AR$6:AR$105)&gt;0,$E$1=2),0,1)</f>
        <v>1</v>
      </c>
      <c r="AF31" s="68">
        <f ca="1">IF(AND(SUMIF(Capacity_Resource,$D31,'Critical resources (hide)'!AS$6:AS$105)+SUMIF(Capacity_Resource,$E31,'Critical resources (hide)'!AS$6:AS$105)+SUMIF(Capacity_Resource,$F31,'Critical resources (hide)'!AS$6:AS$105)&gt;0,$E$1=2),0,1)</f>
        <v>1</v>
      </c>
      <c r="AG31" s="68">
        <f ca="1">IF(AND(SUMIF(Capacity_Resource,$D31,'Critical resources (hide)'!AT$6:AT$105)+SUMIF(Capacity_Resource,$E31,'Critical resources (hide)'!AT$6:AT$105)+SUMIF(Capacity_Resource,$F31,'Critical resources (hide)'!AT$6:AT$105)&gt;0,$E$1=2),0,1)</f>
        <v>1</v>
      </c>
      <c r="AH31" s="68">
        <f ca="1">IF(AND(SUMIF(Capacity_Resource,$D31,'Critical resources (hide)'!AU$6:AU$105)+SUMIF(Capacity_Resource,$E31,'Critical resources (hide)'!AU$6:AU$105)+SUMIF(Capacity_Resource,$F31,'Critical resources (hide)'!AU$6:AU$105)&gt;0,$E$1=2),0,1)</f>
        <v>1</v>
      </c>
      <c r="AI31" s="68">
        <f ca="1">IF(AND(SUMIF(Capacity_Resource,$D31,'Critical resources (hide)'!AV$6:AV$105)+SUMIF(Capacity_Resource,$E31,'Critical resources (hide)'!AV$6:AV$105)+SUMIF(Capacity_Resource,$F31,'Critical resources (hide)'!AV$6:AV$105)&gt;0,$E$1=2),0,1)</f>
        <v>1</v>
      </c>
      <c r="AJ31" s="68">
        <f ca="1">IF(AND(SUMIF(Capacity_Resource,$D31,'Critical resources (hide)'!AW$6:AW$105)+SUMIF(Capacity_Resource,$E31,'Critical resources (hide)'!AW$6:AW$105)+SUMIF(Capacity_Resource,$F31,'Critical resources (hide)'!AW$6:AW$105)&gt;0,$E$1=2),0,1)</f>
        <v>1</v>
      </c>
      <c r="AK31" s="68">
        <f ca="1">IF(AND(SUMIF(Capacity_Resource,$D31,'Critical resources (hide)'!AX$6:AX$105)+SUMIF(Capacity_Resource,$E31,'Critical resources (hide)'!AX$6:AX$105)+SUMIF(Capacity_Resource,$F31,'Critical resources (hide)'!AX$6:AX$105)&gt;0,$E$1=2),0,1)</f>
        <v>1</v>
      </c>
      <c r="AL31" s="68">
        <f ca="1">IF(AND(SUMIF(Capacity_Resource,$D31,'Critical resources (hide)'!AY$6:AY$105)+SUMIF(Capacity_Resource,$E31,'Critical resources (hide)'!AY$6:AY$105)+SUMIF(Capacity_Resource,$F31,'Critical resources (hide)'!AY$6:AY$105)&gt;0,$E$1=2),0,1)</f>
        <v>1</v>
      </c>
      <c r="AM31" s="68">
        <f ca="1">IF(AND(SUMIF(Capacity_Resource,$D31,'Critical resources (hide)'!AZ$6:AZ$105)+SUMIF(Capacity_Resource,$E31,'Critical resources (hide)'!AZ$6:AZ$105)+SUMIF(Capacity_Resource,$F31,'Critical resources (hide)'!AZ$6:AZ$105)&gt;0,$E$1=2),0,1)</f>
        <v>1</v>
      </c>
      <c r="AN31" s="68">
        <f ca="1">IF(AND(SUMIF(Capacity_Resource,$D31,'Critical resources (hide)'!BA$6:BA$105)+SUMIF(Capacity_Resource,$E31,'Critical resources (hide)'!BA$6:BA$105)+SUMIF(Capacity_Resource,$F31,'Critical resources (hide)'!BA$6:BA$105)&gt;0,$E$1=2),0,1)</f>
        <v>1</v>
      </c>
      <c r="AO31" s="68">
        <f ca="1">IF(AND(SUMIF(Capacity_Resource,$D31,'Critical resources (hide)'!BB$6:BB$105)+SUMIF(Capacity_Resource,$E31,'Critical resources (hide)'!BB$6:BB$105)+SUMIF(Capacity_Resource,$F31,'Critical resources (hide)'!BB$6:BB$105)&gt;0,$E$1=2),0,1)</f>
        <v>1</v>
      </c>
      <c r="AP31" s="68">
        <f ca="1">IF(AND(SUMIF(Capacity_Resource,$D31,'Critical resources (hide)'!BC$6:BC$105)+SUMIF(Capacity_Resource,$E31,'Critical resources (hide)'!BC$6:BC$105)+SUMIF(Capacity_Resource,$F31,'Critical resources (hide)'!BC$6:BC$105)&gt;0,$E$1=2),0,1)</f>
        <v>1</v>
      </c>
      <c r="AQ31" s="68">
        <f ca="1">IF(AND(SUMIF(Capacity_Resource,$D31,'Critical resources (hide)'!BD$6:BD$105)+SUMIF(Capacity_Resource,$E31,'Critical resources (hide)'!BD$6:BD$105)+SUMIF(Capacity_Resource,$F31,'Critical resources (hide)'!BD$6:BD$105)&gt;0,$E$1=2),0,1)</f>
        <v>1</v>
      </c>
      <c r="AR31" s="68">
        <f ca="1">IF(AND(SUMIF(Capacity_Resource,$D31,'Critical resources (hide)'!BE$6:BE$105)+SUMIF(Capacity_Resource,$E31,'Critical resources (hide)'!BE$6:BE$105)+SUMIF(Capacity_Resource,$F31,'Critical resources (hide)'!BE$6:BE$105)&gt;0,$E$1=2),0,1)</f>
        <v>1</v>
      </c>
      <c r="AS31" s="68">
        <f ca="1">IF(AND(SUMIF(Capacity_Resource,$D31,'Critical resources (hide)'!BF$6:BF$105)+SUMIF(Capacity_Resource,$E31,'Critical resources (hide)'!BF$6:BF$105)+SUMIF(Capacity_Resource,$F31,'Critical resources (hide)'!BF$6:BF$105)&gt;0,$E$1=2),0,1)</f>
        <v>1</v>
      </c>
      <c r="AT31" s="68">
        <f ca="1">IF(AND(SUMIF(Capacity_Resource,$D31,'Critical resources (hide)'!BG$6:BG$105)+SUMIF(Capacity_Resource,$E31,'Critical resources (hide)'!BG$6:BG$105)+SUMIF(Capacity_Resource,$F31,'Critical resources (hide)'!BG$6:BG$105)&gt;0,$E$1=2),0,1)</f>
        <v>1</v>
      </c>
      <c r="AU31" s="68">
        <f ca="1">IF(AND(SUMIF(Capacity_Resource,$D31,'Critical resources (hide)'!BH$6:BH$105)+SUMIF(Capacity_Resource,$E31,'Critical resources (hide)'!BH$6:BH$105)+SUMIF(Capacity_Resource,$F31,'Critical resources (hide)'!BH$6:BH$105)&gt;0,$E$1=2),0,1)</f>
        <v>1</v>
      </c>
      <c r="AV31" s="68">
        <f ca="1">IF(AND(SUMIF(Capacity_Resource,$D31,'Critical resources (hide)'!BI$6:BI$105)+SUMIF(Capacity_Resource,$E31,'Critical resources (hide)'!BI$6:BI$105)+SUMIF(Capacity_Resource,$F31,'Critical resources (hide)'!BI$6:BI$105)&gt;0,$E$1=2),0,1)</f>
        <v>1</v>
      </c>
      <c r="AW31" s="68">
        <f ca="1">IF(AND(SUMIF(Capacity_Resource,$D31,'Critical resources (hide)'!BJ$6:BJ$105)+SUMIF(Capacity_Resource,$E31,'Critical resources (hide)'!BJ$6:BJ$105)+SUMIF(Capacity_Resource,$F31,'Critical resources (hide)'!BJ$6:BJ$105)&gt;0,$E$1=2),0,1)</f>
        <v>1</v>
      </c>
      <c r="AX31" s="68">
        <f ca="1">IF(AND(SUMIF(Capacity_Resource,$D31,'Critical resources (hide)'!BK$6:BK$105)+SUMIF(Capacity_Resource,$E31,'Critical resources (hide)'!BK$6:BK$105)+SUMIF(Capacity_Resource,$F31,'Critical resources (hide)'!BK$6:BK$105)&gt;0,$E$1=2),0,1)</f>
        <v>1</v>
      </c>
      <c r="AY31" s="68">
        <f ca="1">IF(AND(SUMIF(Capacity_Resource,$D31,'Critical resources (hide)'!BL$6:BL$105)+SUMIF(Capacity_Resource,$E31,'Critical resources (hide)'!BL$6:BL$105)+SUMIF(Capacity_Resource,$F31,'Critical resources (hide)'!BL$6:BL$105)&gt;0,$E$1=2),0,1)</f>
        <v>1</v>
      </c>
      <c r="AZ31" s="68">
        <f ca="1">IF(AND(SUMIF(Capacity_Resource,$D31,'Critical resources (hide)'!BM$6:BM$105)+SUMIF(Capacity_Resource,$E31,'Critical resources (hide)'!BM$6:BM$105)+SUMIF(Capacity_Resource,$F31,'Critical resources (hide)'!BM$6:BM$105)&gt;0,$E$1=2),0,1)</f>
        <v>1</v>
      </c>
      <c r="BA31" s="68">
        <f ca="1">IF(AND(SUMIF(Capacity_Resource,$D31,'Critical resources (hide)'!BN$6:BN$105)+SUMIF(Capacity_Resource,$E31,'Critical resources (hide)'!BN$6:BN$105)+SUMIF(Capacity_Resource,$F31,'Critical resources (hide)'!BN$6:BN$105)&gt;0,$E$1=2),0,1)</f>
        <v>1</v>
      </c>
      <c r="BB31" s="68">
        <f ca="1">IF(AND(SUMIF(Capacity_Resource,$D31,'Critical resources (hide)'!BO$6:BO$105)+SUMIF(Capacity_Resource,$E31,'Critical resources (hide)'!BO$6:BO$105)+SUMIF(Capacity_Resource,$F31,'Critical resources (hide)'!BO$6:BO$105)&gt;0,$E$1=2),0,1)</f>
        <v>1</v>
      </c>
      <c r="BC31" s="68">
        <f ca="1">IF(AND(SUMIF(Capacity_Resource,$D31,'Critical resources (hide)'!BP$6:BP$105)+SUMIF(Capacity_Resource,$E31,'Critical resources (hide)'!BP$6:BP$105)+SUMIF(Capacity_Resource,$F31,'Critical resources (hide)'!BP$6:BP$105)&gt;0,$E$1=2),0,1)</f>
        <v>1</v>
      </c>
      <c r="BD31" s="68">
        <f ca="1">IF(AND(SUMIF(Capacity_Resource,$D31,'Critical resources (hide)'!BQ$6:BQ$105)+SUMIF(Capacity_Resource,$E31,'Critical resources (hide)'!BQ$6:BQ$105)+SUMIF(Capacity_Resource,$F31,'Critical resources (hide)'!BQ$6:BQ$105)&gt;0,$E$1=2),0,1)</f>
        <v>1</v>
      </c>
      <c r="BE31" s="68">
        <f ca="1">IF(AND(SUMIF(Capacity_Resource,$D31,'Critical resources (hide)'!BR$6:BR$105)+SUMIF(Capacity_Resource,$E31,'Critical resources (hide)'!BR$6:BR$105)+SUMIF(Capacity_Resource,$F31,'Critical resources (hide)'!BR$6:BR$105)&gt;0,$E$1=2),0,1)</f>
        <v>1</v>
      </c>
      <c r="BF31" s="68">
        <f ca="1">IF(AND(SUMIF(Capacity_Resource,$D31,'Critical resources (hide)'!BS$6:BS$105)+SUMIF(Capacity_Resource,$E31,'Critical resources (hide)'!BS$6:BS$105)+SUMIF(Capacity_Resource,$F31,'Critical resources (hide)'!BS$6:BS$105)&gt;0,$E$1=2),0,1)</f>
        <v>1</v>
      </c>
      <c r="BG31" s="68">
        <f ca="1">IF(AND(SUMIF(Capacity_Resource,$D31,'Critical resources (hide)'!BT$6:BT$105)+SUMIF(Capacity_Resource,$E31,'Critical resources (hide)'!BT$6:BT$105)+SUMIF(Capacity_Resource,$F31,'Critical resources (hide)'!BT$6:BT$105)&gt;0,$E$1=2),0,1)</f>
        <v>1</v>
      </c>
      <c r="BH31" s="68">
        <f>IF(ROW(C27)&lt;=Capacity!$A$16,IF('Capacity summary'!$D$14="No",SUM(H31:BG31),'Capacity summary'!$E150),0)</f>
        <v>0</v>
      </c>
      <c r="BI31" s="5" t="str">
        <f>IF(BH31&gt;0,IF(BH31&lt;Capacity!E43,Capacity!F43,Capacity!H43/'Capacity calculation (hide)'!BH31),"")</f>
        <v/>
      </c>
      <c r="BK31" s="319">
        <f>IF($BI31&lt;&gt;"",IF('Capacity summary'!$D$14="Yes",IF(COUNTBLANK('Capacity summary'!$H150:$BG150)&lt;52,IF('Capacity summary'!H150&lt;&gt;"",$BI31*H31,0),H31*$BI31),H31*$BI31),0)</f>
        <v>0</v>
      </c>
      <c r="BL31" s="319">
        <f>IF($BI31&lt;&gt;"",IF('Capacity summary'!$D$14="Yes",IF(COUNTBLANK('Capacity summary'!$H150:$BG150)&lt;52,IF('Capacity summary'!I150&lt;&gt;"",$BI31*I31,0),I31*$BI31),I31*$BI31),0)</f>
        <v>0</v>
      </c>
      <c r="BM31" s="319">
        <f>IF($BI31&lt;&gt;"",IF('Capacity summary'!$D$14="Yes",IF(COUNTBLANK('Capacity summary'!$H150:$BG150)&lt;52,IF('Capacity summary'!J150&lt;&gt;"",$BI31*J31,0),J31*$BI31),J31*$BI31),0)</f>
        <v>0</v>
      </c>
      <c r="BN31" s="319">
        <f>IF($BI31&lt;&gt;"",IF('Capacity summary'!$D$14="Yes",IF(COUNTBLANK('Capacity summary'!$H150:$BG150)&lt;52,IF('Capacity summary'!K150&lt;&gt;"",$BI31*K31,0),K31*$BI31),K31*$BI31),0)</f>
        <v>0</v>
      </c>
      <c r="BO31" s="319">
        <f>IF($BI31&lt;&gt;"",IF('Capacity summary'!$D$14="Yes",IF(COUNTBLANK('Capacity summary'!$H150:$BG150)&lt;52,IF('Capacity summary'!L150&lt;&gt;"",$BI31*L31,0),L31*$BI31),L31*$BI31),0)</f>
        <v>0</v>
      </c>
      <c r="BP31" s="319">
        <f>IF($BI31&lt;&gt;"",IF('Capacity summary'!$D$14="Yes",IF(COUNTBLANK('Capacity summary'!$H150:$BG150)&lt;52,IF('Capacity summary'!M150&lt;&gt;"",$BI31*M31,0),M31*$BI31),M31*$BI31),0)</f>
        <v>0</v>
      </c>
      <c r="BQ31" s="319">
        <f>IF($BI31&lt;&gt;"",IF('Capacity summary'!$D$14="Yes",IF(COUNTBLANK('Capacity summary'!$H150:$BG150)&lt;52,IF('Capacity summary'!N150&lt;&gt;"",$BI31*N31,0),N31*$BI31),N31*$BI31),0)</f>
        <v>0</v>
      </c>
      <c r="BR31" s="319">
        <f>IF($BI31&lt;&gt;"",IF('Capacity summary'!$D$14="Yes",IF(COUNTBLANK('Capacity summary'!$H150:$BG150)&lt;52,IF('Capacity summary'!O150&lt;&gt;"",$BI31*O31,0),O31*$BI31),O31*$BI31),0)</f>
        <v>0</v>
      </c>
      <c r="BS31" s="319">
        <f>IF($BI31&lt;&gt;"",IF('Capacity summary'!$D$14="Yes",IF(COUNTBLANK('Capacity summary'!$H150:$BG150)&lt;52,IF('Capacity summary'!P150&lt;&gt;"",$BI31*P31,0),P31*$BI31),P31*$BI31),0)</f>
        <v>0</v>
      </c>
      <c r="BT31" s="319">
        <f>IF($BI31&lt;&gt;"",IF('Capacity summary'!$D$14="Yes",IF(COUNTBLANK('Capacity summary'!$H150:$BG150)&lt;52,IF('Capacity summary'!Q150&lt;&gt;"",$BI31*Q31,0),Q31*$BI31),Q31*$BI31),0)</f>
        <v>0</v>
      </c>
      <c r="BU31" s="319">
        <f>IF($BI31&lt;&gt;"",IF('Capacity summary'!$D$14="Yes",IF(COUNTBLANK('Capacity summary'!$H150:$BG150)&lt;52,IF('Capacity summary'!R150&lt;&gt;"",$BI31*R31,0),R31*$BI31),R31*$BI31),0)</f>
        <v>0</v>
      </c>
      <c r="BV31" s="319">
        <f>IF($BI31&lt;&gt;"",IF('Capacity summary'!$D$14="Yes",IF(COUNTBLANK('Capacity summary'!$H150:$BG150)&lt;52,IF('Capacity summary'!S150&lt;&gt;"",$BI31*S31,0),S31*$BI31),S31*$BI31),0)</f>
        <v>0</v>
      </c>
      <c r="BW31" s="319">
        <f>IF($BI31&lt;&gt;"",IF('Capacity summary'!$D$14="Yes",IF(COUNTBLANK('Capacity summary'!$H150:$BG150)&lt;52,IF('Capacity summary'!T150&lt;&gt;"",$BI31*T31,0),T31*$BI31),T31*$BI31),0)</f>
        <v>0</v>
      </c>
      <c r="BX31" s="319">
        <f>IF($BI31&lt;&gt;"",IF('Capacity summary'!$D$14="Yes",IF(COUNTBLANK('Capacity summary'!$H150:$BG150)&lt;52,IF('Capacity summary'!U150&lt;&gt;"",$BI31*U31,0),U31*$BI31),U31*$BI31),0)</f>
        <v>0</v>
      </c>
      <c r="BY31" s="319">
        <f>IF($BI31&lt;&gt;"",IF('Capacity summary'!$D$14="Yes",IF(COUNTBLANK('Capacity summary'!$H150:$BG150)&lt;52,IF('Capacity summary'!V150&lt;&gt;"",$BI31*V31,0),V31*$BI31),V31*$BI31),0)</f>
        <v>0</v>
      </c>
      <c r="BZ31" s="319">
        <f>IF($BI31&lt;&gt;"",IF('Capacity summary'!$D$14="Yes",IF(COUNTBLANK('Capacity summary'!$H150:$BG150)&lt;52,IF('Capacity summary'!W150&lt;&gt;"",$BI31*W31,0),W31*$BI31),W31*$BI31),0)</f>
        <v>0</v>
      </c>
      <c r="CA31" s="319">
        <f>IF($BI31&lt;&gt;"",IF('Capacity summary'!$D$14="Yes",IF(COUNTBLANK('Capacity summary'!$H150:$BG150)&lt;52,IF('Capacity summary'!X150&lt;&gt;"",$BI31*X31,0),X31*$BI31),X31*$BI31),0)</f>
        <v>0</v>
      </c>
      <c r="CB31" s="319">
        <f>IF($BI31&lt;&gt;"",IF('Capacity summary'!$D$14="Yes",IF(COUNTBLANK('Capacity summary'!$H150:$BG150)&lt;52,IF('Capacity summary'!Y150&lt;&gt;"",$BI31*Y31,0),Y31*$BI31),Y31*$BI31),0)</f>
        <v>0</v>
      </c>
      <c r="CC31" s="319">
        <f>IF($BI31&lt;&gt;"",IF('Capacity summary'!$D$14="Yes",IF(COUNTBLANK('Capacity summary'!$H150:$BG150)&lt;52,IF('Capacity summary'!Z150&lt;&gt;"",$BI31*Z31,0),Z31*$BI31),Z31*$BI31),0)</f>
        <v>0</v>
      </c>
      <c r="CD31" s="319">
        <f>IF($BI31&lt;&gt;"",IF('Capacity summary'!$D$14="Yes",IF(COUNTBLANK('Capacity summary'!$H150:$BG150)&lt;52,IF('Capacity summary'!AA150&lt;&gt;"",$BI31*AA31,0),AA31*$BI31),AA31*$BI31),0)</f>
        <v>0</v>
      </c>
      <c r="CE31" s="319">
        <f>IF($BI31&lt;&gt;"",IF('Capacity summary'!$D$14="Yes",IF(COUNTBLANK('Capacity summary'!$H150:$BG150)&lt;52,IF('Capacity summary'!AB150&lt;&gt;"",$BI31*AB31,0),AB31*$BI31),AB31*$BI31),0)</f>
        <v>0</v>
      </c>
      <c r="CF31" s="319">
        <f>IF($BI31&lt;&gt;"",IF('Capacity summary'!$D$14="Yes",IF(COUNTBLANK('Capacity summary'!$H150:$BG150)&lt;52,IF('Capacity summary'!AC150&lt;&gt;"",$BI31*AC31,0),AC31*$BI31),AC31*$BI31),0)</f>
        <v>0</v>
      </c>
      <c r="CG31" s="319">
        <f>IF($BI31&lt;&gt;"",IF('Capacity summary'!$D$14="Yes",IF(COUNTBLANK('Capacity summary'!$H150:$BG150)&lt;52,IF('Capacity summary'!AD150&lt;&gt;"",$BI31*AD31,0),AD31*$BI31),AD31*$BI31),0)</f>
        <v>0</v>
      </c>
      <c r="CH31" s="319">
        <f>IF($BI31&lt;&gt;"",IF('Capacity summary'!$D$14="Yes",IF(COUNTBLANK('Capacity summary'!$H150:$BG150)&lt;52,IF('Capacity summary'!AE150&lt;&gt;"",$BI31*AE31,0),AE31*$BI31),AE31*$BI31),0)</f>
        <v>0</v>
      </c>
      <c r="CI31" s="319">
        <f>IF($BI31&lt;&gt;"",IF('Capacity summary'!$D$14="Yes",IF(COUNTBLANK('Capacity summary'!$H150:$BG150)&lt;52,IF('Capacity summary'!AF150&lt;&gt;"",$BI31*AF31,0),AF31*$BI31),AF31*$BI31),0)</f>
        <v>0</v>
      </c>
      <c r="CJ31" s="319">
        <f>IF($BI31&lt;&gt;"",IF('Capacity summary'!$D$14="Yes",IF(COUNTBLANK('Capacity summary'!$H150:$BG150)&lt;52,IF('Capacity summary'!AG150&lt;&gt;"",$BI31*AG31,0),AG31*$BI31),AG31*$BI31),0)</f>
        <v>0</v>
      </c>
      <c r="CK31" s="319">
        <f>IF($BI31&lt;&gt;"",IF('Capacity summary'!$D$14="Yes",IF(COUNTBLANK('Capacity summary'!$H150:$BG150)&lt;52,IF('Capacity summary'!AH150&lt;&gt;"",$BI31*AH31,0),AH31*$BI31),AH31*$BI31),0)</f>
        <v>0</v>
      </c>
      <c r="CL31" s="319">
        <f>IF($BI31&lt;&gt;"",IF('Capacity summary'!$D$14="Yes",IF(COUNTBLANK('Capacity summary'!$H150:$BG150)&lt;52,IF('Capacity summary'!AI150&lt;&gt;"",$BI31*AI31,0),AI31*$BI31),AI31*$BI31),0)</f>
        <v>0</v>
      </c>
      <c r="CM31" s="319">
        <f>IF($BI31&lt;&gt;"",IF('Capacity summary'!$D$14="Yes",IF(COUNTBLANK('Capacity summary'!$H150:$BG150)&lt;52,IF('Capacity summary'!AJ150&lt;&gt;"",$BI31*AJ31,0),AJ31*$BI31),AJ31*$BI31),0)</f>
        <v>0</v>
      </c>
      <c r="CN31" s="319">
        <f>IF($BI31&lt;&gt;"",IF('Capacity summary'!$D$14="Yes",IF(COUNTBLANK('Capacity summary'!$H150:$BG150)&lt;52,IF('Capacity summary'!AK150&lt;&gt;"",$BI31*AK31,0),AK31*$BI31),AK31*$BI31),0)</f>
        <v>0</v>
      </c>
      <c r="CO31" s="319">
        <f>IF($BI31&lt;&gt;"",IF('Capacity summary'!$D$14="Yes",IF(COUNTBLANK('Capacity summary'!$H150:$BG150)&lt;52,IF('Capacity summary'!AL150&lt;&gt;"",$BI31*AL31,0),AL31*$BI31),AL31*$BI31),0)</f>
        <v>0</v>
      </c>
      <c r="CP31" s="319">
        <f>IF($BI31&lt;&gt;"",IF('Capacity summary'!$D$14="Yes",IF(COUNTBLANK('Capacity summary'!$H150:$BG150)&lt;52,IF('Capacity summary'!AM150&lt;&gt;"",$BI31*AM31,0),AM31*$BI31),AM31*$BI31),0)</f>
        <v>0</v>
      </c>
      <c r="CQ31" s="319">
        <f>IF($BI31&lt;&gt;"",IF('Capacity summary'!$D$14="Yes",IF(COUNTBLANK('Capacity summary'!$H150:$BG150)&lt;52,IF('Capacity summary'!AN150&lt;&gt;"",$BI31*AN31,0),AN31*$BI31),AN31*$BI31),0)</f>
        <v>0</v>
      </c>
      <c r="CR31" s="319">
        <f>IF($BI31&lt;&gt;"",IF('Capacity summary'!$D$14="Yes",IF(COUNTBLANK('Capacity summary'!$H150:$BG150)&lt;52,IF('Capacity summary'!AO150&lt;&gt;"",$BI31*AO31,0),AO31*$BI31),AO31*$BI31),0)</f>
        <v>0</v>
      </c>
      <c r="CS31" s="319">
        <f>IF($BI31&lt;&gt;"",IF('Capacity summary'!$D$14="Yes",IF(COUNTBLANK('Capacity summary'!$H150:$BG150)&lt;52,IF('Capacity summary'!AP150&lt;&gt;"",$BI31*AP31,0),AP31*$BI31),AP31*$BI31),0)</f>
        <v>0</v>
      </c>
      <c r="CT31" s="319">
        <f>IF($BI31&lt;&gt;"",IF('Capacity summary'!$D$14="Yes",IF(COUNTBLANK('Capacity summary'!$H150:$BG150)&lt;52,IF('Capacity summary'!AQ150&lt;&gt;"",$BI31*AQ31,0),AQ31*$BI31),AQ31*$BI31),0)</f>
        <v>0</v>
      </c>
      <c r="CU31" s="319">
        <f>IF($BI31&lt;&gt;"",IF('Capacity summary'!$D$14="Yes",IF(COUNTBLANK('Capacity summary'!$H150:$BG150)&lt;52,IF('Capacity summary'!AR150&lt;&gt;"",$BI31*AR31,0),AR31*$BI31),AR31*$BI31),0)</f>
        <v>0</v>
      </c>
      <c r="CV31" s="319">
        <f>IF($BI31&lt;&gt;"",IF('Capacity summary'!$D$14="Yes",IF(COUNTBLANK('Capacity summary'!$H150:$BG150)&lt;52,IF('Capacity summary'!AS150&lt;&gt;"",$BI31*AS31,0),AS31*$BI31),AS31*$BI31),0)</f>
        <v>0</v>
      </c>
      <c r="CW31" s="319">
        <f>IF($BI31&lt;&gt;"",IF('Capacity summary'!$D$14="Yes",IF(COUNTBLANK('Capacity summary'!$H150:$BG150)&lt;52,IF('Capacity summary'!AT150&lt;&gt;"",$BI31*AT31,0),AT31*$BI31),AT31*$BI31),0)</f>
        <v>0</v>
      </c>
      <c r="CX31" s="319">
        <f>IF($BI31&lt;&gt;"",IF('Capacity summary'!$D$14="Yes",IF(COUNTBLANK('Capacity summary'!$H150:$BG150)&lt;52,IF('Capacity summary'!AU150&lt;&gt;"",$BI31*AU31,0),AU31*$BI31),AU31*$BI31),0)</f>
        <v>0</v>
      </c>
      <c r="CY31" s="319">
        <f>IF($BI31&lt;&gt;"",IF('Capacity summary'!$D$14="Yes",IF(COUNTBLANK('Capacity summary'!$H150:$BG150)&lt;52,IF('Capacity summary'!AV150&lt;&gt;"",$BI31*AV31,0),AV31*$BI31),AV31*$BI31),0)</f>
        <v>0</v>
      </c>
      <c r="CZ31" s="319">
        <f>IF($BI31&lt;&gt;"",IF('Capacity summary'!$D$14="Yes",IF(COUNTBLANK('Capacity summary'!$H150:$BG150)&lt;52,IF('Capacity summary'!AW150&lt;&gt;"",$BI31*AW31,0),AW31*$BI31),AW31*$BI31),0)</f>
        <v>0</v>
      </c>
      <c r="DA31" s="319">
        <f>IF($BI31&lt;&gt;"",IF('Capacity summary'!$D$14="Yes",IF(COUNTBLANK('Capacity summary'!$H150:$BG150)&lt;52,IF('Capacity summary'!AX150&lt;&gt;"",$BI31*AX31,0),AX31*$BI31),AX31*$BI31),0)</f>
        <v>0</v>
      </c>
      <c r="DB31" s="319">
        <f>IF($BI31&lt;&gt;"",IF('Capacity summary'!$D$14="Yes",IF(COUNTBLANK('Capacity summary'!$H150:$BG150)&lt;52,IF('Capacity summary'!AY150&lt;&gt;"",$BI31*AY31,0),AY31*$BI31),AY31*$BI31),0)</f>
        <v>0</v>
      </c>
      <c r="DC31" s="319">
        <f>IF($BI31&lt;&gt;"",IF('Capacity summary'!$D$14="Yes",IF(COUNTBLANK('Capacity summary'!$H150:$BG150)&lt;52,IF('Capacity summary'!AZ150&lt;&gt;"",$BI31*AZ31,0),AZ31*$BI31),AZ31*$BI31),0)</f>
        <v>0</v>
      </c>
      <c r="DD31" s="319">
        <f>IF($BI31&lt;&gt;"",IF('Capacity summary'!$D$14="Yes",IF(COUNTBLANK('Capacity summary'!$H150:$BG150)&lt;52,IF('Capacity summary'!BA150&lt;&gt;"",$BI31*BA31,0),BA31*$BI31),BA31*$BI31),0)</f>
        <v>0</v>
      </c>
      <c r="DE31" s="319">
        <f>IF($BI31&lt;&gt;"",IF('Capacity summary'!$D$14="Yes",IF(COUNTBLANK('Capacity summary'!$H150:$BG150)&lt;52,IF('Capacity summary'!BB150&lt;&gt;"",$BI31*BB31,0),BB31*$BI31),BB31*$BI31),0)</f>
        <v>0</v>
      </c>
      <c r="DF31" s="319">
        <f>IF($BI31&lt;&gt;"",IF('Capacity summary'!$D$14="Yes",IF(COUNTBLANK('Capacity summary'!$H150:$BG150)&lt;52,IF('Capacity summary'!BC150&lt;&gt;"",$BI31*BC31,0),BC31*$BI31),BC31*$BI31),0)</f>
        <v>0</v>
      </c>
      <c r="DG31" s="319">
        <f>IF($BI31&lt;&gt;"",IF('Capacity summary'!$D$14="Yes",IF(COUNTBLANK('Capacity summary'!$H150:$BG150)&lt;52,IF('Capacity summary'!BD150&lt;&gt;"",$BI31*BD31,0),BD31*$BI31),BD31*$BI31),0)</f>
        <v>0</v>
      </c>
      <c r="DH31" s="319">
        <f>IF($BI31&lt;&gt;"",IF('Capacity summary'!$D$14="Yes",IF(COUNTBLANK('Capacity summary'!$H150:$BG150)&lt;52,IF('Capacity summary'!BE150&lt;&gt;"",$BI31*BE31,0),BE31*$BI31),BE31*$BI31),0)</f>
        <v>0</v>
      </c>
      <c r="DI31" s="319">
        <f>IF($BI31&lt;&gt;"",IF('Capacity summary'!$D$14="Yes",IF(COUNTBLANK('Capacity summary'!$H150:$BG150)&lt;52,IF('Capacity summary'!BF150&lt;&gt;"",$BI31*BF31,0),BF31*$BI31),BF31*$BI31),0)</f>
        <v>0</v>
      </c>
      <c r="DJ31" s="319">
        <f>IF($BI31&lt;&gt;"",IF('Capacity summary'!$D$14="Yes",IF(COUNTBLANK('Capacity summary'!$H150:$BG150)&lt;52,IF('Capacity summary'!BG150&lt;&gt;"",$BI31*BG31,0),BG31*$BI31),BG31*$BI31),0)</f>
        <v>0</v>
      </c>
      <c r="DK31" s="5">
        <f t="shared" si="2"/>
        <v>0</v>
      </c>
      <c r="DL31" s="5" t="str">
        <f>Capacity!H43</f>
        <v/>
      </c>
      <c r="DP31" s="5"/>
    </row>
    <row r="32" spans="2:120" x14ac:dyDescent="0.2">
      <c r="B32" s="68"/>
      <c r="C32" s="68" t="str">
        <f>ROW(A28)&amp;". "&amp;Capacity!B44</f>
        <v xml:space="preserve">28. </v>
      </c>
      <c r="D32" s="68">
        <f>'Capacity setup'!C39</f>
        <v>0</v>
      </c>
      <c r="E32" s="68">
        <f>'Capacity setup'!D39</f>
        <v>0</v>
      </c>
      <c r="F32" s="68">
        <f>'Capacity setup'!E39</f>
        <v>0</v>
      </c>
      <c r="H32" s="68">
        <f ca="1">IF(AND(SUMIF(Capacity_Resource,$D32,'Critical resources (hide)'!U$6:U$105)+SUMIF(Capacity_Resource,$E32,'Critical resources (hide)'!U$6:U$105)+SUMIF(Capacity_Resource,$F32,'Critical resources (hide)'!U$6:U$105)&gt;0,$E$1=2),0,1)</f>
        <v>1</v>
      </c>
      <c r="I32" s="68">
        <f ca="1">IF(AND(SUMIF(Capacity_Resource,$D32,'Critical resources (hide)'!V$6:V$105)+SUMIF(Capacity_Resource,$E32,'Critical resources (hide)'!V$6:V$105)+SUMIF(Capacity_Resource,$F32,'Critical resources (hide)'!V$6:V$105)&gt;0,$E$1=2),0,1)</f>
        <v>1</v>
      </c>
      <c r="J32" s="68">
        <f ca="1">IF(AND(SUMIF(Capacity_Resource,$D32,'Critical resources (hide)'!W$6:W$105)+SUMIF(Capacity_Resource,$E32,'Critical resources (hide)'!W$6:W$105)+SUMIF(Capacity_Resource,$F32,'Critical resources (hide)'!W$6:W$105)&gt;0,$E$1=2),0,1)</f>
        <v>1</v>
      </c>
      <c r="K32" s="68">
        <f ca="1">IF(AND(SUMIF(Capacity_Resource,$D32,'Critical resources (hide)'!X$6:X$105)+SUMIF(Capacity_Resource,$E32,'Critical resources (hide)'!X$6:X$105)+SUMIF(Capacity_Resource,$F32,'Critical resources (hide)'!X$6:X$105)&gt;0,$E$1=2),0,1)</f>
        <v>1</v>
      </c>
      <c r="L32" s="68">
        <f ca="1">IF(AND(SUMIF(Capacity_Resource,$D32,'Critical resources (hide)'!Y$6:Y$105)+SUMIF(Capacity_Resource,$E32,'Critical resources (hide)'!Y$6:Y$105)+SUMIF(Capacity_Resource,$F32,'Critical resources (hide)'!Y$6:Y$105)&gt;0,$E$1=2),0,1)</f>
        <v>1</v>
      </c>
      <c r="M32" s="68">
        <f ca="1">IF(AND(SUMIF(Capacity_Resource,$D32,'Critical resources (hide)'!Z$6:Z$105)+SUMIF(Capacity_Resource,$E32,'Critical resources (hide)'!Z$6:Z$105)+SUMIF(Capacity_Resource,$F32,'Critical resources (hide)'!Z$6:Z$105)&gt;0,$E$1=2),0,1)</f>
        <v>1</v>
      </c>
      <c r="N32" s="68">
        <f ca="1">IF(AND(SUMIF(Capacity_Resource,$D32,'Critical resources (hide)'!AA$6:AA$105)+SUMIF(Capacity_Resource,$E32,'Critical resources (hide)'!AA$6:AA$105)+SUMIF(Capacity_Resource,$F32,'Critical resources (hide)'!AA$6:AA$105)&gt;0,$E$1=2),0,1)</f>
        <v>1</v>
      </c>
      <c r="O32" s="68">
        <f ca="1">IF(AND(SUMIF(Capacity_Resource,$D32,'Critical resources (hide)'!AB$6:AB$105)+SUMIF(Capacity_Resource,$E32,'Critical resources (hide)'!AB$6:AB$105)+SUMIF(Capacity_Resource,$F32,'Critical resources (hide)'!AB$6:AB$105)&gt;0,$E$1=2),0,1)</f>
        <v>1</v>
      </c>
      <c r="P32" s="68">
        <f ca="1">IF(AND(SUMIF(Capacity_Resource,$D32,'Critical resources (hide)'!AC$6:AC$105)+SUMIF(Capacity_Resource,$E32,'Critical resources (hide)'!AC$6:AC$105)+SUMIF(Capacity_Resource,$F32,'Critical resources (hide)'!AC$6:AC$105)&gt;0,$E$1=2),0,1)</f>
        <v>1</v>
      </c>
      <c r="Q32" s="68">
        <f ca="1">IF(AND(SUMIF(Capacity_Resource,$D32,'Critical resources (hide)'!AD$6:AD$105)+SUMIF(Capacity_Resource,$E32,'Critical resources (hide)'!AD$6:AD$105)+SUMIF(Capacity_Resource,$F32,'Critical resources (hide)'!AD$6:AD$105)&gt;0,$E$1=2),0,1)</f>
        <v>1</v>
      </c>
      <c r="R32" s="68">
        <f ca="1">IF(AND(SUMIF(Capacity_Resource,$D32,'Critical resources (hide)'!AE$6:AE$105)+SUMIF(Capacity_Resource,$E32,'Critical resources (hide)'!AE$6:AE$105)+SUMIF(Capacity_Resource,$F32,'Critical resources (hide)'!AE$6:AE$105)&gt;0,$E$1=2),0,1)</f>
        <v>1</v>
      </c>
      <c r="S32" s="68">
        <f ca="1">IF(AND(SUMIF(Capacity_Resource,$D32,'Critical resources (hide)'!AF$6:AF$105)+SUMIF(Capacity_Resource,$E32,'Critical resources (hide)'!AF$6:AF$105)+SUMIF(Capacity_Resource,$F32,'Critical resources (hide)'!AF$6:AF$105)&gt;0,$E$1=2),0,1)</f>
        <v>1</v>
      </c>
      <c r="T32" s="68">
        <f ca="1">IF(AND(SUMIF(Capacity_Resource,$D32,'Critical resources (hide)'!AG$6:AG$105)+SUMIF(Capacity_Resource,$E32,'Critical resources (hide)'!AG$6:AG$105)+SUMIF(Capacity_Resource,$F32,'Critical resources (hide)'!AG$6:AG$105)&gt;0,$E$1=2),0,1)</f>
        <v>1</v>
      </c>
      <c r="U32" s="68">
        <f ca="1">IF(AND(SUMIF(Capacity_Resource,$D32,'Critical resources (hide)'!AH$6:AH$105)+SUMIF(Capacity_Resource,$E32,'Critical resources (hide)'!AH$6:AH$105)+SUMIF(Capacity_Resource,$F32,'Critical resources (hide)'!AH$6:AH$105)&gt;0,$E$1=2),0,1)</f>
        <v>1</v>
      </c>
      <c r="V32" s="68">
        <f ca="1">IF(AND(SUMIF(Capacity_Resource,$D32,'Critical resources (hide)'!AI$6:AI$105)+SUMIF(Capacity_Resource,$E32,'Critical resources (hide)'!AI$6:AI$105)+SUMIF(Capacity_Resource,$F32,'Critical resources (hide)'!AI$6:AI$105)&gt;0,$E$1=2),0,1)</f>
        <v>1</v>
      </c>
      <c r="W32" s="68">
        <f ca="1">IF(AND(SUMIF(Capacity_Resource,$D32,'Critical resources (hide)'!AJ$6:AJ$105)+SUMIF(Capacity_Resource,$E32,'Critical resources (hide)'!AJ$6:AJ$105)+SUMIF(Capacity_Resource,$F32,'Critical resources (hide)'!AJ$6:AJ$105)&gt;0,$E$1=2),0,1)</f>
        <v>1</v>
      </c>
      <c r="X32" s="68">
        <f ca="1">IF(AND(SUMIF(Capacity_Resource,$D32,'Critical resources (hide)'!AK$6:AK$105)+SUMIF(Capacity_Resource,$E32,'Critical resources (hide)'!AK$6:AK$105)+SUMIF(Capacity_Resource,$F32,'Critical resources (hide)'!AK$6:AK$105)&gt;0,$E$1=2),0,1)</f>
        <v>1</v>
      </c>
      <c r="Y32" s="68">
        <f ca="1">IF(AND(SUMIF(Capacity_Resource,$D32,'Critical resources (hide)'!AL$6:AL$105)+SUMIF(Capacity_Resource,$E32,'Critical resources (hide)'!AL$6:AL$105)+SUMIF(Capacity_Resource,$F32,'Critical resources (hide)'!AL$6:AL$105)&gt;0,$E$1=2),0,1)</f>
        <v>1</v>
      </c>
      <c r="Z32" s="68">
        <f ca="1">IF(AND(SUMIF(Capacity_Resource,$D32,'Critical resources (hide)'!AM$6:AM$105)+SUMIF(Capacity_Resource,$E32,'Critical resources (hide)'!AM$6:AM$105)+SUMIF(Capacity_Resource,$F32,'Critical resources (hide)'!AM$6:AM$105)&gt;0,$E$1=2),0,1)</f>
        <v>1</v>
      </c>
      <c r="AA32" s="68">
        <f ca="1">IF(AND(SUMIF(Capacity_Resource,$D32,'Critical resources (hide)'!AN$6:AN$105)+SUMIF(Capacity_Resource,$E32,'Critical resources (hide)'!AN$6:AN$105)+SUMIF(Capacity_Resource,$F32,'Critical resources (hide)'!AN$6:AN$105)&gt;0,$E$1=2),0,1)</f>
        <v>1</v>
      </c>
      <c r="AB32" s="68">
        <f ca="1">IF(AND(SUMIF(Capacity_Resource,$D32,'Critical resources (hide)'!AO$6:AO$105)+SUMIF(Capacity_Resource,$E32,'Critical resources (hide)'!AO$6:AO$105)+SUMIF(Capacity_Resource,$F32,'Critical resources (hide)'!AO$6:AO$105)&gt;0,$E$1=2),0,1)</f>
        <v>1</v>
      </c>
      <c r="AC32" s="68">
        <f ca="1">IF(AND(SUMIF(Capacity_Resource,$D32,'Critical resources (hide)'!AP$6:AP$105)+SUMIF(Capacity_Resource,$E32,'Critical resources (hide)'!AP$6:AP$105)+SUMIF(Capacity_Resource,$F32,'Critical resources (hide)'!AP$6:AP$105)&gt;0,$E$1=2),0,1)</f>
        <v>1</v>
      </c>
      <c r="AD32" s="68">
        <f ca="1">IF(AND(SUMIF(Capacity_Resource,$D32,'Critical resources (hide)'!AQ$6:AQ$105)+SUMIF(Capacity_Resource,$E32,'Critical resources (hide)'!AQ$6:AQ$105)+SUMIF(Capacity_Resource,$F32,'Critical resources (hide)'!AQ$6:AQ$105)&gt;0,$E$1=2),0,1)</f>
        <v>1</v>
      </c>
      <c r="AE32" s="68">
        <f ca="1">IF(AND(SUMIF(Capacity_Resource,$D32,'Critical resources (hide)'!AR$6:AR$105)+SUMIF(Capacity_Resource,$E32,'Critical resources (hide)'!AR$6:AR$105)+SUMIF(Capacity_Resource,$F32,'Critical resources (hide)'!AR$6:AR$105)&gt;0,$E$1=2),0,1)</f>
        <v>1</v>
      </c>
      <c r="AF32" s="68">
        <f ca="1">IF(AND(SUMIF(Capacity_Resource,$D32,'Critical resources (hide)'!AS$6:AS$105)+SUMIF(Capacity_Resource,$E32,'Critical resources (hide)'!AS$6:AS$105)+SUMIF(Capacity_Resource,$F32,'Critical resources (hide)'!AS$6:AS$105)&gt;0,$E$1=2),0,1)</f>
        <v>1</v>
      </c>
      <c r="AG32" s="68">
        <f ca="1">IF(AND(SUMIF(Capacity_Resource,$D32,'Critical resources (hide)'!AT$6:AT$105)+SUMIF(Capacity_Resource,$E32,'Critical resources (hide)'!AT$6:AT$105)+SUMIF(Capacity_Resource,$F32,'Critical resources (hide)'!AT$6:AT$105)&gt;0,$E$1=2),0,1)</f>
        <v>1</v>
      </c>
      <c r="AH32" s="68">
        <f ca="1">IF(AND(SUMIF(Capacity_Resource,$D32,'Critical resources (hide)'!AU$6:AU$105)+SUMIF(Capacity_Resource,$E32,'Critical resources (hide)'!AU$6:AU$105)+SUMIF(Capacity_Resource,$F32,'Critical resources (hide)'!AU$6:AU$105)&gt;0,$E$1=2),0,1)</f>
        <v>1</v>
      </c>
      <c r="AI32" s="68">
        <f ca="1">IF(AND(SUMIF(Capacity_Resource,$D32,'Critical resources (hide)'!AV$6:AV$105)+SUMIF(Capacity_Resource,$E32,'Critical resources (hide)'!AV$6:AV$105)+SUMIF(Capacity_Resource,$F32,'Critical resources (hide)'!AV$6:AV$105)&gt;0,$E$1=2),0,1)</f>
        <v>1</v>
      </c>
      <c r="AJ32" s="68">
        <f ca="1">IF(AND(SUMIF(Capacity_Resource,$D32,'Critical resources (hide)'!AW$6:AW$105)+SUMIF(Capacity_Resource,$E32,'Critical resources (hide)'!AW$6:AW$105)+SUMIF(Capacity_Resource,$F32,'Critical resources (hide)'!AW$6:AW$105)&gt;0,$E$1=2),0,1)</f>
        <v>1</v>
      </c>
      <c r="AK32" s="68">
        <f ca="1">IF(AND(SUMIF(Capacity_Resource,$D32,'Critical resources (hide)'!AX$6:AX$105)+SUMIF(Capacity_Resource,$E32,'Critical resources (hide)'!AX$6:AX$105)+SUMIF(Capacity_Resource,$F32,'Critical resources (hide)'!AX$6:AX$105)&gt;0,$E$1=2),0,1)</f>
        <v>1</v>
      </c>
      <c r="AL32" s="68">
        <f ca="1">IF(AND(SUMIF(Capacity_Resource,$D32,'Critical resources (hide)'!AY$6:AY$105)+SUMIF(Capacity_Resource,$E32,'Critical resources (hide)'!AY$6:AY$105)+SUMIF(Capacity_Resource,$F32,'Critical resources (hide)'!AY$6:AY$105)&gt;0,$E$1=2),0,1)</f>
        <v>1</v>
      </c>
      <c r="AM32" s="68">
        <f ca="1">IF(AND(SUMIF(Capacity_Resource,$D32,'Critical resources (hide)'!AZ$6:AZ$105)+SUMIF(Capacity_Resource,$E32,'Critical resources (hide)'!AZ$6:AZ$105)+SUMIF(Capacity_Resource,$F32,'Critical resources (hide)'!AZ$6:AZ$105)&gt;0,$E$1=2),0,1)</f>
        <v>1</v>
      </c>
      <c r="AN32" s="68">
        <f ca="1">IF(AND(SUMIF(Capacity_Resource,$D32,'Critical resources (hide)'!BA$6:BA$105)+SUMIF(Capacity_Resource,$E32,'Critical resources (hide)'!BA$6:BA$105)+SUMIF(Capacity_Resource,$F32,'Critical resources (hide)'!BA$6:BA$105)&gt;0,$E$1=2),0,1)</f>
        <v>1</v>
      </c>
      <c r="AO32" s="68">
        <f ca="1">IF(AND(SUMIF(Capacity_Resource,$D32,'Critical resources (hide)'!BB$6:BB$105)+SUMIF(Capacity_Resource,$E32,'Critical resources (hide)'!BB$6:BB$105)+SUMIF(Capacity_Resource,$F32,'Critical resources (hide)'!BB$6:BB$105)&gt;0,$E$1=2),0,1)</f>
        <v>1</v>
      </c>
      <c r="AP32" s="68">
        <f ca="1">IF(AND(SUMIF(Capacity_Resource,$D32,'Critical resources (hide)'!BC$6:BC$105)+SUMIF(Capacity_Resource,$E32,'Critical resources (hide)'!BC$6:BC$105)+SUMIF(Capacity_Resource,$F32,'Critical resources (hide)'!BC$6:BC$105)&gt;0,$E$1=2),0,1)</f>
        <v>1</v>
      </c>
      <c r="AQ32" s="68">
        <f ca="1">IF(AND(SUMIF(Capacity_Resource,$D32,'Critical resources (hide)'!BD$6:BD$105)+SUMIF(Capacity_Resource,$E32,'Critical resources (hide)'!BD$6:BD$105)+SUMIF(Capacity_Resource,$F32,'Critical resources (hide)'!BD$6:BD$105)&gt;0,$E$1=2),0,1)</f>
        <v>1</v>
      </c>
      <c r="AR32" s="68">
        <f ca="1">IF(AND(SUMIF(Capacity_Resource,$D32,'Critical resources (hide)'!BE$6:BE$105)+SUMIF(Capacity_Resource,$E32,'Critical resources (hide)'!BE$6:BE$105)+SUMIF(Capacity_Resource,$F32,'Critical resources (hide)'!BE$6:BE$105)&gt;0,$E$1=2),0,1)</f>
        <v>1</v>
      </c>
      <c r="AS32" s="68">
        <f ca="1">IF(AND(SUMIF(Capacity_Resource,$D32,'Critical resources (hide)'!BF$6:BF$105)+SUMIF(Capacity_Resource,$E32,'Critical resources (hide)'!BF$6:BF$105)+SUMIF(Capacity_Resource,$F32,'Critical resources (hide)'!BF$6:BF$105)&gt;0,$E$1=2),0,1)</f>
        <v>1</v>
      </c>
      <c r="AT32" s="68">
        <f ca="1">IF(AND(SUMIF(Capacity_Resource,$D32,'Critical resources (hide)'!BG$6:BG$105)+SUMIF(Capacity_Resource,$E32,'Critical resources (hide)'!BG$6:BG$105)+SUMIF(Capacity_Resource,$F32,'Critical resources (hide)'!BG$6:BG$105)&gt;0,$E$1=2),0,1)</f>
        <v>1</v>
      </c>
      <c r="AU32" s="68">
        <f ca="1">IF(AND(SUMIF(Capacity_Resource,$D32,'Critical resources (hide)'!BH$6:BH$105)+SUMIF(Capacity_Resource,$E32,'Critical resources (hide)'!BH$6:BH$105)+SUMIF(Capacity_Resource,$F32,'Critical resources (hide)'!BH$6:BH$105)&gt;0,$E$1=2),0,1)</f>
        <v>1</v>
      </c>
      <c r="AV32" s="68">
        <f ca="1">IF(AND(SUMIF(Capacity_Resource,$D32,'Critical resources (hide)'!BI$6:BI$105)+SUMIF(Capacity_Resource,$E32,'Critical resources (hide)'!BI$6:BI$105)+SUMIF(Capacity_Resource,$F32,'Critical resources (hide)'!BI$6:BI$105)&gt;0,$E$1=2),0,1)</f>
        <v>1</v>
      </c>
      <c r="AW32" s="68">
        <f ca="1">IF(AND(SUMIF(Capacity_Resource,$D32,'Critical resources (hide)'!BJ$6:BJ$105)+SUMIF(Capacity_Resource,$E32,'Critical resources (hide)'!BJ$6:BJ$105)+SUMIF(Capacity_Resource,$F32,'Critical resources (hide)'!BJ$6:BJ$105)&gt;0,$E$1=2),0,1)</f>
        <v>1</v>
      </c>
      <c r="AX32" s="68">
        <f ca="1">IF(AND(SUMIF(Capacity_Resource,$D32,'Critical resources (hide)'!BK$6:BK$105)+SUMIF(Capacity_Resource,$E32,'Critical resources (hide)'!BK$6:BK$105)+SUMIF(Capacity_Resource,$F32,'Critical resources (hide)'!BK$6:BK$105)&gt;0,$E$1=2),0,1)</f>
        <v>1</v>
      </c>
      <c r="AY32" s="68">
        <f ca="1">IF(AND(SUMIF(Capacity_Resource,$D32,'Critical resources (hide)'!BL$6:BL$105)+SUMIF(Capacity_Resource,$E32,'Critical resources (hide)'!BL$6:BL$105)+SUMIF(Capacity_Resource,$F32,'Critical resources (hide)'!BL$6:BL$105)&gt;0,$E$1=2),0,1)</f>
        <v>1</v>
      </c>
      <c r="AZ32" s="68">
        <f ca="1">IF(AND(SUMIF(Capacity_Resource,$D32,'Critical resources (hide)'!BM$6:BM$105)+SUMIF(Capacity_Resource,$E32,'Critical resources (hide)'!BM$6:BM$105)+SUMIF(Capacity_Resource,$F32,'Critical resources (hide)'!BM$6:BM$105)&gt;0,$E$1=2),0,1)</f>
        <v>1</v>
      </c>
      <c r="BA32" s="68">
        <f ca="1">IF(AND(SUMIF(Capacity_Resource,$D32,'Critical resources (hide)'!BN$6:BN$105)+SUMIF(Capacity_Resource,$E32,'Critical resources (hide)'!BN$6:BN$105)+SUMIF(Capacity_Resource,$F32,'Critical resources (hide)'!BN$6:BN$105)&gt;0,$E$1=2),0,1)</f>
        <v>1</v>
      </c>
      <c r="BB32" s="68">
        <f ca="1">IF(AND(SUMIF(Capacity_Resource,$D32,'Critical resources (hide)'!BO$6:BO$105)+SUMIF(Capacity_Resource,$E32,'Critical resources (hide)'!BO$6:BO$105)+SUMIF(Capacity_Resource,$F32,'Critical resources (hide)'!BO$6:BO$105)&gt;0,$E$1=2),0,1)</f>
        <v>1</v>
      </c>
      <c r="BC32" s="68">
        <f ca="1">IF(AND(SUMIF(Capacity_Resource,$D32,'Critical resources (hide)'!BP$6:BP$105)+SUMIF(Capacity_Resource,$E32,'Critical resources (hide)'!BP$6:BP$105)+SUMIF(Capacity_Resource,$F32,'Critical resources (hide)'!BP$6:BP$105)&gt;0,$E$1=2),0,1)</f>
        <v>1</v>
      </c>
      <c r="BD32" s="68">
        <f ca="1">IF(AND(SUMIF(Capacity_Resource,$D32,'Critical resources (hide)'!BQ$6:BQ$105)+SUMIF(Capacity_Resource,$E32,'Critical resources (hide)'!BQ$6:BQ$105)+SUMIF(Capacity_Resource,$F32,'Critical resources (hide)'!BQ$6:BQ$105)&gt;0,$E$1=2),0,1)</f>
        <v>1</v>
      </c>
      <c r="BE32" s="68">
        <f ca="1">IF(AND(SUMIF(Capacity_Resource,$D32,'Critical resources (hide)'!BR$6:BR$105)+SUMIF(Capacity_Resource,$E32,'Critical resources (hide)'!BR$6:BR$105)+SUMIF(Capacity_Resource,$F32,'Critical resources (hide)'!BR$6:BR$105)&gt;0,$E$1=2),0,1)</f>
        <v>1</v>
      </c>
      <c r="BF32" s="68">
        <f ca="1">IF(AND(SUMIF(Capacity_Resource,$D32,'Critical resources (hide)'!BS$6:BS$105)+SUMIF(Capacity_Resource,$E32,'Critical resources (hide)'!BS$6:BS$105)+SUMIF(Capacity_Resource,$F32,'Critical resources (hide)'!BS$6:BS$105)&gt;0,$E$1=2),0,1)</f>
        <v>1</v>
      </c>
      <c r="BG32" s="68">
        <f ca="1">IF(AND(SUMIF(Capacity_Resource,$D32,'Critical resources (hide)'!BT$6:BT$105)+SUMIF(Capacity_Resource,$E32,'Critical resources (hide)'!BT$6:BT$105)+SUMIF(Capacity_Resource,$F32,'Critical resources (hide)'!BT$6:BT$105)&gt;0,$E$1=2),0,1)</f>
        <v>1</v>
      </c>
      <c r="BH32" s="68">
        <f>IF(ROW(C28)&lt;=Capacity!$A$16,IF('Capacity summary'!$D$14="No",SUM(H32:BG32),'Capacity summary'!$E151),0)</f>
        <v>0</v>
      </c>
      <c r="BI32" s="5" t="str">
        <f>IF(BH32&gt;0,IF(BH32&lt;Capacity!E44,Capacity!F44,Capacity!H44/'Capacity calculation (hide)'!BH32),"")</f>
        <v/>
      </c>
      <c r="BK32" s="319">
        <f>IF($BI32&lt;&gt;"",IF('Capacity summary'!$D$14="Yes",IF(COUNTBLANK('Capacity summary'!$H151:$BG151)&lt;52,IF('Capacity summary'!H151&lt;&gt;"",$BI32*H32,0),H32*$BI32),H32*$BI32),0)</f>
        <v>0</v>
      </c>
      <c r="BL32" s="319">
        <f>IF($BI32&lt;&gt;"",IF('Capacity summary'!$D$14="Yes",IF(COUNTBLANK('Capacity summary'!$H151:$BG151)&lt;52,IF('Capacity summary'!I151&lt;&gt;"",$BI32*I32,0),I32*$BI32),I32*$BI32),0)</f>
        <v>0</v>
      </c>
      <c r="BM32" s="319">
        <f>IF($BI32&lt;&gt;"",IF('Capacity summary'!$D$14="Yes",IF(COUNTBLANK('Capacity summary'!$H151:$BG151)&lt;52,IF('Capacity summary'!J151&lt;&gt;"",$BI32*J32,0),J32*$BI32),J32*$BI32),0)</f>
        <v>0</v>
      </c>
      <c r="BN32" s="319">
        <f>IF($BI32&lt;&gt;"",IF('Capacity summary'!$D$14="Yes",IF(COUNTBLANK('Capacity summary'!$H151:$BG151)&lt;52,IF('Capacity summary'!K151&lt;&gt;"",$BI32*K32,0),K32*$BI32),K32*$BI32),0)</f>
        <v>0</v>
      </c>
      <c r="BO32" s="319">
        <f>IF($BI32&lt;&gt;"",IF('Capacity summary'!$D$14="Yes",IF(COUNTBLANK('Capacity summary'!$H151:$BG151)&lt;52,IF('Capacity summary'!L151&lt;&gt;"",$BI32*L32,0),L32*$BI32),L32*$BI32),0)</f>
        <v>0</v>
      </c>
      <c r="BP32" s="319">
        <f>IF($BI32&lt;&gt;"",IF('Capacity summary'!$D$14="Yes",IF(COUNTBLANK('Capacity summary'!$H151:$BG151)&lt;52,IF('Capacity summary'!M151&lt;&gt;"",$BI32*M32,0),M32*$BI32),M32*$BI32),0)</f>
        <v>0</v>
      </c>
      <c r="BQ32" s="319">
        <f>IF($BI32&lt;&gt;"",IF('Capacity summary'!$D$14="Yes",IF(COUNTBLANK('Capacity summary'!$H151:$BG151)&lt;52,IF('Capacity summary'!N151&lt;&gt;"",$BI32*N32,0),N32*$BI32),N32*$BI32),0)</f>
        <v>0</v>
      </c>
      <c r="BR32" s="319">
        <f>IF($BI32&lt;&gt;"",IF('Capacity summary'!$D$14="Yes",IF(COUNTBLANK('Capacity summary'!$H151:$BG151)&lt;52,IF('Capacity summary'!O151&lt;&gt;"",$BI32*O32,0),O32*$BI32),O32*$BI32),0)</f>
        <v>0</v>
      </c>
      <c r="BS32" s="319">
        <f>IF($BI32&lt;&gt;"",IF('Capacity summary'!$D$14="Yes",IF(COUNTBLANK('Capacity summary'!$H151:$BG151)&lt;52,IF('Capacity summary'!P151&lt;&gt;"",$BI32*P32,0),P32*$BI32),P32*$BI32),0)</f>
        <v>0</v>
      </c>
      <c r="BT32" s="319">
        <f>IF($BI32&lt;&gt;"",IF('Capacity summary'!$D$14="Yes",IF(COUNTBLANK('Capacity summary'!$H151:$BG151)&lt;52,IF('Capacity summary'!Q151&lt;&gt;"",$BI32*Q32,0),Q32*$BI32),Q32*$BI32),0)</f>
        <v>0</v>
      </c>
      <c r="BU32" s="319">
        <f>IF($BI32&lt;&gt;"",IF('Capacity summary'!$D$14="Yes",IF(COUNTBLANK('Capacity summary'!$H151:$BG151)&lt;52,IF('Capacity summary'!R151&lt;&gt;"",$BI32*R32,0),R32*$BI32),R32*$BI32),0)</f>
        <v>0</v>
      </c>
      <c r="BV32" s="319">
        <f>IF($BI32&lt;&gt;"",IF('Capacity summary'!$D$14="Yes",IF(COUNTBLANK('Capacity summary'!$H151:$BG151)&lt;52,IF('Capacity summary'!S151&lt;&gt;"",$BI32*S32,0),S32*$BI32),S32*$BI32),0)</f>
        <v>0</v>
      </c>
      <c r="BW32" s="319">
        <f>IF($BI32&lt;&gt;"",IF('Capacity summary'!$D$14="Yes",IF(COUNTBLANK('Capacity summary'!$H151:$BG151)&lt;52,IF('Capacity summary'!T151&lt;&gt;"",$BI32*T32,0),T32*$BI32),T32*$BI32),0)</f>
        <v>0</v>
      </c>
      <c r="BX32" s="319">
        <f>IF($BI32&lt;&gt;"",IF('Capacity summary'!$D$14="Yes",IF(COUNTBLANK('Capacity summary'!$H151:$BG151)&lt;52,IF('Capacity summary'!U151&lt;&gt;"",$BI32*U32,0),U32*$BI32),U32*$BI32),0)</f>
        <v>0</v>
      </c>
      <c r="BY32" s="319">
        <f>IF($BI32&lt;&gt;"",IF('Capacity summary'!$D$14="Yes",IF(COUNTBLANK('Capacity summary'!$H151:$BG151)&lt;52,IF('Capacity summary'!V151&lt;&gt;"",$BI32*V32,0),V32*$BI32),V32*$BI32),0)</f>
        <v>0</v>
      </c>
      <c r="BZ32" s="319">
        <f>IF($BI32&lt;&gt;"",IF('Capacity summary'!$D$14="Yes",IF(COUNTBLANK('Capacity summary'!$H151:$BG151)&lt;52,IF('Capacity summary'!W151&lt;&gt;"",$BI32*W32,0),W32*$BI32),W32*$BI32),0)</f>
        <v>0</v>
      </c>
      <c r="CA32" s="319">
        <f>IF($BI32&lt;&gt;"",IF('Capacity summary'!$D$14="Yes",IF(COUNTBLANK('Capacity summary'!$H151:$BG151)&lt;52,IF('Capacity summary'!X151&lt;&gt;"",$BI32*X32,0),X32*$BI32),X32*$BI32),0)</f>
        <v>0</v>
      </c>
      <c r="CB32" s="319">
        <f>IF($BI32&lt;&gt;"",IF('Capacity summary'!$D$14="Yes",IF(COUNTBLANK('Capacity summary'!$H151:$BG151)&lt;52,IF('Capacity summary'!Y151&lt;&gt;"",$BI32*Y32,0),Y32*$BI32),Y32*$BI32),0)</f>
        <v>0</v>
      </c>
      <c r="CC32" s="319">
        <f>IF($BI32&lt;&gt;"",IF('Capacity summary'!$D$14="Yes",IF(COUNTBLANK('Capacity summary'!$H151:$BG151)&lt;52,IF('Capacity summary'!Z151&lt;&gt;"",$BI32*Z32,0),Z32*$BI32),Z32*$BI32),0)</f>
        <v>0</v>
      </c>
      <c r="CD32" s="319">
        <f>IF($BI32&lt;&gt;"",IF('Capacity summary'!$D$14="Yes",IF(COUNTBLANK('Capacity summary'!$H151:$BG151)&lt;52,IF('Capacity summary'!AA151&lt;&gt;"",$BI32*AA32,0),AA32*$BI32),AA32*$BI32),0)</f>
        <v>0</v>
      </c>
      <c r="CE32" s="319">
        <f>IF($BI32&lt;&gt;"",IF('Capacity summary'!$D$14="Yes",IF(COUNTBLANK('Capacity summary'!$H151:$BG151)&lt;52,IF('Capacity summary'!AB151&lt;&gt;"",$BI32*AB32,0),AB32*$BI32),AB32*$BI32),0)</f>
        <v>0</v>
      </c>
      <c r="CF32" s="319">
        <f>IF($BI32&lt;&gt;"",IF('Capacity summary'!$D$14="Yes",IF(COUNTBLANK('Capacity summary'!$H151:$BG151)&lt;52,IF('Capacity summary'!AC151&lt;&gt;"",$BI32*AC32,0),AC32*$BI32),AC32*$BI32),0)</f>
        <v>0</v>
      </c>
      <c r="CG32" s="319">
        <f>IF($BI32&lt;&gt;"",IF('Capacity summary'!$D$14="Yes",IF(COUNTBLANK('Capacity summary'!$H151:$BG151)&lt;52,IF('Capacity summary'!AD151&lt;&gt;"",$BI32*AD32,0),AD32*$BI32),AD32*$BI32),0)</f>
        <v>0</v>
      </c>
      <c r="CH32" s="319">
        <f>IF($BI32&lt;&gt;"",IF('Capacity summary'!$D$14="Yes",IF(COUNTBLANK('Capacity summary'!$H151:$BG151)&lt;52,IF('Capacity summary'!AE151&lt;&gt;"",$BI32*AE32,0),AE32*$BI32),AE32*$BI32),0)</f>
        <v>0</v>
      </c>
      <c r="CI32" s="319">
        <f>IF($BI32&lt;&gt;"",IF('Capacity summary'!$D$14="Yes",IF(COUNTBLANK('Capacity summary'!$H151:$BG151)&lt;52,IF('Capacity summary'!AF151&lt;&gt;"",$BI32*AF32,0),AF32*$BI32),AF32*$BI32),0)</f>
        <v>0</v>
      </c>
      <c r="CJ32" s="319">
        <f>IF($BI32&lt;&gt;"",IF('Capacity summary'!$D$14="Yes",IF(COUNTBLANK('Capacity summary'!$H151:$BG151)&lt;52,IF('Capacity summary'!AG151&lt;&gt;"",$BI32*AG32,0),AG32*$BI32),AG32*$BI32),0)</f>
        <v>0</v>
      </c>
      <c r="CK32" s="319">
        <f>IF($BI32&lt;&gt;"",IF('Capacity summary'!$D$14="Yes",IF(COUNTBLANK('Capacity summary'!$H151:$BG151)&lt;52,IF('Capacity summary'!AH151&lt;&gt;"",$BI32*AH32,0),AH32*$BI32),AH32*$BI32),0)</f>
        <v>0</v>
      </c>
      <c r="CL32" s="319">
        <f>IF($BI32&lt;&gt;"",IF('Capacity summary'!$D$14="Yes",IF(COUNTBLANK('Capacity summary'!$H151:$BG151)&lt;52,IF('Capacity summary'!AI151&lt;&gt;"",$BI32*AI32,0),AI32*$BI32),AI32*$BI32),0)</f>
        <v>0</v>
      </c>
      <c r="CM32" s="319">
        <f>IF($BI32&lt;&gt;"",IF('Capacity summary'!$D$14="Yes",IF(COUNTBLANK('Capacity summary'!$H151:$BG151)&lt;52,IF('Capacity summary'!AJ151&lt;&gt;"",$BI32*AJ32,0),AJ32*$BI32),AJ32*$BI32),0)</f>
        <v>0</v>
      </c>
      <c r="CN32" s="319">
        <f>IF($BI32&lt;&gt;"",IF('Capacity summary'!$D$14="Yes",IF(COUNTBLANK('Capacity summary'!$H151:$BG151)&lt;52,IF('Capacity summary'!AK151&lt;&gt;"",$BI32*AK32,0),AK32*$BI32),AK32*$BI32),0)</f>
        <v>0</v>
      </c>
      <c r="CO32" s="319">
        <f>IF($BI32&lt;&gt;"",IF('Capacity summary'!$D$14="Yes",IF(COUNTBLANK('Capacity summary'!$H151:$BG151)&lt;52,IF('Capacity summary'!AL151&lt;&gt;"",$BI32*AL32,0),AL32*$BI32),AL32*$BI32),0)</f>
        <v>0</v>
      </c>
      <c r="CP32" s="319">
        <f>IF($BI32&lt;&gt;"",IF('Capacity summary'!$D$14="Yes",IF(COUNTBLANK('Capacity summary'!$H151:$BG151)&lt;52,IF('Capacity summary'!AM151&lt;&gt;"",$BI32*AM32,0),AM32*$BI32),AM32*$BI32),0)</f>
        <v>0</v>
      </c>
      <c r="CQ32" s="319">
        <f>IF($BI32&lt;&gt;"",IF('Capacity summary'!$D$14="Yes",IF(COUNTBLANK('Capacity summary'!$H151:$BG151)&lt;52,IF('Capacity summary'!AN151&lt;&gt;"",$BI32*AN32,0),AN32*$BI32),AN32*$BI32),0)</f>
        <v>0</v>
      </c>
      <c r="CR32" s="319">
        <f>IF($BI32&lt;&gt;"",IF('Capacity summary'!$D$14="Yes",IF(COUNTBLANK('Capacity summary'!$H151:$BG151)&lt;52,IF('Capacity summary'!AO151&lt;&gt;"",$BI32*AO32,0),AO32*$BI32),AO32*$BI32),0)</f>
        <v>0</v>
      </c>
      <c r="CS32" s="319">
        <f>IF($BI32&lt;&gt;"",IF('Capacity summary'!$D$14="Yes",IF(COUNTBLANK('Capacity summary'!$H151:$BG151)&lt;52,IF('Capacity summary'!AP151&lt;&gt;"",$BI32*AP32,0),AP32*$BI32),AP32*$BI32),0)</f>
        <v>0</v>
      </c>
      <c r="CT32" s="319">
        <f>IF($BI32&lt;&gt;"",IF('Capacity summary'!$D$14="Yes",IF(COUNTBLANK('Capacity summary'!$H151:$BG151)&lt;52,IF('Capacity summary'!AQ151&lt;&gt;"",$BI32*AQ32,0),AQ32*$BI32),AQ32*$BI32),0)</f>
        <v>0</v>
      </c>
      <c r="CU32" s="319">
        <f>IF($BI32&lt;&gt;"",IF('Capacity summary'!$D$14="Yes",IF(COUNTBLANK('Capacity summary'!$H151:$BG151)&lt;52,IF('Capacity summary'!AR151&lt;&gt;"",$BI32*AR32,0),AR32*$BI32),AR32*$BI32),0)</f>
        <v>0</v>
      </c>
      <c r="CV32" s="319">
        <f>IF($BI32&lt;&gt;"",IF('Capacity summary'!$D$14="Yes",IF(COUNTBLANK('Capacity summary'!$H151:$BG151)&lt;52,IF('Capacity summary'!AS151&lt;&gt;"",$BI32*AS32,0),AS32*$BI32),AS32*$BI32),0)</f>
        <v>0</v>
      </c>
      <c r="CW32" s="319">
        <f>IF($BI32&lt;&gt;"",IF('Capacity summary'!$D$14="Yes",IF(COUNTBLANK('Capacity summary'!$H151:$BG151)&lt;52,IF('Capacity summary'!AT151&lt;&gt;"",$BI32*AT32,0),AT32*$BI32),AT32*$BI32),0)</f>
        <v>0</v>
      </c>
      <c r="CX32" s="319">
        <f>IF($BI32&lt;&gt;"",IF('Capacity summary'!$D$14="Yes",IF(COUNTBLANK('Capacity summary'!$H151:$BG151)&lt;52,IF('Capacity summary'!AU151&lt;&gt;"",$BI32*AU32,0),AU32*$BI32),AU32*$BI32),0)</f>
        <v>0</v>
      </c>
      <c r="CY32" s="319">
        <f>IF($BI32&lt;&gt;"",IF('Capacity summary'!$D$14="Yes",IF(COUNTBLANK('Capacity summary'!$H151:$BG151)&lt;52,IF('Capacity summary'!AV151&lt;&gt;"",$BI32*AV32,0),AV32*$BI32),AV32*$BI32),0)</f>
        <v>0</v>
      </c>
      <c r="CZ32" s="319">
        <f>IF($BI32&lt;&gt;"",IF('Capacity summary'!$D$14="Yes",IF(COUNTBLANK('Capacity summary'!$H151:$BG151)&lt;52,IF('Capacity summary'!AW151&lt;&gt;"",$BI32*AW32,0),AW32*$BI32),AW32*$BI32),0)</f>
        <v>0</v>
      </c>
      <c r="DA32" s="319">
        <f>IF($BI32&lt;&gt;"",IF('Capacity summary'!$D$14="Yes",IF(COUNTBLANK('Capacity summary'!$H151:$BG151)&lt;52,IF('Capacity summary'!AX151&lt;&gt;"",$BI32*AX32,0),AX32*$BI32),AX32*$BI32),0)</f>
        <v>0</v>
      </c>
      <c r="DB32" s="319">
        <f>IF($BI32&lt;&gt;"",IF('Capacity summary'!$D$14="Yes",IF(COUNTBLANK('Capacity summary'!$H151:$BG151)&lt;52,IF('Capacity summary'!AY151&lt;&gt;"",$BI32*AY32,0),AY32*$BI32),AY32*$BI32),0)</f>
        <v>0</v>
      </c>
      <c r="DC32" s="319">
        <f>IF($BI32&lt;&gt;"",IF('Capacity summary'!$D$14="Yes",IF(COUNTBLANK('Capacity summary'!$H151:$BG151)&lt;52,IF('Capacity summary'!AZ151&lt;&gt;"",$BI32*AZ32,0),AZ32*$BI32),AZ32*$BI32),0)</f>
        <v>0</v>
      </c>
      <c r="DD32" s="319">
        <f>IF($BI32&lt;&gt;"",IF('Capacity summary'!$D$14="Yes",IF(COUNTBLANK('Capacity summary'!$H151:$BG151)&lt;52,IF('Capacity summary'!BA151&lt;&gt;"",$BI32*BA32,0),BA32*$BI32),BA32*$BI32),0)</f>
        <v>0</v>
      </c>
      <c r="DE32" s="319">
        <f>IF($BI32&lt;&gt;"",IF('Capacity summary'!$D$14="Yes",IF(COUNTBLANK('Capacity summary'!$H151:$BG151)&lt;52,IF('Capacity summary'!BB151&lt;&gt;"",$BI32*BB32,0),BB32*$BI32),BB32*$BI32),0)</f>
        <v>0</v>
      </c>
      <c r="DF32" s="319">
        <f>IF($BI32&lt;&gt;"",IF('Capacity summary'!$D$14="Yes",IF(COUNTBLANK('Capacity summary'!$H151:$BG151)&lt;52,IF('Capacity summary'!BC151&lt;&gt;"",$BI32*BC32,0),BC32*$BI32),BC32*$BI32),0)</f>
        <v>0</v>
      </c>
      <c r="DG32" s="319">
        <f>IF($BI32&lt;&gt;"",IF('Capacity summary'!$D$14="Yes",IF(COUNTBLANK('Capacity summary'!$H151:$BG151)&lt;52,IF('Capacity summary'!BD151&lt;&gt;"",$BI32*BD32,0),BD32*$BI32),BD32*$BI32),0)</f>
        <v>0</v>
      </c>
      <c r="DH32" s="319">
        <f>IF($BI32&lt;&gt;"",IF('Capacity summary'!$D$14="Yes",IF(COUNTBLANK('Capacity summary'!$H151:$BG151)&lt;52,IF('Capacity summary'!BE151&lt;&gt;"",$BI32*BE32,0),BE32*$BI32),BE32*$BI32),0)</f>
        <v>0</v>
      </c>
      <c r="DI32" s="319">
        <f>IF($BI32&lt;&gt;"",IF('Capacity summary'!$D$14="Yes",IF(COUNTBLANK('Capacity summary'!$H151:$BG151)&lt;52,IF('Capacity summary'!BF151&lt;&gt;"",$BI32*BF32,0),BF32*$BI32),BF32*$BI32),0)</f>
        <v>0</v>
      </c>
      <c r="DJ32" s="319">
        <f>IF($BI32&lt;&gt;"",IF('Capacity summary'!$D$14="Yes",IF(COUNTBLANK('Capacity summary'!$H151:$BG151)&lt;52,IF('Capacity summary'!BG151&lt;&gt;"",$BI32*BG32,0),BG32*$BI32),BG32*$BI32),0)</f>
        <v>0</v>
      </c>
      <c r="DK32" s="5">
        <f t="shared" si="2"/>
        <v>0</v>
      </c>
      <c r="DL32" s="5" t="str">
        <f>Capacity!H44</f>
        <v/>
      </c>
      <c r="DP32" s="5"/>
    </row>
    <row r="33" spans="2:120" x14ac:dyDescent="0.2">
      <c r="B33" s="68"/>
      <c r="C33" s="68" t="str">
        <f>ROW(A29)&amp;". "&amp;Capacity!B45</f>
        <v xml:space="preserve">29. </v>
      </c>
      <c r="D33" s="68">
        <f>'Capacity setup'!C40</f>
        <v>0</v>
      </c>
      <c r="E33" s="68">
        <f>'Capacity setup'!D40</f>
        <v>0</v>
      </c>
      <c r="F33" s="68">
        <f>'Capacity setup'!E40</f>
        <v>0</v>
      </c>
      <c r="H33" s="68">
        <f ca="1">IF(AND(SUMIF(Capacity_Resource,$D33,'Critical resources (hide)'!U$6:U$105)+SUMIF(Capacity_Resource,$E33,'Critical resources (hide)'!U$6:U$105)+SUMIF(Capacity_Resource,$F33,'Critical resources (hide)'!U$6:U$105)&gt;0,$E$1=2),0,1)</f>
        <v>1</v>
      </c>
      <c r="I33" s="68">
        <f ca="1">IF(AND(SUMIF(Capacity_Resource,$D33,'Critical resources (hide)'!V$6:V$105)+SUMIF(Capacity_Resource,$E33,'Critical resources (hide)'!V$6:V$105)+SUMIF(Capacity_Resource,$F33,'Critical resources (hide)'!V$6:V$105)&gt;0,$E$1=2),0,1)</f>
        <v>1</v>
      </c>
      <c r="J33" s="68">
        <f ca="1">IF(AND(SUMIF(Capacity_Resource,$D33,'Critical resources (hide)'!W$6:W$105)+SUMIF(Capacity_Resource,$E33,'Critical resources (hide)'!W$6:W$105)+SUMIF(Capacity_Resource,$F33,'Critical resources (hide)'!W$6:W$105)&gt;0,$E$1=2),0,1)</f>
        <v>1</v>
      </c>
      <c r="K33" s="68">
        <f ca="1">IF(AND(SUMIF(Capacity_Resource,$D33,'Critical resources (hide)'!X$6:X$105)+SUMIF(Capacity_Resource,$E33,'Critical resources (hide)'!X$6:X$105)+SUMIF(Capacity_Resource,$F33,'Critical resources (hide)'!X$6:X$105)&gt;0,$E$1=2),0,1)</f>
        <v>1</v>
      </c>
      <c r="L33" s="68">
        <f ca="1">IF(AND(SUMIF(Capacity_Resource,$D33,'Critical resources (hide)'!Y$6:Y$105)+SUMIF(Capacity_Resource,$E33,'Critical resources (hide)'!Y$6:Y$105)+SUMIF(Capacity_Resource,$F33,'Critical resources (hide)'!Y$6:Y$105)&gt;0,$E$1=2),0,1)</f>
        <v>1</v>
      </c>
      <c r="M33" s="68">
        <f ca="1">IF(AND(SUMIF(Capacity_Resource,$D33,'Critical resources (hide)'!Z$6:Z$105)+SUMIF(Capacity_Resource,$E33,'Critical resources (hide)'!Z$6:Z$105)+SUMIF(Capacity_Resource,$F33,'Critical resources (hide)'!Z$6:Z$105)&gt;0,$E$1=2),0,1)</f>
        <v>1</v>
      </c>
      <c r="N33" s="68">
        <f ca="1">IF(AND(SUMIF(Capacity_Resource,$D33,'Critical resources (hide)'!AA$6:AA$105)+SUMIF(Capacity_Resource,$E33,'Critical resources (hide)'!AA$6:AA$105)+SUMIF(Capacity_Resource,$F33,'Critical resources (hide)'!AA$6:AA$105)&gt;0,$E$1=2),0,1)</f>
        <v>1</v>
      </c>
      <c r="O33" s="68">
        <f ca="1">IF(AND(SUMIF(Capacity_Resource,$D33,'Critical resources (hide)'!AB$6:AB$105)+SUMIF(Capacity_Resource,$E33,'Critical resources (hide)'!AB$6:AB$105)+SUMIF(Capacity_Resource,$F33,'Critical resources (hide)'!AB$6:AB$105)&gt;0,$E$1=2),0,1)</f>
        <v>1</v>
      </c>
      <c r="P33" s="68">
        <f ca="1">IF(AND(SUMIF(Capacity_Resource,$D33,'Critical resources (hide)'!AC$6:AC$105)+SUMIF(Capacity_Resource,$E33,'Critical resources (hide)'!AC$6:AC$105)+SUMIF(Capacity_Resource,$F33,'Critical resources (hide)'!AC$6:AC$105)&gt;0,$E$1=2),0,1)</f>
        <v>1</v>
      </c>
      <c r="Q33" s="68">
        <f ca="1">IF(AND(SUMIF(Capacity_Resource,$D33,'Critical resources (hide)'!AD$6:AD$105)+SUMIF(Capacity_Resource,$E33,'Critical resources (hide)'!AD$6:AD$105)+SUMIF(Capacity_Resource,$F33,'Critical resources (hide)'!AD$6:AD$105)&gt;0,$E$1=2),0,1)</f>
        <v>1</v>
      </c>
      <c r="R33" s="68">
        <f ca="1">IF(AND(SUMIF(Capacity_Resource,$D33,'Critical resources (hide)'!AE$6:AE$105)+SUMIF(Capacity_Resource,$E33,'Critical resources (hide)'!AE$6:AE$105)+SUMIF(Capacity_Resource,$F33,'Critical resources (hide)'!AE$6:AE$105)&gt;0,$E$1=2),0,1)</f>
        <v>1</v>
      </c>
      <c r="S33" s="68">
        <f ca="1">IF(AND(SUMIF(Capacity_Resource,$D33,'Critical resources (hide)'!AF$6:AF$105)+SUMIF(Capacity_Resource,$E33,'Critical resources (hide)'!AF$6:AF$105)+SUMIF(Capacity_Resource,$F33,'Critical resources (hide)'!AF$6:AF$105)&gt;0,$E$1=2),0,1)</f>
        <v>1</v>
      </c>
      <c r="T33" s="68">
        <f ca="1">IF(AND(SUMIF(Capacity_Resource,$D33,'Critical resources (hide)'!AG$6:AG$105)+SUMIF(Capacity_Resource,$E33,'Critical resources (hide)'!AG$6:AG$105)+SUMIF(Capacity_Resource,$F33,'Critical resources (hide)'!AG$6:AG$105)&gt;0,$E$1=2),0,1)</f>
        <v>1</v>
      </c>
      <c r="U33" s="68">
        <f ca="1">IF(AND(SUMIF(Capacity_Resource,$D33,'Critical resources (hide)'!AH$6:AH$105)+SUMIF(Capacity_Resource,$E33,'Critical resources (hide)'!AH$6:AH$105)+SUMIF(Capacity_Resource,$F33,'Critical resources (hide)'!AH$6:AH$105)&gt;0,$E$1=2),0,1)</f>
        <v>1</v>
      </c>
      <c r="V33" s="68">
        <f ca="1">IF(AND(SUMIF(Capacity_Resource,$D33,'Critical resources (hide)'!AI$6:AI$105)+SUMIF(Capacity_Resource,$E33,'Critical resources (hide)'!AI$6:AI$105)+SUMIF(Capacity_Resource,$F33,'Critical resources (hide)'!AI$6:AI$105)&gt;0,$E$1=2),0,1)</f>
        <v>1</v>
      </c>
      <c r="W33" s="68">
        <f ca="1">IF(AND(SUMIF(Capacity_Resource,$D33,'Critical resources (hide)'!AJ$6:AJ$105)+SUMIF(Capacity_Resource,$E33,'Critical resources (hide)'!AJ$6:AJ$105)+SUMIF(Capacity_Resource,$F33,'Critical resources (hide)'!AJ$6:AJ$105)&gt;0,$E$1=2),0,1)</f>
        <v>1</v>
      </c>
      <c r="X33" s="68">
        <f ca="1">IF(AND(SUMIF(Capacity_Resource,$D33,'Critical resources (hide)'!AK$6:AK$105)+SUMIF(Capacity_Resource,$E33,'Critical resources (hide)'!AK$6:AK$105)+SUMIF(Capacity_Resource,$F33,'Critical resources (hide)'!AK$6:AK$105)&gt;0,$E$1=2),0,1)</f>
        <v>1</v>
      </c>
      <c r="Y33" s="68">
        <f ca="1">IF(AND(SUMIF(Capacity_Resource,$D33,'Critical resources (hide)'!AL$6:AL$105)+SUMIF(Capacity_Resource,$E33,'Critical resources (hide)'!AL$6:AL$105)+SUMIF(Capacity_Resource,$F33,'Critical resources (hide)'!AL$6:AL$105)&gt;0,$E$1=2),0,1)</f>
        <v>1</v>
      </c>
      <c r="Z33" s="68">
        <f ca="1">IF(AND(SUMIF(Capacity_Resource,$D33,'Critical resources (hide)'!AM$6:AM$105)+SUMIF(Capacity_Resource,$E33,'Critical resources (hide)'!AM$6:AM$105)+SUMIF(Capacity_Resource,$F33,'Critical resources (hide)'!AM$6:AM$105)&gt;0,$E$1=2),0,1)</f>
        <v>1</v>
      </c>
      <c r="AA33" s="68">
        <f ca="1">IF(AND(SUMIF(Capacity_Resource,$D33,'Critical resources (hide)'!AN$6:AN$105)+SUMIF(Capacity_Resource,$E33,'Critical resources (hide)'!AN$6:AN$105)+SUMIF(Capacity_Resource,$F33,'Critical resources (hide)'!AN$6:AN$105)&gt;0,$E$1=2),0,1)</f>
        <v>1</v>
      </c>
      <c r="AB33" s="68">
        <f ca="1">IF(AND(SUMIF(Capacity_Resource,$D33,'Critical resources (hide)'!AO$6:AO$105)+SUMIF(Capacity_Resource,$E33,'Critical resources (hide)'!AO$6:AO$105)+SUMIF(Capacity_Resource,$F33,'Critical resources (hide)'!AO$6:AO$105)&gt;0,$E$1=2),0,1)</f>
        <v>1</v>
      </c>
      <c r="AC33" s="68">
        <f ca="1">IF(AND(SUMIF(Capacity_Resource,$D33,'Critical resources (hide)'!AP$6:AP$105)+SUMIF(Capacity_Resource,$E33,'Critical resources (hide)'!AP$6:AP$105)+SUMIF(Capacity_Resource,$F33,'Critical resources (hide)'!AP$6:AP$105)&gt;0,$E$1=2),0,1)</f>
        <v>1</v>
      </c>
      <c r="AD33" s="68">
        <f ca="1">IF(AND(SUMIF(Capacity_Resource,$D33,'Critical resources (hide)'!AQ$6:AQ$105)+SUMIF(Capacity_Resource,$E33,'Critical resources (hide)'!AQ$6:AQ$105)+SUMIF(Capacity_Resource,$F33,'Critical resources (hide)'!AQ$6:AQ$105)&gt;0,$E$1=2),0,1)</f>
        <v>1</v>
      </c>
      <c r="AE33" s="68">
        <f ca="1">IF(AND(SUMIF(Capacity_Resource,$D33,'Critical resources (hide)'!AR$6:AR$105)+SUMIF(Capacity_Resource,$E33,'Critical resources (hide)'!AR$6:AR$105)+SUMIF(Capacity_Resource,$F33,'Critical resources (hide)'!AR$6:AR$105)&gt;0,$E$1=2),0,1)</f>
        <v>1</v>
      </c>
      <c r="AF33" s="68">
        <f ca="1">IF(AND(SUMIF(Capacity_Resource,$D33,'Critical resources (hide)'!AS$6:AS$105)+SUMIF(Capacity_Resource,$E33,'Critical resources (hide)'!AS$6:AS$105)+SUMIF(Capacity_Resource,$F33,'Critical resources (hide)'!AS$6:AS$105)&gt;0,$E$1=2),0,1)</f>
        <v>1</v>
      </c>
      <c r="AG33" s="68">
        <f ca="1">IF(AND(SUMIF(Capacity_Resource,$D33,'Critical resources (hide)'!AT$6:AT$105)+SUMIF(Capacity_Resource,$E33,'Critical resources (hide)'!AT$6:AT$105)+SUMIF(Capacity_Resource,$F33,'Critical resources (hide)'!AT$6:AT$105)&gt;0,$E$1=2),0,1)</f>
        <v>1</v>
      </c>
      <c r="AH33" s="68">
        <f ca="1">IF(AND(SUMIF(Capacity_Resource,$D33,'Critical resources (hide)'!AU$6:AU$105)+SUMIF(Capacity_Resource,$E33,'Critical resources (hide)'!AU$6:AU$105)+SUMIF(Capacity_Resource,$F33,'Critical resources (hide)'!AU$6:AU$105)&gt;0,$E$1=2),0,1)</f>
        <v>1</v>
      </c>
      <c r="AI33" s="68">
        <f ca="1">IF(AND(SUMIF(Capacity_Resource,$D33,'Critical resources (hide)'!AV$6:AV$105)+SUMIF(Capacity_Resource,$E33,'Critical resources (hide)'!AV$6:AV$105)+SUMIF(Capacity_Resource,$F33,'Critical resources (hide)'!AV$6:AV$105)&gt;0,$E$1=2),0,1)</f>
        <v>1</v>
      </c>
      <c r="AJ33" s="68">
        <f ca="1">IF(AND(SUMIF(Capacity_Resource,$D33,'Critical resources (hide)'!AW$6:AW$105)+SUMIF(Capacity_Resource,$E33,'Critical resources (hide)'!AW$6:AW$105)+SUMIF(Capacity_Resource,$F33,'Critical resources (hide)'!AW$6:AW$105)&gt;0,$E$1=2),0,1)</f>
        <v>1</v>
      </c>
      <c r="AK33" s="68">
        <f ca="1">IF(AND(SUMIF(Capacity_Resource,$D33,'Critical resources (hide)'!AX$6:AX$105)+SUMIF(Capacity_Resource,$E33,'Critical resources (hide)'!AX$6:AX$105)+SUMIF(Capacity_Resource,$F33,'Critical resources (hide)'!AX$6:AX$105)&gt;0,$E$1=2),0,1)</f>
        <v>1</v>
      </c>
      <c r="AL33" s="68">
        <f ca="1">IF(AND(SUMIF(Capacity_Resource,$D33,'Critical resources (hide)'!AY$6:AY$105)+SUMIF(Capacity_Resource,$E33,'Critical resources (hide)'!AY$6:AY$105)+SUMIF(Capacity_Resource,$F33,'Critical resources (hide)'!AY$6:AY$105)&gt;0,$E$1=2),0,1)</f>
        <v>1</v>
      </c>
      <c r="AM33" s="68">
        <f ca="1">IF(AND(SUMIF(Capacity_Resource,$D33,'Critical resources (hide)'!AZ$6:AZ$105)+SUMIF(Capacity_Resource,$E33,'Critical resources (hide)'!AZ$6:AZ$105)+SUMIF(Capacity_Resource,$F33,'Critical resources (hide)'!AZ$6:AZ$105)&gt;0,$E$1=2),0,1)</f>
        <v>1</v>
      </c>
      <c r="AN33" s="68">
        <f ca="1">IF(AND(SUMIF(Capacity_Resource,$D33,'Critical resources (hide)'!BA$6:BA$105)+SUMIF(Capacity_Resource,$E33,'Critical resources (hide)'!BA$6:BA$105)+SUMIF(Capacity_Resource,$F33,'Critical resources (hide)'!BA$6:BA$105)&gt;0,$E$1=2),0,1)</f>
        <v>1</v>
      </c>
      <c r="AO33" s="68">
        <f ca="1">IF(AND(SUMIF(Capacity_Resource,$D33,'Critical resources (hide)'!BB$6:BB$105)+SUMIF(Capacity_Resource,$E33,'Critical resources (hide)'!BB$6:BB$105)+SUMIF(Capacity_Resource,$F33,'Critical resources (hide)'!BB$6:BB$105)&gt;0,$E$1=2),0,1)</f>
        <v>1</v>
      </c>
      <c r="AP33" s="68">
        <f ca="1">IF(AND(SUMIF(Capacity_Resource,$D33,'Critical resources (hide)'!BC$6:BC$105)+SUMIF(Capacity_Resource,$E33,'Critical resources (hide)'!BC$6:BC$105)+SUMIF(Capacity_Resource,$F33,'Critical resources (hide)'!BC$6:BC$105)&gt;0,$E$1=2),0,1)</f>
        <v>1</v>
      </c>
      <c r="AQ33" s="68">
        <f ca="1">IF(AND(SUMIF(Capacity_Resource,$D33,'Critical resources (hide)'!BD$6:BD$105)+SUMIF(Capacity_Resource,$E33,'Critical resources (hide)'!BD$6:BD$105)+SUMIF(Capacity_Resource,$F33,'Critical resources (hide)'!BD$6:BD$105)&gt;0,$E$1=2),0,1)</f>
        <v>1</v>
      </c>
      <c r="AR33" s="68">
        <f ca="1">IF(AND(SUMIF(Capacity_Resource,$D33,'Critical resources (hide)'!BE$6:BE$105)+SUMIF(Capacity_Resource,$E33,'Critical resources (hide)'!BE$6:BE$105)+SUMIF(Capacity_Resource,$F33,'Critical resources (hide)'!BE$6:BE$105)&gt;0,$E$1=2),0,1)</f>
        <v>1</v>
      </c>
      <c r="AS33" s="68">
        <f ca="1">IF(AND(SUMIF(Capacity_Resource,$D33,'Critical resources (hide)'!BF$6:BF$105)+SUMIF(Capacity_Resource,$E33,'Critical resources (hide)'!BF$6:BF$105)+SUMIF(Capacity_Resource,$F33,'Critical resources (hide)'!BF$6:BF$105)&gt;0,$E$1=2),0,1)</f>
        <v>1</v>
      </c>
      <c r="AT33" s="68">
        <f ca="1">IF(AND(SUMIF(Capacity_Resource,$D33,'Critical resources (hide)'!BG$6:BG$105)+SUMIF(Capacity_Resource,$E33,'Critical resources (hide)'!BG$6:BG$105)+SUMIF(Capacity_Resource,$F33,'Critical resources (hide)'!BG$6:BG$105)&gt;0,$E$1=2),0,1)</f>
        <v>1</v>
      </c>
      <c r="AU33" s="68">
        <f ca="1">IF(AND(SUMIF(Capacity_Resource,$D33,'Critical resources (hide)'!BH$6:BH$105)+SUMIF(Capacity_Resource,$E33,'Critical resources (hide)'!BH$6:BH$105)+SUMIF(Capacity_Resource,$F33,'Critical resources (hide)'!BH$6:BH$105)&gt;0,$E$1=2),0,1)</f>
        <v>1</v>
      </c>
      <c r="AV33" s="68">
        <f ca="1">IF(AND(SUMIF(Capacity_Resource,$D33,'Critical resources (hide)'!BI$6:BI$105)+SUMIF(Capacity_Resource,$E33,'Critical resources (hide)'!BI$6:BI$105)+SUMIF(Capacity_Resource,$F33,'Critical resources (hide)'!BI$6:BI$105)&gt;0,$E$1=2),0,1)</f>
        <v>1</v>
      </c>
      <c r="AW33" s="68">
        <f ca="1">IF(AND(SUMIF(Capacity_Resource,$D33,'Critical resources (hide)'!BJ$6:BJ$105)+SUMIF(Capacity_Resource,$E33,'Critical resources (hide)'!BJ$6:BJ$105)+SUMIF(Capacity_Resource,$F33,'Critical resources (hide)'!BJ$6:BJ$105)&gt;0,$E$1=2),0,1)</f>
        <v>1</v>
      </c>
      <c r="AX33" s="68">
        <f ca="1">IF(AND(SUMIF(Capacity_Resource,$D33,'Critical resources (hide)'!BK$6:BK$105)+SUMIF(Capacity_Resource,$E33,'Critical resources (hide)'!BK$6:BK$105)+SUMIF(Capacity_Resource,$F33,'Critical resources (hide)'!BK$6:BK$105)&gt;0,$E$1=2),0,1)</f>
        <v>1</v>
      </c>
      <c r="AY33" s="68">
        <f ca="1">IF(AND(SUMIF(Capacity_Resource,$D33,'Critical resources (hide)'!BL$6:BL$105)+SUMIF(Capacity_Resource,$E33,'Critical resources (hide)'!BL$6:BL$105)+SUMIF(Capacity_Resource,$F33,'Critical resources (hide)'!BL$6:BL$105)&gt;0,$E$1=2),0,1)</f>
        <v>1</v>
      </c>
      <c r="AZ33" s="68">
        <f ca="1">IF(AND(SUMIF(Capacity_Resource,$D33,'Critical resources (hide)'!BM$6:BM$105)+SUMIF(Capacity_Resource,$E33,'Critical resources (hide)'!BM$6:BM$105)+SUMIF(Capacity_Resource,$F33,'Critical resources (hide)'!BM$6:BM$105)&gt;0,$E$1=2),0,1)</f>
        <v>1</v>
      </c>
      <c r="BA33" s="68">
        <f ca="1">IF(AND(SUMIF(Capacity_Resource,$D33,'Critical resources (hide)'!BN$6:BN$105)+SUMIF(Capacity_Resource,$E33,'Critical resources (hide)'!BN$6:BN$105)+SUMIF(Capacity_Resource,$F33,'Critical resources (hide)'!BN$6:BN$105)&gt;0,$E$1=2),0,1)</f>
        <v>1</v>
      </c>
      <c r="BB33" s="68">
        <f ca="1">IF(AND(SUMIF(Capacity_Resource,$D33,'Critical resources (hide)'!BO$6:BO$105)+SUMIF(Capacity_Resource,$E33,'Critical resources (hide)'!BO$6:BO$105)+SUMIF(Capacity_Resource,$F33,'Critical resources (hide)'!BO$6:BO$105)&gt;0,$E$1=2),0,1)</f>
        <v>1</v>
      </c>
      <c r="BC33" s="68">
        <f ca="1">IF(AND(SUMIF(Capacity_Resource,$D33,'Critical resources (hide)'!BP$6:BP$105)+SUMIF(Capacity_Resource,$E33,'Critical resources (hide)'!BP$6:BP$105)+SUMIF(Capacity_Resource,$F33,'Critical resources (hide)'!BP$6:BP$105)&gt;0,$E$1=2),0,1)</f>
        <v>1</v>
      </c>
      <c r="BD33" s="68">
        <f ca="1">IF(AND(SUMIF(Capacity_Resource,$D33,'Critical resources (hide)'!BQ$6:BQ$105)+SUMIF(Capacity_Resource,$E33,'Critical resources (hide)'!BQ$6:BQ$105)+SUMIF(Capacity_Resource,$F33,'Critical resources (hide)'!BQ$6:BQ$105)&gt;0,$E$1=2),0,1)</f>
        <v>1</v>
      </c>
      <c r="BE33" s="68">
        <f ca="1">IF(AND(SUMIF(Capacity_Resource,$D33,'Critical resources (hide)'!BR$6:BR$105)+SUMIF(Capacity_Resource,$E33,'Critical resources (hide)'!BR$6:BR$105)+SUMIF(Capacity_Resource,$F33,'Critical resources (hide)'!BR$6:BR$105)&gt;0,$E$1=2),0,1)</f>
        <v>1</v>
      </c>
      <c r="BF33" s="68">
        <f ca="1">IF(AND(SUMIF(Capacity_Resource,$D33,'Critical resources (hide)'!BS$6:BS$105)+SUMIF(Capacity_Resource,$E33,'Critical resources (hide)'!BS$6:BS$105)+SUMIF(Capacity_Resource,$F33,'Critical resources (hide)'!BS$6:BS$105)&gt;0,$E$1=2),0,1)</f>
        <v>1</v>
      </c>
      <c r="BG33" s="68">
        <f ca="1">IF(AND(SUMIF(Capacity_Resource,$D33,'Critical resources (hide)'!BT$6:BT$105)+SUMIF(Capacity_Resource,$E33,'Critical resources (hide)'!BT$6:BT$105)+SUMIF(Capacity_Resource,$F33,'Critical resources (hide)'!BT$6:BT$105)&gt;0,$E$1=2),0,1)</f>
        <v>1</v>
      </c>
      <c r="BH33" s="68">
        <f>IF(ROW(C29)&lt;=Capacity!$A$16,IF('Capacity summary'!$D$14="No",SUM(H33:BG33),'Capacity summary'!$E152),0)</f>
        <v>0</v>
      </c>
      <c r="BI33" s="5" t="str">
        <f>IF(BH33&gt;0,IF(BH33&lt;Capacity!E45,Capacity!F45,Capacity!H45/'Capacity calculation (hide)'!BH33),"")</f>
        <v/>
      </c>
      <c r="BK33" s="319">
        <f>IF($BI33&lt;&gt;"",IF('Capacity summary'!$D$14="Yes",IF(COUNTBLANK('Capacity summary'!$H152:$BG152)&lt;52,IF('Capacity summary'!H152&lt;&gt;"",$BI33*H33,0),H33*$BI33),H33*$BI33),0)</f>
        <v>0</v>
      </c>
      <c r="BL33" s="319">
        <f>IF($BI33&lt;&gt;"",IF('Capacity summary'!$D$14="Yes",IF(COUNTBLANK('Capacity summary'!$H152:$BG152)&lt;52,IF('Capacity summary'!I152&lt;&gt;"",$BI33*I33,0),I33*$BI33),I33*$BI33),0)</f>
        <v>0</v>
      </c>
      <c r="BM33" s="319">
        <f>IF($BI33&lt;&gt;"",IF('Capacity summary'!$D$14="Yes",IF(COUNTBLANK('Capacity summary'!$H152:$BG152)&lt;52,IF('Capacity summary'!J152&lt;&gt;"",$BI33*J33,0),J33*$BI33),J33*$BI33),0)</f>
        <v>0</v>
      </c>
      <c r="BN33" s="319">
        <f>IF($BI33&lt;&gt;"",IF('Capacity summary'!$D$14="Yes",IF(COUNTBLANK('Capacity summary'!$H152:$BG152)&lt;52,IF('Capacity summary'!K152&lt;&gt;"",$BI33*K33,0),K33*$BI33),K33*$BI33),0)</f>
        <v>0</v>
      </c>
      <c r="BO33" s="319">
        <f>IF($BI33&lt;&gt;"",IF('Capacity summary'!$D$14="Yes",IF(COUNTBLANK('Capacity summary'!$H152:$BG152)&lt;52,IF('Capacity summary'!L152&lt;&gt;"",$BI33*L33,0),L33*$BI33),L33*$BI33),0)</f>
        <v>0</v>
      </c>
      <c r="BP33" s="319">
        <f>IF($BI33&lt;&gt;"",IF('Capacity summary'!$D$14="Yes",IF(COUNTBLANK('Capacity summary'!$H152:$BG152)&lt;52,IF('Capacity summary'!M152&lt;&gt;"",$BI33*M33,0),M33*$BI33),M33*$BI33),0)</f>
        <v>0</v>
      </c>
      <c r="BQ33" s="319">
        <f>IF($BI33&lt;&gt;"",IF('Capacity summary'!$D$14="Yes",IF(COUNTBLANK('Capacity summary'!$H152:$BG152)&lt;52,IF('Capacity summary'!N152&lt;&gt;"",$BI33*N33,0),N33*$BI33),N33*$BI33),0)</f>
        <v>0</v>
      </c>
      <c r="BR33" s="319">
        <f>IF($BI33&lt;&gt;"",IF('Capacity summary'!$D$14="Yes",IF(COUNTBLANK('Capacity summary'!$H152:$BG152)&lt;52,IF('Capacity summary'!O152&lt;&gt;"",$BI33*O33,0),O33*$BI33),O33*$BI33),0)</f>
        <v>0</v>
      </c>
      <c r="BS33" s="319">
        <f>IF($BI33&lt;&gt;"",IF('Capacity summary'!$D$14="Yes",IF(COUNTBLANK('Capacity summary'!$H152:$BG152)&lt;52,IF('Capacity summary'!P152&lt;&gt;"",$BI33*P33,0),P33*$BI33),P33*$BI33),0)</f>
        <v>0</v>
      </c>
      <c r="BT33" s="319">
        <f>IF($BI33&lt;&gt;"",IF('Capacity summary'!$D$14="Yes",IF(COUNTBLANK('Capacity summary'!$H152:$BG152)&lt;52,IF('Capacity summary'!Q152&lt;&gt;"",$BI33*Q33,0),Q33*$BI33),Q33*$BI33),0)</f>
        <v>0</v>
      </c>
      <c r="BU33" s="319">
        <f>IF($BI33&lt;&gt;"",IF('Capacity summary'!$D$14="Yes",IF(COUNTBLANK('Capacity summary'!$H152:$BG152)&lt;52,IF('Capacity summary'!R152&lt;&gt;"",$BI33*R33,0),R33*$BI33),R33*$BI33),0)</f>
        <v>0</v>
      </c>
      <c r="BV33" s="319">
        <f>IF($BI33&lt;&gt;"",IF('Capacity summary'!$D$14="Yes",IF(COUNTBLANK('Capacity summary'!$H152:$BG152)&lt;52,IF('Capacity summary'!S152&lt;&gt;"",$BI33*S33,0),S33*$BI33),S33*$BI33),0)</f>
        <v>0</v>
      </c>
      <c r="BW33" s="319">
        <f>IF($BI33&lt;&gt;"",IF('Capacity summary'!$D$14="Yes",IF(COUNTBLANK('Capacity summary'!$H152:$BG152)&lt;52,IF('Capacity summary'!T152&lt;&gt;"",$BI33*T33,0),T33*$BI33),T33*$BI33),0)</f>
        <v>0</v>
      </c>
      <c r="BX33" s="319">
        <f>IF($BI33&lt;&gt;"",IF('Capacity summary'!$D$14="Yes",IF(COUNTBLANK('Capacity summary'!$H152:$BG152)&lt;52,IF('Capacity summary'!U152&lt;&gt;"",$BI33*U33,0),U33*$BI33),U33*$BI33),0)</f>
        <v>0</v>
      </c>
      <c r="BY33" s="319">
        <f>IF($BI33&lt;&gt;"",IF('Capacity summary'!$D$14="Yes",IF(COUNTBLANK('Capacity summary'!$H152:$BG152)&lt;52,IF('Capacity summary'!V152&lt;&gt;"",$BI33*V33,0),V33*$BI33),V33*$BI33),0)</f>
        <v>0</v>
      </c>
      <c r="BZ33" s="319">
        <f>IF($BI33&lt;&gt;"",IF('Capacity summary'!$D$14="Yes",IF(COUNTBLANK('Capacity summary'!$H152:$BG152)&lt;52,IF('Capacity summary'!W152&lt;&gt;"",$BI33*W33,0),W33*$BI33),W33*$BI33),0)</f>
        <v>0</v>
      </c>
      <c r="CA33" s="319">
        <f>IF($BI33&lt;&gt;"",IF('Capacity summary'!$D$14="Yes",IF(COUNTBLANK('Capacity summary'!$H152:$BG152)&lt;52,IF('Capacity summary'!X152&lt;&gt;"",$BI33*X33,0),X33*$BI33),X33*$BI33),0)</f>
        <v>0</v>
      </c>
      <c r="CB33" s="319">
        <f>IF($BI33&lt;&gt;"",IF('Capacity summary'!$D$14="Yes",IF(COUNTBLANK('Capacity summary'!$H152:$BG152)&lt;52,IF('Capacity summary'!Y152&lt;&gt;"",$BI33*Y33,0),Y33*$BI33),Y33*$BI33),0)</f>
        <v>0</v>
      </c>
      <c r="CC33" s="319">
        <f>IF($BI33&lt;&gt;"",IF('Capacity summary'!$D$14="Yes",IF(COUNTBLANK('Capacity summary'!$H152:$BG152)&lt;52,IF('Capacity summary'!Z152&lt;&gt;"",$BI33*Z33,0),Z33*$BI33),Z33*$BI33),0)</f>
        <v>0</v>
      </c>
      <c r="CD33" s="319">
        <f>IF($BI33&lt;&gt;"",IF('Capacity summary'!$D$14="Yes",IF(COUNTBLANK('Capacity summary'!$H152:$BG152)&lt;52,IF('Capacity summary'!AA152&lt;&gt;"",$BI33*AA33,0),AA33*$BI33),AA33*$BI33),0)</f>
        <v>0</v>
      </c>
      <c r="CE33" s="319">
        <f>IF($BI33&lt;&gt;"",IF('Capacity summary'!$D$14="Yes",IF(COUNTBLANK('Capacity summary'!$H152:$BG152)&lt;52,IF('Capacity summary'!AB152&lt;&gt;"",$BI33*AB33,0),AB33*$BI33),AB33*$BI33),0)</f>
        <v>0</v>
      </c>
      <c r="CF33" s="319">
        <f>IF($BI33&lt;&gt;"",IF('Capacity summary'!$D$14="Yes",IF(COUNTBLANK('Capacity summary'!$H152:$BG152)&lt;52,IF('Capacity summary'!AC152&lt;&gt;"",$BI33*AC33,0),AC33*$BI33),AC33*$BI33),0)</f>
        <v>0</v>
      </c>
      <c r="CG33" s="319">
        <f>IF($BI33&lt;&gt;"",IF('Capacity summary'!$D$14="Yes",IF(COUNTBLANK('Capacity summary'!$H152:$BG152)&lt;52,IF('Capacity summary'!AD152&lt;&gt;"",$BI33*AD33,0),AD33*$BI33),AD33*$BI33),0)</f>
        <v>0</v>
      </c>
      <c r="CH33" s="319">
        <f>IF($BI33&lt;&gt;"",IF('Capacity summary'!$D$14="Yes",IF(COUNTBLANK('Capacity summary'!$H152:$BG152)&lt;52,IF('Capacity summary'!AE152&lt;&gt;"",$BI33*AE33,0),AE33*$BI33),AE33*$BI33),0)</f>
        <v>0</v>
      </c>
      <c r="CI33" s="319">
        <f>IF($BI33&lt;&gt;"",IF('Capacity summary'!$D$14="Yes",IF(COUNTBLANK('Capacity summary'!$H152:$BG152)&lt;52,IF('Capacity summary'!AF152&lt;&gt;"",$BI33*AF33,0),AF33*$BI33),AF33*$BI33),0)</f>
        <v>0</v>
      </c>
      <c r="CJ33" s="319">
        <f>IF($BI33&lt;&gt;"",IF('Capacity summary'!$D$14="Yes",IF(COUNTBLANK('Capacity summary'!$H152:$BG152)&lt;52,IF('Capacity summary'!AG152&lt;&gt;"",$BI33*AG33,0),AG33*$BI33),AG33*$BI33),0)</f>
        <v>0</v>
      </c>
      <c r="CK33" s="319">
        <f>IF($BI33&lt;&gt;"",IF('Capacity summary'!$D$14="Yes",IF(COUNTBLANK('Capacity summary'!$H152:$BG152)&lt;52,IF('Capacity summary'!AH152&lt;&gt;"",$BI33*AH33,0),AH33*$BI33),AH33*$BI33),0)</f>
        <v>0</v>
      </c>
      <c r="CL33" s="319">
        <f>IF($BI33&lt;&gt;"",IF('Capacity summary'!$D$14="Yes",IF(COUNTBLANK('Capacity summary'!$H152:$BG152)&lt;52,IF('Capacity summary'!AI152&lt;&gt;"",$BI33*AI33,0),AI33*$BI33),AI33*$BI33),0)</f>
        <v>0</v>
      </c>
      <c r="CM33" s="319">
        <f>IF($BI33&lt;&gt;"",IF('Capacity summary'!$D$14="Yes",IF(COUNTBLANK('Capacity summary'!$H152:$BG152)&lt;52,IF('Capacity summary'!AJ152&lt;&gt;"",$BI33*AJ33,0),AJ33*$BI33),AJ33*$BI33),0)</f>
        <v>0</v>
      </c>
      <c r="CN33" s="319">
        <f>IF($BI33&lt;&gt;"",IF('Capacity summary'!$D$14="Yes",IF(COUNTBLANK('Capacity summary'!$H152:$BG152)&lt;52,IF('Capacity summary'!AK152&lt;&gt;"",$BI33*AK33,0),AK33*$BI33),AK33*$BI33),0)</f>
        <v>0</v>
      </c>
      <c r="CO33" s="319">
        <f>IF($BI33&lt;&gt;"",IF('Capacity summary'!$D$14="Yes",IF(COUNTBLANK('Capacity summary'!$H152:$BG152)&lt;52,IF('Capacity summary'!AL152&lt;&gt;"",$BI33*AL33,0),AL33*$BI33),AL33*$BI33),0)</f>
        <v>0</v>
      </c>
      <c r="CP33" s="319">
        <f>IF($BI33&lt;&gt;"",IF('Capacity summary'!$D$14="Yes",IF(COUNTBLANK('Capacity summary'!$H152:$BG152)&lt;52,IF('Capacity summary'!AM152&lt;&gt;"",$BI33*AM33,0),AM33*$BI33),AM33*$BI33),0)</f>
        <v>0</v>
      </c>
      <c r="CQ33" s="319">
        <f>IF($BI33&lt;&gt;"",IF('Capacity summary'!$D$14="Yes",IF(COUNTBLANK('Capacity summary'!$H152:$BG152)&lt;52,IF('Capacity summary'!AN152&lt;&gt;"",$BI33*AN33,0),AN33*$BI33),AN33*$BI33),0)</f>
        <v>0</v>
      </c>
      <c r="CR33" s="319">
        <f>IF($BI33&lt;&gt;"",IF('Capacity summary'!$D$14="Yes",IF(COUNTBLANK('Capacity summary'!$H152:$BG152)&lt;52,IF('Capacity summary'!AO152&lt;&gt;"",$BI33*AO33,0),AO33*$BI33),AO33*$BI33),0)</f>
        <v>0</v>
      </c>
      <c r="CS33" s="319">
        <f>IF($BI33&lt;&gt;"",IF('Capacity summary'!$D$14="Yes",IF(COUNTBLANK('Capacity summary'!$H152:$BG152)&lt;52,IF('Capacity summary'!AP152&lt;&gt;"",$BI33*AP33,0),AP33*$BI33),AP33*$BI33),0)</f>
        <v>0</v>
      </c>
      <c r="CT33" s="319">
        <f>IF($BI33&lt;&gt;"",IF('Capacity summary'!$D$14="Yes",IF(COUNTBLANK('Capacity summary'!$H152:$BG152)&lt;52,IF('Capacity summary'!AQ152&lt;&gt;"",$BI33*AQ33,0),AQ33*$BI33),AQ33*$BI33),0)</f>
        <v>0</v>
      </c>
      <c r="CU33" s="319">
        <f>IF($BI33&lt;&gt;"",IF('Capacity summary'!$D$14="Yes",IF(COUNTBLANK('Capacity summary'!$H152:$BG152)&lt;52,IF('Capacity summary'!AR152&lt;&gt;"",$BI33*AR33,0),AR33*$BI33),AR33*$BI33),0)</f>
        <v>0</v>
      </c>
      <c r="CV33" s="319">
        <f>IF($BI33&lt;&gt;"",IF('Capacity summary'!$D$14="Yes",IF(COUNTBLANK('Capacity summary'!$H152:$BG152)&lt;52,IF('Capacity summary'!AS152&lt;&gt;"",$BI33*AS33,0),AS33*$BI33),AS33*$BI33),0)</f>
        <v>0</v>
      </c>
      <c r="CW33" s="319">
        <f>IF($BI33&lt;&gt;"",IF('Capacity summary'!$D$14="Yes",IF(COUNTBLANK('Capacity summary'!$H152:$BG152)&lt;52,IF('Capacity summary'!AT152&lt;&gt;"",$BI33*AT33,0),AT33*$BI33),AT33*$BI33),0)</f>
        <v>0</v>
      </c>
      <c r="CX33" s="319">
        <f>IF($BI33&lt;&gt;"",IF('Capacity summary'!$D$14="Yes",IF(COUNTBLANK('Capacity summary'!$H152:$BG152)&lt;52,IF('Capacity summary'!AU152&lt;&gt;"",$BI33*AU33,0),AU33*$BI33),AU33*$BI33),0)</f>
        <v>0</v>
      </c>
      <c r="CY33" s="319">
        <f>IF($BI33&lt;&gt;"",IF('Capacity summary'!$D$14="Yes",IF(COUNTBLANK('Capacity summary'!$H152:$BG152)&lt;52,IF('Capacity summary'!AV152&lt;&gt;"",$BI33*AV33,0),AV33*$BI33),AV33*$BI33),0)</f>
        <v>0</v>
      </c>
      <c r="CZ33" s="319">
        <f>IF($BI33&lt;&gt;"",IF('Capacity summary'!$D$14="Yes",IF(COUNTBLANK('Capacity summary'!$H152:$BG152)&lt;52,IF('Capacity summary'!AW152&lt;&gt;"",$BI33*AW33,0),AW33*$BI33),AW33*$BI33),0)</f>
        <v>0</v>
      </c>
      <c r="DA33" s="319">
        <f>IF($BI33&lt;&gt;"",IF('Capacity summary'!$D$14="Yes",IF(COUNTBLANK('Capacity summary'!$H152:$BG152)&lt;52,IF('Capacity summary'!AX152&lt;&gt;"",$BI33*AX33,0),AX33*$BI33),AX33*$BI33),0)</f>
        <v>0</v>
      </c>
      <c r="DB33" s="319">
        <f>IF($BI33&lt;&gt;"",IF('Capacity summary'!$D$14="Yes",IF(COUNTBLANK('Capacity summary'!$H152:$BG152)&lt;52,IF('Capacity summary'!AY152&lt;&gt;"",$BI33*AY33,0),AY33*$BI33),AY33*$BI33),0)</f>
        <v>0</v>
      </c>
      <c r="DC33" s="319">
        <f>IF($BI33&lt;&gt;"",IF('Capacity summary'!$D$14="Yes",IF(COUNTBLANK('Capacity summary'!$H152:$BG152)&lt;52,IF('Capacity summary'!AZ152&lt;&gt;"",$BI33*AZ33,0),AZ33*$BI33),AZ33*$BI33),0)</f>
        <v>0</v>
      </c>
      <c r="DD33" s="319">
        <f>IF($BI33&lt;&gt;"",IF('Capacity summary'!$D$14="Yes",IF(COUNTBLANK('Capacity summary'!$H152:$BG152)&lt;52,IF('Capacity summary'!BA152&lt;&gt;"",$BI33*BA33,0),BA33*$BI33),BA33*$BI33),0)</f>
        <v>0</v>
      </c>
      <c r="DE33" s="319">
        <f>IF($BI33&lt;&gt;"",IF('Capacity summary'!$D$14="Yes",IF(COUNTBLANK('Capacity summary'!$H152:$BG152)&lt;52,IF('Capacity summary'!BB152&lt;&gt;"",$BI33*BB33,0),BB33*$BI33),BB33*$BI33),0)</f>
        <v>0</v>
      </c>
      <c r="DF33" s="319">
        <f>IF($BI33&lt;&gt;"",IF('Capacity summary'!$D$14="Yes",IF(COUNTBLANK('Capacity summary'!$H152:$BG152)&lt;52,IF('Capacity summary'!BC152&lt;&gt;"",$BI33*BC33,0),BC33*$BI33),BC33*$BI33),0)</f>
        <v>0</v>
      </c>
      <c r="DG33" s="319">
        <f>IF($BI33&lt;&gt;"",IF('Capacity summary'!$D$14="Yes",IF(COUNTBLANK('Capacity summary'!$H152:$BG152)&lt;52,IF('Capacity summary'!BD152&lt;&gt;"",$BI33*BD33,0),BD33*$BI33),BD33*$BI33),0)</f>
        <v>0</v>
      </c>
      <c r="DH33" s="319">
        <f>IF($BI33&lt;&gt;"",IF('Capacity summary'!$D$14="Yes",IF(COUNTBLANK('Capacity summary'!$H152:$BG152)&lt;52,IF('Capacity summary'!BE152&lt;&gt;"",$BI33*BE33,0),BE33*$BI33),BE33*$BI33),0)</f>
        <v>0</v>
      </c>
      <c r="DI33" s="319">
        <f>IF($BI33&lt;&gt;"",IF('Capacity summary'!$D$14="Yes",IF(COUNTBLANK('Capacity summary'!$H152:$BG152)&lt;52,IF('Capacity summary'!BF152&lt;&gt;"",$BI33*BF33,0),BF33*$BI33),BF33*$BI33),0)</f>
        <v>0</v>
      </c>
      <c r="DJ33" s="319">
        <f>IF($BI33&lt;&gt;"",IF('Capacity summary'!$D$14="Yes",IF(COUNTBLANK('Capacity summary'!$H152:$BG152)&lt;52,IF('Capacity summary'!BG152&lt;&gt;"",$BI33*BG33,0),BG33*$BI33),BG33*$BI33),0)</f>
        <v>0</v>
      </c>
      <c r="DK33" s="5">
        <f t="shared" si="2"/>
        <v>0</v>
      </c>
      <c r="DL33" s="5" t="str">
        <f>Capacity!H45</f>
        <v/>
      </c>
      <c r="DP33" s="5"/>
    </row>
    <row r="34" spans="2:120" x14ac:dyDescent="0.2">
      <c r="B34" s="68"/>
      <c r="C34" s="68" t="str">
        <f>ROW(A30)&amp;". "&amp;Capacity!B46</f>
        <v xml:space="preserve">30. </v>
      </c>
      <c r="D34" s="68">
        <f>'Capacity setup'!C41</f>
        <v>0</v>
      </c>
      <c r="E34" s="68">
        <f>'Capacity setup'!D41</f>
        <v>0</v>
      </c>
      <c r="F34" s="68">
        <f>'Capacity setup'!E41</f>
        <v>0</v>
      </c>
      <c r="H34" s="68">
        <f ca="1">IF(AND(SUMIF(Capacity_Resource,$D34,'Critical resources (hide)'!U$6:U$105)+SUMIF(Capacity_Resource,$E34,'Critical resources (hide)'!U$6:U$105)+SUMIF(Capacity_Resource,$F34,'Critical resources (hide)'!U$6:U$105)&gt;0,$E$1=2),0,1)</f>
        <v>1</v>
      </c>
      <c r="I34" s="68">
        <f ca="1">IF(AND(SUMIF(Capacity_Resource,$D34,'Critical resources (hide)'!V$6:V$105)+SUMIF(Capacity_Resource,$E34,'Critical resources (hide)'!V$6:V$105)+SUMIF(Capacity_Resource,$F34,'Critical resources (hide)'!V$6:V$105)&gt;0,$E$1=2),0,1)</f>
        <v>1</v>
      </c>
      <c r="J34" s="68">
        <f ca="1">IF(AND(SUMIF(Capacity_Resource,$D34,'Critical resources (hide)'!W$6:W$105)+SUMIF(Capacity_Resource,$E34,'Critical resources (hide)'!W$6:W$105)+SUMIF(Capacity_Resource,$F34,'Critical resources (hide)'!W$6:W$105)&gt;0,$E$1=2),0,1)</f>
        <v>1</v>
      </c>
      <c r="K34" s="68">
        <f ca="1">IF(AND(SUMIF(Capacity_Resource,$D34,'Critical resources (hide)'!X$6:X$105)+SUMIF(Capacity_Resource,$E34,'Critical resources (hide)'!X$6:X$105)+SUMIF(Capacity_Resource,$F34,'Critical resources (hide)'!X$6:X$105)&gt;0,$E$1=2),0,1)</f>
        <v>1</v>
      </c>
      <c r="L34" s="68">
        <f ca="1">IF(AND(SUMIF(Capacity_Resource,$D34,'Critical resources (hide)'!Y$6:Y$105)+SUMIF(Capacity_Resource,$E34,'Critical resources (hide)'!Y$6:Y$105)+SUMIF(Capacity_Resource,$F34,'Critical resources (hide)'!Y$6:Y$105)&gt;0,$E$1=2),0,1)</f>
        <v>1</v>
      </c>
      <c r="M34" s="68">
        <f ca="1">IF(AND(SUMIF(Capacity_Resource,$D34,'Critical resources (hide)'!Z$6:Z$105)+SUMIF(Capacity_Resource,$E34,'Critical resources (hide)'!Z$6:Z$105)+SUMIF(Capacity_Resource,$F34,'Critical resources (hide)'!Z$6:Z$105)&gt;0,$E$1=2),0,1)</f>
        <v>1</v>
      </c>
      <c r="N34" s="68">
        <f ca="1">IF(AND(SUMIF(Capacity_Resource,$D34,'Critical resources (hide)'!AA$6:AA$105)+SUMIF(Capacity_Resource,$E34,'Critical resources (hide)'!AA$6:AA$105)+SUMIF(Capacity_Resource,$F34,'Critical resources (hide)'!AA$6:AA$105)&gt;0,$E$1=2),0,1)</f>
        <v>1</v>
      </c>
      <c r="O34" s="68">
        <f ca="1">IF(AND(SUMIF(Capacity_Resource,$D34,'Critical resources (hide)'!AB$6:AB$105)+SUMIF(Capacity_Resource,$E34,'Critical resources (hide)'!AB$6:AB$105)+SUMIF(Capacity_Resource,$F34,'Critical resources (hide)'!AB$6:AB$105)&gt;0,$E$1=2),0,1)</f>
        <v>1</v>
      </c>
      <c r="P34" s="68">
        <f ca="1">IF(AND(SUMIF(Capacity_Resource,$D34,'Critical resources (hide)'!AC$6:AC$105)+SUMIF(Capacity_Resource,$E34,'Critical resources (hide)'!AC$6:AC$105)+SUMIF(Capacity_Resource,$F34,'Critical resources (hide)'!AC$6:AC$105)&gt;0,$E$1=2),0,1)</f>
        <v>1</v>
      </c>
      <c r="Q34" s="68">
        <f ca="1">IF(AND(SUMIF(Capacity_Resource,$D34,'Critical resources (hide)'!AD$6:AD$105)+SUMIF(Capacity_Resource,$E34,'Critical resources (hide)'!AD$6:AD$105)+SUMIF(Capacity_Resource,$F34,'Critical resources (hide)'!AD$6:AD$105)&gt;0,$E$1=2),0,1)</f>
        <v>1</v>
      </c>
      <c r="R34" s="68">
        <f ca="1">IF(AND(SUMIF(Capacity_Resource,$D34,'Critical resources (hide)'!AE$6:AE$105)+SUMIF(Capacity_Resource,$E34,'Critical resources (hide)'!AE$6:AE$105)+SUMIF(Capacity_Resource,$F34,'Critical resources (hide)'!AE$6:AE$105)&gt;0,$E$1=2),0,1)</f>
        <v>1</v>
      </c>
      <c r="S34" s="68">
        <f ca="1">IF(AND(SUMIF(Capacity_Resource,$D34,'Critical resources (hide)'!AF$6:AF$105)+SUMIF(Capacity_Resource,$E34,'Critical resources (hide)'!AF$6:AF$105)+SUMIF(Capacity_Resource,$F34,'Critical resources (hide)'!AF$6:AF$105)&gt;0,$E$1=2),0,1)</f>
        <v>1</v>
      </c>
      <c r="T34" s="68">
        <f ca="1">IF(AND(SUMIF(Capacity_Resource,$D34,'Critical resources (hide)'!AG$6:AG$105)+SUMIF(Capacity_Resource,$E34,'Critical resources (hide)'!AG$6:AG$105)+SUMIF(Capacity_Resource,$F34,'Critical resources (hide)'!AG$6:AG$105)&gt;0,$E$1=2),0,1)</f>
        <v>1</v>
      </c>
      <c r="U34" s="68">
        <f ca="1">IF(AND(SUMIF(Capacity_Resource,$D34,'Critical resources (hide)'!AH$6:AH$105)+SUMIF(Capacity_Resource,$E34,'Critical resources (hide)'!AH$6:AH$105)+SUMIF(Capacity_Resource,$F34,'Critical resources (hide)'!AH$6:AH$105)&gt;0,$E$1=2),0,1)</f>
        <v>1</v>
      </c>
      <c r="V34" s="68">
        <f ca="1">IF(AND(SUMIF(Capacity_Resource,$D34,'Critical resources (hide)'!AI$6:AI$105)+SUMIF(Capacity_Resource,$E34,'Critical resources (hide)'!AI$6:AI$105)+SUMIF(Capacity_Resource,$F34,'Critical resources (hide)'!AI$6:AI$105)&gt;0,$E$1=2),0,1)</f>
        <v>1</v>
      </c>
      <c r="W34" s="68">
        <f ca="1">IF(AND(SUMIF(Capacity_Resource,$D34,'Critical resources (hide)'!AJ$6:AJ$105)+SUMIF(Capacity_Resource,$E34,'Critical resources (hide)'!AJ$6:AJ$105)+SUMIF(Capacity_Resource,$F34,'Critical resources (hide)'!AJ$6:AJ$105)&gt;0,$E$1=2),0,1)</f>
        <v>1</v>
      </c>
      <c r="X34" s="68">
        <f ca="1">IF(AND(SUMIF(Capacity_Resource,$D34,'Critical resources (hide)'!AK$6:AK$105)+SUMIF(Capacity_Resource,$E34,'Critical resources (hide)'!AK$6:AK$105)+SUMIF(Capacity_Resource,$F34,'Critical resources (hide)'!AK$6:AK$105)&gt;0,$E$1=2),0,1)</f>
        <v>1</v>
      </c>
      <c r="Y34" s="68">
        <f ca="1">IF(AND(SUMIF(Capacity_Resource,$D34,'Critical resources (hide)'!AL$6:AL$105)+SUMIF(Capacity_Resource,$E34,'Critical resources (hide)'!AL$6:AL$105)+SUMIF(Capacity_Resource,$F34,'Critical resources (hide)'!AL$6:AL$105)&gt;0,$E$1=2),0,1)</f>
        <v>1</v>
      </c>
      <c r="Z34" s="68">
        <f ca="1">IF(AND(SUMIF(Capacity_Resource,$D34,'Critical resources (hide)'!AM$6:AM$105)+SUMIF(Capacity_Resource,$E34,'Critical resources (hide)'!AM$6:AM$105)+SUMIF(Capacity_Resource,$F34,'Critical resources (hide)'!AM$6:AM$105)&gt;0,$E$1=2),0,1)</f>
        <v>1</v>
      </c>
      <c r="AA34" s="68">
        <f ca="1">IF(AND(SUMIF(Capacity_Resource,$D34,'Critical resources (hide)'!AN$6:AN$105)+SUMIF(Capacity_Resource,$E34,'Critical resources (hide)'!AN$6:AN$105)+SUMIF(Capacity_Resource,$F34,'Critical resources (hide)'!AN$6:AN$105)&gt;0,$E$1=2),0,1)</f>
        <v>1</v>
      </c>
      <c r="AB34" s="68">
        <f ca="1">IF(AND(SUMIF(Capacity_Resource,$D34,'Critical resources (hide)'!AO$6:AO$105)+SUMIF(Capacity_Resource,$E34,'Critical resources (hide)'!AO$6:AO$105)+SUMIF(Capacity_Resource,$F34,'Critical resources (hide)'!AO$6:AO$105)&gt;0,$E$1=2),0,1)</f>
        <v>1</v>
      </c>
      <c r="AC34" s="68">
        <f ca="1">IF(AND(SUMIF(Capacity_Resource,$D34,'Critical resources (hide)'!AP$6:AP$105)+SUMIF(Capacity_Resource,$E34,'Critical resources (hide)'!AP$6:AP$105)+SUMIF(Capacity_Resource,$F34,'Critical resources (hide)'!AP$6:AP$105)&gt;0,$E$1=2),0,1)</f>
        <v>1</v>
      </c>
      <c r="AD34" s="68">
        <f ca="1">IF(AND(SUMIF(Capacity_Resource,$D34,'Critical resources (hide)'!AQ$6:AQ$105)+SUMIF(Capacity_Resource,$E34,'Critical resources (hide)'!AQ$6:AQ$105)+SUMIF(Capacity_Resource,$F34,'Critical resources (hide)'!AQ$6:AQ$105)&gt;0,$E$1=2),0,1)</f>
        <v>1</v>
      </c>
      <c r="AE34" s="68">
        <f ca="1">IF(AND(SUMIF(Capacity_Resource,$D34,'Critical resources (hide)'!AR$6:AR$105)+SUMIF(Capacity_Resource,$E34,'Critical resources (hide)'!AR$6:AR$105)+SUMIF(Capacity_Resource,$F34,'Critical resources (hide)'!AR$6:AR$105)&gt;0,$E$1=2),0,1)</f>
        <v>1</v>
      </c>
      <c r="AF34" s="68">
        <f ca="1">IF(AND(SUMIF(Capacity_Resource,$D34,'Critical resources (hide)'!AS$6:AS$105)+SUMIF(Capacity_Resource,$E34,'Critical resources (hide)'!AS$6:AS$105)+SUMIF(Capacity_Resource,$F34,'Critical resources (hide)'!AS$6:AS$105)&gt;0,$E$1=2),0,1)</f>
        <v>1</v>
      </c>
      <c r="AG34" s="68">
        <f ca="1">IF(AND(SUMIF(Capacity_Resource,$D34,'Critical resources (hide)'!AT$6:AT$105)+SUMIF(Capacity_Resource,$E34,'Critical resources (hide)'!AT$6:AT$105)+SUMIF(Capacity_Resource,$F34,'Critical resources (hide)'!AT$6:AT$105)&gt;0,$E$1=2),0,1)</f>
        <v>1</v>
      </c>
      <c r="AH34" s="68">
        <f ca="1">IF(AND(SUMIF(Capacity_Resource,$D34,'Critical resources (hide)'!AU$6:AU$105)+SUMIF(Capacity_Resource,$E34,'Critical resources (hide)'!AU$6:AU$105)+SUMIF(Capacity_Resource,$F34,'Critical resources (hide)'!AU$6:AU$105)&gt;0,$E$1=2),0,1)</f>
        <v>1</v>
      </c>
      <c r="AI34" s="68">
        <f ca="1">IF(AND(SUMIF(Capacity_Resource,$D34,'Critical resources (hide)'!AV$6:AV$105)+SUMIF(Capacity_Resource,$E34,'Critical resources (hide)'!AV$6:AV$105)+SUMIF(Capacity_Resource,$F34,'Critical resources (hide)'!AV$6:AV$105)&gt;0,$E$1=2),0,1)</f>
        <v>1</v>
      </c>
      <c r="AJ34" s="68">
        <f ca="1">IF(AND(SUMIF(Capacity_Resource,$D34,'Critical resources (hide)'!AW$6:AW$105)+SUMIF(Capacity_Resource,$E34,'Critical resources (hide)'!AW$6:AW$105)+SUMIF(Capacity_Resource,$F34,'Critical resources (hide)'!AW$6:AW$105)&gt;0,$E$1=2),0,1)</f>
        <v>1</v>
      </c>
      <c r="AK34" s="68">
        <f ca="1">IF(AND(SUMIF(Capacity_Resource,$D34,'Critical resources (hide)'!AX$6:AX$105)+SUMIF(Capacity_Resource,$E34,'Critical resources (hide)'!AX$6:AX$105)+SUMIF(Capacity_Resource,$F34,'Critical resources (hide)'!AX$6:AX$105)&gt;0,$E$1=2),0,1)</f>
        <v>1</v>
      </c>
      <c r="AL34" s="68">
        <f ca="1">IF(AND(SUMIF(Capacity_Resource,$D34,'Critical resources (hide)'!AY$6:AY$105)+SUMIF(Capacity_Resource,$E34,'Critical resources (hide)'!AY$6:AY$105)+SUMIF(Capacity_Resource,$F34,'Critical resources (hide)'!AY$6:AY$105)&gt;0,$E$1=2),0,1)</f>
        <v>1</v>
      </c>
      <c r="AM34" s="68">
        <f ca="1">IF(AND(SUMIF(Capacity_Resource,$D34,'Critical resources (hide)'!AZ$6:AZ$105)+SUMIF(Capacity_Resource,$E34,'Critical resources (hide)'!AZ$6:AZ$105)+SUMIF(Capacity_Resource,$F34,'Critical resources (hide)'!AZ$6:AZ$105)&gt;0,$E$1=2),0,1)</f>
        <v>1</v>
      </c>
      <c r="AN34" s="68">
        <f ca="1">IF(AND(SUMIF(Capacity_Resource,$D34,'Critical resources (hide)'!BA$6:BA$105)+SUMIF(Capacity_Resource,$E34,'Critical resources (hide)'!BA$6:BA$105)+SUMIF(Capacity_Resource,$F34,'Critical resources (hide)'!BA$6:BA$105)&gt;0,$E$1=2),0,1)</f>
        <v>1</v>
      </c>
      <c r="AO34" s="68">
        <f ca="1">IF(AND(SUMIF(Capacity_Resource,$D34,'Critical resources (hide)'!BB$6:BB$105)+SUMIF(Capacity_Resource,$E34,'Critical resources (hide)'!BB$6:BB$105)+SUMIF(Capacity_Resource,$F34,'Critical resources (hide)'!BB$6:BB$105)&gt;0,$E$1=2),0,1)</f>
        <v>1</v>
      </c>
      <c r="AP34" s="68">
        <f ca="1">IF(AND(SUMIF(Capacity_Resource,$D34,'Critical resources (hide)'!BC$6:BC$105)+SUMIF(Capacity_Resource,$E34,'Critical resources (hide)'!BC$6:BC$105)+SUMIF(Capacity_Resource,$F34,'Critical resources (hide)'!BC$6:BC$105)&gt;0,$E$1=2),0,1)</f>
        <v>1</v>
      </c>
      <c r="AQ34" s="68">
        <f ca="1">IF(AND(SUMIF(Capacity_Resource,$D34,'Critical resources (hide)'!BD$6:BD$105)+SUMIF(Capacity_Resource,$E34,'Critical resources (hide)'!BD$6:BD$105)+SUMIF(Capacity_Resource,$F34,'Critical resources (hide)'!BD$6:BD$105)&gt;0,$E$1=2),0,1)</f>
        <v>1</v>
      </c>
      <c r="AR34" s="68">
        <f ca="1">IF(AND(SUMIF(Capacity_Resource,$D34,'Critical resources (hide)'!BE$6:BE$105)+SUMIF(Capacity_Resource,$E34,'Critical resources (hide)'!BE$6:BE$105)+SUMIF(Capacity_Resource,$F34,'Critical resources (hide)'!BE$6:BE$105)&gt;0,$E$1=2),0,1)</f>
        <v>1</v>
      </c>
      <c r="AS34" s="68">
        <f ca="1">IF(AND(SUMIF(Capacity_Resource,$D34,'Critical resources (hide)'!BF$6:BF$105)+SUMIF(Capacity_Resource,$E34,'Critical resources (hide)'!BF$6:BF$105)+SUMIF(Capacity_Resource,$F34,'Critical resources (hide)'!BF$6:BF$105)&gt;0,$E$1=2),0,1)</f>
        <v>1</v>
      </c>
      <c r="AT34" s="68">
        <f ca="1">IF(AND(SUMIF(Capacity_Resource,$D34,'Critical resources (hide)'!BG$6:BG$105)+SUMIF(Capacity_Resource,$E34,'Critical resources (hide)'!BG$6:BG$105)+SUMIF(Capacity_Resource,$F34,'Critical resources (hide)'!BG$6:BG$105)&gt;0,$E$1=2),0,1)</f>
        <v>1</v>
      </c>
      <c r="AU34" s="68">
        <f ca="1">IF(AND(SUMIF(Capacity_Resource,$D34,'Critical resources (hide)'!BH$6:BH$105)+SUMIF(Capacity_Resource,$E34,'Critical resources (hide)'!BH$6:BH$105)+SUMIF(Capacity_Resource,$F34,'Critical resources (hide)'!BH$6:BH$105)&gt;0,$E$1=2),0,1)</f>
        <v>1</v>
      </c>
      <c r="AV34" s="68">
        <f ca="1">IF(AND(SUMIF(Capacity_Resource,$D34,'Critical resources (hide)'!BI$6:BI$105)+SUMIF(Capacity_Resource,$E34,'Critical resources (hide)'!BI$6:BI$105)+SUMIF(Capacity_Resource,$F34,'Critical resources (hide)'!BI$6:BI$105)&gt;0,$E$1=2),0,1)</f>
        <v>1</v>
      </c>
      <c r="AW34" s="68">
        <f ca="1">IF(AND(SUMIF(Capacity_Resource,$D34,'Critical resources (hide)'!BJ$6:BJ$105)+SUMIF(Capacity_Resource,$E34,'Critical resources (hide)'!BJ$6:BJ$105)+SUMIF(Capacity_Resource,$F34,'Critical resources (hide)'!BJ$6:BJ$105)&gt;0,$E$1=2),0,1)</f>
        <v>1</v>
      </c>
      <c r="AX34" s="68">
        <f ca="1">IF(AND(SUMIF(Capacity_Resource,$D34,'Critical resources (hide)'!BK$6:BK$105)+SUMIF(Capacity_Resource,$E34,'Critical resources (hide)'!BK$6:BK$105)+SUMIF(Capacity_Resource,$F34,'Critical resources (hide)'!BK$6:BK$105)&gt;0,$E$1=2),0,1)</f>
        <v>1</v>
      </c>
      <c r="AY34" s="68">
        <f ca="1">IF(AND(SUMIF(Capacity_Resource,$D34,'Critical resources (hide)'!BL$6:BL$105)+SUMIF(Capacity_Resource,$E34,'Critical resources (hide)'!BL$6:BL$105)+SUMIF(Capacity_Resource,$F34,'Critical resources (hide)'!BL$6:BL$105)&gt;0,$E$1=2),0,1)</f>
        <v>1</v>
      </c>
      <c r="AZ34" s="68">
        <f ca="1">IF(AND(SUMIF(Capacity_Resource,$D34,'Critical resources (hide)'!BM$6:BM$105)+SUMIF(Capacity_Resource,$E34,'Critical resources (hide)'!BM$6:BM$105)+SUMIF(Capacity_Resource,$F34,'Critical resources (hide)'!BM$6:BM$105)&gt;0,$E$1=2),0,1)</f>
        <v>1</v>
      </c>
      <c r="BA34" s="68">
        <f ca="1">IF(AND(SUMIF(Capacity_Resource,$D34,'Critical resources (hide)'!BN$6:BN$105)+SUMIF(Capacity_Resource,$E34,'Critical resources (hide)'!BN$6:BN$105)+SUMIF(Capacity_Resource,$F34,'Critical resources (hide)'!BN$6:BN$105)&gt;0,$E$1=2),0,1)</f>
        <v>1</v>
      </c>
      <c r="BB34" s="68">
        <f ca="1">IF(AND(SUMIF(Capacity_Resource,$D34,'Critical resources (hide)'!BO$6:BO$105)+SUMIF(Capacity_Resource,$E34,'Critical resources (hide)'!BO$6:BO$105)+SUMIF(Capacity_Resource,$F34,'Critical resources (hide)'!BO$6:BO$105)&gt;0,$E$1=2),0,1)</f>
        <v>1</v>
      </c>
      <c r="BC34" s="68">
        <f ca="1">IF(AND(SUMIF(Capacity_Resource,$D34,'Critical resources (hide)'!BP$6:BP$105)+SUMIF(Capacity_Resource,$E34,'Critical resources (hide)'!BP$6:BP$105)+SUMIF(Capacity_Resource,$F34,'Critical resources (hide)'!BP$6:BP$105)&gt;0,$E$1=2),0,1)</f>
        <v>1</v>
      </c>
      <c r="BD34" s="68">
        <f ca="1">IF(AND(SUMIF(Capacity_Resource,$D34,'Critical resources (hide)'!BQ$6:BQ$105)+SUMIF(Capacity_Resource,$E34,'Critical resources (hide)'!BQ$6:BQ$105)+SUMIF(Capacity_Resource,$F34,'Critical resources (hide)'!BQ$6:BQ$105)&gt;0,$E$1=2),0,1)</f>
        <v>1</v>
      </c>
      <c r="BE34" s="68">
        <f ca="1">IF(AND(SUMIF(Capacity_Resource,$D34,'Critical resources (hide)'!BR$6:BR$105)+SUMIF(Capacity_Resource,$E34,'Critical resources (hide)'!BR$6:BR$105)+SUMIF(Capacity_Resource,$F34,'Critical resources (hide)'!BR$6:BR$105)&gt;0,$E$1=2),0,1)</f>
        <v>1</v>
      </c>
      <c r="BF34" s="68">
        <f ca="1">IF(AND(SUMIF(Capacity_Resource,$D34,'Critical resources (hide)'!BS$6:BS$105)+SUMIF(Capacity_Resource,$E34,'Critical resources (hide)'!BS$6:BS$105)+SUMIF(Capacity_Resource,$F34,'Critical resources (hide)'!BS$6:BS$105)&gt;0,$E$1=2),0,1)</f>
        <v>1</v>
      </c>
      <c r="BG34" s="68">
        <f ca="1">IF(AND(SUMIF(Capacity_Resource,$D34,'Critical resources (hide)'!BT$6:BT$105)+SUMIF(Capacity_Resource,$E34,'Critical resources (hide)'!BT$6:BT$105)+SUMIF(Capacity_Resource,$F34,'Critical resources (hide)'!BT$6:BT$105)&gt;0,$E$1=2),0,1)</f>
        <v>1</v>
      </c>
      <c r="BH34" s="68">
        <f>IF(ROW(C30)&lt;=Capacity!$A$16,IF('Capacity summary'!$D$14="No",SUM(H34:BG34),'Capacity summary'!$E153),0)</f>
        <v>0</v>
      </c>
      <c r="BI34" s="5" t="str">
        <f>IF(BH34&gt;0,IF(BH34&lt;Capacity!E46,Capacity!F46,Capacity!H46/'Capacity calculation (hide)'!BH34),"")</f>
        <v/>
      </c>
      <c r="BK34" s="319">
        <f>IF($BI34&lt;&gt;"",IF('Capacity summary'!$D$14="Yes",IF(COUNTBLANK('Capacity summary'!$H153:$BG153)&lt;52,IF('Capacity summary'!H153&lt;&gt;"",$BI34*H34,0),H34*$BI34),H34*$BI34),0)</f>
        <v>0</v>
      </c>
      <c r="BL34" s="319">
        <f>IF($BI34&lt;&gt;"",IF('Capacity summary'!$D$14="Yes",IF(COUNTBLANK('Capacity summary'!$H153:$BG153)&lt;52,IF('Capacity summary'!I153&lt;&gt;"",$BI34*I34,0),I34*$BI34),I34*$BI34),0)</f>
        <v>0</v>
      </c>
      <c r="BM34" s="319">
        <f>IF($BI34&lt;&gt;"",IF('Capacity summary'!$D$14="Yes",IF(COUNTBLANK('Capacity summary'!$H153:$BG153)&lt;52,IF('Capacity summary'!J153&lt;&gt;"",$BI34*J34,0),J34*$BI34),J34*$BI34),0)</f>
        <v>0</v>
      </c>
      <c r="BN34" s="319">
        <f>IF($BI34&lt;&gt;"",IF('Capacity summary'!$D$14="Yes",IF(COUNTBLANK('Capacity summary'!$H153:$BG153)&lt;52,IF('Capacity summary'!K153&lt;&gt;"",$BI34*K34,0),K34*$BI34),K34*$BI34),0)</f>
        <v>0</v>
      </c>
      <c r="BO34" s="319">
        <f>IF($BI34&lt;&gt;"",IF('Capacity summary'!$D$14="Yes",IF(COUNTBLANK('Capacity summary'!$H153:$BG153)&lt;52,IF('Capacity summary'!L153&lt;&gt;"",$BI34*L34,0),L34*$BI34),L34*$BI34),0)</f>
        <v>0</v>
      </c>
      <c r="BP34" s="319">
        <f>IF($BI34&lt;&gt;"",IF('Capacity summary'!$D$14="Yes",IF(COUNTBLANK('Capacity summary'!$H153:$BG153)&lt;52,IF('Capacity summary'!M153&lt;&gt;"",$BI34*M34,0),M34*$BI34),M34*$BI34),0)</f>
        <v>0</v>
      </c>
      <c r="BQ34" s="319">
        <f>IF($BI34&lt;&gt;"",IF('Capacity summary'!$D$14="Yes",IF(COUNTBLANK('Capacity summary'!$H153:$BG153)&lt;52,IF('Capacity summary'!N153&lt;&gt;"",$BI34*N34,0),N34*$BI34),N34*$BI34),0)</f>
        <v>0</v>
      </c>
      <c r="BR34" s="319">
        <f>IF($BI34&lt;&gt;"",IF('Capacity summary'!$D$14="Yes",IF(COUNTBLANK('Capacity summary'!$H153:$BG153)&lt;52,IF('Capacity summary'!O153&lt;&gt;"",$BI34*O34,0),O34*$BI34),O34*$BI34),0)</f>
        <v>0</v>
      </c>
      <c r="BS34" s="319">
        <f>IF($BI34&lt;&gt;"",IF('Capacity summary'!$D$14="Yes",IF(COUNTBLANK('Capacity summary'!$H153:$BG153)&lt;52,IF('Capacity summary'!P153&lt;&gt;"",$BI34*P34,0),P34*$BI34),P34*$BI34),0)</f>
        <v>0</v>
      </c>
      <c r="BT34" s="319">
        <f>IF($BI34&lt;&gt;"",IF('Capacity summary'!$D$14="Yes",IF(COUNTBLANK('Capacity summary'!$H153:$BG153)&lt;52,IF('Capacity summary'!Q153&lt;&gt;"",$BI34*Q34,0),Q34*$BI34),Q34*$BI34),0)</f>
        <v>0</v>
      </c>
      <c r="BU34" s="319">
        <f>IF($BI34&lt;&gt;"",IF('Capacity summary'!$D$14="Yes",IF(COUNTBLANK('Capacity summary'!$H153:$BG153)&lt;52,IF('Capacity summary'!R153&lt;&gt;"",$BI34*R34,0),R34*$BI34),R34*$BI34),0)</f>
        <v>0</v>
      </c>
      <c r="BV34" s="319">
        <f>IF($BI34&lt;&gt;"",IF('Capacity summary'!$D$14="Yes",IF(COUNTBLANK('Capacity summary'!$H153:$BG153)&lt;52,IF('Capacity summary'!S153&lt;&gt;"",$BI34*S34,0),S34*$BI34),S34*$BI34),0)</f>
        <v>0</v>
      </c>
      <c r="BW34" s="319">
        <f>IF($BI34&lt;&gt;"",IF('Capacity summary'!$D$14="Yes",IF(COUNTBLANK('Capacity summary'!$H153:$BG153)&lt;52,IF('Capacity summary'!T153&lt;&gt;"",$BI34*T34,0),T34*$BI34),T34*$BI34),0)</f>
        <v>0</v>
      </c>
      <c r="BX34" s="319">
        <f>IF($BI34&lt;&gt;"",IF('Capacity summary'!$D$14="Yes",IF(COUNTBLANK('Capacity summary'!$H153:$BG153)&lt;52,IF('Capacity summary'!U153&lt;&gt;"",$BI34*U34,0),U34*$BI34),U34*$BI34),0)</f>
        <v>0</v>
      </c>
      <c r="BY34" s="319">
        <f>IF($BI34&lt;&gt;"",IF('Capacity summary'!$D$14="Yes",IF(COUNTBLANK('Capacity summary'!$H153:$BG153)&lt;52,IF('Capacity summary'!V153&lt;&gt;"",$BI34*V34,0),V34*$BI34),V34*$BI34),0)</f>
        <v>0</v>
      </c>
      <c r="BZ34" s="319">
        <f>IF($BI34&lt;&gt;"",IF('Capacity summary'!$D$14="Yes",IF(COUNTBLANK('Capacity summary'!$H153:$BG153)&lt;52,IF('Capacity summary'!W153&lt;&gt;"",$BI34*W34,0),W34*$BI34),W34*$BI34),0)</f>
        <v>0</v>
      </c>
      <c r="CA34" s="319">
        <f>IF($BI34&lt;&gt;"",IF('Capacity summary'!$D$14="Yes",IF(COUNTBLANK('Capacity summary'!$H153:$BG153)&lt;52,IF('Capacity summary'!X153&lt;&gt;"",$BI34*X34,0),X34*$BI34),X34*$BI34),0)</f>
        <v>0</v>
      </c>
      <c r="CB34" s="319">
        <f>IF($BI34&lt;&gt;"",IF('Capacity summary'!$D$14="Yes",IF(COUNTBLANK('Capacity summary'!$H153:$BG153)&lt;52,IF('Capacity summary'!Y153&lt;&gt;"",$BI34*Y34,0),Y34*$BI34),Y34*$BI34),0)</f>
        <v>0</v>
      </c>
      <c r="CC34" s="319">
        <f>IF($BI34&lt;&gt;"",IF('Capacity summary'!$D$14="Yes",IF(COUNTBLANK('Capacity summary'!$H153:$BG153)&lt;52,IF('Capacity summary'!Z153&lt;&gt;"",$BI34*Z34,0),Z34*$BI34),Z34*$BI34),0)</f>
        <v>0</v>
      </c>
      <c r="CD34" s="319">
        <f>IF($BI34&lt;&gt;"",IF('Capacity summary'!$D$14="Yes",IF(COUNTBLANK('Capacity summary'!$H153:$BG153)&lt;52,IF('Capacity summary'!AA153&lt;&gt;"",$BI34*AA34,0),AA34*$BI34),AA34*$BI34),0)</f>
        <v>0</v>
      </c>
      <c r="CE34" s="319">
        <f>IF($BI34&lt;&gt;"",IF('Capacity summary'!$D$14="Yes",IF(COUNTBLANK('Capacity summary'!$H153:$BG153)&lt;52,IF('Capacity summary'!AB153&lt;&gt;"",$BI34*AB34,0),AB34*$BI34),AB34*$BI34),0)</f>
        <v>0</v>
      </c>
      <c r="CF34" s="319">
        <f>IF($BI34&lt;&gt;"",IF('Capacity summary'!$D$14="Yes",IF(COUNTBLANK('Capacity summary'!$H153:$BG153)&lt;52,IF('Capacity summary'!AC153&lt;&gt;"",$BI34*AC34,0),AC34*$BI34),AC34*$BI34),0)</f>
        <v>0</v>
      </c>
      <c r="CG34" s="319">
        <f>IF($BI34&lt;&gt;"",IF('Capacity summary'!$D$14="Yes",IF(COUNTBLANK('Capacity summary'!$H153:$BG153)&lt;52,IF('Capacity summary'!AD153&lt;&gt;"",$BI34*AD34,0),AD34*$BI34),AD34*$BI34),0)</f>
        <v>0</v>
      </c>
      <c r="CH34" s="319">
        <f>IF($BI34&lt;&gt;"",IF('Capacity summary'!$D$14="Yes",IF(COUNTBLANK('Capacity summary'!$H153:$BG153)&lt;52,IF('Capacity summary'!AE153&lt;&gt;"",$BI34*AE34,0),AE34*$BI34),AE34*$BI34),0)</f>
        <v>0</v>
      </c>
      <c r="CI34" s="319">
        <f>IF($BI34&lt;&gt;"",IF('Capacity summary'!$D$14="Yes",IF(COUNTBLANK('Capacity summary'!$H153:$BG153)&lt;52,IF('Capacity summary'!AF153&lt;&gt;"",$BI34*AF34,0),AF34*$BI34),AF34*$BI34),0)</f>
        <v>0</v>
      </c>
      <c r="CJ34" s="319">
        <f>IF($BI34&lt;&gt;"",IF('Capacity summary'!$D$14="Yes",IF(COUNTBLANK('Capacity summary'!$H153:$BG153)&lt;52,IF('Capacity summary'!AG153&lt;&gt;"",$BI34*AG34,0),AG34*$BI34),AG34*$BI34),0)</f>
        <v>0</v>
      </c>
      <c r="CK34" s="319">
        <f>IF($BI34&lt;&gt;"",IF('Capacity summary'!$D$14="Yes",IF(COUNTBLANK('Capacity summary'!$H153:$BG153)&lt;52,IF('Capacity summary'!AH153&lt;&gt;"",$BI34*AH34,0),AH34*$BI34),AH34*$BI34),0)</f>
        <v>0</v>
      </c>
      <c r="CL34" s="319">
        <f>IF($BI34&lt;&gt;"",IF('Capacity summary'!$D$14="Yes",IF(COUNTBLANK('Capacity summary'!$H153:$BG153)&lt;52,IF('Capacity summary'!AI153&lt;&gt;"",$BI34*AI34,0),AI34*$BI34),AI34*$BI34),0)</f>
        <v>0</v>
      </c>
      <c r="CM34" s="319">
        <f>IF($BI34&lt;&gt;"",IF('Capacity summary'!$D$14="Yes",IF(COUNTBLANK('Capacity summary'!$H153:$BG153)&lt;52,IF('Capacity summary'!AJ153&lt;&gt;"",$BI34*AJ34,0),AJ34*$BI34),AJ34*$BI34),0)</f>
        <v>0</v>
      </c>
      <c r="CN34" s="319">
        <f>IF($BI34&lt;&gt;"",IF('Capacity summary'!$D$14="Yes",IF(COUNTBLANK('Capacity summary'!$H153:$BG153)&lt;52,IF('Capacity summary'!AK153&lt;&gt;"",$BI34*AK34,0),AK34*$BI34),AK34*$BI34),0)</f>
        <v>0</v>
      </c>
      <c r="CO34" s="319">
        <f>IF($BI34&lt;&gt;"",IF('Capacity summary'!$D$14="Yes",IF(COUNTBLANK('Capacity summary'!$H153:$BG153)&lt;52,IF('Capacity summary'!AL153&lt;&gt;"",$BI34*AL34,0),AL34*$BI34),AL34*$BI34),0)</f>
        <v>0</v>
      </c>
      <c r="CP34" s="319">
        <f>IF($BI34&lt;&gt;"",IF('Capacity summary'!$D$14="Yes",IF(COUNTBLANK('Capacity summary'!$H153:$BG153)&lt;52,IF('Capacity summary'!AM153&lt;&gt;"",$BI34*AM34,0),AM34*$BI34),AM34*$BI34),0)</f>
        <v>0</v>
      </c>
      <c r="CQ34" s="319">
        <f>IF($BI34&lt;&gt;"",IF('Capacity summary'!$D$14="Yes",IF(COUNTBLANK('Capacity summary'!$H153:$BG153)&lt;52,IF('Capacity summary'!AN153&lt;&gt;"",$BI34*AN34,0),AN34*$BI34),AN34*$BI34),0)</f>
        <v>0</v>
      </c>
      <c r="CR34" s="319">
        <f>IF($BI34&lt;&gt;"",IF('Capacity summary'!$D$14="Yes",IF(COUNTBLANK('Capacity summary'!$H153:$BG153)&lt;52,IF('Capacity summary'!AO153&lt;&gt;"",$BI34*AO34,0),AO34*$BI34),AO34*$BI34),0)</f>
        <v>0</v>
      </c>
      <c r="CS34" s="319">
        <f>IF($BI34&lt;&gt;"",IF('Capacity summary'!$D$14="Yes",IF(COUNTBLANK('Capacity summary'!$H153:$BG153)&lt;52,IF('Capacity summary'!AP153&lt;&gt;"",$BI34*AP34,0),AP34*$BI34),AP34*$BI34),0)</f>
        <v>0</v>
      </c>
      <c r="CT34" s="319">
        <f>IF($BI34&lt;&gt;"",IF('Capacity summary'!$D$14="Yes",IF(COUNTBLANK('Capacity summary'!$H153:$BG153)&lt;52,IF('Capacity summary'!AQ153&lt;&gt;"",$BI34*AQ34,0),AQ34*$BI34),AQ34*$BI34),0)</f>
        <v>0</v>
      </c>
      <c r="CU34" s="319">
        <f>IF($BI34&lt;&gt;"",IF('Capacity summary'!$D$14="Yes",IF(COUNTBLANK('Capacity summary'!$H153:$BG153)&lt;52,IF('Capacity summary'!AR153&lt;&gt;"",$BI34*AR34,0),AR34*$BI34),AR34*$BI34),0)</f>
        <v>0</v>
      </c>
      <c r="CV34" s="319">
        <f>IF($BI34&lt;&gt;"",IF('Capacity summary'!$D$14="Yes",IF(COUNTBLANK('Capacity summary'!$H153:$BG153)&lt;52,IF('Capacity summary'!AS153&lt;&gt;"",$BI34*AS34,0),AS34*$BI34),AS34*$BI34),0)</f>
        <v>0</v>
      </c>
      <c r="CW34" s="319">
        <f>IF($BI34&lt;&gt;"",IF('Capacity summary'!$D$14="Yes",IF(COUNTBLANK('Capacity summary'!$H153:$BG153)&lt;52,IF('Capacity summary'!AT153&lt;&gt;"",$BI34*AT34,0),AT34*$BI34),AT34*$BI34),0)</f>
        <v>0</v>
      </c>
      <c r="CX34" s="319">
        <f>IF($BI34&lt;&gt;"",IF('Capacity summary'!$D$14="Yes",IF(COUNTBLANK('Capacity summary'!$H153:$BG153)&lt;52,IF('Capacity summary'!AU153&lt;&gt;"",$BI34*AU34,0),AU34*$BI34),AU34*$BI34),0)</f>
        <v>0</v>
      </c>
      <c r="CY34" s="319">
        <f>IF($BI34&lt;&gt;"",IF('Capacity summary'!$D$14="Yes",IF(COUNTBLANK('Capacity summary'!$H153:$BG153)&lt;52,IF('Capacity summary'!AV153&lt;&gt;"",$BI34*AV34,0),AV34*$BI34),AV34*$BI34),0)</f>
        <v>0</v>
      </c>
      <c r="CZ34" s="319">
        <f>IF($BI34&lt;&gt;"",IF('Capacity summary'!$D$14="Yes",IF(COUNTBLANK('Capacity summary'!$H153:$BG153)&lt;52,IF('Capacity summary'!AW153&lt;&gt;"",$BI34*AW34,0),AW34*$BI34),AW34*$BI34),0)</f>
        <v>0</v>
      </c>
      <c r="DA34" s="319">
        <f>IF($BI34&lt;&gt;"",IF('Capacity summary'!$D$14="Yes",IF(COUNTBLANK('Capacity summary'!$H153:$BG153)&lt;52,IF('Capacity summary'!AX153&lt;&gt;"",$BI34*AX34,0),AX34*$BI34),AX34*$BI34),0)</f>
        <v>0</v>
      </c>
      <c r="DB34" s="319">
        <f>IF($BI34&lt;&gt;"",IF('Capacity summary'!$D$14="Yes",IF(COUNTBLANK('Capacity summary'!$H153:$BG153)&lt;52,IF('Capacity summary'!AY153&lt;&gt;"",$BI34*AY34,0),AY34*$BI34),AY34*$BI34),0)</f>
        <v>0</v>
      </c>
      <c r="DC34" s="319">
        <f>IF($BI34&lt;&gt;"",IF('Capacity summary'!$D$14="Yes",IF(COUNTBLANK('Capacity summary'!$H153:$BG153)&lt;52,IF('Capacity summary'!AZ153&lt;&gt;"",$BI34*AZ34,0),AZ34*$BI34),AZ34*$BI34),0)</f>
        <v>0</v>
      </c>
      <c r="DD34" s="319">
        <f>IF($BI34&lt;&gt;"",IF('Capacity summary'!$D$14="Yes",IF(COUNTBLANK('Capacity summary'!$H153:$BG153)&lt;52,IF('Capacity summary'!BA153&lt;&gt;"",$BI34*BA34,0),BA34*$BI34),BA34*$BI34),0)</f>
        <v>0</v>
      </c>
      <c r="DE34" s="319">
        <f>IF($BI34&lt;&gt;"",IF('Capacity summary'!$D$14="Yes",IF(COUNTBLANK('Capacity summary'!$H153:$BG153)&lt;52,IF('Capacity summary'!BB153&lt;&gt;"",$BI34*BB34,0),BB34*$BI34),BB34*$BI34),0)</f>
        <v>0</v>
      </c>
      <c r="DF34" s="319">
        <f>IF($BI34&lt;&gt;"",IF('Capacity summary'!$D$14="Yes",IF(COUNTBLANK('Capacity summary'!$H153:$BG153)&lt;52,IF('Capacity summary'!BC153&lt;&gt;"",$BI34*BC34,0),BC34*$BI34),BC34*$BI34),0)</f>
        <v>0</v>
      </c>
      <c r="DG34" s="319">
        <f>IF($BI34&lt;&gt;"",IF('Capacity summary'!$D$14="Yes",IF(COUNTBLANK('Capacity summary'!$H153:$BG153)&lt;52,IF('Capacity summary'!BD153&lt;&gt;"",$BI34*BD34,0),BD34*$BI34),BD34*$BI34),0)</f>
        <v>0</v>
      </c>
      <c r="DH34" s="319">
        <f>IF($BI34&lt;&gt;"",IF('Capacity summary'!$D$14="Yes",IF(COUNTBLANK('Capacity summary'!$H153:$BG153)&lt;52,IF('Capacity summary'!BE153&lt;&gt;"",$BI34*BE34,0),BE34*$BI34),BE34*$BI34),0)</f>
        <v>0</v>
      </c>
      <c r="DI34" s="319">
        <f>IF($BI34&lt;&gt;"",IF('Capacity summary'!$D$14="Yes",IF(COUNTBLANK('Capacity summary'!$H153:$BG153)&lt;52,IF('Capacity summary'!BF153&lt;&gt;"",$BI34*BF34,0),BF34*$BI34),BF34*$BI34),0)</f>
        <v>0</v>
      </c>
      <c r="DJ34" s="319">
        <f>IF($BI34&lt;&gt;"",IF('Capacity summary'!$D$14="Yes",IF(COUNTBLANK('Capacity summary'!$H153:$BG153)&lt;52,IF('Capacity summary'!BG153&lt;&gt;"",$BI34*BG34,0),BG34*$BI34),BG34*$BI34),0)</f>
        <v>0</v>
      </c>
      <c r="DK34" s="5">
        <f t="shared" si="2"/>
        <v>0</v>
      </c>
      <c r="DL34" s="5" t="str">
        <f>Capacity!H46</f>
        <v/>
      </c>
      <c r="DP34" s="5"/>
    </row>
    <row r="35" spans="2:120" x14ac:dyDescent="0.2">
      <c r="B35" s="68"/>
      <c r="C35" s="68" t="str">
        <f>ROW(A31)&amp;". "&amp;Capacity!B47</f>
        <v xml:space="preserve">31. </v>
      </c>
      <c r="D35" s="68">
        <f>'Capacity setup'!C42</f>
        <v>0</v>
      </c>
      <c r="E35" s="68">
        <f>'Capacity setup'!D42</f>
        <v>0</v>
      </c>
      <c r="F35" s="68">
        <f>'Capacity setup'!E42</f>
        <v>0</v>
      </c>
      <c r="H35" s="68">
        <f ca="1">IF(AND(SUMIF(Capacity_Resource,$D35,'Critical resources (hide)'!U$6:U$105)+SUMIF(Capacity_Resource,$E35,'Critical resources (hide)'!U$6:U$105)+SUMIF(Capacity_Resource,$F35,'Critical resources (hide)'!U$6:U$105)&gt;0,$E$1=2),0,1)</f>
        <v>1</v>
      </c>
      <c r="I35" s="68">
        <f ca="1">IF(AND(SUMIF(Capacity_Resource,$D35,'Critical resources (hide)'!V$6:V$105)+SUMIF(Capacity_Resource,$E35,'Critical resources (hide)'!V$6:V$105)+SUMIF(Capacity_Resource,$F35,'Critical resources (hide)'!V$6:V$105)&gt;0,$E$1=2),0,1)</f>
        <v>1</v>
      </c>
      <c r="J35" s="68">
        <f ca="1">IF(AND(SUMIF(Capacity_Resource,$D35,'Critical resources (hide)'!W$6:W$105)+SUMIF(Capacity_Resource,$E35,'Critical resources (hide)'!W$6:W$105)+SUMIF(Capacity_Resource,$F35,'Critical resources (hide)'!W$6:W$105)&gt;0,$E$1=2),0,1)</f>
        <v>1</v>
      </c>
      <c r="K35" s="68">
        <f ca="1">IF(AND(SUMIF(Capacity_Resource,$D35,'Critical resources (hide)'!X$6:X$105)+SUMIF(Capacity_Resource,$E35,'Critical resources (hide)'!X$6:X$105)+SUMIF(Capacity_Resource,$F35,'Critical resources (hide)'!X$6:X$105)&gt;0,$E$1=2),0,1)</f>
        <v>1</v>
      </c>
      <c r="L35" s="68">
        <f ca="1">IF(AND(SUMIF(Capacity_Resource,$D35,'Critical resources (hide)'!Y$6:Y$105)+SUMIF(Capacity_Resource,$E35,'Critical resources (hide)'!Y$6:Y$105)+SUMIF(Capacity_Resource,$F35,'Critical resources (hide)'!Y$6:Y$105)&gt;0,$E$1=2),0,1)</f>
        <v>1</v>
      </c>
      <c r="M35" s="68">
        <f ca="1">IF(AND(SUMIF(Capacity_Resource,$D35,'Critical resources (hide)'!Z$6:Z$105)+SUMIF(Capacity_Resource,$E35,'Critical resources (hide)'!Z$6:Z$105)+SUMIF(Capacity_Resource,$F35,'Critical resources (hide)'!Z$6:Z$105)&gt;0,$E$1=2),0,1)</f>
        <v>1</v>
      </c>
      <c r="N35" s="68">
        <f ca="1">IF(AND(SUMIF(Capacity_Resource,$D35,'Critical resources (hide)'!AA$6:AA$105)+SUMIF(Capacity_Resource,$E35,'Critical resources (hide)'!AA$6:AA$105)+SUMIF(Capacity_Resource,$F35,'Critical resources (hide)'!AA$6:AA$105)&gt;0,$E$1=2),0,1)</f>
        <v>1</v>
      </c>
      <c r="O35" s="68">
        <f ca="1">IF(AND(SUMIF(Capacity_Resource,$D35,'Critical resources (hide)'!AB$6:AB$105)+SUMIF(Capacity_Resource,$E35,'Critical resources (hide)'!AB$6:AB$105)+SUMIF(Capacity_Resource,$F35,'Critical resources (hide)'!AB$6:AB$105)&gt;0,$E$1=2),0,1)</f>
        <v>1</v>
      </c>
      <c r="P35" s="68">
        <f ca="1">IF(AND(SUMIF(Capacity_Resource,$D35,'Critical resources (hide)'!AC$6:AC$105)+SUMIF(Capacity_Resource,$E35,'Critical resources (hide)'!AC$6:AC$105)+SUMIF(Capacity_Resource,$F35,'Critical resources (hide)'!AC$6:AC$105)&gt;0,$E$1=2),0,1)</f>
        <v>1</v>
      </c>
      <c r="Q35" s="68">
        <f ca="1">IF(AND(SUMIF(Capacity_Resource,$D35,'Critical resources (hide)'!AD$6:AD$105)+SUMIF(Capacity_Resource,$E35,'Critical resources (hide)'!AD$6:AD$105)+SUMIF(Capacity_Resource,$F35,'Critical resources (hide)'!AD$6:AD$105)&gt;0,$E$1=2),0,1)</f>
        <v>1</v>
      </c>
      <c r="R35" s="68">
        <f ca="1">IF(AND(SUMIF(Capacity_Resource,$D35,'Critical resources (hide)'!AE$6:AE$105)+SUMIF(Capacity_Resource,$E35,'Critical resources (hide)'!AE$6:AE$105)+SUMIF(Capacity_Resource,$F35,'Critical resources (hide)'!AE$6:AE$105)&gt;0,$E$1=2),0,1)</f>
        <v>1</v>
      </c>
      <c r="S35" s="68">
        <f ca="1">IF(AND(SUMIF(Capacity_Resource,$D35,'Critical resources (hide)'!AF$6:AF$105)+SUMIF(Capacity_Resource,$E35,'Critical resources (hide)'!AF$6:AF$105)+SUMIF(Capacity_Resource,$F35,'Critical resources (hide)'!AF$6:AF$105)&gt;0,$E$1=2),0,1)</f>
        <v>1</v>
      </c>
      <c r="T35" s="68">
        <f ca="1">IF(AND(SUMIF(Capacity_Resource,$D35,'Critical resources (hide)'!AG$6:AG$105)+SUMIF(Capacity_Resource,$E35,'Critical resources (hide)'!AG$6:AG$105)+SUMIF(Capacity_Resource,$F35,'Critical resources (hide)'!AG$6:AG$105)&gt;0,$E$1=2),0,1)</f>
        <v>1</v>
      </c>
      <c r="U35" s="68">
        <f ca="1">IF(AND(SUMIF(Capacity_Resource,$D35,'Critical resources (hide)'!AH$6:AH$105)+SUMIF(Capacity_Resource,$E35,'Critical resources (hide)'!AH$6:AH$105)+SUMIF(Capacity_Resource,$F35,'Critical resources (hide)'!AH$6:AH$105)&gt;0,$E$1=2),0,1)</f>
        <v>1</v>
      </c>
      <c r="V35" s="68">
        <f ca="1">IF(AND(SUMIF(Capacity_Resource,$D35,'Critical resources (hide)'!AI$6:AI$105)+SUMIF(Capacity_Resource,$E35,'Critical resources (hide)'!AI$6:AI$105)+SUMIF(Capacity_Resource,$F35,'Critical resources (hide)'!AI$6:AI$105)&gt;0,$E$1=2),0,1)</f>
        <v>1</v>
      </c>
      <c r="W35" s="68">
        <f ca="1">IF(AND(SUMIF(Capacity_Resource,$D35,'Critical resources (hide)'!AJ$6:AJ$105)+SUMIF(Capacity_Resource,$E35,'Critical resources (hide)'!AJ$6:AJ$105)+SUMIF(Capacity_Resource,$F35,'Critical resources (hide)'!AJ$6:AJ$105)&gt;0,$E$1=2),0,1)</f>
        <v>1</v>
      </c>
      <c r="X35" s="68">
        <f ca="1">IF(AND(SUMIF(Capacity_Resource,$D35,'Critical resources (hide)'!AK$6:AK$105)+SUMIF(Capacity_Resource,$E35,'Critical resources (hide)'!AK$6:AK$105)+SUMIF(Capacity_Resource,$F35,'Critical resources (hide)'!AK$6:AK$105)&gt;0,$E$1=2),0,1)</f>
        <v>1</v>
      </c>
      <c r="Y35" s="68">
        <f ca="1">IF(AND(SUMIF(Capacity_Resource,$D35,'Critical resources (hide)'!AL$6:AL$105)+SUMIF(Capacity_Resource,$E35,'Critical resources (hide)'!AL$6:AL$105)+SUMIF(Capacity_Resource,$F35,'Critical resources (hide)'!AL$6:AL$105)&gt;0,$E$1=2),0,1)</f>
        <v>1</v>
      </c>
      <c r="Z35" s="68">
        <f ca="1">IF(AND(SUMIF(Capacity_Resource,$D35,'Critical resources (hide)'!AM$6:AM$105)+SUMIF(Capacity_Resource,$E35,'Critical resources (hide)'!AM$6:AM$105)+SUMIF(Capacity_Resource,$F35,'Critical resources (hide)'!AM$6:AM$105)&gt;0,$E$1=2),0,1)</f>
        <v>1</v>
      </c>
      <c r="AA35" s="68">
        <f ca="1">IF(AND(SUMIF(Capacity_Resource,$D35,'Critical resources (hide)'!AN$6:AN$105)+SUMIF(Capacity_Resource,$E35,'Critical resources (hide)'!AN$6:AN$105)+SUMIF(Capacity_Resource,$F35,'Critical resources (hide)'!AN$6:AN$105)&gt;0,$E$1=2),0,1)</f>
        <v>1</v>
      </c>
      <c r="AB35" s="68">
        <f ca="1">IF(AND(SUMIF(Capacity_Resource,$D35,'Critical resources (hide)'!AO$6:AO$105)+SUMIF(Capacity_Resource,$E35,'Critical resources (hide)'!AO$6:AO$105)+SUMIF(Capacity_Resource,$F35,'Critical resources (hide)'!AO$6:AO$105)&gt;0,$E$1=2),0,1)</f>
        <v>1</v>
      </c>
      <c r="AC35" s="68">
        <f ca="1">IF(AND(SUMIF(Capacity_Resource,$D35,'Critical resources (hide)'!AP$6:AP$105)+SUMIF(Capacity_Resource,$E35,'Critical resources (hide)'!AP$6:AP$105)+SUMIF(Capacity_Resource,$F35,'Critical resources (hide)'!AP$6:AP$105)&gt;0,$E$1=2),0,1)</f>
        <v>1</v>
      </c>
      <c r="AD35" s="68">
        <f ca="1">IF(AND(SUMIF(Capacity_Resource,$D35,'Critical resources (hide)'!AQ$6:AQ$105)+SUMIF(Capacity_Resource,$E35,'Critical resources (hide)'!AQ$6:AQ$105)+SUMIF(Capacity_Resource,$F35,'Critical resources (hide)'!AQ$6:AQ$105)&gt;0,$E$1=2),0,1)</f>
        <v>1</v>
      </c>
      <c r="AE35" s="68">
        <f ca="1">IF(AND(SUMIF(Capacity_Resource,$D35,'Critical resources (hide)'!AR$6:AR$105)+SUMIF(Capacity_Resource,$E35,'Critical resources (hide)'!AR$6:AR$105)+SUMIF(Capacity_Resource,$F35,'Critical resources (hide)'!AR$6:AR$105)&gt;0,$E$1=2),0,1)</f>
        <v>1</v>
      </c>
      <c r="AF35" s="68">
        <f ca="1">IF(AND(SUMIF(Capacity_Resource,$D35,'Critical resources (hide)'!AS$6:AS$105)+SUMIF(Capacity_Resource,$E35,'Critical resources (hide)'!AS$6:AS$105)+SUMIF(Capacity_Resource,$F35,'Critical resources (hide)'!AS$6:AS$105)&gt;0,$E$1=2),0,1)</f>
        <v>1</v>
      </c>
      <c r="AG35" s="68">
        <f ca="1">IF(AND(SUMIF(Capacity_Resource,$D35,'Critical resources (hide)'!AT$6:AT$105)+SUMIF(Capacity_Resource,$E35,'Critical resources (hide)'!AT$6:AT$105)+SUMIF(Capacity_Resource,$F35,'Critical resources (hide)'!AT$6:AT$105)&gt;0,$E$1=2),0,1)</f>
        <v>1</v>
      </c>
      <c r="AH35" s="68">
        <f ca="1">IF(AND(SUMIF(Capacity_Resource,$D35,'Critical resources (hide)'!AU$6:AU$105)+SUMIF(Capacity_Resource,$E35,'Critical resources (hide)'!AU$6:AU$105)+SUMIF(Capacity_Resource,$F35,'Critical resources (hide)'!AU$6:AU$105)&gt;0,$E$1=2),0,1)</f>
        <v>1</v>
      </c>
      <c r="AI35" s="68">
        <f ca="1">IF(AND(SUMIF(Capacity_Resource,$D35,'Critical resources (hide)'!AV$6:AV$105)+SUMIF(Capacity_Resource,$E35,'Critical resources (hide)'!AV$6:AV$105)+SUMIF(Capacity_Resource,$F35,'Critical resources (hide)'!AV$6:AV$105)&gt;0,$E$1=2),0,1)</f>
        <v>1</v>
      </c>
      <c r="AJ35" s="68">
        <f ca="1">IF(AND(SUMIF(Capacity_Resource,$D35,'Critical resources (hide)'!AW$6:AW$105)+SUMIF(Capacity_Resource,$E35,'Critical resources (hide)'!AW$6:AW$105)+SUMIF(Capacity_Resource,$F35,'Critical resources (hide)'!AW$6:AW$105)&gt;0,$E$1=2),0,1)</f>
        <v>1</v>
      </c>
      <c r="AK35" s="68">
        <f ca="1">IF(AND(SUMIF(Capacity_Resource,$D35,'Critical resources (hide)'!AX$6:AX$105)+SUMIF(Capacity_Resource,$E35,'Critical resources (hide)'!AX$6:AX$105)+SUMIF(Capacity_Resource,$F35,'Critical resources (hide)'!AX$6:AX$105)&gt;0,$E$1=2),0,1)</f>
        <v>1</v>
      </c>
      <c r="AL35" s="68">
        <f ca="1">IF(AND(SUMIF(Capacity_Resource,$D35,'Critical resources (hide)'!AY$6:AY$105)+SUMIF(Capacity_Resource,$E35,'Critical resources (hide)'!AY$6:AY$105)+SUMIF(Capacity_Resource,$F35,'Critical resources (hide)'!AY$6:AY$105)&gt;0,$E$1=2),0,1)</f>
        <v>1</v>
      </c>
      <c r="AM35" s="68">
        <f ca="1">IF(AND(SUMIF(Capacity_Resource,$D35,'Critical resources (hide)'!AZ$6:AZ$105)+SUMIF(Capacity_Resource,$E35,'Critical resources (hide)'!AZ$6:AZ$105)+SUMIF(Capacity_Resource,$F35,'Critical resources (hide)'!AZ$6:AZ$105)&gt;0,$E$1=2),0,1)</f>
        <v>1</v>
      </c>
      <c r="AN35" s="68">
        <f ca="1">IF(AND(SUMIF(Capacity_Resource,$D35,'Critical resources (hide)'!BA$6:BA$105)+SUMIF(Capacity_Resource,$E35,'Critical resources (hide)'!BA$6:BA$105)+SUMIF(Capacity_Resource,$F35,'Critical resources (hide)'!BA$6:BA$105)&gt;0,$E$1=2),0,1)</f>
        <v>1</v>
      </c>
      <c r="AO35" s="68">
        <f ca="1">IF(AND(SUMIF(Capacity_Resource,$D35,'Critical resources (hide)'!BB$6:BB$105)+SUMIF(Capacity_Resource,$E35,'Critical resources (hide)'!BB$6:BB$105)+SUMIF(Capacity_Resource,$F35,'Critical resources (hide)'!BB$6:BB$105)&gt;0,$E$1=2),0,1)</f>
        <v>1</v>
      </c>
      <c r="AP35" s="68">
        <f ca="1">IF(AND(SUMIF(Capacity_Resource,$D35,'Critical resources (hide)'!BC$6:BC$105)+SUMIF(Capacity_Resource,$E35,'Critical resources (hide)'!BC$6:BC$105)+SUMIF(Capacity_Resource,$F35,'Critical resources (hide)'!BC$6:BC$105)&gt;0,$E$1=2),0,1)</f>
        <v>1</v>
      </c>
      <c r="AQ35" s="68">
        <f ca="1">IF(AND(SUMIF(Capacity_Resource,$D35,'Critical resources (hide)'!BD$6:BD$105)+SUMIF(Capacity_Resource,$E35,'Critical resources (hide)'!BD$6:BD$105)+SUMIF(Capacity_Resource,$F35,'Critical resources (hide)'!BD$6:BD$105)&gt;0,$E$1=2),0,1)</f>
        <v>1</v>
      </c>
      <c r="AR35" s="68">
        <f ca="1">IF(AND(SUMIF(Capacity_Resource,$D35,'Critical resources (hide)'!BE$6:BE$105)+SUMIF(Capacity_Resource,$E35,'Critical resources (hide)'!BE$6:BE$105)+SUMIF(Capacity_Resource,$F35,'Critical resources (hide)'!BE$6:BE$105)&gt;0,$E$1=2),0,1)</f>
        <v>1</v>
      </c>
      <c r="AS35" s="68">
        <f ca="1">IF(AND(SUMIF(Capacity_Resource,$D35,'Critical resources (hide)'!BF$6:BF$105)+SUMIF(Capacity_Resource,$E35,'Critical resources (hide)'!BF$6:BF$105)+SUMIF(Capacity_Resource,$F35,'Critical resources (hide)'!BF$6:BF$105)&gt;0,$E$1=2),0,1)</f>
        <v>1</v>
      </c>
      <c r="AT35" s="68">
        <f ca="1">IF(AND(SUMIF(Capacity_Resource,$D35,'Critical resources (hide)'!BG$6:BG$105)+SUMIF(Capacity_Resource,$E35,'Critical resources (hide)'!BG$6:BG$105)+SUMIF(Capacity_Resource,$F35,'Critical resources (hide)'!BG$6:BG$105)&gt;0,$E$1=2),0,1)</f>
        <v>1</v>
      </c>
      <c r="AU35" s="68">
        <f ca="1">IF(AND(SUMIF(Capacity_Resource,$D35,'Critical resources (hide)'!BH$6:BH$105)+SUMIF(Capacity_Resource,$E35,'Critical resources (hide)'!BH$6:BH$105)+SUMIF(Capacity_Resource,$F35,'Critical resources (hide)'!BH$6:BH$105)&gt;0,$E$1=2),0,1)</f>
        <v>1</v>
      </c>
      <c r="AV35" s="68">
        <f ca="1">IF(AND(SUMIF(Capacity_Resource,$D35,'Critical resources (hide)'!BI$6:BI$105)+SUMIF(Capacity_Resource,$E35,'Critical resources (hide)'!BI$6:BI$105)+SUMIF(Capacity_Resource,$F35,'Critical resources (hide)'!BI$6:BI$105)&gt;0,$E$1=2),0,1)</f>
        <v>1</v>
      </c>
      <c r="AW35" s="68">
        <f ca="1">IF(AND(SUMIF(Capacity_Resource,$D35,'Critical resources (hide)'!BJ$6:BJ$105)+SUMIF(Capacity_Resource,$E35,'Critical resources (hide)'!BJ$6:BJ$105)+SUMIF(Capacity_Resource,$F35,'Critical resources (hide)'!BJ$6:BJ$105)&gt;0,$E$1=2),0,1)</f>
        <v>1</v>
      </c>
      <c r="AX35" s="68">
        <f ca="1">IF(AND(SUMIF(Capacity_Resource,$D35,'Critical resources (hide)'!BK$6:BK$105)+SUMIF(Capacity_Resource,$E35,'Critical resources (hide)'!BK$6:BK$105)+SUMIF(Capacity_Resource,$F35,'Critical resources (hide)'!BK$6:BK$105)&gt;0,$E$1=2),0,1)</f>
        <v>1</v>
      </c>
      <c r="AY35" s="68">
        <f ca="1">IF(AND(SUMIF(Capacity_Resource,$D35,'Critical resources (hide)'!BL$6:BL$105)+SUMIF(Capacity_Resource,$E35,'Critical resources (hide)'!BL$6:BL$105)+SUMIF(Capacity_Resource,$F35,'Critical resources (hide)'!BL$6:BL$105)&gt;0,$E$1=2),0,1)</f>
        <v>1</v>
      </c>
      <c r="AZ35" s="68">
        <f ca="1">IF(AND(SUMIF(Capacity_Resource,$D35,'Critical resources (hide)'!BM$6:BM$105)+SUMIF(Capacity_Resource,$E35,'Critical resources (hide)'!BM$6:BM$105)+SUMIF(Capacity_Resource,$F35,'Critical resources (hide)'!BM$6:BM$105)&gt;0,$E$1=2),0,1)</f>
        <v>1</v>
      </c>
      <c r="BA35" s="68">
        <f ca="1">IF(AND(SUMIF(Capacity_Resource,$D35,'Critical resources (hide)'!BN$6:BN$105)+SUMIF(Capacity_Resource,$E35,'Critical resources (hide)'!BN$6:BN$105)+SUMIF(Capacity_Resource,$F35,'Critical resources (hide)'!BN$6:BN$105)&gt;0,$E$1=2),0,1)</f>
        <v>1</v>
      </c>
      <c r="BB35" s="68">
        <f ca="1">IF(AND(SUMIF(Capacity_Resource,$D35,'Critical resources (hide)'!BO$6:BO$105)+SUMIF(Capacity_Resource,$E35,'Critical resources (hide)'!BO$6:BO$105)+SUMIF(Capacity_Resource,$F35,'Critical resources (hide)'!BO$6:BO$105)&gt;0,$E$1=2),0,1)</f>
        <v>1</v>
      </c>
      <c r="BC35" s="68">
        <f ca="1">IF(AND(SUMIF(Capacity_Resource,$D35,'Critical resources (hide)'!BP$6:BP$105)+SUMIF(Capacity_Resource,$E35,'Critical resources (hide)'!BP$6:BP$105)+SUMIF(Capacity_Resource,$F35,'Critical resources (hide)'!BP$6:BP$105)&gt;0,$E$1=2),0,1)</f>
        <v>1</v>
      </c>
      <c r="BD35" s="68">
        <f ca="1">IF(AND(SUMIF(Capacity_Resource,$D35,'Critical resources (hide)'!BQ$6:BQ$105)+SUMIF(Capacity_Resource,$E35,'Critical resources (hide)'!BQ$6:BQ$105)+SUMIF(Capacity_Resource,$F35,'Critical resources (hide)'!BQ$6:BQ$105)&gt;0,$E$1=2),0,1)</f>
        <v>1</v>
      </c>
      <c r="BE35" s="68">
        <f ca="1">IF(AND(SUMIF(Capacity_Resource,$D35,'Critical resources (hide)'!BR$6:BR$105)+SUMIF(Capacity_Resource,$E35,'Critical resources (hide)'!BR$6:BR$105)+SUMIF(Capacity_Resource,$F35,'Critical resources (hide)'!BR$6:BR$105)&gt;0,$E$1=2),0,1)</f>
        <v>1</v>
      </c>
      <c r="BF35" s="68">
        <f ca="1">IF(AND(SUMIF(Capacity_Resource,$D35,'Critical resources (hide)'!BS$6:BS$105)+SUMIF(Capacity_Resource,$E35,'Critical resources (hide)'!BS$6:BS$105)+SUMIF(Capacity_Resource,$F35,'Critical resources (hide)'!BS$6:BS$105)&gt;0,$E$1=2),0,1)</f>
        <v>1</v>
      </c>
      <c r="BG35" s="68">
        <f ca="1">IF(AND(SUMIF(Capacity_Resource,$D35,'Critical resources (hide)'!BT$6:BT$105)+SUMIF(Capacity_Resource,$E35,'Critical resources (hide)'!BT$6:BT$105)+SUMIF(Capacity_Resource,$F35,'Critical resources (hide)'!BT$6:BT$105)&gt;0,$E$1=2),0,1)</f>
        <v>1</v>
      </c>
      <c r="BH35" s="68">
        <f>IF(ROW(C31)&lt;=Capacity!$A$16,IF('Capacity summary'!$D$14="No",SUM(H35:BG35),'Capacity summary'!$E154),0)</f>
        <v>0</v>
      </c>
      <c r="BI35" s="5" t="str">
        <f>IF(BH35&gt;0,IF(BH35&lt;Capacity!E47,Capacity!F47,Capacity!H47/'Capacity calculation (hide)'!BH35),"")</f>
        <v/>
      </c>
      <c r="BK35" s="319">
        <f>IF($BI35&lt;&gt;"",IF('Capacity summary'!$D$14="Yes",IF(COUNTBLANK('Capacity summary'!$H154:$BG154)&lt;52,IF('Capacity summary'!H154&lt;&gt;"",$BI35*H35,0),H35*$BI35),H35*$BI35),0)</f>
        <v>0</v>
      </c>
      <c r="BL35" s="319">
        <f>IF($BI35&lt;&gt;"",IF('Capacity summary'!$D$14="Yes",IF(COUNTBLANK('Capacity summary'!$H154:$BG154)&lt;52,IF('Capacity summary'!I154&lt;&gt;"",$BI35*I35,0),I35*$BI35),I35*$BI35),0)</f>
        <v>0</v>
      </c>
      <c r="BM35" s="319">
        <f>IF($BI35&lt;&gt;"",IF('Capacity summary'!$D$14="Yes",IF(COUNTBLANK('Capacity summary'!$H154:$BG154)&lt;52,IF('Capacity summary'!J154&lt;&gt;"",$BI35*J35,0),J35*$BI35),J35*$BI35),0)</f>
        <v>0</v>
      </c>
      <c r="BN35" s="319">
        <f>IF($BI35&lt;&gt;"",IF('Capacity summary'!$D$14="Yes",IF(COUNTBLANK('Capacity summary'!$H154:$BG154)&lt;52,IF('Capacity summary'!K154&lt;&gt;"",$BI35*K35,0),K35*$BI35),K35*$BI35),0)</f>
        <v>0</v>
      </c>
      <c r="BO35" s="319">
        <f>IF($BI35&lt;&gt;"",IF('Capacity summary'!$D$14="Yes",IF(COUNTBLANK('Capacity summary'!$H154:$BG154)&lt;52,IF('Capacity summary'!L154&lt;&gt;"",$BI35*L35,0),L35*$BI35),L35*$BI35),0)</f>
        <v>0</v>
      </c>
      <c r="BP35" s="319">
        <f>IF($BI35&lt;&gt;"",IF('Capacity summary'!$D$14="Yes",IF(COUNTBLANK('Capacity summary'!$H154:$BG154)&lt;52,IF('Capacity summary'!M154&lt;&gt;"",$BI35*M35,0),M35*$BI35),M35*$BI35),0)</f>
        <v>0</v>
      </c>
      <c r="BQ35" s="319">
        <f>IF($BI35&lt;&gt;"",IF('Capacity summary'!$D$14="Yes",IF(COUNTBLANK('Capacity summary'!$H154:$BG154)&lt;52,IF('Capacity summary'!N154&lt;&gt;"",$BI35*N35,0),N35*$BI35),N35*$BI35),0)</f>
        <v>0</v>
      </c>
      <c r="BR35" s="319">
        <f>IF($BI35&lt;&gt;"",IF('Capacity summary'!$D$14="Yes",IF(COUNTBLANK('Capacity summary'!$H154:$BG154)&lt;52,IF('Capacity summary'!O154&lt;&gt;"",$BI35*O35,0),O35*$BI35),O35*$BI35),0)</f>
        <v>0</v>
      </c>
      <c r="BS35" s="319">
        <f>IF($BI35&lt;&gt;"",IF('Capacity summary'!$D$14="Yes",IF(COUNTBLANK('Capacity summary'!$H154:$BG154)&lt;52,IF('Capacity summary'!P154&lt;&gt;"",$BI35*P35,0),P35*$BI35),P35*$BI35),0)</f>
        <v>0</v>
      </c>
      <c r="BT35" s="319">
        <f>IF($BI35&lt;&gt;"",IF('Capacity summary'!$D$14="Yes",IF(COUNTBLANK('Capacity summary'!$H154:$BG154)&lt;52,IF('Capacity summary'!Q154&lt;&gt;"",$BI35*Q35,0),Q35*$BI35),Q35*$BI35),0)</f>
        <v>0</v>
      </c>
      <c r="BU35" s="319">
        <f>IF($BI35&lt;&gt;"",IF('Capacity summary'!$D$14="Yes",IF(COUNTBLANK('Capacity summary'!$H154:$BG154)&lt;52,IF('Capacity summary'!R154&lt;&gt;"",$BI35*R35,0),R35*$BI35),R35*$BI35),0)</f>
        <v>0</v>
      </c>
      <c r="BV35" s="319">
        <f>IF($BI35&lt;&gt;"",IF('Capacity summary'!$D$14="Yes",IF(COUNTBLANK('Capacity summary'!$H154:$BG154)&lt;52,IF('Capacity summary'!S154&lt;&gt;"",$BI35*S35,0),S35*$BI35),S35*$BI35),0)</f>
        <v>0</v>
      </c>
      <c r="BW35" s="319">
        <f>IF($BI35&lt;&gt;"",IF('Capacity summary'!$D$14="Yes",IF(COUNTBLANK('Capacity summary'!$H154:$BG154)&lt;52,IF('Capacity summary'!T154&lt;&gt;"",$BI35*T35,0),T35*$BI35),T35*$BI35),0)</f>
        <v>0</v>
      </c>
      <c r="BX35" s="319">
        <f>IF($BI35&lt;&gt;"",IF('Capacity summary'!$D$14="Yes",IF(COUNTBLANK('Capacity summary'!$H154:$BG154)&lt;52,IF('Capacity summary'!U154&lt;&gt;"",$BI35*U35,0),U35*$BI35),U35*$BI35),0)</f>
        <v>0</v>
      </c>
      <c r="BY35" s="319">
        <f>IF($BI35&lt;&gt;"",IF('Capacity summary'!$D$14="Yes",IF(COUNTBLANK('Capacity summary'!$H154:$BG154)&lt;52,IF('Capacity summary'!V154&lt;&gt;"",$BI35*V35,0),V35*$BI35),V35*$BI35),0)</f>
        <v>0</v>
      </c>
      <c r="BZ35" s="319">
        <f>IF($BI35&lt;&gt;"",IF('Capacity summary'!$D$14="Yes",IF(COUNTBLANK('Capacity summary'!$H154:$BG154)&lt;52,IF('Capacity summary'!W154&lt;&gt;"",$BI35*W35,0),W35*$BI35),W35*$BI35),0)</f>
        <v>0</v>
      </c>
      <c r="CA35" s="319">
        <f>IF($BI35&lt;&gt;"",IF('Capacity summary'!$D$14="Yes",IF(COUNTBLANK('Capacity summary'!$H154:$BG154)&lt;52,IF('Capacity summary'!X154&lt;&gt;"",$BI35*X35,0),X35*$BI35),X35*$BI35),0)</f>
        <v>0</v>
      </c>
      <c r="CB35" s="319">
        <f>IF($BI35&lt;&gt;"",IF('Capacity summary'!$D$14="Yes",IF(COUNTBLANK('Capacity summary'!$H154:$BG154)&lt;52,IF('Capacity summary'!Y154&lt;&gt;"",$BI35*Y35,0),Y35*$BI35),Y35*$BI35),0)</f>
        <v>0</v>
      </c>
      <c r="CC35" s="319">
        <f>IF($BI35&lt;&gt;"",IF('Capacity summary'!$D$14="Yes",IF(COUNTBLANK('Capacity summary'!$H154:$BG154)&lt;52,IF('Capacity summary'!Z154&lt;&gt;"",$BI35*Z35,0),Z35*$BI35),Z35*$BI35),0)</f>
        <v>0</v>
      </c>
      <c r="CD35" s="319">
        <f>IF($BI35&lt;&gt;"",IF('Capacity summary'!$D$14="Yes",IF(COUNTBLANK('Capacity summary'!$H154:$BG154)&lt;52,IF('Capacity summary'!AA154&lt;&gt;"",$BI35*AA35,0),AA35*$BI35),AA35*$BI35),0)</f>
        <v>0</v>
      </c>
      <c r="CE35" s="319">
        <f>IF($BI35&lt;&gt;"",IF('Capacity summary'!$D$14="Yes",IF(COUNTBLANK('Capacity summary'!$H154:$BG154)&lt;52,IF('Capacity summary'!AB154&lt;&gt;"",$BI35*AB35,0),AB35*$BI35),AB35*$BI35),0)</f>
        <v>0</v>
      </c>
      <c r="CF35" s="319">
        <f>IF($BI35&lt;&gt;"",IF('Capacity summary'!$D$14="Yes",IF(COUNTBLANK('Capacity summary'!$H154:$BG154)&lt;52,IF('Capacity summary'!AC154&lt;&gt;"",$BI35*AC35,0),AC35*$BI35),AC35*$BI35),0)</f>
        <v>0</v>
      </c>
      <c r="CG35" s="319">
        <f>IF($BI35&lt;&gt;"",IF('Capacity summary'!$D$14="Yes",IF(COUNTBLANK('Capacity summary'!$H154:$BG154)&lt;52,IF('Capacity summary'!AD154&lt;&gt;"",$BI35*AD35,0),AD35*$BI35),AD35*$BI35),0)</f>
        <v>0</v>
      </c>
      <c r="CH35" s="319">
        <f>IF($BI35&lt;&gt;"",IF('Capacity summary'!$D$14="Yes",IF(COUNTBLANK('Capacity summary'!$H154:$BG154)&lt;52,IF('Capacity summary'!AE154&lt;&gt;"",$BI35*AE35,0),AE35*$BI35),AE35*$BI35),0)</f>
        <v>0</v>
      </c>
      <c r="CI35" s="319">
        <f>IF($BI35&lt;&gt;"",IF('Capacity summary'!$D$14="Yes",IF(COUNTBLANK('Capacity summary'!$H154:$BG154)&lt;52,IF('Capacity summary'!AF154&lt;&gt;"",$BI35*AF35,0),AF35*$BI35),AF35*$BI35),0)</f>
        <v>0</v>
      </c>
      <c r="CJ35" s="319">
        <f>IF($BI35&lt;&gt;"",IF('Capacity summary'!$D$14="Yes",IF(COUNTBLANK('Capacity summary'!$H154:$BG154)&lt;52,IF('Capacity summary'!AG154&lt;&gt;"",$BI35*AG35,0),AG35*$BI35),AG35*$BI35),0)</f>
        <v>0</v>
      </c>
      <c r="CK35" s="319">
        <f>IF($BI35&lt;&gt;"",IF('Capacity summary'!$D$14="Yes",IF(COUNTBLANK('Capacity summary'!$H154:$BG154)&lt;52,IF('Capacity summary'!AH154&lt;&gt;"",$BI35*AH35,0),AH35*$BI35),AH35*$BI35),0)</f>
        <v>0</v>
      </c>
      <c r="CL35" s="319">
        <f>IF($BI35&lt;&gt;"",IF('Capacity summary'!$D$14="Yes",IF(COUNTBLANK('Capacity summary'!$H154:$BG154)&lt;52,IF('Capacity summary'!AI154&lt;&gt;"",$BI35*AI35,0),AI35*$BI35),AI35*$BI35),0)</f>
        <v>0</v>
      </c>
      <c r="CM35" s="319">
        <f>IF($BI35&lt;&gt;"",IF('Capacity summary'!$D$14="Yes",IF(COUNTBLANK('Capacity summary'!$H154:$BG154)&lt;52,IF('Capacity summary'!AJ154&lt;&gt;"",$BI35*AJ35,0),AJ35*$BI35),AJ35*$BI35),0)</f>
        <v>0</v>
      </c>
      <c r="CN35" s="319">
        <f>IF($BI35&lt;&gt;"",IF('Capacity summary'!$D$14="Yes",IF(COUNTBLANK('Capacity summary'!$H154:$BG154)&lt;52,IF('Capacity summary'!AK154&lt;&gt;"",$BI35*AK35,0),AK35*$BI35),AK35*$BI35),0)</f>
        <v>0</v>
      </c>
      <c r="CO35" s="319">
        <f>IF($BI35&lt;&gt;"",IF('Capacity summary'!$D$14="Yes",IF(COUNTBLANK('Capacity summary'!$H154:$BG154)&lt;52,IF('Capacity summary'!AL154&lt;&gt;"",$BI35*AL35,0),AL35*$BI35),AL35*$BI35),0)</f>
        <v>0</v>
      </c>
      <c r="CP35" s="319">
        <f>IF($BI35&lt;&gt;"",IF('Capacity summary'!$D$14="Yes",IF(COUNTBLANK('Capacity summary'!$H154:$BG154)&lt;52,IF('Capacity summary'!AM154&lt;&gt;"",$BI35*AM35,0),AM35*$BI35),AM35*$BI35),0)</f>
        <v>0</v>
      </c>
      <c r="CQ35" s="319">
        <f>IF($BI35&lt;&gt;"",IF('Capacity summary'!$D$14="Yes",IF(COUNTBLANK('Capacity summary'!$H154:$BG154)&lt;52,IF('Capacity summary'!AN154&lt;&gt;"",$BI35*AN35,0),AN35*$BI35),AN35*$BI35),0)</f>
        <v>0</v>
      </c>
      <c r="CR35" s="319">
        <f>IF($BI35&lt;&gt;"",IF('Capacity summary'!$D$14="Yes",IF(COUNTBLANK('Capacity summary'!$H154:$BG154)&lt;52,IF('Capacity summary'!AO154&lt;&gt;"",$BI35*AO35,0),AO35*$BI35),AO35*$BI35),0)</f>
        <v>0</v>
      </c>
      <c r="CS35" s="319">
        <f>IF($BI35&lt;&gt;"",IF('Capacity summary'!$D$14="Yes",IF(COUNTBLANK('Capacity summary'!$H154:$BG154)&lt;52,IF('Capacity summary'!AP154&lt;&gt;"",$BI35*AP35,0),AP35*$BI35),AP35*$BI35),0)</f>
        <v>0</v>
      </c>
      <c r="CT35" s="319">
        <f>IF($BI35&lt;&gt;"",IF('Capacity summary'!$D$14="Yes",IF(COUNTBLANK('Capacity summary'!$H154:$BG154)&lt;52,IF('Capacity summary'!AQ154&lt;&gt;"",$BI35*AQ35,0),AQ35*$BI35),AQ35*$BI35),0)</f>
        <v>0</v>
      </c>
      <c r="CU35" s="319">
        <f>IF($BI35&lt;&gt;"",IF('Capacity summary'!$D$14="Yes",IF(COUNTBLANK('Capacity summary'!$H154:$BG154)&lt;52,IF('Capacity summary'!AR154&lt;&gt;"",$BI35*AR35,0),AR35*$BI35),AR35*$BI35),0)</f>
        <v>0</v>
      </c>
      <c r="CV35" s="319">
        <f>IF($BI35&lt;&gt;"",IF('Capacity summary'!$D$14="Yes",IF(COUNTBLANK('Capacity summary'!$H154:$BG154)&lt;52,IF('Capacity summary'!AS154&lt;&gt;"",$BI35*AS35,0),AS35*$BI35),AS35*$BI35),0)</f>
        <v>0</v>
      </c>
      <c r="CW35" s="319">
        <f>IF($BI35&lt;&gt;"",IF('Capacity summary'!$D$14="Yes",IF(COUNTBLANK('Capacity summary'!$H154:$BG154)&lt;52,IF('Capacity summary'!AT154&lt;&gt;"",$BI35*AT35,0),AT35*$BI35),AT35*$BI35),0)</f>
        <v>0</v>
      </c>
      <c r="CX35" s="319">
        <f>IF($BI35&lt;&gt;"",IF('Capacity summary'!$D$14="Yes",IF(COUNTBLANK('Capacity summary'!$H154:$BG154)&lt;52,IF('Capacity summary'!AU154&lt;&gt;"",$BI35*AU35,0),AU35*$BI35),AU35*$BI35),0)</f>
        <v>0</v>
      </c>
      <c r="CY35" s="319">
        <f>IF($BI35&lt;&gt;"",IF('Capacity summary'!$D$14="Yes",IF(COUNTBLANK('Capacity summary'!$H154:$BG154)&lt;52,IF('Capacity summary'!AV154&lt;&gt;"",$BI35*AV35,0),AV35*$BI35),AV35*$BI35),0)</f>
        <v>0</v>
      </c>
      <c r="CZ35" s="319">
        <f>IF($BI35&lt;&gt;"",IF('Capacity summary'!$D$14="Yes",IF(COUNTBLANK('Capacity summary'!$H154:$BG154)&lt;52,IF('Capacity summary'!AW154&lt;&gt;"",$BI35*AW35,0),AW35*$BI35),AW35*$BI35),0)</f>
        <v>0</v>
      </c>
      <c r="DA35" s="319">
        <f>IF($BI35&lt;&gt;"",IF('Capacity summary'!$D$14="Yes",IF(COUNTBLANK('Capacity summary'!$H154:$BG154)&lt;52,IF('Capacity summary'!AX154&lt;&gt;"",$BI35*AX35,0),AX35*$BI35),AX35*$BI35),0)</f>
        <v>0</v>
      </c>
      <c r="DB35" s="319">
        <f>IF($BI35&lt;&gt;"",IF('Capacity summary'!$D$14="Yes",IF(COUNTBLANK('Capacity summary'!$H154:$BG154)&lt;52,IF('Capacity summary'!AY154&lt;&gt;"",$BI35*AY35,0),AY35*$BI35),AY35*$BI35),0)</f>
        <v>0</v>
      </c>
      <c r="DC35" s="319">
        <f>IF($BI35&lt;&gt;"",IF('Capacity summary'!$D$14="Yes",IF(COUNTBLANK('Capacity summary'!$H154:$BG154)&lt;52,IF('Capacity summary'!AZ154&lt;&gt;"",$BI35*AZ35,0),AZ35*$BI35),AZ35*$BI35),0)</f>
        <v>0</v>
      </c>
      <c r="DD35" s="319">
        <f>IF($BI35&lt;&gt;"",IF('Capacity summary'!$D$14="Yes",IF(COUNTBLANK('Capacity summary'!$H154:$BG154)&lt;52,IF('Capacity summary'!BA154&lt;&gt;"",$BI35*BA35,0),BA35*$BI35),BA35*$BI35),0)</f>
        <v>0</v>
      </c>
      <c r="DE35" s="319">
        <f>IF($BI35&lt;&gt;"",IF('Capacity summary'!$D$14="Yes",IF(COUNTBLANK('Capacity summary'!$H154:$BG154)&lt;52,IF('Capacity summary'!BB154&lt;&gt;"",$BI35*BB35,0),BB35*$BI35),BB35*$BI35),0)</f>
        <v>0</v>
      </c>
      <c r="DF35" s="319">
        <f>IF($BI35&lt;&gt;"",IF('Capacity summary'!$D$14="Yes",IF(COUNTBLANK('Capacity summary'!$H154:$BG154)&lt;52,IF('Capacity summary'!BC154&lt;&gt;"",$BI35*BC35,0),BC35*$BI35),BC35*$BI35),0)</f>
        <v>0</v>
      </c>
      <c r="DG35" s="319">
        <f>IF($BI35&lt;&gt;"",IF('Capacity summary'!$D$14="Yes",IF(COUNTBLANK('Capacity summary'!$H154:$BG154)&lt;52,IF('Capacity summary'!BD154&lt;&gt;"",$BI35*BD35,0),BD35*$BI35),BD35*$BI35),0)</f>
        <v>0</v>
      </c>
      <c r="DH35" s="319">
        <f>IF($BI35&lt;&gt;"",IF('Capacity summary'!$D$14="Yes",IF(COUNTBLANK('Capacity summary'!$H154:$BG154)&lt;52,IF('Capacity summary'!BE154&lt;&gt;"",$BI35*BE35,0),BE35*$BI35),BE35*$BI35),0)</f>
        <v>0</v>
      </c>
      <c r="DI35" s="319">
        <f>IF($BI35&lt;&gt;"",IF('Capacity summary'!$D$14="Yes",IF(COUNTBLANK('Capacity summary'!$H154:$BG154)&lt;52,IF('Capacity summary'!BF154&lt;&gt;"",$BI35*BF35,0),BF35*$BI35),BF35*$BI35),0)</f>
        <v>0</v>
      </c>
      <c r="DJ35" s="319">
        <f>IF($BI35&lt;&gt;"",IF('Capacity summary'!$D$14="Yes",IF(COUNTBLANK('Capacity summary'!$H154:$BG154)&lt;52,IF('Capacity summary'!BG154&lt;&gt;"",$BI35*BG35,0),BG35*$BI35),BG35*$BI35),0)</f>
        <v>0</v>
      </c>
      <c r="DK35" s="5">
        <f t="shared" si="2"/>
        <v>0</v>
      </c>
      <c r="DL35" s="5" t="str">
        <f>Capacity!H47</f>
        <v/>
      </c>
      <c r="DP35" s="5"/>
    </row>
    <row r="36" spans="2:120" x14ac:dyDescent="0.2">
      <c r="B36" s="68"/>
      <c r="C36" s="68" t="str">
        <f>ROW(A32)&amp;". "&amp;Capacity!B48</f>
        <v xml:space="preserve">32. </v>
      </c>
      <c r="D36" s="68">
        <f>'Capacity setup'!C43</f>
        <v>0</v>
      </c>
      <c r="E36" s="68">
        <f>'Capacity setup'!D43</f>
        <v>0</v>
      </c>
      <c r="F36" s="68">
        <f>'Capacity setup'!E43</f>
        <v>0</v>
      </c>
      <c r="H36" s="68">
        <f ca="1">IF(AND(SUMIF(Capacity_Resource,$D36,'Critical resources (hide)'!U$6:U$105)+SUMIF(Capacity_Resource,$E36,'Critical resources (hide)'!U$6:U$105)+SUMIF(Capacity_Resource,$F36,'Critical resources (hide)'!U$6:U$105)&gt;0,$E$1=2),0,1)</f>
        <v>1</v>
      </c>
      <c r="I36" s="68">
        <f ca="1">IF(AND(SUMIF(Capacity_Resource,$D36,'Critical resources (hide)'!V$6:V$105)+SUMIF(Capacity_Resource,$E36,'Critical resources (hide)'!V$6:V$105)+SUMIF(Capacity_Resource,$F36,'Critical resources (hide)'!V$6:V$105)&gt;0,$E$1=2),0,1)</f>
        <v>1</v>
      </c>
      <c r="J36" s="68">
        <f ca="1">IF(AND(SUMIF(Capacity_Resource,$D36,'Critical resources (hide)'!W$6:W$105)+SUMIF(Capacity_Resource,$E36,'Critical resources (hide)'!W$6:W$105)+SUMIF(Capacity_Resource,$F36,'Critical resources (hide)'!W$6:W$105)&gt;0,$E$1=2),0,1)</f>
        <v>1</v>
      </c>
      <c r="K36" s="68">
        <f ca="1">IF(AND(SUMIF(Capacity_Resource,$D36,'Critical resources (hide)'!X$6:X$105)+SUMIF(Capacity_Resource,$E36,'Critical resources (hide)'!X$6:X$105)+SUMIF(Capacity_Resource,$F36,'Critical resources (hide)'!X$6:X$105)&gt;0,$E$1=2),0,1)</f>
        <v>1</v>
      </c>
      <c r="L36" s="68">
        <f ca="1">IF(AND(SUMIF(Capacity_Resource,$D36,'Critical resources (hide)'!Y$6:Y$105)+SUMIF(Capacity_Resource,$E36,'Critical resources (hide)'!Y$6:Y$105)+SUMIF(Capacity_Resource,$F36,'Critical resources (hide)'!Y$6:Y$105)&gt;0,$E$1=2),0,1)</f>
        <v>1</v>
      </c>
      <c r="M36" s="68">
        <f ca="1">IF(AND(SUMIF(Capacity_Resource,$D36,'Critical resources (hide)'!Z$6:Z$105)+SUMIF(Capacity_Resource,$E36,'Critical resources (hide)'!Z$6:Z$105)+SUMIF(Capacity_Resource,$F36,'Critical resources (hide)'!Z$6:Z$105)&gt;0,$E$1=2),0,1)</f>
        <v>1</v>
      </c>
      <c r="N36" s="68">
        <f ca="1">IF(AND(SUMIF(Capacity_Resource,$D36,'Critical resources (hide)'!AA$6:AA$105)+SUMIF(Capacity_Resource,$E36,'Critical resources (hide)'!AA$6:AA$105)+SUMIF(Capacity_Resource,$F36,'Critical resources (hide)'!AA$6:AA$105)&gt;0,$E$1=2),0,1)</f>
        <v>1</v>
      </c>
      <c r="O36" s="68">
        <f ca="1">IF(AND(SUMIF(Capacity_Resource,$D36,'Critical resources (hide)'!AB$6:AB$105)+SUMIF(Capacity_Resource,$E36,'Critical resources (hide)'!AB$6:AB$105)+SUMIF(Capacity_Resource,$F36,'Critical resources (hide)'!AB$6:AB$105)&gt;0,$E$1=2),0,1)</f>
        <v>1</v>
      </c>
      <c r="P36" s="68">
        <f ca="1">IF(AND(SUMIF(Capacity_Resource,$D36,'Critical resources (hide)'!AC$6:AC$105)+SUMIF(Capacity_Resource,$E36,'Critical resources (hide)'!AC$6:AC$105)+SUMIF(Capacity_Resource,$F36,'Critical resources (hide)'!AC$6:AC$105)&gt;0,$E$1=2),0,1)</f>
        <v>1</v>
      </c>
      <c r="Q36" s="68">
        <f ca="1">IF(AND(SUMIF(Capacity_Resource,$D36,'Critical resources (hide)'!AD$6:AD$105)+SUMIF(Capacity_Resource,$E36,'Critical resources (hide)'!AD$6:AD$105)+SUMIF(Capacity_Resource,$F36,'Critical resources (hide)'!AD$6:AD$105)&gt;0,$E$1=2),0,1)</f>
        <v>1</v>
      </c>
      <c r="R36" s="68">
        <f ca="1">IF(AND(SUMIF(Capacity_Resource,$D36,'Critical resources (hide)'!AE$6:AE$105)+SUMIF(Capacity_Resource,$E36,'Critical resources (hide)'!AE$6:AE$105)+SUMIF(Capacity_Resource,$F36,'Critical resources (hide)'!AE$6:AE$105)&gt;0,$E$1=2),0,1)</f>
        <v>1</v>
      </c>
      <c r="S36" s="68">
        <f ca="1">IF(AND(SUMIF(Capacity_Resource,$D36,'Critical resources (hide)'!AF$6:AF$105)+SUMIF(Capacity_Resource,$E36,'Critical resources (hide)'!AF$6:AF$105)+SUMIF(Capacity_Resource,$F36,'Critical resources (hide)'!AF$6:AF$105)&gt;0,$E$1=2),0,1)</f>
        <v>1</v>
      </c>
      <c r="T36" s="68">
        <f ca="1">IF(AND(SUMIF(Capacity_Resource,$D36,'Critical resources (hide)'!AG$6:AG$105)+SUMIF(Capacity_Resource,$E36,'Critical resources (hide)'!AG$6:AG$105)+SUMIF(Capacity_Resource,$F36,'Critical resources (hide)'!AG$6:AG$105)&gt;0,$E$1=2),0,1)</f>
        <v>1</v>
      </c>
      <c r="U36" s="68">
        <f ca="1">IF(AND(SUMIF(Capacity_Resource,$D36,'Critical resources (hide)'!AH$6:AH$105)+SUMIF(Capacity_Resource,$E36,'Critical resources (hide)'!AH$6:AH$105)+SUMIF(Capacity_Resource,$F36,'Critical resources (hide)'!AH$6:AH$105)&gt;0,$E$1=2),0,1)</f>
        <v>1</v>
      </c>
      <c r="V36" s="68">
        <f ca="1">IF(AND(SUMIF(Capacity_Resource,$D36,'Critical resources (hide)'!AI$6:AI$105)+SUMIF(Capacity_Resource,$E36,'Critical resources (hide)'!AI$6:AI$105)+SUMIF(Capacity_Resource,$F36,'Critical resources (hide)'!AI$6:AI$105)&gt;0,$E$1=2),0,1)</f>
        <v>1</v>
      </c>
      <c r="W36" s="68">
        <f ca="1">IF(AND(SUMIF(Capacity_Resource,$D36,'Critical resources (hide)'!AJ$6:AJ$105)+SUMIF(Capacity_Resource,$E36,'Critical resources (hide)'!AJ$6:AJ$105)+SUMIF(Capacity_Resource,$F36,'Critical resources (hide)'!AJ$6:AJ$105)&gt;0,$E$1=2),0,1)</f>
        <v>1</v>
      </c>
      <c r="X36" s="68">
        <f ca="1">IF(AND(SUMIF(Capacity_Resource,$D36,'Critical resources (hide)'!AK$6:AK$105)+SUMIF(Capacity_Resource,$E36,'Critical resources (hide)'!AK$6:AK$105)+SUMIF(Capacity_Resource,$F36,'Critical resources (hide)'!AK$6:AK$105)&gt;0,$E$1=2),0,1)</f>
        <v>1</v>
      </c>
      <c r="Y36" s="68">
        <f ca="1">IF(AND(SUMIF(Capacity_Resource,$D36,'Critical resources (hide)'!AL$6:AL$105)+SUMIF(Capacity_Resource,$E36,'Critical resources (hide)'!AL$6:AL$105)+SUMIF(Capacity_Resource,$F36,'Critical resources (hide)'!AL$6:AL$105)&gt;0,$E$1=2),0,1)</f>
        <v>1</v>
      </c>
      <c r="Z36" s="68">
        <f ca="1">IF(AND(SUMIF(Capacity_Resource,$D36,'Critical resources (hide)'!AM$6:AM$105)+SUMIF(Capacity_Resource,$E36,'Critical resources (hide)'!AM$6:AM$105)+SUMIF(Capacity_Resource,$F36,'Critical resources (hide)'!AM$6:AM$105)&gt;0,$E$1=2),0,1)</f>
        <v>1</v>
      </c>
      <c r="AA36" s="68">
        <f ca="1">IF(AND(SUMIF(Capacity_Resource,$D36,'Critical resources (hide)'!AN$6:AN$105)+SUMIF(Capacity_Resource,$E36,'Critical resources (hide)'!AN$6:AN$105)+SUMIF(Capacity_Resource,$F36,'Critical resources (hide)'!AN$6:AN$105)&gt;0,$E$1=2),0,1)</f>
        <v>1</v>
      </c>
      <c r="AB36" s="68">
        <f ca="1">IF(AND(SUMIF(Capacity_Resource,$D36,'Critical resources (hide)'!AO$6:AO$105)+SUMIF(Capacity_Resource,$E36,'Critical resources (hide)'!AO$6:AO$105)+SUMIF(Capacity_Resource,$F36,'Critical resources (hide)'!AO$6:AO$105)&gt;0,$E$1=2),0,1)</f>
        <v>1</v>
      </c>
      <c r="AC36" s="68">
        <f ca="1">IF(AND(SUMIF(Capacity_Resource,$D36,'Critical resources (hide)'!AP$6:AP$105)+SUMIF(Capacity_Resource,$E36,'Critical resources (hide)'!AP$6:AP$105)+SUMIF(Capacity_Resource,$F36,'Critical resources (hide)'!AP$6:AP$105)&gt;0,$E$1=2),0,1)</f>
        <v>1</v>
      </c>
      <c r="AD36" s="68">
        <f ca="1">IF(AND(SUMIF(Capacity_Resource,$D36,'Critical resources (hide)'!AQ$6:AQ$105)+SUMIF(Capacity_Resource,$E36,'Critical resources (hide)'!AQ$6:AQ$105)+SUMIF(Capacity_Resource,$F36,'Critical resources (hide)'!AQ$6:AQ$105)&gt;0,$E$1=2),0,1)</f>
        <v>1</v>
      </c>
      <c r="AE36" s="68">
        <f ca="1">IF(AND(SUMIF(Capacity_Resource,$D36,'Critical resources (hide)'!AR$6:AR$105)+SUMIF(Capacity_Resource,$E36,'Critical resources (hide)'!AR$6:AR$105)+SUMIF(Capacity_Resource,$F36,'Critical resources (hide)'!AR$6:AR$105)&gt;0,$E$1=2),0,1)</f>
        <v>1</v>
      </c>
      <c r="AF36" s="68">
        <f ca="1">IF(AND(SUMIF(Capacity_Resource,$D36,'Critical resources (hide)'!AS$6:AS$105)+SUMIF(Capacity_Resource,$E36,'Critical resources (hide)'!AS$6:AS$105)+SUMIF(Capacity_Resource,$F36,'Critical resources (hide)'!AS$6:AS$105)&gt;0,$E$1=2),0,1)</f>
        <v>1</v>
      </c>
      <c r="AG36" s="68">
        <f ca="1">IF(AND(SUMIF(Capacity_Resource,$D36,'Critical resources (hide)'!AT$6:AT$105)+SUMIF(Capacity_Resource,$E36,'Critical resources (hide)'!AT$6:AT$105)+SUMIF(Capacity_Resource,$F36,'Critical resources (hide)'!AT$6:AT$105)&gt;0,$E$1=2),0,1)</f>
        <v>1</v>
      </c>
      <c r="AH36" s="68">
        <f ca="1">IF(AND(SUMIF(Capacity_Resource,$D36,'Critical resources (hide)'!AU$6:AU$105)+SUMIF(Capacity_Resource,$E36,'Critical resources (hide)'!AU$6:AU$105)+SUMIF(Capacity_Resource,$F36,'Critical resources (hide)'!AU$6:AU$105)&gt;0,$E$1=2),0,1)</f>
        <v>1</v>
      </c>
      <c r="AI36" s="68">
        <f ca="1">IF(AND(SUMIF(Capacity_Resource,$D36,'Critical resources (hide)'!AV$6:AV$105)+SUMIF(Capacity_Resource,$E36,'Critical resources (hide)'!AV$6:AV$105)+SUMIF(Capacity_Resource,$F36,'Critical resources (hide)'!AV$6:AV$105)&gt;0,$E$1=2),0,1)</f>
        <v>1</v>
      </c>
      <c r="AJ36" s="68">
        <f ca="1">IF(AND(SUMIF(Capacity_Resource,$D36,'Critical resources (hide)'!AW$6:AW$105)+SUMIF(Capacity_Resource,$E36,'Critical resources (hide)'!AW$6:AW$105)+SUMIF(Capacity_Resource,$F36,'Critical resources (hide)'!AW$6:AW$105)&gt;0,$E$1=2),0,1)</f>
        <v>1</v>
      </c>
      <c r="AK36" s="68">
        <f ca="1">IF(AND(SUMIF(Capacity_Resource,$D36,'Critical resources (hide)'!AX$6:AX$105)+SUMIF(Capacity_Resource,$E36,'Critical resources (hide)'!AX$6:AX$105)+SUMIF(Capacity_Resource,$F36,'Critical resources (hide)'!AX$6:AX$105)&gt;0,$E$1=2),0,1)</f>
        <v>1</v>
      </c>
      <c r="AL36" s="68">
        <f ca="1">IF(AND(SUMIF(Capacity_Resource,$D36,'Critical resources (hide)'!AY$6:AY$105)+SUMIF(Capacity_Resource,$E36,'Critical resources (hide)'!AY$6:AY$105)+SUMIF(Capacity_Resource,$F36,'Critical resources (hide)'!AY$6:AY$105)&gt;0,$E$1=2),0,1)</f>
        <v>1</v>
      </c>
      <c r="AM36" s="68">
        <f ca="1">IF(AND(SUMIF(Capacity_Resource,$D36,'Critical resources (hide)'!AZ$6:AZ$105)+SUMIF(Capacity_Resource,$E36,'Critical resources (hide)'!AZ$6:AZ$105)+SUMIF(Capacity_Resource,$F36,'Critical resources (hide)'!AZ$6:AZ$105)&gt;0,$E$1=2),0,1)</f>
        <v>1</v>
      </c>
      <c r="AN36" s="68">
        <f ca="1">IF(AND(SUMIF(Capacity_Resource,$D36,'Critical resources (hide)'!BA$6:BA$105)+SUMIF(Capacity_Resource,$E36,'Critical resources (hide)'!BA$6:BA$105)+SUMIF(Capacity_Resource,$F36,'Critical resources (hide)'!BA$6:BA$105)&gt;0,$E$1=2),0,1)</f>
        <v>1</v>
      </c>
      <c r="AO36" s="68">
        <f ca="1">IF(AND(SUMIF(Capacity_Resource,$D36,'Critical resources (hide)'!BB$6:BB$105)+SUMIF(Capacity_Resource,$E36,'Critical resources (hide)'!BB$6:BB$105)+SUMIF(Capacity_Resource,$F36,'Critical resources (hide)'!BB$6:BB$105)&gt;0,$E$1=2),0,1)</f>
        <v>1</v>
      </c>
      <c r="AP36" s="68">
        <f ca="1">IF(AND(SUMIF(Capacity_Resource,$D36,'Critical resources (hide)'!BC$6:BC$105)+SUMIF(Capacity_Resource,$E36,'Critical resources (hide)'!BC$6:BC$105)+SUMIF(Capacity_Resource,$F36,'Critical resources (hide)'!BC$6:BC$105)&gt;0,$E$1=2),0,1)</f>
        <v>1</v>
      </c>
      <c r="AQ36" s="68">
        <f ca="1">IF(AND(SUMIF(Capacity_Resource,$D36,'Critical resources (hide)'!BD$6:BD$105)+SUMIF(Capacity_Resource,$E36,'Critical resources (hide)'!BD$6:BD$105)+SUMIF(Capacity_Resource,$F36,'Critical resources (hide)'!BD$6:BD$105)&gt;0,$E$1=2),0,1)</f>
        <v>1</v>
      </c>
      <c r="AR36" s="68">
        <f ca="1">IF(AND(SUMIF(Capacity_Resource,$D36,'Critical resources (hide)'!BE$6:BE$105)+SUMIF(Capacity_Resource,$E36,'Critical resources (hide)'!BE$6:BE$105)+SUMIF(Capacity_Resource,$F36,'Critical resources (hide)'!BE$6:BE$105)&gt;0,$E$1=2),0,1)</f>
        <v>1</v>
      </c>
      <c r="AS36" s="68">
        <f ca="1">IF(AND(SUMIF(Capacity_Resource,$D36,'Critical resources (hide)'!BF$6:BF$105)+SUMIF(Capacity_Resource,$E36,'Critical resources (hide)'!BF$6:BF$105)+SUMIF(Capacity_Resource,$F36,'Critical resources (hide)'!BF$6:BF$105)&gt;0,$E$1=2),0,1)</f>
        <v>1</v>
      </c>
      <c r="AT36" s="68">
        <f ca="1">IF(AND(SUMIF(Capacity_Resource,$D36,'Critical resources (hide)'!BG$6:BG$105)+SUMIF(Capacity_Resource,$E36,'Critical resources (hide)'!BG$6:BG$105)+SUMIF(Capacity_Resource,$F36,'Critical resources (hide)'!BG$6:BG$105)&gt;0,$E$1=2),0,1)</f>
        <v>1</v>
      </c>
      <c r="AU36" s="68">
        <f ca="1">IF(AND(SUMIF(Capacity_Resource,$D36,'Critical resources (hide)'!BH$6:BH$105)+SUMIF(Capacity_Resource,$E36,'Critical resources (hide)'!BH$6:BH$105)+SUMIF(Capacity_Resource,$F36,'Critical resources (hide)'!BH$6:BH$105)&gt;0,$E$1=2),0,1)</f>
        <v>1</v>
      </c>
      <c r="AV36" s="68">
        <f ca="1">IF(AND(SUMIF(Capacity_Resource,$D36,'Critical resources (hide)'!BI$6:BI$105)+SUMIF(Capacity_Resource,$E36,'Critical resources (hide)'!BI$6:BI$105)+SUMIF(Capacity_Resource,$F36,'Critical resources (hide)'!BI$6:BI$105)&gt;0,$E$1=2),0,1)</f>
        <v>1</v>
      </c>
      <c r="AW36" s="68">
        <f ca="1">IF(AND(SUMIF(Capacity_Resource,$D36,'Critical resources (hide)'!BJ$6:BJ$105)+SUMIF(Capacity_Resource,$E36,'Critical resources (hide)'!BJ$6:BJ$105)+SUMIF(Capacity_Resource,$F36,'Critical resources (hide)'!BJ$6:BJ$105)&gt;0,$E$1=2),0,1)</f>
        <v>1</v>
      </c>
      <c r="AX36" s="68">
        <f ca="1">IF(AND(SUMIF(Capacity_Resource,$D36,'Critical resources (hide)'!BK$6:BK$105)+SUMIF(Capacity_Resource,$E36,'Critical resources (hide)'!BK$6:BK$105)+SUMIF(Capacity_Resource,$F36,'Critical resources (hide)'!BK$6:BK$105)&gt;0,$E$1=2),0,1)</f>
        <v>1</v>
      </c>
      <c r="AY36" s="68">
        <f ca="1">IF(AND(SUMIF(Capacity_Resource,$D36,'Critical resources (hide)'!BL$6:BL$105)+SUMIF(Capacity_Resource,$E36,'Critical resources (hide)'!BL$6:BL$105)+SUMIF(Capacity_Resource,$F36,'Critical resources (hide)'!BL$6:BL$105)&gt;0,$E$1=2),0,1)</f>
        <v>1</v>
      </c>
      <c r="AZ36" s="68">
        <f ca="1">IF(AND(SUMIF(Capacity_Resource,$D36,'Critical resources (hide)'!BM$6:BM$105)+SUMIF(Capacity_Resource,$E36,'Critical resources (hide)'!BM$6:BM$105)+SUMIF(Capacity_Resource,$F36,'Critical resources (hide)'!BM$6:BM$105)&gt;0,$E$1=2),0,1)</f>
        <v>1</v>
      </c>
      <c r="BA36" s="68">
        <f ca="1">IF(AND(SUMIF(Capacity_Resource,$D36,'Critical resources (hide)'!BN$6:BN$105)+SUMIF(Capacity_Resource,$E36,'Critical resources (hide)'!BN$6:BN$105)+SUMIF(Capacity_Resource,$F36,'Critical resources (hide)'!BN$6:BN$105)&gt;0,$E$1=2),0,1)</f>
        <v>1</v>
      </c>
      <c r="BB36" s="68">
        <f ca="1">IF(AND(SUMIF(Capacity_Resource,$D36,'Critical resources (hide)'!BO$6:BO$105)+SUMIF(Capacity_Resource,$E36,'Critical resources (hide)'!BO$6:BO$105)+SUMIF(Capacity_Resource,$F36,'Critical resources (hide)'!BO$6:BO$105)&gt;0,$E$1=2),0,1)</f>
        <v>1</v>
      </c>
      <c r="BC36" s="68">
        <f ca="1">IF(AND(SUMIF(Capacity_Resource,$D36,'Critical resources (hide)'!BP$6:BP$105)+SUMIF(Capacity_Resource,$E36,'Critical resources (hide)'!BP$6:BP$105)+SUMIF(Capacity_Resource,$F36,'Critical resources (hide)'!BP$6:BP$105)&gt;0,$E$1=2),0,1)</f>
        <v>1</v>
      </c>
      <c r="BD36" s="68">
        <f ca="1">IF(AND(SUMIF(Capacity_Resource,$D36,'Critical resources (hide)'!BQ$6:BQ$105)+SUMIF(Capacity_Resource,$E36,'Critical resources (hide)'!BQ$6:BQ$105)+SUMIF(Capacity_Resource,$F36,'Critical resources (hide)'!BQ$6:BQ$105)&gt;0,$E$1=2),0,1)</f>
        <v>1</v>
      </c>
      <c r="BE36" s="68">
        <f ca="1">IF(AND(SUMIF(Capacity_Resource,$D36,'Critical resources (hide)'!BR$6:BR$105)+SUMIF(Capacity_Resource,$E36,'Critical resources (hide)'!BR$6:BR$105)+SUMIF(Capacity_Resource,$F36,'Critical resources (hide)'!BR$6:BR$105)&gt;0,$E$1=2),0,1)</f>
        <v>1</v>
      </c>
      <c r="BF36" s="68">
        <f ca="1">IF(AND(SUMIF(Capacity_Resource,$D36,'Critical resources (hide)'!BS$6:BS$105)+SUMIF(Capacity_Resource,$E36,'Critical resources (hide)'!BS$6:BS$105)+SUMIF(Capacity_Resource,$F36,'Critical resources (hide)'!BS$6:BS$105)&gt;0,$E$1=2),0,1)</f>
        <v>1</v>
      </c>
      <c r="BG36" s="68">
        <f ca="1">IF(AND(SUMIF(Capacity_Resource,$D36,'Critical resources (hide)'!BT$6:BT$105)+SUMIF(Capacity_Resource,$E36,'Critical resources (hide)'!BT$6:BT$105)+SUMIF(Capacity_Resource,$F36,'Critical resources (hide)'!BT$6:BT$105)&gt;0,$E$1=2),0,1)</f>
        <v>1</v>
      </c>
      <c r="BH36" s="68">
        <f>IF(ROW(C32)&lt;=Capacity!$A$16,IF('Capacity summary'!$D$14="No",SUM(H36:BG36),'Capacity summary'!$E155),0)</f>
        <v>0</v>
      </c>
      <c r="BI36" s="5" t="str">
        <f>IF(BH36&gt;0,IF(BH36&lt;Capacity!E48,Capacity!F48,Capacity!H48/'Capacity calculation (hide)'!BH36),"")</f>
        <v/>
      </c>
      <c r="BK36" s="319">
        <f>IF($BI36&lt;&gt;"",IF('Capacity summary'!$D$14="Yes",IF(COUNTBLANK('Capacity summary'!$H155:$BG155)&lt;52,IF('Capacity summary'!H155&lt;&gt;"",$BI36*H36,0),H36*$BI36),H36*$BI36),0)</f>
        <v>0</v>
      </c>
      <c r="BL36" s="319">
        <f>IF($BI36&lt;&gt;"",IF('Capacity summary'!$D$14="Yes",IF(COUNTBLANK('Capacity summary'!$H155:$BG155)&lt;52,IF('Capacity summary'!I155&lt;&gt;"",$BI36*I36,0),I36*$BI36),I36*$BI36),0)</f>
        <v>0</v>
      </c>
      <c r="BM36" s="319">
        <f>IF($BI36&lt;&gt;"",IF('Capacity summary'!$D$14="Yes",IF(COUNTBLANK('Capacity summary'!$H155:$BG155)&lt;52,IF('Capacity summary'!J155&lt;&gt;"",$BI36*J36,0),J36*$BI36),J36*$BI36),0)</f>
        <v>0</v>
      </c>
      <c r="BN36" s="319">
        <f>IF($BI36&lt;&gt;"",IF('Capacity summary'!$D$14="Yes",IF(COUNTBLANK('Capacity summary'!$H155:$BG155)&lt;52,IF('Capacity summary'!K155&lt;&gt;"",$BI36*K36,0),K36*$BI36),K36*$BI36),0)</f>
        <v>0</v>
      </c>
      <c r="BO36" s="319">
        <f>IF($BI36&lt;&gt;"",IF('Capacity summary'!$D$14="Yes",IF(COUNTBLANK('Capacity summary'!$H155:$BG155)&lt;52,IF('Capacity summary'!L155&lt;&gt;"",$BI36*L36,0),L36*$BI36),L36*$BI36),0)</f>
        <v>0</v>
      </c>
      <c r="BP36" s="319">
        <f>IF($BI36&lt;&gt;"",IF('Capacity summary'!$D$14="Yes",IF(COUNTBLANK('Capacity summary'!$H155:$BG155)&lt;52,IF('Capacity summary'!M155&lt;&gt;"",$BI36*M36,0),M36*$BI36),M36*$BI36),0)</f>
        <v>0</v>
      </c>
      <c r="BQ36" s="319">
        <f>IF($BI36&lt;&gt;"",IF('Capacity summary'!$D$14="Yes",IF(COUNTBLANK('Capacity summary'!$H155:$BG155)&lt;52,IF('Capacity summary'!N155&lt;&gt;"",$BI36*N36,0),N36*$BI36),N36*$BI36),0)</f>
        <v>0</v>
      </c>
      <c r="BR36" s="319">
        <f>IF($BI36&lt;&gt;"",IF('Capacity summary'!$D$14="Yes",IF(COUNTBLANK('Capacity summary'!$H155:$BG155)&lt;52,IF('Capacity summary'!O155&lt;&gt;"",$BI36*O36,0),O36*$BI36),O36*$BI36),0)</f>
        <v>0</v>
      </c>
      <c r="BS36" s="319">
        <f>IF($BI36&lt;&gt;"",IF('Capacity summary'!$D$14="Yes",IF(COUNTBLANK('Capacity summary'!$H155:$BG155)&lt;52,IF('Capacity summary'!P155&lt;&gt;"",$BI36*P36,0),P36*$BI36),P36*$BI36),0)</f>
        <v>0</v>
      </c>
      <c r="BT36" s="319">
        <f>IF($BI36&lt;&gt;"",IF('Capacity summary'!$D$14="Yes",IF(COUNTBLANK('Capacity summary'!$H155:$BG155)&lt;52,IF('Capacity summary'!Q155&lt;&gt;"",$BI36*Q36,0),Q36*$BI36),Q36*$BI36),0)</f>
        <v>0</v>
      </c>
      <c r="BU36" s="319">
        <f>IF($BI36&lt;&gt;"",IF('Capacity summary'!$D$14="Yes",IF(COUNTBLANK('Capacity summary'!$H155:$BG155)&lt;52,IF('Capacity summary'!R155&lt;&gt;"",$BI36*R36,0),R36*$BI36),R36*$BI36),0)</f>
        <v>0</v>
      </c>
      <c r="BV36" s="319">
        <f>IF($BI36&lt;&gt;"",IF('Capacity summary'!$D$14="Yes",IF(COUNTBLANK('Capacity summary'!$H155:$BG155)&lt;52,IF('Capacity summary'!S155&lt;&gt;"",$BI36*S36,0),S36*$BI36),S36*$BI36),0)</f>
        <v>0</v>
      </c>
      <c r="BW36" s="319">
        <f>IF($BI36&lt;&gt;"",IF('Capacity summary'!$D$14="Yes",IF(COUNTBLANK('Capacity summary'!$H155:$BG155)&lt;52,IF('Capacity summary'!T155&lt;&gt;"",$BI36*T36,0),T36*$BI36),T36*$BI36),0)</f>
        <v>0</v>
      </c>
      <c r="BX36" s="319">
        <f>IF($BI36&lt;&gt;"",IF('Capacity summary'!$D$14="Yes",IF(COUNTBLANK('Capacity summary'!$H155:$BG155)&lt;52,IF('Capacity summary'!U155&lt;&gt;"",$BI36*U36,0),U36*$BI36),U36*$BI36),0)</f>
        <v>0</v>
      </c>
      <c r="BY36" s="319">
        <f>IF($BI36&lt;&gt;"",IF('Capacity summary'!$D$14="Yes",IF(COUNTBLANK('Capacity summary'!$H155:$BG155)&lt;52,IF('Capacity summary'!V155&lt;&gt;"",$BI36*V36,0),V36*$BI36),V36*$BI36),0)</f>
        <v>0</v>
      </c>
      <c r="BZ36" s="319">
        <f>IF($BI36&lt;&gt;"",IF('Capacity summary'!$D$14="Yes",IF(COUNTBLANK('Capacity summary'!$H155:$BG155)&lt;52,IF('Capacity summary'!W155&lt;&gt;"",$BI36*W36,0),W36*$BI36),W36*$BI36),0)</f>
        <v>0</v>
      </c>
      <c r="CA36" s="319">
        <f>IF($BI36&lt;&gt;"",IF('Capacity summary'!$D$14="Yes",IF(COUNTBLANK('Capacity summary'!$H155:$BG155)&lt;52,IF('Capacity summary'!X155&lt;&gt;"",$BI36*X36,0),X36*$BI36),X36*$BI36),0)</f>
        <v>0</v>
      </c>
      <c r="CB36" s="319">
        <f>IF($BI36&lt;&gt;"",IF('Capacity summary'!$D$14="Yes",IF(COUNTBLANK('Capacity summary'!$H155:$BG155)&lt;52,IF('Capacity summary'!Y155&lt;&gt;"",$BI36*Y36,0),Y36*$BI36),Y36*$BI36),0)</f>
        <v>0</v>
      </c>
      <c r="CC36" s="319">
        <f>IF($BI36&lt;&gt;"",IF('Capacity summary'!$D$14="Yes",IF(COUNTBLANK('Capacity summary'!$H155:$BG155)&lt;52,IF('Capacity summary'!Z155&lt;&gt;"",$BI36*Z36,0),Z36*$BI36),Z36*$BI36),0)</f>
        <v>0</v>
      </c>
      <c r="CD36" s="319">
        <f>IF($BI36&lt;&gt;"",IF('Capacity summary'!$D$14="Yes",IF(COUNTBLANK('Capacity summary'!$H155:$BG155)&lt;52,IF('Capacity summary'!AA155&lt;&gt;"",$BI36*AA36,0),AA36*$BI36),AA36*$BI36),0)</f>
        <v>0</v>
      </c>
      <c r="CE36" s="319">
        <f>IF($BI36&lt;&gt;"",IF('Capacity summary'!$D$14="Yes",IF(COUNTBLANK('Capacity summary'!$H155:$BG155)&lt;52,IF('Capacity summary'!AB155&lt;&gt;"",$BI36*AB36,0),AB36*$BI36),AB36*$BI36),0)</f>
        <v>0</v>
      </c>
      <c r="CF36" s="319">
        <f>IF($BI36&lt;&gt;"",IF('Capacity summary'!$D$14="Yes",IF(COUNTBLANK('Capacity summary'!$H155:$BG155)&lt;52,IF('Capacity summary'!AC155&lt;&gt;"",$BI36*AC36,0),AC36*$BI36),AC36*$BI36),0)</f>
        <v>0</v>
      </c>
      <c r="CG36" s="319">
        <f>IF($BI36&lt;&gt;"",IF('Capacity summary'!$D$14="Yes",IF(COUNTBLANK('Capacity summary'!$H155:$BG155)&lt;52,IF('Capacity summary'!AD155&lt;&gt;"",$BI36*AD36,0),AD36*$BI36),AD36*$BI36),0)</f>
        <v>0</v>
      </c>
      <c r="CH36" s="319">
        <f>IF($BI36&lt;&gt;"",IF('Capacity summary'!$D$14="Yes",IF(COUNTBLANK('Capacity summary'!$H155:$BG155)&lt;52,IF('Capacity summary'!AE155&lt;&gt;"",$BI36*AE36,0),AE36*$BI36),AE36*$BI36),0)</f>
        <v>0</v>
      </c>
      <c r="CI36" s="319">
        <f>IF($BI36&lt;&gt;"",IF('Capacity summary'!$D$14="Yes",IF(COUNTBLANK('Capacity summary'!$H155:$BG155)&lt;52,IF('Capacity summary'!AF155&lt;&gt;"",$BI36*AF36,0),AF36*$BI36),AF36*$BI36),0)</f>
        <v>0</v>
      </c>
      <c r="CJ36" s="319">
        <f>IF($BI36&lt;&gt;"",IF('Capacity summary'!$D$14="Yes",IF(COUNTBLANK('Capacity summary'!$H155:$BG155)&lt;52,IF('Capacity summary'!AG155&lt;&gt;"",$BI36*AG36,0),AG36*$BI36),AG36*$BI36),0)</f>
        <v>0</v>
      </c>
      <c r="CK36" s="319">
        <f>IF($BI36&lt;&gt;"",IF('Capacity summary'!$D$14="Yes",IF(COUNTBLANK('Capacity summary'!$H155:$BG155)&lt;52,IF('Capacity summary'!AH155&lt;&gt;"",$BI36*AH36,0),AH36*$BI36),AH36*$BI36),0)</f>
        <v>0</v>
      </c>
      <c r="CL36" s="319">
        <f>IF($BI36&lt;&gt;"",IF('Capacity summary'!$D$14="Yes",IF(COUNTBLANK('Capacity summary'!$H155:$BG155)&lt;52,IF('Capacity summary'!AI155&lt;&gt;"",$BI36*AI36,0),AI36*$BI36),AI36*$BI36),0)</f>
        <v>0</v>
      </c>
      <c r="CM36" s="319">
        <f>IF($BI36&lt;&gt;"",IF('Capacity summary'!$D$14="Yes",IF(COUNTBLANK('Capacity summary'!$H155:$BG155)&lt;52,IF('Capacity summary'!AJ155&lt;&gt;"",$BI36*AJ36,0),AJ36*$BI36),AJ36*$BI36),0)</f>
        <v>0</v>
      </c>
      <c r="CN36" s="319">
        <f>IF($BI36&lt;&gt;"",IF('Capacity summary'!$D$14="Yes",IF(COUNTBLANK('Capacity summary'!$H155:$BG155)&lt;52,IF('Capacity summary'!AK155&lt;&gt;"",$BI36*AK36,0),AK36*$BI36),AK36*$BI36),0)</f>
        <v>0</v>
      </c>
      <c r="CO36" s="319">
        <f>IF($BI36&lt;&gt;"",IF('Capacity summary'!$D$14="Yes",IF(COUNTBLANK('Capacity summary'!$H155:$BG155)&lt;52,IF('Capacity summary'!AL155&lt;&gt;"",$BI36*AL36,0),AL36*$BI36),AL36*$BI36),0)</f>
        <v>0</v>
      </c>
      <c r="CP36" s="319">
        <f>IF($BI36&lt;&gt;"",IF('Capacity summary'!$D$14="Yes",IF(COUNTBLANK('Capacity summary'!$H155:$BG155)&lt;52,IF('Capacity summary'!AM155&lt;&gt;"",$BI36*AM36,0),AM36*$BI36),AM36*$BI36),0)</f>
        <v>0</v>
      </c>
      <c r="CQ36" s="319">
        <f>IF($BI36&lt;&gt;"",IF('Capacity summary'!$D$14="Yes",IF(COUNTBLANK('Capacity summary'!$H155:$BG155)&lt;52,IF('Capacity summary'!AN155&lt;&gt;"",$BI36*AN36,0),AN36*$BI36),AN36*$BI36),0)</f>
        <v>0</v>
      </c>
      <c r="CR36" s="319">
        <f>IF($BI36&lt;&gt;"",IF('Capacity summary'!$D$14="Yes",IF(COUNTBLANK('Capacity summary'!$H155:$BG155)&lt;52,IF('Capacity summary'!AO155&lt;&gt;"",$BI36*AO36,0),AO36*$BI36),AO36*$BI36),0)</f>
        <v>0</v>
      </c>
      <c r="CS36" s="319">
        <f>IF($BI36&lt;&gt;"",IF('Capacity summary'!$D$14="Yes",IF(COUNTBLANK('Capacity summary'!$H155:$BG155)&lt;52,IF('Capacity summary'!AP155&lt;&gt;"",$BI36*AP36,0),AP36*$BI36),AP36*$BI36),0)</f>
        <v>0</v>
      </c>
      <c r="CT36" s="319">
        <f>IF($BI36&lt;&gt;"",IF('Capacity summary'!$D$14="Yes",IF(COUNTBLANK('Capacity summary'!$H155:$BG155)&lt;52,IF('Capacity summary'!AQ155&lt;&gt;"",$BI36*AQ36,0),AQ36*$BI36),AQ36*$BI36),0)</f>
        <v>0</v>
      </c>
      <c r="CU36" s="319">
        <f>IF($BI36&lt;&gt;"",IF('Capacity summary'!$D$14="Yes",IF(COUNTBLANK('Capacity summary'!$H155:$BG155)&lt;52,IF('Capacity summary'!AR155&lt;&gt;"",$BI36*AR36,0),AR36*$BI36),AR36*$BI36),0)</f>
        <v>0</v>
      </c>
      <c r="CV36" s="319">
        <f>IF($BI36&lt;&gt;"",IF('Capacity summary'!$D$14="Yes",IF(COUNTBLANK('Capacity summary'!$H155:$BG155)&lt;52,IF('Capacity summary'!AS155&lt;&gt;"",$BI36*AS36,0),AS36*$BI36),AS36*$BI36),0)</f>
        <v>0</v>
      </c>
      <c r="CW36" s="319">
        <f>IF($BI36&lt;&gt;"",IF('Capacity summary'!$D$14="Yes",IF(COUNTBLANK('Capacity summary'!$H155:$BG155)&lt;52,IF('Capacity summary'!AT155&lt;&gt;"",$BI36*AT36,0),AT36*$BI36),AT36*$BI36),0)</f>
        <v>0</v>
      </c>
      <c r="CX36" s="319">
        <f>IF($BI36&lt;&gt;"",IF('Capacity summary'!$D$14="Yes",IF(COUNTBLANK('Capacity summary'!$H155:$BG155)&lt;52,IF('Capacity summary'!AU155&lt;&gt;"",$BI36*AU36,0),AU36*$BI36),AU36*$BI36),0)</f>
        <v>0</v>
      </c>
      <c r="CY36" s="319">
        <f>IF($BI36&lt;&gt;"",IF('Capacity summary'!$D$14="Yes",IF(COUNTBLANK('Capacity summary'!$H155:$BG155)&lt;52,IF('Capacity summary'!AV155&lt;&gt;"",$BI36*AV36,0),AV36*$BI36),AV36*$BI36),0)</f>
        <v>0</v>
      </c>
      <c r="CZ36" s="319">
        <f>IF($BI36&lt;&gt;"",IF('Capacity summary'!$D$14="Yes",IF(COUNTBLANK('Capacity summary'!$H155:$BG155)&lt;52,IF('Capacity summary'!AW155&lt;&gt;"",$BI36*AW36,0),AW36*$BI36),AW36*$BI36),0)</f>
        <v>0</v>
      </c>
      <c r="DA36" s="319">
        <f>IF($BI36&lt;&gt;"",IF('Capacity summary'!$D$14="Yes",IF(COUNTBLANK('Capacity summary'!$H155:$BG155)&lt;52,IF('Capacity summary'!AX155&lt;&gt;"",$BI36*AX36,0),AX36*$BI36),AX36*$BI36),0)</f>
        <v>0</v>
      </c>
      <c r="DB36" s="319">
        <f>IF($BI36&lt;&gt;"",IF('Capacity summary'!$D$14="Yes",IF(COUNTBLANK('Capacity summary'!$H155:$BG155)&lt;52,IF('Capacity summary'!AY155&lt;&gt;"",$BI36*AY36,0),AY36*$BI36),AY36*$BI36),0)</f>
        <v>0</v>
      </c>
      <c r="DC36" s="319">
        <f>IF($BI36&lt;&gt;"",IF('Capacity summary'!$D$14="Yes",IF(COUNTBLANK('Capacity summary'!$H155:$BG155)&lt;52,IF('Capacity summary'!AZ155&lt;&gt;"",$BI36*AZ36,0),AZ36*$BI36),AZ36*$BI36),0)</f>
        <v>0</v>
      </c>
      <c r="DD36" s="319">
        <f>IF($BI36&lt;&gt;"",IF('Capacity summary'!$D$14="Yes",IF(COUNTBLANK('Capacity summary'!$H155:$BG155)&lt;52,IF('Capacity summary'!BA155&lt;&gt;"",$BI36*BA36,0),BA36*$BI36),BA36*$BI36),0)</f>
        <v>0</v>
      </c>
      <c r="DE36" s="319">
        <f>IF($BI36&lt;&gt;"",IF('Capacity summary'!$D$14="Yes",IF(COUNTBLANK('Capacity summary'!$H155:$BG155)&lt;52,IF('Capacity summary'!BB155&lt;&gt;"",$BI36*BB36,0),BB36*$BI36),BB36*$BI36),0)</f>
        <v>0</v>
      </c>
      <c r="DF36" s="319">
        <f>IF($BI36&lt;&gt;"",IF('Capacity summary'!$D$14="Yes",IF(COUNTBLANK('Capacity summary'!$H155:$BG155)&lt;52,IF('Capacity summary'!BC155&lt;&gt;"",$BI36*BC36,0),BC36*$BI36),BC36*$BI36),0)</f>
        <v>0</v>
      </c>
      <c r="DG36" s="319">
        <f>IF($BI36&lt;&gt;"",IF('Capacity summary'!$D$14="Yes",IF(COUNTBLANK('Capacity summary'!$H155:$BG155)&lt;52,IF('Capacity summary'!BD155&lt;&gt;"",$BI36*BD36,0),BD36*$BI36),BD36*$BI36),0)</f>
        <v>0</v>
      </c>
      <c r="DH36" s="319">
        <f>IF($BI36&lt;&gt;"",IF('Capacity summary'!$D$14="Yes",IF(COUNTBLANK('Capacity summary'!$H155:$BG155)&lt;52,IF('Capacity summary'!BE155&lt;&gt;"",$BI36*BE36,0),BE36*$BI36),BE36*$BI36),0)</f>
        <v>0</v>
      </c>
      <c r="DI36" s="319">
        <f>IF($BI36&lt;&gt;"",IF('Capacity summary'!$D$14="Yes",IF(COUNTBLANK('Capacity summary'!$H155:$BG155)&lt;52,IF('Capacity summary'!BF155&lt;&gt;"",$BI36*BF36,0),BF36*$BI36),BF36*$BI36),0)</f>
        <v>0</v>
      </c>
      <c r="DJ36" s="319">
        <f>IF($BI36&lt;&gt;"",IF('Capacity summary'!$D$14="Yes",IF(COUNTBLANK('Capacity summary'!$H155:$BG155)&lt;52,IF('Capacity summary'!BG155&lt;&gt;"",$BI36*BG36,0),BG36*$BI36),BG36*$BI36),0)</f>
        <v>0</v>
      </c>
      <c r="DK36" s="5">
        <f t="shared" si="2"/>
        <v>0</v>
      </c>
      <c r="DL36" s="5" t="str">
        <f>Capacity!H48</f>
        <v/>
      </c>
      <c r="DP36" s="5"/>
    </row>
    <row r="37" spans="2:120" x14ac:dyDescent="0.2">
      <c r="B37" s="68"/>
      <c r="C37" s="68" t="str">
        <f>ROW(A33)&amp;". "&amp;Capacity!B49</f>
        <v xml:space="preserve">33. </v>
      </c>
      <c r="D37" s="68">
        <f>'Capacity setup'!C44</f>
        <v>0</v>
      </c>
      <c r="E37" s="68">
        <f>'Capacity setup'!D44</f>
        <v>0</v>
      </c>
      <c r="F37" s="68">
        <f>'Capacity setup'!E44</f>
        <v>0</v>
      </c>
      <c r="H37" s="68">
        <f ca="1">IF(AND(SUMIF(Capacity_Resource,$D37,'Critical resources (hide)'!U$6:U$105)+SUMIF(Capacity_Resource,$E37,'Critical resources (hide)'!U$6:U$105)+SUMIF(Capacity_Resource,$F37,'Critical resources (hide)'!U$6:U$105)&gt;0,$E$1=2),0,1)</f>
        <v>1</v>
      </c>
      <c r="I37" s="68">
        <f ca="1">IF(AND(SUMIF(Capacity_Resource,$D37,'Critical resources (hide)'!V$6:V$105)+SUMIF(Capacity_Resource,$E37,'Critical resources (hide)'!V$6:V$105)+SUMIF(Capacity_Resource,$F37,'Critical resources (hide)'!V$6:V$105)&gt;0,$E$1=2),0,1)</f>
        <v>1</v>
      </c>
      <c r="J37" s="68">
        <f ca="1">IF(AND(SUMIF(Capacity_Resource,$D37,'Critical resources (hide)'!W$6:W$105)+SUMIF(Capacity_Resource,$E37,'Critical resources (hide)'!W$6:W$105)+SUMIF(Capacity_Resource,$F37,'Critical resources (hide)'!W$6:W$105)&gt;0,$E$1=2),0,1)</f>
        <v>1</v>
      </c>
      <c r="K37" s="68">
        <f ca="1">IF(AND(SUMIF(Capacity_Resource,$D37,'Critical resources (hide)'!X$6:X$105)+SUMIF(Capacity_Resource,$E37,'Critical resources (hide)'!X$6:X$105)+SUMIF(Capacity_Resource,$F37,'Critical resources (hide)'!X$6:X$105)&gt;0,$E$1=2),0,1)</f>
        <v>1</v>
      </c>
      <c r="L37" s="68">
        <f ca="1">IF(AND(SUMIF(Capacity_Resource,$D37,'Critical resources (hide)'!Y$6:Y$105)+SUMIF(Capacity_Resource,$E37,'Critical resources (hide)'!Y$6:Y$105)+SUMIF(Capacity_Resource,$F37,'Critical resources (hide)'!Y$6:Y$105)&gt;0,$E$1=2),0,1)</f>
        <v>1</v>
      </c>
      <c r="M37" s="68">
        <f ca="1">IF(AND(SUMIF(Capacity_Resource,$D37,'Critical resources (hide)'!Z$6:Z$105)+SUMIF(Capacity_Resource,$E37,'Critical resources (hide)'!Z$6:Z$105)+SUMIF(Capacity_Resource,$F37,'Critical resources (hide)'!Z$6:Z$105)&gt;0,$E$1=2),0,1)</f>
        <v>1</v>
      </c>
      <c r="N37" s="68">
        <f ca="1">IF(AND(SUMIF(Capacity_Resource,$D37,'Critical resources (hide)'!AA$6:AA$105)+SUMIF(Capacity_Resource,$E37,'Critical resources (hide)'!AA$6:AA$105)+SUMIF(Capacity_Resource,$F37,'Critical resources (hide)'!AA$6:AA$105)&gt;0,$E$1=2),0,1)</f>
        <v>1</v>
      </c>
      <c r="O37" s="68">
        <f ca="1">IF(AND(SUMIF(Capacity_Resource,$D37,'Critical resources (hide)'!AB$6:AB$105)+SUMIF(Capacity_Resource,$E37,'Critical resources (hide)'!AB$6:AB$105)+SUMIF(Capacity_Resource,$F37,'Critical resources (hide)'!AB$6:AB$105)&gt;0,$E$1=2),0,1)</f>
        <v>1</v>
      </c>
      <c r="P37" s="68">
        <f ca="1">IF(AND(SUMIF(Capacity_Resource,$D37,'Critical resources (hide)'!AC$6:AC$105)+SUMIF(Capacity_Resource,$E37,'Critical resources (hide)'!AC$6:AC$105)+SUMIF(Capacity_Resource,$F37,'Critical resources (hide)'!AC$6:AC$105)&gt;0,$E$1=2),0,1)</f>
        <v>1</v>
      </c>
      <c r="Q37" s="68">
        <f ca="1">IF(AND(SUMIF(Capacity_Resource,$D37,'Critical resources (hide)'!AD$6:AD$105)+SUMIF(Capacity_Resource,$E37,'Critical resources (hide)'!AD$6:AD$105)+SUMIF(Capacity_Resource,$F37,'Critical resources (hide)'!AD$6:AD$105)&gt;0,$E$1=2),0,1)</f>
        <v>1</v>
      </c>
      <c r="R37" s="68">
        <f ca="1">IF(AND(SUMIF(Capacity_Resource,$D37,'Critical resources (hide)'!AE$6:AE$105)+SUMIF(Capacity_Resource,$E37,'Critical resources (hide)'!AE$6:AE$105)+SUMIF(Capacity_Resource,$F37,'Critical resources (hide)'!AE$6:AE$105)&gt;0,$E$1=2),0,1)</f>
        <v>1</v>
      </c>
      <c r="S37" s="68">
        <f ca="1">IF(AND(SUMIF(Capacity_Resource,$D37,'Critical resources (hide)'!AF$6:AF$105)+SUMIF(Capacity_Resource,$E37,'Critical resources (hide)'!AF$6:AF$105)+SUMIF(Capacity_Resource,$F37,'Critical resources (hide)'!AF$6:AF$105)&gt;0,$E$1=2),0,1)</f>
        <v>1</v>
      </c>
      <c r="T37" s="68">
        <f ca="1">IF(AND(SUMIF(Capacity_Resource,$D37,'Critical resources (hide)'!AG$6:AG$105)+SUMIF(Capacity_Resource,$E37,'Critical resources (hide)'!AG$6:AG$105)+SUMIF(Capacity_Resource,$F37,'Critical resources (hide)'!AG$6:AG$105)&gt;0,$E$1=2),0,1)</f>
        <v>1</v>
      </c>
      <c r="U37" s="68">
        <f ca="1">IF(AND(SUMIF(Capacity_Resource,$D37,'Critical resources (hide)'!AH$6:AH$105)+SUMIF(Capacity_Resource,$E37,'Critical resources (hide)'!AH$6:AH$105)+SUMIF(Capacity_Resource,$F37,'Critical resources (hide)'!AH$6:AH$105)&gt;0,$E$1=2),0,1)</f>
        <v>1</v>
      </c>
      <c r="V37" s="68">
        <f ca="1">IF(AND(SUMIF(Capacity_Resource,$D37,'Critical resources (hide)'!AI$6:AI$105)+SUMIF(Capacity_Resource,$E37,'Critical resources (hide)'!AI$6:AI$105)+SUMIF(Capacity_Resource,$F37,'Critical resources (hide)'!AI$6:AI$105)&gt;0,$E$1=2),0,1)</f>
        <v>1</v>
      </c>
      <c r="W37" s="68">
        <f ca="1">IF(AND(SUMIF(Capacity_Resource,$D37,'Critical resources (hide)'!AJ$6:AJ$105)+SUMIF(Capacity_Resource,$E37,'Critical resources (hide)'!AJ$6:AJ$105)+SUMIF(Capacity_Resource,$F37,'Critical resources (hide)'!AJ$6:AJ$105)&gt;0,$E$1=2),0,1)</f>
        <v>1</v>
      </c>
      <c r="X37" s="68">
        <f ca="1">IF(AND(SUMIF(Capacity_Resource,$D37,'Critical resources (hide)'!AK$6:AK$105)+SUMIF(Capacity_Resource,$E37,'Critical resources (hide)'!AK$6:AK$105)+SUMIF(Capacity_Resource,$F37,'Critical resources (hide)'!AK$6:AK$105)&gt;0,$E$1=2),0,1)</f>
        <v>1</v>
      </c>
      <c r="Y37" s="68">
        <f ca="1">IF(AND(SUMIF(Capacity_Resource,$D37,'Critical resources (hide)'!AL$6:AL$105)+SUMIF(Capacity_Resource,$E37,'Critical resources (hide)'!AL$6:AL$105)+SUMIF(Capacity_Resource,$F37,'Critical resources (hide)'!AL$6:AL$105)&gt;0,$E$1=2),0,1)</f>
        <v>1</v>
      </c>
      <c r="Z37" s="68">
        <f ca="1">IF(AND(SUMIF(Capacity_Resource,$D37,'Critical resources (hide)'!AM$6:AM$105)+SUMIF(Capacity_Resource,$E37,'Critical resources (hide)'!AM$6:AM$105)+SUMIF(Capacity_Resource,$F37,'Critical resources (hide)'!AM$6:AM$105)&gt;0,$E$1=2),0,1)</f>
        <v>1</v>
      </c>
      <c r="AA37" s="68">
        <f ca="1">IF(AND(SUMIF(Capacity_Resource,$D37,'Critical resources (hide)'!AN$6:AN$105)+SUMIF(Capacity_Resource,$E37,'Critical resources (hide)'!AN$6:AN$105)+SUMIF(Capacity_Resource,$F37,'Critical resources (hide)'!AN$6:AN$105)&gt;0,$E$1=2),0,1)</f>
        <v>1</v>
      </c>
      <c r="AB37" s="68">
        <f ca="1">IF(AND(SUMIF(Capacity_Resource,$D37,'Critical resources (hide)'!AO$6:AO$105)+SUMIF(Capacity_Resource,$E37,'Critical resources (hide)'!AO$6:AO$105)+SUMIF(Capacity_Resource,$F37,'Critical resources (hide)'!AO$6:AO$105)&gt;0,$E$1=2),0,1)</f>
        <v>1</v>
      </c>
      <c r="AC37" s="68">
        <f ca="1">IF(AND(SUMIF(Capacity_Resource,$D37,'Critical resources (hide)'!AP$6:AP$105)+SUMIF(Capacity_Resource,$E37,'Critical resources (hide)'!AP$6:AP$105)+SUMIF(Capacity_Resource,$F37,'Critical resources (hide)'!AP$6:AP$105)&gt;0,$E$1=2),0,1)</f>
        <v>1</v>
      </c>
      <c r="AD37" s="68">
        <f ca="1">IF(AND(SUMIF(Capacity_Resource,$D37,'Critical resources (hide)'!AQ$6:AQ$105)+SUMIF(Capacity_Resource,$E37,'Critical resources (hide)'!AQ$6:AQ$105)+SUMIF(Capacity_Resource,$F37,'Critical resources (hide)'!AQ$6:AQ$105)&gt;0,$E$1=2),0,1)</f>
        <v>1</v>
      </c>
      <c r="AE37" s="68">
        <f ca="1">IF(AND(SUMIF(Capacity_Resource,$D37,'Critical resources (hide)'!AR$6:AR$105)+SUMIF(Capacity_Resource,$E37,'Critical resources (hide)'!AR$6:AR$105)+SUMIF(Capacity_Resource,$F37,'Critical resources (hide)'!AR$6:AR$105)&gt;0,$E$1=2),0,1)</f>
        <v>1</v>
      </c>
      <c r="AF37" s="68">
        <f ca="1">IF(AND(SUMIF(Capacity_Resource,$D37,'Critical resources (hide)'!AS$6:AS$105)+SUMIF(Capacity_Resource,$E37,'Critical resources (hide)'!AS$6:AS$105)+SUMIF(Capacity_Resource,$F37,'Critical resources (hide)'!AS$6:AS$105)&gt;0,$E$1=2),0,1)</f>
        <v>1</v>
      </c>
      <c r="AG37" s="68">
        <f ca="1">IF(AND(SUMIF(Capacity_Resource,$D37,'Critical resources (hide)'!AT$6:AT$105)+SUMIF(Capacity_Resource,$E37,'Critical resources (hide)'!AT$6:AT$105)+SUMIF(Capacity_Resource,$F37,'Critical resources (hide)'!AT$6:AT$105)&gt;0,$E$1=2),0,1)</f>
        <v>1</v>
      </c>
      <c r="AH37" s="68">
        <f ca="1">IF(AND(SUMIF(Capacity_Resource,$D37,'Critical resources (hide)'!AU$6:AU$105)+SUMIF(Capacity_Resource,$E37,'Critical resources (hide)'!AU$6:AU$105)+SUMIF(Capacity_Resource,$F37,'Critical resources (hide)'!AU$6:AU$105)&gt;0,$E$1=2),0,1)</f>
        <v>1</v>
      </c>
      <c r="AI37" s="68">
        <f ca="1">IF(AND(SUMIF(Capacity_Resource,$D37,'Critical resources (hide)'!AV$6:AV$105)+SUMIF(Capacity_Resource,$E37,'Critical resources (hide)'!AV$6:AV$105)+SUMIF(Capacity_Resource,$F37,'Critical resources (hide)'!AV$6:AV$105)&gt;0,$E$1=2),0,1)</f>
        <v>1</v>
      </c>
      <c r="AJ37" s="68">
        <f ca="1">IF(AND(SUMIF(Capacity_Resource,$D37,'Critical resources (hide)'!AW$6:AW$105)+SUMIF(Capacity_Resource,$E37,'Critical resources (hide)'!AW$6:AW$105)+SUMIF(Capacity_Resource,$F37,'Critical resources (hide)'!AW$6:AW$105)&gt;0,$E$1=2),0,1)</f>
        <v>1</v>
      </c>
      <c r="AK37" s="68">
        <f ca="1">IF(AND(SUMIF(Capacity_Resource,$D37,'Critical resources (hide)'!AX$6:AX$105)+SUMIF(Capacity_Resource,$E37,'Critical resources (hide)'!AX$6:AX$105)+SUMIF(Capacity_Resource,$F37,'Critical resources (hide)'!AX$6:AX$105)&gt;0,$E$1=2),0,1)</f>
        <v>1</v>
      </c>
      <c r="AL37" s="68">
        <f ca="1">IF(AND(SUMIF(Capacity_Resource,$D37,'Critical resources (hide)'!AY$6:AY$105)+SUMIF(Capacity_Resource,$E37,'Critical resources (hide)'!AY$6:AY$105)+SUMIF(Capacity_Resource,$F37,'Critical resources (hide)'!AY$6:AY$105)&gt;0,$E$1=2),0,1)</f>
        <v>1</v>
      </c>
      <c r="AM37" s="68">
        <f ca="1">IF(AND(SUMIF(Capacity_Resource,$D37,'Critical resources (hide)'!AZ$6:AZ$105)+SUMIF(Capacity_Resource,$E37,'Critical resources (hide)'!AZ$6:AZ$105)+SUMIF(Capacity_Resource,$F37,'Critical resources (hide)'!AZ$6:AZ$105)&gt;0,$E$1=2),0,1)</f>
        <v>1</v>
      </c>
      <c r="AN37" s="68">
        <f ca="1">IF(AND(SUMIF(Capacity_Resource,$D37,'Critical resources (hide)'!BA$6:BA$105)+SUMIF(Capacity_Resource,$E37,'Critical resources (hide)'!BA$6:BA$105)+SUMIF(Capacity_Resource,$F37,'Critical resources (hide)'!BA$6:BA$105)&gt;0,$E$1=2),0,1)</f>
        <v>1</v>
      </c>
      <c r="AO37" s="68">
        <f ca="1">IF(AND(SUMIF(Capacity_Resource,$D37,'Critical resources (hide)'!BB$6:BB$105)+SUMIF(Capacity_Resource,$E37,'Critical resources (hide)'!BB$6:BB$105)+SUMIF(Capacity_Resource,$F37,'Critical resources (hide)'!BB$6:BB$105)&gt;0,$E$1=2),0,1)</f>
        <v>1</v>
      </c>
      <c r="AP37" s="68">
        <f ca="1">IF(AND(SUMIF(Capacity_Resource,$D37,'Critical resources (hide)'!BC$6:BC$105)+SUMIF(Capacity_Resource,$E37,'Critical resources (hide)'!BC$6:BC$105)+SUMIF(Capacity_Resource,$F37,'Critical resources (hide)'!BC$6:BC$105)&gt;0,$E$1=2),0,1)</f>
        <v>1</v>
      </c>
      <c r="AQ37" s="68">
        <f ca="1">IF(AND(SUMIF(Capacity_Resource,$D37,'Critical resources (hide)'!BD$6:BD$105)+SUMIF(Capacity_Resource,$E37,'Critical resources (hide)'!BD$6:BD$105)+SUMIF(Capacity_Resource,$F37,'Critical resources (hide)'!BD$6:BD$105)&gt;0,$E$1=2),0,1)</f>
        <v>1</v>
      </c>
      <c r="AR37" s="68">
        <f ca="1">IF(AND(SUMIF(Capacity_Resource,$D37,'Critical resources (hide)'!BE$6:BE$105)+SUMIF(Capacity_Resource,$E37,'Critical resources (hide)'!BE$6:BE$105)+SUMIF(Capacity_Resource,$F37,'Critical resources (hide)'!BE$6:BE$105)&gt;0,$E$1=2),0,1)</f>
        <v>1</v>
      </c>
      <c r="AS37" s="68">
        <f ca="1">IF(AND(SUMIF(Capacity_Resource,$D37,'Critical resources (hide)'!BF$6:BF$105)+SUMIF(Capacity_Resource,$E37,'Critical resources (hide)'!BF$6:BF$105)+SUMIF(Capacity_Resource,$F37,'Critical resources (hide)'!BF$6:BF$105)&gt;0,$E$1=2),0,1)</f>
        <v>1</v>
      </c>
      <c r="AT37" s="68">
        <f ca="1">IF(AND(SUMIF(Capacity_Resource,$D37,'Critical resources (hide)'!BG$6:BG$105)+SUMIF(Capacity_Resource,$E37,'Critical resources (hide)'!BG$6:BG$105)+SUMIF(Capacity_Resource,$F37,'Critical resources (hide)'!BG$6:BG$105)&gt;0,$E$1=2),0,1)</f>
        <v>1</v>
      </c>
      <c r="AU37" s="68">
        <f ca="1">IF(AND(SUMIF(Capacity_Resource,$D37,'Critical resources (hide)'!BH$6:BH$105)+SUMIF(Capacity_Resource,$E37,'Critical resources (hide)'!BH$6:BH$105)+SUMIF(Capacity_Resource,$F37,'Critical resources (hide)'!BH$6:BH$105)&gt;0,$E$1=2),0,1)</f>
        <v>1</v>
      </c>
      <c r="AV37" s="68">
        <f ca="1">IF(AND(SUMIF(Capacity_Resource,$D37,'Critical resources (hide)'!BI$6:BI$105)+SUMIF(Capacity_Resource,$E37,'Critical resources (hide)'!BI$6:BI$105)+SUMIF(Capacity_Resource,$F37,'Critical resources (hide)'!BI$6:BI$105)&gt;0,$E$1=2),0,1)</f>
        <v>1</v>
      </c>
      <c r="AW37" s="68">
        <f ca="1">IF(AND(SUMIF(Capacity_Resource,$D37,'Critical resources (hide)'!BJ$6:BJ$105)+SUMIF(Capacity_Resource,$E37,'Critical resources (hide)'!BJ$6:BJ$105)+SUMIF(Capacity_Resource,$F37,'Critical resources (hide)'!BJ$6:BJ$105)&gt;0,$E$1=2),0,1)</f>
        <v>1</v>
      </c>
      <c r="AX37" s="68">
        <f ca="1">IF(AND(SUMIF(Capacity_Resource,$D37,'Critical resources (hide)'!BK$6:BK$105)+SUMIF(Capacity_Resource,$E37,'Critical resources (hide)'!BK$6:BK$105)+SUMIF(Capacity_Resource,$F37,'Critical resources (hide)'!BK$6:BK$105)&gt;0,$E$1=2),0,1)</f>
        <v>1</v>
      </c>
      <c r="AY37" s="68">
        <f ca="1">IF(AND(SUMIF(Capacity_Resource,$D37,'Critical resources (hide)'!BL$6:BL$105)+SUMIF(Capacity_Resource,$E37,'Critical resources (hide)'!BL$6:BL$105)+SUMIF(Capacity_Resource,$F37,'Critical resources (hide)'!BL$6:BL$105)&gt;0,$E$1=2),0,1)</f>
        <v>1</v>
      </c>
      <c r="AZ37" s="68">
        <f ca="1">IF(AND(SUMIF(Capacity_Resource,$D37,'Critical resources (hide)'!BM$6:BM$105)+SUMIF(Capacity_Resource,$E37,'Critical resources (hide)'!BM$6:BM$105)+SUMIF(Capacity_Resource,$F37,'Critical resources (hide)'!BM$6:BM$105)&gt;0,$E$1=2),0,1)</f>
        <v>1</v>
      </c>
      <c r="BA37" s="68">
        <f ca="1">IF(AND(SUMIF(Capacity_Resource,$D37,'Critical resources (hide)'!BN$6:BN$105)+SUMIF(Capacity_Resource,$E37,'Critical resources (hide)'!BN$6:BN$105)+SUMIF(Capacity_Resource,$F37,'Critical resources (hide)'!BN$6:BN$105)&gt;0,$E$1=2),0,1)</f>
        <v>1</v>
      </c>
      <c r="BB37" s="68">
        <f ca="1">IF(AND(SUMIF(Capacity_Resource,$D37,'Critical resources (hide)'!BO$6:BO$105)+SUMIF(Capacity_Resource,$E37,'Critical resources (hide)'!BO$6:BO$105)+SUMIF(Capacity_Resource,$F37,'Critical resources (hide)'!BO$6:BO$105)&gt;0,$E$1=2),0,1)</f>
        <v>1</v>
      </c>
      <c r="BC37" s="68">
        <f ca="1">IF(AND(SUMIF(Capacity_Resource,$D37,'Critical resources (hide)'!BP$6:BP$105)+SUMIF(Capacity_Resource,$E37,'Critical resources (hide)'!BP$6:BP$105)+SUMIF(Capacity_Resource,$F37,'Critical resources (hide)'!BP$6:BP$105)&gt;0,$E$1=2),0,1)</f>
        <v>1</v>
      </c>
      <c r="BD37" s="68">
        <f ca="1">IF(AND(SUMIF(Capacity_Resource,$D37,'Critical resources (hide)'!BQ$6:BQ$105)+SUMIF(Capacity_Resource,$E37,'Critical resources (hide)'!BQ$6:BQ$105)+SUMIF(Capacity_Resource,$F37,'Critical resources (hide)'!BQ$6:BQ$105)&gt;0,$E$1=2),0,1)</f>
        <v>1</v>
      </c>
      <c r="BE37" s="68">
        <f ca="1">IF(AND(SUMIF(Capacity_Resource,$D37,'Critical resources (hide)'!BR$6:BR$105)+SUMIF(Capacity_Resource,$E37,'Critical resources (hide)'!BR$6:BR$105)+SUMIF(Capacity_Resource,$F37,'Critical resources (hide)'!BR$6:BR$105)&gt;0,$E$1=2),0,1)</f>
        <v>1</v>
      </c>
      <c r="BF37" s="68">
        <f ca="1">IF(AND(SUMIF(Capacity_Resource,$D37,'Critical resources (hide)'!BS$6:BS$105)+SUMIF(Capacity_Resource,$E37,'Critical resources (hide)'!BS$6:BS$105)+SUMIF(Capacity_Resource,$F37,'Critical resources (hide)'!BS$6:BS$105)&gt;0,$E$1=2),0,1)</f>
        <v>1</v>
      </c>
      <c r="BG37" s="68">
        <f ca="1">IF(AND(SUMIF(Capacity_Resource,$D37,'Critical resources (hide)'!BT$6:BT$105)+SUMIF(Capacity_Resource,$E37,'Critical resources (hide)'!BT$6:BT$105)+SUMIF(Capacity_Resource,$F37,'Critical resources (hide)'!BT$6:BT$105)&gt;0,$E$1=2),0,1)</f>
        <v>1</v>
      </c>
      <c r="BH37" s="68">
        <f>IF(ROW(C33)&lt;=Capacity!$A$16,IF('Capacity summary'!$D$14="No",SUM(H37:BG37),'Capacity summary'!$E156),0)</f>
        <v>0</v>
      </c>
      <c r="BI37" s="5" t="str">
        <f>IF(BH37&gt;0,IF(BH37&lt;Capacity!E49,Capacity!F49,Capacity!H49/'Capacity calculation (hide)'!BH37),"")</f>
        <v/>
      </c>
      <c r="BK37" s="319">
        <f>IF($BI37&lt;&gt;"",IF('Capacity summary'!$D$14="Yes",IF(COUNTBLANK('Capacity summary'!$H156:$BG156)&lt;52,IF('Capacity summary'!H156&lt;&gt;"",$BI37*H37,0),H37*$BI37),H37*$BI37),0)</f>
        <v>0</v>
      </c>
      <c r="BL37" s="319">
        <f>IF($BI37&lt;&gt;"",IF('Capacity summary'!$D$14="Yes",IF(COUNTBLANK('Capacity summary'!$H156:$BG156)&lt;52,IF('Capacity summary'!I156&lt;&gt;"",$BI37*I37,0),I37*$BI37),I37*$BI37),0)</f>
        <v>0</v>
      </c>
      <c r="BM37" s="319">
        <f>IF($BI37&lt;&gt;"",IF('Capacity summary'!$D$14="Yes",IF(COUNTBLANK('Capacity summary'!$H156:$BG156)&lt;52,IF('Capacity summary'!J156&lt;&gt;"",$BI37*J37,0),J37*$BI37),J37*$BI37),0)</f>
        <v>0</v>
      </c>
      <c r="BN37" s="319">
        <f>IF($BI37&lt;&gt;"",IF('Capacity summary'!$D$14="Yes",IF(COUNTBLANK('Capacity summary'!$H156:$BG156)&lt;52,IF('Capacity summary'!K156&lt;&gt;"",$BI37*K37,0),K37*$BI37),K37*$BI37),0)</f>
        <v>0</v>
      </c>
      <c r="BO37" s="319">
        <f>IF($BI37&lt;&gt;"",IF('Capacity summary'!$D$14="Yes",IF(COUNTBLANK('Capacity summary'!$H156:$BG156)&lt;52,IF('Capacity summary'!L156&lt;&gt;"",$BI37*L37,0),L37*$BI37),L37*$BI37),0)</f>
        <v>0</v>
      </c>
      <c r="BP37" s="319">
        <f>IF($BI37&lt;&gt;"",IF('Capacity summary'!$D$14="Yes",IF(COUNTBLANK('Capacity summary'!$H156:$BG156)&lt;52,IF('Capacity summary'!M156&lt;&gt;"",$BI37*M37,0),M37*$BI37),M37*$BI37),0)</f>
        <v>0</v>
      </c>
      <c r="BQ37" s="319">
        <f>IF($BI37&lt;&gt;"",IF('Capacity summary'!$D$14="Yes",IF(COUNTBLANK('Capacity summary'!$H156:$BG156)&lt;52,IF('Capacity summary'!N156&lt;&gt;"",$BI37*N37,0),N37*$BI37),N37*$BI37),0)</f>
        <v>0</v>
      </c>
      <c r="BR37" s="319">
        <f>IF($BI37&lt;&gt;"",IF('Capacity summary'!$D$14="Yes",IF(COUNTBLANK('Capacity summary'!$H156:$BG156)&lt;52,IF('Capacity summary'!O156&lt;&gt;"",$BI37*O37,0),O37*$BI37),O37*$BI37),0)</f>
        <v>0</v>
      </c>
      <c r="BS37" s="319">
        <f>IF($BI37&lt;&gt;"",IF('Capacity summary'!$D$14="Yes",IF(COUNTBLANK('Capacity summary'!$H156:$BG156)&lt;52,IF('Capacity summary'!P156&lt;&gt;"",$BI37*P37,0),P37*$BI37),P37*$BI37),0)</f>
        <v>0</v>
      </c>
      <c r="BT37" s="319">
        <f>IF($BI37&lt;&gt;"",IF('Capacity summary'!$D$14="Yes",IF(COUNTBLANK('Capacity summary'!$H156:$BG156)&lt;52,IF('Capacity summary'!Q156&lt;&gt;"",$BI37*Q37,0),Q37*$BI37),Q37*$BI37),0)</f>
        <v>0</v>
      </c>
      <c r="BU37" s="319">
        <f>IF($BI37&lt;&gt;"",IF('Capacity summary'!$D$14="Yes",IF(COUNTBLANK('Capacity summary'!$H156:$BG156)&lt;52,IF('Capacity summary'!R156&lt;&gt;"",$BI37*R37,0),R37*$BI37),R37*$BI37),0)</f>
        <v>0</v>
      </c>
      <c r="BV37" s="319">
        <f>IF($BI37&lt;&gt;"",IF('Capacity summary'!$D$14="Yes",IF(COUNTBLANK('Capacity summary'!$H156:$BG156)&lt;52,IF('Capacity summary'!S156&lt;&gt;"",$BI37*S37,0),S37*$BI37),S37*$BI37),0)</f>
        <v>0</v>
      </c>
      <c r="BW37" s="319">
        <f>IF($BI37&lt;&gt;"",IF('Capacity summary'!$D$14="Yes",IF(COUNTBLANK('Capacity summary'!$H156:$BG156)&lt;52,IF('Capacity summary'!T156&lt;&gt;"",$BI37*T37,0),T37*$BI37),T37*$BI37),0)</f>
        <v>0</v>
      </c>
      <c r="BX37" s="319">
        <f>IF($BI37&lt;&gt;"",IF('Capacity summary'!$D$14="Yes",IF(COUNTBLANK('Capacity summary'!$H156:$BG156)&lt;52,IF('Capacity summary'!U156&lt;&gt;"",$BI37*U37,0),U37*$BI37),U37*$BI37),0)</f>
        <v>0</v>
      </c>
      <c r="BY37" s="319">
        <f>IF($BI37&lt;&gt;"",IF('Capacity summary'!$D$14="Yes",IF(COUNTBLANK('Capacity summary'!$H156:$BG156)&lt;52,IF('Capacity summary'!V156&lt;&gt;"",$BI37*V37,0),V37*$BI37),V37*$BI37),0)</f>
        <v>0</v>
      </c>
      <c r="BZ37" s="319">
        <f>IF($BI37&lt;&gt;"",IF('Capacity summary'!$D$14="Yes",IF(COUNTBLANK('Capacity summary'!$H156:$BG156)&lt;52,IF('Capacity summary'!W156&lt;&gt;"",$BI37*W37,0),W37*$BI37),W37*$BI37),0)</f>
        <v>0</v>
      </c>
      <c r="CA37" s="319">
        <f>IF($BI37&lt;&gt;"",IF('Capacity summary'!$D$14="Yes",IF(COUNTBLANK('Capacity summary'!$H156:$BG156)&lt;52,IF('Capacity summary'!X156&lt;&gt;"",$BI37*X37,0),X37*$BI37),X37*$BI37),0)</f>
        <v>0</v>
      </c>
      <c r="CB37" s="319">
        <f>IF($BI37&lt;&gt;"",IF('Capacity summary'!$D$14="Yes",IF(COUNTBLANK('Capacity summary'!$H156:$BG156)&lt;52,IF('Capacity summary'!Y156&lt;&gt;"",$BI37*Y37,0),Y37*$BI37),Y37*$BI37),0)</f>
        <v>0</v>
      </c>
      <c r="CC37" s="319">
        <f>IF($BI37&lt;&gt;"",IF('Capacity summary'!$D$14="Yes",IF(COUNTBLANK('Capacity summary'!$H156:$BG156)&lt;52,IF('Capacity summary'!Z156&lt;&gt;"",$BI37*Z37,0),Z37*$BI37),Z37*$BI37),0)</f>
        <v>0</v>
      </c>
      <c r="CD37" s="319">
        <f>IF($BI37&lt;&gt;"",IF('Capacity summary'!$D$14="Yes",IF(COUNTBLANK('Capacity summary'!$H156:$BG156)&lt;52,IF('Capacity summary'!AA156&lt;&gt;"",$BI37*AA37,0),AA37*$BI37),AA37*$BI37),0)</f>
        <v>0</v>
      </c>
      <c r="CE37" s="319">
        <f>IF($BI37&lt;&gt;"",IF('Capacity summary'!$D$14="Yes",IF(COUNTBLANK('Capacity summary'!$H156:$BG156)&lt;52,IF('Capacity summary'!AB156&lt;&gt;"",$BI37*AB37,0),AB37*$BI37),AB37*$BI37),0)</f>
        <v>0</v>
      </c>
      <c r="CF37" s="319">
        <f>IF($BI37&lt;&gt;"",IF('Capacity summary'!$D$14="Yes",IF(COUNTBLANK('Capacity summary'!$H156:$BG156)&lt;52,IF('Capacity summary'!AC156&lt;&gt;"",$BI37*AC37,0),AC37*$BI37),AC37*$BI37),0)</f>
        <v>0</v>
      </c>
      <c r="CG37" s="319">
        <f>IF($BI37&lt;&gt;"",IF('Capacity summary'!$D$14="Yes",IF(COUNTBLANK('Capacity summary'!$H156:$BG156)&lt;52,IF('Capacity summary'!AD156&lt;&gt;"",$BI37*AD37,0),AD37*$BI37),AD37*$BI37),0)</f>
        <v>0</v>
      </c>
      <c r="CH37" s="319">
        <f>IF($BI37&lt;&gt;"",IF('Capacity summary'!$D$14="Yes",IF(COUNTBLANK('Capacity summary'!$H156:$BG156)&lt;52,IF('Capacity summary'!AE156&lt;&gt;"",$BI37*AE37,0),AE37*$BI37),AE37*$BI37),0)</f>
        <v>0</v>
      </c>
      <c r="CI37" s="319">
        <f>IF($BI37&lt;&gt;"",IF('Capacity summary'!$D$14="Yes",IF(COUNTBLANK('Capacity summary'!$H156:$BG156)&lt;52,IF('Capacity summary'!AF156&lt;&gt;"",$BI37*AF37,0),AF37*$BI37),AF37*$BI37),0)</f>
        <v>0</v>
      </c>
      <c r="CJ37" s="319">
        <f>IF($BI37&lt;&gt;"",IF('Capacity summary'!$D$14="Yes",IF(COUNTBLANK('Capacity summary'!$H156:$BG156)&lt;52,IF('Capacity summary'!AG156&lt;&gt;"",$BI37*AG37,0),AG37*$BI37),AG37*$BI37),0)</f>
        <v>0</v>
      </c>
      <c r="CK37" s="319">
        <f>IF($BI37&lt;&gt;"",IF('Capacity summary'!$D$14="Yes",IF(COUNTBLANK('Capacity summary'!$H156:$BG156)&lt;52,IF('Capacity summary'!AH156&lt;&gt;"",$BI37*AH37,0),AH37*$BI37),AH37*$BI37),0)</f>
        <v>0</v>
      </c>
      <c r="CL37" s="319">
        <f>IF($BI37&lt;&gt;"",IF('Capacity summary'!$D$14="Yes",IF(COUNTBLANK('Capacity summary'!$H156:$BG156)&lt;52,IF('Capacity summary'!AI156&lt;&gt;"",$BI37*AI37,0),AI37*$BI37),AI37*$BI37),0)</f>
        <v>0</v>
      </c>
      <c r="CM37" s="319">
        <f>IF($BI37&lt;&gt;"",IF('Capacity summary'!$D$14="Yes",IF(COUNTBLANK('Capacity summary'!$H156:$BG156)&lt;52,IF('Capacity summary'!AJ156&lt;&gt;"",$BI37*AJ37,0),AJ37*$BI37),AJ37*$BI37),0)</f>
        <v>0</v>
      </c>
      <c r="CN37" s="319">
        <f>IF($BI37&lt;&gt;"",IF('Capacity summary'!$D$14="Yes",IF(COUNTBLANK('Capacity summary'!$H156:$BG156)&lt;52,IF('Capacity summary'!AK156&lt;&gt;"",$BI37*AK37,0),AK37*$BI37),AK37*$BI37),0)</f>
        <v>0</v>
      </c>
      <c r="CO37" s="319">
        <f>IF($BI37&lt;&gt;"",IF('Capacity summary'!$D$14="Yes",IF(COUNTBLANK('Capacity summary'!$H156:$BG156)&lt;52,IF('Capacity summary'!AL156&lt;&gt;"",$BI37*AL37,0),AL37*$BI37),AL37*$BI37),0)</f>
        <v>0</v>
      </c>
      <c r="CP37" s="319">
        <f>IF($BI37&lt;&gt;"",IF('Capacity summary'!$D$14="Yes",IF(COUNTBLANK('Capacity summary'!$H156:$BG156)&lt;52,IF('Capacity summary'!AM156&lt;&gt;"",$BI37*AM37,0),AM37*$BI37),AM37*$BI37),0)</f>
        <v>0</v>
      </c>
      <c r="CQ37" s="319">
        <f>IF($BI37&lt;&gt;"",IF('Capacity summary'!$D$14="Yes",IF(COUNTBLANK('Capacity summary'!$H156:$BG156)&lt;52,IF('Capacity summary'!AN156&lt;&gt;"",$BI37*AN37,0),AN37*$BI37),AN37*$BI37),0)</f>
        <v>0</v>
      </c>
      <c r="CR37" s="319">
        <f>IF($BI37&lt;&gt;"",IF('Capacity summary'!$D$14="Yes",IF(COUNTBLANK('Capacity summary'!$H156:$BG156)&lt;52,IF('Capacity summary'!AO156&lt;&gt;"",$BI37*AO37,0),AO37*$BI37),AO37*$BI37),0)</f>
        <v>0</v>
      </c>
      <c r="CS37" s="319">
        <f>IF($BI37&lt;&gt;"",IF('Capacity summary'!$D$14="Yes",IF(COUNTBLANK('Capacity summary'!$H156:$BG156)&lt;52,IF('Capacity summary'!AP156&lt;&gt;"",$BI37*AP37,0),AP37*$BI37),AP37*$BI37),0)</f>
        <v>0</v>
      </c>
      <c r="CT37" s="319">
        <f>IF($BI37&lt;&gt;"",IF('Capacity summary'!$D$14="Yes",IF(COUNTBLANK('Capacity summary'!$H156:$BG156)&lt;52,IF('Capacity summary'!AQ156&lt;&gt;"",$BI37*AQ37,0),AQ37*$BI37),AQ37*$BI37),0)</f>
        <v>0</v>
      </c>
      <c r="CU37" s="319">
        <f>IF($BI37&lt;&gt;"",IF('Capacity summary'!$D$14="Yes",IF(COUNTBLANK('Capacity summary'!$H156:$BG156)&lt;52,IF('Capacity summary'!AR156&lt;&gt;"",$BI37*AR37,0),AR37*$BI37),AR37*$BI37),0)</f>
        <v>0</v>
      </c>
      <c r="CV37" s="319">
        <f>IF($BI37&lt;&gt;"",IF('Capacity summary'!$D$14="Yes",IF(COUNTBLANK('Capacity summary'!$H156:$BG156)&lt;52,IF('Capacity summary'!AS156&lt;&gt;"",$BI37*AS37,0),AS37*$BI37),AS37*$BI37),0)</f>
        <v>0</v>
      </c>
      <c r="CW37" s="319">
        <f>IF($BI37&lt;&gt;"",IF('Capacity summary'!$D$14="Yes",IF(COUNTBLANK('Capacity summary'!$H156:$BG156)&lt;52,IF('Capacity summary'!AT156&lt;&gt;"",$BI37*AT37,0),AT37*$BI37),AT37*$BI37),0)</f>
        <v>0</v>
      </c>
      <c r="CX37" s="319">
        <f>IF($BI37&lt;&gt;"",IF('Capacity summary'!$D$14="Yes",IF(COUNTBLANK('Capacity summary'!$H156:$BG156)&lt;52,IF('Capacity summary'!AU156&lt;&gt;"",$BI37*AU37,0),AU37*$BI37),AU37*$BI37),0)</f>
        <v>0</v>
      </c>
      <c r="CY37" s="319">
        <f>IF($BI37&lt;&gt;"",IF('Capacity summary'!$D$14="Yes",IF(COUNTBLANK('Capacity summary'!$H156:$BG156)&lt;52,IF('Capacity summary'!AV156&lt;&gt;"",$BI37*AV37,0),AV37*$BI37),AV37*$BI37),0)</f>
        <v>0</v>
      </c>
      <c r="CZ37" s="319">
        <f>IF($BI37&lt;&gt;"",IF('Capacity summary'!$D$14="Yes",IF(COUNTBLANK('Capacity summary'!$H156:$BG156)&lt;52,IF('Capacity summary'!AW156&lt;&gt;"",$BI37*AW37,0),AW37*$BI37),AW37*$BI37),0)</f>
        <v>0</v>
      </c>
      <c r="DA37" s="319">
        <f>IF($BI37&lt;&gt;"",IF('Capacity summary'!$D$14="Yes",IF(COUNTBLANK('Capacity summary'!$H156:$BG156)&lt;52,IF('Capacity summary'!AX156&lt;&gt;"",$BI37*AX37,0),AX37*$BI37),AX37*$BI37),0)</f>
        <v>0</v>
      </c>
      <c r="DB37" s="319">
        <f>IF($BI37&lt;&gt;"",IF('Capacity summary'!$D$14="Yes",IF(COUNTBLANK('Capacity summary'!$H156:$BG156)&lt;52,IF('Capacity summary'!AY156&lt;&gt;"",$BI37*AY37,0),AY37*$BI37),AY37*$BI37),0)</f>
        <v>0</v>
      </c>
      <c r="DC37" s="319">
        <f>IF($BI37&lt;&gt;"",IF('Capacity summary'!$D$14="Yes",IF(COUNTBLANK('Capacity summary'!$H156:$BG156)&lt;52,IF('Capacity summary'!AZ156&lt;&gt;"",$BI37*AZ37,0),AZ37*$BI37),AZ37*$BI37),0)</f>
        <v>0</v>
      </c>
      <c r="DD37" s="319">
        <f>IF($BI37&lt;&gt;"",IF('Capacity summary'!$D$14="Yes",IF(COUNTBLANK('Capacity summary'!$H156:$BG156)&lt;52,IF('Capacity summary'!BA156&lt;&gt;"",$BI37*BA37,0),BA37*$BI37),BA37*$BI37),0)</f>
        <v>0</v>
      </c>
      <c r="DE37" s="319">
        <f>IF($BI37&lt;&gt;"",IF('Capacity summary'!$D$14="Yes",IF(COUNTBLANK('Capacity summary'!$H156:$BG156)&lt;52,IF('Capacity summary'!BB156&lt;&gt;"",$BI37*BB37,0),BB37*$BI37),BB37*$BI37),0)</f>
        <v>0</v>
      </c>
      <c r="DF37" s="319">
        <f>IF($BI37&lt;&gt;"",IF('Capacity summary'!$D$14="Yes",IF(COUNTBLANK('Capacity summary'!$H156:$BG156)&lt;52,IF('Capacity summary'!BC156&lt;&gt;"",$BI37*BC37,0),BC37*$BI37),BC37*$BI37),0)</f>
        <v>0</v>
      </c>
      <c r="DG37" s="319">
        <f>IF($BI37&lt;&gt;"",IF('Capacity summary'!$D$14="Yes",IF(COUNTBLANK('Capacity summary'!$H156:$BG156)&lt;52,IF('Capacity summary'!BD156&lt;&gt;"",$BI37*BD37,0),BD37*$BI37),BD37*$BI37),0)</f>
        <v>0</v>
      </c>
      <c r="DH37" s="319">
        <f>IF($BI37&lt;&gt;"",IF('Capacity summary'!$D$14="Yes",IF(COUNTBLANK('Capacity summary'!$H156:$BG156)&lt;52,IF('Capacity summary'!BE156&lt;&gt;"",$BI37*BE37,0),BE37*$BI37),BE37*$BI37),0)</f>
        <v>0</v>
      </c>
      <c r="DI37" s="319">
        <f>IF($BI37&lt;&gt;"",IF('Capacity summary'!$D$14="Yes",IF(COUNTBLANK('Capacity summary'!$H156:$BG156)&lt;52,IF('Capacity summary'!BF156&lt;&gt;"",$BI37*BF37,0),BF37*$BI37),BF37*$BI37),0)</f>
        <v>0</v>
      </c>
      <c r="DJ37" s="319">
        <f>IF($BI37&lt;&gt;"",IF('Capacity summary'!$D$14="Yes",IF(COUNTBLANK('Capacity summary'!$H156:$BG156)&lt;52,IF('Capacity summary'!BG156&lt;&gt;"",$BI37*BG37,0),BG37*$BI37),BG37*$BI37),0)</f>
        <v>0</v>
      </c>
      <c r="DK37" s="5">
        <f t="shared" si="2"/>
        <v>0</v>
      </c>
      <c r="DL37" s="5" t="str">
        <f>Capacity!H49</f>
        <v/>
      </c>
      <c r="DP37" s="5"/>
    </row>
    <row r="38" spans="2:120" x14ac:dyDescent="0.2">
      <c r="B38" s="68"/>
      <c r="C38" s="68" t="str">
        <f>ROW(A34)&amp;". "&amp;Capacity!B50</f>
        <v xml:space="preserve">34. </v>
      </c>
      <c r="D38" s="68">
        <f>'Capacity setup'!C45</f>
        <v>0</v>
      </c>
      <c r="E38" s="68">
        <f>'Capacity setup'!D45</f>
        <v>0</v>
      </c>
      <c r="F38" s="68">
        <f>'Capacity setup'!E45</f>
        <v>0</v>
      </c>
      <c r="H38" s="68">
        <f ca="1">IF(AND(SUMIF(Capacity_Resource,$D38,'Critical resources (hide)'!U$6:U$105)+SUMIF(Capacity_Resource,$E38,'Critical resources (hide)'!U$6:U$105)+SUMIF(Capacity_Resource,$F38,'Critical resources (hide)'!U$6:U$105)&gt;0,$E$1=2),0,1)</f>
        <v>1</v>
      </c>
      <c r="I38" s="68">
        <f ca="1">IF(AND(SUMIF(Capacity_Resource,$D38,'Critical resources (hide)'!V$6:V$105)+SUMIF(Capacity_Resource,$E38,'Critical resources (hide)'!V$6:V$105)+SUMIF(Capacity_Resource,$F38,'Critical resources (hide)'!V$6:V$105)&gt;0,$E$1=2),0,1)</f>
        <v>1</v>
      </c>
      <c r="J38" s="68">
        <f ca="1">IF(AND(SUMIF(Capacity_Resource,$D38,'Critical resources (hide)'!W$6:W$105)+SUMIF(Capacity_Resource,$E38,'Critical resources (hide)'!W$6:W$105)+SUMIF(Capacity_Resource,$F38,'Critical resources (hide)'!W$6:W$105)&gt;0,$E$1=2),0,1)</f>
        <v>1</v>
      </c>
      <c r="K38" s="68">
        <f ca="1">IF(AND(SUMIF(Capacity_Resource,$D38,'Critical resources (hide)'!X$6:X$105)+SUMIF(Capacity_Resource,$E38,'Critical resources (hide)'!X$6:X$105)+SUMIF(Capacity_Resource,$F38,'Critical resources (hide)'!X$6:X$105)&gt;0,$E$1=2),0,1)</f>
        <v>1</v>
      </c>
      <c r="L38" s="68">
        <f ca="1">IF(AND(SUMIF(Capacity_Resource,$D38,'Critical resources (hide)'!Y$6:Y$105)+SUMIF(Capacity_Resource,$E38,'Critical resources (hide)'!Y$6:Y$105)+SUMIF(Capacity_Resource,$F38,'Critical resources (hide)'!Y$6:Y$105)&gt;0,$E$1=2),0,1)</f>
        <v>1</v>
      </c>
      <c r="M38" s="68">
        <f ca="1">IF(AND(SUMIF(Capacity_Resource,$D38,'Critical resources (hide)'!Z$6:Z$105)+SUMIF(Capacity_Resource,$E38,'Critical resources (hide)'!Z$6:Z$105)+SUMIF(Capacity_Resource,$F38,'Critical resources (hide)'!Z$6:Z$105)&gt;0,$E$1=2),0,1)</f>
        <v>1</v>
      </c>
      <c r="N38" s="68">
        <f ca="1">IF(AND(SUMIF(Capacity_Resource,$D38,'Critical resources (hide)'!AA$6:AA$105)+SUMIF(Capacity_Resource,$E38,'Critical resources (hide)'!AA$6:AA$105)+SUMIF(Capacity_Resource,$F38,'Critical resources (hide)'!AA$6:AA$105)&gt;0,$E$1=2),0,1)</f>
        <v>1</v>
      </c>
      <c r="O38" s="68">
        <f ca="1">IF(AND(SUMIF(Capacity_Resource,$D38,'Critical resources (hide)'!AB$6:AB$105)+SUMIF(Capacity_Resource,$E38,'Critical resources (hide)'!AB$6:AB$105)+SUMIF(Capacity_Resource,$F38,'Critical resources (hide)'!AB$6:AB$105)&gt;0,$E$1=2),0,1)</f>
        <v>1</v>
      </c>
      <c r="P38" s="68">
        <f ca="1">IF(AND(SUMIF(Capacity_Resource,$D38,'Critical resources (hide)'!AC$6:AC$105)+SUMIF(Capacity_Resource,$E38,'Critical resources (hide)'!AC$6:AC$105)+SUMIF(Capacity_Resource,$F38,'Critical resources (hide)'!AC$6:AC$105)&gt;0,$E$1=2),0,1)</f>
        <v>1</v>
      </c>
      <c r="Q38" s="68">
        <f ca="1">IF(AND(SUMIF(Capacity_Resource,$D38,'Critical resources (hide)'!AD$6:AD$105)+SUMIF(Capacity_Resource,$E38,'Critical resources (hide)'!AD$6:AD$105)+SUMIF(Capacity_Resource,$F38,'Critical resources (hide)'!AD$6:AD$105)&gt;0,$E$1=2),0,1)</f>
        <v>1</v>
      </c>
      <c r="R38" s="68">
        <f ca="1">IF(AND(SUMIF(Capacity_Resource,$D38,'Critical resources (hide)'!AE$6:AE$105)+SUMIF(Capacity_Resource,$E38,'Critical resources (hide)'!AE$6:AE$105)+SUMIF(Capacity_Resource,$F38,'Critical resources (hide)'!AE$6:AE$105)&gt;0,$E$1=2),0,1)</f>
        <v>1</v>
      </c>
      <c r="S38" s="68">
        <f ca="1">IF(AND(SUMIF(Capacity_Resource,$D38,'Critical resources (hide)'!AF$6:AF$105)+SUMIF(Capacity_Resource,$E38,'Critical resources (hide)'!AF$6:AF$105)+SUMIF(Capacity_Resource,$F38,'Critical resources (hide)'!AF$6:AF$105)&gt;0,$E$1=2),0,1)</f>
        <v>1</v>
      </c>
      <c r="T38" s="68">
        <f ca="1">IF(AND(SUMIF(Capacity_Resource,$D38,'Critical resources (hide)'!AG$6:AG$105)+SUMIF(Capacity_Resource,$E38,'Critical resources (hide)'!AG$6:AG$105)+SUMIF(Capacity_Resource,$F38,'Critical resources (hide)'!AG$6:AG$105)&gt;0,$E$1=2),0,1)</f>
        <v>1</v>
      </c>
      <c r="U38" s="68">
        <f ca="1">IF(AND(SUMIF(Capacity_Resource,$D38,'Critical resources (hide)'!AH$6:AH$105)+SUMIF(Capacity_Resource,$E38,'Critical resources (hide)'!AH$6:AH$105)+SUMIF(Capacity_Resource,$F38,'Critical resources (hide)'!AH$6:AH$105)&gt;0,$E$1=2),0,1)</f>
        <v>1</v>
      </c>
      <c r="V38" s="68">
        <f ca="1">IF(AND(SUMIF(Capacity_Resource,$D38,'Critical resources (hide)'!AI$6:AI$105)+SUMIF(Capacity_Resource,$E38,'Critical resources (hide)'!AI$6:AI$105)+SUMIF(Capacity_Resource,$F38,'Critical resources (hide)'!AI$6:AI$105)&gt;0,$E$1=2),0,1)</f>
        <v>1</v>
      </c>
      <c r="W38" s="68">
        <f ca="1">IF(AND(SUMIF(Capacity_Resource,$D38,'Critical resources (hide)'!AJ$6:AJ$105)+SUMIF(Capacity_Resource,$E38,'Critical resources (hide)'!AJ$6:AJ$105)+SUMIF(Capacity_Resource,$F38,'Critical resources (hide)'!AJ$6:AJ$105)&gt;0,$E$1=2),0,1)</f>
        <v>1</v>
      </c>
      <c r="X38" s="68">
        <f ca="1">IF(AND(SUMIF(Capacity_Resource,$D38,'Critical resources (hide)'!AK$6:AK$105)+SUMIF(Capacity_Resource,$E38,'Critical resources (hide)'!AK$6:AK$105)+SUMIF(Capacity_Resource,$F38,'Critical resources (hide)'!AK$6:AK$105)&gt;0,$E$1=2),0,1)</f>
        <v>1</v>
      </c>
      <c r="Y38" s="68">
        <f ca="1">IF(AND(SUMIF(Capacity_Resource,$D38,'Critical resources (hide)'!AL$6:AL$105)+SUMIF(Capacity_Resource,$E38,'Critical resources (hide)'!AL$6:AL$105)+SUMIF(Capacity_Resource,$F38,'Critical resources (hide)'!AL$6:AL$105)&gt;0,$E$1=2),0,1)</f>
        <v>1</v>
      </c>
      <c r="Z38" s="68">
        <f ca="1">IF(AND(SUMIF(Capacity_Resource,$D38,'Critical resources (hide)'!AM$6:AM$105)+SUMIF(Capacity_Resource,$E38,'Critical resources (hide)'!AM$6:AM$105)+SUMIF(Capacity_Resource,$F38,'Critical resources (hide)'!AM$6:AM$105)&gt;0,$E$1=2),0,1)</f>
        <v>1</v>
      </c>
      <c r="AA38" s="68">
        <f ca="1">IF(AND(SUMIF(Capacity_Resource,$D38,'Critical resources (hide)'!AN$6:AN$105)+SUMIF(Capacity_Resource,$E38,'Critical resources (hide)'!AN$6:AN$105)+SUMIF(Capacity_Resource,$F38,'Critical resources (hide)'!AN$6:AN$105)&gt;0,$E$1=2),0,1)</f>
        <v>1</v>
      </c>
      <c r="AB38" s="68">
        <f ca="1">IF(AND(SUMIF(Capacity_Resource,$D38,'Critical resources (hide)'!AO$6:AO$105)+SUMIF(Capacity_Resource,$E38,'Critical resources (hide)'!AO$6:AO$105)+SUMIF(Capacity_Resource,$F38,'Critical resources (hide)'!AO$6:AO$105)&gt;0,$E$1=2),0,1)</f>
        <v>1</v>
      </c>
      <c r="AC38" s="68">
        <f ca="1">IF(AND(SUMIF(Capacity_Resource,$D38,'Critical resources (hide)'!AP$6:AP$105)+SUMIF(Capacity_Resource,$E38,'Critical resources (hide)'!AP$6:AP$105)+SUMIF(Capacity_Resource,$F38,'Critical resources (hide)'!AP$6:AP$105)&gt;0,$E$1=2),0,1)</f>
        <v>1</v>
      </c>
      <c r="AD38" s="68">
        <f ca="1">IF(AND(SUMIF(Capacity_Resource,$D38,'Critical resources (hide)'!AQ$6:AQ$105)+SUMIF(Capacity_Resource,$E38,'Critical resources (hide)'!AQ$6:AQ$105)+SUMIF(Capacity_Resource,$F38,'Critical resources (hide)'!AQ$6:AQ$105)&gt;0,$E$1=2),0,1)</f>
        <v>1</v>
      </c>
      <c r="AE38" s="68">
        <f ca="1">IF(AND(SUMIF(Capacity_Resource,$D38,'Critical resources (hide)'!AR$6:AR$105)+SUMIF(Capacity_Resource,$E38,'Critical resources (hide)'!AR$6:AR$105)+SUMIF(Capacity_Resource,$F38,'Critical resources (hide)'!AR$6:AR$105)&gt;0,$E$1=2),0,1)</f>
        <v>1</v>
      </c>
      <c r="AF38" s="68">
        <f ca="1">IF(AND(SUMIF(Capacity_Resource,$D38,'Critical resources (hide)'!AS$6:AS$105)+SUMIF(Capacity_Resource,$E38,'Critical resources (hide)'!AS$6:AS$105)+SUMIF(Capacity_Resource,$F38,'Critical resources (hide)'!AS$6:AS$105)&gt;0,$E$1=2),0,1)</f>
        <v>1</v>
      </c>
      <c r="AG38" s="68">
        <f ca="1">IF(AND(SUMIF(Capacity_Resource,$D38,'Critical resources (hide)'!AT$6:AT$105)+SUMIF(Capacity_Resource,$E38,'Critical resources (hide)'!AT$6:AT$105)+SUMIF(Capacity_Resource,$F38,'Critical resources (hide)'!AT$6:AT$105)&gt;0,$E$1=2),0,1)</f>
        <v>1</v>
      </c>
      <c r="AH38" s="68">
        <f ca="1">IF(AND(SUMIF(Capacity_Resource,$D38,'Critical resources (hide)'!AU$6:AU$105)+SUMIF(Capacity_Resource,$E38,'Critical resources (hide)'!AU$6:AU$105)+SUMIF(Capacity_Resource,$F38,'Critical resources (hide)'!AU$6:AU$105)&gt;0,$E$1=2),0,1)</f>
        <v>1</v>
      </c>
      <c r="AI38" s="68">
        <f ca="1">IF(AND(SUMIF(Capacity_Resource,$D38,'Critical resources (hide)'!AV$6:AV$105)+SUMIF(Capacity_Resource,$E38,'Critical resources (hide)'!AV$6:AV$105)+SUMIF(Capacity_Resource,$F38,'Critical resources (hide)'!AV$6:AV$105)&gt;0,$E$1=2),0,1)</f>
        <v>1</v>
      </c>
      <c r="AJ38" s="68">
        <f ca="1">IF(AND(SUMIF(Capacity_Resource,$D38,'Critical resources (hide)'!AW$6:AW$105)+SUMIF(Capacity_Resource,$E38,'Critical resources (hide)'!AW$6:AW$105)+SUMIF(Capacity_Resource,$F38,'Critical resources (hide)'!AW$6:AW$105)&gt;0,$E$1=2),0,1)</f>
        <v>1</v>
      </c>
      <c r="AK38" s="68">
        <f ca="1">IF(AND(SUMIF(Capacity_Resource,$D38,'Critical resources (hide)'!AX$6:AX$105)+SUMIF(Capacity_Resource,$E38,'Critical resources (hide)'!AX$6:AX$105)+SUMIF(Capacity_Resource,$F38,'Critical resources (hide)'!AX$6:AX$105)&gt;0,$E$1=2),0,1)</f>
        <v>1</v>
      </c>
      <c r="AL38" s="68">
        <f ca="1">IF(AND(SUMIF(Capacity_Resource,$D38,'Critical resources (hide)'!AY$6:AY$105)+SUMIF(Capacity_Resource,$E38,'Critical resources (hide)'!AY$6:AY$105)+SUMIF(Capacity_Resource,$F38,'Critical resources (hide)'!AY$6:AY$105)&gt;0,$E$1=2),0,1)</f>
        <v>1</v>
      </c>
      <c r="AM38" s="68">
        <f ca="1">IF(AND(SUMIF(Capacity_Resource,$D38,'Critical resources (hide)'!AZ$6:AZ$105)+SUMIF(Capacity_Resource,$E38,'Critical resources (hide)'!AZ$6:AZ$105)+SUMIF(Capacity_Resource,$F38,'Critical resources (hide)'!AZ$6:AZ$105)&gt;0,$E$1=2),0,1)</f>
        <v>1</v>
      </c>
      <c r="AN38" s="68">
        <f ca="1">IF(AND(SUMIF(Capacity_Resource,$D38,'Critical resources (hide)'!BA$6:BA$105)+SUMIF(Capacity_Resource,$E38,'Critical resources (hide)'!BA$6:BA$105)+SUMIF(Capacity_Resource,$F38,'Critical resources (hide)'!BA$6:BA$105)&gt;0,$E$1=2),0,1)</f>
        <v>1</v>
      </c>
      <c r="AO38" s="68">
        <f ca="1">IF(AND(SUMIF(Capacity_Resource,$D38,'Critical resources (hide)'!BB$6:BB$105)+SUMIF(Capacity_Resource,$E38,'Critical resources (hide)'!BB$6:BB$105)+SUMIF(Capacity_Resource,$F38,'Critical resources (hide)'!BB$6:BB$105)&gt;0,$E$1=2),0,1)</f>
        <v>1</v>
      </c>
      <c r="AP38" s="68">
        <f ca="1">IF(AND(SUMIF(Capacity_Resource,$D38,'Critical resources (hide)'!BC$6:BC$105)+SUMIF(Capacity_Resource,$E38,'Critical resources (hide)'!BC$6:BC$105)+SUMIF(Capacity_Resource,$F38,'Critical resources (hide)'!BC$6:BC$105)&gt;0,$E$1=2),0,1)</f>
        <v>1</v>
      </c>
      <c r="AQ38" s="68">
        <f ca="1">IF(AND(SUMIF(Capacity_Resource,$D38,'Critical resources (hide)'!BD$6:BD$105)+SUMIF(Capacity_Resource,$E38,'Critical resources (hide)'!BD$6:BD$105)+SUMIF(Capacity_Resource,$F38,'Critical resources (hide)'!BD$6:BD$105)&gt;0,$E$1=2),0,1)</f>
        <v>1</v>
      </c>
      <c r="AR38" s="68">
        <f ca="1">IF(AND(SUMIF(Capacity_Resource,$D38,'Critical resources (hide)'!BE$6:BE$105)+SUMIF(Capacity_Resource,$E38,'Critical resources (hide)'!BE$6:BE$105)+SUMIF(Capacity_Resource,$F38,'Critical resources (hide)'!BE$6:BE$105)&gt;0,$E$1=2),0,1)</f>
        <v>1</v>
      </c>
      <c r="AS38" s="68">
        <f ca="1">IF(AND(SUMIF(Capacity_Resource,$D38,'Critical resources (hide)'!BF$6:BF$105)+SUMIF(Capacity_Resource,$E38,'Critical resources (hide)'!BF$6:BF$105)+SUMIF(Capacity_Resource,$F38,'Critical resources (hide)'!BF$6:BF$105)&gt;0,$E$1=2),0,1)</f>
        <v>1</v>
      </c>
      <c r="AT38" s="68">
        <f ca="1">IF(AND(SUMIF(Capacity_Resource,$D38,'Critical resources (hide)'!BG$6:BG$105)+SUMIF(Capacity_Resource,$E38,'Critical resources (hide)'!BG$6:BG$105)+SUMIF(Capacity_Resource,$F38,'Critical resources (hide)'!BG$6:BG$105)&gt;0,$E$1=2),0,1)</f>
        <v>1</v>
      </c>
      <c r="AU38" s="68">
        <f ca="1">IF(AND(SUMIF(Capacity_Resource,$D38,'Critical resources (hide)'!BH$6:BH$105)+SUMIF(Capacity_Resource,$E38,'Critical resources (hide)'!BH$6:BH$105)+SUMIF(Capacity_Resource,$F38,'Critical resources (hide)'!BH$6:BH$105)&gt;0,$E$1=2),0,1)</f>
        <v>1</v>
      </c>
      <c r="AV38" s="68">
        <f ca="1">IF(AND(SUMIF(Capacity_Resource,$D38,'Critical resources (hide)'!BI$6:BI$105)+SUMIF(Capacity_Resource,$E38,'Critical resources (hide)'!BI$6:BI$105)+SUMIF(Capacity_Resource,$F38,'Critical resources (hide)'!BI$6:BI$105)&gt;0,$E$1=2),0,1)</f>
        <v>1</v>
      </c>
      <c r="AW38" s="68">
        <f ca="1">IF(AND(SUMIF(Capacity_Resource,$D38,'Critical resources (hide)'!BJ$6:BJ$105)+SUMIF(Capacity_Resource,$E38,'Critical resources (hide)'!BJ$6:BJ$105)+SUMIF(Capacity_Resource,$F38,'Critical resources (hide)'!BJ$6:BJ$105)&gt;0,$E$1=2),0,1)</f>
        <v>1</v>
      </c>
      <c r="AX38" s="68">
        <f ca="1">IF(AND(SUMIF(Capacity_Resource,$D38,'Critical resources (hide)'!BK$6:BK$105)+SUMIF(Capacity_Resource,$E38,'Critical resources (hide)'!BK$6:BK$105)+SUMIF(Capacity_Resource,$F38,'Critical resources (hide)'!BK$6:BK$105)&gt;0,$E$1=2),0,1)</f>
        <v>1</v>
      </c>
      <c r="AY38" s="68">
        <f ca="1">IF(AND(SUMIF(Capacity_Resource,$D38,'Critical resources (hide)'!BL$6:BL$105)+SUMIF(Capacity_Resource,$E38,'Critical resources (hide)'!BL$6:BL$105)+SUMIF(Capacity_Resource,$F38,'Critical resources (hide)'!BL$6:BL$105)&gt;0,$E$1=2),0,1)</f>
        <v>1</v>
      </c>
      <c r="AZ38" s="68">
        <f ca="1">IF(AND(SUMIF(Capacity_Resource,$D38,'Critical resources (hide)'!BM$6:BM$105)+SUMIF(Capacity_Resource,$E38,'Critical resources (hide)'!BM$6:BM$105)+SUMIF(Capacity_Resource,$F38,'Critical resources (hide)'!BM$6:BM$105)&gt;0,$E$1=2),0,1)</f>
        <v>1</v>
      </c>
      <c r="BA38" s="68">
        <f ca="1">IF(AND(SUMIF(Capacity_Resource,$D38,'Critical resources (hide)'!BN$6:BN$105)+SUMIF(Capacity_Resource,$E38,'Critical resources (hide)'!BN$6:BN$105)+SUMIF(Capacity_Resource,$F38,'Critical resources (hide)'!BN$6:BN$105)&gt;0,$E$1=2),0,1)</f>
        <v>1</v>
      </c>
      <c r="BB38" s="68">
        <f ca="1">IF(AND(SUMIF(Capacity_Resource,$D38,'Critical resources (hide)'!BO$6:BO$105)+SUMIF(Capacity_Resource,$E38,'Critical resources (hide)'!BO$6:BO$105)+SUMIF(Capacity_Resource,$F38,'Critical resources (hide)'!BO$6:BO$105)&gt;0,$E$1=2),0,1)</f>
        <v>1</v>
      </c>
      <c r="BC38" s="68">
        <f ca="1">IF(AND(SUMIF(Capacity_Resource,$D38,'Critical resources (hide)'!BP$6:BP$105)+SUMIF(Capacity_Resource,$E38,'Critical resources (hide)'!BP$6:BP$105)+SUMIF(Capacity_Resource,$F38,'Critical resources (hide)'!BP$6:BP$105)&gt;0,$E$1=2),0,1)</f>
        <v>1</v>
      </c>
      <c r="BD38" s="68">
        <f ca="1">IF(AND(SUMIF(Capacity_Resource,$D38,'Critical resources (hide)'!BQ$6:BQ$105)+SUMIF(Capacity_Resource,$E38,'Critical resources (hide)'!BQ$6:BQ$105)+SUMIF(Capacity_Resource,$F38,'Critical resources (hide)'!BQ$6:BQ$105)&gt;0,$E$1=2),0,1)</f>
        <v>1</v>
      </c>
      <c r="BE38" s="68">
        <f ca="1">IF(AND(SUMIF(Capacity_Resource,$D38,'Critical resources (hide)'!BR$6:BR$105)+SUMIF(Capacity_Resource,$E38,'Critical resources (hide)'!BR$6:BR$105)+SUMIF(Capacity_Resource,$F38,'Critical resources (hide)'!BR$6:BR$105)&gt;0,$E$1=2),0,1)</f>
        <v>1</v>
      </c>
      <c r="BF38" s="68">
        <f ca="1">IF(AND(SUMIF(Capacity_Resource,$D38,'Critical resources (hide)'!BS$6:BS$105)+SUMIF(Capacity_Resource,$E38,'Critical resources (hide)'!BS$6:BS$105)+SUMIF(Capacity_Resource,$F38,'Critical resources (hide)'!BS$6:BS$105)&gt;0,$E$1=2),0,1)</f>
        <v>1</v>
      </c>
      <c r="BG38" s="68">
        <f ca="1">IF(AND(SUMIF(Capacity_Resource,$D38,'Critical resources (hide)'!BT$6:BT$105)+SUMIF(Capacity_Resource,$E38,'Critical resources (hide)'!BT$6:BT$105)+SUMIF(Capacity_Resource,$F38,'Critical resources (hide)'!BT$6:BT$105)&gt;0,$E$1=2),0,1)</f>
        <v>1</v>
      </c>
      <c r="BH38" s="68">
        <f>IF(ROW(C34)&lt;=Capacity!$A$16,IF('Capacity summary'!$D$14="No",SUM(H38:BG38),'Capacity summary'!$E157),0)</f>
        <v>0</v>
      </c>
      <c r="BI38" s="5" t="str">
        <f>IF(BH38&gt;0,IF(BH38&lt;Capacity!E50,Capacity!F50,Capacity!H50/'Capacity calculation (hide)'!BH38),"")</f>
        <v/>
      </c>
      <c r="BK38" s="319">
        <f>IF($BI38&lt;&gt;"",IF('Capacity summary'!$D$14="Yes",IF(COUNTBLANK('Capacity summary'!$H157:$BG157)&lt;52,IF('Capacity summary'!H157&lt;&gt;"",$BI38*H38,0),H38*$BI38),H38*$BI38),0)</f>
        <v>0</v>
      </c>
      <c r="BL38" s="319">
        <f>IF($BI38&lt;&gt;"",IF('Capacity summary'!$D$14="Yes",IF(COUNTBLANK('Capacity summary'!$H157:$BG157)&lt;52,IF('Capacity summary'!I157&lt;&gt;"",$BI38*I38,0),I38*$BI38),I38*$BI38),0)</f>
        <v>0</v>
      </c>
      <c r="BM38" s="319">
        <f>IF($BI38&lt;&gt;"",IF('Capacity summary'!$D$14="Yes",IF(COUNTBLANK('Capacity summary'!$H157:$BG157)&lt;52,IF('Capacity summary'!J157&lt;&gt;"",$BI38*J38,0),J38*$BI38),J38*$BI38),0)</f>
        <v>0</v>
      </c>
      <c r="BN38" s="319">
        <f>IF($BI38&lt;&gt;"",IF('Capacity summary'!$D$14="Yes",IF(COUNTBLANK('Capacity summary'!$H157:$BG157)&lt;52,IF('Capacity summary'!K157&lt;&gt;"",$BI38*K38,0),K38*$BI38),K38*$BI38),0)</f>
        <v>0</v>
      </c>
      <c r="BO38" s="319">
        <f>IF($BI38&lt;&gt;"",IF('Capacity summary'!$D$14="Yes",IF(COUNTBLANK('Capacity summary'!$H157:$BG157)&lt;52,IF('Capacity summary'!L157&lt;&gt;"",$BI38*L38,0),L38*$BI38),L38*$BI38),0)</f>
        <v>0</v>
      </c>
      <c r="BP38" s="319">
        <f>IF($BI38&lt;&gt;"",IF('Capacity summary'!$D$14="Yes",IF(COUNTBLANK('Capacity summary'!$H157:$BG157)&lt;52,IF('Capacity summary'!M157&lt;&gt;"",$BI38*M38,0),M38*$BI38),M38*$BI38),0)</f>
        <v>0</v>
      </c>
      <c r="BQ38" s="319">
        <f>IF($BI38&lt;&gt;"",IF('Capacity summary'!$D$14="Yes",IF(COUNTBLANK('Capacity summary'!$H157:$BG157)&lt;52,IF('Capacity summary'!N157&lt;&gt;"",$BI38*N38,0),N38*$BI38),N38*$BI38),0)</f>
        <v>0</v>
      </c>
      <c r="BR38" s="319">
        <f>IF($BI38&lt;&gt;"",IF('Capacity summary'!$D$14="Yes",IF(COUNTBLANK('Capacity summary'!$H157:$BG157)&lt;52,IF('Capacity summary'!O157&lt;&gt;"",$BI38*O38,0),O38*$BI38),O38*$BI38),0)</f>
        <v>0</v>
      </c>
      <c r="BS38" s="319">
        <f>IF($BI38&lt;&gt;"",IF('Capacity summary'!$D$14="Yes",IF(COUNTBLANK('Capacity summary'!$H157:$BG157)&lt;52,IF('Capacity summary'!P157&lt;&gt;"",$BI38*P38,0),P38*$BI38),P38*$BI38),0)</f>
        <v>0</v>
      </c>
      <c r="BT38" s="319">
        <f>IF($BI38&lt;&gt;"",IF('Capacity summary'!$D$14="Yes",IF(COUNTBLANK('Capacity summary'!$H157:$BG157)&lt;52,IF('Capacity summary'!Q157&lt;&gt;"",$BI38*Q38,0),Q38*$BI38),Q38*$BI38),0)</f>
        <v>0</v>
      </c>
      <c r="BU38" s="319">
        <f>IF($BI38&lt;&gt;"",IF('Capacity summary'!$D$14="Yes",IF(COUNTBLANK('Capacity summary'!$H157:$BG157)&lt;52,IF('Capacity summary'!R157&lt;&gt;"",$BI38*R38,0),R38*$BI38),R38*$BI38),0)</f>
        <v>0</v>
      </c>
      <c r="BV38" s="319">
        <f>IF($BI38&lt;&gt;"",IF('Capacity summary'!$D$14="Yes",IF(COUNTBLANK('Capacity summary'!$H157:$BG157)&lt;52,IF('Capacity summary'!S157&lt;&gt;"",$BI38*S38,0),S38*$BI38),S38*$BI38),0)</f>
        <v>0</v>
      </c>
      <c r="BW38" s="319">
        <f>IF($BI38&lt;&gt;"",IF('Capacity summary'!$D$14="Yes",IF(COUNTBLANK('Capacity summary'!$H157:$BG157)&lt;52,IF('Capacity summary'!T157&lt;&gt;"",$BI38*T38,0),T38*$BI38),T38*$BI38),0)</f>
        <v>0</v>
      </c>
      <c r="BX38" s="319">
        <f>IF($BI38&lt;&gt;"",IF('Capacity summary'!$D$14="Yes",IF(COUNTBLANK('Capacity summary'!$H157:$BG157)&lt;52,IF('Capacity summary'!U157&lt;&gt;"",$BI38*U38,0),U38*$BI38),U38*$BI38),0)</f>
        <v>0</v>
      </c>
      <c r="BY38" s="319">
        <f>IF($BI38&lt;&gt;"",IF('Capacity summary'!$D$14="Yes",IF(COUNTBLANK('Capacity summary'!$H157:$BG157)&lt;52,IF('Capacity summary'!V157&lt;&gt;"",$BI38*V38,0),V38*$BI38),V38*$BI38),0)</f>
        <v>0</v>
      </c>
      <c r="BZ38" s="319">
        <f>IF($BI38&lt;&gt;"",IF('Capacity summary'!$D$14="Yes",IF(COUNTBLANK('Capacity summary'!$H157:$BG157)&lt;52,IF('Capacity summary'!W157&lt;&gt;"",$BI38*W38,0),W38*$BI38),W38*$BI38),0)</f>
        <v>0</v>
      </c>
      <c r="CA38" s="319">
        <f>IF($BI38&lt;&gt;"",IF('Capacity summary'!$D$14="Yes",IF(COUNTBLANK('Capacity summary'!$H157:$BG157)&lt;52,IF('Capacity summary'!X157&lt;&gt;"",$BI38*X38,0),X38*$BI38),X38*$BI38),0)</f>
        <v>0</v>
      </c>
      <c r="CB38" s="319">
        <f>IF($BI38&lt;&gt;"",IF('Capacity summary'!$D$14="Yes",IF(COUNTBLANK('Capacity summary'!$H157:$BG157)&lt;52,IF('Capacity summary'!Y157&lt;&gt;"",$BI38*Y38,0),Y38*$BI38),Y38*$BI38),0)</f>
        <v>0</v>
      </c>
      <c r="CC38" s="319">
        <f>IF($BI38&lt;&gt;"",IF('Capacity summary'!$D$14="Yes",IF(COUNTBLANK('Capacity summary'!$H157:$BG157)&lt;52,IF('Capacity summary'!Z157&lt;&gt;"",$BI38*Z38,0),Z38*$BI38),Z38*$BI38),0)</f>
        <v>0</v>
      </c>
      <c r="CD38" s="319">
        <f>IF($BI38&lt;&gt;"",IF('Capacity summary'!$D$14="Yes",IF(COUNTBLANK('Capacity summary'!$H157:$BG157)&lt;52,IF('Capacity summary'!AA157&lt;&gt;"",$BI38*AA38,0),AA38*$BI38),AA38*$BI38),0)</f>
        <v>0</v>
      </c>
      <c r="CE38" s="319">
        <f>IF($BI38&lt;&gt;"",IF('Capacity summary'!$D$14="Yes",IF(COUNTBLANK('Capacity summary'!$H157:$BG157)&lt;52,IF('Capacity summary'!AB157&lt;&gt;"",$BI38*AB38,0),AB38*$BI38),AB38*$BI38),0)</f>
        <v>0</v>
      </c>
      <c r="CF38" s="319">
        <f>IF($BI38&lt;&gt;"",IF('Capacity summary'!$D$14="Yes",IF(COUNTBLANK('Capacity summary'!$H157:$BG157)&lt;52,IF('Capacity summary'!AC157&lt;&gt;"",$BI38*AC38,0),AC38*$BI38),AC38*$BI38),0)</f>
        <v>0</v>
      </c>
      <c r="CG38" s="319">
        <f>IF($BI38&lt;&gt;"",IF('Capacity summary'!$D$14="Yes",IF(COUNTBLANK('Capacity summary'!$H157:$BG157)&lt;52,IF('Capacity summary'!AD157&lt;&gt;"",$BI38*AD38,0),AD38*$BI38),AD38*$BI38),0)</f>
        <v>0</v>
      </c>
      <c r="CH38" s="319">
        <f>IF($BI38&lt;&gt;"",IF('Capacity summary'!$D$14="Yes",IF(COUNTBLANK('Capacity summary'!$H157:$BG157)&lt;52,IF('Capacity summary'!AE157&lt;&gt;"",$BI38*AE38,0),AE38*$BI38),AE38*$BI38),0)</f>
        <v>0</v>
      </c>
      <c r="CI38" s="319">
        <f>IF($BI38&lt;&gt;"",IF('Capacity summary'!$D$14="Yes",IF(COUNTBLANK('Capacity summary'!$H157:$BG157)&lt;52,IF('Capacity summary'!AF157&lt;&gt;"",$BI38*AF38,0),AF38*$BI38),AF38*$BI38),0)</f>
        <v>0</v>
      </c>
      <c r="CJ38" s="319">
        <f>IF($BI38&lt;&gt;"",IF('Capacity summary'!$D$14="Yes",IF(COUNTBLANK('Capacity summary'!$H157:$BG157)&lt;52,IF('Capacity summary'!AG157&lt;&gt;"",$BI38*AG38,0),AG38*$BI38),AG38*$BI38),0)</f>
        <v>0</v>
      </c>
      <c r="CK38" s="319">
        <f>IF($BI38&lt;&gt;"",IF('Capacity summary'!$D$14="Yes",IF(COUNTBLANK('Capacity summary'!$H157:$BG157)&lt;52,IF('Capacity summary'!AH157&lt;&gt;"",$BI38*AH38,0),AH38*$BI38),AH38*$BI38),0)</f>
        <v>0</v>
      </c>
      <c r="CL38" s="319">
        <f>IF($BI38&lt;&gt;"",IF('Capacity summary'!$D$14="Yes",IF(COUNTBLANK('Capacity summary'!$H157:$BG157)&lt;52,IF('Capacity summary'!AI157&lt;&gt;"",$BI38*AI38,0),AI38*$BI38),AI38*$BI38),0)</f>
        <v>0</v>
      </c>
      <c r="CM38" s="319">
        <f>IF($BI38&lt;&gt;"",IF('Capacity summary'!$D$14="Yes",IF(COUNTBLANK('Capacity summary'!$H157:$BG157)&lt;52,IF('Capacity summary'!AJ157&lt;&gt;"",$BI38*AJ38,0),AJ38*$BI38),AJ38*$BI38),0)</f>
        <v>0</v>
      </c>
      <c r="CN38" s="319">
        <f>IF($BI38&lt;&gt;"",IF('Capacity summary'!$D$14="Yes",IF(COUNTBLANK('Capacity summary'!$H157:$BG157)&lt;52,IF('Capacity summary'!AK157&lt;&gt;"",$BI38*AK38,0),AK38*$BI38),AK38*$BI38),0)</f>
        <v>0</v>
      </c>
      <c r="CO38" s="319">
        <f>IF($BI38&lt;&gt;"",IF('Capacity summary'!$D$14="Yes",IF(COUNTBLANK('Capacity summary'!$H157:$BG157)&lt;52,IF('Capacity summary'!AL157&lt;&gt;"",$BI38*AL38,0),AL38*$BI38),AL38*$BI38),0)</f>
        <v>0</v>
      </c>
      <c r="CP38" s="319">
        <f>IF($BI38&lt;&gt;"",IF('Capacity summary'!$D$14="Yes",IF(COUNTBLANK('Capacity summary'!$H157:$BG157)&lt;52,IF('Capacity summary'!AM157&lt;&gt;"",$BI38*AM38,0),AM38*$BI38),AM38*$BI38),0)</f>
        <v>0</v>
      </c>
      <c r="CQ38" s="319">
        <f>IF($BI38&lt;&gt;"",IF('Capacity summary'!$D$14="Yes",IF(COUNTBLANK('Capacity summary'!$H157:$BG157)&lt;52,IF('Capacity summary'!AN157&lt;&gt;"",$BI38*AN38,0),AN38*$BI38),AN38*$BI38),0)</f>
        <v>0</v>
      </c>
      <c r="CR38" s="319">
        <f>IF($BI38&lt;&gt;"",IF('Capacity summary'!$D$14="Yes",IF(COUNTBLANK('Capacity summary'!$H157:$BG157)&lt;52,IF('Capacity summary'!AO157&lt;&gt;"",$BI38*AO38,0),AO38*$BI38),AO38*$BI38),0)</f>
        <v>0</v>
      </c>
      <c r="CS38" s="319">
        <f>IF($BI38&lt;&gt;"",IF('Capacity summary'!$D$14="Yes",IF(COUNTBLANK('Capacity summary'!$H157:$BG157)&lt;52,IF('Capacity summary'!AP157&lt;&gt;"",$BI38*AP38,0),AP38*$BI38),AP38*$BI38),0)</f>
        <v>0</v>
      </c>
      <c r="CT38" s="319">
        <f>IF($BI38&lt;&gt;"",IF('Capacity summary'!$D$14="Yes",IF(COUNTBLANK('Capacity summary'!$H157:$BG157)&lt;52,IF('Capacity summary'!AQ157&lt;&gt;"",$BI38*AQ38,0),AQ38*$BI38),AQ38*$BI38),0)</f>
        <v>0</v>
      </c>
      <c r="CU38" s="319">
        <f>IF($BI38&lt;&gt;"",IF('Capacity summary'!$D$14="Yes",IF(COUNTBLANK('Capacity summary'!$H157:$BG157)&lt;52,IF('Capacity summary'!AR157&lt;&gt;"",$BI38*AR38,0),AR38*$BI38),AR38*$BI38),0)</f>
        <v>0</v>
      </c>
      <c r="CV38" s="319">
        <f>IF($BI38&lt;&gt;"",IF('Capacity summary'!$D$14="Yes",IF(COUNTBLANK('Capacity summary'!$H157:$BG157)&lt;52,IF('Capacity summary'!AS157&lt;&gt;"",$BI38*AS38,0),AS38*$BI38),AS38*$BI38),0)</f>
        <v>0</v>
      </c>
      <c r="CW38" s="319">
        <f>IF($BI38&lt;&gt;"",IF('Capacity summary'!$D$14="Yes",IF(COUNTBLANK('Capacity summary'!$H157:$BG157)&lt;52,IF('Capacity summary'!AT157&lt;&gt;"",$BI38*AT38,0),AT38*$BI38),AT38*$BI38),0)</f>
        <v>0</v>
      </c>
      <c r="CX38" s="319">
        <f>IF($BI38&lt;&gt;"",IF('Capacity summary'!$D$14="Yes",IF(COUNTBLANK('Capacity summary'!$H157:$BG157)&lt;52,IF('Capacity summary'!AU157&lt;&gt;"",$BI38*AU38,0),AU38*$BI38),AU38*$BI38),0)</f>
        <v>0</v>
      </c>
      <c r="CY38" s="319">
        <f>IF($BI38&lt;&gt;"",IF('Capacity summary'!$D$14="Yes",IF(COUNTBLANK('Capacity summary'!$H157:$BG157)&lt;52,IF('Capacity summary'!AV157&lt;&gt;"",$BI38*AV38,0),AV38*$BI38),AV38*$BI38),0)</f>
        <v>0</v>
      </c>
      <c r="CZ38" s="319">
        <f>IF($BI38&lt;&gt;"",IF('Capacity summary'!$D$14="Yes",IF(COUNTBLANK('Capacity summary'!$H157:$BG157)&lt;52,IF('Capacity summary'!AW157&lt;&gt;"",$BI38*AW38,0),AW38*$BI38),AW38*$BI38),0)</f>
        <v>0</v>
      </c>
      <c r="DA38" s="319">
        <f>IF($BI38&lt;&gt;"",IF('Capacity summary'!$D$14="Yes",IF(COUNTBLANK('Capacity summary'!$H157:$BG157)&lt;52,IF('Capacity summary'!AX157&lt;&gt;"",$BI38*AX38,0),AX38*$BI38),AX38*$BI38),0)</f>
        <v>0</v>
      </c>
      <c r="DB38" s="319">
        <f>IF($BI38&lt;&gt;"",IF('Capacity summary'!$D$14="Yes",IF(COUNTBLANK('Capacity summary'!$H157:$BG157)&lt;52,IF('Capacity summary'!AY157&lt;&gt;"",$BI38*AY38,0),AY38*$BI38),AY38*$BI38),0)</f>
        <v>0</v>
      </c>
      <c r="DC38" s="319">
        <f>IF($BI38&lt;&gt;"",IF('Capacity summary'!$D$14="Yes",IF(COUNTBLANK('Capacity summary'!$H157:$BG157)&lt;52,IF('Capacity summary'!AZ157&lt;&gt;"",$BI38*AZ38,0),AZ38*$BI38),AZ38*$BI38),0)</f>
        <v>0</v>
      </c>
      <c r="DD38" s="319">
        <f>IF($BI38&lt;&gt;"",IF('Capacity summary'!$D$14="Yes",IF(COUNTBLANK('Capacity summary'!$H157:$BG157)&lt;52,IF('Capacity summary'!BA157&lt;&gt;"",$BI38*BA38,0),BA38*$BI38),BA38*$BI38),0)</f>
        <v>0</v>
      </c>
      <c r="DE38" s="319">
        <f>IF($BI38&lt;&gt;"",IF('Capacity summary'!$D$14="Yes",IF(COUNTBLANK('Capacity summary'!$H157:$BG157)&lt;52,IF('Capacity summary'!BB157&lt;&gt;"",$BI38*BB38,0),BB38*$BI38),BB38*$BI38),0)</f>
        <v>0</v>
      </c>
      <c r="DF38" s="319">
        <f>IF($BI38&lt;&gt;"",IF('Capacity summary'!$D$14="Yes",IF(COUNTBLANK('Capacity summary'!$H157:$BG157)&lt;52,IF('Capacity summary'!BC157&lt;&gt;"",$BI38*BC38,0),BC38*$BI38),BC38*$BI38),0)</f>
        <v>0</v>
      </c>
      <c r="DG38" s="319">
        <f>IF($BI38&lt;&gt;"",IF('Capacity summary'!$D$14="Yes",IF(COUNTBLANK('Capacity summary'!$H157:$BG157)&lt;52,IF('Capacity summary'!BD157&lt;&gt;"",$BI38*BD38,0),BD38*$BI38),BD38*$BI38),0)</f>
        <v>0</v>
      </c>
      <c r="DH38" s="319">
        <f>IF($BI38&lt;&gt;"",IF('Capacity summary'!$D$14="Yes",IF(COUNTBLANK('Capacity summary'!$H157:$BG157)&lt;52,IF('Capacity summary'!BE157&lt;&gt;"",$BI38*BE38,0),BE38*$BI38),BE38*$BI38),0)</f>
        <v>0</v>
      </c>
      <c r="DI38" s="319">
        <f>IF($BI38&lt;&gt;"",IF('Capacity summary'!$D$14="Yes",IF(COUNTBLANK('Capacity summary'!$H157:$BG157)&lt;52,IF('Capacity summary'!BF157&lt;&gt;"",$BI38*BF38,0),BF38*$BI38),BF38*$BI38),0)</f>
        <v>0</v>
      </c>
      <c r="DJ38" s="319">
        <f>IF($BI38&lt;&gt;"",IF('Capacity summary'!$D$14="Yes",IF(COUNTBLANK('Capacity summary'!$H157:$BG157)&lt;52,IF('Capacity summary'!BG157&lt;&gt;"",$BI38*BG38,0),BG38*$BI38),BG38*$BI38),0)</f>
        <v>0</v>
      </c>
      <c r="DK38" s="5">
        <f t="shared" si="2"/>
        <v>0</v>
      </c>
      <c r="DL38" s="5" t="str">
        <f>Capacity!H50</f>
        <v/>
      </c>
      <c r="DP38" s="5"/>
    </row>
    <row r="39" spans="2:120" x14ac:dyDescent="0.2">
      <c r="B39" s="68"/>
      <c r="C39" s="68" t="str">
        <f>ROW(A35)&amp;". "&amp;Capacity!B51</f>
        <v xml:space="preserve">35. </v>
      </c>
      <c r="D39" s="68">
        <f>'Capacity setup'!C46</f>
        <v>0</v>
      </c>
      <c r="E39" s="68">
        <f>'Capacity setup'!D46</f>
        <v>0</v>
      </c>
      <c r="F39" s="68">
        <f>'Capacity setup'!E46</f>
        <v>0</v>
      </c>
      <c r="H39" s="68">
        <f ca="1">IF(AND(SUMIF(Capacity_Resource,$D39,'Critical resources (hide)'!U$6:U$105)+SUMIF(Capacity_Resource,$E39,'Critical resources (hide)'!U$6:U$105)+SUMIF(Capacity_Resource,$F39,'Critical resources (hide)'!U$6:U$105)&gt;0,$E$1=2),0,1)</f>
        <v>1</v>
      </c>
      <c r="I39" s="68">
        <f ca="1">IF(AND(SUMIF(Capacity_Resource,$D39,'Critical resources (hide)'!V$6:V$105)+SUMIF(Capacity_Resource,$E39,'Critical resources (hide)'!V$6:V$105)+SUMIF(Capacity_Resource,$F39,'Critical resources (hide)'!V$6:V$105)&gt;0,$E$1=2),0,1)</f>
        <v>1</v>
      </c>
      <c r="J39" s="68">
        <f ca="1">IF(AND(SUMIF(Capacity_Resource,$D39,'Critical resources (hide)'!W$6:W$105)+SUMIF(Capacity_Resource,$E39,'Critical resources (hide)'!W$6:W$105)+SUMIF(Capacity_Resource,$F39,'Critical resources (hide)'!W$6:W$105)&gt;0,$E$1=2),0,1)</f>
        <v>1</v>
      </c>
      <c r="K39" s="68">
        <f ca="1">IF(AND(SUMIF(Capacity_Resource,$D39,'Critical resources (hide)'!X$6:X$105)+SUMIF(Capacity_Resource,$E39,'Critical resources (hide)'!X$6:X$105)+SUMIF(Capacity_Resource,$F39,'Critical resources (hide)'!X$6:X$105)&gt;0,$E$1=2),0,1)</f>
        <v>1</v>
      </c>
      <c r="L39" s="68">
        <f ca="1">IF(AND(SUMIF(Capacity_Resource,$D39,'Critical resources (hide)'!Y$6:Y$105)+SUMIF(Capacity_Resource,$E39,'Critical resources (hide)'!Y$6:Y$105)+SUMIF(Capacity_Resource,$F39,'Critical resources (hide)'!Y$6:Y$105)&gt;0,$E$1=2),0,1)</f>
        <v>1</v>
      </c>
      <c r="M39" s="68">
        <f ca="1">IF(AND(SUMIF(Capacity_Resource,$D39,'Critical resources (hide)'!Z$6:Z$105)+SUMIF(Capacity_Resource,$E39,'Critical resources (hide)'!Z$6:Z$105)+SUMIF(Capacity_Resource,$F39,'Critical resources (hide)'!Z$6:Z$105)&gt;0,$E$1=2),0,1)</f>
        <v>1</v>
      </c>
      <c r="N39" s="68">
        <f ca="1">IF(AND(SUMIF(Capacity_Resource,$D39,'Critical resources (hide)'!AA$6:AA$105)+SUMIF(Capacity_Resource,$E39,'Critical resources (hide)'!AA$6:AA$105)+SUMIF(Capacity_Resource,$F39,'Critical resources (hide)'!AA$6:AA$105)&gt;0,$E$1=2),0,1)</f>
        <v>1</v>
      </c>
      <c r="O39" s="68">
        <f ca="1">IF(AND(SUMIF(Capacity_Resource,$D39,'Critical resources (hide)'!AB$6:AB$105)+SUMIF(Capacity_Resource,$E39,'Critical resources (hide)'!AB$6:AB$105)+SUMIF(Capacity_Resource,$F39,'Critical resources (hide)'!AB$6:AB$105)&gt;0,$E$1=2),0,1)</f>
        <v>1</v>
      </c>
      <c r="P39" s="68">
        <f ca="1">IF(AND(SUMIF(Capacity_Resource,$D39,'Critical resources (hide)'!AC$6:AC$105)+SUMIF(Capacity_Resource,$E39,'Critical resources (hide)'!AC$6:AC$105)+SUMIF(Capacity_Resource,$F39,'Critical resources (hide)'!AC$6:AC$105)&gt;0,$E$1=2),0,1)</f>
        <v>1</v>
      </c>
      <c r="Q39" s="68">
        <f ca="1">IF(AND(SUMIF(Capacity_Resource,$D39,'Critical resources (hide)'!AD$6:AD$105)+SUMIF(Capacity_Resource,$E39,'Critical resources (hide)'!AD$6:AD$105)+SUMIF(Capacity_Resource,$F39,'Critical resources (hide)'!AD$6:AD$105)&gt;0,$E$1=2),0,1)</f>
        <v>1</v>
      </c>
      <c r="R39" s="68">
        <f ca="1">IF(AND(SUMIF(Capacity_Resource,$D39,'Critical resources (hide)'!AE$6:AE$105)+SUMIF(Capacity_Resource,$E39,'Critical resources (hide)'!AE$6:AE$105)+SUMIF(Capacity_Resource,$F39,'Critical resources (hide)'!AE$6:AE$105)&gt;0,$E$1=2),0,1)</f>
        <v>1</v>
      </c>
      <c r="S39" s="68">
        <f ca="1">IF(AND(SUMIF(Capacity_Resource,$D39,'Critical resources (hide)'!AF$6:AF$105)+SUMIF(Capacity_Resource,$E39,'Critical resources (hide)'!AF$6:AF$105)+SUMIF(Capacity_Resource,$F39,'Critical resources (hide)'!AF$6:AF$105)&gt;0,$E$1=2),0,1)</f>
        <v>1</v>
      </c>
      <c r="T39" s="68">
        <f ca="1">IF(AND(SUMIF(Capacity_Resource,$D39,'Critical resources (hide)'!AG$6:AG$105)+SUMIF(Capacity_Resource,$E39,'Critical resources (hide)'!AG$6:AG$105)+SUMIF(Capacity_Resource,$F39,'Critical resources (hide)'!AG$6:AG$105)&gt;0,$E$1=2),0,1)</f>
        <v>1</v>
      </c>
      <c r="U39" s="68">
        <f ca="1">IF(AND(SUMIF(Capacity_Resource,$D39,'Critical resources (hide)'!AH$6:AH$105)+SUMIF(Capacity_Resource,$E39,'Critical resources (hide)'!AH$6:AH$105)+SUMIF(Capacity_Resource,$F39,'Critical resources (hide)'!AH$6:AH$105)&gt;0,$E$1=2),0,1)</f>
        <v>1</v>
      </c>
      <c r="V39" s="68">
        <f ca="1">IF(AND(SUMIF(Capacity_Resource,$D39,'Critical resources (hide)'!AI$6:AI$105)+SUMIF(Capacity_Resource,$E39,'Critical resources (hide)'!AI$6:AI$105)+SUMIF(Capacity_Resource,$F39,'Critical resources (hide)'!AI$6:AI$105)&gt;0,$E$1=2),0,1)</f>
        <v>1</v>
      </c>
      <c r="W39" s="68">
        <f ca="1">IF(AND(SUMIF(Capacity_Resource,$D39,'Critical resources (hide)'!AJ$6:AJ$105)+SUMIF(Capacity_Resource,$E39,'Critical resources (hide)'!AJ$6:AJ$105)+SUMIF(Capacity_Resource,$F39,'Critical resources (hide)'!AJ$6:AJ$105)&gt;0,$E$1=2),0,1)</f>
        <v>1</v>
      </c>
      <c r="X39" s="68">
        <f ca="1">IF(AND(SUMIF(Capacity_Resource,$D39,'Critical resources (hide)'!AK$6:AK$105)+SUMIF(Capacity_Resource,$E39,'Critical resources (hide)'!AK$6:AK$105)+SUMIF(Capacity_Resource,$F39,'Critical resources (hide)'!AK$6:AK$105)&gt;0,$E$1=2),0,1)</f>
        <v>1</v>
      </c>
      <c r="Y39" s="68">
        <f ca="1">IF(AND(SUMIF(Capacity_Resource,$D39,'Critical resources (hide)'!AL$6:AL$105)+SUMIF(Capacity_Resource,$E39,'Critical resources (hide)'!AL$6:AL$105)+SUMIF(Capacity_Resource,$F39,'Critical resources (hide)'!AL$6:AL$105)&gt;0,$E$1=2),0,1)</f>
        <v>1</v>
      </c>
      <c r="Z39" s="68">
        <f ca="1">IF(AND(SUMIF(Capacity_Resource,$D39,'Critical resources (hide)'!AM$6:AM$105)+SUMIF(Capacity_Resource,$E39,'Critical resources (hide)'!AM$6:AM$105)+SUMIF(Capacity_Resource,$F39,'Critical resources (hide)'!AM$6:AM$105)&gt;0,$E$1=2),0,1)</f>
        <v>1</v>
      </c>
      <c r="AA39" s="68">
        <f ca="1">IF(AND(SUMIF(Capacity_Resource,$D39,'Critical resources (hide)'!AN$6:AN$105)+SUMIF(Capacity_Resource,$E39,'Critical resources (hide)'!AN$6:AN$105)+SUMIF(Capacity_Resource,$F39,'Critical resources (hide)'!AN$6:AN$105)&gt;0,$E$1=2),0,1)</f>
        <v>1</v>
      </c>
      <c r="AB39" s="68">
        <f ca="1">IF(AND(SUMIF(Capacity_Resource,$D39,'Critical resources (hide)'!AO$6:AO$105)+SUMIF(Capacity_Resource,$E39,'Critical resources (hide)'!AO$6:AO$105)+SUMIF(Capacity_Resource,$F39,'Critical resources (hide)'!AO$6:AO$105)&gt;0,$E$1=2),0,1)</f>
        <v>1</v>
      </c>
      <c r="AC39" s="68">
        <f ca="1">IF(AND(SUMIF(Capacity_Resource,$D39,'Critical resources (hide)'!AP$6:AP$105)+SUMIF(Capacity_Resource,$E39,'Critical resources (hide)'!AP$6:AP$105)+SUMIF(Capacity_Resource,$F39,'Critical resources (hide)'!AP$6:AP$105)&gt;0,$E$1=2),0,1)</f>
        <v>1</v>
      </c>
      <c r="AD39" s="68">
        <f ca="1">IF(AND(SUMIF(Capacity_Resource,$D39,'Critical resources (hide)'!AQ$6:AQ$105)+SUMIF(Capacity_Resource,$E39,'Critical resources (hide)'!AQ$6:AQ$105)+SUMIF(Capacity_Resource,$F39,'Critical resources (hide)'!AQ$6:AQ$105)&gt;0,$E$1=2),0,1)</f>
        <v>1</v>
      </c>
      <c r="AE39" s="68">
        <f ca="1">IF(AND(SUMIF(Capacity_Resource,$D39,'Critical resources (hide)'!AR$6:AR$105)+SUMIF(Capacity_Resource,$E39,'Critical resources (hide)'!AR$6:AR$105)+SUMIF(Capacity_Resource,$F39,'Critical resources (hide)'!AR$6:AR$105)&gt;0,$E$1=2),0,1)</f>
        <v>1</v>
      </c>
      <c r="AF39" s="68">
        <f ca="1">IF(AND(SUMIF(Capacity_Resource,$D39,'Critical resources (hide)'!AS$6:AS$105)+SUMIF(Capacity_Resource,$E39,'Critical resources (hide)'!AS$6:AS$105)+SUMIF(Capacity_Resource,$F39,'Critical resources (hide)'!AS$6:AS$105)&gt;0,$E$1=2),0,1)</f>
        <v>1</v>
      </c>
      <c r="AG39" s="68">
        <f ca="1">IF(AND(SUMIF(Capacity_Resource,$D39,'Critical resources (hide)'!AT$6:AT$105)+SUMIF(Capacity_Resource,$E39,'Critical resources (hide)'!AT$6:AT$105)+SUMIF(Capacity_Resource,$F39,'Critical resources (hide)'!AT$6:AT$105)&gt;0,$E$1=2),0,1)</f>
        <v>1</v>
      </c>
      <c r="AH39" s="68">
        <f ca="1">IF(AND(SUMIF(Capacity_Resource,$D39,'Critical resources (hide)'!AU$6:AU$105)+SUMIF(Capacity_Resource,$E39,'Critical resources (hide)'!AU$6:AU$105)+SUMIF(Capacity_Resource,$F39,'Critical resources (hide)'!AU$6:AU$105)&gt;0,$E$1=2),0,1)</f>
        <v>1</v>
      </c>
      <c r="AI39" s="68">
        <f ca="1">IF(AND(SUMIF(Capacity_Resource,$D39,'Critical resources (hide)'!AV$6:AV$105)+SUMIF(Capacity_Resource,$E39,'Critical resources (hide)'!AV$6:AV$105)+SUMIF(Capacity_Resource,$F39,'Critical resources (hide)'!AV$6:AV$105)&gt;0,$E$1=2),0,1)</f>
        <v>1</v>
      </c>
      <c r="AJ39" s="68">
        <f ca="1">IF(AND(SUMIF(Capacity_Resource,$D39,'Critical resources (hide)'!AW$6:AW$105)+SUMIF(Capacity_Resource,$E39,'Critical resources (hide)'!AW$6:AW$105)+SUMIF(Capacity_Resource,$F39,'Critical resources (hide)'!AW$6:AW$105)&gt;0,$E$1=2),0,1)</f>
        <v>1</v>
      </c>
      <c r="AK39" s="68">
        <f ca="1">IF(AND(SUMIF(Capacity_Resource,$D39,'Critical resources (hide)'!AX$6:AX$105)+SUMIF(Capacity_Resource,$E39,'Critical resources (hide)'!AX$6:AX$105)+SUMIF(Capacity_Resource,$F39,'Critical resources (hide)'!AX$6:AX$105)&gt;0,$E$1=2),0,1)</f>
        <v>1</v>
      </c>
      <c r="AL39" s="68">
        <f ca="1">IF(AND(SUMIF(Capacity_Resource,$D39,'Critical resources (hide)'!AY$6:AY$105)+SUMIF(Capacity_Resource,$E39,'Critical resources (hide)'!AY$6:AY$105)+SUMIF(Capacity_Resource,$F39,'Critical resources (hide)'!AY$6:AY$105)&gt;0,$E$1=2),0,1)</f>
        <v>1</v>
      </c>
      <c r="AM39" s="68">
        <f ca="1">IF(AND(SUMIF(Capacity_Resource,$D39,'Critical resources (hide)'!AZ$6:AZ$105)+SUMIF(Capacity_Resource,$E39,'Critical resources (hide)'!AZ$6:AZ$105)+SUMIF(Capacity_Resource,$F39,'Critical resources (hide)'!AZ$6:AZ$105)&gt;0,$E$1=2),0,1)</f>
        <v>1</v>
      </c>
      <c r="AN39" s="68">
        <f ca="1">IF(AND(SUMIF(Capacity_Resource,$D39,'Critical resources (hide)'!BA$6:BA$105)+SUMIF(Capacity_Resource,$E39,'Critical resources (hide)'!BA$6:BA$105)+SUMIF(Capacity_Resource,$F39,'Critical resources (hide)'!BA$6:BA$105)&gt;0,$E$1=2),0,1)</f>
        <v>1</v>
      </c>
      <c r="AO39" s="68">
        <f ca="1">IF(AND(SUMIF(Capacity_Resource,$D39,'Critical resources (hide)'!BB$6:BB$105)+SUMIF(Capacity_Resource,$E39,'Critical resources (hide)'!BB$6:BB$105)+SUMIF(Capacity_Resource,$F39,'Critical resources (hide)'!BB$6:BB$105)&gt;0,$E$1=2),0,1)</f>
        <v>1</v>
      </c>
      <c r="AP39" s="68">
        <f ca="1">IF(AND(SUMIF(Capacity_Resource,$D39,'Critical resources (hide)'!BC$6:BC$105)+SUMIF(Capacity_Resource,$E39,'Critical resources (hide)'!BC$6:BC$105)+SUMIF(Capacity_Resource,$F39,'Critical resources (hide)'!BC$6:BC$105)&gt;0,$E$1=2),0,1)</f>
        <v>1</v>
      </c>
      <c r="AQ39" s="68">
        <f ca="1">IF(AND(SUMIF(Capacity_Resource,$D39,'Critical resources (hide)'!BD$6:BD$105)+SUMIF(Capacity_Resource,$E39,'Critical resources (hide)'!BD$6:BD$105)+SUMIF(Capacity_Resource,$F39,'Critical resources (hide)'!BD$6:BD$105)&gt;0,$E$1=2),0,1)</f>
        <v>1</v>
      </c>
      <c r="AR39" s="68">
        <f ca="1">IF(AND(SUMIF(Capacity_Resource,$D39,'Critical resources (hide)'!BE$6:BE$105)+SUMIF(Capacity_Resource,$E39,'Critical resources (hide)'!BE$6:BE$105)+SUMIF(Capacity_Resource,$F39,'Critical resources (hide)'!BE$6:BE$105)&gt;0,$E$1=2),0,1)</f>
        <v>1</v>
      </c>
      <c r="AS39" s="68">
        <f ca="1">IF(AND(SUMIF(Capacity_Resource,$D39,'Critical resources (hide)'!BF$6:BF$105)+SUMIF(Capacity_Resource,$E39,'Critical resources (hide)'!BF$6:BF$105)+SUMIF(Capacity_Resource,$F39,'Critical resources (hide)'!BF$6:BF$105)&gt;0,$E$1=2),0,1)</f>
        <v>1</v>
      </c>
      <c r="AT39" s="68">
        <f ca="1">IF(AND(SUMIF(Capacity_Resource,$D39,'Critical resources (hide)'!BG$6:BG$105)+SUMIF(Capacity_Resource,$E39,'Critical resources (hide)'!BG$6:BG$105)+SUMIF(Capacity_Resource,$F39,'Critical resources (hide)'!BG$6:BG$105)&gt;0,$E$1=2),0,1)</f>
        <v>1</v>
      </c>
      <c r="AU39" s="68">
        <f ca="1">IF(AND(SUMIF(Capacity_Resource,$D39,'Critical resources (hide)'!BH$6:BH$105)+SUMIF(Capacity_Resource,$E39,'Critical resources (hide)'!BH$6:BH$105)+SUMIF(Capacity_Resource,$F39,'Critical resources (hide)'!BH$6:BH$105)&gt;0,$E$1=2),0,1)</f>
        <v>1</v>
      </c>
      <c r="AV39" s="68">
        <f ca="1">IF(AND(SUMIF(Capacity_Resource,$D39,'Critical resources (hide)'!BI$6:BI$105)+SUMIF(Capacity_Resource,$E39,'Critical resources (hide)'!BI$6:BI$105)+SUMIF(Capacity_Resource,$F39,'Critical resources (hide)'!BI$6:BI$105)&gt;0,$E$1=2),0,1)</f>
        <v>1</v>
      </c>
      <c r="AW39" s="68">
        <f ca="1">IF(AND(SUMIF(Capacity_Resource,$D39,'Critical resources (hide)'!BJ$6:BJ$105)+SUMIF(Capacity_Resource,$E39,'Critical resources (hide)'!BJ$6:BJ$105)+SUMIF(Capacity_Resource,$F39,'Critical resources (hide)'!BJ$6:BJ$105)&gt;0,$E$1=2),0,1)</f>
        <v>1</v>
      </c>
      <c r="AX39" s="68">
        <f ca="1">IF(AND(SUMIF(Capacity_Resource,$D39,'Critical resources (hide)'!BK$6:BK$105)+SUMIF(Capacity_Resource,$E39,'Critical resources (hide)'!BK$6:BK$105)+SUMIF(Capacity_Resource,$F39,'Critical resources (hide)'!BK$6:BK$105)&gt;0,$E$1=2),0,1)</f>
        <v>1</v>
      </c>
      <c r="AY39" s="68">
        <f ca="1">IF(AND(SUMIF(Capacity_Resource,$D39,'Critical resources (hide)'!BL$6:BL$105)+SUMIF(Capacity_Resource,$E39,'Critical resources (hide)'!BL$6:BL$105)+SUMIF(Capacity_Resource,$F39,'Critical resources (hide)'!BL$6:BL$105)&gt;0,$E$1=2),0,1)</f>
        <v>1</v>
      </c>
      <c r="AZ39" s="68">
        <f ca="1">IF(AND(SUMIF(Capacity_Resource,$D39,'Critical resources (hide)'!BM$6:BM$105)+SUMIF(Capacity_Resource,$E39,'Critical resources (hide)'!BM$6:BM$105)+SUMIF(Capacity_Resource,$F39,'Critical resources (hide)'!BM$6:BM$105)&gt;0,$E$1=2),0,1)</f>
        <v>1</v>
      </c>
      <c r="BA39" s="68">
        <f ca="1">IF(AND(SUMIF(Capacity_Resource,$D39,'Critical resources (hide)'!BN$6:BN$105)+SUMIF(Capacity_Resource,$E39,'Critical resources (hide)'!BN$6:BN$105)+SUMIF(Capacity_Resource,$F39,'Critical resources (hide)'!BN$6:BN$105)&gt;0,$E$1=2),0,1)</f>
        <v>1</v>
      </c>
      <c r="BB39" s="68">
        <f ca="1">IF(AND(SUMIF(Capacity_Resource,$D39,'Critical resources (hide)'!BO$6:BO$105)+SUMIF(Capacity_Resource,$E39,'Critical resources (hide)'!BO$6:BO$105)+SUMIF(Capacity_Resource,$F39,'Critical resources (hide)'!BO$6:BO$105)&gt;0,$E$1=2),0,1)</f>
        <v>1</v>
      </c>
      <c r="BC39" s="68">
        <f ca="1">IF(AND(SUMIF(Capacity_Resource,$D39,'Critical resources (hide)'!BP$6:BP$105)+SUMIF(Capacity_Resource,$E39,'Critical resources (hide)'!BP$6:BP$105)+SUMIF(Capacity_Resource,$F39,'Critical resources (hide)'!BP$6:BP$105)&gt;0,$E$1=2),0,1)</f>
        <v>1</v>
      </c>
      <c r="BD39" s="68">
        <f ca="1">IF(AND(SUMIF(Capacity_Resource,$D39,'Critical resources (hide)'!BQ$6:BQ$105)+SUMIF(Capacity_Resource,$E39,'Critical resources (hide)'!BQ$6:BQ$105)+SUMIF(Capacity_Resource,$F39,'Critical resources (hide)'!BQ$6:BQ$105)&gt;0,$E$1=2),0,1)</f>
        <v>1</v>
      </c>
      <c r="BE39" s="68">
        <f ca="1">IF(AND(SUMIF(Capacity_Resource,$D39,'Critical resources (hide)'!BR$6:BR$105)+SUMIF(Capacity_Resource,$E39,'Critical resources (hide)'!BR$6:BR$105)+SUMIF(Capacity_Resource,$F39,'Critical resources (hide)'!BR$6:BR$105)&gt;0,$E$1=2),0,1)</f>
        <v>1</v>
      </c>
      <c r="BF39" s="68">
        <f ca="1">IF(AND(SUMIF(Capacity_Resource,$D39,'Critical resources (hide)'!BS$6:BS$105)+SUMIF(Capacity_Resource,$E39,'Critical resources (hide)'!BS$6:BS$105)+SUMIF(Capacity_Resource,$F39,'Critical resources (hide)'!BS$6:BS$105)&gt;0,$E$1=2),0,1)</f>
        <v>1</v>
      </c>
      <c r="BG39" s="68">
        <f ca="1">IF(AND(SUMIF(Capacity_Resource,$D39,'Critical resources (hide)'!BT$6:BT$105)+SUMIF(Capacity_Resource,$E39,'Critical resources (hide)'!BT$6:BT$105)+SUMIF(Capacity_Resource,$F39,'Critical resources (hide)'!BT$6:BT$105)&gt;0,$E$1=2),0,1)</f>
        <v>1</v>
      </c>
      <c r="BH39" s="68">
        <f>IF(ROW(C35)&lt;=Capacity!$A$16,IF('Capacity summary'!$D$14="No",SUM(H39:BG39),'Capacity summary'!$E158),0)</f>
        <v>0</v>
      </c>
      <c r="BI39" s="5" t="str">
        <f>IF(BH39&gt;0,IF(BH39&lt;Capacity!E51,Capacity!F51,Capacity!H51/'Capacity calculation (hide)'!BH39),"")</f>
        <v/>
      </c>
      <c r="BK39" s="319">
        <f>IF($BI39&lt;&gt;"",IF('Capacity summary'!$D$14="Yes",IF(COUNTBLANK('Capacity summary'!$H158:$BG158)&lt;52,IF('Capacity summary'!H158&lt;&gt;"",$BI39*H39,0),H39*$BI39),H39*$BI39),0)</f>
        <v>0</v>
      </c>
      <c r="BL39" s="319">
        <f>IF($BI39&lt;&gt;"",IF('Capacity summary'!$D$14="Yes",IF(COUNTBLANK('Capacity summary'!$H158:$BG158)&lt;52,IF('Capacity summary'!I158&lt;&gt;"",$BI39*I39,0),I39*$BI39),I39*$BI39),0)</f>
        <v>0</v>
      </c>
      <c r="BM39" s="319">
        <f>IF($BI39&lt;&gt;"",IF('Capacity summary'!$D$14="Yes",IF(COUNTBLANK('Capacity summary'!$H158:$BG158)&lt;52,IF('Capacity summary'!J158&lt;&gt;"",$BI39*J39,0),J39*$BI39),J39*$BI39),0)</f>
        <v>0</v>
      </c>
      <c r="BN39" s="319">
        <f>IF($BI39&lt;&gt;"",IF('Capacity summary'!$D$14="Yes",IF(COUNTBLANK('Capacity summary'!$H158:$BG158)&lt;52,IF('Capacity summary'!K158&lt;&gt;"",$BI39*K39,0),K39*$BI39),K39*$BI39),0)</f>
        <v>0</v>
      </c>
      <c r="BO39" s="319">
        <f>IF($BI39&lt;&gt;"",IF('Capacity summary'!$D$14="Yes",IF(COUNTBLANK('Capacity summary'!$H158:$BG158)&lt;52,IF('Capacity summary'!L158&lt;&gt;"",$BI39*L39,0),L39*$BI39),L39*$BI39),0)</f>
        <v>0</v>
      </c>
      <c r="BP39" s="319">
        <f>IF($BI39&lt;&gt;"",IF('Capacity summary'!$D$14="Yes",IF(COUNTBLANK('Capacity summary'!$H158:$BG158)&lt;52,IF('Capacity summary'!M158&lt;&gt;"",$BI39*M39,0),M39*$BI39),M39*$BI39),0)</f>
        <v>0</v>
      </c>
      <c r="BQ39" s="319">
        <f>IF($BI39&lt;&gt;"",IF('Capacity summary'!$D$14="Yes",IF(COUNTBLANK('Capacity summary'!$H158:$BG158)&lt;52,IF('Capacity summary'!N158&lt;&gt;"",$BI39*N39,0),N39*$BI39),N39*$BI39),0)</f>
        <v>0</v>
      </c>
      <c r="BR39" s="319">
        <f>IF($BI39&lt;&gt;"",IF('Capacity summary'!$D$14="Yes",IF(COUNTBLANK('Capacity summary'!$H158:$BG158)&lt;52,IF('Capacity summary'!O158&lt;&gt;"",$BI39*O39,0),O39*$BI39),O39*$BI39),0)</f>
        <v>0</v>
      </c>
      <c r="BS39" s="319">
        <f>IF($BI39&lt;&gt;"",IF('Capacity summary'!$D$14="Yes",IF(COUNTBLANK('Capacity summary'!$H158:$BG158)&lt;52,IF('Capacity summary'!P158&lt;&gt;"",$BI39*P39,0),P39*$BI39),P39*$BI39),0)</f>
        <v>0</v>
      </c>
      <c r="BT39" s="319">
        <f>IF($BI39&lt;&gt;"",IF('Capacity summary'!$D$14="Yes",IF(COUNTBLANK('Capacity summary'!$H158:$BG158)&lt;52,IF('Capacity summary'!Q158&lt;&gt;"",$BI39*Q39,0),Q39*$BI39),Q39*$BI39),0)</f>
        <v>0</v>
      </c>
      <c r="BU39" s="319">
        <f>IF($BI39&lt;&gt;"",IF('Capacity summary'!$D$14="Yes",IF(COUNTBLANK('Capacity summary'!$H158:$BG158)&lt;52,IF('Capacity summary'!R158&lt;&gt;"",$BI39*R39,0),R39*$BI39),R39*$BI39),0)</f>
        <v>0</v>
      </c>
      <c r="BV39" s="319">
        <f>IF($BI39&lt;&gt;"",IF('Capacity summary'!$D$14="Yes",IF(COUNTBLANK('Capacity summary'!$H158:$BG158)&lt;52,IF('Capacity summary'!S158&lt;&gt;"",$BI39*S39,0),S39*$BI39),S39*$BI39),0)</f>
        <v>0</v>
      </c>
      <c r="BW39" s="319">
        <f>IF($BI39&lt;&gt;"",IF('Capacity summary'!$D$14="Yes",IF(COUNTBLANK('Capacity summary'!$H158:$BG158)&lt;52,IF('Capacity summary'!T158&lt;&gt;"",$BI39*T39,0),T39*$BI39),T39*$BI39),0)</f>
        <v>0</v>
      </c>
      <c r="BX39" s="319">
        <f>IF($BI39&lt;&gt;"",IF('Capacity summary'!$D$14="Yes",IF(COUNTBLANK('Capacity summary'!$H158:$BG158)&lt;52,IF('Capacity summary'!U158&lt;&gt;"",$BI39*U39,0),U39*$BI39),U39*$BI39),0)</f>
        <v>0</v>
      </c>
      <c r="BY39" s="319">
        <f>IF($BI39&lt;&gt;"",IF('Capacity summary'!$D$14="Yes",IF(COUNTBLANK('Capacity summary'!$H158:$BG158)&lt;52,IF('Capacity summary'!V158&lt;&gt;"",$BI39*V39,0),V39*$BI39),V39*$BI39),0)</f>
        <v>0</v>
      </c>
      <c r="BZ39" s="319">
        <f>IF($BI39&lt;&gt;"",IF('Capacity summary'!$D$14="Yes",IF(COUNTBLANK('Capacity summary'!$H158:$BG158)&lt;52,IF('Capacity summary'!W158&lt;&gt;"",$BI39*W39,0),W39*$BI39),W39*$BI39),0)</f>
        <v>0</v>
      </c>
      <c r="CA39" s="319">
        <f>IF($BI39&lt;&gt;"",IF('Capacity summary'!$D$14="Yes",IF(COUNTBLANK('Capacity summary'!$H158:$BG158)&lt;52,IF('Capacity summary'!X158&lt;&gt;"",$BI39*X39,0),X39*$BI39),X39*$BI39),0)</f>
        <v>0</v>
      </c>
      <c r="CB39" s="319">
        <f>IF($BI39&lt;&gt;"",IF('Capacity summary'!$D$14="Yes",IF(COUNTBLANK('Capacity summary'!$H158:$BG158)&lt;52,IF('Capacity summary'!Y158&lt;&gt;"",$BI39*Y39,0),Y39*$BI39),Y39*$BI39),0)</f>
        <v>0</v>
      </c>
      <c r="CC39" s="319">
        <f>IF($BI39&lt;&gt;"",IF('Capacity summary'!$D$14="Yes",IF(COUNTBLANK('Capacity summary'!$H158:$BG158)&lt;52,IF('Capacity summary'!Z158&lt;&gt;"",$BI39*Z39,0),Z39*$BI39),Z39*$BI39),0)</f>
        <v>0</v>
      </c>
      <c r="CD39" s="319">
        <f>IF($BI39&lt;&gt;"",IF('Capacity summary'!$D$14="Yes",IF(COUNTBLANK('Capacity summary'!$H158:$BG158)&lt;52,IF('Capacity summary'!AA158&lt;&gt;"",$BI39*AA39,0),AA39*$BI39),AA39*$BI39),0)</f>
        <v>0</v>
      </c>
      <c r="CE39" s="319">
        <f>IF($BI39&lt;&gt;"",IF('Capacity summary'!$D$14="Yes",IF(COUNTBLANK('Capacity summary'!$H158:$BG158)&lt;52,IF('Capacity summary'!AB158&lt;&gt;"",$BI39*AB39,0),AB39*$BI39),AB39*$BI39),0)</f>
        <v>0</v>
      </c>
      <c r="CF39" s="319">
        <f>IF($BI39&lt;&gt;"",IF('Capacity summary'!$D$14="Yes",IF(COUNTBLANK('Capacity summary'!$H158:$BG158)&lt;52,IF('Capacity summary'!AC158&lt;&gt;"",$BI39*AC39,0),AC39*$BI39),AC39*$BI39),0)</f>
        <v>0</v>
      </c>
      <c r="CG39" s="319">
        <f>IF($BI39&lt;&gt;"",IF('Capacity summary'!$D$14="Yes",IF(COUNTBLANK('Capacity summary'!$H158:$BG158)&lt;52,IF('Capacity summary'!AD158&lt;&gt;"",$BI39*AD39,0),AD39*$BI39),AD39*$BI39),0)</f>
        <v>0</v>
      </c>
      <c r="CH39" s="319">
        <f>IF($BI39&lt;&gt;"",IF('Capacity summary'!$D$14="Yes",IF(COUNTBLANK('Capacity summary'!$H158:$BG158)&lt;52,IF('Capacity summary'!AE158&lt;&gt;"",$BI39*AE39,0),AE39*$BI39),AE39*$BI39),0)</f>
        <v>0</v>
      </c>
      <c r="CI39" s="319">
        <f>IF($BI39&lt;&gt;"",IF('Capacity summary'!$D$14="Yes",IF(COUNTBLANK('Capacity summary'!$H158:$BG158)&lt;52,IF('Capacity summary'!AF158&lt;&gt;"",$BI39*AF39,0),AF39*$BI39),AF39*$BI39),0)</f>
        <v>0</v>
      </c>
      <c r="CJ39" s="319">
        <f>IF($BI39&lt;&gt;"",IF('Capacity summary'!$D$14="Yes",IF(COUNTBLANK('Capacity summary'!$H158:$BG158)&lt;52,IF('Capacity summary'!AG158&lt;&gt;"",$BI39*AG39,0),AG39*$BI39),AG39*$BI39),0)</f>
        <v>0</v>
      </c>
      <c r="CK39" s="319">
        <f>IF($BI39&lt;&gt;"",IF('Capacity summary'!$D$14="Yes",IF(COUNTBLANK('Capacity summary'!$H158:$BG158)&lt;52,IF('Capacity summary'!AH158&lt;&gt;"",$BI39*AH39,0),AH39*$BI39),AH39*$BI39),0)</f>
        <v>0</v>
      </c>
      <c r="CL39" s="319">
        <f>IF($BI39&lt;&gt;"",IF('Capacity summary'!$D$14="Yes",IF(COUNTBLANK('Capacity summary'!$H158:$BG158)&lt;52,IF('Capacity summary'!AI158&lt;&gt;"",$BI39*AI39,0),AI39*$BI39),AI39*$BI39),0)</f>
        <v>0</v>
      </c>
      <c r="CM39" s="319">
        <f>IF($BI39&lt;&gt;"",IF('Capacity summary'!$D$14="Yes",IF(COUNTBLANK('Capacity summary'!$H158:$BG158)&lt;52,IF('Capacity summary'!AJ158&lt;&gt;"",$BI39*AJ39,0),AJ39*$BI39),AJ39*$BI39),0)</f>
        <v>0</v>
      </c>
      <c r="CN39" s="319">
        <f>IF($BI39&lt;&gt;"",IF('Capacity summary'!$D$14="Yes",IF(COUNTBLANK('Capacity summary'!$H158:$BG158)&lt;52,IF('Capacity summary'!AK158&lt;&gt;"",$BI39*AK39,0),AK39*$BI39),AK39*$BI39),0)</f>
        <v>0</v>
      </c>
      <c r="CO39" s="319">
        <f>IF($BI39&lt;&gt;"",IF('Capacity summary'!$D$14="Yes",IF(COUNTBLANK('Capacity summary'!$H158:$BG158)&lt;52,IF('Capacity summary'!AL158&lt;&gt;"",$BI39*AL39,0),AL39*$BI39),AL39*$BI39),0)</f>
        <v>0</v>
      </c>
      <c r="CP39" s="319">
        <f>IF($BI39&lt;&gt;"",IF('Capacity summary'!$D$14="Yes",IF(COUNTBLANK('Capacity summary'!$H158:$BG158)&lt;52,IF('Capacity summary'!AM158&lt;&gt;"",$BI39*AM39,0),AM39*$BI39),AM39*$BI39),0)</f>
        <v>0</v>
      </c>
      <c r="CQ39" s="319">
        <f>IF($BI39&lt;&gt;"",IF('Capacity summary'!$D$14="Yes",IF(COUNTBLANK('Capacity summary'!$H158:$BG158)&lt;52,IF('Capacity summary'!AN158&lt;&gt;"",$BI39*AN39,0),AN39*$BI39),AN39*$BI39),0)</f>
        <v>0</v>
      </c>
      <c r="CR39" s="319">
        <f>IF($BI39&lt;&gt;"",IF('Capacity summary'!$D$14="Yes",IF(COUNTBLANK('Capacity summary'!$H158:$BG158)&lt;52,IF('Capacity summary'!AO158&lt;&gt;"",$BI39*AO39,0),AO39*$BI39),AO39*$BI39),0)</f>
        <v>0</v>
      </c>
      <c r="CS39" s="319">
        <f>IF($BI39&lt;&gt;"",IF('Capacity summary'!$D$14="Yes",IF(COUNTBLANK('Capacity summary'!$H158:$BG158)&lt;52,IF('Capacity summary'!AP158&lt;&gt;"",$BI39*AP39,0),AP39*$BI39),AP39*$BI39),0)</f>
        <v>0</v>
      </c>
      <c r="CT39" s="319">
        <f>IF($BI39&lt;&gt;"",IF('Capacity summary'!$D$14="Yes",IF(COUNTBLANK('Capacity summary'!$H158:$BG158)&lt;52,IF('Capacity summary'!AQ158&lt;&gt;"",$BI39*AQ39,0),AQ39*$BI39),AQ39*$BI39),0)</f>
        <v>0</v>
      </c>
      <c r="CU39" s="319">
        <f>IF($BI39&lt;&gt;"",IF('Capacity summary'!$D$14="Yes",IF(COUNTBLANK('Capacity summary'!$H158:$BG158)&lt;52,IF('Capacity summary'!AR158&lt;&gt;"",$BI39*AR39,0),AR39*$BI39),AR39*$BI39),0)</f>
        <v>0</v>
      </c>
      <c r="CV39" s="319">
        <f>IF($BI39&lt;&gt;"",IF('Capacity summary'!$D$14="Yes",IF(COUNTBLANK('Capacity summary'!$H158:$BG158)&lt;52,IF('Capacity summary'!AS158&lt;&gt;"",$BI39*AS39,0),AS39*$BI39),AS39*$BI39),0)</f>
        <v>0</v>
      </c>
      <c r="CW39" s="319">
        <f>IF($BI39&lt;&gt;"",IF('Capacity summary'!$D$14="Yes",IF(COUNTBLANK('Capacity summary'!$H158:$BG158)&lt;52,IF('Capacity summary'!AT158&lt;&gt;"",$BI39*AT39,0),AT39*$BI39),AT39*$BI39),0)</f>
        <v>0</v>
      </c>
      <c r="CX39" s="319">
        <f>IF($BI39&lt;&gt;"",IF('Capacity summary'!$D$14="Yes",IF(COUNTBLANK('Capacity summary'!$H158:$BG158)&lt;52,IF('Capacity summary'!AU158&lt;&gt;"",$BI39*AU39,0),AU39*$BI39),AU39*$BI39),0)</f>
        <v>0</v>
      </c>
      <c r="CY39" s="319">
        <f>IF($BI39&lt;&gt;"",IF('Capacity summary'!$D$14="Yes",IF(COUNTBLANK('Capacity summary'!$H158:$BG158)&lt;52,IF('Capacity summary'!AV158&lt;&gt;"",$BI39*AV39,0),AV39*$BI39),AV39*$BI39),0)</f>
        <v>0</v>
      </c>
      <c r="CZ39" s="319">
        <f>IF($BI39&lt;&gt;"",IF('Capacity summary'!$D$14="Yes",IF(COUNTBLANK('Capacity summary'!$H158:$BG158)&lt;52,IF('Capacity summary'!AW158&lt;&gt;"",$BI39*AW39,0),AW39*$BI39),AW39*$BI39),0)</f>
        <v>0</v>
      </c>
      <c r="DA39" s="319">
        <f>IF($BI39&lt;&gt;"",IF('Capacity summary'!$D$14="Yes",IF(COUNTBLANK('Capacity summary'!$H158:$BG158)&lt;52,IF('Capacity summary'!AX158&lt;&gt;"",$BI39*AX39,0),AX39*$BI39),AX39*$BI39),0)</f>
        <v>0</v>
      </c>
      <c r="DB39" s="319">
        <f>IF($BI39&lt;&gt;"",IF('Capacity summary'!$D$14="Yes",IF(COUNTBLANK('Capacity summary'!$H158:$BG158)&lt;52,IF('Capacity summary'!AY158&lt;&gt;"",$BI39*AY39,0),AY39*$BI39),AY39*$BI39),0)</f>
        <v>0</v>
      </c>
      <c r="DC39" s="319">
        <f>IF($BI39&lt;&gt;"",IF('Capacity summary'!$D$14="Yes",IF(COUNTBLANK('Capacity summary'!$H158:$BG158)&lt;52,IF('Capacity summary'!AZ158&lt;&gt;"",$BI39*AZ39,0),AZ39*$BI39),AZ39*$BI39),0)</f>
        <v>0</v>
      </c>
      <c r="DD39" s="319">
        <f>IF($BI39&lt;&gt;"",IF('Capacity summary'!$D$14="Yes",IF(COUNTBLANK('Capacity summary'!$H158:$BG158)&lt;52,IF('Capacity summary'!BA158&lt;&gt;"",$BI39*BA39,0),BA39*$BI39),BA39*$BI39),0)</f>
        <v>0</v>
      </c>
      <c r="DE39" s="319">
        <f>IF($BI39&lt;&gt;"",IF('Capacity summary'!$D$14="Yes",IF(COUNTBLANK('Capacity summary'!$H158:$BG158)&lt;52,IF('Capacity summary'!BB158&lt;&gt;"",$BI39*BB39,0),BB39*$BI39),BB39*$BI39),0)</f>
        <v>0</v>
      </c>
      <c r="DF39" s="319">
        <f>IF($BI39&lt;&gt;"",IF('Capacity summary'!$D$14="Yes",IF(COUNTBLANK('Capacity summary'!$H158:$BG158)&lt;52,IF('Capacity summary'!BC158&lt;&gt;"",$BI39*BC39,0),BC39*$BI39),BC39*$BI39),0)</f>
        <v>0</v>
      </c>
      <c r="DG39" s="319">
        <f>IF($BI39&lt;&gt;"",IF('Capacity summary'!$D$14="Yes",IF(COUNTBLANK('Capacity summary'!$H158:$BG158)&lt;52,IF('Capacity summary'!BD158&lt;&gt;"",$BI39*BD39,0),BD39*$BI39),BD39*$BI39),0)</f>
        <v>0</v>
      </c>
      <c r="DH39" s="319">
        <f>IF($BI39&lt;&gt;"",IF('Capacity summary'!$D$14="Yes",IF(COUNTBLANK('Capacity summary'!$H158:$BG158)&lt;52,IF('Capacity summary'!BE158&lt;&gt;"",$BI39*BE39,0),BE39*$BI39),BE39*$BI39),0)</f>
        <v>0</v>
      </c>
      <c r="DI39" s="319">
        <f>IF($BI39&lt;&gt;"",IF('Capacity summary'!$D$14="Yes",IF(COUNTBLANK('Capacity summary'!$H158:$BG158)&lt;52,IF('Capacity summary'!BF158&lt;&gt;"",$BI39*BF39,0),BF39*$BI39),BF39*$BI39),0)</f>
        <v>0</v>
      </c>
      <c r="DJ39" s="319">
        <f>IF($BI39&lt;&gt;"",IF('Capacity summary'!$D$14="Yes",IF(COUNTBLANK('Capacity summary'!$H158:$BG158)&lt;52,IF('Capacity summary'!BG158&lt;&gt;"",$BI39*BG39,0),BG39*$BI39),BG39*$BI39),0)</f>
        <v>0</v>
      </c>
      <c r="DK39" s="5">
        <f t="shared" si="2"/>
        <v>0</v>
      </c>
      <c r="DL39" s="5" t="str">
        <f>Capacity!H51</f>
        <v/>
      </c>
      <c r="DP39" s="5"/>
    </row>
    <row r="40" spans="2:120" x14ac:dyDescent="0.2">
      <c r="B40" s="68"/>
      <c r="C40" s="68" t="str">
        <f>ROW(A36)&amp;". "&amp;Capacity!B52</f>
        <v xml:space="preserve">36. </v>
      </c>
      <c r="D40" s="68">
        <f>'Capacity setup'!C47</f>
        <v>0</v>
      </c>
      <c r="E40" s="68">
        <f>'Capacity setup'!D47</f>
        <v>0</v>
      </c>
      <c r="F40" s="68">
        <f>'Capacity setup'!E47</f>
        <v>0</v>
      </c>
      <c r="H40" s="68">
        <f ca="1">IF(AND(SUMIF(Capacity_Resource,$D40,'Critical resources (hide)'!U$6:U$105)+SUMIF(Capacity_Resource,$E40,'Critical resources (hide)'!U$6:U$105)+SUMIF(Capacity_Resource,$F40,'Critical resources (hide)'!U$6:U$105)&gt;0,$E$1=2),0,1)</f>
        <v>1</v>
      </c>
      <c r="I40" s="68">
        <f ca="1">IF(AND(SUMIF(Capacity_Resource,$D40,'Critical resources (hide)'!V$6:V$105)+SUMIF(Capacity_Resource,$E40,'Critical resources (hide)'!V$6:V$105)+SUMIF(Capacity_Resource,$F40,'Critical resources (hide)'!V$6:V$105)&gt;0,$E$1=2),0,1)</f>
        <v>1</v>
      </c>
      <c r="J40" s="68">
        <f ca="1">IF(AND(SUMIF(Capacity_Resource,$D40,'Critical resources (hide)'!W$6:W$105)+SUMIF(Capacity_Resource,$E40,'Critical resources (hide)'!W$6:W$105)+SUMIF(Capacity_Resource,$F40,'Critical resources (hide)'!W$6:W$105)&gt;0,$E$1=2),0,1)</f>
        <v>1</v>
      </c>
      <c r="K40" s="68">
        <f ca="1">IF(AND(SUMIF(Capacity_Resource,$D40,'Critical resources (hide)'!X$6:X$105)+SUMIF(Capacity_Resource,$E40,'Critical resources (hide)'!X$6:X$105)+SUMIF(Capacity_Resource,$F40,'Critical resources (hide)'!X$6:X$105)&gt;0,$E$1=2),0,1)</f>
        <v>1</v>
      </c>
      <c r="L40" s="68">
        <f ca="1">IF(AND(SUMIF(Capacity_Resource,$D40,'Critical resources (hide)'!Y$6:Y$105)+SUMIF(Capacity_Resource,$E40,'Critical resources (hide)'!Y$6:Y$105)+SUMIF(Capacity_Resource,$F40,'Critical resources (hide)'!Y$6:Y$105)&gt;0,$E$1=2),0,1)</f>
        <v>1</v>
      </c>
      <c r="M40" s="68">
        <f ca="1">IF(AND(SUMIF(Capacity_Resource,$D40,'Critical resources (hide)'!Z$6:Z$105)+SUMIF(Capacity_Resource,$E40,'Critical resources (hide)'!Z$6:Z$105)+SUMIF(Capacity_Resource,$F40,'Critical resources (hide)'!Z$6:Z$105)&gt;0,$E$1=2),0,1)</f>
        <v>1</v>
      </c>
      <c r="N40" s="68">
        <f ca="1">IF(AND(SUMIF(Capacity_Resource,$D40,'Critical resources (hide)'!AA$6:AA$105)+SUMIF(Capacity_Resource,$E40,'Critical resources (hide)'!AA$6:AA$105)+SUMIF(Capacity_Resource,$F40,'Critical resources (hide)'!AA$6:AA$105)&gt;0,$E$1=2),0,1)</f>
        <v>1</v>
      </c>
      <c r="O40" s="68">
        <f ca="1">IF(AND(SUMIF(Capacity_Resource,$D40,'Critical resources (hide)'!AB$6:AB$105)+SUMIF(Capacity_Resource,$E40,'Critical resources (hide)'!AB$6:AB$105)+SUMIF(Capacity_Resource,$F40,'Critical resources (hide)'!AB$6:AB$105)&gt;0,$E$1=2),0,1)</f>
        <v>1</v>
      </c>
      <c r="P40" s="68">
        <f ca="1">IF(AND(SUMIF(Capacity_Resource,$D40,'Critical resources (hide)'!AC$6:AC$105)+SUMIF(Capacity_Resource,$E40,'Critical resources (hide)'!AC$6:AC$105)+SUMIF(Capacity_Resource,$F40,'Critical resources (hide)'!AC$6:AC$105)&gt;0,$E$1=2),0,1)</f>
        <v>1</v>
      </c>
      <c r="Q40" s="68">
        <f ca="1">IF(AND(SUMIF(Capacity_Resource,$D40,'Critical resources (hide)'!AD$6:AD$105)+SUMIF(Capacity_Resource,$E40,'Critical resources (hide)'!AD$6:AD$105)+SUMIF(Capacity_Resource,$F40,'Critical resources (hide)'!AD$6:AD$105)&gt;0,$E$1=2),0,1)</f>
        <v>1</v>
      </c>
      <c r="R40" s="68">
        <f ca="1">IF(AND(SUMIF(Capacity_Resource,$D40,'Critical resources (hide)'!AE$6:AE$105)+SUMIF(Capacity_Resource,$E40,'Critical resources (hide)'!AE$6:AE$105)+SUMIF(Capacity_Resource,$F40,'Critical resources (hide)'!AE$6:AE$105)&gt;0,$E$1=2),0,1)</f>
        <v>1</v>
      </c>
      <c r="S40" s="68">
        <f ca="1">IF(AND(SUMIF(Capacity_Resource,$D40,'Critical resources (hide)'!AF$6:AF$105)+SUMIF(Capacity_Resource,$E40,'Critical resources (hide)'!AF$6:AF$105)+SUMIF(Capacity_Resource,$F40,'Critical resources (hide)'!AF$6:AF$105)&gt;0,$E$1=2),0,1)</f>
        <v>1</v>
      </c>
      <c r="T40" s="68">
        <f ca="1">IF(AND(SUMIF(Capacity_Resource,$D40,'Critical resources (hide)'!AG$6:AG$105)+SUMIF(Capacity_Resource,$E40,'Critical resources (hide)'!AG$6:AG$105)+SUMIF(Capacity_Resource,$F40,'Critical resources (hide)'!AG$6:AG$105)&gt;0,$E$1=2),0,1)</f>
        <v>1</v>
      </c>
      <c r="U40" s="68">
        <f ca="1">IF(AND(SUMIF(Capacity_Resource,$D40,'Critical resources (hide)'!AH$6:AH$105)+SUMIF(Capacity_Resource,$E40,'Critical resources (hide)'!AH$6:AH$105)+SUMIF(Capacity_Resource,$F40,'Critical resources (hide)'!AH$6:AH$105)&gt;0,$E$1=2),0,1)</f>
        <v>1</v>
      </c>
      <c r="V40" s="68">
        <f ca="1">IF(AND(SUMIF(Capacity_Resource,$D40,'Critical resources (hide)'!AI$6:AI$105)+SUMIF(Capacity_Resource,$E40,'Critical resources (hide)'!AI$6:AI$105)+SUMIF(Capacity_Resource,$F40,'Critical resources (hide)'!AI$6:AI$105)&gt;0,$E$1=2),0,1)</f>
        <v>1</v>
      </c>
      <c r="W40" s="68">
        <f ca="1">IF(AND(SUMIF(Capacity_Resource,$D40,'Critical resources (hide)'!AJ$6:AJ$105)+SUMIF(Capacity_Resource,$E40,'Critical resources (hide)'!AJ$6:AJ$105)+SUMIF(Capacity_Resource,$F40,'Critical resources (hide)'!AJ$6:AJ$105)&gt;0,$E$1=2),0,1)</f>
        <v>1</v>
      </c>
      <c r="X40" s="68">
        <f ca="1">IF(AND(SUMIF(Capacity_Resource,$D40,'Critical resources (hide)'!AK$6:AK$105)+SUMIF(Capacity_Resource,$E40,'Critical resources (hide)'!AK$6:AK$105)+SUMIF(Capacity_Resource,$F40,'Critical resources (hide)'!AK$6:AK$105)&gt;0,$E$1=2),0,1)</f>
        <v>1</v>
      </c>
      <c r="Y40" s="68">
        <f ca="1">IF(AND(SUMIF(Capacity_Resource,$D40,'Critical resources (hide)'!AL$6:AL$105)+SUMIF(Capacity_Resource,$E40,'Critical resources (hide)'!AL$6:AL$105)+SUMIF(Capacity_Resource,$F40,'Critical resources (hide)'!AL$6:AL$105)&gt;0,$E$1=2),0,1)</f>
        <v>1</v>
      </c>
      <c r="Z40" s="68">
        <f ca="1">IF(AND(SUMIF(Capacity_Resource,$D40,'Critical resources (hide)'!AM$6:AM$105)+SUMIF(Capacity_Resource,$E40,'Critical resources (hide)'!AM$6:AM$105)+SUMIF(Capacity_Resource,$F40,'Critical resources (hide)'!AM$6:AM$105)&gt;0,$E$1=2),0,1)</f>
        <v>1</v>
      </c>
      <c r="AA40" s="68">
        <f ca="1">IF(AND(SUMIF(Capacity_Resource,$D40,'Critical resources (hide)'!AN$6:AN$105)+SUMIF(Capacity_Resource,$E40,'Critical resources (hide)'!AN$6:AN$105)+SUMIF(Capacity_Resource,$F40,'Critical resources (hide)'!AN$6:AN$105)&gt;0,$E$1=2),0,1)</f>
        <v>1</v>
      </c>
      <c r="AB40" s="68">
        <f ca="1">IF(AND(SUMIF(Capacity_Resource,$D40,'Critical resources (hide)'!AO$6:AO$105)+SUMIF(Capacity_Resource,$E40,'Critical resources (hide)'!AO$6:AO$105)+SUMIF(Capacity_Resource,$F40,'Critical resources (hide)'!AO$6:AO$105)&gt;0,$E$1=2),0,1)</f>
        <v>1</v>
      </c>
      <c r="AC40" s="68">
        <f ca="1">IF(AND(SUMIF(Capacity_Resource,$D40,'Critical resources (hide)'!AP$6:AP$105)+SUMIF(Capacity_Resource,$E40,'Critical resources (hide)'!AP$6:AP$105)+SUMIF(Capacity_Resource,$F40,'Critical resources (hide)'!AP$6:AP$105)&gt;0,$E$1=2),0,1)</f>
        <v>1</v>
      </c>
      <c r="AD40" s="68">
        <f ca="1">IF(AND(SUMIF(Capacity_Resource,$D40,'Critical resources (hide)'!AQ$6:AQ$105)+SUMIF(Capacity_Resource,$E40,'Critical resources (hide)'!AQ$6:AQ$105)+SUMIF(Capacity_Resource,$F40,'Critical resources (hide)'!AQ$6:AQ$105)&gt;0,$E$1=2),0,1)</f>
        <v>1</v>
      </c>
      <c r="AE40" s="68">
        <f ca="1">IF(AND(SUMIF(Capacity_Resource,$D40,'Critical resources (hide)'!AR$6:AR$105)+SUMIF(Capacity_Resource,$E40,'Critical resources (hide)'!AR$6:AR$105)+SUMIF(Capacity_Resource,$F40,'Critical resources (hide)'!AR$6:AR$105)&gt;0,$E$1=2),0,1)</f>
        <v>1</v>
      </c>
      <c r="AF40" s="68">
        <f ca="1">IF(AND(SUMIF(Capacity_Resource,$D40,'Critical resources (hide)'!AS$6:AS$105)+SUMIF(Capacity_Resource,$E40,'Critical resources (hide)'!AS$6:AS$105)+SUMIF(Capacity_Resource,$F40,'Critical resources (hide)'!AS$6:AS$105)&gt;0,$E$1=2),0,1)</f>
        <v>1</v>
      </c>
      <c r="AG40" s="68">
        <f ca="1">IF(AND(SUMIF(Capacity_Resource,$D40,'Critical resources (hide)'!AT$6:AT$105)+SUMIF(Capacity_Resource,$E40,'Critical resources (hide)'!AT$6:AT$105)+SUMIF(Capacity_Resource,$F40,'Critical resources (hide)'!AT$6:AT$105)&gt;0,$E$1=2),0,1)</f>
        <v>1</v>
      </c>
      <c r="AH40" s="68">
        <f ca="1">IF(AND(SUMIF(Capacity_Resource,$D40,'Critical resources (hide)'!AU$6:AU$105)+SUMIF(Capacity_Resource,$E40,'Critical resources (hide)'!AU$6:AU$105)+SUMIF(Capacity_Resource,$F40,'Critical resources (hide)'!AU$6:AU$105)&gt;0,$E$1=2),0,1)</f>
        <v>1</v>
      </c>
      <c r="AI40" s="68">
        <f ca="1">IF(AND(SUMIF(Capacity_Resource,$D40,'Critical resources (hide)'!AV$6:AV$105)+SUMIF(Capacity_Resource,$E40,'Critical resources (hide)'!AV$6:AV$105)+SUMIF(Capacity_Resource,$F40,'Critical resources (hide)'!AV$6:AV$105)&gt;0,$E$1=2),0,1)</f>
        <v>1</v>
      </c>
      <c r="AJ40" s="68">
        <f ca="1">IF(AND(SUMIF(Capacity_Resource,$D40,'Critical resources (hide)'!AW$6:AW$105)+SUMIF(Capacity_Resource,$E40,'Critical resources (hide)'!AW$6:AW$105)+SUMIF(Capacity_Resource,$F40,'Critical resources (hide)'!AW$6:AW$105)&gt;0,$E$1=2),0,1)</f>
        <v>1</v>
      </c>
      <c r="AK40" s="68">
        <f ca="1">IF(AND(SUMIF(Capacity_Resource,$D40,'Critical resources (hide)'!AX$6:AX$105)+SUMIF(Capacity_Resource,$E40,'Critical resources (hide)'!AX$6:AX$105)+SUMIF(Capacity_Resource,$F40,'Critical resources (hide)'!AX$6:AX$105)&gt;0,$E$1=2),0,1)</f>
        <v>1</v>
      </c>
      <c r="AL40" s="68">
        <f ca="1">IF(AND(SUMIF(Capacity_Resource,$D40,'Critical resources (hide)'!AY$6:AY$105)+SUMIF(Capacity_Resource,$E40,'Critical resources (hide)'!AY$6:AY$105)+SUMIF(Capacity_Resource,$F40,'Critical resources (hide)'!AY$6:AY$105)&gt;0,$E$1=2),0,1)</f>
        <v>1</v>
      </c>
      <c r="AM40" s="68">
        <f ca="1">IF(AND(SUMIF(Capacity_Resource,$D40,'Critical resources (hide)'!AZ$6:AZ$105)+SUMIF(Capacity_Resource,$E40,'Critical resources (hide)'!AZ$6:AZ$105)+SUMIF(Capacity_Resource,$F40,'Critical resources (hide)'!AZ$6:AZ$105)&gt;0,$E$1=2),0,1)</f>
        <v>1</v>
      </c>
      <c r="AN40" s="68">
        <f ca="1">IF(AND(SUMIF(Capacity_Resource,$D40,'Critical resources (hide)'!BA$6:BA$105)+SUMIF(Capacity_Resource,$E40,'Critical resources (hide)'!BA$6:BA$105)+SUMIF(Capacity_Resource,$F40,'Critical resources (hide)'!BA$6:BA$105)&gt;0,$E$1=2),0,1)</f>
        <v>1</v>
      </c>
      <c r="AO40" s="68">
        <f ca="1">IF(AND(SUMIF(Capacity_Resource,$D40,'Critical resources (hide)'!BB$6:BB$105)+SUMIF(Capacity_Resource,$E40,'Critical resources (hide)'!BB$6:BB$105)+SUMIF(Capacity_Resource,$F40,'Critical resources (hide)'!BB$6:BB$105)&gt;0,$E$1=2),0,1)</f>
        <v>1</v>
      </c>
      <c r="AP40" s="68">
        <f ca="1">IF(AND(SUMIF(Capacity_Resource,$D40,'Critical resources (hide)'!BC$6:BC$105)+SUMIF(Capacity_Resource,$E40,'Critical resources (hide)'!BC$6:BC$105)+SUMIF(Capacity_Resource,$F40,'Critical resources (hide)'!BC$6:BC$105)&gt;0,$E$1=2),0,1)</f>
        <v>1</v>
      </c>
      <c r="AQ40" s="68">
        <f ca="1">IF(AND(SUMIF(Capacity_Resource,$D40,'Critical resources (hide)'!BD$6:BD$105)+SUMIF(Capacity_Resource,$E40,'Critical resources (hide)'!BD$6:BD$105)+SUMIF(Capacity_Resource,$F40,'Critical resources (hide)'!BD$6:BD$105)&gt;0,$E$1=2),0,1)</f>
        <v>1</v>
      </c>
      <c r="AR40" s="68">
        <f ca="1">IF(AND(SUMIF(Capacity_Resource,$D40,'Critical resources (hide)'!BE$6:BE$105)+SUMIF(Capacity_Resource,$E40,'Critical resources (hide)'!BE$6:BE$105)+SUMIF(Capacity_Resource,$F40,'Critical resources (hide)'!BE$6:BE$105)&gt;0,$E$1=2),0,1)</f>
        <v>1</v>
      </c>
      <c r="AS40" s="68">
        <f ca="1">IF(AND(SUMIF(Capacity_Resource,$D40,'Critical resources (hide)'!BF$6:BF$105)+SUMIF(Capacity_Resource,$E40,'Critical resources (hide)'!BF$6:BF$105)+SUMIF(Capacity_Resource,$F40,'Critical resources (hide)'!BF$6:BF$105)&gt;0,$E$1=2),0,1)</f>
        <v>1</v>
      </c>
      <c r="AT40" s="68">
        <f ca="1">IF(AND(SUMIF(Capacity_Resource,$D40,'Critical resources (hide)'!BG$6:BG$105)+SUMIF(Capacity_Resource,$E40,'Critical resources (hide)'!BG$6:BG$105)+SUMIF(Capacity_Resource,$F40,'Critical resources (hide)'!BG$6:BG$105)&gt;0,$E$1=2),0,1)</f>
        <v>1</v>
      </c>
      <c r="AU40" s="68">
        <f ca="1">IF(AND(SUMIF(Capacity_Resource,$D40,'Critical resources (hide)'!BH$6:BH$105)+SUMIF(Capacity_Resource,$E40,'Critical resources (hide)'!BH$6:BH$105)+SUMIF(Capacity_Resource,$F40,'Critical resources (hide)'!BH$6:BH$105)&gt;0,$E$1=2),0,1)</f>
        <v>1</v>
      </c>
      <c r="AV40" s="68">
        <f ca="1">IF(AND(SUMIF(Capacity_Resource,$D40,'Critical resources (hide)'!BI$6:BI$105)+SUMIF(Capacity_Resource,$E40,'Critical resources (hide)'!BI$6:BI$105)+SUMIF(Capacity_Resource,$F40,'Critical resources (hide)'!BI$6:BI$105)&gt;0,$E$1=2),0,1)</f>
        <v>1</v>
      </c>
      <c r="AW40" s="68">
        <f ca="1">IF(AND(SUMIF(Capacity_Resource,$D40,'Critical resources (hide)'!BJ$6:BJ$105)+SUMIF(Capacity_Resource,$E40,'Critical resources (hide)'!BJ$6:BJ$105)+SUMIF(Capacity_Resource,$F40,'Critical resources (hide)'!BJ$6:BJ$105)&gt;0,$E$1=2),0,1)</f>
        <v>1</v>
      </c>
      <c r="AX40" s="68">
        <f ca="1">IF(AND(SUMIF(Capacity_Resource,$D40,'Critical resources (hide)'!BK$6:BK$105)+SUMIF(Capacity_Resource,$E40,'Critical resources (hide)'!BK$6:BK$105)+SUMIF(Capacity_Resource,$F40,'Critical resources (hide)'!BK$6:BK$105)&gt;0,$E$1=2),0,1)</f>
        <v>1</v>
      </c>
      <c r="AY40" s="68">
        <f ca="1">IF(AND(SUMIF(Capacity_Resource,$D40,'Critical resources (hide)'!BL$6:BL$105)+SUMIF(Capacity_Resource,$E40,'Critical resources (hide)'!BL$6:BL$105)+SUMIF(Capacity_Resource,$F40,'Critical resources (hide)'!BL$6:BL$105)&gt;0,$E$1=2),0,1)</f>
        <v>1</v>
      </c>
      <c r="AZ40" s="68">
        <f ca="1">IF(AND(SUMIF(Capacity_Resource,$D40,'Critical resources (hide)'!BM$6:BM$105)+SUMIF(Capacity_Resource,$E40,'Critical resources (hide)'!BM$6:BM$105)+SUMIF(Capacity_Resource,$F40,'Critical resources (hide)'!BM$6:BM$105)&gt;0,$E$1=2),0,1)</f>
        <v>1</v>
      </c>
      <c r="BA40" s="68">
        <f ca="1">IF(AND(SUMIF(Capacity_Resource,$D40,'Critical resources (hide)'!BN$6:BN$105)+SUMIF(Capacity_Resource,$E40,'Critical resources (hide)'!BN$6:BN$105)+SUMIF(Capacity_Resource,$F40,'Critical resources (hide)'!BN$6:BN$105)&gt;0,$E$1=2),0,1)</f>
        <v>1</v>
      </c>
      <c r="BB40" s="68">
        <f ca="1">IF(AND(SUMIF(Capacity_Resource,$D40,'Critical resources (hide)'!BO$6:BO$105)+SUMIF(Capacity_Resource,$E40,'Critical resources (hide)'!BO$6:BO$105)+SUMIF(Capacity_Resource,$F40,'Critical resources (hide)'!BO$6:BO$105)&gt;0,$E$1=2),0,1)</f>
        <v>1</v>
      </c>
      <c r="BC40" s="68">
        <f ca="1">IF(AND(SUMIF(Capacity_Resource,$D40,'Critical resources (hide)'!BP$6:BP$105)+SUMIF(Capacity_Resource,$E40,'Critical resources (hide)'!BP$6:BP$105)+SUMIF(Capacity_Resource,$F40,'Critical resources (hide)'!BP$6:BP$105)&gt;0,$E$1=2),0,1)</f>
        <v>1</v>
      </c>
      <c r="BD40" s="68">
        <f ca="1">IF(AND(SUMIF(Capacity_Resource,$D40,'Critical resources (hide)'!BQ$6:BQ$105)+SUMIF(Capacity_Resource,$E40,'Critical resources (hide)'!BQ$6:BQ$105)+SUMIF(Capacity_Resource,$F40,'Critical resources (hide)'!BQ$6:BQ$105)&gt;0,$E$1=2),0,1)</f>
        <v>1</v>
      </c>
      <c r="BE40" s="68">
        <f ca="1">IF(AND(SUMIF(Capacity_Resource,$D40,'Critical resources (hide)'!BR$6:BR$105)+SUMIF(Capacity_Resource,$E40,'Critical resources (hide)'!BR$6:BR$105)+SUMIF(Capacity_Resource,$F40,'Critical resources (hide)'!BR$6:BR$105)&gt;0,$E$1=2),0,1)</f>
        <v>1</v>
      </c>
      <c r="BF40" s="68">
        <f ca="1">IF(AND(SUMIF(Capacity_Resource,$D40,'Critical resources (hide)'!BS$6:BS$105)+SUMIF(Capacity_Resource,$E40,'Critical resources (hide)'!BS$6:BS$105)+SUMIF(Capacity_Resource,$F40,'Critical resources (hide)'!BS$6:BS$105)&gt;0,$E$1=2),0,1)</f>
        <v>1</v>
      </c>
      <c r="BG40" s="68">
        <f ca="1">IF(AND(SUMIF(Capacity_Resource,$D40,'Critical resources (hide)'!BT$6:BT$105)+SUMIF(Capacity_Resource,$E40,'Critical resources (hide)'!BT$6:BT$105)+SUMIF(Capacity_Resource,$F40,'Critical resources (hide)'!BT$6:BT$105)&gt;0,$E$1=2),0,1)</f>
        <v>1</v>
      </c>
      <c r="BH40" s="68">
        <f>IF(ROW(C36)&lt;=Capacity!$A$16,IF('Capacity summary'!$D$14="No",SUM(H40:BG40),'Capacity summary'!$E159),0)</f>
        <v>0</v>
      </c>
      <c r="BI40" s="5" t="str">
        <f>IF(BH40&gt;0,IF(BH40&lt;Capacity!E52,Capacity!F52,Capacity!H52/'Capacity calculation (hide)'!BH40),"")</f>
        <v/>
      </c>
      <c r="BK40" s="319">
        <f>IF($BI40&lt;&gt;"",IF('Capacity summary'!$D$14="Yes",IF(COUNTBLANK('Capacity summary'!$H159:$BG159)&lt;52,IF('Capacity summary'!H159&lt;&gt;"",$BI40*H40,0),H40*$BI40),H40*$BI40),0)</f>
        <v>0</v>
      </c>
      <c r="BL40" s="319">
        <f>IF($BI40&lt;&gt;"",IF('Capacity summary'!$D$14="Yes",IF(COUNTBLANK('Capacity summary'!$H159:$BG159)&lt;52,IF('Capacity summary'!I159&lt;&gt;"",$BI40*I40,0),I40*$BI40),I40*$BI40),0)</f>
        <v>0</v>
      </c>
      <c r="BM40" s="319">
        <f>IF($BI40&lt;&gt;"",IF('Capacity summary'!$D$14="Yes",IF(COUNTBLANK('Capacity summary'!$H159:$BG159)&lt;52,IF('Capacity summary'!J159&lt;&gt;"",$BI40*J40,0),J40*$BI40),J40*$BI40),0)</f>
        <v>0</v>
      </c>
      <c r="BN40" s="319">
        <f>IF($BI40&lt;&gt;"",IF('Capacity summary'!$D$14="Yes",IF(COUNTBLANK('Capacity summary'!$H159:$BG159)&lt;52,IF('Capacity summary'!K159&lt;&gt;"",$BI40*K40,0),K40*$BI40),K40*$BI40),0)</f>
        <v>0</v>
      </c>
      <c r="BO40" s="319">
        <f>IF($BI40&lt;&gt;"",IF('Capacity summary'!$D$14="Yes",IF(COUNTBLANK('Capacity summary'!$H159:$BG159)&lt;52,IF('Capacity summary'!L159&lt;&gt;"",$BI40*L40,0),L40*$BI40),L40*$BI40),0)</f>
        <v>0</v>
      </c>
      <c r="BP40" s="319">
        <f>IF($BI40&lt;&gt;"",IF('Capacity summary'!$D$14="Yes",IF(COUNTBLANK('Capacity summary'!$H159:$BG159)&lt;52,IF('Capacity summary'!M159&lt;&gt;"",$BI40*M40,0),M40*$BI40),M40*$BI40),0)</f>
        <v>0</v>
      </c>
      <c r="BQ40" s="319">
        <f>IF($BI40&lt;&gt;"",IF('Capacity summary'!$D$14="Yes",IF(COUNTBLANK('Capacity summary'!$H159:$BG159)&lt;52,IF('Capacity summary'!N159&lt;&gt;"",$BI40*N40,0),N40*$BI40),N40*$BI40),0)</f>
        <v>0</v>
      </c>
      <c r="BR40" s="319">
        <f>IF($BI40&lt;&gt;"",IF('Capacity summary'!$D$14="Yes",IF(COUNTBLANK('Capacity summary'!$H159:$BG159)&lt;52,IF('Capacity summary'!O159&lt;&gt;"",$BI40*O40,0),O40*$BI40),O40*$BI40),0)</f>
        <v>0</v>
      </c>
      <c r="BS40" s="319">
        <f>IF($BI40&lt;&gt;"",IF('Capacity summary'!$D$14="Yes",IF(COUNTBLANK('Capacity summary'!$H159:$BG159)&lt;52,IF('Capacity summary'!P159&lt;&gt;"",$BI40*P40,0),P40*$BI40),P40*$BI40),0)</f>
        <v>0</v>
      </c>
      <c r="BT40" s="319">
        <f>IF($BI40&lt;&gt;"",IF('Capacity summary'!$D$14="Yes",IF(COUNTBLANK('Capacity summary'!$H159:$BG159)&lt;52,IF('Capacity summary'!Q159&lt;&gt;"",$BI40*Q40,0),Q40*$BI40),Q40*$BI40),0)</f>
        <v>0</v>
      </c>
      <c r="BU40" s="319">
        <f>IF($BI40&lt;&gt;"",IF('Capacity summary'!$D$14="Yes",IF(COUNTBLANK('Capacity summary'!$H159:$BG159)&lt;52,IF('Capacity summary'!R159&lt;&gt;"",$BI40*R40,0),R40*$BI40),R40*$BI40),0)</f>
        <v>0</v>
      </c>
      <c r="BV40" s="319">
        <f>IF($BI40&lt;&gt;"",IF('Capacity summary'!$D$14="Yes",IF(COUNTBLANK('Capacity summary'!$H159:$BG159)&lt;52,IF('Capacity summary'!S159&lt;&gt;"",$BI40*S40,0),S40*$BI40),S40*$BI40),0)</f>
        <v>0</v>
      </c>
      <c r="BW40" s="319">
        <f>IF($BI40&lt;&gt;"",IF('Capacity summary'!$D$14="Yes",IF(COUNTBLANK('Capacity summary'!$H159:$BG159)&lt;52,IF('Capacity summary'!T159&lt;&gt;"",$BI40*T40,0),T40*$BI40),T40*$BI40),0)</f>
        <v>0</v>
      </c>
      <c r="BX40" s="319">
        <f>IF($BI40&lt;&gt;"",IF('Capacity summary'!$D$14="Yes",IF(COUNTBLANK('Capacity summary'!$H159:$BG159)&lt;52,IF('Capacity summary'!U159&lt;&gt;"",$BI40*U40,0),U40*$BI40),U40*$BI40),0)</f>
        <v>0</v>
      </c>
      <c r="BY40" s="319">
        <f>IF($BI40&lt;&gt;"",IF('Capacity summary'!$D$14="Yes",IF(COUNTBLANK('Capacity summary'!$H159:$BG159)&lt;52,IF('Capacity summary'!V159&lt;&gt;"",$BI40*V40,0),V40*$BI40),V40*$BI40),0)</f>
        <v>0</v>
      </c>
      <c r="BZ40" s="319">
        <f>IF($BI40&lt;&gt;"",IF('Capacity summary'!$D$14="Yes",IF(COUNTBLANK('Capacity summary'!$H159:$BG159)&lt;52,IF('Capacity summary'!W159&lt;&gt;"",$BI40*W40,0),W40*$BI40),W40*$BI40),0)</f>
        <v>0</v>
      </c>
      <c r="CA40" s="319">
        <f>IF($BI40&lt;&gt;"",IF('Capacity summary'!$D$14="Yes",IF(COUNTBLANK('Capacity summary'!$H159:$BG159)&lt;52,IF('Capacity summary'!X159&lt;&gt;"",$BI40*X40,0),X40*$BI40),X40*$BI40),0)</f>
        <v>0</v>
      </c>
      <c r="CB40" s="319">
        <f>IF($BI40&lt;&gt;"",IF('Capacity summary'!$D$14="Yes",IF(COUNTBLANK('Capacity summary'!$H159:$BG159)&lt;52,IF('Capacity summary'!Y159&lt;&gt;"",$BI40*Y40,0),Y40*$BI40),Y40*$BI40),0)</f>
        <v>0</v>
      </c>
      <c r="CC40" s="319">
        <f>IF($BI40&lt;&gt;"",IF('Capacity summary'!$D$14="Yes",IF(COUNTBLANK('Capacity summary'!$H159:$BG159)&lt;52,IF('Capacity summary'!Z159&lt;&gt;"",$BI40*Z40,0),Z40*$BI40),Z40*$BI40),0)</f>
        <v>0</v>
      </c>
      <c r="CD40" s="319">
        <f>IF($BI40&lt;&gt;"",IF('Capacity summary'!$D$14="Yes",IF(COUNTBLANK('Capacity summary'!$H159:$BG159)&lt;52,IF('Capacity summary'!AA159&lt;&gt;"",$BI40*AA40,0),AA40*$BI40),AA40*$BI40),0)</f>
        <v>0</v>
      </c>
      <c r="CE40" s="319">
        <f>IF($BI40&lt;&gt;"",IF('Capacity summary'!$D$14="Yes",IF(COUNTBLANK('Capacity summary'!$H159:$BG159)&lt;52,IF('Capacity summary'!AB159&lt;&gt;"",$BI40*AB40,0),AB40*$BI40),AB40*$BI40),0)</f>
        <v>0</v>
      </c>
      <c r="CF40" s="319">
        <f>IF($BI40&lt;&gt;"",IF('Capacity summary'!$D$14="Yes",IF(COUNTBLANK('Capacity summary'!$H159:$BG159)&lt;52,IF('Capacity summary'!AC159&lt;&gt;"",$BI40*AC40,0),AC40*$BI40),AC40*$BI40),0)</f>
        <v>0</v>
      </c>
      <c r="CG40" s="319">
        <f>IF($BI40&lt;&gt;"",IF('Capacity summary'!$D$14="Yes",IF(COUNTBLANK('Capacity summary'!$H159:$BG159)&lt;52,IF('Capacity summary'!AD159&lt;&gt;"",$BI40*AD40,0),AD40*$BI40),AD40*$BI40),0)</f>
        <v>0</v>
      </c>
      <c r="CH40" s="319">
        <f>IF($BI40&lt;&gt;"",IF('Capacity summary'!$D$14="Yes",IF(COUNTBLANK('Capacity summary'!$H159:$BG159)&lt;52,IF('Capacity summary'!AE159&lt;&gt;"",$BI40*AE40,0),AE40*$BI40),AE40*$BI40),0)</f>
        <v>0</v>
      </c>
      <c r="CI40" s="319">
        <f>IF($BI40&lt;&gt;"",IF('Capacity summary'!$D$14="Yes",IF(COUNTBLANK('Capacity summary'!$H159:$BG159)&lt;52,IF('Capacity summary'!AF159&lt;&gt;"",$BI40*AF40,0),AF40*$BI40),AF40*$BI40),0)</f>
        <v>0</v>
      </c>
      <c r="CJ40" s="319">
        <f>IF($BI40&lt;&gt;"",IF('Capacity summary'!$D$14="Yes",IF(COUNTBLANK('Capacity summary'!$H159:$BG159)&lt;52,IF('Capacity summary'!AG159&lt;&gt;"",$BI40*AG40,0),AG40*$BI40),AG40*$BI40),0)</f>
        <v>0</v>
      </c>
      <c r="CK40" s="319">
        <f>IF($BI40&lt;&gt;"",IF('Capacity summary'!$D$14="Yes",IF(COUNTBLANK('Capacity summary'!$H159:$BG159)&lt;52,IF('Capacity summary'!AH159&lt;&gt;"",$BI40*AH40,0),AH40*$BI40),AH40*$BI40),0)</f>
        <v>0</v>
      </c>
      <c r="CL40" s="319">
        <f>IF($BI40&lt;&gt;"",IF('Capacity summary'!$D$14="Yes",IF(COUNTBLANK('Capacity summary'!$H159:$BG159)&lt;52,IF('Capacity summary'!AI159&lt;&gt;"",$BI40*AI40,0),AI40*$BI40),AI40*$BI40),0)</f>
        <v>0</v>
      </c>
      <c r="CM40" s="319">
        <f>IF($BI40&lt;&gt;"",IF('Capacity summary'!$D$14="Yes",IF(COUNTBLANK('Capacity summary'!$H159:$BG159)&lt;52,IF('Capacity summary'!AJ159&lt;&gt;"",$BI40*AJ40,0),AJ40*$BI40),AJ40*$BI40),0)</f>
        <v>0</v>
      </c>
      <c r="CN40" s="319">
        <f>IF($BI40&lt;&gt;"",IF('Capacity summary'!$D$14="Yes",IF(COUNTBLANK('Capacity summary'!$H159:$BG159)&lt;52,IF('Capacity summary'!AK159&lt;&gt;"",$BI40*AK40,0),AK40*$BI40),AK40*$BI40),0)</f>
        <v>0</v>
      </c>
      <c r="CO40" s="319">
        <f>IF($BI40&lt;&gt;"",IF('Capacity summary'!$D$14="Yes",IF(COUNTBLANK('Capacity summary'!$H159:$BG159)&lt;52,IF('Capacity summary'!AL159&lt;&gt;"",$BI40*AL40,0),AL40*$BI40),AL40*$BI40),0)</f>
        <v>0</v>
      </c>
      <c r="CP40" s="319">
        <f>IF($BI40&lt;&gt;"",IF('Capacity summary'!$D$14="Yes",IF(COUNTBLANK('Capacity summary'!$H159:$BG159)&lt;52,IF('Capacity summary'!AM159&lt;&gt;"",$BI40*AM40,0),AM40*$BI40),AM40*$BI40),0)</f>
        <v>0</v>
      </c>
      <c r="CQ40" s="319">
        <f>IF($BI40&lt;&gt;"",IF('Capacity summary'!$D$14="Yes",IF(COUNTBLANK('Capacity summary'!$H159:$BG159)&lt;52,IF('Capacity summary'!AN159&lt;&gt;"",$BI40*AN40,0),AN40*$BI40),AN40*$BI40),0)</f>
        <v>0</v>
      </c>
      <c r="CR40" s="319">
        <f>IF($BI40&lt;&gt;"",IF('Capacity summary'!$D$14="Yes",IF(COUNTBLANK('Capacity summary'!$H159:$BG159)&lt;52,IF('Capacity summary'!AO159&lt;&gt;"",$BI40*AO40,0),AO40*$BI40),AO40*$BI40),0)</f>
        <v>0</v>
      </c>
      <c r="CS40" s="319">
        <f>IF($BI40&lt;&gt;"",IF('Capacity summary'!$D$14="Yes",IF(COUNTBLANK('Capacity summary'!$H159:$BG159)&lt;52,IF('Capacity summary'!AP159&lt;&gt;"",$BI40*AP40,0),AP40*$BI40),AP40*$BI40),0)</f>
        <v>0</v>
      </c>
      <c r="CT40" s="319">
        <f>IF($BI40&lt;&gt;"",IF('Capacity summary'!$D$14="Yes",IF(COUNTBLANK('Capacity summary'!$H159:$BG159)&lt;52,IF('Capacity summary'!AQ159&lt;&gt;"",$BI40*AQ40,0),AQ40*$BI40),AQ40*$BI40),0)</f>
        <v>0</v>
      </c>
      <c r="CU40" s="319">
        <f>IF($BI40&lt;&gt;"",IF('Capacity summary'!$D$14="Yes",IF(COUNTBLANK('Capacity summary'!$H159:$BG159)&lt;52,IF('Capacity summary'!AR159&lt;&gt;"",$BI40*AR40,0),AR40*$BI40),AR40*$BI40),0)</f>
        <v>0</v>
      </c>
      <c r="CV40" s="319">
        <f>IF($BI40&lt;&gt;"",IF('Capacity summary'!$D$14="Yes",IF(COUNTBLANK('Capacity summary'!$H159:$BG159)&lt;52,IF('Capacity summary'!AS159&lt;&gt;"",$BI40*AS40,0),AS40*$BI40),AS40*$BI40),0)</f>
        <v>0</v>
      </c>
      <c r="CW40" s="319">
        <f>IF($BI40&lt;&gt;"",IF('Capacity summary'!$D$14="Yes",IF(COUNTBLANK('Capacity summary'!$H159:$BG159)&lt;52,IF('Capacity summary'!AT159&lt;&gt;"",$BI40*AT40,0),AT40*$BI40),AT40*$BI40),0)</f>
        <v>0</v>
      </c>
      <c r="CX40" s="319">
        <f>IF($BI40&lt;&gt;"",IF('Capacity summary'!$D$14="Yes",IF(COUNTBLANK('Capacity summary'!$H159:$BG159)&lt;52,IF('Capacity summary'!AU159&lt;&gt;"",$BI40*AU40,0),AU40*$BI40),AU40*$BI40),0)</f>
        <v>0</v>
      </c>
      <c r="CY40" s="319">
        <f>IF($BI40&lt;&gt;"",IF('Capacity summary'!$D$14="Yes",IF(COUNTBLANK('Capacity summary'!$H159:$BG159)&lt;52,IF('Capacity summary'!AV159&lt;&gt;"",$BI40*AV40,0),AV40*$BI40),AV40*$BI40),0)</f>
        <v>0</v>
      </c>
      <c r="CZ40" s="319">
        <f>IF($BI40&lt;&gt;"",IF('Capacity summary'!$D$14="Yes",IF(COUNTBLANK('Capacity summary'!$H159:$BG159)&lt;52,IF('Capacity summary'!AW159&lt;&gt;"",$BI40*AW40,0),AW40*$BI40),AW40*$BI40),0)</f>
        <v>0</v>
      </c>
      <c r="DA40" s="319">
        <f>IF($BI40&lt;&gt;"",IF('Capacity summary'!$D$14="Yes",IF(COUNTBLANK('Capacity summary'!$H159:$BG159)&lt;52,IF('Capacity summary'!AX159&lt;&gt;"",$BI40*AX40,0),AX40*$BI40),AX40*$BI40),0)</f>
        <v>0</v>
      </c>
      <c r="DB40" s="319">
        <f>IF($BI40&lt;&gt;"",IF('Capacity summary'!$D$14="Yes",IF(COUNTBLANK('Capacity summary'!$H159:$BG159)&lt;52,IF('Capacity summary'!AY159&lt;&gt;"",$BI40*AY40,0),AY40*$BI40),AY40*$BI40),0)</f>
        <v>0</v>
      </c>
      <c r="DC40" s="319">
        <f>IF($BI40&lt;&gt;"",IF('Capacity summary'!$D$14="Yes",IF(COUNTBLANK('Capacity summary'!$H159:$BG159)&lt;52,IF('Capacity summary'!AZ159&lt;&gt;"",$BI40*AZ40,0),AZ40*$BI40),AZ40*$BI40),0)</f>
        <v>0</v>
      </c>
      <c r="DD40" s="319">
        <f>IF($BI40&lt;&gt;"",IF('Capacity summary'!$D$14="Yes",IF(COUNTBLANK('Capacity summary'!$H159:$BG159)&lt;52,IF('Capacity summary'!BA159&lt;&gt;"",$BI40*BA40,0),BA40*$BI40),BA40*$BI40),0)</f>
        <v>0</v>
      </c>
      <c r="DE40" s="319">
        <f>IF($BI40&lt;&gt;"",IF('Capacity summary'!$D$14="Yes",IF(COUNTBLANK('Capacity summary'!$H159:$BG159)&lt;52,IF('Capacity summary'!BB159&lt;&gt;"",$BI40*BB40,0),BB40*$BI40),BB40*$BI40),0)</f>
        <v>0</v>
      </c>
      <c r="DF40" s="319">
        <f>IF($BI40&lt;&gt;"",IF('Capacity summary'!$D$14="Yes",IF(COUNTBLANK('Capacity summary'!$H159:$BG159)&lt;52,IF('Capacity summary'!BC159&lt;&gt;"",$BI40*BC40,0),BC40*$BI40),BC40*$BI40),0)</f>
        <v>0</v>
      </c>
      <c r="DG40" s="319">
        <f>IF($BI40&lt;&gt;"",IF('Capacity summary'!$D$14="Yes",IF(COUNTBLANK('Capacity summary'!$H159:$BG159)&lt;52,IF('Capacity summary'!BD159&lt;&gt;"",$BI40*BD40,0),BD40*$BI40),BD40*$BI40),0)</f>
        <v>0</v>
      </c>
      <c r="DH40" s="319">
        <f>IF($BI40&lt;&gt;"",IF('Capacity summary'!$D$14="Yes",IF(COUNTBLANK('Capacity summary'!$H159:$BG159)&lt;52,IF('Capacity summary'!BE159&lt;&gt;"",$BI40*BE40,0),BE40*$BI40),BE40*$BI40),0)</f>
        <v>0</v>
      </c>
      <c r="DI40" s="319">
        <f>IF($BI40&lt;&gt;"",IF('Capacity summary'!$D$14="Yes",IF(COUNTBLANK('Capacity summary'!$H159:$BG159)&lt;52,IF('Capacity summary'!BF159&lt;&gt;"",$BI40*BF40,0),BF40*$BI40),BF40*$BI40),0)</f>
        <v>0</v>
      </c>
      <c r="DJ40" s="319">
        <f>IF($BI40&lt;&gt;"",IF('Capacity summary'!$D$14="Yes",IF(COUNTBLANK('Capacity summary'!$H159:$BG159)&lt;52,IF('Capacity summary'!BG159&lt;&gt;"",$BI40*BG40,0),BG40*$BI40),BG40*$BI40),0)</f>
        <v>0</v>
      </c>
      <c r="DK40" s="5">
        <f t="shared" si="2"/>
        <v>0</v>
      </c>
      <c r="DL40" s="5" t="str">
        <f>Capacity!H52</f>
        <v/>
      </c>
      <c r="DP40" s="5"/>
    </row>
    <row r="41" spans="2:120" x14ac:dyDescent="0.2">
      <c r="B41" s="68"/>
      <c r="C41" s="68" t="str">
        <f>ROW(A37)&amp;". "&amp;Capacity!B53</f>
        <v xml:space="preserve">37. </v>
      </c>
      <c r="D41" s="68">
        <f>'Capacity setup'!C48</f>
        <v>0</v>
      </c>
      <c r="E41" s="68">
        <f>'Capacity setup'!D48</f>
        <v>0</v>
      </c>
      <c r="F41" s="68">
        <f>'Capacity setup'!E48</f>
        <v>0</v>
      </c>
      <c r="H41" s="68">
        <f ca="1">IF(AND(SUMIF(Capacity_Resource,$D41,'Critical resources (hide)'!U$6:U$105)+SUMIF(Capacity_Resource,$E41,'Critical resources (hide)'!U$6:U$105)+SUMIF(Capacity_Resource,$F41,'Critical resources (hide)'!U$6:U$105)&gt;0,$E$1=2),0,1)</f>
        <v>1</v>
      </c>
      <c r="I41" s="68">
        <f ca="1">IF(AND(SUMIF(Capacity_Resource,$D41,'Critical resources (hide)'!V$6:V$105)+SUMIF(Capacity_Resource,$E41,'Critical resources (hide)'!V$6:V$105)+SUMIF(Capacity_Resource,$F41,'Critical resources (hide)'!V$6:V$105)&gt;0,$E$1=2),0,1)</f>
        <v>1</v>
      </c>
      <c r="J41" s="68">
        <f ca="1">IF(AND(SUMIF(Capacity_Resource,$D41,'Critical resources (hide)'!W$6:W$105)+SUMIF(Capacity_Resource,$E41,'Critical resources (hide)'!W$6:W$105)+SUMIF(Capacity_Resource,$F41,'Critical resources (hide)'!W$6:W$105)&gt;0,$E$1=2),0,1)</f>
        <v>1</v>
      </c>
      <c r="K41" s="68">
        <f ca="1">IF(AND(SUMIF(Capacity_Resource,$D41,'Critical resources (hide)'!X$6:X$105)+SUMIF(Capacity_Resource,$E41,'Critical resources (hide)'!X$6:X$105)+SUMIF(Capacity_Resource,$F41,'Critical resources (hide)'!X$6:X$105)&gt;0,$E$1=2),0,1)</f>
        <v>1</v>
      </c>
      <c r="L41" s="68">
        <f ca="1">IF(AND(SUMIF(Capacity_Resource,$D41,'Critical resources (hide)'!Y$6:Y$105)+SUMIF(Capacity_Resource,$E41,'Critical resources (hide)'!Y$6:Y$105)+SUMIF(Capacity_Resource,$F41,'Critical resources (hide)'!Y$6:Y$105)&gt;0,$E$1=2),0,1)</f>
        <v>1</v>
      </c>
      <c r="M41" s="68">
        <f ca="1">IF(AND(SUMIF(Capacity_Resource,$D41,'Critical resources (hide)'!Z$6:Z$105)+SUMIF(Capacity_Resource,$E41,'Critical resources (hide)'!Z$6:Z$105)+SUMIF(Capacity_Resource,$F41,'Critical resources (hide)'!Z$6:Z$105)&gt;0,$E$1=2),0,1)</f>
        <v>1</v>
      </c>
      <c r="N41" s="68">
        <f ca="1">IF(AND(SUMIF(Capacity_Resource,$D41,'Critical resources (hide)'!AA$6:AA$105)+SUMIF(Capacity_Resource,$E41,'Critical resources (hide)'!AA$6:AA$105)+SUMIF(Capacity_Resource,$F41,'Critical resources (hide)'!AA$6:AA$105)&gt;0,$E$1=2),0,1)</f>
        <v>1</v>
      </c>
      <c r="O41" s="68">
        <f ca="1">IF(AND(SUMIF(Capacity_Resource,$D41,'Critical resources (hide)'!AB$6:AB$105)+SUMIF(Capacity_Resource,$E41,'Critical resources (hide)'!AB$6:AB$105)+SUMIF(Capacity_Resource,$F41,'Critical resources (hide)'!AB$6:AB$105)&gt;0,$E$1=2),0,1)</f>
        <v>1</v>
      </c>
      <c r="P41" s="68">
        <f ca="1">IF(AND(SUMIF(Capacity_Resource,$D41,'Critical resources (hide)'!AC$6:AC$105)+SUMIF(Capacity_Resource,$E41,'Critical resources (hide)'!AC$6:AC$105)+SUMIF(Capacity_Resource,$F41,'Critical resources (hide)'!AC$6:AC$105)&gt;0,$E$1=2),0,1)</f>
        <v>1</v>
      </c>
      <c r="Q41" s="68">
        <f ca="1">IF(AND(SUMIF(Capacity_Resource,$D41,'Critical resources (hide)'!AD$6:AD$105)+SUMIF(Capacity_Resource,$E41,'Critical resources (hide)'!AD$6:AD$105)+SUMIF(Capacity_Resource,$F41,'Critical resources (hide)'!AD$6:AD$105)&gt;0,$E$1=2),0,1)</f>
        <v>1</v>
      </c>
      <c r="R41" s="68">
        <f ca="1">IF(AND(SUMIF(Capacity_Resource,$D41,'Critical resources (hide)'!AE$6:AE$105)+SUMIF(Capacity_Resource,$E41,'Critical resources (hide)'!AE$6:AE$105)+SUMIF(Capacity_Resource,$F41,'Critical resources (hide)'!AE$6:AE$105)&gt;0,$E$1=2),0,1)</f>
        <v>1</v>
      </c>
      <c r="S41" s="68">
        <f ca="1">IF(AND(SUMIF(Capacity_Resource,$D41,'Critical resources (hide)'!AF$6:AF$105)+SUMIF(Capacity_Resource,$E41,'Critical resources (hide)'!AF$6:AF$105)+SUMIF(Capacity_Resource,$F41,'Critical resources (hide)'!AF$6:AF$105)&gt;0,$E$1=2),0,1)</f>
        <v>1</v>
      </c>
      <c r="T41" s="68">
        <f ca="1">IF(AND(SUMIF(Capacity_Resource,$D41,'Critical resources (hide)'!AG$6:AG$105)+SUMIF(Capacity_Resource,$E41,'Critical resources (hide)'!AG$6:AG$105)+SUMIF(Capacity_Resource,$F41,'Critical resources (hide)'!AG$6:AG$105)&gt;0,$E$1=2),0,1)</f>
        <v>1</v>
      </c>
      <c r="U41" s="68">
        <f ca="1">IF(AND(SUMIF(Capacity_Resource,$D41,'Critical resources (hide)'!AH$6:AH$105)+SUMIF(Capacity_Resource,$E41,'Critical resources (hide)'!AH$6:AH$105)+SUMIF(Capacity_Resource,$F41,'Critical resources (hide)'!AH$6:AH$105)&gt;0,$E$1=2),0,1)</f>
        <v>1</v>
      </c>
      <c r="V41" s="68">
        <f ca="1">IF(AND(SUMIF(Capacity_Resource,$D41,'Critical resources (hide)'!AI$6:AI$105)+SUMIF(Capacity_Resource,$E41,'Critical resources (hide)'!AI$6:AI$105)+SUMIF(Capacity_Resource,$F41,'Critical resources (hide)'!AI$6:AI$105)&gt;0,$E$1=2),0,1)</f>
        <v>1</v>
      </c>
      <c r="W41" s="68">
        <f ca="1">IF(AND(SUMIF(Capacity_Resource,$D41,'Critical resources (hide)'!AJ$6:AJ$105)+SUMIF(Capacity_Resource,$E41,'Critical resources (hide)'!AJ$6:AJ$105)+SUMIF(Capacity_Resource,$F41,'Critical resources (hide)'!AJ$6:AJ$105)&gt;0,$E$1=2),0,1)</f>
        <v>1</v>
      </c>
      <c r="X41" s="68">
        <f ca="1">IF(AND(SUMIF(Capacity_Resource,$D41,'Critical resources (hide)'!AK$6:AK$105)+SUMIF(Capacity_Resource,$E41,'Critical resources (hide)'!AK$6:AK$105)+SUMIF(Capacity_Resource,$F41,'Critical resources (hide)'!AK$6:AK$105)&gt;0,$E$1=2),0,1)</f>
        <v>1</v>
      </c>
      <c r="Y41" s="68">
        <f ca="1">IF(AND(SUMIF(Capacity_Resource,$D41,'Critical resources (hide)'!AL$6:AL$105)+SUMIF(Capacity_Resource,$E41,'Critical resources (hide)'!AL$6:AL$105)+SUMIF(Capacity_Resource,$F41,'Critical resources (hide)'!AL$6:AL$105)&gt;0,$E$1=2),0,1)</f>
        <v>1</v>
      </c>
      <c r="Z41" s="68">
        <f ca="1">IF(AND(SUMIF(Capacity_Resource,$D41,'Critical resources (hide)'!AM$6:AM$105)+SUMIF(Capacity_Resource,$E41,'Critical resources (hide)'!AM$6:AM$105)+SUMIF(Capacity_Resource,$F41,'Critical resources (hide)'!AM$6:AM$105)&gt;0,$E$1=2),0,1)</f>
        <v>1</v>
      </c>
      <c r="AA41" s="68">
        <f ca="1">IF(AND(SUMIF(Capacity_Resource,$D41,'Critical resources (hide)'!AN$6:AN$105)+SUMIF(Capacity_Resource,$E41,'Critical resources (hide)'!AN$6:AN$105)+SUMIF(Capacity_Resource,$F41,'Critical resources (hide)'!AN$6:AN$105)&gt;0,$E$1=2),0,1)</f>
        <v>1</v>
      </c>
      <c r="AB41" s="68">
        <f ca="1">IF(AND(SUMIF(Capacity_Resource,$D41,'Critical resources (hide)'!AO$6:AO$105)+SUMIF(Capacity_Resource,$E41,'Critical resources (hide)'!AO$6:AO$105)+SUMIF(Capacity_Resource,$F41,'Critical resources (hide)'!AO$6:AO$105)&gt;0,$E$1=2),0,1)</f>
        <v>1</v>
      </c>
      <c r="AC41" s="68">
        <f ca="1">IF(AND(SUMIF(Capacity_Resource,$D41,'Critical resources (hide)'!AP$6:AP$105)+SUMIF(Capacity_Resource,$E41,'Critical resources (hide)'!AP$6:AP$105)+SUMIF(Capacity_Resource,$F41,'Critical resources (hide)'!AP$6:AP$105)&gt;0,$E$1=2),0,1)</f>
        <v>1</v>
      </c>
      <c r="AD41" s="68">
        <f ca="1">IF(AND(SUMIF(Capacity_Resource,$D41,'Critical resources (hide)'!AQ$6:AQ$105)+SUMIF(Capacity_Resource,$E41,'Critical resources (hide)'!AQ$6:AQ$105)+SUMIF(Capacity_Resource,$F41,'Critical resources (hide)'!AQ$6:AQ$105)&gt;0,$E$1=2),0,1)</f>
        <v>1</v>
      </c>
      <c r="AE41" s="68">
        <f ca="1">IF(AND(SUMIF(Capacity_Resource,$D41,'Critical resources (hide)'!AR$6:AR$105)+SUMIF(Capacity_Resource,$E41,'Critical resources (hide)'!AR$6:AR$105)+SUMIF(Capacity_Resource,$F41,'Critical resources (hide)'!AR$6:AR$105)&gt;0,$E$1=2),0,1)</f>
        <v>1</v>
      </c>
      <c r="AF41" s="68">
        <f ca="1">IF(AND(SUMIF(Capacity_Resource,$D41,'Critical resources (hide)'!AS$6:AS$105)+SUMIF(Capacity_Resource,$E41,'Critical resources (hide)'!AS$6:AS$105)+SUMIF(Capacity_Resource,$F41,'Critical resources (hide)'!AS$6:AS$105)&gt;0,$E$1=2),0,1)</f>
        <v>1</v>
      </c>
      <c r="AG41" s="68">
        <f ca="1">IF(AND(SUMIF(Capacity_Resource,$D41,'Critical resources (hide)'!AT$6:AT$105)+SUMIF(Capacity_Resource,$E41,'Critical resources (hide)'!AT$6:AT$105)+SUMIF(Capacity_Resource,$F41,'Critical resources (hide)'!AT$6:AT$105)&gt;0,$E$1=2),0,1)</f>
        <v>1</v>
      </c>
      <c r="AH41" s="68">
        <f ca="1">IF(AND(SUMIF(Capacity_Resource,$D41,'Critical resources (hide)'!AU$6:AU$105)+SUMIF(Capacity_Resource,$E41,'Critical resources (hide)'!AU$6:AU$105)+SUMIF(Capacity_Resource,$F41,'Critical resources (hide)'!AU$6:AU$105)&gt;0,$E$1=2),0,1)</f>
        <v>1</v>
      </c>
      <c r="AI41" s="68">
        <f ca="1">IF(AND(SUMIF(Capacity_Resource,$D41,'Critical resources (hide)'!AV$6:AV$105)+SUMIF(Capacity_Resource,$E41,'Critical resources (hide)'!AV$6:AV$105)+SUMIF(Capacity_Resource,$F41,'Critical resources (hide)'!AV$6:AV$105)&gt;0,$E$1=2),0,1)</f>
        <v>1</v>
      </c>
      <c r="AJ41" s="68">
        <f ca="1">IF(AND(SUMIF(Capacity_Resource,$D41,'Critical resources (hide)'!AW$6:AW$105)+SUMIF(Capacity_Resource,$E41,'Critical resources (hide)'!AW$6:AW$105)+SUMIF(Capacity_Resource,$F41,'Critical resources (hide)'!AW$6:AW$105)&gt;0,$E$1=2),0,1)</f>
        <v>1</v>
      </c>
      <c r="AK41" s="68">
        <f ca="1">IF(AND(SUMIF(Capacity_Resource,$D41,'Critical resources (hide)'!AX$6:AX$105)+SUMIF(Capacity_Resource,$E41,'Critical resources (hide)'!AX$6:AX$105)+SUMIF(Capacity_Resource,$F41,'Critical resources (hide)'!AX$6:AX$105)&gt;0,$E$1=2),0,1)</f>
        <v>1</v>
      </c>
      <c r="AL41" s="68">
        <f ca="1">IF(AND(SUMIF(Capacity_Resource,$D41,'Critical resources (hide)'!AY$6:AY$105)+SUMIF(Capacity_Resource,$E41,'Critical resources (hide)'!AY$6:AY$105)+SUMIF(Capacity_Resource,$F41,'Critical resources (hide)'!AY$6:AY$105)&gt;0,$E$1=2),0,1)</f>
        <v>1</v>
      </c>
      <c r="AM41" s="68">
        <f ca="1">IF(AND(SUMIF(Capacity_Resource,$D41,'Critical resources (hide)'!AZ$6:AZ$105)+SUMIF(Capacity_Resource,$E41,'Critical resources (hide)'!AZ$6:AZ$105)+SUMIF(Capacity_Resource,$F41,'Critical resources (hide)'!AZ$6:AZ$105)&gt;0,$E$1=2),0,1)</f>
        <v>1</v>
      </c>
      <c r="AN41" s="68">
        <f ca="1">IF(AND(SUMIF(Capacity_Resource,$D41,'Critical resources (hide)'!BA$6:BA$105)+SUMIF(Capacity_Resource,$E41,'Critical resources (hide)'!BA$6:BA$105)+SUMIF(Capacity_Resource,$F41,'Critical resources (hide)'!BA$6:BA$105)&gt;0,$E$1=2),0,1)</f>
        <v>1</v>
      </c>
      <c r="AO41" s="68">
        <f ca="1">IF(AND(SUMIF(Capacity_Resource,$D41,'Critical resources (hide)'!BB$6:BB$105)+SUMIF(Capacity_Resource,$E41,'Critical resources (hide)'!BB$6:BB$105)+SUMIF(Capacity_Resource,$F41,'Critical resources (hide)'!BB$6:BB$105)&gt;0,$E$1=2),0,1)</f>
        <v>1</v>
      </c>
      <c r="AP41" s="68">
        <f ca="1">IF(AND(SUMIF(Capacity_Resource,$D41,'Critical resources (hide)'!BC$6:BC$105)+SUMIF(Capacity_Resource,$E41,'Critical resources (hide)'!BC$6:BC$105)+SUMIF(Capacity_Resource,$F41,'Critical resources (hide)'!BC$6:BC$105)&gt;0,$E$1=2),0,1)</f>
        <v>1</v>
      </c>
      <c r="AQ41" s="68">
        <f ca="1">IF(AND(SUMIF(Capacity_Resource,$D41,'Critical resources (hide)'!BD$6:BD$105)+SUMIF(Capacity_Resource,$E41,'Critical resources (hide)'!BD$6:BD$105)+SUMIF(Capacity_Resource,$F41,'Critical resources (hide)'!BD$6:BD$105)&gt;0,$E$1=2),0,1)</f>
        <v>1</v>
      </c>
      <c r="AR41" s="68">
        <f ca="1">IF(AND(SUMIF(Capacity_Resource,$D41,'Critical resources (hide)'!BE$6:BE$105)+SUMIF(Capacity_Resource,$E41,'Critical resources (hide)'!BE$6:BE$105)+SUMIF(Capacity_Resource,$F41,'Critical resources (hide)'!BE$6:BE$105)&gt;0,$E$1=2),0,1)</f>
        <v>1</v>
      </c>
      <c r="AS41" s="68">
        <f ca="1">IF(AND(SUMIF(Capacity_Resource,$D41,'Critical resources (hide)'!BF$6:BF$105)+SUMIF(Capacity_Resource,$E41,'Critical resources (hide)'!BF$6:BF$105)+SUMIF(Capacity_Resource,$F41,'Critical resources (hide)'!BF$6:BF$105)&gt;0,$E$1=2),0,1)</f>
        <v>1</v>
      </c>
      <c r="AT41" s="68">
        <f ca="1">IF(AND(SUMIF(Capacity_Resource,$D41,'Critical resources (hide)'!BG$6:BG$105)+SUMIF(Capacity_Resource,$E41,'Critical resources (hide)'!BG$6:BG$105)+SUMIF(Capacity_Resource,$F41,'Critical resources (hide)'!BG$6:BG$105)&gt;0,$E$1=2),0,1)</f>
        <v>1</v>
      </c>
      <c r="AU41" s="68">
        <f ca="1">IF(AND(SUMIF(Capacity_Resource,$D41,'Critical resources (hide)'!BH$6:BH$105)+SUMIF(Capacity_Resource,$E41,'Critical resources (hide)'!BH$6:BH$105)+SUMIF(Capacity_Resource,$F41,'Critical resources (hide)'!BH$6:BH$105)&gt;0,$E$1=2),0,1)</f>
        <v>1</v>
      </c>
      <c r="AV41" s="68">
        <f ca="1">IF(AND(SUMIF(Capacity_Resource,$D41,'Critical resources (hide)'!BI$6:BI$105)+SUMIF(Capacity_Resource,$E41,'Critical resources (hide)'!BI$6:BI$105)+SUMIF(Capacity_Resource,$F41,'Critical resources (hide)'!BI$6:BI$105)&gt;0,$E$1=2),0,1)</f>
        <v>1</v>
      </c>
      <c r="AW41" s="68">
        <f ca="1">IF(AND(SUMIF(Capacity_Resource,$D41,'Critical resources (hide)'!BJ$6:BJ$105)+SUMIF(Capacity_Resource,$E41,'Critical resources (hide)'!BJ$6:BJ$105)+SUMIF(Capacity_Resource,$F41,'Critical resources (hide)'!BJ$6:BJ$105)&gt;0,$E$1=2),0,1)</f>
        <v>1</v>
      </c>
      <c r="AX41" s="68">
        <f ca="1">IF(AND(SUMIF(Capacity_Resource,$D41,'Critical resources (hide)'!BK$6:BK$105)+SUMIF(Capacity_Resource,$E41,'Critical resources (hide)'!BK$6:BK$105)+SUMIF(Capacity_Resource,$F41,'Critical resources (hide)'!BK$6:BK$105)&gt;0,$E$1=2),0,1)</f>
        <v>1</v>
      </c>
      <c r="AY41" s="68">
        <f ca="1">IF(AND(SUMIF(Capacity_Resource,$D41,'Critical resources (hide)'!BL$6:BL$105)+SUMIF(Capacity_Resource,$E41,'Critical resources (hide)'!BL$6:BL$105)+SUMIF(Capacity_Resource,$F41,'Critical resources (hide)'!BL$6:BL$105)&gt;0,$E$1=2),0,1)</f>
        <v>1</v>
      </c>
      <c r="AZ41" s="68">
        <f ca="1">IF(AND(SUMIF(Capacity_Resource,$D41,'Critical resources (hide)'!BM$6:BM$105)+SUMIF(Capacity_Resource,$E41,'Critical resources (hide)'!BM$6:BM$105)+SUMIF(Capacity_Resource,$F41,'Critical resources (hide)'!BM$6:BM$105)&gt;0,$E$1=2),0,1)</f>
        <v>1</v>
      </c>
      <c r="BA41" s="68">
        <f ca="1">IF(AND(SUMIF(Capacity_Resource,$D41,'Critical resources (hide)'!BN$6:BN$105)+SUMIF(Capacity_Resource,$E41,'Critical resources (hide)'!BN$6:BN$105)+SUMIF(Capacity_Resource,$F41,'Critical resources (hide)'!BN$6:BN$105)&gt;0,$E$1=2),0,1)</f>
        <v>1</v>
      </c>
      <c r="BB41" s="68">
        <f ca="1">IF(AND(SUMIF(Capacity_Resource,$D41,'Critical resources (hide)'!BO$6:BO$105)+SUMIF(Capacity_Resource,$E41,'Critical resources (hide)'!BO$6:BO$105)+SUMIF(Capacity_Resource,$F41,'Critical resources (hide)'!BO$6:BO$105)&gt;0,$E$1=2),0,1)</f>
        <v>1</v>
      </c>
      <c r="BC41" s="68">
        <f ca="1">IF(AND(SUMIF(Capacity_Resource,$D41,'Critical resources (hide)'!BP$6:BP$105)+SUMIF(Capacity_Resource,$E41,'Critical resources (hide)'!BP$6:BP$105)+SUMIF(Capacity_Resource,$F41,'Critical resources (hide)'!BP$6:BP$105)&gt;0,$E$1=2),0,1)</f>
        <v>1</v>
      </c>
      <c r="BD41" s="68">
        <f ca="1">IF(AND(SUMIF(Capacity_Resource,$D41,'Critical resources (hide)'!BQ$6:BQ$105)+SUMIF(Capacity_Resource,$E41,'Critical resources (hide)'!BQ$6:BQ$105)+SUMIF(Capacity_Resource,$F41,'Critical resources (hide)'!BQ$6:BQ$105)&gt;0,$E$1=2),0,1)</f>
        <v>1</v>
      </c>
      <c r="BE41" s="68">
        <f ca="1">IF(AND(SUMIF(Capacity_Resource,$D41,'Critical resources (hide)'!BR$6:BR$105)+SUMIF(Capacity_Resource,$E41,'Critical resources (hide)'!BR$6:BR$105)+SUMIF(Capacity_Resource,$F41,'Critical resources (hide)'!BR$6:BR$105)&gt;0,$E$1=2),0,1)</f>
        <v>1</v>
      </c>
      <c r="BF41" s="68">
        <f ca="1">IF(AND(SUMIF(Capacity_Resource,$D41,'Critical resources (hide)'!BS$6:BS$105)+SUMIF(Capacity_Resource,$E41,'Critical resources (hide)'!BS$6:BS$105)+SUMIF(Capacity_Resource,$F41,'Critical resources (hide)'!BS$6:BS$105)&gt;0,$E$1=2),0,1)</f>
        <v>1</v>
      </c>
      <c r="BG41" s="68">
        <f ca="1">IF(AND(SUMIF(Capacity_Resource,$D41,'Critical resources (hide)'!BT$6:BT$105)+SUMIF(Capacity_Resource,$E41,'Critical resources (hide)'!BT$6:BT$105)+SUMIF(Capacity_Resource,$F41,'Critical resources (hide)'!BT$6:BT$105)&gt;0,$E$1=2),0,1)</f>
        <v>1</v>
      </c>
      <c r="BH41" s="68">
        <f>IF(ROW(C37)&lt;=Capacity!$A$16,IF('Capacity summary'!$D$14="No",SUM(H41:BG41),'Capacity summary'!$E160),0)</f>
        <v>0</v>
      </c>
      <c r="BI41" s="5" t="str">
        <f>IF(BH41&gt;0,IF(BH41&lt;Capacity!E53,Capacity!F53,Capacity!H53/'Capacity calculation (hide)'!BH41),"")</f>
        <v/>
      </c>
      <c r="BK41" s="319">
        <f>IF($BI41&lt;&gt;"",IF('Capacity summary'!$D$14="Yes",IF(COUNTBLANK('Capacity summary'!$H160:$BG160)&lt;52,IF('Capacity summary'!H160&lt;&gt;"",$BI41*H41,0),H41*$BI41),H41*$BI41),0)</f>
        <v>0</v>
      </c>
      <c r="BL41" s="319">
        <f>IF($BI41&lt;&gt;"",IF('Capacity summary'!$D$14="Yes",IF(COUNTBLANK('Capacity summary'!$H160:$BG160)&lt;52,IF('Capacity summary'!I160&lt;&gt;"",$BI41*I41,0),I41*$BI41),I41*$BI41),0)</f>
        <v>0</v>
      </c>
      <c r="BM41" s="319">
        <f>IF($BI41&lt;&gt;"",IF('Capacity summary'!$D$14="Yes",IF(COUNTBLANK('Capacity summary'!$H160:$BG160)&lt;52,IF('Capacity summary'!J160&lt;&gt;"",$BI41*J41,0),J41*$BI41),J41*$BI41),0)</f>
        <v>0</v>
      </c>
      <c r="BN41" s="319">
        <f>IF($BI41&lt;&gt;"",IF('Capacity summary'!$D$14="Yes",IF(COUNTBLANK('Capacity summary'!$H160:$BG160)&lt;52,IF('Capacity summary'!K160&lt;&gt;"",$BI41*K41,0),K41*$BI41),K41*$BI41),0)</f>
        <v>0</v>
      </c>
      <c r="BO41" s="319">
        <f>IF($BI41&lt;&gt;"",IF('Capacity summary'!$D$14="Yes",IF(COUNTBLANK('Capacity summary'!$H160:$BG160)&lt;52,IF('Capacity summary'!L160&lt;&gt;"",$BI41*L41,0),L41*$BI41),L41*$BI41),0)</f>
        <v>0</v>
      </c>
      <c r="BP41" s="319">
        <f>IF($BI41&lt;&gt;"",IF('Capacity summary'!$D$14="Yes",IF(COUNTBLANK('Capacity summary'!$H160:$BG160)&lt;52,IF('Capacity summary'!M160&lt;&gt;"",$BI41*M41,0),M41*$BI41),M41*$BI41),0)</f>
        <v>0</v>
      </c>
      <c r="BQ41" s="319">
        <f>IF($BI41&lt;&gt;"",IF('Capacity summary'!$D$14="Yes",IF(COUNTBLANK('Capacity summary'!$H160:$BG160)&lt;52,IF('Capacity summary'!N160&lt;&gt;"",$BI41*N41,0),N41*$BI41),N41*$BI41),0)</f>
        <v>0</v>
      </c>
      <c r="BR41" s="319">
        <f>IF($BI41&lt;&gt;"",IF('Capacity summary'!$D$14="Yes",IF(COUNTBLANK('Capacity summary'!$H160:$BG160)&lt;52,IF('Capacity summary'!O160&lt;&gt;"",$BI41*O41,0),O41*$BI41),O41*$BI41),0)</f>
        <v>0</v>
      </c>
      <c r="BS41" s="319">
        <f>IF($BI41&lt;&gt;"",IF('Capacity summary'!$D$14="Yes",IF(COUNTBLANK('Capacity summary'!$H160:$BG160)&lt;52,IF('Capacity summary'!P160&lt;&gt;"",$BI41*P41,0),P41*$BI41),P41*$BI41),0)</f>
        <v>0</v>
      </c>
      <c r="BT41" s="319">
        <f>IF($BI41&lt;&gt;"",IF('Capacity summary'!$D$14="Yes",IF(COUNTBLANK('Capacity summary'!$H160:$BG160)&lt;52,IF('Capacity summary'!Q160&lt;&gt;"",$BI41*Q41,0),Q41*$BI41),Q41*$BI41),0)</f>
        <v>0</v>
      </c>
      <c r="BU41" s="319">
        <f>IF($BI41&lt;&gt;"",IF('Capacity summary'!$D$14="Yes",IF(COUNTBLANK('Capacity summary'!$H160:$BG160)&lt;52,IF('Capacity summary'!R160&lt;&gt;"",$BI41*R41,0),R41*$BI41),R41*$BI41),0)</f>
        <v>0</v>
      </c>
      <c r="BV41" s="319">
        <f>IF($BI41&lt;&gt;"",IF('Capacity summary'!$D$14="Yes",IF(COUNTBLANK('Capacity summary'!$H160:$BG160)&lt;52,IF('Capacity summary'!S160&lt;&gt;"",$BI41*S41,0),S41*$BI41),S41*$BI41),0)</f>
        <v>0</v>
      </c>
      <c r="BW41" s="319">
        <f>IF($BI41&lt;&gt;"",IF('Capacity summary'!$D$14="Yes",IF(COUNTBLANK('Capacity summary'!$H160:$BG160)&lt;52,IF('Capacity summary'!T160&lt;&gt;"",$BI41*T41,0),T41*$BI41),T41*$BI41),0)</f>
        <v>0</v>
      </c>
      <c r="BX41" s="319">
        <f>IF($BI41&lt;&gt;"",IF('Capacity summary'!$D$14="Yes",IF(COUNTBLANK('Capacity summary'!$H160:$BG160)&lt;52,IF('Capacity summary'!U160&lt;&gt;"",$BI41*U41,0),U41*$BI41),U41*$BI41),0)</f>
        <v>0</v>
      </c>
      <c r="BY41" s="319">
        <f>IF($BI41&lt;&gt;"",IF('Capacity summary'!$D$14="Yes",IF(COUNTBLANK('Capacity summary'!$H160:$BG160)&lt;52,IF('Capacity summary'!V160&lt;&gt;"",$BI41*V41,0),V41*$BI41),V41*$BI41),0)</f>
        <v>0</v>
      </c>
      <c r="BZ41" s="319">
        <f>IF($BI41&lt;&gt;"",IF('Capacity summary'!$D$14="Yes",IF(COUNTBLANK('Capacity summary'!$H160:$BG160)&lt;52,IF('Capacity summary'!W160&lt;&gt;"",$BI41*W41,0),W41*$BI41),W41*$BI41),0)</f>
        <v>0</v>
      </c>
      <c r="CA41" s="319">
        <f>IF($BI41&lt;&gt;"",IF('Capacity summary'!$D$14="Yes",IF(COUNTBLANK('Capacity summary'!$H160:$BG160)&lt;52,IF('Capacity summary'!X160&lt;&gt;"",$BI41*X41,0),X41*$BI41),X41*$BI41),0)</f>
        <v>0</v>
      </c>
      <c r="CB41" s="319">
        <f>IF($BI41&lt;&gt;"",IF('Capacity summary'!$D$14="Yes",IF(COUNTBLANK('Capacity summary'!$H160:$BG160)&lt;52,IF('Capacity summary'!Y160&lt;&gt;"",$BI41*Y41,0),Y41*$BI41),Y41*$BI41),0)</f>
        <v>0</v>
      </c>
      <c r="CC41" s="319">
        <f>IF($BI41&lt;&gt;"",IF('Capacity summary'!$D$14="Yes",IF(COUNTBLANK('Capacity summary'!$H160:$BG160)&lt;52,IF('Capacity summary'!Z160&lt;&gt;"",$BI41*Z41,0),Z41*$BI41),Z41*$BI41),0)</f>
        <v>0</v>
      </c>
      <c r="CD41" s="319">
        <f>IF($BI41&lt;&gt;"",IF('Capacity summary'!$D$14="Yes",IF(COUNTBLANK('Capacity summary'!$H160:$BG160)&lt;52,IF('Capacity summary'!AA160&lt;&gt;"",$BI41*AA41,0),AA41*$BI41),AA41*$BI41),0)</f>
        <v>0</v>
      </c>
      <c r="CE41" s="319">
        <f>IF($BI41&lt;&gt;"",IF('Capacity summary'!$D$14="Yes",IF(COUNTBLANK('Capacity summary'!$H160:$BG160)&lt;52,IF('Capacity summary'!AB160&lt;&gt;"",$BI41*AB41,0),AB41*$BI41),AB41*$BI41),0)</f>
        <v>0</v>
      </c>
      <c r="CF41" s="319">
        <f>IF($BI41&lt;&gt;"",IF('Capacity summary'!$D$14="Yes",IF(COUNTBLANK('Capacity summary'!$H160:$BG160)&lt;52,IF('Capacity summary'!AC160&lt;&gt;"",$BI41*AC41,0),AC41*$BI41),AC41*$BI41),0)</f>
        <v>0</v>
      </c>
      <c r="CG41" s="319">
        <f>IF($BI41&lt;&gt;"",IF('Capacity summary'!$D$14="Yes",IF(COUNTBLANK('Capacity summary'!$H160:$BG160)&lt;52,IF('Capacity summary'!AD160&lt;&gt;"",$BI41*AD41,0),AD41*$BI41),AD41*$BI41),0)</f>
        <v>0</v>
      </c>
      <c r="CH41" s="319">
        <f>IF($BI41&lt;&gt;"",IF('Capacity summary'!$D$14="Yes",IF(COUNTBLANK('Capacity summary'!$H160:$BG160)&lt;52,IF('Capacity summary'!AE160&lt;&gt;"",$BI41*AE41,0),AE41*$BI41),AE41*$BI41),0)</f>
        <v>0</v>
      </c>
      <c r="CI41" s="319">
        <f>IF($BI41&lt;&gt;"",IF('Capacity summary'!$D$14="Yes",IF(COUNTBLANK('Capacity summary'!$H160:$BG160)&lt;52,IF('Capacity summary'!AF160&lt;&gt;"",$BI41*AF41,0),AF41*$BI41),AF41*$BI41),0)</f>
        <v>0</v>
      </c>
      <c r="CJ41" s="319">
        <f>IF($BI41&lt;&gt;"",IF('Capacity summary'!$D$14="Yes",IF(COUNTBLANK('Capacity summary'!$H160:$BG160)&lt;52,IF('Capacity summary'!AG160&lt;&gt;"",$BI41*AG41,0),AG41*$BI41),AG41*$BI41),0)</f>
        <v>0</v>
      </c>
      <c r="CK41" s="319">
        <f>IF($BI41&lt;&gt;"",IF('Capacity summary'!$D$14="Yes",IF(COUNTBLANK('Capacity summary'!$H160:$BG160)&lt;52,IF('Capacity summary'!AH160&lt;&gt;"",$BI41*AH41,0),AH41*$BI41),AH41*$BI41),0)</f>
        <v>0</v>
      </c>
      <c r="CL41" s="319">
        <f>IF($BI41&lt;&gt;"",IF('Capacity summary'!$D$14="Yes",IF(COUNTBLANK('Capacity summary'!$H160:$BG160)&lt;52,IF('Capacity summary'!AI160&lt;&gt;"",$BI41*AI41,0),AI41*$BI41),AI41*$BI41),0)</f>
        <v>0</v>
      </c>
      <c r="CM41" s="319">
        <f>IF($BI41&lt;&gt;"",IF('Capacity summary'!$D$14="Yes",IF(COUNTBLANK('Capacity summary'!$H160:$BG160)&lt;52,IF('Capacity summary'!AJ160&lt;&gt;"",$BI41*AJ41,0),AJ41*$BI41),AJ41*$BI41),0)</f>
        <v>0</v>
      </c>
      <c r="CN41" s="319">
        <f>IF($BI41&lt;&gt;"",IF('Capacity summary'!$D$14="Yes",IF(COUNTBLANK('Capacity summary'!$H160:$BG160)&lt;52,IF('Capacity summary'!AK160&lt;&gt;"",$BI41*AK41,0),AK41*$BI41),AK41*$BI41),0)</f>
        <v>0</v>
      </c>
      <c r="CO41" s="319">
        <f>IF($BI41&lt;&gt;"",IF('Capacity summary'!$D$14="Yes",IF(COUNTBLANK('Capacity summary'!$H160:$BG160)&lt;52,IF('Capacity summary'!AL160&lt;&gt;"",$BI41*AL41,0),AL41*$BI41),AL41*$BI41),0)</f>
        <v>0</v>
      </c>
      <c r="CP41" s="319">
        <f>IF($BI41&lt;&gt;"",IF('Capacity summary'!$D$14="Yes",IF(COUNTBLANK('Capacity summary'!$H160:$BG160)&lt;52,IF('Capacity summary'!AM160&lt;&gt;"",$BI41*AM41,0),AM41*$BI41),AM41*$BI41),0)</f>
        <v>0</v>
      </c>
      <c r="CQ41" s="319">
        <f>IF($BI41&lt;&gt;"",IF('Capacity summary'!$D$14="Yes",IF(COUNTBLANK('Capacity summary'!$H160:$BG160)&lt;52,IF('Capacity summary'!AN160&lt;&gt;"",$BI41*AN41,0),AN41*$BI41),AN41*$BI41),0)</f>
        <v>0</v>
      </c>
      <c r="CR41" s="319">
        <f>IF($BI41&lt;&gt;"",IF('Capacity summary'!$D$14="Yes",IF(COUNTBLANK('Capacity summary'!$H160:$BG160)&lt;52,IF('Capacity summary'!AO160&lt;&gt;"",$BI41*AO41,0),AO41*$BI41),AO41*$BI41),0)</f>
        <v>0</v>
      </c>
      <c r="CS41" s="319">
        <f>IF($BI41&lt;&gt;"",IF('Capacity summary'!$D$14="Yes",IF(COUNTBLANK('Capacity summary'!$H160:$BG160)&lt;52,IF('Capacity summary'!AP160&lt;&gt;"",$BI41*AP41,0),AP41*$BI41),AP41*$BI41),0)</f>
        <v>0</v>
      </c>
      <c r="CT41" s="319">
        <f>IF($BI41&lt;&gt;"",IF('Capacity summary'!$D$14="Yes",IF(COUNTBLANK('Capacity summary'!$H160:$BG160)&lt;52,IF('Capacity summary'!AQ160&lt;&gt;"",$BI41*AQ41,0),AQ41*$BI41),AQ41*$BI41),0)</f>
        <v>0</v>
      </c>
      <c r="CU41" s="319">
        <f>IF($BI41&lt;&gt;"",IF('Capacity summary'!$D$14="Yes",IF(COUNTBLANK('Capacity summary'!$H160:$BG160)&lt;52,IF('Capacity summary'!AR160&lt;&gt;"",$BI41*AR41,0),AR41*$BI41),AR41*$BI41),0)</f>
        <v>0</v>
      </c>
      <c r="CV41" s="319">
        <f>IF($BI41&lt;&gt;"",IF('Capacity summary'!$D$14="Yes",IF(COUNTBLANK('Capacity summary'!$H160:$BG160)&lt;52,IF('Capacity summary'!AS160&lt;&gt;"",$BI41*AS41,0),AS41*$BI41),AS41*$BI41),0)</f>
        <v>0</v>
      </c>
      <c r="CW41" s="319">
        <f>IF($BI41&lt;&gt;"",IF('Capacity summary'!$D$14="Yes",IF(COUNTBLANK('Capacity summary'!$H160:$BG160)&lt;52,IF('Capacity summary'!AT160&lt;&gt;"",$BI41*AT41,0),AT41*$BI41),AT41*$BI41),0)</f>
        <v>0</v>
      </c>
      <c r="CX41" s="319">
        <f>IF($BI41&lt;&gt;"",IF('Capacity summary'!$D$14="Yes",IF(COUNTBLANK('Capacity summary'!$H160:$BG160)&lt;52,IF('Capacity summary'!AU160&lt;&gt;"",$BI41*AU41,0),AU41*$BI41),AU41*$BI41),0)</f>
        <v>0</v>
      </c>
      <c r="CY41" s="319">
        <f>IF($BI41&lt;&gt;"",IF('Capacity summary'!$D$14="Yes",IF(COUNTBLANK('Capacity summary'!$H160:$BG160)&lt;52,IF('Capacity summary'!AV160&lt;&gt;"",$BI41*AV41,0),AV41*$BI41),AV41*$BI41),0)</f>
        <v>0</v>
      </c>
      <c r="CZ41" s="319">
        <f>IF($BI41&lt;&gt;"",IF('Capacity summary'!$D$14="Yes",IF(COUNTBLANK('Capacity summary'!$H160:$BG160)&lt;52,IF('Capacity summary'!AW160&lt;&gt;"",$BI41*AW41,0),AW41*$BI41),AW41*$BI41),0)</f>
        <v>0</v>
      </c>
      <c r="DA41" s="319">
        <f>IF($BI41&lt;&gt;"",IF('Capacity summary'!$D$14="Yes",IF(COUNTBLANK('Capacity summary'!$H160:$BG160)&lt;52,IF('Capacity summary'!AX160&lt;&gt;"",$BI41*AX41,0),AX41*$BI41),AX41*$BI41),0)</f>
        <v>0</v>
      </c>
      <c r="DB41" s="319">
        <f>IF($BI41&lt;&gt;"",IF('Capacity summary'!$D$14="Yes",IF(COUNTBLANK('Capacity summary'!$H160:$BG160)&lt;52,IF('Capacity summary'!AY160&lt;&gt;"",$BI41*AY41,0),AY41*$BI41),AY41*$BI41),0)</f>
        <v>0</v>
      </c>
      <c r="DC41" s="319">
        <f>IF($BI41&lt;&gt;"",IF('Capacity summary'!$D$14="Yes",IF(COUNTBLANK('Capacity summary'!$H160:$BG160)&lt;52,IF('Capacity summary'!AZ160&lt;&gt;"",$BI41*AZ41,0),AZ41*$BI41),AZ41*$BI41),0)</f>
        <v>0</v>
      </c>
      <c r="DD41" s="319">
        <f>IF($BI41&lt;&gt;"",IF('Capacity summary'!$D$14="Yes",IF(COUNTBLANK('Capacity summary'!$H160:$BG160)&lt;52,IF('Capacity summary'!BA160&lt;&gt;"",$BI41*BA41,0),BA41*$BI41),BA41*$BI41),0)</f>
        <v>0</v>
      </c>
      <c r="DE41" s="319">
        <f>IF($BI41&lt;&gt;"",IF('Capacity summary'!$D$14="Yes",IF(COUNTBLANK('Capacity summary'!$H160:$BG160)&lt;52,IF('Capacity summary'!BB160&lt;&gt;"",$BI41*BB41,0),BB41*$BI41),BB41*$BI41),0)</f>
        <v>0</v>
      </c>
      <c r="DF41" s="319">
        <f>IF($BI41&lt;&gt;"",IF('Capacity summary'!$D$14="Yes",IF(COUNTBLANK('Capacity summary'!$H160:$BG160)&lt;52,IF('Capacity summary'!BC160&lt;&gt;"",$BI41*BC41,0),BC41*$BI41),BC41*$BI41),0)</f>
        <v>0</v>
      </c>
      <c r="DG41" s="319">
        <f>IF($BI41&lt;&gt;"",IF('Capacity summary'!$D$14="Yes",IF(COUNTBLANK('Capacity summary'!$H160:$BG160)&lt;52,IF('Capacity summary'!BD160&lt;&gt;"",$BI41*BD41,0),BD41*$BI41),BD41*$BI41),0)</f>
        <v>0</v>
      </c>
      <c r="DH41" s="319">
        <f>IF($BI41&lt;&gt;"",IF('Capacity summary'!$D$14="Yes",IF(COUNTBLANK('Capacity summary'!$H160:$BG160)&lt;52,IF('Capacity summary'!BE160&lt;&gt;"",$BI41*BE41,0),BE41*$BI41),BE41*$BI41),0)</f>
        <v>0</v>
      </c>
      <c r="DI41" s="319">
        <f>IF($BI41&lt;&gt;"",IF('Capacity summary'!$D$14="Yes",IF(COUNTBLANK('Capacity summary'!$H160:$BG160)&lt;52,IF('Capacity summary'!BF160&lt;&gt;"",$BI41*BF41,0),BF41*$BI41),BF41*$BI41),0)</f>
        <v>0</v>
      </c>
      <c r="DJ41" s="319">
        <f>IF($BI41&lt;&gt;"",IF('Capacity summary'!$D$14="Yes",IF(COUNTBLANK('Capacity summary'!$H160:$BG160)&lt;52,IF('Capacity summary'!BG160&lt;&gt;"",$BI41*BG41,0),BG41*$BI41),BG41*$BI41),0)</f>
        <v>0</v>
      </c>
      <c r="DK41" s="5">
        <f t="shared" si="2"/>
        <v>0</v>
      </c>
      <c r="DL41" s="5" t="str">
        <f>Capacity!H53</f>
        <v/>
      </c>
      <c r="DP41" s="5"/>
    </row>
    <row r="42" spans="2:120" x14ac:dyDescent="0.2">
      <c r="B42" s="68"/>
      <c r="C42" s="68" t="str">
        <f>ROW(A38)&amp;". "&amp;Capacity!B54</f>
        <v xml:space="preserve">38. </v>
      </c>
      <c r="D42" s="68">
        <f>'Capacity setup'!C49</f>
        <v>0</v>
      </c>
      <c r="E42" s="68">
        <f>'Capacity setup'!D49</f>
        <v>0</v>
      </c>
      <c r="F42" s="68">
        <f>'Capacity setup'!E49</f>
        <v>0</v>
      </c>
      <c r="H42" s="68">
        <f ca="1">IF(AND(SUMIF(Capacity_Resource,$D42,'Critical resources (hide)'!U$6:U$105)+SUMIF(Capacity_Resource,$E42,'Critical resources (hide)'!U$6:U$105)+SUMIF(Capacity_Resource,$F42,'Critical resources (hide)'!U$6:U$105)&gt;0,$E$1=2),0,1)</f>
        <v>1</v>
      </c>
      <c r="I42" s="68">
        <f ca="1">IF(AND(SUMIF(Capacity_Resource,$D42,'Critical resources (hide)'!V$6:V$105)+SUMIF(Capacity_Resource,$E42,'Critical resources (hide)'!V$6:V$105)+SUMIF(Capacity_Resource,$F42,'Critical resources (hide)'!V$6:V$105)&gt;0,$E$1=2),0,1)</f>
        <v>1</v>
      </c>
      <c r="J42" s="68">
        <f ca="1">IF(AND(SUMIF(Capacity_Resource,$D42,'Critical resources (hide)'!W$6:W$105)+SUMIF(Capacity_Resource,$E42,'Critical resources (hide)'!W$6:W$105)+SUMIF(Capacity_Resource,$F42,'Critical resources (hide)'!W$6:W$105)&gt;0,$E$1=2),0,1)</f>
        <v>1</v>
      </c>
      <c r="K42" s="68">
        <f ca="1">IF(AND(SUMIF(Capacity_Resource,$D42,'Critical resources (hide)'!X$6:X$105)+SUMIF(Capacity_Resource,$E42,'Critical resources (hide)'!X$6:X$105)+SUMIF(Capacity_Resource,$F42,'Critical resources (hide)'!X$6:X$105)&gt;0,$E$1=2),0,1)</f>
        <v>1</v>
      </c>
      <c r="L42" s="68">
        <f ca="1">IF(AND(SUMIF(Capacity_Resource,$D42,'Critical resources (hide)'!Y$6:Y$105)+SUMIF(Capacity_Resource,$E42,'Critical resources (hide)'!Y$6:Y$105)+SUMIF(Capacity_Resource,$F42,'Critical resources (hide)'!Y$6:Y$105)&gt;0,$E$1=2),0,1)</f>
        <v>1</v>
      </c>
      <c r="M42" s="68">
        <f ca="1">IF(AND(SUMIF(Capacity_Resource,$D42,'Critical resources (hide)'!Z$6:Z$105)+SUMIF(Capacity_Resource,$E42,'Critical resources (hide)'!Z$6:Z$105)+SUMIF(Capacity_Resource,$F42,'Critical resources (hide)'!Z$6:Z$105)&gt;0,$E$1=2),0,1)</f>
        <v>1</v>
      </c>
      <c r="N42" s="68">
        <f ca="1">IF(AND(SUMIF(Capacity_Resource,$D42,'Critical resources (hide)'!AA$6:AA$105)+SUMIF(Capacity_Resource,$E42,'Critical resources (hide)'!AA$6:AA$105)+SUMIF(Capacity_Resource,$F42,'Critical resources (hide)'!AA$6:AA$105)&gt;0,$E$1=2),0,1)</f>
        <v>1</v>
      </c>
      <c r="O42" s="68">
        <f ca="1">IF(AND(SUMIF(Capacity_Resource,$D42,'Critical resources (hide)'!AB$6:AB$105)+SUMIF(Capacity_Resource,$E42,'Critical resources (hide)'!AB$6:AB$105)+SUMIF(Capacity_Resource,$F42,'Critical resources (hide)'!AB$6:AB$105)&gt;0,$E$1=2),0,1)</f>
        <v>1</v>
      </c>
      <c r="P42" s="68">
        <f ca="1">IF(AND(SUMIF(Capacity_Resource,$D42,'Critical resources (hide)'!AC$6:AC$105)+SUMIF(Capacity_Resource,$E42,'Critical resources (hide)'!AC$6:AC$105)+SUMIF(Capacity_Resource,$F42,'Critical resources (hide)'!AC$6:AC$105)&gt;0,$E$1=2),0,1)</f>
        <v>1</v>
      </c>
      <c r="Q42" s="68">
        <f ca="1">IF(AND(SUMIF(Capacity_Resource,$D42,'Critical resources (hide)'!AD$6:AD$105)+SUMIF(Capacity_Resource,$E42,'Critical resources (hide)'!AD$6:AD$105)+SUMIF(Capacity_Resource,$F42,'Critical resources (hide)'!AD$6:AD$105)&gt;0,$E$1=2),0,1)</f>
        <v>1</v>
      </c>
      <c r="R42" s="68">
        <f ca="1">IF(AND(SUMIF(Capacity_Resource,$D42,'Critical resources (hide)'!AE$6:AE$105)+SUMIF(Capacity_Resource,$E42,'Critical resources (hide)'!AE$6:AE$105)+SUMIF(Capacity_Resource,$F42,'Critical resources (hide)'!AE$6:AE$105)&gt;0,$E$1=2),0,1)</f>
        <v>1</v>
      </c>
      <c r="S42" s="68">
        <f ca="1">IF(AND(SUMIF(Capacity_Resource,$D42,'Critical resources (hide)'!AF$6:AF$105)+SUMIF(Capacity_Resource,$E42,'Critical resources (hide)'!AF$6:AF$105)+SUMIF(Capacity_Resource,$F42,'Critical resources (hide)'!AF$6:AF$105)&gt;0,$E$1=2),0,1)</f>
        <v>1</v>
      </c>
      <c r="T42" s="68">
        <f ca="1">IF(AND(SUMIF(Capacity_Resource,$D42,'Critical resources (hide)'!AG$6:AG$105)+SUMIF(Capacity_Resource,$E42,'Critical resources (hide)'!AG$6:AG$105)+SUMIF(Capacity_Resource,$F42,'Critical resources (hide)'!AG$6:AG$105)&gt;0,$E$1=2),0,1)</f>
        <v>1</v>
      </c>
      <c r="U42" s="68">
        <f ca="1">IF(AND(SUMIF(Capacity_Resource,$D42,'Critical resources (hide)'!AH$6:AH$105)+SUMIF(Capacity_Resource,$E42,'Critical resources (hide)'!AH$6:AH$105)+SUMIF(Capacity_Resource,$F42,'Critical resources (hide)'!AH$6:AH$105)&gt;0,$E$1=2),0,1)</f>
        <v>1</v>
      </c>
      <c r="V42" s="68">
        <f ca="1">IF(AND(SUMIF(Capacity_Resource,$D42,'Critical resources (hide)'!AI$6:AI$105)+SUMIF(Capacity_Resource,$E42,'Critical resources (hide)'!AI$6:AI$105)+SUMIF(Capacity_Resource,$F42,'Critical resources (hide)'!AI$6:AI$105)&gt;0,$E$1=2),0,1)</f>
        <v>1</v>
      </c>
      <c r="W42" s="68">
        <f ca="1">IF(AND(SUMIF(Capacity_Resource,$D42,'Critical resources (hide)'!AJ$6:AJ$105)+SUMIF(Capacity_Resource,$E42,'Critical resources (hide)'!AJ$6:AJ$105)+SUMIF(Capacity_Resource,$F42,'Critical resources (hide)'!AJ$6:AJ$105)&gt;0,$E$1=2),0,1)</f>
        <v>1</v>
      </c>
      <c r="X42" s="68">
        <f ca="1">IF(AND(SUMIF(Capacity_Resource,$D42,'Critical resources (hide)'!AK$6:AK$105)+SUMIF(Capacity_Resource,$E42,'Critical resources (hide)'!AK$6:AK$105)+SUMIF(Capacity_Resource,$F42,'Critical resources (hide)'!AK$6:AK$105)&gt;0,$E$1=2),0,1)</f>
        <v>1</v>
      </c>
      <c r="Y42" s="68">
        <f ca="1">IF(AND(SUMIF(Capacity_Resource,$D42,'Critical resources (hide)'!AL$6:AL$105)+SUMIF(Capacity_Resource,$E42,'Critical resources (hide)'!AL$6:AL$105)+SUMIF(Capacity_Resource,$F42,'Critical resources (hide)'!AL$6:AL$105)&gt;0,$E$1=2),0,1)</f>
        <v>1</v>
      </c>
      <c r="Z42" s="68">
        <f ca="1">IF(AND(SUMIF(Capacity_Resource,$D42,'Critical resources (hide)'!AM$6:AM$105)+SUMIF(Capacity_Resource,$E42,'Critical resources (hide)'!AM$6:AM$105)+SUMIF(Capacity_Resource,$F42,'Critical resources (hide)'!AM$6:AM$105)&gt;0,$E$1=2),0,1)</f>
        <v>1</v>
      </c>
      <c r="AA42" s="68">
        <f ca="1">IF(AND(SUMIF(Capacity_Resource,$D42,'Critical resources (hide)'!AN$6:AN$105)+SUMIF(Capacity_Resource,$E42,'Critical resources (hide)'!AN$6:AN$105)+SUMIF(Capacity_Resource,$F42,'Critical resources (hide)'!AN$6:AN$105)&gt;0,$E$1=2),0,1)</f>
        <v>1</v>
      </c>
      <c r="AB42" s="68">
        <f ca="1">IF(AND(SUMIF(Capacity_Resource,$D42,'Critical resources (hide)'!AO$6:AO$105)+SUMIF(Capacity_Resource,$E42,'Critical resources (hide)'!AO$6:AO$105)+SUMIF(Capacity_Resource,$F42,'Critical resources (hide)'!AO$6:AO$105)&gt;0,$E$1=2),0,1)</f>
        <v>1</v>
      </c>
      <c r="AC42" s="68">
        <f ca="1">IF(AND(SUMIF(Capacity_Resource,$D42,'Critical resources (hide)'!AP$6:AP$105)+SUMIF(Capacity_Resource,$E42,'Critical resources (hide)'!AP$6:AP$105)+SUMIF(Capacity_Resource,$F42,'Critical resources (hide)'!AP$6:AP$105)&gt;0,$E$1=2),0,1)</f>
        <v>1</v>
      </c>
      <c r="AD42" s="68">
        <f ca="1">IF(AND(SUMIF(Capacity_Resource,$D42,'Critical resources (hide)'!AQ$6:AQ$105)+SUMIF(Capacity_Resource,$E42,'Critical resources (hide)'!AQ$6:AQ$105)+SUMIF(Capacity_Resource,$F42,'Critical resources (hide)'!AQ$6:AQ$105)&gt;0,$E$1=2),0,1)</f>
        <v>1</v>
      </c>
      <c r="AE42" s="68">
        <f ca="1">IF(AND(SUMIF(Capacity_Resource,$D42,'Critical resources (hide)'!AR$6:AR$105)+SUMIF(Capacity_Resource,$E42,'Critical resources (hide)'!AR$6:AR$105)+SUMIF(Capacity_Resource,$F42,'Critical resources (hide)'!AR$6:AR$105)&gt;0,$E$1=2),0,1)</f>
        <v>1</v>
      </c>
      <c r="AF42" s="68">
        <f ca="1">IF(AND(SUMIF(Capacity_Resource,$D42,'Critical resources (hide)'!AS$6:AS$105)+SUMIF(Capacity_Resource,$E42,'Critical resources (hide)'!AS$6:AS$105)+SUMIF(Capacity_Resource,$F42,'Critical resources (hide)'!AS$6:AS$105)&gt;0,$E$1=2),0,1)</f>
        <v>1</v>
      </c>
      <c r="AG42" s="68">
        <f ca="1">IF(AND(SUMIF(Capacity_Resource,$D42,'Critical resources (hide)'!AT$6:AT$105)+SUMIF(Capacity_Resource,$E42,'Critical resources (hide)'!AT$6:AT$105)+SUMIF(Capacity_Resource,$F42,'Critical resources (hide)'!AT$6:AT$105)&gt;0,$E$1=2),0,1)</f>
        <v>1</v>
      </c>
      <c r="AH42" s="68">
        <f ca="1">IF(AND(SUMIF(Capacity_Resource,$D42,'Critical resources (hide)'!AU$6:AU$105)+SUMIF(Capacity_Resource,$E42,'Critical resources (hide)'!AU$6:AU$105)+SUMIF(Capacity_Resource,$F42,'Critical resources (hide)'!AU$6:AU$105)&gt;0,$E$1=2),0,1)</f>
        <v>1</v>
      </c>
      <c r="AI42" s="68">
        <f ca="1">IF(AND(SUMIF(Capacity_Resource,$D42,'Critical resources (hide)'!AV$6:AV$105)+SUMIF(Capacity_Resource,$E42,'Critical resources (hide)'!AV$6:AV$105)+SUMIF(Capacity_Resource,$F42,'Critical resources (hide)'!AV$6:AV$105)&gt;0,$E$1=2),0,1)</f>
        <v>1</v>
      </c>
      <c r="AJ42" s="68">
        <f ca="1">IF(AND(SUMIF(Capacity_Resource,$D42,'Critical resources (hide)'!AW$6:AW$105)+SUMIF(Capacity_Resource,$E42,'Critical resources (hide)'!AW$6:AW$105)+SUMIF(Capacity_Resource,$F42,'Critical resources (hide)'!AW$6:AW$105)&gt;0,$E$1=2),0,1)</f>
        <v>1</v>
      </c>
      <c r="AK42" s="68">
        <f ca="1">IF(AND(SUMIF(Capacity_Resource,$D42,'Critical resources (hide)'!AX$6:AX$105)+SUMIF(Capacity_Resource,$E42,'Critical resources (hide)'!AX$6:AX$105)+SUMIF(Capacity_Resource,$F42,'Critical resources (hide)'!AX$6:AX$105)&gt;0,$E$1=2),0,1)</f>
        <v>1</v>
      </c>
      <c r="AL42" s="68">
        <f ca="1">IF(AND(SUMIF(Capacity_Resource,$D42,'Critical resources (hide)'!AY$6:AY$105)+SUMIF(Capacity_Resource,$E42,'Critical resources (hide)'!AY$6:AY$105)+SUMIF(Capacity_Resource,$F42,'Critical resources (hide)'!AY$6:AY$105)&gt;0,$E$1=2),0,1)</f>
        <v>1</v>
      </c>
      <c r="AM42" s="68">
        <f ca="1">IF(AND(SUMIF(Capacity_Resource,$D42,'Critical resources (hide)'!AZ$6:AZ$105)+SUMIF(Capacity_Resource,$E42,'Critical resources (hide)'!AZ$6:AZ$105)+SUMIF(Capacity_Resource,$F42,'Critical resources (hide)'!AZ$6:AZ$105)&gt;0,$E$1=2),0,1)</f>
        <v>1</v>
      </c>
      <c r="AN42" s="68">
        <f ca="1">IF(AND(SUMIF(Capacity_Resource,$D42,'Critical resources (hide)'!BA$6:BA$105)+SUMIF(Capacity_Resource,$E42,'Critical resources (hide)'!BA$6:BA$105)+SUMIF(Capacity_Resource,$F42,'Critical resources (hide)'!BA$6:BA$105)&gt;0,$E$1=2),0,1)</f>
        <v>1</v>
      </c>
      <c r="AO42" s="68">
        <f ca="1">IF(AND(SUMIF(Capacity_Resource,$D42,'Critical resources (hide)'!BB$6:BB$105)+SUMIF(Capacity_Resource,$E42,'Critical resources (hide)'!BB$6:BB$105)+SUMIF(Capacity_Resource,$F42,'Critical resources (hide)'!BB$6:BB$105)&gt;0,$E$1=2),0,1)</f>
        <v>1</v>
      </c>
      <c r="AP42" s="68">
        <f ca="1">IF(AND(SUMIF(Capacity_Resource,$D42,'Critical resources (hide)'!BC$6:BC$105)+SUMIF(Capacity_Resource,$E42,'Critical resources (hide)'!BC$6:BC$105)+SUMIF(Capacity_Resource,$F42,'Critical resources (hide)'!BC$6:BC$105)&gt;0,$E$1=2),0,1)</f>
        <v>1</v>
      </c>
      <c r="AQ42" s="68">
        <f ca="1">IF(AND(SUMIF(Capacity_Resource,$D42,'Critical resources (hide)'!BD$6:BD$105)+SUMIF(Capacity_Resource,$E42,'Critical resources (hide)'!BD$6:BD$105)+SUMIF(Capacity_Resource,$F42,'Critical resources (hide)'!BD$6:BD$105)&gt;0,$E$1=2),0,1)</f>
        <v>1</v>
      </c>
      <c r="AR42" s="68">
        <f ca="1">IF(AND(SUMIF(Capacity_Resource,$D42,'Critical resources (hide)'!BE$6:BE$105)+SUMIF(Capacity_Resource,$E42,'Critical resources (hide)'!BE$6:BE$105)+SUMIF(Capacity_Resource,$F42,'Critical resources (hide)'!BE$6:BE$105)&gt;0,$E$1=2),0,1)</f>
        <v>1</v>
      </c>
      <c r="AS42" s="68">
        <f ca="1">IF(AND(SUMIF(Capacity_Resource,$D42,'Critical resources (hide)'!BF$6:BF$105)+SUMIF(Capacity_Resource,$E42,'Critical resources (hide)'!BF$6:BF$105)+SUMIF(Capacity_Resource,$F42,'Critical resources (hide)'!BF$6:BF$105)&gt;0,$E$1=2),0,1)</f>
        <v>1</v>
      </c>
      <c r="AT42" s="68">
        <f ca="1">IF(AND(SUMIF(Capacity_Resource,$D42,'Critical resources (hide)'!BG$6:BG$105)+SUMIF(Capacity_Resource,$E42,'Critical resources (hide)'!BG$6:BG$105)+SUMIF(Capacity_Resource,$F42,'Critical resources (hide)'!BG$6:BG$105)&gt;0,$E$1=2),0,1)</f>
        <v>1</v>
      </c>
      <c r="AU42" s="68">
        <f ca="1">IF(AND(SUMIF(Capacity_Resource,$D42,'Critical resources (hide)'!BH$6:BH$105)+SUMIF(Capacity_Resource,$E42,'Critical resources (hide)'!BH$6:BH$105)+SUMIF(Capacity_Resource,$F42,'Critical resources (hide)'!BH$6:BH$105)&gt;0,$E$1=2),0,1)</f>
        <v>1</v>
      </c>
      <c r="AV42" s="68">
        <f ca="1">IF(AND(SUMIF(Capacity_Resource,$D42,'Critical resources (hide)'!BI$6:BI$105)+SUMIF(Capacity_Resource,$E42,'Critical resources (hide)'!BI$6:BI$105)+SUMIF(Capacity_Resource,$F42,'Critical resources (hide)'!BI$6:BI$105)&gt;0,$E$1=2),0,1)</f>
        <v>1</v>
      </c>
      <c r="AW42" s="68">
        <f ca="1">IF(AND(SUMIF(Capacity_Resource,$D42,'Critical resources (hide)'!BJ$6:BJ$105)+SUMIF(Capacity_Resource,$E42,'Critical resources (hide)'!BJ$6:BJ$105)+SUMIF(Capacity_Resource,$F42,'Critical resources (hide)'!BJ$6:BJ$105)&gt;0,$E$1=2),0,1)</f>
        <v>1</v>
      </c>
      <c r="AX42" s="68">
        <f ca="1">IF(AND(SUMIF(Capacity_Resource,$D42,'Critical resources (hide)'!BK$6:BK$105)+SUMIF(Capacity_Resource,$E42,'Critical resources (hide)'!BK$6:BK$105)+SUMIF(Capacity_Resource,$F42,'Critical resources (hide)'!BK$6:BK$105)&gt;0,$E$1=2),0,1)</f>
        <v>1</v>
      </c>
      <c r="AY42" s="68">
        <f ca="1">IF(AND(SUMIF(Capacity_Resource,$D42,'Critical resources (hide)'!BL$6:BL$105)+SUMIF(Capacity_Resource,$E42,'Critical resources (hide)'!BL$6:BL$105)+SUMIF(Capacity_Resource,$F42,'Critical resources (hide)'!BL$6:BL$105)&gt;0,$E$1=2),0,1)</f>
        <v>1</v>
      </c>
      <c r="AZ42" s="68">
        <f ca="1">IF(AND(SUMIF(Capacity_Resource,$D42,'Critical resources (hide)'!BM$6:BM$105)+SUMIF(Capacity_Resource,$E42,'Critical resources (hide)'!BM$6:BM$105)+SUMIF(Capacity_Resource,$F42,'Critical resources (hide)'!BM$6:BM$105)&gt;0,$E$1=2),0,1)</f>
        <v>1</v>
      </c>
      <c r="BA42" s="68">
        <f ca="1">IF(AND(SUMIF(Capacity_Resource,$D42,'Critical resources (hide)'!BN$6:BN$105)+SUMIF(Capacity_Resource,$E42,'Critical resources (hide)'!BN$6:BN$105)+SUMIF(Capacity_Resource,$F42,'Critical resources (hide)'!BN$6:BN$105)&gt;0,$E$1=2),0,1)</f>
        <v>1</v>
      </c>
      <c r="BB42" s="68">
        <f ca="1">IF(AND(SUMIF(Capacity_Resource,$D42,'Critical resources (hide)'!BO$6:BO$105)+SUMIF(Capacity_Resource,$E42,'Critical resources (hide)'!BO$6:BO$105)+SUMIF(Capacity_Resource,$F42,'Critical resources (hide)'!BO$6:BO$105)&gt;0,$E$1=2),0,1)</f>
        <v>1</v>
      </c>
      <c r="BC42" s="68">
        <f ca="1">IF(AND(SUMIF(Capacity_Resource,$D42,'Critical resources (hide)'!BP$6:BP$105)+SUMIF(Capacity_Resource,$E42,'Critical resources (hide)'!BP$6:BP$105)+SUMIF(Capacity_Resource,$F42,'Critical resources (hide)'!BP$6:BP$105)&gt;0,$E$1=2),0,1)</f>
        <v>1</v>
      </c>
      <c r="BD42" s="68">
        <f ca="1">IF(AND(SUMIF(Capacity_Resource,$D42,'Critical resources (hide)'!BQ$6:BQ$105)+SUMIF(Capacity_Resource,$E42,'Critical resources (hide)'!BQ$6:BQ$105)+SUMIF(Capacity_Resource,$F42,'Critical resources (hide)'!BQ$6:BQ$105)&gt;0,$E$1=2),0,1)</f>
        <v>1</v>
      </c>
      <c r="BE42" s="68">
        <f ca="1">IF(AND(SUMIF(Capacity_Resource,$D42,'Critical resources (hide)'!BR$6:BR$105)+SUMIF(Capacity_Resource,$E42,'Critical resources (hide)'!BR$6:BR$105)+SUMIF(Capacity_Resource,$F42,'Critical resources (hide)'!BR$6:BR$105)&gt;0,$E$1=2),0,1)</f>
        <v>1</v>
      </c>
      <c r="BF42" s="68">
        <f ca="1">IF(AND(SUMIF(Capacity_Resource,$D42,'Critical resources (hide)'!BS$6:BS$105)+SUMIF(Capacity_Resource,$E42,'Critical resources (hide)'!BS$6:BS$105)+SUMIF(Capacity_Resource,$F42,'Critical resources (hide)'!BS$6:BS$105)&gt;0,$E$1=2),0,1)</f>
        <v>1</v>
      </c>
      <c r="BG42" s="68">
        <f ca="1">IF(AND(SUMIF(Capacity_Resource,$D42,'Critical resources (hide)'!BT$6:BT$105)+SUMIF(Capacity_Resource,$E42,'Critical resources (hide)'!BT$6:BT$105)+SUMIF(Capacity_Resource,$F42,'Critical resources (hide)'!BT$6:BT$105)&gt;0,$E$1=2),0,1)</f>
        <v>1</v>
      </c>
      <c r="BH42" s="68">
        <f>IF(ROW(C38)&lt;=Capacity!$A$16,IF('Capacity summary'!$D$14="No",SUM(H42:BG42),'Capacity summary'!$E161),0)</f>
        <v>0</v>
      </c>
      <c r="BI42" s="5" t="str">
        <f>IF(BH42&gt;0,IF(BH42&lt;Capacity!E54,Capacity!F54,Capacity!H54/'Capacity calculation (hide)'!BH42),"")</f>
        <v/>
      </c>
      <c r="BK42" s="319">
        <f>IF($BI42&lt;&gt;"",IF('Capacity summary'!$D$14="Yes",IF(COUNTBLANK('Capacity summary'!$H161:$BG161)&lt;52,IF('Capacity summary'!H161&lt;&gt;"",$BI42*H42,0),H42*$BI42),H42*$BI42),0)</f>
        <v>0</v>
      </c>
      <c r="BL42" s="319">
        <f>IF($BI42&lt;&gt;"",IF('Capacity summary'!$D$14="Yes",IF(COUNTBLANK('Capacity summary'!$H161:$BG161)&lt;52,IF('Capacity summary'!I161&lt;&gt;"",$BI42*I42,0),I42*$BI42),I42*$BI42),0)</f>
        <v>0</v>
      </c>
      <c r="BM42" s="319">
        <f>IF($BI42&lt;&gt;"",IF('Capacity summary'!$D$14="Yes",IF(COUNTBLANK('Capacity summary'!$H161:$BG161)&lt;52,IF('Capacity summary'!J161&lt;&gt;"",$BI42*J42,0),J42*$BI42),J42*$BI42),0)</f>
        <v>0</v>
      </c>
      <c r="BN42" s="319">
        <f>IF($BI42&lt;&gt;"",IF('Capacity summary'!$D$14="Yes",IF(COUNTBLANK('Capacity summary'!$H161:$BG161)&lt;52,IF('Capacity summary'!K161&lt;&gt;"",$BI42*K42,0),K42*$BI42),K42*$BI42),0)</f>
        <v>0</v>
      </c>
      <c r="BO42" s="319">
        <f>IF($BI42&lt;&gt;"",IF('Capacity summary'!$D$14="Yes",IF(COUNTBLANK('Capacity summary'!$H161:$BG161)&lt;52,IF('Capacity summary'!L161&lt;&gt;"",$BI42*L42,0),L42*$BI42),L42*$BI42),0)</f>
        <v>0</v>
      </c>
      <c r="BP42" s="319">
        <f>IF($BI42&lt;&gt;"",IF('Capacity summary'!$D$14="Yes",IF(COUNTBLANK('Capacity summary'!$H161:$BG161)&lt;52,IF('Capacity summary'!M161&lt;&gt;"",$BI42*M42,0),M42*$BI42),M42*$BI42),0)</f>
        <v>0</v>
      </c>
      <c r="BQ42" s="319">
        <f>IF($BI42&lt;&gt;"",IF('Capacity summary'!$D$14="Yes",IF(COUNTBLANK('Capacity summary'!$H161:$BG161)&lt;52,IF('Capacity summary'!N161&lt;&gt;"",$BI42*N42,0),N42*$BI42),N42*$BI42),0)</f>
        <v>0</v>
      </c>
      <c r="BR42" s="319">
        <f>IF($BI42&lt;&gt;"",IF('Capacity summary'!$D$14="Yes",IF(COUNTBLANK('Capacity summary'!$H161:$BG161)&lt;52,IF('Capacity summary'!O161&lt;&gt;"",$BI42*O42,0),O42*$BI42),O42*$BI42),0)</f>
        <v>0</v>
      </c>
      <c r="BS42" s="319">
        <f>IF($BI42&lt;&gt;"",IF('Capacity summary'!$D$14="Yes",IF(COUNTBLANK('Capacity summary'!$H161:$BG161)&lt;52,IF('Capacity summary'!P161&lt;&gt;"",$BI42*P42,0),P42*$BI42),P42*$BI42),0)</f>
        <v>0</v>
      </c>
      <c r="BT42" s="319">
        <f>IF($BI42&lt;&gt;"",IF('Capacity summary'!$D$14="Yes",IF(COUNTBLANK('Capacity summary'!$H161:$BG161)&lt;52,IF('Capacity summary'!Q161&lt;&gt;"",$BI42*Q42,0),Q42*$BI42),Q42*$BI42),0)</f>
        <v>0</v>
      </c>
      <c r="BU42" s="319">
        <f>IF($BI42&lt;&gt;"",IF('Capacity summary'!$D$14="Yes",IF(COUNTBLANK('Capacity summary'!$H161:$BG161)&lt;52,IF('Capacity summary'!R161&lt;&gt;"",$BI42*R42,0),R42*$BI42),R42*$BI42),0)</f>
        <v>0</v>
      </c>
      <c r="BV42" s="319">
        <f>IF($BI42&lt;&gt;"",IF('Capacity summary'!$D$14="Yes",IF(COUNTBLANK('Capacity summary'!$H161:$BG161)&lt;52,IF('Capacity summary'!S161&lt;&gt;"",$BI42*S42,0),S42*$BI42),S42*$BI42),0)</f>
        <v>0</v>
      </c>
      <c r="BW42" s="319">
        <f>IF($BI42&lt;&gt;"",IF('Capacity summary'!$D$14="Yes",IF(COUNTBLANK('Capacity summary'!$H161:$BG161)&lt;52,IF('Capacity summary'!T161&lt;&gt;"",$BI42*T42,0),T42*$BI42),T42*$BI42),0)</f>
        <v>0</v>
      </c>
      <c r="BX42" s="319">
        <f>IF($BI42&lt;&gt;"",IF('Capacity summary'!$D$14="Yes",IF(COUNTBLANK('Capacity summary'!$H161:$BG161)&lt;52,IF('Capacity summary'!U161&lt;&gt;"",$BI42*U42,0),U42*$BI42),U42*$BI42),0)</f>
        <v>0</v>
      </c>
      <c r="BY42" s="319">
        <f>IF($BI42&lt;&gt;"",IF('Capacity summary'!$D$14="Yes",IF(COUNTBLANK('Capacity summary'!$H161:$BG161)&lt;52,IF('Capacity summary'!V161&lt;&gt;"",$BI42*V42,0),V42*$BI42),V42*$BI42),0)</f>
        <v>0</v>
      </c>
      <c r="BZ42" s="319">
        <f>IF($BI42&lt;&gt;"",IF('Capacity summary'!$D$14="Yes",IF(COUNTBLANK('Capacity summary'!$H161:$BG161)&lt;52,IF('Capacity summary'!W161&lt;&gt;"",$BI42*W42,0),W42*$BI42),W42*$BI42),0)</f>
        <v>0</v>
      </c>
      <c r="CA42" s="319">
        <f>IF($BI42&lt;&gt;"",IF('Capacity summary'!$D$14="Yes",IF(COUNTBLANK('Capacity summary'!$H161:$BG161)&lt;52,IF('Capacity summary'!X161&lt;&gt;"",$BI42*X42,0),X42*$BI42),X42*$BI42),0)</f>
        <v>0</v>
      </c>
      <c r="CB42" s="319">
        <f>IF($BI42&lt;&gt;"",IF('Capacity summary'!$D$14="Yes",IF(COUNTBLANK('Capacity summary'!$H161:$BG161)&lt;52,IF('Capacity summary'!Y161&lt;&gt;"",$BI42*Y42,0),Y42*$BI42),Y42*$BI42),0)</f>
        <v>0</v>
      </c>
      <c r="CC42" s="319">
        <f>IF($BI42&lt;&gt;"",IF('Capacity summary'!$D$14="Yes",IF(COUNTBLANK('Capacity summary'!$H161:$BG161)&lt;52,IF('Capacity summary'!Z161&lt;&gt;"",$BI42*Z42,0),Z42*$BI42),Z42*$BI42),0)</f>
        <v>0</v>
      </c>
      <c r="CD42" s="319">
        <f>IF($BI42&lt;&gt;"",IF('Capacity summary'!$D$14="Yes",IF(COUNTBLANK('Capacity summary'!$H161:$BG161)&lt;52,IF('Capacity summary'!AA161&lt;&gt;"",$BI42*AA42,0),AA42*$BI42),AA42*$BI42),0)</f>
        <v>0</v>
      </c>
      <c r="CE42" s="319">
        <f>IF($BI42&lt;&gt;"",IF('Capacity summary'!$D$14="Yes",IF(COUNTBLANK('Capacity summary'!$H161:$BG161)&lt;52,IF('Capacity summary'!AB161&lt;&gt;"",$BI42*AB42,0),AB42*$BI42),AB42*$BI42),0)</f>
        <v>0</v>
      </c>
      <c r="CF42" s="319">
        <f>IF($BI42&lt;&gt;"",IF('Capacity summary'!$D$14="Yes",IF(COUNTBLANK('Capacity summary'!$H161:$BG161)&lt;52,IF('Capacity summary'!AC161&lt;&gt;"",$BI42*AC42,0),AC42*$BI42),AC42*$BI42),0)</f>
        <v>0</v>
      </c>
      <c r="CG42" s="319">
        <f>IF($BI42&lt;&gt;"",IF('Capacity summary'!$D$14="Yes",IF(COUNTBLANK('Capacity summary'!$H161:$BG161)&lt;52,IF('Capacity summary'!AD161&lt;&gt;"",$BI42*AD42,0),AD42*$BI42),AD42*$BI42),0)</f>
        <v>0</v>
      </c>
      <c r="CH42" s="319">
        <f>IF($BI42&lt;&gt;"",IF('Capacity summary'!$D$14="Yes",IF(COUNTBLANK('Capacity summary'!$H161:$BG161)&lt;52,IF('Capacity summary'!AE161&lt;&gt;"",$BI42*AE42,0),AE42*$BI42),AE42*$BI42),0)</f>
        <v>0</v>
      </c>
      <c r="CI42" s="319">
        <f>IF($BI42&lt;&gt;"",IF('Capacity summary'!$D$14="Yes",IF(COUNTBLANK('Capacity summary'!$H161:$BG161)&lt;52,IF('Capacity summary'!AF161&lt;&gt;"",$BI42*AF42,0),AF42*$BI42),AF42*$BI42),0)</f>
        <v>0</v>
      </c>
      <c r="CJ42" s="319">
        <f>IF($BI42&lt;&gt;"",IF('Capacity summary'!$D$14="Yes",IF(COUNTBLANK('Capacity summary'!$H161:$BG161)&lt;52,IF('Capacity summary'!AG161&lt;&gt;"",$BI42*AG42,0),AG42*$BI42),AG42*$BI42),0)</f>
        <v>0</v>
      </c>
      <c r="CK42" s="319">
        <f>IF($BI42&lt;&gt;"",IF('Capacity summary'!$D$14="Yes",IF(COUNTBLANK('Capacity summary'!$H161:$BG161)&lt;52,IF('Capacity summary'!AH161&lt;&gt;"",$BI42*AH42,0),AH42*$BI42),AH42*$BI42),0)</f>
        <v>0</v>
      </c>
      <c r="CL42" s="319">
        <f>IF($BI42&lt;&gt;"",IF('Capacity summary'!$D$14="Yes",IF(COUNTBLANK('Capacity summary'!$H161:$BG161)&lt;52,IF('Capacity summary'!AI161&lt;&gt;"",$BI42*AI42,0),AI42*$BI42),AI42*$BI42),0)</f>
        <v>0</v>
      </c>
      <c r="CM42" s="319">
        <f>IF($BI42&lt;&gt;"",IF('Capacity summary'!$D$14="Yes",IF(COUNTBLANK('Capacity summary'!$H161:$BG161)&lt;52,IF('Capacity summary'!AJ161&lt;&gt;"",$BI42*AJ42,0),AJ42*$BI42),AJ42*$BI42),0)</f>
        <v>0</v>
      </c>
      <c r="CN42" s="319">
        <f>IF($BI42&lt;&gt;"",IF('Capacity summary'!$D$14="Yes",IF(COUNTBLANK('Capacity summary'!$H161:$BG161)&lt;52,IF('Capacity summary'!AK161&lt;&gt;"",$BI42*AK42,0),AK42*$BI42),AK42*$BI42),0)</f>
        <v>0</v>
      </c>
      <c r="CO42" s="319">
        <f>IF($BI42&lt;&gt;"",IF('Capacity summary'!$D$14="Yes",IF(COUNTBLANK('Capacity summary'!$H161:$BG161)&lt;52,IF('Capacity summary'!AL161&lt;&gt;"",$BI42*AL42,0),AL42*$BI42),AL42*$BI42),0)</f>
        <v>0</v>
      </c>
      <c r="CP42" s="319">
        <f>IF($BI42&lt;&gt;"",IF('Capacity summary'!$D$14="Yes",IF(COUNTBLANK('Capacity summary'!$H161:$BG161)&lt;52,IF('Capacity summary'!AM161&lt;&gt;"",$BI42*AM42,0),AM42*$BI42),AM42*$BI42),0)</f>
        <v>0</v>
      </c>
      <c r="CQ42" s="319">
        <f>IF($BI42&lt;&gt;"",IF('Capacity summary'!$D$14="Yes",IF(COUNTBLANK('Capacity summary'!$H161:$BG161)&lt;52,IF('Capacity summary'!AN161&lt;&gt;"",$BI42*AN42,0),AN42*$BI42),AN42*$BI42),0)</f>
        <v>0</v>
      </c>
      <c r="CR42" s="319">
        <f>IF($BI42&lt;&gt;"",IF('Capacity summary'!$D$14="Yes",IF(COUNTBLANK('Capacity summary'!$H161:$BG161)&lt;52,IF('Capacity summary'!AO161&lt;&gt;"",$BI42*AO42,0),AO42*$BI42),AO42*$BI42),0)</f>
        <v>0</v>
      </c>
      <c r="CS42" s="319">
        <f>IF($BI42&lt;&gt;"",IF('Capacity summary'!$D$14="Yes",IF(COUNTBLANK('Capacity summary'!$H161:$BG161)&lt;52,IF('Capacity summary'!AP161&lt;&gt;"",$BI42*AP42,0),AP42*$BI42),AP42*$BI42),0)</f>
        <v>0</v>
      </c>
      <c r="CT42" s="319">
        <f>IF($BI42&lt;&gt;"",IF('Capacity summary'!$D$14="Yes",IF(COUNTBLANK('Capacity summary'!$H161:$BG161)&lt;52,IF('Capacity summary'!AQ161&lt;&gt;"",$BI42*AQ42,0),AQ42*$BI42),AQ42*$BI42),0)</f>
        <v>0</v>
      </c>
      <c r="CU42" s="319">
        <f>IF($BI42&lt;&gt;"",IF('Capacity summary'!$D$14="Yes",IF(COUNTBLANK('Capacity summary'!$H161:$BG161)&lt;52,IF('Capacity summary'!AR161&lt;&gt;"",$BI42*AR42,0),AR42*$BI42),AR42*$BI42),0)</f>
        <v>0</v>
      </c>
      <c r="CV42" s="319">
        <f>IF($BI42&lt;&gt;"",IF('Capacity summary'!$D$14="Yes",IF(COUNTBLANK('Capacity summary'!$H161:$BG161)&lt;52,IF('Capacity summary'!AS161&lt;&gt;"",$BI42*AS42,0),AS42*$BI42),AS42*$BI42),0)</f>
        <v>0</v>
      </c>
      <c r="CW42" s="319">
        <f>IF($BI42&lt;&gt;"",IF('Capacity summary'!$D$14="Yes",IF(COUNTBLANK('Capacity summary'!$H161:$BG161)&lt;52,IF('Capacity summary'!AT161&lt;&gt;"",$BI42*AT42,0),AT42*$BI42),AT42*$BI42),0)</f>
        <v>0</v>
      </c>
      <c r="CX42" s="319">
        <f>IF($BI42&lt;&gt;"",IF('Capacity summary'!$D$14="Yes",IF(COUNTBLANK('Capacity summary'!$H161:$BG161)&lt;52,IF('Capacity summary'!AU161&lt;&gt;"",$BI42*AU42,0),AU42*$BI42),AU42*$BI42),0)</f>
        <v>0</v>
      </c>
      <c r="CY42" s="319">
        <f>IF($BI42&lt;&gt;"",IF('Capacity summary'!$D$14="Yes",IF(COUNTBLANK('Capacity summary'!$H161:$BG161)&lt;52,IF('Capacity summary'!AV161&lt;&gt;"",$BI42*AV42,0),AV42*$BI42),AV42*$BI42),0)</f>
        <v>0</v>
      </c>
      <c r="CZ42" s="319">
        <f>IF($BI42&lt;&gt;"",IF('Capacity summary'!$D$14="Yes",IF(COUNTBLANK('Capacity summary'!$H161:$BG161)&lt;52,IF('Capacity summary'!AW161&lt;&gt;"",$BI42*AW42,0),AW42*$BI42),AW42*$BI42),0)</f>
        <v>0</v>
      </c>
      <c r="DA42" s="319">
        <f>IF($BI42&lt;&gt;"",IF('Capacity summary'!$D$14="Yes",IF(COUNTBLANK('Capacity summary'!$H161:$BG161)&lt;52,IF('Capacity summary'!AX161&lt;&gt;"",$BI42*AX42,0),AX42*$BI42),AX42*$BI42),0)</f>
        <v>0</v>
      </c>
      <c r="DB42" s="319">
        <f>IF($BI42&lt;&gt;"",IF('Capacity summary'!$D$14="Yes",IF(COUNTBLANK('Capacity summary'!$H161:$BG161)&lt;52,IF('Capacity summary'!AY161&lt;&gt;"",$BI42*AY42,0),AY42*$BI42),AY42*$BI42),0)</f>
        <v>0</v>
      </c>
      <c r="DC42" s="319">
        <f>IF($BI42&lt;&gt;"",IF('Capacity summary'!$D$14="Yes",IF(COUNTBLANK('Capacity summary'!$H161:$BG161)&lt;52,IF('Capacity summary'!AZ161&lt;&gt;"",$BI42*AZ42,0),AZ42*$BI42),AZ42*$BI42),0)</f>
        <v>0</v>
      </c>
      <c r="DD42" s="319">
        <f>IF($BI42&lt;&gt;"",IF('Capacity summary'!$D$14="Yes",IF(COUNTBLANK('Capacity summary'!$H161:$BG161)&lt;52,IF('Capacity summary'!BA161&lt;&gt;"",$BI42*BA42,0),BA42*$BI42),BA42*$BI42),0)</f>
        <v>0</v>
      </c>
      <c r="DE42" s="319">
        <f>IF($BI42&lt;&gt;"",IF('Capacity summary'!$D$14="Yes",IF(COUNTBLANK('Capacity summary'!$H161:$BG161)&lt;52,IF('Capacity summary'!BB161&lt;&gt;"",$BI42*BB42,0),BB42*$BI42),BB42*$BI42),0)</f>
        <v>0</v>
      </c>
      <c r="DF42" s="319">
        <f>IF($BI42&lt;&gt;"",IF('Capacity summary'!$D$14="Yes",IF(COUNTBLANK('Capacity summary'!$H161:$BG161)&lt;52,IF('Capacity summary'!BC161&lt;&gt;"",$BI42*BC42,0),BC42*$BI42),BC42*$BI42),0)</f>
        <v>0</v>
      </c>
      <c r="DG42" s="319">
        <f>IF($BI42&lt;&gt;"",IF('Capacity summary'!$D$14="Yes",IF(COUNTBLANK('Capacity summary'!$H161:$BG161)&lt;52,IF('Capacity summary'!BD161&lt;&gt;"",$BI42*BD42,0),BD42*$BI42),BD42*$BI42),0)</f>
        <v>0</v>
      </c>
      <c r="DH42" s="319">
        <f>IF($BI42&lt;&gt;"",IF('Capacity summary'!$D$14="Yes",IF(COUNTBLANK('Capacity summary'!$H161:$BG161)&lt;52,IF('Capacity summary'!BE161&lt;&gt;"",$BI42*BE42,0),BE42*$BI42),BE42*$BI42),0)</f>
        <v>0</v>
      </c>
      <c r="DI42" s="319">
        <f>IF($BI42&lt;&gt;"",IF('Capacity summary'!$D$14="Yes",IF(COUNTBLANK('Capacity summary'!$H161:$BG161)&lt;52,IF('Capacity summary'!BF161&lt;&gt;"",$BI42*BF42,0),BF42*$BI42),BF42*$BI42),0)</f>
        <v>0</v>
      </c>
      <c r="DJ42" s="319">
        <f>IF($BI42&lt;&gt;"",IF('Capacity summary'!$D$14="Yes",IF(COUNTBLANK('Capacity summary'!$H161:$BG161)&lt;52,IF('Capacity summary'!BG161&lt;&gt;"",$BI42*BG42,0),BG42*$BI42),BG42*$BI42),0)</f>
        <v>0</v>
      </c>
      <c r="DK42" s="5">
        <f t="shared" si="2"/>
        <v>0</v>
      </c>
      <c r="DL42" s="5" t="str">
        <f>Capacity!H54</f>
        <v/>
      </c>
      <c r="DP42" s="5"/>
    </row>
    <row r="43" spans="2:120" x14ac:dyDescent="0.2">
      <c r="B43" s="68"/>
      <c r="C43" s="68" t="str">
        <f>ROW(A39)&amp;". "&amp;Capacity!B55</f>
        <v xml:space="preserve">39. </v>
      </c>
      <c r="D43" s="68">
        <f>'Capacity setup'!C50</f>
        <v>0</v>
      </c>
      <c r="E43" s="68">
        <f>'Capacity setup'!D50</f>
        <v>0</v>
      </c>
      <c r="F43" s="68">
        <f>'Capacity setup'!E50</f>
        <v>0</v>
      </c>
      <c r="H43" s="68">
        <f ca="1">IF(AND(SUMIF(Capacity_Resource,$D43,'Critical resources (hide)'!U$6:U$105)+SUMIF(Capacity_Resource,$E43,'Critical resources (hide)'!U$6:U$105)+SUMIF(Capacity_Resource,$F43,'Critical resources (hide)'!U$6:U$105)&gt;0,$E$1=2),0,1)</f>
        <v>1</v>
      </c>
      <c r="I43" s="68">
        <f ca="1">IF(AND(SUMIF(Capacity_Resource,$D43,'Critical resources (hide)'!V$6:V$105)+SUMIF(Capacity_Resource,$E43,'Critical resources (hide)'!V$6:V$105)+SUMIF(Capacity_Resource,$F43,'Critical resources (hide)'!V$6:V$105)&gt;0,$E$1=2),0,1)</f>
        <v>1</v>
      </c>
      <c r="J43" s="68">
        <f ca="1">IF(AND(SUMIF(Capacity_Resource,$D43,'Critical resources (hide)'!W$6:W$105)+SUMIF(Capacity_Resource,$E43,'Critical resources (hide)'!W$6:W$105)+SUMIF(Capacity_Resource,$F43,'Critical resources (hide)'!W$6:W$105)&gt;0,$E$1=2),0,1)</f>
        <v>1</v>
      </c>
      <c r="K43" s="68">
        <f ca="1">IF(AND(SUMIF(Capacity_Resource,$D43,'Critical resources (hide)'!X$6:X$105)+SUMIF(Capacity_Resource,$E43,'Critical resources (hide)'!X$6:X$105)+SUMIF(Capacity_Resource,$F43,'Critical resources (hide)'!X$6:X$105)&gt;0,$E$1=2),0,1)</f>
        <v>1</v>
      </c>
      <c r="L43" s="68">
        <f ca="1">IF(AND(SUMIF(Capacity_Resource,$D43,'Critical resources (hide)'!Y$6:Y$105)+SUMIF(Capacity_Resource,$E43,'Critical resources (hide)'!Y$6:Y$105)+SUMIF(Capacity_Resource,$F43,'Critical resources (hide)'!Y$6:Y$105)&gt;0,$E$1=2),0,1)</f>
        <v>1</v>
      </c>
      <c r="M43" s="68">
        <f ca="1">IF(AND(SUMIF(Capacity_Resource,$D43,'Critical resources (hide)'!Z$6:Z$105)+SUMIF(Capacity_Resource,$E43,'Critical resources (hide)'!Z$6:Z$105)+SUMIF(Capacity_Resource,$F43,'Critical resources (hide)'!Z$6:Z$105)&gt;0,$E$1=2),0,1)</f>
        <v>1</v>
      </c>
      <c r="N43" s="68">
        <f ca="1">IF(AND(SUMIF(Capacity_Resource,$D43,'Critical resources (hide)'!AA$6:AA$105)+SUMIF(Capacity_Resource,$E43,'Critical resources (hide)'!AA$6:AA$105)+SUMIF(Capacity_Resource,$F43,'Critical resources (hide)'!AA$6:AA$105)&gt;0,$E$1=2),0,1)</f>
        <v>1</v>
      </c>
      <c r="O43" s="68">
        <f ca="1">IF(AND(SUMIF(Capacity_Resource,$D43,'Critical resources (hide)'!AB$6:AB$105)+SUMIF(Capacity_Resource,$E43,'Critical resources (hide)'!AB$6:AB$105)+SUMIF(Capacity_Resource,$F43,'Critical resources (hide)'!AB$6:AB$105)&gt;0,$E$1=2),0,1)</f>
        <v>1</v>
      </c>
      <c r="P43" s="68">
        <f ca="1">IF(AND(SUMIF(Capacity_Resource,$D43,'Critical resources (hide)'!AC$6:AC$105)+SUMIF(Capacity_Resource,$E43,'Critical resources (hide)'!AC$6:AC$105)+SUMIF(Capacity_Resource,$F43,'Critical resources (hide)'!AC$6:AC$105)&gt;0,$E$1=2),0,1)</f>
        <v>1</v>
      </c>
      <c r="Q43" s="68">
        <f ca="1">IF(AND(SUMIF(Capacity_Resource,$D43,'Critical resources (hide)'!AD$6:AD$105)+SUMIF(Capacity_Resource,$E43,'Critical resources (hide)'!AD$6:AD$105)+SUMIF(Capacity_Resource,$F43,'Critical resources (hide)'!AD$6:AD$105)&gt;0,$E$1=2),0,1)</f>
        <v>1</v>
      </c>
      <c r="R43" s="68">
        <f ca="1">IF(AND(SUMIF(Capacity_Resource,$D43,'Critical resources (hide)'!AE$6:AE$105)+SUMIF(Capacity_Resource,$E43,'Critical resources (hide)'!AE$6:AE$105)+SUMIF(Capacity_Resource,$F43,'Critical resources (hide)'!AE$6:AE$105)&gt;0,$E$1=2),0,1)</f>
        <v>1</v>
      </c>
      <c r="S43" s="68">
        <f ca="1">IF(AND(SUMIF(Capacity_Resource,$D43,'Critical resources (hide)'!AF$6:AF$105)+SUMIF(Capacity_Resource,$E43,'Critical resources (hide)'!AF$6:AF$105)+SUMIF(Capacity_Resource,$F43,'Critical resources (hide)'!AF$6:AF$105)&gt;0,$E$1=2),0,1)</f>
        <v>1</v>
      </c>
      <c r="T43" s="68">
        <f ca="1">IF(AND(SUMIF(Capacity_Resource,$D43,'Critical resources (hide)'!AG$6:AG$105)+SUMIF(Capacity_Resource,$E43,'Critical resources (hide)'!AG$6:AG$105)+SUMIF(Capacity_Resource,$F43,'Critical resources (hide)'!AG$6:AG$105)&gt;0,$E$1=2),0,1)</f>
        <v>1</v>
      </c>
      <c r="U43" s="68">
        <f ca="1">IF(AND(SUMIF(Capacity_Resource,$D43,'Critical resources (hide)'!AH$6:AH$105)+SUMIF(Capacity_Resource,$E43,'Critical resources (hide)'!AH$6:AH$105)+SUMIF(Capacity_Resource,$F43,'Critical resources (hide)'!AH$6:AH$105)&gt;0,$E$1=2),0,1)</f>
        <v>1</v>
      </c>
      <c r="V43" s="68">
        <f ca="1">IF(AND(SUMIF(Capacity_Resource,$D43,'Critical resources (hide)'!AI$6:AI$105)+SUMIF(Capacity_Resource,$E43,'Critical resources (hide)'!AI$6:AI$105)+SUMIF(Capacity_Resource,$F43,'Critical resources (hide)'!AI$6:AI$105)&gt;0,$E$1=2),0,1)</f>
        <v>1</v>
      </c>
      <c r="W43" s="68">
        <f ca="1">IF(AND(SUMIF(Capacity_Resource,$D43,'Critical resources (hide)'!AJ$6:AJ$105)+SUMIF(Capacity_Resource,$E43,'Critical resources (hide)'!AJ$6:AJ$105)+SUMIF(Capacity_Resource,$F43,'Critical resources (hide)'!AJ$6:AJ$105)&gt;0,$E$1=2),0,1)</f>
        <v>1</v>
      </c>
      <c r="X43" s="68">
        <f ca="1">IF(AND(SUMIF(Capacity_Resource,$D43,'Critical resources (hide)'!AK$6:AK$105)+SUMIF(Capacity_Resource,$E43,'Critical resources (hide)'!AK$6:AK$105)+SUMIF(Capacity_Resource,$F43,'Critical resources (hide)'!AK$6:AK$105)&gt;0,$E$1=2),0,1)</f>
        <v>1</v>
      </c>
      <c r="Y43" s="68">
        <f ca="1">IF(AND(SUMIF(Capacity_Resource,$D43,'Critical resources (hide)'!AL$6:AL$105)+SUMIF(Capacity_Resource,$E43,'Critical resources (hide)'!AL$6:AL$105)+SUMIF(Capacity_Resource,$F43,'Critical resources (hide)'!AL$6:AL$105)&gt;0,$E$1=2),0,1)</f>
        <v>1</v>
      </c>
      <c r="Z43" s="68">
        <f ca="1">IF(AND(SUMIF(Capacity_Resource,$D43,'Critical resources (hide)'!AM$6:AM$105)+SUMIF(Capacity_Resource,$E43,'Critical resources (hide)'!AM$6:AM$105)+SUMIF(Capacity_Resource,$F43,'Critical resources (hide)'!AM$6:AM$105)&gt;0,$E$1=2),0,1)</f>
        <v>1</v>
      </c>
      <c r="AA43" s="68">
        <f ca="1">IF(AND(SUMIF(Capacity_Resource,$D43,'Critical resources (hide)'!AN$6:AN$105)+SUMIF(Capacity_Resource,$E43,'Critical resources (hide)'!AN$6:AN$105)+SUMIF(Capacity_Resource,$F43,'Critical resources (hide)'!AN$6:AN$105)&gt;0,$E$1=2),0,1)</f>
        <v>1</v>
      </c>
      <c r="AB43" s="68">
        <f ca="1">IF(AND(SUMIF(Capacity_Resource,$D43,'Critical resources (hide)'!AO$6:AO$105)+SUMIF(Capacity_Resource,$E43,'Critical resources (hide)'!AO$6:AO$105)+SUMIF(Capacity_Resource,$F43,'Critical resources (hide)'!AO$6:AO$105)&gt;0,$E$1=2),0,1)</f>
        <v>1</v>
      </c>
      <c r="AC43" s="68">
        <f ca="1">IF(AND(SUMIF(Capacity_Resource,$D43,'Critical resources (hide)'!AP$6:AP$105)+SUMIF(Capacity_Resource,$E43,'Critical resources (hide)'!AP$6:AP$105)+SUMIF(Capacity_Resource,$F43,'Critical resources (hide)'!AP$6:AP$105)&gt;0,$E$1=2),0,1)</f>
        <v>1</v>
      </c>
      <c r="AD43" s="68">
        <f ca="1">IF(AND(SUMIF(Capacity_Resource,$D43,'Critical resources (hide)'!AQ$6:AQ$105)+SUMIF(Capacity_Resource,$E43,'Critical resources (hide)'!AQ$6:AQ$105)+SUMIF(Capacity_Resource,$F43,'Critical resources (hide)'!AQ$6:AQ$105)&gt;0,$E$1=2),0,1)</f>
        <v>1</v>
      </c>
      <c r="AE43" s="68">
        <f ca="1">IF(AND(SUMIF(Capacity_Resource,$D43,'Critical resources (hide)'!AR$6:AR$105)+SUMIF(Capacity_Resource,$E43,'Critical resources (hide)'!AR$6:AR$105)+SUMIF(Capacity_Resource,$F43,'Critical resources (hide)'!AR$6:AR$105)&gt;0,$E$1=2),0,1)</f>
        <v>1</v>
      </c>
      <c r="AF43" s="68">
        <f ca="1">IF(AND(SUMIF(Capacity_Resource,$D43,'Critical resources (hide)'!AS$6:AS$105)+SUMIF(Capacity_Resource,$E43,'Critical resources (hide)'!AS$6:AS$105)+SUMIF(Capacity_Resource,$F43,'Critical resources (hide)'!AS$6:AS$105)&gt;0,$E$1=2),0,1)</f>
        <v>1</v>
      </c>
      <c r="AG43" s="68">
        <f ca="1">IF(AND(SUMIF(Capacity_Resource,$D43,'Critical resources (hide)'!AT$6:AT$105)+SUMIF(Capacity_Resource,$E43,'Critical resources (hide)'!AT$6:AT$105)+SUMIF(Capacity_Resource,$F43,'Critical resources (hide)'!AT$6:AT$105)&gt;0,$E$1=2),0,1)</f>
        <v>1</v>
      </c>
      <c r="AH43" s="68">
        <f ca="1">IF(AND(SUMIF(Capacity_Resource,$D43,'Critical resources (hide)'!AU$6:AU$105)+SUMIF(Capacity_Resource,$E43,'Critical resources (hide)'!AU$6:AU$105)+SUMIF(Capacity_Resource,$F43,'Critical resources (hide)'!AU$6:AU$105)&gt;0,$E$1=2),0,1)</f>
        <v>1</v>
      </c>
      <c r="AI43" s="68">
        <f ca="1">IF(AND(SUMIF(Capacity_Resource,$D43,'Critical resources (hide)'!AV$6:AV$105)+SUMIF(Capacity_Resource,$E43,'Critical resources (hide)'!AV$6:AV$105)+SUMIF(Capacity_Resource,$F43,'Critical resources (hide)'!AV$6:AV$105)&gt;0,$E$1=2),0,1)</f>
        <v>1</v>
      </c>
      <c r="AJ43" s="68">
        <f ca="1">IF(AND(SUMIF(Capacity_Resource,$D43,'Critical resources (hide)'!AW$6:AW$105)+SUMIF(Capacity_Resource,$E43,'Critical resources (hide)'!AW$6:AW$105)+SUMIF(Capacity_Resource,$F43,'Critical resources (hide)'!AW$6:AW$105)&gt;0,$E$1=2),0,1)</f>
        <v>1</v>
      </c>
      <c r="AK43" s="68">
        <f ca="1">IF(AND(SUMIF(Capacity_Resource,$D43,'Critical resources (hide)'!AX$6:AX$105)+SUMIF(Capacity_Resource,$E43,'Critical resources (hide)'!AX$6:AX$105)+SUMIF(Capacity_Resource,$F43,'Critical resources (hide)'!AX$6:AX$105)&gt;0,$E$1=2),0,1)</f>
        <v>1</v>
      </c>
      <c r="AL43" s="68">
        <f ca="1">IF(AND(SUMIF(Capacity_Resource,$D43,'Critical resources (hide)'!AY$6:AY$105)+SUMIF(Capacity_Resource,$E43,'Critical resources (hide)'!AY$6:AY$105)+SUMIF(Capacity_Resource,$F43,'Critical resources (hide)'!AY$6:AY$105)&gt;0,$E$1=2),0,1)</f>
        <v>1</v>
      </c>
      <c r="AM43" s="68">
        <f ca="1">IF(AND(SUMIF(Capacity_Resource,$D43,'Critical resources (hide)'!AZ$6:AZ$105)+SUMIF(Capacity_Resource,$E43,'Critical resources (hide)'!AZ$6:AZ$105)+SUMIF(Capacity_Resource,$F43,'Critical resources (hide)'!AZ$6:AZ$105)&gt;0,$E$1=2),0,1)</f>
        <v>1</v>
      </c>
      <c r="AN43" s="68">
        <f ca="1">IF(AND(SUMIF(Capacity_Resource,$D43,'Critical resources (hide)'!BA$6:BA$105)+SUMIF(Capacity_Resource,$E43,'Critical resources (hide)'!BA$6:BA$105)+SUMIF(Capacity_Resource,$F43,'Critical resources (hide)'!BA$6:BA$105)&gt;0,$E$1=2),0,1)</f>
        <v>1</v>
      </c>
      <c r="AO43" s="68">
        <f ca="1">IF(AND(SUMIF(Capacity_Resource,$D43,'Critical resources (hide)'!BB$6:BB$105)+SUMIF(Capacity_Resource,$E43,'Critical resources (hide)'!BB$6:BB$105)+SUMIF(Capacity_Resource,$F43,'Critical resources (hide)'!BB$6:BB$105)&gt;0,$E$1=2),0,1)</f>
        <v>1</v>
      </c>
      <c r="AP43" s="68">
        <f ca="1">IF(AND(SUMIF(Capacity_Resource,$D43,'Critical resources (hide)'!BC$6:BC$105)+SUMIF(Capacity_Resource,$E43,'Critical resources (hide)'!BC$6:BC$105)+SUMIF(Capacity_Resource,$F43,'Critical resources (hide)'!BC$6:BC$105)&gt;0,$E$1=2),0,1)</f>
        <v>1</v>
      </c>
      <c r="AQ43" s="68">
        <f ca="1">IF(AND(SUMIF(Capacity_Resource,$D43,'Critical resources (hide)'!BD$6:BD$105)+SUMIF(Capacity_Resource,$E43,'Critical resources (hide)'!BD$6:BD$105)+SUMIF(Capacity_Resource,$F43,'Critical resources (hide)'!BD$6:BD$105)&gt;0,$E$1=2),0,1)</f>
        <v>1</v>
      </c>
      <c r="AR43" s="68">
        <f ca="1">IF(AND(SUMIF(Capacity_Resource,$D43,'Critical resources (hide)'!BE$6:BE$105)+SUMIF(Capacity_Resource,$E43,'Critical resources (hide)'!BE$6:BE$105)+SUMIF(Capacity_Resource,$F43,'Critical resources (hide)'!BE$6:BE$105)&gt;0,$E$1=2),0,1)</f>
        <v>1</v>
      </c>
      <c r="AS43" s="68">
        <f ca="1">IF(AND(SUMIF(Capacity_Resource,$D43,'Critical resources (hide)'!BF$6:BF$105)+SUMIF(Capacity_Resource,$E43,'Critical resources (hide)'!BF$6:BF$105)+SUMIF(Capacity_Resource,$F43,'Critical resources (hide)'!BF$6:BF$105)&gt;0,$E$1=2),0,1)</f>
        <v>1</v>
      </c>
      <c r="AT43" s="68">
        <f ca="1">IF(AND(SUMIF(Capacity_Resource,$D43,'Critical resources (hide)'!BG$6:BG$105)+SUMIF(Capacity_Resource,$E43,'Critical resources (hide)'!BG$6:BG$105)+SUMIF(Capacity_Resource,$F43,'Critical resources (hide)'!BG$6:BG$105)&gt;0,$E$1=2),0,1)</f>
        <v>1</v>
      </c>
      <c r="AU43" s="68">
        <f ca="1">IF(AND(SUMIF(Capacity_Resource,$D43,'Critical resources (hide)'!BH$6:BH$105)+SUMIF(Capacity_Resource,$E43,'Critical resources (hide)'!BH$6:BH$105)+SUMIF(Capacity_Resource,$F43,'Critical resources (hide)'!BH$6:BH$105)&gt;0,$E$1=2),0,1)</f>
        <v>1</v>
      </c>
      <c r="AV43" s="68">
        <f ca="1">IF(AND(SUMIF(Capacity_Resource,$D43,'Critical resources (hide)'!BI$6:BI$105)+SUMIF(Capacity_Resource,$E43,'Critical resources (hide)'!BI$6:BI$105)+SUMIF(Capacity_Resource,$F43,'Critical resources (hide)'!BI$6:BI$105)&gt;0,$E$1=2),0,1)</f>
        <v>1</v>
      </c>
      <c r="AW43" s="68">
        <f ca="1">IF(AND(SUMIF(Capacity_Resource,$D43,'Critical resources (hide)'!BJ$6:BJ$105)+SUMIF(Capacity_Resource,$E43,'Critical resources (hide)'!BJ$6:BJ$105)+SUMIF(Capacity_Resource,$F43,'Critical resources (hide)'!BJ$6:BJ$105)&gt;0,$E$1=2),0,1)</f>
        <v>1</v>
      </c>
      <c r="AX43" s="68">
        <f ca="1">IF(AND(SUMIF(Capacity_Resource,$D43,'Critical resources (hide)'!BK$6:BK$105)+SUMIF(Capacity_Resource,$E43,'Critical resources (hide)'!BK$6:BK$105)+SUMIF(Capacity_Resource,$F43,'Critical resources (hide)'!BK$6:BK$105)&gt;0,$E$1=2),0,1)</f>
        <v>1</v>
      </c>
      <c r="AY43" s="68">
        <f ca="1">IF(AND(SUMIF(Capacity_Resource,$D43,'Critical resources (hide)'!BL$6:BL$105)+SUMIF(Capacity_Resource,$E43,'Critical resources (hide)'!BL$6:BL$105)+SUMIF(Capacity_Resource,$F43,'Critical resources (hide)'!BL$6:BL$105)&gt;0,$E$1=2),0,1)</f>
        <v>1</v>
      </c>
      <c r="AZ43" s="68">
        <f ca="1">IF(AND(SUMIF(Capacity_Resource,$D43,'Critical resources (hide)'!BM$6:BM$105)+SUMIF(Capacity_Resource,$E43,'Critical resources (hide)'!BM$6:BM$105)+SUMIF(Capacity_Resource,$F43,'Critical resources (hide)'!BM$6:BM$105)&gt;0,$E$1=2),0,1)</f>
        <v>1</v>
      </c>
      <c r="BA43" s="68">
        <f ca="1">IF(AND(SUMIF(Capacity_Resource,$D43,'Critical resources (hide)'!BN$6:BN$105)+SUMIF(Capacity_Resource,$E43,'Critical resources (hide)'!BN$6:BN$105)+SUMIF(Capacity_Resource,$F43,'Critical resources (hide)'!BN$6:BN$105)&gt;0,$E$1=2),0,1)</f>
        <v>1</v>
      </c>
      <c r="BB43" s="68">
        <f ca="1">IF(AND(SUMIF(Capacity_Resource,$D43,'Critical resources (hide)'!BO$6:BO$105)+SUMIF(Capacity_Resource,$E43,'Critical resources (hide)'!BO$6:BO$105)+SUMIF(Capacity_Resource,$F43,'Critical resources (hide)'!BO$6:BO$105)&gt;0,$E$1=2),0,1)</f>
        <v>1</v>
      </c>
      <c r="BC43" s="68">
        <f ca="1">IF(AND(SUMIF(Capacity_Resource,$D43,'Critical resources (hide)'!BP$6:BP$105)+SUMIF(Capacity_Resource,$E43,'Critical resources (hide)'!BP$6:BP$105)+SUMIF(Capacity_Resource,$F43,'Critical resources (hide)'!BP$6:BP$105)&gt;0,$E$1=2),0,1)</f>
        <v>1</v>
      </c>
      <c r="BD43" s="68">
        <f ca="1">IF(AND(SUMIF(Capacity_Resource,$D43,'Critical resources (hide)'!BQ$6:BQ$105)+SUMIF(Capacity_Resource,$E43,'Critical resources (hide)'!BQ$6:BQ$105)+SUMIF(Capacity_Resource,$F43,'Critical resources (hide)'!BQ$6:BQ$105)&gt;0,$E$1=2),0,1)</f>
        <v>1</v>
      </c>
      <c r="BE43" s="68">
        <f ca="1">IF(AND(SUMIF(Capacity_Resource,$D43,'Critical resources (hide)'!BR$6:BR$105)+SUMIF(Capacity_Resource,$E43,'Critical resources (hide)'!BR$6:BR$105)+SUMIF(Capacity_Resource,$F43,'Critical resources (hide)'!BR$6:BR$105)&gt;0,$E$1=2),0,1)</f>
        <v>1</v>
      </c>
      <c r="BF43" s="68">
        <f ca="1">IF(AND(SUMIF(Capacity_Resource,$D43,'Critical resources (hide)'!BS$6:BS$105)+SUMIF(Capacity_Resource,$E43,'Critical resources (hide)'!BS$6:BS$105)+SUMIF(Capacity_Resource,$F43,'Critical resources (hide)'!BS$6:BS$105)&gt;0,$E$1=2),0,1)</f>
        <v>1</v>
      </c>
      <c r="BG43" s="68">
        <f ca="1">IF(AND(SUMIF(Capacity_Resource,$D43,'Critical resources (hide)'!BT$6:BT$105)+SUMIF(Capacity_Resource,$E43,'Critical resources (hide)'!BT$6:BT$105)+SUMIF(Capacity_Resource,$F43,'Critical resources (hide)'!BT$6:BT$105)&gt;0,$E$1=2),0,1)</f>
        <v>1</v>
      </c>
      <c r="BH43" s="68">
        <f>IF(ROW(C39)&lt;=Capacity!$A$16,IF('Capacity summary'!$D$14="No",SUM(H43:BG43),'Capacity summary'!$E162),0)</f>
        <v>0</v>
      </c>
      <c r="BI43" s="5" t="str">
        <f>IF(BH43&gt;0,IF(BH43&lt;Capacity!E55,Capacity!F55,Capacity!H55/'Capacity calculation (hide)'!BH43),"")</f>
        <v/>
      </c>
      <c r="BK43" s="319">
        <f>IF($BI43&lt;&gt;"",IF('Capacity summary'!$D$14="Yes",IF(COUNTBLANK('Capacity summary'!$H162:$BG162)&lt;52,IF('Capacity summary'!H162&lt;&gt;"",$BI43*H43,0),H43*$BI43),H43*$BI43),0)</f>
        <v>0</v>
      </c>
      <c r="BL43" s="319">
        <f>IF($BI43&lt;&gt;"",IF('Capacity summary'!$D$14="Yes",IF(COUNTBLANK('Capacity summary'!$H162:$BG162)&lt;52,IF('Capacity summary'!I162&lt;&gt;"",$BI43*I43,0),I43*$BI43),I43*$BI43),0)</f>
        <v>0</v>
      </c>
      <c r="BM43" s="319">
        <f>IF($BI43&lt;&gt;"",IF('Capacity summary'!$D$14="Yes",IF(COUNTBLANK('Capacity summary'!$H162:$BG162)&lt;52,IF('Capacity summary'!J162&lt;&gt;"",$BI43*J43,0),J43*$BI43),J43*$BI43),0)</f>
        <v>0</v>
      </c>
      <c r="BN43" s="319">
        <f>IF($BI43&lt;&gt;"",IF('Capacity summary'!$D$14="Yes",IF(COUNTBLANK('Capacity summary'!$H162:$BG162)&lt;52,IF('Capacity summary'!K162&lt;&gt;"",$BI43*K43,0),K43*$BI43),K43*$BI43),0)</f>
        <v>0</v>
      </c>
      <c r="BO43" s="319">
        <f>IF($BI43&lt;&gt;"",IF('Capacity summary'!$D$14="Yes",IF(COUNTBLANK('Capacity summary'!$H162:$BG162)&lt;52,IF('Capacity summary'!L162&lt;&gt;"",$BI43*L43,0),L43*$BI43),L43*$BI43),0)</f>
        <v>0</v>
      </c>
      <c r="BP43" s="319">
        <f>IF($BI43&lt;&gt;"",IF('Capacity summary'!$D$14="Yes",IF(COUNTBLANK('Capacity summary'!$H162:$BG162)&lt;52,IF('Capacity summary'!M162&lt;&gt;"",$BI43*M43,0),M43*$BI43),M43*$BI43),0)</f>
        <v>0</v>
      </c>
      <c r="BQ43" s="319">
        <f>IF($BI43&lt;&gt;"",IF('Capacity summary'!$D$14="Yes",IF(COUNTBLANK('Capacity summary'!$H162:$BG162)&lt;52,IF('Capacity summary'!N162&lt;&gt;"",$BI43*N43,0),N43*$BI43),N43*$BI43),0)</f>
        <v>0</v>
      </c>
      <c r="BR43" s="319">
        <f>IF($BI43&lt;&gt;"",IF('Capacity summary'!$D$14="Yes",IF(COUNTBLANK('Capacity summary'!$H162:$BG162)&lt;52,IF('Capacity summary'!O162&lt;&gt;"",$BI43*O43,0),O43*$BI43),O43*$BI43),0)</f>
        <v>0</v>
      </c>
      <c r="BS43" s="319">
        <f>IF($BI43&lt;&gt;"",IF('Capacity summary'!$D$14="Yes",IF(COUNTBLANK('Capacity summary'!$H162:$BG162)&lt;52,IF('Capacity summary'!P162&lt;&gt;"",$BI43*P43,0),P43*$BI43),P43*$BI43),0)</f>
        <v>0</v>
      </c>
      <c r="BT43" s="319">
        <f>IF($BI43&lt;&gt;"",IF('Capacity summary'!$D$14="Yes",IF(COUNTBLANK('Capacity summary'!$H162:$BG162)&lt;52,IF('Capacity summary'!Q162&lt;&gt;"",$BI43*Q43,0),Q43*$BI43),Q43*$BI43),0)</f>
        <v>0</v>
      </c>
      <c r="BU43" s="319">
        <f>IF($BI43&lt;&gt;"",IF('Capacity summary'!$D$14="Yes",IF(COUNTBLANK('Capacity summary'!$H162:$BG162)&lt;52,IF('Capacity summary'!R162&lt;&gt;"",$BI43*R43,0),R43*$BI43),R43*$BI43),0)</f>
        <v>0</v>
      </c>
      <c r="BV43" s="319">
        <f>IF($BI43&lt;&gt;"",IF('Capacity summary'!$D$14="Yes",IF(COUNTBLANK('Capacity summary'!$H162:$BG162)&lt;52,IF('Capacity summary'!S162&lt;&gt;"",$BI43*S43,0),S43*$BI43),S43*$BI43),0)</f>
        <v>0</v>
      </c>
      <c r="BW43" s="319">
        <f>IF($BI43&lt;&gt;"",IF('Capacity summary'!$D$14="Yes",IF(COUNTBLANK('Capacity summary'!$H162:$BG162)&lt;52,IF('Capacity summary'!T162&lt;&gt;"",$BI43*T43,0),T43*$BI43),T43*$BI43),0)</f>
        <v>0</v>
      </c>
      <c r="BX43" s="319">
        <f>IF($BI43&lt;&gt;"",IF('Capacity summary'!$D$14="Yes",IF(COUNTBLANK('Capacity summary'!$H162:$BG162)&lt;52,IF('Capacity summary'!U162&lt;&gt;"",$BI43*U43,0),U43*$BI43),U43*$BI43),0)</f>
        <v>0</v>
      </c>
      <c r="BY43" s="319">
        <f>IF($BI43&lt;&gt;"",IF('Capacity summary'!$D$14="Yes",IF(COUNTBLANK('Capacity summary'!$H162:$BG162)&lt;52,IF('Capacity summary'!V162&lt;&gt;"",$BI43*V43,0),V43*$BI43),V43*$BI43),0)</f>
        <v>0</v>
      </c>
      <c r="BZ43" s="319">
        <f>IF($BI43&lt;&gt;"",IF('Capacity summary'!$D$14="Yes",IF(COUNTBLANK('Capacity summary'!$H162:$BG162)&lt;52,IF('Capacity summary'!W162&lt;&gt;"",$BI43*W43,0),W43*$BI43),W43*$BI43),0)</f>
        <v>0</v>
      </c>
      <c r="CA43" s="319">
        <f>IF($BI43&lt;&gt;"",IF('Capacity summary'!$D$14="Yes",IF(COUNTBLANK('Capacity summary'!$H162:$BG162)&lt;52,IF('Capacity summary'!X162&lt;&gt;"",$BI43*X43,0),X43*$BI43),X43*$BI43),0)</f>
        <v>0</v>
      </c>
      <c r="CB43" s="319">
        <f>IF($BI43&lt;&gt;"",IF('Capacity summary'!$D$14="Yes",IF(COUNTBLANK('Capacity summary'!$H162:$BG162)&lt;52,IF('Capacity summary'!Y162&lt;&gt;"",$BI43*Y43,0),Y43*$BI43),Y43*$BI43),0)</f>
        <v>0</v>
      </c>
      <c r="CC43" s="319">
        <f>IF($BI43&lt;&gt;"",IF('Capacity summary'!$D$14="Yes",IF(COUNTBLANK('Capacity summary'!$H162:$BG162)&lt;52,IF('Capacity summary'!Z162&lt;&gt;"",$BI43*Z43,0),Z43*$BI43),Z43*$BI43),0)</f>
        <v>0</v>
      </c>
      <c r="CD43" s="319">
        <f>IF($BI43&lt;&gt;"",IF('Capacity summary'!$D$14="Yes",IF(COUNTBLANK('Capacity summary'!$H162:$BG162)&lt;52,IF('Capacity summary'!AA162&lt;&gt;"",$BI43*AA43,0),AA43*$BI43),AA43*$BI43),0)</f>
        <v>0</v>
      </c>
      <c r="CE43" s="319">
        <f>IF($BI43&lt;&gt;"",IF('Capacity summary'!$D$14="Yes",IF(COUNTBLANK('Capacity summary'!$H162:$BG162)&lt;52,IF('Capacity summary'!AB162&lt;&gt;"",$BI43*AB43,0),AB43*$BI43),AB43*$BI43),0)</f>
        <v>0</v>
      </c>
      <c r="CF43" s="319">
        <f>IF($BI43&lt;&gt;"",IF('Capacity summary'!$D$14="Yes",IF(COUNTBLANK('Capacity summary'!$H162:$BG162)&lt;52,IF('Capacity summary'!AC162&lt;&gt;"",$BI43*AC43,0),AC43*$BI43),AC43*$BI43),0)</f>
        <v>0</v>
      </c>
      <c r="CG43" s="319">
        <f>IF($BI43&lt;&gt;"",IF('Capacity summary'!$D$14="Yes",IF(COUNTBLANK('Capacity summary'!$H162:$BG162)&lt;52,IF('Capacity summary'!AD162&lt;&gt;"",$BI43*AD43,0),AD43*$BI43),AD43*$BI43),0)</f>
        <v>0</v>
      </c>
      <c r="CH43" s="319">
        <f>IF($BI43&lt;&gt;"",IF('Capacity summary'!$D$14="Yes",IF(COUNTBLANK('Capacity summary'!$H162:$BG162)&lt;52,IF('Capacity summary'!AE162&lt;&gt;"",$BI43*AE43,0),AE43*$BI43),AE43*$BI43),0)</f>
        <v>0</v>
      </c>
      <c r="CI43" s="319">
        <f>IF($BI43&lt;&gt;"",IF('Capacity summary'!$D$14="Yes",IF(COUNTBLANK('Capacity summary'!$H162:$BG162)&lt;52,IF('Capacity summary'!AF162&lt;&gt;"",$BI43*AF43,0),AF43*$BI43),AF43*$BI43),0)</f>
        <v>0</v>
      </c>
      <c r="CJ43" s="319">
        <f>IF($BI43&lt;&gt;"",IF('Capacity summary'!$D$14="Yes",IF(COUNTBLANK('Capacity summary'!$H162:$BG162)&lt;52,IF('Capacity summary'!AG162&lt;&gt;"",$BI43*AG43,0),AG43*$BI43),AG43*$BI43),0)</f>
        <v>0</v>
      </c>
      <c r="CK43" s="319">
        <f>IF($BI43&lt;&gt;"",IF('Capacity summary'!$D$14="Yes",IF(COUNTBLANK('Capacity summary'!$H162:$BG162)&lt;52,IF('Capacity summary'!AH162&lt;&gt;"",$BI43*AH43,0),AH43*$BI43),AH43*$BI43),0)</f>
        <v>0</v>
      </c>
      <c r="CL43" s="319">
        <f>IF($BI43&lt;&gt;"",IF('Capacity summary'!$D$14="Yes",IF(COUNTBLANK('Capacity summary'!$H162:$BG162)&lt;52,IF('Capacity summary'!AI162&lt;&gt;"",$BI43*AI43,0),AI43*$BI43),AI43*$BI43),0)</f>
        <v>0</v>
      </c>
      <c r="CM43" s="319">
        <f>IF($BI43&lt;&gt;"",IF('Capacity summary'!$D$14="Yes",IF(COUNTBLANK('Capacity summary'!$H162:$BG162)&lt;52,IF('Capacity summary'!AJ162&lt;&gt;"",$BI43*AJ43,0),AJ43*$BI43),AJ43*$BI43),0)</f>
        <v>0</v>
      </c>
      <c r="CN43" s="319">
        <f>IF($BI43&lt;&gt;"",IF('Capacity summary'!$D$14="Yes",IF(COUNTBLANK('Capacity summary'!$H162:$BG162)&lt;52,IF('Capacity summary'!AK162&lt;&gt;"",$BI43*AK43,0),AK43*$BI43),AK43*$BI43),0)</f>
        <v>0</v>
      </c>
      <c r="CO43" s="319">
        <f>IF($BI43&lt;&gt;"",IF('Capacity summary'!$D$14="Yes",IF(COUNTBLANK('Capacity summary'!$H162:$BG162)&lt;52,IF('Capacity summary'!AL162&lt;&gt;"",$BI43*AL43,0),AL43*$BI43),AL43*$BI43),0)</f>
        <v>0</v>
      </c>
      <c r="CP43" s="319">
        <f>IF($BI43&lt;&gt;"",IF('Capacity summary'!$D$14="Yes",IF(COUNTBLANK('Capacity summary'!$H162:$BG162)&lt;52,IF('Capacity summary'!AM162&lt;&gt;"",$BI43*AM43,0),AM43*$BI43),AM43*$BI43),0)</f>
        <v>0</v>
      </c>
      <c r="CQ43" s="319">
        <f>IF($BI43&lt;&gt;"",IF('Capacity summary'!$D$14="Yes",IF(COUNTBLANK('Capacity summary'!$H162:$BG162)&lt;52,IF('Capacity summary'!AN162&lt;&gt;"",$BI43*AN43,0),AN43*$BI43),AN43*$BI43),0)</f>
        <v>0</v>
      </c>
      <c r="CR43" s="319">
        <f>IF($BI43&lt;&gt;"",IF('Capacity summary'!$D$14="Yes",IF(COUNTBLANK('Capacity summary'!$H162:$BG162)&lt;52,IF('Capacity summary'!AO162&lt;&gt;"",$BI43*AO43,0),AO43*$BI43),AO43*$BI43),0)</f>
        <v>0</v>
      </c>
      <c r="CS43" s="319">
        <f>IF($BI43&lt;&gt;"",IF('Capacity summary'!$D$14="Yes",IF(COUNTBLANK('Capacity summary'!$H162:$BG162)&lt;52,IF('Capacity summary'!AP162&lt;&gt;"",$BI43*AP43,0),AP43*$BI43),AP43*$BI43),0)</f>
        <v>0</v>
      </c>
      <c r="CT43" s="319">
        <f>IF($BI43&lt;&gt;"",IF('Capacity summary'!$D$14="Yes",IF(COUNTBLANK('Capacity summary'!$H162:$BG162)&lt;52,IF('Capacity summary'!AQ162&lt;&gt;"",$BI43*AQ43,0),AQ43*$BI43),AQ43*$BI43),0)</f>
        <v>0</v>
      </c>
      <c r="CU43" s="319">
        <f>IF($BI43&lt;&gt;"",IF('Capacity summary'!$D$14="Yes",IF(COUNTBLANK('Capacity summary'!$H162:$BG162)&lt;52,IF('Capacity summary'!AR162&lt;&gt;"",$BI43*AR43,0),AR43*$BI43),AR43*$BI43),0)</f>
        <v>0</v>
      </c>
      <c r="CV43" s="319">
        <f>IF($BI43&lt;&gt;"",IF('Capacity summary'!$D$14="Yes",IF(COUNTBLANK('Capacity summary'!$H162:$BG162)&lt;52,IF('Capacity summary'!AS162&lt;&gt;"",$BI43*AS43,0),AS43*$BI43),AS43*$BI43),0)</f>
        <v>0</v>
      </c>
      <c r="CW43" s="319">
        <f>IF($BI43&lt;&gt;"",IF('Capacity summary'!$D$14="Yes",IF(COUNTBLANK('Capacity summary'!$H162:$BG162)&lt;52,IF('Capacity summary'!AT162&lt;&gt;"",$BI43*AT43,0),AT43*$BI43),AT43*$BI43),0)</f>
        <v>0</v>
      </c>
      <c r="CX43" s="319">
        <f>IF($BI43&lt;&gt;"",IF('Capacity summary'!$D$14="Yes",IF(COUNTBLANK('Capacity summary'!$H162:$BG162)&lt;52,IF('Capacity summary'!AU162&lt;&gt;"",$BI43*AU43,0),AU43*$BI43),AU43*$BI43),0)</f>
        <v>0</v>
      </c>
      <c r="CY43" s="319">
        <f>IF($BI43&lt;&gt;"",IF('Capacity summary'!$D$14="Yes",IF(COUNTBLANK('Capacity summary'!$H162:$BG162)&lt;52,IF('Capacity summary'!AV162&lt;&gt;"",$BI43*AV43,0),AV43*$BI43),AV43*$BI43),0)</f>
        <v>0</v>
      </c>
      <c r="CZ43" s="319">
        <f>IF($BI43&lt;&gt;"",IF('Capacity summary'!$D$14="Yes",IF(COUNTBLANK('Capacity summary'!$H162:$BG162)&lt;52,IF('Capacity summary'!AW162&lt;&gt;"",$BI43*AW43,0),AW43*$BI43),AW43*$BI43),0)</f>
        <v>0</v>
      </c>
      <c r="DA43" s="319">
        <f>IF($BI43&lt;&gt;"",IF('Capacity summary'!$D$14="Yes",IF(COUNTBLANK('Capacity summary'!$H162:$BG162)&lt;52,IF('Capacity summary'!AX162&lt;&gt;"",$BI43*AX43,0),AX43*$BI43),AX43*$BI43),0)</f>
        <v>0</v>
      </c>
      <c r="DB43" s="319">
        <f>IF($BI43&lt;&gt;"",IF('Capacity summary'!$D$14="Yes",IF(COUNTBLANK('Capacity summary'!$H162:$BG162)&lt;52,IF('Capacity summary'!AY162&lt;&gt;"",$BI43*AY43,0),AY43*$BI43),AY43*$BI43),0)</f>
        <v>0</v>
      </c>
      <c r="DC43" s="319">
        <f>IF($BI43&lt;&gt;"",IF('Capacity summary'!$D$14="Yes",IF(COUNTBLANK('Capacity summary'!$H162:$BG162)&lt;52,IF('Capacity summary'!AZ162&lt;&gt;"",$BI43*AZ43,0),AZ43*$BI43),AZ43*$BI43),0)</f>
        <v>0</v>
      </c>
      <c r="DD43" s="319">
        <f>IF($BI43&lt;&gt;"",IF('Capacity summary'!$D$14="Yes",IF(COUNTBLANK('Capacity summary'!$H162:$BG162)&lt;52,IF('Capacity summary'!BA162&lt;&gt;"",$BI43*BA43,0),BA43*$BI43),BA43*$BI43),0)</f>
        <v>0</v>
      </c>
      <c r="DE43" s="319">
        <f>IF($BI43&lt;&gt;"",IF('Capacity summary'!$D$14="Yes",IF(COUNTBLANK('Capacity summary'!$H162:$BG162)&lt;52,IF('Capacity summary'!BB162&lt;&gt;"",$BI43*BB43,0),BB43*$BI43),BB43*$BI43),0)</f>
        <v>0</v>
      </c>
      <c r="DF43" s="319">
        <f>IF($BI43&lt;&gt;"",IF('Capacity summary'!$D$14="Yes",IF(COUNTBLANK('Capacity summary'!$H162:$BG162)&lt;52,IF('Capacity summary'!BC162&lt;&gt;"",$BI43*BC43,0),BC43*$BI43),BC43*$BI43),0)</f>
        <v>0</v>
      </c>
      <c r="DG43" s="319">
        <f>IF($BI43&lt;&gt;"",IF('Capacity summary'!$D$14="Yes",IF(COUNTBLANK('Capacity summary'!$H162:$BG162)&lt;52,IF('Capacity summary'!BD162&lt;&gt;"",$BI43*BD43,0),BD43*$BI43),BD43*$BI43),0)</f>
        <v>0</v>
      </c>
      <c r="DH43" s="319">
        <f>IF($BI43&lt;&gt;"",IF('Capacity summary'!$D$14="Yes",IF(COUNTBLANK('Capacity summary'!$H162:$BG162)&lt;52,IF('Capacity summary'!BE162&lt;&gt;"",$BI43*BE43,0),BE43*$BI43),BE43*$BI43),0)</f>
        <v>0</v>
      </c>
      <c r="DI43" s="319">
        <f>IF($BI43&lt;&gt;"",IF('Capacity summary'!$D$14="Yes",IF(COUNTBLANK('Capacity summary'!$H162:$BG162)&lt;52,IF('Capacity summary'!BF162&lt;&gt;"",$BI43*BF43,0),BF43*$BI43),BF43*$BI43),0)</f>
        <v>0</v>
      </c>
      <c r="DJ43" s="319">
        <f>IF($BI43&lt;&gt;"",IF('Capacity summary'!$D$14="Yes",IF(COUNTBLANK('Capacity summary'!$H162:$BG162)&lt;52,IF('Capacity summary'!BG162&lt;&gt;"",$BI43*BG43,0),BG43*$BI43),BG43*$BI43),0)</f>
        <v>0</v>
      </c>
      <c r="DK43" s="5">
        <f t="shared" si="2"/>
        <v>0</v>
      </c>
      <c r="DL43" s="5" t="str">
        <f>Capacity!H55</f>
        <v/>
      </c>
      <c r="DP43" s="5"/>
    </row>
    <row r="44" spans="2:120" x14ac:dyDescent="0.2">
      <c r="B44" s="68"/>
      <c r="C44" s="68" t="str">
        <f>ROW(A40)&amp;". "&amp;Capacity!B56</f>
        <v xml:space="preserve">40. </v>
      </c>
      <c r="D44" s="68">
        <f>'Capacity setup'!C51</f>
        <v>0</v>
      </c>
      <c r="E44" s="68">
        <f>'Capacity setup'!D51</f>
        <v>0</v>
      </c>
      <c r="F44" s="68">
        <f>'Capacity setup'!E51</f>
        <v>0</v>
      </c>
      <c r="H44" s="68">
        <f ca="1">IF(AND(SUMIF(Capacity_Resource,$D44,'Critical resources (hide)'!U$6:U$105)+SUMIF(Capacity_Resource,$E44,'Critical resources (hide)'!U$6:U$105)+SUMIF(Capacity_Resource,$F44,'Critical resources (hide)'!U$6:U$105)&gt;0,$E$1=2),0,1)</f>
        <v>1</v>
      </c>
      <c r="I44" s="68">
        <f ca="1">IF(AND(SUMIF(Capacity_Resource,$D44,'Critical resources (hide)'!V$6:V$105)+SUMIF(Capacity_Resource,$E44,'Critical resources (hide)'!V$6:V$105)+SUMIF(Capacity_Resource,$F44,'Critical resources (hide)'!V$6:V$105)&gt;0,$E$1=2),0,1)</f>
        <v>1</v>
      </c>
      <c r="J44" s="68">
        <f ca="1">IF(AND(SUMIF(Capacity_Resource,$D44,'Critical resources (hide)'!W$6:W$105)+SUMIF(Capacity_Resource,$E44,'Critical resources (hide)'!W$6:W$105)+SUMIF(Capacity_Resource,$F44,'Critical resources (hide)'!W$6:W$105)&gt;0,$E$1=2),0,1)</f>
        <v>1</v>
      </c>
      <c r="K44" s="68">
        <f ca="1">IF(AND(SUMIF(Capacity_Resource,$D44,'Critical resources (hide)'!X$6:X$105)+SUMIF(Capacity_Resource,$E44,'Critical resources (hide)'!X$6:X$105)+SUMIF(Capacity_Resource,$F44,'Critical resources (hide)'!X$6:X$105)&gt;0,$E$1=2),0,1)</f>
        <v>1</v>
      </c>
      <c r="L44" s="68">
        <f ca="1">IF(AND(SUMIF(Capacity_Resource,$D44,'Critical resources (hide)'!Y$6:Y$105)+SUMIF(Capacity_Resource,$E44,'Critical resources (hide)'!Y$6:Y$105)+SUMIF(Capacity_Resource,$F44,'Critical resources (hide)'!Y$6:Y$105)&gt;0,$E$1=2),0,1)</f>
        <v>1</v>
      </c>
      <c r="M44" s="68">
        <f ca="1">IF(AND(SUMIF(Capacity_Resource,$D44,'Critical resources (hide)'!Z$6:Z$105)+SUMIF(Capacity_Resource,$E44,'Critical resources (hide)'!Z$6:Z$105)+SUMIF(Capacity_Resource,$F44,'Critical resources (hide)'!Z$6:Z$105)&gt;0,$E$1=2),0,1)</f>
        <v>1</v>
      </c>
      <c r="N44" s="68">
        <f ca="1">IF(AND(SUMIF(Capacity_Resource,$D44,'Critical resources (hide)'!AA$6:AA$105)+SUMIF(Capacity_Resource,$E44,'Critical resources (hide)'!AA$6:AA$105)+SUMIF(Capacity_Resource,$F44,'Critical resources (hide)'!AA$6:AA$105)&gt;0,$E$1=2),0,1)</f>
        <v>1</v>
      </c>
      <c r="O44" s="68">
        <f ca="1">IF(AND(SUMIF(Capacity_Resource,$D44,'Critical resources (hide)'!AB$6:AB$105)+SUMIF(Capacity_Resource,$E44,'Critical resources (hide)'!AB$6:AB$105)+SUMIF(Capacity_Resource,$F44,'Critical resources (hide)'!AB$6:AB$105)&gt;0,$E$1=2),0,1)</f>
        <v>1</v>
      </c>
      <c r="P44" s="68">
        <f ca="1">IF(AND(SUMIF(Capacity_Resource,$D44,'Critical resources (hide)'!AC$6:AC$105)+SUMIF(Capacity_Resource,$E44,'Critical resources (hide)'!AC$6:AC$105)+SUMIF(Capacity_Resource,$F44,'Critical resources (hide)'!AC$6:AC$105)&gt;0,$E$1=2),0,1)</f>
        <v>1</v>
      </c>
      <c r="Q44" s="68">
        <f ca="1">IF(AND(SUMIF(Capacity_Resource,$D44,'Critical resources (hide)'!AD$6:AD$105)+SUMIF(Capacity_Resource,$E44,'Critical resources (hide)'!AD$6:AD$105)+SUMIF(Capacity_Resource,$F44,'Critical resources (hide)'!AD$6:AD$105)&gt;0,$E$1=2),0,1)</f>
        <v>1</v>
      </c>
      <c r="R44" s="68">
        <f ca="1">IF(AND(SUMIF(Capacity_Resource,$D44,'Critical resources (hide)'!AE$6:AE$105)+SUMIF(Capacity_Resource,$E44,'Critical resources (hide)'!AE$6:AE$105)+SUMIF(Capacity_Resource,$F44,'Critical resources (hide)'!AE$6:AE$105)&gt;0,$E$1=2),0,1)</f>
        <v>1</v>
      </c>
      <c r="S44" s="68">
        <f ca="1">IF(AND(SUMIF(Capacity_Resource,$D44,'Critical resources (hide)'!AF$6:AF$105)+SUMIF(Capacity_Resource,$E44,'Critical resources (hide)'!AF$6:AF$105)+SUMIF(Capacity_Resource,$F44,'Critical resources (hide)'!AF$6:AF$105)&gt;0,$E$1=2),0,1)</f>
        <v>1</v>
      </c>
      <c r="T44" s="68">
        <f ca="1">IF(AND(SUMIF(Capacity_Resource,$D44,'Critical resources (hide)'!AG$6:AG$105)+SUMIF(Capacity_Resource,$E44,'Critical resources (hide)'!AG$6:AG$105)+SUMIF(Capacity_Resource,$F44,'Critical resources (hide)'!AG$6:AG$105)&gt;0,$E$1=2),0,1)</f>
        <v>1</v>
      </c>
      <c r="U44" s="68">
        <f ca="1">IF(AND(SUMIF(Capacity_Resource,$D44,'Critical resources (hide)'!AH$6:AH$105)+SUMIF(Capacity_Resource,$E44,'Critical resources (hide)'!AH$6:AH$105)+SUMIF(Capacity_Resource,$F44,'Critical resources (hide)'!AH$6:AH$105)&gt;0,$E$1=2),0,1)</f>
        <v>1</v>
      </c>
      <c r="V44" s="68">
        <f ca="1">IF(AND(SUMIF(Capacity_Resource,$D44,'Critical resources (hide)'!AI$6:AI$105)+SUMIF(Capacity_Resource,$E44,'Critical resources (hide)'!AI$6:AI$105)+SUMIF(Capacity_Resource,$F44,'Critical resources (hide)'!AI$6:AI$105)&gt;0,$E$1=2),0,1)</f>
        <v>1</v>
      </c>
      <c r="W44" s="68">
        <f ca="1">IF(AND(SUMIF(Capacity_Resource,$D44,'Critical resources (hide)'!AJ$6:AJ$105)+SUMIF(Capacity_Resource,$E44,'Critical resources (hide)'!AJ$6:AJ$105)+SUMIF(Capacity_Resource,$F44,'Critical resources (hide)'!AJ$6:AJ$105)&gt;0,$E$1=2),0,1)</f>
        <v>1</v>
      </c>
      <c r="X44" s="68">
        <f ca="1">IF(AND(SUMIF(Capacity_Resource,$D44,'Critical resources (hide)'!AK$6:AK$105)+SUMIF(Capacity_Resource,$E44,'Critical resources (hide)'!AK$6:AK$105)+SUMIF(Capacity_Resource,$F44,'Critical resources (hide)'!AK$6:AK$105)&gt;0,$E$1=2),0,1)</f>
        <v>1</v>
      </c>
      <c r="Y44" s="68">
        <f ca="1">IF(AND(SUMIF(Capacity_Resource,$D44,'Critical resources (hide)'!AL$6:AL$105)+SUMIF(Capacity_Resource,$E44,'Critical resources (hide)'!AL$6:AL$105)+SUMIF(Capacity_Resource,$F44,'Critical resources (hide)'!AL$6:AL$105)&gt;0,$E$1=2),0,1)</f>
        <v>1</v>
      </c>
      <c r="Z44" s="68">
        <f ca="1">IF(AND(SUMIF(Capacity_Resource,$D44,'Critical resources (hide)'!AM$6:AM$105)+SUMIF(Capacity_Resource,$E44,'Critical resources (hide)'!AM$6:AM$105)+SUMIF(Capacity_Resource,$F44,'Critical resources (hide)'!AM$6:AM$105)&gt;0,$E$1=2),0,1)</f>
        <v>1</v>
      </c>
      <c r="AA44" s="68">
        <f ca="1">IF(AND(SUMIF(Capacity_Resource,$D44,'Critical resources (hide)'!AN$6:AN$105)+SUMIF(Capacity_Resource,$E44,'Critical resources (hide)'!AN$6:AN$105)+SUMIF(Capacity_Resource,$F44,'Critical resources (hide)'!AN$6:AN$105)&gt;0,$E$1=2),0,1)</f>
        <v>1</v>
      </c>
      <c r="AB44" s="68">
        <f ca="1">IF(AND(SUMIF(Capacity_Resource,$D44,'Critical resources (hide)'!AO$6:AO$105)+SUMIF(Capacity_Resource,$E44,'Critical resources (hide)'!AO$6:AO$105)+SUMIF(Capacity_Resource,$F44,'Critical resources (hide)'!AO$6:AO$105)&gt;0,$E$1=2),0,1)</f>
        <v>1</v>
      </c>
      <c r="AC44" s="68">
        <f ca="1">IF(AND(SUMIF(Capacity_Resource,$D44,'Critical resources (hide)'!AP$6:AP$105)+SUMIF(Capacity_Resource,$E44,'Critical resources (hide)'!AP$6:AP$105)+SUMIF(Capacity_Resource,$F44,'Critical resources (hide)'!AP$6:AP$105)&gt;0,$E$1=2),0,1)</f>
        <v>1</v>
      </c>
      <c r="AD44" s="68">
        <f ca="1">IF(AND(SUMIF(Capacity_Resource,$D44,'Critical resources (hide)'!AQ$6:AQ$105)+SUMIF(Capacity_Resource,$E44,'Critical resources (hide)'!AQ$6:AQ$105)+SUMIF(Capacity_Resource,$F44,'Critical resources (hide)'!AQ$6:AQ$105)&gt;0,$E$1=2),0,1)</f>
        <v>1</v>
      </c>
      <c r="AE44" s="68">
        <f ca="1">IF(AND(SUMIF(Capacity_Resource,$D44,'Critical resources (hide)'!AR$6:AR$105)+SUMIF(Capacity_Resource,$E44,'Critical resources (hide)'!AR$6:AR$105)+SUMIF(Capacity_Resource,$F44,'Critical resources (hide)'!AR$6:AR$105)&gt;0,$E$1=2),0,1)</f>
        <v>1</v>
      </c>
      <c r="AF44" s="68">
        <f ca="1">IF(AND(SUMIF(Capacity_Resource,$D44,'Critical resources (hide)'!AS$6:AS$105)+SUMIF(Capacity_Resource,$E44,'Critical resources (hide)'!AS$6:AS$105)+SUMIF(Capacity_Resource,$F44,'Critical resources (hide)'!AS$6:AS$105)&gt;0,$E$1=2),0,1)</f>
        <v>1</v>
      </c>
      <c r="AG44" s="68">
        <f ca="1">IF(AND(SUMIF(Capacity_Resource,$D44,'Critical resources (hide)'!AT$6:AT$105)+SUMIF(Capacity_Resource,$E44,'Critical resources (hide)'!AT$6:AT$105)+SUMIF(Capacity_Resource,$F44,'Critical resources (hide)'!AT$6:AT$105)&gt;0,$E$1=2),0,1)</f>
        <v>1</v>
      </c>
      <c r="AH44" s="68">
        <f ca="1">IF(AND(SUMIF(Capacity_Resource,$D44,'Critical resources (hide)'!AU$6:AU$105)+SUMIF(Capacity_Resource,$E44,'Critical resources (hide)'!AU$6:AU$105)+SUMIF(Capacity_Resource,$F44,'Critical resources (hide)'!AU$6:AU$105)&gt;0,$E$1=2),0,1)</f>
        <v>1</v>
      </c>
      <c r="AI44" s="68">
        <f ca="1">IF(AND(SUMIF(Capacity_Resource,$D44,'Critical resources (hide)'!AV$6:AV$105)+SUMIF(Capacity_Resource,$E44,'Critical resources (hide)'!AV$6:AV$105)+SUMIF(Capacity_Resource,$F44,'Critical resources (hide)'!AV$6:AV$105)&gt;0,$E$1=2),0,1)</f>
        <v>1</v>
      </c>
      <c r="AJ44" s="68">
        <f ca="1">IF(AND(SUMIF(Capacity_Resource,$D44,'Critical resources (hide)'!AW$6:AW$105)+SUMIF(Capacity_Resource,$E44,'Critical resources (hide)'!AW$6:AW$105)+SUMIF(Capacity_Resource,$F44,'Critical resources (hide)'!AW$6:AW$105)&gt;0,$E$1=2),0,1)</f>
        <v>1</v>
      </c>
      <c r="AK44" s="68">
        <f ca="1">IF(AND(SUMIF(Capacity_Resource,$D44,'Critical resources (hide)'!AX$6:AX$105)+SUMIF(Capacity_Resource,$E44,'Critical resources (hide)'!AX$6:AX$105)+SUMIF(Capacity_Resource,$F44,'Critical resources (hide)'!AX$6:AX$105)&gt;0,$E$1=2),0,1)</f>
        <v>1</v>
      </c>
      <c r="AL44" s="68">
        <f ca="1">IF(AND(SUMIF(Capacity_Resource,$D44,'Critical resources (hide)'!AY$6:AY$105)+SUMIF(Capacity_Resource,$E44,'Critical resources (hide)'!AY$6:AY$105)+SUMIF(Capacity_Resource,$F44,'Critical resources (hide)'!AY$6:AY$105)&gt;0,$E$1=2),0,1)</f>
        <v>1</v>
      </c>
      <c r="AM44" s="68">
        <f ca="1">IF(AND(SUMIF(Capacity_Resource,$D44,'Critical resources (hide)'!AZ$6:AZ$105)+SUMIF(Capacity_Resource,$E44,'Critical resources (hide)'!AZ$6:AZ$105)+SUMIF(Capacity_Resource,$F44,'Critical resources (hide)'!AZ$6:AZ$105)&gt;0,$E$1=2),0,1)</f>
        <v>1</v>
      </c>
      <c r="AN44" s="68">
        <f ca="1">IF(AND(SUMIF(Capacity_Resource,$D44,'Critical resources (hide)'!BA$6:BA$105)+SUMIF(Capacity_Resource,$E44,'Critical resources (hide)'!BA$6:BA$105)+SUMIF(Capacity_Resource,$F44,'Critical resources (hide)'!BA$6:BA$105)&gt;0,$E$1=2),0,1)</f>
        <v>1</v>
      </c>
      <c r="AO44" s="68">
        <f ca="1">IF(AND(SUMIF(Capacity_Resource,$D44,'Critical resources (hide)'!BB$6:BB$105)+SUMIF(Capacity_Resource,$E44,'Critical resources (hide)'!BB$6:BB$105)+SUMIF(Capacity_Resource,$F44,'Critical resources (hide)'!BB$6:BB$105)&gt;0,$E$1=2),0,1)</f>
        <v>1</v>
      </c>
      <c r="AP44" s="68">
        <f ca="1">IF(AND(SUMIF(Capacity_Resource,$D44,'Critical resources (hide)'!BC$6:BC$105)+SUMIF(Capacity_Resource,$E44,'Critical resources (hide)'!BC$6:BC$105)+SUMIF(Capacity_Resource,$F44,'Critical resources (hide)'!BC$6:BC$105)&gt;0,$E$1=2),0,1)</f>
        <v>1</v>
      </c>
      <c r="AQ44" s="68">
        <f ca="1">IF(AND(SUMIF(Capacity_Resource,$D44,'Critical resources (hide)'!BD$6:BD$105)+SUMIF(Capacity_Resource,$E44,'Critical resources (hide)'!BD$6:BD$105)+SUMIF(Capacity_Resource,$F44,'Critical resources (hide)'!BD$6:BD$105)&gt;0,$E$1=2),0,1)</f>
        <v>1</v>
      </c>
      <c r="AR44" s="68">
        <f ca="1">IF(AND(SUMIF(Capacity_Resource,$D44,'Critical resources (hide)'!BE$6:BE$105)+SUMIF(Capacity_Resource,$E44,'Critical resources (hide)'!BE$6:BE$105)+SUMIF(Capacity_Resource,$F44,'Critical resources (hide)'!BE$6:BE$105)&gt;0,$E$1=2),0,1)</f>
        <v>1</v>
      </c>
      <c r="AS44" s="68">
        <f ca="1">IF(AND(SUMIF(Capacity_Resource,$D44,'Critical resources (hide)'!BF$6:BF$105)+SUMIF(Capacity_Resource,$E44,'Critical resources (hide)'!BF$6:BF$105)+SUMIF(Capacity_Resource,$F44,'Critical resources (hide)'!BF$6:BF$105)&gt;0,$E$1=2),0,1)</f>
        <v>1</v>
      </c>
      <c r="AT44" s="68">
        <f ca="1">IF(AND(SUMIF(Capacity_Resource,$D44,'Critical resources (hide)'!BG$6:BG$105)+SUMIF(Capacity_Resource,$E44,'Critical resources (hide)'!BG$6:BG$105)+SUMIF(Capacity_Resource,$F44,'Critical resources (hide)'!BG$6:BG$105)&gt;0,$E$1=2),0,1)</f>
        <v>1</v>
      </c>
      <c r="AU44" s="68">
        <f ca="1">IF(AND(SUMIF(Capacity_Resource,$D44,'Critical resources (hide)'!BH$6:BH$105)+SUMIF(Capacity_Resource,$E44,'Critical resources (hide)'!BH$6:BH$105)+SUMIF(Capacity_Resource,$F44,'Critical resources (hide)'!BH$6:BH$105)&gt;0,$E$1=2),0,1)</f>
        <v>1</v>
      </c>
      <c r="AV44" s="68">
        <f ca="1">IF(AND(SUMIF(Capacity_Resource,$D44,'Critical resources (hide)'!BI$6:BI$105)+SUMIF(Capacity_Resource,$E44,'Critical resources (hide)'!BI$6:BI$105)+SUMIF(Capacity_Resource,$F44,'Critical resources (hide)'!BI$6:BI$105)&gt;0,$E$1=2),0,1)</f>
        <v>1</v>
      </c>
      <c r="AW44" s="68">
        <f ca="1">IF(AND(SUMIF(Capacity_Resource,$D44,'Critical resources (hide)'!BJ$6:BJ$105)+SUMIF(Capacity_Resource,$E44,'Critical resources (hide)'!BJ$6:BJ$105)+SUMIF(Capacity_Resource,$F44,'Critical resources (hide)'!BJ$6:BJ$105)&gt;0,$E$1=2),0,1)</f>
        <v>1</v>
      </c>
      <c r="AX44" s="68">
        <f ca="1">IF(AND(SUMIF(Capacity_Resource,$D44,'Critical resources (hide)'!BK$6:BK$105)+SUMIF(Capacity_Resource,$E44,'Critical resources (hide)'!BK$6:BK$105)+SUMIF(Capacity_Resource,$F44,'Critical resources (hide)'!BK$6:BK$105)&gt;0,$E$1=2),0,1)</f>
        <v>1</v>
      </c>
      <c r="AY44" s="68">
        <f ca="1">IF(AND(SUMIF(Capacity_Resource,$D44,'Critical resources (hide)'!BL$6:BL$105)+SUMIF(Capacity_Resource,$E44,'Critical resources (hide)'!BL$6:BL$105)+SUMIF(Capacity_Resource,$F44,'Critical resources (hide)'!BL$6:BL$105)&gt;0,$E$1=2),0,1)</f>
        <v>1</v>
      </c>
      <c r="AZ44" s="68">
        <f ca="1">IF(AND(SUMIF(Capacity_Resource,$D44,'Critical resources (hide)'!BM$6:BM$105)+SUMIF(Capacity_Resource,$E44,'Critical resources (hide)'!BM$6:BM$105)+SUMIF(Capacity_Resource,$F44,'Critical resources (hide)'!BM$6:BM$105)&gt;0,$E$1=2),0,1)</f>
        <v>1</v>
      </c>
      <c r="BA44" s="68">
        <f ca="1">IF(AND(SUMIF(Capacity_Resource,$D44,'Critical resources (hide)'!BN$6:BN$105)+SUMIF(Capacity_Resource,$E44,'Critical resources (hide)'!BN$6:BN$105)+SUMIF(Capacity_Resource,$F44,'Critical resources (hide)'!BN$6:BN$105)&gt;0,$E$1=2),0,1)</f>
        <v>1</v>
      </c>
      <c r="BB44" s="68">
        <f ca="1">IF(AND(SUMIF(Capacity_Resource,$D44,'Critical resources (hide)'!BO$6:BO$105)+SUMIF(Capacity_Resource,$E44,'Critical resources (hide)'!BO$6:BO$105)+SUMIF(Capacity_Resource,$F44,'Critical resources (hide)'!BO$6:BO$105)&gt;0,$E$1=2),0,1)</f>
        <v>1</v>
      </c>
      <c r="BC44" s="68">
        <f ca="1">IF(AND(SUMIF(Capacity_Resource,$D44,'Critical resources (hide)'!BP$6:BP$105)+SUMIF(Capacity_Resource,$E44,'Critical resources (hide)'!BP$6:BP$105)+SUMIF(Capacity_Resource,$F44,'Critical resources (hide)'!BP$6:BP$105)&gt;0,$E$1=2),0,1)</f>
        <v>1</v>
      </c>
      <c r="BD44" s="68">
        <f ca="1">IF(AND(SUMIF(Capacity_Resource,$D44,'Critical resources (hide)'!BQ$6:BQ$105)+SUMIF(Capacity_Resource,$E44,'Critical resources (hide)'!BQ$6:BQ$105)+SUMIF(Capacity_Resource,$F44,'Critical resources (hide)'!BQ$6:BQ$105)&gt;0,$E$1=2),0,1)</f>
        <v>1</v>
      </c>
      <c r="BE44" s="68">
        <f ca="1">IF(AND(SUMIF(Capacity_Resource,$D44,'Critical resources (hide)'!BR$6:BR$105)+SUMIF(Capacity_Resource,$E44,'Critical resources (hide)'!BR$6:BR$105)+SUMIF(Capacity_Resource,$F44,'Critical resources (hide)'!BR$6:BR$105)&gt;0,$E$1=2),0,1)</f>
        <v>1</v>
      </c>
      <c r="BF44" s="68">
        <f ca="1">IF(AND(SUMIF(Capacity_Resource,$D44,'Critical resources (hide)'!BS$6:BS$105)+SUMIF(Capacity_Resource,$E44,'Critical resources (hide)'!BS$6:BS$105)+SUMIF(Capacity_Resource,$F44,'Critical resources (hide)'!BS$6:BS$105)&gt;0,$E$1=2),0,1)</f>
        <v>1</v>
      </c>
      <c r="BG44" s="68">
        <f ca="1">IF(AND(SUMIF(Capacity_Resource,$D44,'Critical resources (hide)'!BT$6:BT$105)+SUMIF(Capacity_Resource,$E44,'Critical resources (hide)'!BT$6:BT$105)+SUMIF(Capacity_Resource,$F44,'Critical resources (hide)'!BT$6:BT$105)&gt;0,$E$1=2),0,1)</f>
        <v>1</v>
      </c>
      <c r="BH44" s="68">
        <f>IF(ROW(C40)&lt;=Capacity!$A$16,IF('Capacity summary'!$D$14="No",SUM(H44:BG44),'Capacity summary'!$E163),0)</f>
        <v>0</v>
      </c>
      <c r="BI44" s="5" t="str">
        <f>IF(BH44&gt;0,IF(BH44&lt;Capacity!E56,Capacity!F56,Capacity!H56/'Capacity calculation (hide)'!BH44),"")</f>
        <v/>
      </c>
      <c r="BK44" s="319">
        <f>IF($BI44&lt;&gt;"",IF('Capacity summary'!$D$14="Yes",IF(COUNTBLANK('Capacity summary'!$H163:$BG163)&lt;52,IF('Capacity summary'!H163&lt;&gt;"",$BI44*H44,0),H44*$BI44),H44*$BI44),0)</f>
        <v>0</v>
      </c>
      <c r="BL44" s="319">
        <f>IF($BI44&lt;&gt;"",IF('Capacity summary'!$D$14="Yes",IF(COUNTBLANK('Capacity summary'!$H163:$BG163)&lt;52,IF('Capacity summary'!I163&lt;&gt;"",$BI44*I44,0),I44*$BI44),I44*$BI44),0)</f>
        <v>0</v>
      </c>
      <c r="BM44" s="319">
        <f>IF($BI44&lt;&gt;"",IF('Capacity summary'!$D$14="Yes",IF(COUNTBLANK('Capacity summary'!$H163:$BG163)&lt;52,IF('Capacity summary'!J163&lt;&gt;"",$BI44*J44,0),J44*$BI44),J44*$BI44),0)</f>
        <v>0</v>
      </c>
      <c r="BN44" s="319">
        <f>IF($BI44&lt;&gt;"",IF('Capacity summary'!$D$14="Yes",IF(COUNTBLANK('Capacity summary'!$H163:$BG163)&lt;52,IF('Capacity summary'!K163&lt;&gt;"",$BI44*K44,0),K44*$BI44),K44*$BI44),0)</f>
        <v>0</v>
      </c>
      <c r="BO44" s="319">
        <f>IF($BI44&lt;&gt;"",IF('Capacity summary'!$D$14="Yes",IF(COUNTBLANK('Capacity summary'!$H163:$BG163)&lt;52,IF('Capacity summary'!L163&lt;&gt;"",$BI44*L44,0),L44*$BI44),L44*$BI44),0)</f>
        <v>0</v>
      </c>
      <c r="BP44" s="319">
        <f>IF($BI44&lt;&gt;"",IF('Capacity summary'!$D$14="Yes",IF(COUNTBLANK('Capacity summary'!$H163:$BG163)&lt;52,IF('Capacity summary'!M163&lt;&gt;"",$BI44*M44,0),M44*$BI44),M44*$BI44),0)</f>
        <v>0</v>
      </c>
      <c r="BQ44" s="319">
        <f>IF($BI44&lt;&gt;"",IF('Capacity summary'!$D$14="Yes",IF(COUNTBLANK('Capacity summary'!$H163:$BG163)&lt;52,IF('Capacity summary'!N163&lt;&gt;"",$BI44*N44,0),N44*$BI44),N44*$BI44),0)</f>
        <v>0</v>
      </c>
      <c r="BR44" s="319">
        <f>IF($BI44&lt;&gt;"",IF('Capacity summary'!$D$14="Yes",IF(COUNTBLANK('Capacity summary'!$H163:$BG163)&lt;52,IF('Capacity summary'!O163&lt;&gt;"",$BI44*O44,0),O44*$BI44),O44*$BI44),0)</f>
        <v>0</v>
      </c>
      <c r="BS44" s="319">
        <f>IF($BI44&lt;&gt;"",IF('Capacity summary'!$D$14="Yes",IF(COUNTBLANK('Capacity summary'!$H163:$BG163)&lt;52,IF('Capacity summary'!P163&lt;&gt;"",$BI44*P44,0),P44*$BI44),P44*$BI44),0)</f>
        <v>0</v>
      </c>
      <c r="BT44" s="319">
        <f>IF($BI44&lt;&gt;"",IF('Capacity summary'!$D$14="Yes",IF(COUNTBLANK('Capacity summary'!$H163:$BG163)&lt;52,IF('Capacity summary'!Q163&lt;&gt;"",$BI44*Q44,0),Q44*$BI44),Q44*$BI44),0)</f>
        <v>0</v>
      </c>
      <c r="BU44" s="319">
        <f>IF($BI44&lt;&gt;"",IF('Capacity summary'!$D$14="Yes",IF(COUNTBLANK('Capacity summary'!$H163:$BG163)&lt;52,IF('Capacity summary'!R163&lt;&gt;"",$BI44*R44,0),R44*$BI44),R44*$BI44),0)</f>
        <v>0</v>
      </c>
      <c r="BV44" s="319">
        <f>IF($BI44&lt;&gt;"",IF('Capacity summary'!$D$14="Yes",IF(COUNTBLANK('Capacity summary'!$H163:$BG163)&lt;52,IF('Capacity summary'!S163&lt;&gt;"",$BI44*S44,0),S44*$BI44),S44*$BI44),0)</f>
        <v>0</v>
      </c>
      <c r="BW44" s="319">
        <f>IF($BI44&lt;&gt;"",IF('Capacity summary'!$D$14="Yes",IF(COUNTBLANK('Capacity summary'!$H163:$BG163)&lt;52,IF('Capacity summary'!T163&lt;&gt;"",$BI44*T44,0),T44*$BI44),T44*$BI44),0)</f>
        <v>0</v>
      </c>
      <c r="BX44" s="319">
        <f>IF($BI44&lt;&gt;"",IF('Capacity summary'!$D$14="Yes",IF(COUNTBLANK('Capacity summary'!$H163:$BG163)&lt;52,IF('Capacity summary'!U163&lt;&gt;"",$BI44*U44,0),U44*$BI44),U44*$BI44),0)</f>
        <v>0</v>
      </c>
      <c r="BY44" s="319">
        <f>IF($BI44&lt;&gt;"",IF('Capacity summary'!$D$14="Yes",IF(COUNTBLANK('Capacity summary'!$H163:$BG163)&lt;52,IF('Capacity summary'!V163&lt;&gt;"",$BI44*V44,0),V44*$BI44),V44*$BI44),0)</f>
        <v>0</v>
      </c>
      <c r="BZ44" s="319">
        <f>IF($BI44&lt;&gt;"",IF('Capacity summary'!$D$14="Yes",IF(COUNTBLANK('Capacity summary'!$H163:$BG163)&lt;52,IF('Capacity summary'!W163&lt;&gt;"",$BI44*W44,0),W44*$BI44),W44*$BI44),0)</f>
        <v>0</v>
      </c>
      <c r="CA44" s="319">
        <f>IF($BI44&lt;&gt;"",IF('Capacity summary'!$D$14="Yes",IF(COUNTBLANK('Capacity summary'!$H163:$BG163)&lt;52,IF('Capacity summary'!X163&lt;&gt;"",$BI44*X44,0),X44*$BI44),X44*$BI44),0)</f>
        <v>0</v>
      </c>
      <c r="CB44" s="319">
        <f>IF($BI44&lt;&gt;"",IF('Capacity summary'!$D$14="Yes",IF(COUNTBLANK('Capacity summary'!$H163:$BG163)&lt;52,IF('Capacity summary'!Y163&lt;&gt;"",$BI44*Y44,0),Y44*$BI44),Y44*$BI44),0)</f>
        <v>0</v>
      </c>
      <c r="CC44" s="319">
        <f>IF($BI44&lt;&gt;"",IF('Capacity summary'!$D$14="Yes",IF(COUNTBLANK('Capacity summary'!$H163:$BG163)&lt;52,IF('Capacity summary'!Z163&lt;&gt;"",$BI44*Z44,0),Z44*$BI44),Z44*$BI44),0)</f>
        <v>0</v>
      </c>
      <c r="CD44" s="319">
        <f>IF($BI44&lt;&gt;"",IF('Capacity summary'!$D$14="Yes",IF(COUNTBLANK('Capacity summary'!$H163:$BG163)&lt;52,IF('Capacity summary'!AA163&lt;&gt;"",$BI44*AA44,0),AA44*$BI44),AA44*$BI44),0)</f>
        <v>0</v>
      </c>
      <c r="CE44" s="319">
        <f>IF($BI44&lt;&gt;"",IF('Capacity summary'!$D$14="Yes",IF(COUNTBLANK('Capacity summary'!$H163:$BG163)&lt;52,IF('Capacity summary'!AB163&lt;&gt;"",$BI44*AB44,0),AB44*$BI44),AB44*$BI44),0)</f>
        <v>0</v>
      </c>
      <c r="CF44" s="319">
        <f>IF($BI44&lt;&gt;"",IF('Capacity summary'!$D$14="Yes",IF(COUNTBLANK('Capacity summary'!$H163:$BG163)&lt;52,IF('Capacity summary'!AC163&lt;&gt;"",$BI44*AC44,0),AC44*$BI44),AC44*$BI44),0)</f>
        <v>0</v>
      </c>
      <c r="CG44" s="319">
        <f>IF($BI44&lt;&gt;"",IF('Capacity summary'!$D$14="Yes",IF(COUNTBLANK('Capacity summary'!$H163:$BG163)&lt;52,IF('Capacity summary'!AD163&lt;&gt;"",$BI44*AD44,0),AD44*$BI44),AD44*$BI44),0)</f>
        <v>0</v>
      </c>
      <c r="CH44" s="319">
        <f>IF($BI44&lt;&gt;"",IF('Capacity summary'!$D$14="Yes",IF(COUNTBLANK('Capacity summary'!$H163:$BG163)&lt;52,IF('Capacity summary'!AE163&lt;&gt;"",$BI44*AE44,0),AE44*$BI44),AE44*$BI44),0)</f>
        <v>0</v>
      </c>
      <c r="CI44" s="319">
        <f>IF($BI44&lt;&gt;"",IF('Capacity summary'!$D$14="Yes",IF(COUNTBLANK('Capacity summary'!$H163:$BG163)&lt;52,IF('Capacity summary'!AF163&lt;&gt;"",$BI44*AF44,0),AF44*$BI44),AF44*$BI44),0)</f>
        <v>0</v>
      </c>
      <c r="CJ44" s="319">
        <f>IF($BI44&lt;&gt;"",IF('Capacity summary'!$D$14="Yes",IF(COUNTBLANK('Capacity summary'!$H163:$BG163)&lt;52,IF('Capacity summary'!AG163&lt;&gt;"",$BI44*AG44,0),AG44*$BI44),AG44*$BI44),0)</f>
        <v>0</v>
      </c>
      <c r="CK44" s="319">
        <f>IF($BI44&lt;&gt;"",IF('Capacity summary'!$D$14="Yes",IF(COUNTBLANK('Capacity summary'!$H163:$BG163)&lt;52,IF('Capacity summary'!AH163&lt;&gt;"",$BI44*AH44,0),AH44*$BI44),AH44*$BI44),0)</f>
        <v>0</v>
      </c>
      <c r="CL44" s="319">
        <f>IF($BI44&lt;&gt;"",IF('Capacity summary'!$D$14="Yes",IF(COUNTBLANK('Capacity summary'!$H163:$BG163)&lt;52,IF('Capacity summary'!AI163&lt;&gt;"",$BI44*AI44,0),AI44*$BI44),AI44*$BI44),0)</f>
        <v>0</v>
      </c>
      <c r="CM44" s="319">
        <f>IF($BI44&lt;&gt;"",IF('Capacity summary'!$D$14="Yes",IF(COUNTBLANK('Capacity summary'!$H163:$BG163)&lt;52,IF('Capacity summary'!AJ163&lt;&gt;"",$BI44*AJ44,0),AJ44*$BI44),AJ44*$BI44),0)</f>
        <v>0</v>
      </c>
      <c r="CN44" s="319">
        <f>IF($BI44&lt;&gt;"",IF('Capacity summary'!$D$14="Yes",IF(COUNTBLANK('Capacity summary'!$H163:$BG163)&lt;52,IF('Capacity summary'!AK163&lt;&gt;"",$BI44*AK44,0),AK44*$BI44),AK44*$BI44),0)</f>
        <v>0</v>
      </c>
      <c r="CO44" s="319">
        <f>IF($BI44&lt;&gt;"",IF('Capacity summary'!$D$14="Yes",IF(COUNTBLANK('Capacity summary'!$H163:$BG163)&lt;52,IF('Capacity summary'!AL163&lt;&gt;"",$BI44*AL44,0),AL44*$BI44),AL44*$BI44),0)</f>
        <v>0</v>
      </c>
      <c r="CP44" s="319">
        <f>IF($BI44&lt;&gt;"",IF('Capacity summary'!$D$14="Yes",IF(COUNTBLANK('Capacity summary'!$H163:$BG163)&lt;52,IF('Capacity summary'!AM163&lt;&gt;"",$BI44*AM44,0),AM44*$BI44),AM44*$BI44),0)</f>
        <v>0</v>
      </c>
      <c r="CQ44" s="319">
        <f>IF($BI44&lt;&gt;"",IF('Capacity summary'!$D$14="Yes",IF(COUNTBLANK('Capacity summary'!$H163:$BG163)&lt;52,IF('Capacity summary'!AN163&lt;&gt;"",$BI44*AN44,0),AN44*$BI44),AN44*$BI44),0)</f>
        <v>0</v>
      </c>
      <c r="CR44" s="319">
        <f>IF($BI44&lt;&gt;"",IF('Capacity summary'!$D$14="Yes",IF(COUNTBLANK('Capacity summary'!$H163:$BG163)&lt;52,IF('Capacity summary'!AO163&lt;&gt;"",$BI44*AO44,0),AO44*$BI44),AO44*$BI44),0)</f>
        <v>0</v>
      </c>
      <c r="CS44" s="319">
        <f>IF($BI44&lt;&gt;"",IF('Capacity summary'!$D$14="Yes",IF(COUNTBLANK('Capacity summary'!$H163:$BG163)&lt;52,IF('Capacity summary'!AP163&lt;&gt;"",$BI44*AP44,0),AP44*$BI44),AP44*$BI44),0)</f>
        <v>0</v>
      </c>
      <c r="CT44" s="319">
        <f>IF($BI44&lt;&gt;"",IF('Capacity summary'!$D$14="Yes",IF(COUNTBLANK('Capacity summary'!$H163:$BG163)&lt;52,IF('Capacity summary'!AQ163&lt;&gt;"",$BI44*AQ44,0),AQ44*$BI44),AQ44*$BI44),0)</f>
        <v>0</v>
      </c>
      <c r="CU44" s="319">
        <f>IF($BI44&lt;&gt;"",IF('Capacity summary'!$D$14="Yes",IF(COUNTBLANK('Capacity summary'!$H163:$BG163)&lt;52,IF('Capacity summary'!AR163&lt;&gt;"",$BI44*AR44,0),AR44*$BI44),AR44*$BI44),0)</f>
        <v>0</v>
      </c>
      <c r="CV44" s="319">
        <f>IF($BI44&lt;&gt;"",IF('Capacity summary'!$D$14="Yes",IF(COUNTBLANK('Capacity summary'!$H163:$BG163)&lt;52,IF('Capacity summary'!AS163&lt;&gt;"",$BI44*AS44,0),AS44*$BI44),AS44*$BI44),0)</f>
        <v>0</v>
      </c>
      <c r="CW44" s="319">
        <f>IF($BI44&lt;&gt;"",IF('Capacity summary'!$D$14="Yes",IF(COUNTBLANK('Capacity summary'!$H163:$BG163)&lt;52,IF('Capacity summary'!AT163&lt;&gt;"",$BI44*AT44,0),AT44*$BI44),AT44*$BI44),0)</f>
        <v>0</v>
      </c>
      <c r="CX44" s="319">
        <f>IF($BI44&lt;&gt;"",IF('Capacity summary'!$D$14="Yes",IF(COUNTBLANK('Capacity summary'!$H163:$BG163)&lt;52,IF('Capacity summary'!AU163&lt;&gt;"",$BI44*AU44,0),AU44*$BI44),AU44*$BI44),0)</f>
        <v>0</v>
      </c>
      <c r="CY44" s="319">
        <f>IF($BI44&lt;&gt;"",IF('Capacity summary'!$D$14="Yes",IF(COUNTBLANK('Capacity summary'!$H163:$BG163)&lt;52,IF('Capacity summary'!AV163&lt;&gt;"",$BI44*AV44,0),AV44*$BI44),AV44*$BI44),0)</f>
        <v>0</v>
      </c>
      <c r="CZ44" s="319">
        <f>IF($BI44&lt;&gt;"",IF('Capacity summary'!$D$14="Yes",IF(COUNTBLANK('Capacity summary'!$H163:$BG163)&lt;52,IF('Capacity summary'!AW163&lt;&gt;"",$BI44*AW44,0),AW44*$BI44),AW44*$BI44),0)</f>
        <v>0</v>
      </c>
      <c r="DA44" s="319">
        <f>IF($BI44&lt;&gt;"",IF('Capacity summary'!$D$14="Yes",IF(COUNTBLANK('Capacity summary'!$H163:$BG163)&lt;52,IF('Capacity summary'!AX163&lt;&gt;"",$BI44*AX44,0),AX44*$BI44),AX44*$BI44),0)</f>
        <v>0</v>
      </c>
      <c r="DB44" s="319">
        <f>IF($BI44&lt;&gt;"",IF('Capacity summary'!$D$14="Yes",IF(COUNTBLANK('Capacity summary'!$H163:$BG163)&lt;52,IF('Capacity summary'!AY163&lt;&gt;"",$BI44*AY44,0),AY44*$BI44),AY44*$BI44),0)</f>
        <v>0</v>
      </c>
      <c r="DC44" s="319">
        <f>IF($BI44&lt;&gt;"",IF('Capacity summary'!$D$14="Yes",IF(COUNTBLANK('Capacity summary'!$H163:$BG163)&lt;52,IF('Capacity summary'!AZ163&lt;&gt;"",$BI44*AZ44,0),AZ44*$BI44),AZ44*$BI44),0)</f>
        <v>0</v>
      </c>
      <c r="DD44" s="319">
        <f>IF($BI44&lt;&gt;"",IF('Capacity summary'!$D$14="Yes",IF(COUNTBLANK('Capacity summary'!$H163:$BG163)&lt;52,IF('Capacity summary'!BA163&lt;&gt;"",$BI44*BA44,0),BA44*$BI44),BA44*$BI44),0)</f>
        <v>0</v>
      </c>
      <c r="DE44" s="319">
        <f>IF($BI44&lt;&gt;"",IF('Capacity summary'!$D$14="Yes",IF(COUNTBLANK('Capacity summary'!$H163:$BG163)&lt;52,IF('Capacity summary'!BB163&lt;&gt;"",$BI44*BB44,0),BB44*$BI44),BB44*$BI44),0)</f>
        <v>0</v>
      </c>
      <c r="DF44" s="319">
        <f>IF($BI44&lt;&gt;"",IF('Capacity summary'!$D$14="Yes",IF(COUNTBLANK('Capacity summary'!$H163:$BG163)&lt;52,IF('Capacity summary'!BC163&lt;&gt;"",$BI44*BC44,0),BC44*$BI44),BC44*$BI44),0)</f>
        <v>0</v>
      </c>
      <c r="DG44" s="319">
        <f>IF($BI44&lt;&gt;"",IF('Capacity summary'!$D$14="Yes",IF(COUNTBLANK('Capacity summary'!$H163:$BG163)&lt;52,IF('Capacity summary'!BD163&lt;&gt;"",$BI44*BD44,0),BD44*$BI44),BD44*$BI44),0)</f>
        <v>0</v>
      </c>
      <c r="DH44" s="319">
        <f>IF($BI44&lt;&gt;"",IF('Capacity summary'!$D$14="Yes",IF(COUNTBLANK('Capacity summary'!$H163:$BG163)&lt;52,IF('Capacity summary'!BE163&lt;&gt;"",$BI44*BE44,0),BE44*$BI44),BE44*$BI44),0)</f>
        <v>0</v>
      </c>
      <c r="DI44" s="319">
        <f>IF($BI44&lt;&gt;"",IF('Capacity summary'!$D$14="Yes",IF(COUNTBLANK('Capacity summary'!$H163:$BG163)&lt;52,IF('Capacity summary'!BF163&lt;&gt;"",$BI44*BF44,0),BF44*$BI44),BF44*$BI44),0)</f>
        <v>0</v>
      </c>
      <c r="DJ44" s="319">
        <f>IF($BI44&lt;&gt;"",IF('Capacity summary'!$D$14="Yes",IF(COUNTBLANK('Capacity summary'!$H163:$BG163)&lt;52,IF('Capacity summary'!BG163&lt;&gt;"",$BI44*BG44,0),BG44*$BI44),BG44*$BI44),0)</f>
        <v>0</v>
      </c>
      <c r="DK44" s="5">
        <f t="shared" si="2"/>
        <v>0</v>
      </c>
      <c r="DL44" s="5" t="str">
        <f>Capacity!H56</f>
        <v/>
      </c>
      <c r="DP44" s="5"/>
    </row>
    <row r="45" spans="2:120" x14ac:dyDescent="0.2">
      <c r="B45" s="68"/>
      <c r="C45" s="68" t="str">
        <f>ROW(A41)&amp;". "&amp;Capacity!B57</f>
        <v xml:space="preserve">41. </v>
      </c>
      <c r="D45" s="68">
        <f>'Capacity setup'!C52</f>
        <v>0</v>
      </c>
      <c r="E45" s="68">
        <f>'Capacity setup'!D52</f>
        <v>0</v>
      </c>
      <c r="F45" s="68">
        <f>'Capacity setup'!E52</f>
        <v>0</v>
      </c>
      <c r="H45" s="68">
        <f ca="1">IF(AND(SUMIF(Capacity_Resource,$D45,'Critical resources (hide)'!U$6:U$105)+SUMIF(Capacity_Resource,$E45,'Critical resources (hide)'!U$6:U$105)+SUMIF(Capacity_Resource,$F45,'Critical resources (hide)'!U$6:U$105)&gt;0,$E$1=2),0,1)</f>
        <v>1</v>
      </c>
      <c r="I45" s="68">
        <f ca="1">IF(AND(SUMIF(Capacity_Resource,$D45,'Critical resources (hide)'!V$6:V$105)+SUMIF(Capacity_Resource,$E45,'Critical resources (hide)'!V$6:V$105)+SUMIF(Capacity_Resource,$F45,'Critical resources (hide)'!V$6:V$105)&gt;0,$E$1=2),0,1)</f>
        <v>1</v>
      </c>
      <c r="J45" s="68">
        <f ca="1">IF(AND(SUMIF(Capacity_Resource,$D45,'Critical resources (hide)'!W$6:W$105)+SUMIF(Capacity_Resource,$E45,'Critical resources (hide)'!W$6:W$105)+SUMIF(Capacity_Resource,$F45,'Critical resources (hide)'!W$6:W$105)&gt;0,$E$1=2),0,1)</f>
        <v>1</v>
      </c>
      <c r="K45" s="68">
        <f ca="1">IF(AND(SUMIF(Capacity_Resource,$D45,'Critical resources (hide)'!X$6:X$105)+SUMIF(Capacity_Resource,$E45,'Critical resources (hide)'!X$6:X$105)+SUMIF(Capacity_Resource,$F45,'Critical resources (hide)'!X$6:X$105)&gt;0,$E$1=2),0,1)</f>
        <v>1</v>
      </c>
      <c r="L45" s="68">
        <f ca="1">IF(AND(SUMIF(Capacity_Resource,$D45,'Critical resources (hide)'!Y$6:Y$105)+SUMIF(Capacity_Resource,$E45,'Critical resources (hide)'!Y$6:Y$105)+SUMIF(Capacity_Resource,$F45,'Critical resources (hide)'!Y$6:Y$105)&gt;0,$E$1=2),0,1)</f>
        <v>1</v>
      </c>
      <c r="M45" s="68">
        <f ca="1">IF(AND(SUMIF(Capacity_Resource,$D45,'Critical resources (hide)'!Z$6:Z$105)+SUMIF(Capacity_Resource,$E45,'Critical resources (hide)'!Z$6:Z$105)+SUMIF(Capacity_Resource,$F45,'Critical resources (hide)'!Z$6:Z$105)&gt;0,$E$1=2),0,1)</f>
        <v>1</v>
      </c>
      <c r="N45" s="68">
        <f ca="1">IF(AND(SUMIF(Capacity_Resource,$D45,'Critical resources (hide)'!AA$6:AA$105)+SUMIF(Capacity_Resource,$E45,'Critical resources (hide)'!AA$6:AA$105)+SUMIF(Capacity_Resource,$F45,'Critical resources (hide)'!AA$6:AA$105)&gt;0,$E$1=2),0,1)</f>
        <v>1</v>
      </c>
      <c r="O45" s="68">
        <f ca="1">IF(AND(SUMIF(Capacity_Resource,$D45,'Critical resources (hide)'!AB$6:AB$105)+SUMIF(Capacity_Resource,$E45,'Critical resources (hide)'!AB$6:AB$105)+SUMIF(Capacity_Resource,$F45,'Critical resources (hide)'!AB$6:AB$105)&gt;0,$E$1=2),0,1)</f>
        <v>1</v>
      </c>
      <c r="P45" s="68">
        <f ca="1">IF(AND(SUMIF(Capacity_Resource,$D45,'Critical resources (hide)'!AC$6:AC$105)+SUMIF(Capacity_Resource,$E45,'Critical resources (hide)'!AC$6:AC$105)+SUMIF(Capacity_Resource,$F45,'Critical resources (hide)'!AC$6:AC$105)&gt;0,$E$1=2),0,1)</f>
        <v>1</v>
      </c>
      <c r="Q45" s="68">
        <f ca="1">IF(AND(SUMIF(Capacity_Resource,$D45,'Critical resources (hide)'!AD$6:AD$105)+SUMIF(Capacity_Resource,$E45,'Critical resources (hide)'!AD$6:AD$105)+SUMIF(Capacity_Resource,$F45,'Critical resources (hide)'!AD$6:AD$105)&gt;0,$E$1=2),0,1)</f>
        <v>1</v>
      </c>
      <c r="R45" s="68">
        <f ca="1">IF(AND(SUMIF(Capacity_Resource,$D45,'Critical resources (hide)'!AE$6:AE$105)+SUMIF(Capacity_Resource,$E45,'Critical resources (hide)'!AE$6:AE$105)+SUMIF(Capacity_Resource,$F45,'Critical resources (hide)'!AE$6:AE$105)&gt;0,$E$1=2),0,1)</f>
        <v>1</v>
      </c>
      <c r="S45" s="68">
        <f ca="1">IF(AND(SUMIF(Capacity_Resource,$D45,'Critical resources (hide)'!AF$6:AF$105)+SUMIF(Capacity_Resource,$E45,'Critical resources (hide)'!AF$6:AF$105)+SUMIF(Capacity_Resource,$F45,'Critical resources (hide)'!AF$6:AF$105)&gt;0,$E$1=2),0,1)</f>
        <v>1</v>
      </c>
      <c r="T45" s="68">
        <f ca="1">IF(AND(SUMIF(Capacity_Resource,$D45,'Critical resources (hide)'!AG$6:AG$105)+SUMIF(Capacity_Resource,$E45,'Critical resources (hide)'!AG$6:AG$105)+SUMIF(Capacity_Resource,$F45,'Critical resources (hide)'!AG$6:AG$105)&gt;0,$E$1=2),0,1)</f>
        <v>1</v>
      </c>
      <c r="U45" s="68">
        <f ca="1">IF(AND(SUMIF(Capacity_Resource,$D45,'Critical resources (hide)'!AH$6:AH$105)+SUMIF(Capacity_Resource,$E45,'Critical resources (hide)'!AH$6:AH$105)+SUMIF(Capacity_Resource,$F45,'Critical resources (hide)'!AH$6:AH$105)&gt;0,$E$1=2),0,1)</f>
        <v>1</v>
      </c>
      <c r="V45" s="68">
        <f ca="1">IF(AND(SUMIF(Capacity_Resource,$D45,'Critical resources (hide)'!AI$6:AI$105)+SUMIF(Capacity_Resource,$E45,'Critical resources (hide)'!AI$6:AI$105)+SUMIF(Capacity_Resource,$F45,'Critical resources (hide)'!AI$6:AI$105)&gt;0,$E$1=2),0,1)</f>
        <v>1</v>
      </c>
      <c r="W45" s="68">
        <f ca="1">IF(AND(SUMIF(Capacity_Resource,$D45,'Critical resources (hide)'!AJ$6:AJ$105)+SUMIF(Capacity_Resource,$E45,'Critical resources (hide)'!AJ$6:AJ$105)+SUMIF(Capacity_Resource,$F45,'Critical resources (hide)'!AJ$6:AJ$105)&gt;0,$E$1=2),0,1)</f>
        <v>1</v>
      </c>
      <c r="X45" s="68">
        <f ca="1">IF(AND(SUMIF(Capacity_Resource,$D45,'Critical resources (hide)'!AK$6:AK$105)+SUMIF(Capacity_Resource,$E45,'Critical resources (hide)'!AK$6:AK$105)+SUMIF(Capacity_Resource,$F45,'Critical resources (hide)'!AK$6:AK$105)&gt;0,$E$1=2),0,1)</f>
        <v>1</v>
      </c>
      <c r="Y45" s="68">
        <f ca="1">IF(AND(SUMIF(Capacity_Resource,$D45,'Critical resources (hide)'!AL$6:AL$105)+SUMIF(Capacity_Resource,$E45,'Critical resources (hide)'!AL$6:AL$105)+SUMIF(Capacity_Resource,$F45,'Critical resources (hide)'!AL$6:AL$105)&gt;0,$E$1=2),0,1)</f>
        <v>1</v>
      </c>
      <c r="Z45" s="68">
        <f ca="1">IF(AND(SUMIF(Capacity_Resource,$D45,'Critical resources (hide)'!AM$6:AM$105)+SUMIF(Capacity_Resource,$E45,'Critical resources (hide)'!AM$6:AM$105)+SUMIF(Capacity_Resource,$F45,'Critical resources (hide)'!AM$6:AM$105)&gt;0,$E$1=2),0,1)</f>
        <v>1</v>
      </c>
      <c r="AA45" s="68">
        <f ca="1">IF(AND(SUMIF(Capacity_Resource,$D45,'Critical resources (hide)'!AN$6:AN$105)+SUMIF(Capacity_Resource,$E45,'Critical resources (hide)'!AN$6:AN$105)+SUMIF(Capacity_Resource,$F45,'Critical resources (hide)'!AN$6:AN$105)&gt;0,$E$1=2),0,1)</f>
        <v>1</v>
      </c>
      <c r="AB45" s="68">
        <f ca="1">IF(AND(SUMIF(Capacity_Resource,$D45,'Critical resources (hide)'!AO$6:AO$105)+SUMIF(Capacity_Resource,$E45,'Critical resources (hide)'!AO$6:AO$105)+SUMIF(Capacity_Resource,$F45,'Critical resources (hide)'!AO$6:AO$105)&gt;0,$E$1=2),0,1)</f>
        <v>1</v>
      </c>
      <c r="AC45" s="68">
        <f ca="1">IF(AND(SUMIF(Capacity_Resource,$D45,'Critical resources (hide)'!AP$6:AP$105)+SUMIF(Capacity_Resource,$E45,'Critical resources (hide)'!AP$6:AP$105)+SUMIF(Capacity_Resource,$F45,'Critical resources (hide)'!AP$6:AP$105)&gt;0,$E$1=2),0,1)</f>
        <v>1</v>
      </c>
      <c r="AD45" s="68">
        <f ca="1">IF(AND(SUMIF(Capacity_Resource,$D45,'Critical resources (hide)'!AQ$6:AQ$105)+SUMIF(Capacity_Resource,$E45,'Critical resources (hide)'!AQ$6:AQ$105)+SUMIF(Capacity_Resource,$F45,'Critical resources (hide)'!AQ$6:AQ$105)&gt;0,$E$1=2),0,1)</f>
        <v>1</v>
      </c>
      <c r="AE45" s="68">
        <f ca="1">IF(AND(SUMIF(Capacity_Resource,$D45,'Critical resources (hide)'!AR$6:AR$105)+SUMIF(Capacity_Resource,$E45,'Critical resources (hide)'!AR$6:AR$105)+SUMIF(Capacity_Resource,$F45,'Critical resources (hide)'!AR$6:AR$105)&gt;0,$E$1=2),0,1)</f>
        <v>1</v>
      </c>
      <c r="AF45" s="68">
        <f ca="1">IF(AND(SUMIF(Capacity_Resource,$D45,'Critical resources (hide)'!AS$6:AS$105)+SUMIF(Capacity_Resource,$E45,'Critical resources (hide)'!AS$6:AS$105)+SUMIF(Capacity_Resource,$F45,'Critical resources (hide)'!AS$6:AS$105)&gt;0,$E$1=2),0,1)</f>
        <v>1</v>
      </c>
      <c r="AG45" s="68">
        <f ca="1">IF(AND(SUMIF(Capacity_Resource,$D45,'Critical resources (hide)'!AT$6:AT$105)+SUMIF(Capacity_Resource,$E45,'Critical resources (hide)'!AT$6:AT$105)+SUMIF(Capacity_Resource,$F45,'Critical resources (hide)'!AT$6:AT$105)&gt;0,$E$1=2),0,1)</f>
        <v>1</v>
      </c>
      <c r="AH45" s="68">
        <f ca="1">IF(AND(SUMIF(Capacity_Resource,$D45,'Critical resources (hide)'!AU$6:AU$105)+SUMIF(Capacity_Resource,$E45,'Critical resources (hide)'!AU$6:AU$105)+SUMIF(Capacity_Resource,$F45,'Critical resources (hide)'!AU$6:AU$105)&gt;0,$E$1=2),0,1)</f>
        <v>1</v>
      </c>
      <c r="AI45" s="68">
        <f ca="1">IF(AND(SUMIF(Capacity_Resource,$D45,'Critical resources (hide)'!AV$6:AV$105)+SUMIF(Capacity_Resource,$E45,'Critical resources (hide)'!AV$6:AV$105)+SUMIF(Capacity_Resource,$F45,'Critical resources (hide)'!AV$6:AV$105)&gt;0,$E$1=2),0,1)</f>
        <v>1</v>
      </c>
      <c r="AJ45" s="68">
        <f ca="1">IF(AND(SUMIF(Capacity_Resource,$D45,'Critical resources (hide)'!AW$6:AW$105)+SUMIF(Capacity_Resource,$E45,'Critical resources (hide)'!AW$6:AW$105)+SUMIF(Capacity_Resource,$F45,'Critical resources (hide)'!AW$6:AW$105)&gt;0,$E$1=2),0,1)</f>
        <v>1</v>
      </c>
      <c r="AK45" s="68">
        <f ca="1">IF(AND(SUMIF(Capacity_Resource,$D45,'Critical resources (hide)'!AX$6:AX$105)+SUMIF(Capacity_Resource,$E45,'Critical resources (hide)'!AX$6:AX$105)+SUMIF(Capacity_Resource,$F45,'Critical resources (hide)'!AX$6:AX$105)&gt;0,$E$1=2),0,1)</f>
        <v>1</v>
      </c>
      <c r="AL45" s="68">
        <f ca="1">IF(AND(SUMIF(Capacity_Resource,$D45,'Critical resources (hide)'!AY$6:AY$105)+SUMIF(Capacity_Resource,$E45,'Critical resources (hide)'!AY$6:AY$105)+SUMIF(Capacity_Resource,$F45,'Critical resources (hide)'!AY$6:AY$105)&gt;0,$E$1=2),0,1)</f>
        <v>1</v>
      </c>
      <c r="AM45" s="68">
        <f ca="1">IF(AND(SUMIF(Capacity_Resource,$D45,'Critical resources (hide)'!AZ$6:AZ$105)+SUMIF(Capacity_Resource,$E45,'Critical resources (hide)'!AZ$6:AZ$105)+SUMIF(Capacity_Resource,$F45,'Critical resources (hide)'!AZ$6:AZ$105)&gt;0,$E$1=2),0,1)</f>
        <v>1</v>
      </c>
      <c r="AN45" s="68">
        <f ca="1">IF(AND(SUMIF(Capacity_Resource,$D45,'Critical resources (hide)'!BA$6:BA$105)+SUMIF(Capacity_Resource,$E45,'Critical resources (hide)'!BA$6:BA$105)+SUMIF(Capacity_Resource,$F45,'Critical resources (hide)'!BA$6:BA$105)&gt;0,$E$1=2),0,1)</f>
        <v>1</v>
      </c>
      <c r="AO45" s="68">
        <f ca="1">IF(AND(SUMIF(Capacity_Resource,$D45,'Critical resources (hide)'!BB$6:BB$105)+SUMIF(Capacity_Resource,$E45,'Critical resources (hide)'!BB$6:BB$105)+SUMIF(Capacity_Resource,$F45,'Critical resources (hide)'!BB$6:BB$105)&gt;0,$E$1=2),0,1)</f>
        <v>1</v>
      </c>
      <c r="AP45" s="68">
        <f ca="1">IF(AND(SUMIF(Capacity_Resource,$D45,'Critical resources (hide)'!BC$6:BC$105)+SUMIF(Capacity_Resource,$E45,'Critical resources (hide)'!BC$6:BC$105)+SUMIF(Capacity_Resource,$F45,'Critical resources (hide)'!BC$6:BC$105)&gt;0,$E$1=2),0,1)</f>
        <v>1</v>
      </c>
      <c r="AQ45" s="68">
        <f ca="1">IF(AND(SUMIF(Capacity_Resource,$D45,'Critical resources (hide)'!BD$6:BD$105)+SUMIF(Capacity_Resource,$E45,'Critical resources (hide)'!BD$6:BD$105)+SUMIF(Capacity_Resource,$F45,'Critical resources (hide)'!BD$6:BD$105)&gt;0,$E$1=2),0,1)</f>
        <v>1</v>
      </c>
      <c r="AR45" s="68">
        <f ca="1">IF(AND(SUMIF(Capacity_Resource,$D45,'Critical resources (hide)'!BE$6:BE$105)+SUMIF(Capacity_Resource,$E45,'Critical resources (hide)'!BE$6:BE$105)+SUMIF(Capacity_Resource,$F45,'Critical resources (hide)'!BE$6:BE$105)&gt;0,$E$1=2),0,1)</f>
        <v>1</v>
      </c>
      <c r="AS45" s="68">
        <f ca="1">IF(AND(SUMIF(Capacity_Resource,$D45,'Critical resources (hide)'!BF$6:BF$105)+SUMIF(Capacity_Resource,$E45,'Critical resources (hide)'!BF$6:BF$105)+SUMIF(Capacity_Resource,$F45,'Critical resources (hide)'!BF$6:BF$105)&gt;0,$E$1=2),0,1)</f>
        <v>1</v>
      </c>
      <c r="AT45" s="68">
        <f ca="1">IF(AND(SUMIF(Capacity_Resource,$D45,'Critical resources (hide)'!BG$6:BG$105)+SUMIF(Capacity_Resource,$E45,'Critical resources (hide)'!BG$6:BG$105)+SUMIF(Capacity_Resource,$F45,'Critical resources (hide)'!BG$6:BG$105)&gt;0,$E$1=2),0,1)</f>
        <v>1</v>
      </c>
      <c r="AU45" s="68">
        <f ca="1">IF(AND(SUMIF(Capacity_Resource,$D45,'Critical resources (hide)'!BH$6:BH$105)+SUMIF(Capacity_Resource,$E45,'Critical resources (hide)'!BH$6:BH$105)+SUMIF(Capacity_Resource,$F45,'Critical resources (hide)'!BH$6:BH$105)&gt;0,$E$1=2),0,1)</f>
        <v>1</v>
      </c>
      <c r="AV45" s="68">
        <f ca="1">IF(AND(SUMIF(Capacity_Resource,$D45,'Critical resources (hide)'!BI$6:BI$105)+SUMIF(Capacity_Resource,$E45,'Critical resources (hide)'!BI$6:BI$105)+SUMIF(Capacity_Resource,$F45,'Critical resources (hide)'!BI$6:BI$105)&gt;0,$E$1=2),0,1)</f>
        <v>1</v>
      </c>
      <c r="AW45" s="68">
        <f ca="1">IF(AND(SUMIF(Capacity_Resource,$D45,'Critical resources (hide)'!BJ$6:BJ$105)+SUMIF(Capacity_Resource,$E45,'Critical resources (hide)'!BJ$6:BJ$105)+SUMIF(Capacity_Resource,$F45,'Critical resources (hide)'!BJ$6:BJ$105)&gt;0,$E$1=2),0,1)</f>
        <v>1</v>
      </c>
      <c r="AX45" s="68">
        <f ca="1">IF(AND(SUMIF(Capacity_Resource,$D45,'Critical resources (hide)'!BK$6:BK$105)+SUMIF(Capacity_Resource,$E45,'Critical resources (hide)'!BK$6:BK$105)+SUMIF(Capacity_Resource,$F45,'Critical resources (hide)'!BK$6:BK$105)&gt;0,$E$1=2),0,1)</f>
        <v>1</v>
      </c>
      <c r="AY45" s="68">
        <f ca="1">IF(AND(SUMIF(Capacity_Resource,$D45,'Critical resources (hide)'!BL$6:BL$105)+SUMIF(Capacity_Resource,$E45,'Critical resources (hide)'!BL$6:BL$105)+SUMIF(Capacity_Resource,$F45,'Critical resources (hide)'!BL$6:BL$105)&gt;0,$E$1=2),0,1)</f>
        <v>1</v>
      </c>
      <c r="AZ45" s="68">
        <f ca="1">IF(AND(SUMIF(Capacity_Resource,$D45,'Critical resources (hide)'!BM$6:BM$105)+SUMIF(Capacity_Resource,$E45,'Critical resources (hide)'!BM$6:BM$105)+SUMIF(Capacity_Resource,$F45,'Critical resources (hide)'!BM$6:BM$105)&gt;0,$E$1=2),0,1)</f>
        <v>1</v>
      </c>
      <c r="BA45" s="68">
        <f ca="1">IF(AND(SUMIF(Capacity_Resource,$D45,'Critical resources (hide)'!BN$6:BN$105)+SUMIF(Capacity_Resource,$E45,'Critical resources (hide)'!BN$6:BN$105)+SUMIF(Capacity_Resource,$F45,'Critical resources (hide)'!BN$6:BN$105)&gt;0,$E$1=2),0,1)</f>
        <v>1</v>
      </c>
      <c r="BB45" s="68">
        <f ca="1">IF(AND(SUMIF(Capacity_Resource,$D45,'Critical resources (hide)'!BO$6:BO$105)+SUMIF(Capacity_Resource,$E45,'Critical resources (hide)'!BO$6:BO$105)+SUMIF(Capacity_Resource,$F45,'Critical resources (hide)'!BO$6:BO$105)&gt;0,$E$1=2),0,1)</f>
        <v>1</v>
      </c>
      <c r="BC45" s="68">
        <f ca="1">IF(AND(SUMIF(Capacity_Resource,$D45,'Critical resources (hide)'!BP$6:BP$105)+SUMIF(Capacity_Resource,$E45,'Critical resources (hide)'!BP$6:BP$105)+SUMIF(Capacity_Resource,$F45,'Critical resources (hide)'!BP$6:BP$105)&gt;0,$E$1=2),0,1)</f>
        <v>1</v>
      </c>
      <c r="BD45" s="68">
        <f ca="1">IF(AND(SUMIF(Capacity_Resource,$D45,'Critical resources (hide)'!BQ$6:BQ$105)+SUMIF(Capacity_Resource,$E45,'Critical resources (hide)'!BQ$6:BQ$105)+SUMIF(Capacity_Resource,$F45,'Critical resources (hide)'!BQ$6:BQ$105)&gt;0,$E$1=2),0,1)</f>
        <v>1</v>
      </c>
      <c r="BE45" s="68">
        <f ca="1">IF(AND(SUMIF(Capacity_Resource,$D45,'Critical resources (hide)'!BR$6:BR$105)+SUMIF(Capacity_Resource,$E45,'Critical resources (hide)'!BR$6:BR$105)+SUMIF(Capacity_Resource,$F45,'Critical resources (hide)'!BR$6:BR$105)&gt;0,$E$1=2),0,1)</f>
        <v>1</v>
      </c>
      <c r="BF45" s="68">
        <f ca="1">IF(AND(SUMIF(Capacity_Resource,$D45,'Critical resources (hide)'!BS$6:BS$105)+SUMIF(Capacity_Resource,$E45,'Critical resources (hide)'!BS$6:BS$105)+SUMIF(Capacity_Resource,$F45,'Critical resources (hide)'!BS$6:BS$105)&gt;0,$E$1=2),0,1)</f>
        <v>1</v>
      </c>
      <c r="BG45" s="68">
        <f ca="1">IF(AND(SUMIF(Capacity_Resource,$D45,'Critical resources (hide)'!BT$6:BT$105)+SUMIF(Capacity_Resource,$E45,'Critical resources (hide)'!BT$6:BT$105)+SUMIF(Capacity_Resource,$F45,'Critical resources (hide)'!BT$6:BT$105)&gt;0,$E$1=2),0,1)</f>
        <v>1</v>
      </c>
      <c r="BH45" s="68">
        <f>IF(ROW(C41)&lt;=Capacity!$A$16,IF('Capacity summary'!$D$14="No",SUM(H45:BG45),'Capacity summary'!$E164),0)</f>
        <v>0</v>
      </c>
      <c r="BI45" s="5" t="str">
        <f>IF(BH45&gt;0,IF(BH45&lt;Capacity!E57,Capacity!F57,Capacity!H57/'Capacity calculation (hide)'!BH45),"")</f>
        <v/>
      </c>
      <c r="BK45" s="319">
        <f>IF($BI45&lt;&gt;"",IF('Capacity summary'!$D$14="Yes",IF(COUNTBLANK('Capacity summary'!$H164:$BG164)&lt;52,IF('Capacity summary'!H164&lt;&gt;"",$BI45*H45,0),H45*$BI45),H45*$BI45),0)</f>
        <v>0</v>
      </c>
      <c r="BL45" s="319">
        <f>IF($BI45&lt;&gt;"",IF('Capacity summary'!$D$14="Yes",IF(COUNTBLANK('Capacity summary'!$H164:$BG164)&lt;52,IF('Capacity summary'!I164&lt;&gt;"",$BI45*I45,0),I45*$BI45),I45*$BI45),0)</f>
        <v>0</v>
      </c>
      <c r="BM45" s="319">
        <f>IF($BI45&lt;&gt;"",IF('Capacity summary'!$D$14="Yes",IF(COUNTBLANK('Capacity summary'!$H164:$BG164)&lt;52,IF('Capacity summary'!J164&lt;&gt;"",$BI45*J45,0),J45*$BI45),J45*$BI45),0)</f>
        <v>0</v>
      </c>
      <c r="BN45" s="319">
        <f>IF($BI45&lt;&gt;"",IF('Capacity summary'!$D$14="Yes",IF(COUNTBLANK('Capacity summary'!$H164:$BG164)&lt;52,IF('Capacity summary'!K164&lt;&gt;"",$BI45*K45,0),K45*$BI45),K45*$BI45),0)</f>
        <v>0</v>
      </c>
      <c r="BO45" s="319">
        <f>IF($BI45&lt;&gt;"",IF('Capacity summary'!$D$14="Yes",IF(COUNTBLANK('Capacity summary'!$H164:$BG164)&lt;52,IF('Capacity summary'!L164&lt;&gt;"",$BI45*L45,0),L45*$BI45),L45*$BI45),0)</f>
        <v>0</v>
      </c>
      <c r="BP45" s="319">
        <f>IF($BI45&lt;&gt;"",IF('Capacity summary'!$D$14="Yes",IF(COUNTBLANK('Capacity summary'!$H164:$BG164)&lt;52,IF('Capacity summary'!M164&lt;&gt;"",$BI45*M45,0),M45*$BI45),M45*$BI45),0)</f>
        <v>0</v>
      </c>
      <c r="BQ45" s="319">
        <f>IF($BI45&lt;&gt;"",IF('Capacity summary'!$D$14="Yes",IF(COUNTBLANK('Capacity summary'!$H164:$BG164)&lt;52,IF('Capacity summary'!N164&lt;&gt;"",$BI45*N45,0),N45*$BI45),N45*$BI45),0)</f>
        <v>0</v>
      </c>
      <c r="BR45" s="319">
        <f>IF($BI45&lt;&gt;"",IF('Capacity summary'!$D$14="Yes",IF(COUNTBLANK('Capacity summary'!$H164:$BG164)&lt;52,IF('Capacity summary'!O164&lt;&gt;"",$BI45*O45,0),O45*$BI45),O45*$BI45),0)</f>
        <v>0</v>
      </c>
      <c r="BS45" s="319">
        <f>IF($BI45&lt;&gt;"",IF('Capacity summary'!$D$14="Yes",IF(COUNTBLANK('Capacity summary'!$H164:$BG164)&lt;52,IF('Capacity summary'!P164&lt;&gt;"",$BI45*P45,0),P45*$BI45),P45*$BI45),0)</f>
        <v>0</v>
      </c>
      <c r="BT45" s="319">
        <f>IF($BI45&lt;&gt;"",IF('Capacity summary'!$D$14="Yes",IF(COUNTBLANK('Capacity summary'!$H164:$BG164)&lt;52,IF('Capacity summary'!Q164&lt;&gt;"",$BI45*Q45,0),Q45*$BI45),Q45*$BI45),0)</f>
        <v>0</v>
      </c>
      <c r="BU45" s="319">
        <f>IF($BI45&lt;&gt;"",IF('Capacity summary'!$D$14="Yes",IF(COUNTBLANK('Capacity summary'!$H164:$BG164)&lt;52,IF('Capacity summary'!R164&lt;&gt;"",$BI45*R45,0),R45*$BI45),R45*$BI45),0)</f>
        <v>0</v>
      </c>
      <c r="BV45" s="319">
        <f>IF($BI45&lt;&gt;"",IF('Capacity summary'!$D$14="Yes",IF(COUNTBLANK('Capacity summary'!$H164:$BG164)&lt;52,IF('Capacity summary'!S164&lt;&gt;"",$BI45*S45,0),S45*$BI45),S45*$BI45),0)</f>
        <v>0</v>
      </c>
      <c r="BW45" s="319">
        <f>IF($BI45&lt;&gt;"",IF('Capacity summary'!$D$14="Yes",IF(COUNTBLANK('Capacity summary'!$H164:$BG164)&lt;52,IF('Capacity summary'!T164&lt;&gt;"",$BI45*T45,0),T45*$BI45),T45*$BI45),0)</f>
        <v>0</v>
      </c>
      <c r="BX45" s="319">
        <f>IF($BI45&lt;&gt;"",IF('Capacity summary'!$D$14="Yes",IF(COUNTBLANK('Capacity summary'!$H164:$BG164)&lt;52,IF('Capacity summary'!U164&lt;&gt;"",$BI45*U45,0),U45*$BI45),U45*$BI45),0)</f>
        <v>0</v>
      </c>
      <c r="BY45" s="319">
        <f>IF($BI45&lt;&gt;"",IF('Capacity summary'!$D$14="Yes",IF(COUNTBLANK('Capacity summary'!$H164:$BG164)&lt;52,IF('Capacity summary'!V164&lt;&gt;"",$BI45*V45,0),V45*$BI45),V45*$BI45),0)</f>
        <v>0</v>
      </c>
      <c r="BZ45" s="319">
        <f>IF($BI45&lt;&gt;"",IF('Capacity summary'!$D$14="Yes",IF(COUNTBLANK('Capacity summary'!$H164:$BG164)&lt;52,IF('Capacity summary'!W164&lt;&gt;"",$BI45*W45,0),W45*$BI45),W45*$BI45),0)</f>
        <v>0</v>
      </c>
      <c r="CA45" s="319">
        <f>IF($BI45&lt;&gt;"",IF('Capacity summary'!$D$14="Yes",IF(COUNTBLANK('Capacity summary'!$H164:$BG164)&lt;52,IF('Capacity summary'!X164&lt;&gt;"",$BI45*X45,0),X45*$BI45),X45*$BI45),0)</f>
        <v>0</v>
      </c>
      <c r="CB45" s="319">
        <f>IF($BI45&lt;&gt;"",IF('Capacity summary'!$D$14="Yes",IF(COUNTBLANK('Capacity summary'!$H164:$BG164)&lt;52,IF('Capacity summary'!Y164&lt;&gt;"",$BI45*Y45,0),Y45*$BI45),Y45*$BI45),0)</f>
        <v>0</v>
      </c>
      <c r="CC45" s="319">
        <f>IF($BI45&lt;&gt;"",IF('Capacity summary'!$D$14="Yes",IF(COUNTBLANK('Capacity summary'!$H164:$BG164)&lt;52,IF('Capacity summary'!Z164&lt;&gt;"",$BI45*Z45,0),Z45*$BI45),Z45*$BI45),0)</f>
        <v>0</v>
      </c>
      <c r="CD45" s="319">
        <f>IF($BI45&lt;&gt;"",IF('Capacity summary'!$D$14="Yes",IF(COUNTBLANK('Capacity summary'!$H164:$BG164)&lt;52,IF('Capacity summary'!AA164&lt;&gt;"",$BI45*AA45,0),AA45*$BI45),AA45*$BI45),0)</f>
        <v>0</v>
      </c>
      <c r="CE45" s="319">
        <f>IF($BI45&lt;&gt;"",IF('Capacity summary'!$D$14="Yes",IF(COUNTBLANK('Capacity summary'!$H164:$BG164)&lt;52,IF('Capacity summary'!AB164&lt;&gt;"",$BI45*AB45,0),AB45*$BI45),AB45*$BI45),0)</f>
        <v>0</v>
      </c>
      <c r="CF45" s="319">
        <f>IF($BI45&lt;&gt;"",IF('Capacity summary'!$D$14="Yes",IF(COUNTBLANK('Capacity summary'!$H164:$BG164)&lt;52,IF('Capacity summary'!AC164&lt;&gt;"",$BI45*AC45,0),AC45*$BI45),AC45*$BI45),0)</f>
        <v>0</v>
      </c>
      <c r="CG45" s="319">
        <f>IF($BI45&lt;&gt;"",IF('Capacity summary'!$D$14="Yes",IF(COUNTBLANK('Capacity summary'!$H164:$BG164)&lt;52,IF('Capacity summary'!AD164&lt;&gt;"",$BI45*AD45,0),AD45*$BI45),AD45*$BI45),0)</f>
        <v>0</v>
      </c>
      <c r="CH45" s="319">
        <f>IF($BI45&lt;&gt;"",IF('Capacity summary'!$D$14="Yes",IF(COUNTBLANK('Capacity summary'!$H164:$BG164)&lt;52,IF('Capacity summary'!AE164&lt;&gt;"",$BI45*AE45,0),AE45*$BI45),AE45*$BI45),0)</f>
        <v>0</v>
      </c>
      <c r="CI45" s="319">
        <f>IF($BI45&lt;&gt;"",IF('Capacity summary'!$D$14="Yes",IF(COUNTBLANK('Capacity summary'!$H164:$BG164)&lt;52,IF('Capacity summary'!AF164&lt;&gt;"",$BI45*AF45,0),AF45*$BI45),AF45*$BI45),0)</f>
        <v>0</v>
      </c>
      <c r="CJ45" s="319">
        <f>IF($BI45&lt;&gt;"",IF('Capacity summary'!$D$14="Yes",IF(COUNTBLANK('Capacity summary'!$H164:$BG164)&lt;52,IF('Capacity summary'!AG164&lt;&gt;"",$BI45*AG45,0),AG45*$BI45),AG45*$BI45),0)</f>
        <v>0</v>
      </c>
      <c r="CK45" s="319">
        <f>IF($BI45&lt;&gt;"",IF('Capacity summary'!$D$14="Yes",IF(COUNTBLANK('Capacity summary'!$H164:$BG164)&lt;52,IF('Capacity summary'!AH164&lt;&gt;"",$BI45*AH45,0),AH45*$BI45),AH45*$BI45),0)</f>
        <v>0</v>
      </c>
      <c r="CL45" s="319">
        <f>IF($BI45&lt;&gt;"",IF('Capacity summary'!$D$14="Yes",IF(COUNTBLANK('Capacity summary'!$H164:$BG164)&lt;52,IF('Capacity summary'!AI164&lt;&gt;"",$BI45*AI45,0),AI45*$BI45),AI45*$BI45),0)</f>
        <v>0</v>
      </c>
      <c r="CM45" s="319">
        <f>IF($BI45&lt;&gt;"",IF('Capacity summary'!$D$14="Yes",IF(COUNTBLANK('Capacity summary'!$H164:$BG164)&lt;52,IF('Capacity summary'!AJ164&lt;&gt;"",$BI45*AJ45,0),AJ45*$BI45),AJ45*$BI45),0)</f>
        <v>0</v>
      </c>
      <c r="CN45" s="319">
        <f>IF($BI45&lt;&gt;"",IF('Capacity summary'!$D$14="Yes",IF(COUNTBLANK('Capacity summary'!$H164:$BG164)&lt;52,IF('Capacity summary'!AK164&lt;&gt;"",$BI45*AK45,0),AK45*$BI45),AK45*$BI45),0)</f>
        <v>0</v>
      </c>
      <c r="CO45" s="319">
        <f>IF($BI45&lt;&gt;"",IF('Capacity summary'!$D$14="Yes",IF(COUNTBLANK('Capacity summary'!$H164:$BG164)&lt;52,IF('Capacity summary'!AL164&lt;&gt;"",$BI45*AL45,0),AL45*$BI45),AL45*$BI45),0)</f>
        <v>0</v>
      </c>
      <c r="CP45" s="319">
        <f>IF($BI45&lt;&gt;"",IF('Capacity summary'!$D$14="Yes",IF(COUNTBLANK('Capacity summary'!$H164:$BG164)&lt;52,IF('Capacity summary'!AM164&lt;&gt;"",$BI45*AM45,0),AM45*$BI45),AM45*$BI45),0)</f>
        <v>0</v>
      </c>
      <c r="CQ45" s="319">
        <f>IF($BI45&lt;&gt;"",IF('Capacity summary'!$D$14="Yes",IF(COUNTBLANK('Capacity summary'!$H164:$BG164)&lt;52,IF('Capacity summary'!AN164&lt;&gt;"",$BI45*AN45,0),AN45*$BI45),AN45*$BI45),0)</f>
        <v>0</v>
      </c>
      <c r="CR45" s="319">
        <f>IF($BI45&lt;&gt;"",IF('Capacity summary'!$D$14="Yes",IF(COUNTBLANK('Capacity summary'!$H164:$BG164)&lt;52,IF('Capacity summary'!AO164&lt;&gt;"",$BI45*AO45,0),AO45*$BI45),AO45*$BI45),0)</f>
        <v>0</v>
      </c>
      <c r="CS45" s="319">
        <f>IF($BI45&lt;&gt;"",IF('Capacity summary'!$D$14="Yes",IF(COUNTBLANK('Capacity summary'!$H164:$BG164)&lt;52,IF('Capacity summary'!AP164&lt;&gt;"",$BI45*AP45,0),AP45*$BI45),AP45*$BI45),0)</f>
        <v>0</v>
      </c>
      <c r="CT45" s="319">
        <f>IF($BI45&lt;&gt;"",IF('Capacity summary'!$D$14="Yes",IF(COUNTBLANK('Capacity summary'!$H164:$BG164)&lt;52,IF('Capacity summary'!AQ164&lt;&gt;"",$BI45*AQ45,0),AQ45*$BI45),AQ45*$BI45),0)</f>
        <v>0</v>
      </c>
      <c r="CU45" s="319">
        <f>IF($BI45&lt;&gt;"",IF('Capacity summary'!$D$14="Yes",IF(COUNTBLANK('Capacity summary'!$H164:$BG164)&lt;52,IF('Capacity summary'!AR164&lt;&gt;"",$BI45*AR45,0),AR45*$BI45),AR45*$BI45),0)</f>
        <v>0</v>
      </c>
      <c r="CV45" s="319">
        <f>IF($BI45&lt;&gt;"",IF('Capacity summary'!$D$14="Yes",IF(COUNTBLANK('Capacity summary'!$H164:$BG164)&lt;52,IF('Capacity summary'!AS164&lt;&gt;"",$BI45*AS45,0),AS45*$BI45),AS45*$BI45),0)</f>
        <v>0</v>
      </c>
      <c r="CW45" s="319">
        <f>IF($BI45&lt;&gt;"",IF('Capacity summary'!$D$14="Yes",IF(COUNTBLANK('Capacity summary'!$H164:$BG164)&lt;52,IF('Capacity summary'!AT164&lt;&gt;"",$BI45*AT45,0),AT45*$BI45),AT45*$BI45),0)</f>
        <v>0</v>
      </c>
      <c r="CX45" s="319">
        <f>IF($BI45&lt;&gt;"",IF('Capacity summary'!$D$14="Yes",IF(COUNTBLANK('Capacity summary'!$H164:$BG164)&lt;52,IF('Capacity summary'!AU164&lt;&gt;"",$BI45*AU45,0),AU45*$BI45),AU45*$BI45),0)</f>
        <v>0</v>
      </c>
      <c r="CY45" s="319">
        <f>IF($BI45&lt;&gt;"",IF('Capacity summary'!$D$14="Yes",IF(COUNTBLANK('Capacity summary'!$H164:$BG164)&lt;52,IF('Capacity summary'!AV164&lt;&gt;"",$BI45*AV45,0),AV45*$BI45),AV45*$BI45),0)</f>
        <v>0</v>
      </c>
      <c r="CZ45" s="319">
        <f>IF($BI45&lt;&gt;"",IF('Capacity summary'!$D$14="Yes",IF(COUNTBLANK('Capacity summary'!$H164:$BG164)&lt;52,IF('Capacity summary'!AW164&lt;&gt;"",$BI45*AW45,0),AW45*$BI45),AW45*$BI45),0)</f>
        <v>0</v>
      </c>
      <c r="DA45" s="319">
        <f>IF($BI45&lt;&gt;"",IF('Capacity summary'!$D$14="Yes",IF(COUNTBLANK('Capacity summary'!$H164:$BG164)&lt;52,IF('Capacity summary'!AX164&lt;&gt;"",$BI45*AX45,0),AX45*$BI45),AX45*$BI45),0)</f>
        <v>0</v>
      </c>
      <c r="DB45" s="319">
        <f>IF($BI45&lt;&gt;"",IF('Capacity summary'!$D$14="Yes",IF(COUNTBLANK('Capacity summary'!$H164:$BG164)&lt;52,IF('Capacity summary'!AY164&lt;&gt;"",$BI45*AY45,0),AY45*$BI45),AY45*$BI45),0)</f>
        <v>0</v>
      </c>
      <c r="DC45" s="319">
        <f>IF($BI45&lt;&gt;"",IF('Capacity summary'!$D$14="Yes",IF(COUNTBLANK('Capacity summary'!$H164:$BG164)&lt;52,IF('Capacity summary'!AZ164&lt;&gt;"",$BI45*AZ45,0),AZ45*$BI45),AZ45*$BI45),0)</f>
        <v>0</v>
      </c>
      <c r="DD45" s="319">
        <f>IF($BI45&lt;&gt;"",IF('Capacity summary'!$D$14="Yes",IF(COUNTBLANK('Capacity summary'!$H164:$BG164)&lt;52,IF('Capacity summary'!BA164&lt;&gt;"",$BI45*BA45,0),BA45*$BI45),BA45*$BI45),0)</f>
        <v>0</v>
      </c>
      <c r="DE45" s="319">
        <f>IF($BI45&lt;&gt;"",IF('Capacity summary'!$D$14="Yes",IF(COUNTBLANK('Capacity summary'!$H164:$BG164)&lt;52,IF('Capacity summary'!BB164&lt;&gt;"",$BI45*BB45,0),BB45*$BI45),BB45*$BI45),0)</f>
        <v>0</v>
      </c>
      <c r="DF45" s="319">
        <f>IF($BI45&lt;&gt;"",IF('Capacity summary'!$D$14="Yes",IF(COUNTBLANK('Capacity summary'!$H164:$BG164)&lt;52,IF('Capacity summary'!BC164&lt;&gt;"",$BI45*BC45,0),BC45*$BI45),BC45*$BI45),0)</f>
        <v>0</v>
      </c>
      <c r="DG45" s="319">
        <f>IF($BI45&lt;&gt;"",IF('Capacity summary'!$D$14="Yes",IF(COUNTBLANK('Capacity summary'!$H164:$BG164)&lt;52,IF('Capacity summary'!BD164&lt;&gt;"",$BI45*BD45,0),BD45*$BI45),BD45*$BI45),0)</f>
        <v>0</v>
      </c>
      <c r="DH45" s="319">
        <f>IF($BI45&lt;&gt;"",IF('Capacity summary'!$D$14="Yes",IF(COUNTBLANK('Capacity summary'!$H164:$BG164)&lt;52,IF('Capacity summary'!BE164&lt;&gt;"",$BI45*BE45,0),BE45*$BI45),BE45*$BI45),0)</f>
        <v>0</v>
      </c>
      <c r="DI45" s="319">
        <f>IF($BI45&lt;&gt;"",IF('Capacity summary'!$D$14="Yes",IF(COUNTBLANK('Capacity summary'!$H164:$BG164)&lt;52,IF('Capacity summary'!BF164&lt;&gt;"",$BI45*BF45,0),BF45*$BI45),BF45*$BI45),0)</f>
        <v>0</v>
      </c>
      <c r="DJ45" s="319">
        <f>IF($BI45&lt;&gt;"",IF('Capacity summary'!$D$14="Yes",IF(COUNTBLANK('Capacity summary'!$H164:$BG164)&lt;52,IF('Capacity summary'!BG164&lt;&gt;"",$BI45*BG45,0),BG45*$BI45),BG45*$BI45),0)</f>
        <v>0</v>
      </c>
      <c r="DK45" s="5">
        <f t="shared" si="2"/>
        <v>0</v>
      </c>
      <c r="DL45" s="5" t="str">
        <f>Capacity!H57</f>
        <v/>
      </c>
      <c r="DP45" s="5"/>
    </row>
    <row r="46" spans="2:120" x14ac:dyDescent="0.2">
      <c r="B46" s="68"/>
      <c r="C46" s="68" t="str">
        <f>ROW(A42)&amp;". "&amp;Capacity!B58</f>
        <v xml:space="preserve">42. </v>
      </c>
      <c r="D46" s="68">
        <f>'Capacity setup'!C53</f>
        <v>0</v>
      </c>
      <c r="E46" s="68">
        <f>'Capacity setup'!D53</f>
        <v>0</v>
      </c>
      <c r="F46" s="68">
        <f>'Capacity setup'!E53</f>
        <v>0</v>
      </c>
      <c r="H46" s="68">
        <f ca="1">IF(AND(SUMIF(Capacity_Resource,$D46,'Critical resources (hide)'!U$6:U$105)+SUMIF(Capacity_Resource,$E46,'Critical resources (hide)'!U$6:U$105)+SUMIF(Capacity_Resource,$F46,'Critical resources (hide)'!U$6:U$105)&gt;0,$E$1=2),0,1)</f>
        <v>1</v>
      </c>
      <c r="I46" s="68">
        <f ca="1">IF(AND(SUMIF(Capacity_Resource,$D46,'Critical resources (hide)'!V$6:V$105)+SUMIF(Capacity_Resource,$E46,'Critical resources (hide)'!V$6:V$105)+SUMIF(Capacity_Resource,$F46,'Critical resources (hide)'!V$6:V$105)&gt;0,$E$1=2),0,1)</f>
        <v>1</v>
      </c>
      <c r="J46" s="68">
        <f ca="1">IF(AND(SUMIF(Capacity_Resource,$D46,'Critical resources (hide)'!W$6:W$105)+SUMIF(Capacity_Resource,$E46,'Critical resources (hide)'!W$6:W$105)+SUMIF(Capacity_Resource,$F46,'Critical resources (hide)'!W$6:W$105)&gt;0,$E$1=2),0,1)</f>
        <v>1</v>
      </c>
      <c r="K46" s="68">
        <f ca="1">IF(AND(SUMIF(Capacity_Resource,$D46,'Critical resources (hide)'!X$6:X$105)+SUMIF(Capacity_Resource,$E46,'Critical resources (hide)'!X$6:X$105)+SUMIF(Capacity_Resource,$F46,'Critical resources (hide)'!X$6:X$105)&gt;0,$E$1=2),0,1)</f>
        <v>1</v>
      </c>
      <c r="L46" s="68">
        <f ca="1">IF(AND(SUMIF(Capacity_Resource,$D46,'Critical resources (hide)'!Y$6:Y$105)+SUMIF(Capacity_Resource,$E46,'Critical resources (hide)'!Y$6:Y$105)+SUMIF(Capacity_Resource,$F46,'Critical resources (hide)'!Y$6:Y$105)&gt;0,$E$1=2),0,1)</f>
        <v>1</v>
      </c>
      <c r="M46" s="68">
        <f ca="1">IF(AND(SUMIF(Capacity_Resource,$D46,'Critical resources (hide)'!Z$6:Z$105)+SUMIF(Capacity_Resource,$E46,'Critical resources (hide)'!Z$6:Z$105)+SUMIF(Capacity_Resource,$F46,'Critical resources (hide)'!Z$6:Z$105)&gt;0,$E$1=2),0,1)</f>
        <v>1</v>
      </c>
      <c r="N46" s="68">
        <f ca="1">IF(AND(SUMIF(Capacity_Resource,$D46,'Critical resources (hide)'!AA$6:AA$105)+SUMIF(Capacity_Resource,$E46,'Critical resources (hide)'!AA$6:AA$105)+SUMIF(Capacity_Resource,$F46,'Critical resources (hide)'!AA$6:AA$105)&gt;0,$E$1=2),0,1)</f>
        <v>1</v>
      </c>
      <c r="O46" s="68">
        <f ca="1">IF(AND(SUMIF(Capacity_Resource,$D46,'Critical resources (hide)'!AB$6:AB$105)+SUMIF(Capacity_Resource,$E46,'Critical resources (hide)'!AB$6:AB$105)+SUMIF(Capacity_Resource,$F46,'Critical resources (hide)'!AB$6:AB$105)&gt;0,$E$1=2),0,1)</f>
        <v>1</v>
      </c>
      <c r="P46" s="68">
        <f ca="1">IF(AND(SUMIF(Capacity_Resource,$D46,'Critical resources (hide)'!AC$6:AC$105)+SUMIF(Capacity_Resource,$E46,'Critical resources (hide)'!AC$6:AC$105)+SUMIF(Capacity_Resource,$F46,'Critical resources (hide)'!AC$6:AC$105)&gt;0,$E$1=2),0,1)</f>
        <v>1</v>
      </c>
      <c r="Q46" s="68">
        <f ca="1">IF(AND(SUMIF(Capacity_Resource,$D46,'Critical resources (hide)'!AD$6:AD$105)+SUMIF(Capacity_Resource,$E46,'Critical resources (hide)'!AD$6:AD$105)+SUMIF(Capacity_Resource,$F46,'Critical resources (hide)'!AD$6:AD$105)&gt;0,$E$1=2),0,1)</f>
        <v>1</v>
      </c>
      <c r="R46" s="68">
        <f ca="1">IF(AND(SUMIF(Capacity_Resource,$D46,'Critical resources (hide)'!AE$6:AE$105)+SUMIF(Capacity_Resource,$E46,'Critical resources (hide)'!AE$6:AE$105)+SUMIF(Capacity_Resource,$F46,'Critical resources (hide)'!AE$6:AE$105)&gt;0,$E$1=2),0,1)</f>
        <v>1</v>
      </c>
      <c r="S46" s="68">
        <f ca="1">IF(AND(SUMIF(Capacity_Resource,$D46,'Critical resources (hide)'!AF$6:AF$105)+SUMIF(Capacity_Resource,$E46,'Critical resources (hide)'!AF$6:AF$105)+SUMIF(Capacity_Resource,$F46,'Critical resources (hide)'!AF$6:AF$105)&gt;0,$E$1=2),0,1)</f>
        <v>1</v>
      </c>
      <c r="T46" s="68">
        <f ca="1">IF(AND(SUMIF(Capacity_Resource,$D46,'Critical resources (hide)'!AG$6:AG$105)+SUMIF(Capacity_Resource,$E46,'Critical resources (hide)'!AG$6:AG$105)+SUMIF(Capacity_Resource,$F46,'Critical resources (hide)'!AG$6:AG$105)&gt;0,$E$1=2),0,1)</f>
        <v>1</v>
      </c>
      <c r="U46" s="68">
        <f ca="1">IF(AND(SUMIF(Capacity_Resource,$D46,'Critical resources (hide)'!AH$6:AH$105)+SUMIF(Capacity_Resource,$E46,'Critical resources (hide)'!AH$6:AH$105)+SUMIF(Capacity_Resource,$F46,'Critical resources (hide)'!AH$6:AH$105)&gt;0,$E$1=2),0,1)</f>
        <v>1</v>
      </c>
      <c r="V46" s="68">
        <f ca="1">IF(AND(SUMIF(Capacity_Resource,$D46,'Critical resources (hide)'!AI$6:AI$105)+SUMIF(Capacity_Resource,$E46,'Critical resources (hide)'!AI$6:AI$105)+SUMIF(Capacity_Resource,$F46,'Critical resources (hide)'!AI$6:AI$105)&gt;0,$E$1=2),0,1)</f>
        <v>1</v>
      </c>
      <c r="W46" s="68">
        <f ca="1">IF(AND(SUMIF(Capacity_Resource,$D46,'Critical resources (hide)'!AJ$6:AJ$105)+SUMIF(Capacity_Resource,$E46,'Critical resources (hide)'!AJ$6:AJ$105)+SUMIF(Capacity_Resource,$F46,'Critical resources (hide)'!AJ$6:AJ$105)&gt;0,$E$1=2),0,1)</f>
        <v>1</v>
      </c>
      <c r="X46" s="68">
        <f ca="1">IF(AND(SUMIF(Capacity_Resource,$D46,'Critical resources (hide)'!AK$6:AK$105)+SUMIF(Capacity_Resource,$E46,'Critical resources (hide)'!AK$6:AK$105)+SUMIF(Capacity_Resource,$F46,'Critical resources (hide)'!AK$6:AK$105)&gt;0,$E$1=2),0,1)</f>
        <v>1</v>
      </c>
      <c r="Y46" s="68">
        <f ca="1">IF(AND(SUMIF(Capacity_Resource,$D46,'Critical resources (hide)'!AL$6:AL$105)+SUMIF(Capacity_Resource,$E46,'Critical resources (hide)'!AL$6:AL$105)+SUMIF(Capacity_Resource,$F46,'Critical resources (hide)'!AL$6:AL$105)&gt;0,$E$1=2),0,1)</f>
        <v>1</v>
      </c>
      <c r="Z46" s="68">
        <f ca="1">IF(AND(SUMIF(Capacity_Resource,$D46,'Critical resources (hide)'!AM$6:AM$105)+SUMIF(Capacity_Resource,$E46,'Critical resources (hide)'!AM$6:AM$105)+SUMIF(Capacity_Resource,$F46,'Critical resources (hide)'!AM$6:AM$105)&gt;0,$E$1=2),0,1)</f>
        <v>1</v>
      </c>
      <c r="AA46" s="68">
        <f ca="1">IF(AND(SUMIF(Capacity_Resource,$D46,'Critical resources (hide)'!AN$6:AN$105)+SUMIF(Capacity_Resource,$E46,'Critical resources (hide)'!AN$6:AN$105)+SUMIF(Capacity_Resource,$F46,'Critical resources (hide)'!AN$6:AN$105)&gt;0,$E$1=2),0,1)</f>
        <v>1</v>
      </c>
      <c r="AB46" s="68">
        <f ca="1">IF(AND(SUMIF(Capacity_Resource,$D46,'Critical resources (hide)'!AO$6:AO$105)+SUMIF(Capacity_Resource,$E46,'Critical resources (hide)'!AO$6:AO$105)+SUMIF(Capacity_Resource,$F46,'Critical resources (hide)'!AO$6:AO$105)&gt;0,$E$1=2),0,1)</f>
        <v>1</v>
      </c>
      <c r="AC46" s="68">
        <f ca="1">IF(AND(SUMIF(Capacity_Resource,$D46,'Critical resources (hide)'!AP$6:AP$105)+SUMIF(Capacity_Resource,$E46,'Critical resources (hide)'!AP$6:AP$105)+SUMIF(Capacity_Resource,$F46,'Critical resources (hide)'!AP$6:AP$105)&gt;0,$E$1=2),0,1)</f>
        <v>1</v>
      </c>
      <c r="AD46" s="68">
        <f ca="1">IF(AND(SUMIF(Capacity_Resource,$D46,'Critical resources (hide)'!AQ$6:AQ$105)+SUMIF(Capacity_Resource,$E46,'Critical resources (hide)'!AQ$6:AQ$105)+SUMIF(Capacity_Resource,$F46,'Critical resources (hide)'!AQ$6:AQ$105)&gt;0,$E$1=2),0,1)</f>
        <v>1</v>
      </c>
      <c r="AE46" s="68">
        <f ca="1">IF(AND(SUMIF(Capacity_Resource,$D46,'Critical resources (hide)'!AR$6:AR$105)+SUMIF(Capacity_Resource,$E46,'Critical resources (hide)'!AR$6:AR$105)+SUMIF(Capacity_Resource,$F46,'Critical resources (hide)'!AR$6:AR$105)&gt;0,$E$1=2),0,1)</f>
        <v>1</v>
      </c>
      <c r="AF46" s="68">
        <f ca="1">IF(AND(SUMIF(Capacity_Resource,$D46,'Critical resources (hide)'!AS$6:AS$105)+SUMIF(Capacity_Resource,$E46,'Critical resources (hide)'!AS$6:AS$105)+SUMIF(Capacity_Resource,$F46,'Critical resources (hide)'!AS$6:AS$105)&gt;0,$E$1=2),0,1)</f>
        <v>1</v>
      </c>
      <c r="AG46" s="68">
        <f ca="1">IF(AND(SUMIF(Capacity_Resource,$D46,'Critical resources (hide)'!AT$6:AT$105)+SUMIF(Capacity_Resource,$E46,'Critical resources (hide)'!AT$6:AT$105)+SUMIF(Capacity_Resource,$F46,'Critical resources (hide)'!AT$6:AT$105)&gt;0,$E$1=2),0,1)</f>
        <v>1</v>
      </c>
      <c r="AH46" s="68">
        <f ca="1">IF(AND(SUMIF(Capacity_Resource,$D46,'Critical resources (hide)'!AU$6:AU$105)+SUMIF(Capacity_Resource,$E46,'Critical resources (hide)'!AU$6:AU$105)+SUMIF(Capacity_Resource,$F46,'Critical resources (hide)'!AU$6:AU$105)&gt;0,$E$1=2),0,1)</f>
        <v>1</v>
      </c>
      <c r="AI46" s="68">
        <f ca="1">IF(AND(SUMIF(Capacity_Resource,$D46,'Critical resources (hide)'!AV$6:AV$105)+SUMIF(Capacity_Resource,$E46,'Critical resources (hide)'!AV$6:AV$105)+SUMIF(Capacity_Resource,$F46,'Critical resources (hide)'!AV$6:AV$105)&gt;0,$E$1=2),0,1)</f>
        <v>1</v>
      </c>
      <c r="AJ46" s="68">
        <f ca="1">IF(AND(SUMIF(Capacity_Resource,$D46,'Critical resources (hide)'!AW$6:AW$105)+SUMIF(Capacity_Resource,$E46,'Critical resources (hide)'!AW$6:AW$105)+SUMIF(Capacity_Resource,$F46,'Critical resources (hide)'!AW$6:AW$105)&gt;0,$E$1=2),0,1)</f>
        <v>1</v>
      </c>
      <c r="AK46" s="68">
        <f ca="1">IF(AND(SUMIF(Capacity_Resource,$D46,'Critical resources (hide)'!AX$6:AX$105)+SUMIF(Capacity_Resource,$E46,'Critical resources (hide)'!AX$6:AX$105)+SUMIF(Capacity_Resource,$F46,'Critical resources (hide)'!AX$6:AX$105)&gt;0,$E$1=2),0,1)</f>
        <v>1</v>
      </c>
      <c r="AL46" s="68">
        <f ca="1">IF(AND(SUMIF(Capacity_Resource,$D46,'Critical resources (hide)'!AY$6:AY$105)+SUMIF(Capacity_Resource,$E46,'Critical resources (hide)'!AY$6:AY$105)+SUMIF(Capacity_Resource,$F46,'Critical resources (hide)'!AY$6:AY$105)&gt;0,$E$1=2),0,1)</f>
        <v>1</v>
      </c>
      <c r="AM46" s="68">
        <f ca="1">IF(AND(SUMIF(Capacity_Resource,$D46,'Critical resources (hide)'!AZ$6:AZ$105)+SUMIF(Capacity_Resource,$E46,'Critical resources (hide)'!AZ$6:AZ$105)+SUMIF(Capacity_Resource,$F46,'Critical resources (hide)'!AZ$6:AZ$105)&gt;0,$E$1=2),0,1)</f>
        <v>1</v>
      </c>
      <c r="AN46" s="68">
        <f ca="1">IF(AND(SUMIF(Capacity_Resource,$D46,'Critical resources (hide)'!BA$6:BA$105)+SUMIF(Capacity_Resource,$E46,'Critical resources (hide)'!BA$6:BA$105)+SUMIF(Capacity_Resource,$F46,'Critical resources (hide)'!BA$6:BA$105)&gt;0,$E$1=2),0,1)</f>
        <v>1</v>
      </c>
      <c r="AO46" s="68">
        <f ca="1">IF(AND(SUMIF(Capacity_Resource,$D46,'Critical resources (hide)'!BB$6:BB$105)+SUMIF(Capacity_Resource,$E46,'Critical resources (hide)'!BB$6:BB$105)+SUMIF(Capacity_Resource,$F46,'Critical resources (hide)'!BB$6:BB$105)&gt;0,$E$1=2),0,1)</f>
        <v>1</v>
      </c>
      <c r="AP46" s="68">
        <f ca="1">IF(AND(SUMIF(Capacity_Resource,$D46,'Critical resources (hide)'!BC$6:BC$105)+SUMIF(Capacity_Resource,$E46,'Critical resources (hide)'!BC$6:BC$105)+SUMIF(Capacity_Resource,$F46,'Critical resources (hide)'!BC$6:BC$105)&gt;0,$E$1=2),0,1)</f>
        <v>1</v>
      </c>
      <c r="AQ46" s="68">
        <f ca="1">IF(AND(SUMIF(Capacity_Resource,$D46,'Critical resources (hide)'!BD$6:BD$105)+SUMIF(Capacity_Resource,$E46,'Critical resources (hide)'!BD$6:BD$105)+SUMIF(Capacity_Resource,$F46,'Critical resources (hide)'!BD$6:BD$105)&gt;0,$E$1=2),0,1)</f>
        <v>1</v>
      </c>
      <c r="AR46" s="68">
        <f ca="1">IF(AND(SUMIF(Capacity_Resource,$D46,'Critical resources (hide)'!BE$6:BE$105)+SUMIF(Capacity_Resource,$E46,'Critical resources (hide)'!BE$6:BE$105)+SUMIF(Capacity_Resource,$F46,'Critical resources (hide)'!BE$6:BE$105)&gt;0,$E$1=2),0,1)</f>
        <v>1</v>
      </c>
      <c r="AS46" s="68">
        <f ca="1">IF(AND(SUMIF(Capacity_Resource,$D46,'Critical resources (hide)'!BF$6:BF$105)+SUMIF(Capacity_Resource,$E46,'Critical resources (hide)'!BF$6:BF$105)+SUMIF(Capacity_Resource,$F46,'Critical resources (hide)'!BF$6:BF$105)&gt;0,$E$1=2),0,1)</f>
        <v>1</v>
      </c>
      <c r="AT46" s="68">
        <f ca="1">IF(AND(SUMIF(Capacity_Resource,$D46,'Critical resources (hide)'!BG$6:BG$105)+SUMIF(Capacity_Resource,$E46,'Critical resources (hide)'!BG$6:BG$105)+SUMIF(Capacity_Resource,$F46,'Critical resources (hide)'!BG$6:BG$105)&gt;0,$E$1=2),0,1)</f>
        <v>1</v>
      </c>
      <c r="AU46" s="68">
        <f ca="1">IF(AND(SUMIF(Capacity_Resource,$D46,'Critical resources (hide)'!BH$6:BH$105)+SUMIF(Capacity_Resource,$E46,'Critical resources (hide)'!BH$6:BH$105)+SUMIF(Capacity_Resource,$F46,'Critical resources (hide)'!BH$6:BH$105)&gt;0,$E$1=2),0,1)</f>
        <v>1</v>
      </c>
      <c r="AV46" s="68">
        <f ca="1">IF(AND(SUMIF(Capacity_Resource,$D46,'Critical resources (hide)'!BI$6:BI$105)+SUMIF(Capacity_Resource,$E46,'Critical resources (hide)'!BI$6:BI$105)+SUMIF(Capacity_Resource,$F46,'Critical resources (hide)'!BI$6:BI$105)&gt;0,$E$1=2),0,1)</f>
        <v>1</v>
      </c>
      <c r="AW46" s="68">
        <f ca="1">IF(AND(SUMIF(Capacity_Resource,$D46,'Critical resources (hide)'!BJ$6:BJ$105)+SUMIF(Capacity_Resource,$E46,'Critical resources (hide)'!BJ$6:BJ$105)+SUMIF(Capacity_Resource,$F46,'Critical resources (hide)'!BJ$6:BJ$105)&gt;0,$E$1=2),0,1)</f>
        <v>1</v>
      </c>
      <c r="AX46" s="68">
        <f ca="1">IF(AND(SUMIF(Capacity_Resource,$D46,'Critical resources (hide)'!BK$6:BK$105)+SUMIF(Capacity_Resource,$E46,'Critical resources (hide)'!BK$6:BK$105)+SUMIF(Capacity_Resource,$F46,'Critical resources (hide)'!BK$6:BK$105)&gt;0,$E$1=2),0,1)</f>
        <v>1</v>
      </c>
      <c r="AY46" s="68">
        <f ca="1">IF(AND(SUMIF(Capacity_Resource,$D46,'Critical resources (hide)'!BL$6:BL$105)+SUMIF(Capacity_Resource,$E46,'Critical resources (hide)'!BL$6:BL$105)+SUMIF(Capacity_Resource,$F46,'Critical resources (hide)'!BL$6:BL$105)&gt;0,$E$1=2),0,1)</f>
        <v>1</v>
      </c>
      <c r="AZ46" s="68">
        <f ca="1">IF(AND(SUMIF(Capacity_Resource,$D46,'Critical resources (hide)'!BM$6:BM$105)+SUMIF(Capacity_Resource,$E46,'Critical resources (hide)'!BM$6:BM$105)+SUMIF(Capacity_Resource,$F46,'Critical resources (hide)'!BM$6:BM$105)&gt;0,$E$1=2),0,1)</f>
        <v>1</v>
      </c>
      <c r="BA46" s="68">
        <f ca="1">IF(AND(SUMIF(Capacity_Resource,$D46,'Critical resources (hide)'!BN$6:BN$105)+SUMIF(Capacity_Resource,$E46,'Critical resources (hide)'!BN$6:BN$105)+SUMIF(Capacity_Resource,$F46,'Critical resources (hide)'!BN$6:BN$105)&gt;0,$E$1=2),0,1)</f>
        <v>1</v>
      </c>
      <c r="BB46" s="68">
        <f ca="1">IF(AND(SUMIF(Capacity_Resource,$D46,'Critical resources (hide)'!BO$6:BO$105)+SUMIF(Capacity_Resource,$E46,'Critical resources (hide)'!BO$6:BO$105)+SUMIF(Capacity_Resource,$F46,'Critical resources (hide)'!BO$6:BO$105)&gt;0,$E$1=2),0,1)</f>
        <v>1</v>
      </c>
      <c r="BC46" s="68">
        <f ca="1">IF(AND(SUMIF(Capacity_Resource,$D46,'Critical resources (hide)'!BP$6:BP$105)+SUMIF(Capacity_Resource,$E46,'Critical resources (hide)'!BP$6:BP$105)+SUMIF(Capacity_Resource,$F46,'Critical resources (hide)'!BP$6:BP$105)&gt;0,$E$1=2),0,1)</f>
        <v>1</v>
      </c>
      <c r="BD46" s="68">
        <f ca="1">IF(AND(SUMIF(Capacity_Resource,$D46,'Critical resources (hide)'!BQ$6:BQ$105)+SUMIF(Capacity_Resource,$E46,'Critical resources (hide)'!BQ$6:BQ$105)+SUMIF(Capacity_Resource,$F46,'Critical resources (hide)'!BQ$6:BQ$105)&gt;0,$E$1=2),0,1)</f>
        <v>1</v>
      </c>
      <c r="BE46" s="68">
        <f ca="1">IF(AND(SUMIF(Capacity_Resource,$D46,'Critical resources (hide)'!BR$6:BR$105)+SUMIF(Capacity_Resource,$E46,'Critical resources (hide)'!BR$6:BR$105)+SUMIF(Capacity_Resource,$F46,'Critical resources (hide)'!BR$6:BR$105)&gt;0,$E$1=2),0,1)</f>
        <v>1</v>
      </c>
      <c r="BF46" s="68">
        <f ca="1">IF(AND(SUMIF(Capacity_Resource,$D46,'Critical resources (hide)'!BS$6:BS$105)+SUMIF(Capacity_Resource,$E46,'Critical resources (hide)'!BS$6:BS$105)+SUMIF(Capacity_Resource,$F46,'Critical resources (hide)'!BS$6:BS$105)&gt;0,$E$1=2),0,1)</f>
        <v>1</v>
      </c>
      <c r="BG46" s="68">
        <f ca="1">IF(AND(SUMIF(Capacity_Resource,$D46,'Critical resources (hide)'!BT$6:BT$105)+SUMIF(Capacity_Resource,$E46,'Critical resources (hide)'!BT$6:BT$105)+SUMIF(Capacity_Resource,$F46,'Critical resources (hide)'!BT$6:BT$105)&gt;0,$E$1=2),0,1)</f>
        <v>1</v>
      </c>
      <c r="BH46" s="68">
        <f>IF(ROW(C42)&lt;=Capacity!$A$16,IF('Capacity summary'!$D$14="No",SUM(H46:BG46),'Capacity summary'!$E165),0)</f>
        <v>0</v>
      </c>
      <c r="BI46" s="5" t="str">
        <f>IF(BH46&gt;0,IF(BH46&lt;Capacity!E58,Capacity!F58,Capacity!H58/'Capacity calculation (hide)'!BH46),"")</f>
        <v/>
      </c>
      <c r="BK46" s="319">
        <f>IF($BI46&lt;&gt;"",IF('Capacity summary'!$D$14="Yes",IF(COUNTBLANK('Capacity summary'!$H165:$BG165)&lt;52,IF('Capacity summary'!H165&lt;&gt;"",$BI46*H46,0),H46*$BI46),H46*$BI46),0)</f>
        <v>0</v>
      </c>
      <c r="BL46" s="319">
        <f>IF($BI46&lt;&gt;"",IF('Capacity summary'!$D$14="Yes",IF(COUNTBLANK('Capacity summary'!$H165:$BG165)&lt;52,IF('Capacity summary'!I165&lt;&gt;"",$BI46*I46,0),I46*$BI46),I46*$BI46),0)</f>
        <v>0</v>
      </c>
      <c r="BM46" s="319">
        <f>IF($BI46&lt;&gt;"",IF('Capacity summary'!$D$14="Yes",IF(COUNTBLANK('Capacity summary'!$H165:$BG165)&lt;52,IF('Capacity summary'!J165&lt;&gt;"",$BI46*J46,0),J46*$BI46),J46*$BI46),0)</f>
        <v>0</v>
      </c>
      <c r="BN46" s="319">
        <f>IF($BI46&lt;&gt;"",IF('Capacity summary'!$D$14="Yes",IF(COUNTBLANK('Capacity summary'!$H165:$BG165)&lt;52,IF('Capacity summary'!K165&lt;&gt;"",$BI46*K46,0),K46*$BI46),K46*$BI46),0)</f>
        <v>0</v>
      </c>
      <c r="BO46" s="319">
        <f>IF($BI46&lt;&gt;"",IF('Capacity summary'!$D$14="Yes",IF(COUNTBLANK('Capacity summary'!$H165:$BG165)&lt;52,IF('Capacity summary'!L165&lt;&gt;"",$BI46*L46,0),L46*$BI46),L46*$BI46),0)</f>
        <v>0</v>
      </c>
      <c r="BP46" s="319">
        <f>IF($BI46&lt;&gt;"",IF('Capacity summary'!$D$14="Yes",IF(COUNTBLANK('Capacity summary'!$H165:$BG165)&lt;52,IF('Capacity summary'!M165&lt;&gt;"",$BI46*M46,0),M46*$BI46),M46*$BI46),0)</f>
        <v>0</v>
      </c>
      <c r="BQ46" s="319">
        <f>IF($BI46&lt;&gt;"",IF('Capacity summary'!$D$14="Yes",IF(COUNTBLANK('Capacity summary'!$H165:$BG165)&lt;52,IF('Capacity summary'!N165&lt;&gt;"",$BI46*N46,0),N46*$BI46),N46*$BI46),0)</f>
        <v>0</v>
      </c>
      <c r="BR46" s="319">
        <f>IF($BI46&lt;&gt;"",IF('Capacity summary'!$D$14="Yes",IF(COUNTBLANK('Capacity summary'!$H165:$BG165)&lt;52,IF('Capacity summary'!O165&lt;&gt;"",$BI46*O46,0),O46*$BI46),O46*$BI46),0)</f>
        <v>0</v>
      </c>
      <c r="BS46" s="319">
        <f>IF($BI46&lt;&gt;"",IF('Capacity summary'!$D$14="Yes",IF(COUNTBLANK('Capacity summary'!$H165:$BG165)&lt;52,IF('Capacity summary'!P165&lt;&gt;"",$BI46*P46,0),P46*$BI46),P46*$BI46),0)</f>
        <v>0</v>
      </c>
      <c r="BT46" s="319">
        <f>IF($BI46&lt;&gt;"",IF('Capacity summary'!$D$14="Yes",IF(COUNTBLANK('Capacity summary'!$H165:$BG165)&lt;52,IF('Capacity summary'!Q165&lt;&gt;"",$BI46*Q46,0),Q46*$BI46),Q46*$BI46),0)</f>
        <v>0</v>
      </c>
      <c r="BU46" s="319">
        <f>IF($BI46&lt;&gt;"",IF('Capacity summary'!$D$14="Yes",IF(COUNTBLANK('Capacity summary'!$H165:$BG165)&lt;52,IF('Capacity summary'!R165&lt;&gt;"",$BI46*R46,0),R46*$BI46),R46*$BI46),0)</f>
        <v>0</v>
      </c>
      <c r="BV46" s="319">
        <f>IF($BI46&lt;&gt;"",IF('Capacity summary'!$D$14="Yes",IF(COUNTBLANK('Capacity summary'!$H165:$BG165)&lt;52,IF('Capacity summary'!S165&lt;&gt;"",$BI46*S46,0),S46*$BI46),S46*$BI46),0)</f>
        <v>0</v>
      </c>
      <c r="BW46" s="319">
        <f>IF($BI46&lt;&gt;"",IF('Capacity summary'!$D$14="Yes",IF(COUNTBLANK('Capacity summary'!$H165:$BG165)&lt;52,IF('Capacity summary'!T165&lt;&gt;"",$BI46*T46,0),T46*$BI46),T46*$BI46),0)</f>
        <v>0</v>
      </c>
      <c r="BX46" s="319">
        <f>IF($BI46&lt;&gt;"",IF('Capacity summary'!$D$14="Yes",IF(COUNTBLANK('Capacity summary'!$H165:$BG165)&lt;52,IF('Capacity summary'!U165&lt;&gt;"",$BI46*U46,0),U46*$BI46),U46*$BI46),0)</f>
        <v>0</v>
      </c>
      <c r="BY46" s="319">
        <f>IF($BI46&lt;&gt;"",IF('Capacity summary'!$D$14="Yes",IF(COUNTBLANK('Capacity summary'!$H165:$BG165)&lt;52,IF('Capacity summary'!V165&lt;&gt;"",$BI46*V46,0),V46*$BI46),V46*$BI46),0)</f>
        <v>0</v>
      </c>
      <c r="BZ46" s="319">
        <f>IF($BI46&lt;&gt;"",IF('Capacity summary'!$D$14="Yes",IF(COUNTBLANK('Capacity summary'!$H165:$BG165)&lt;52,IF('Capacity summary'!W165&lt;&gt;"",$BI46*W46,0),W46*$BI46),W46*$BI46),0)</f>
        <v>0</v>
      </c>
      <c r="CA46" s="319">
        <f>IF($BI46&lt;&gt;"",IF('Capacity summary'!$D$14="Yes",IF(COUNTBLANK('Capacity summary'!$H165:$BG165)&lt;52,IF('Capacity summary'!X165&lt;&gt;"",$BI46*X46,0),X46*$BI46),X46*$BI46),0)</f>
        <v>0</v>
      </c>
      <c r="CB46" s="319">
        <f>IF($BI46&lt;&gt;"",IF('Capacity summary'!$D$14="Yes",IF(COUNTBLANK('Capacity summary'!$H165:$BG165)&lt;52,IF('Capacity summary'!Y165&lt;&gt;"",$BI46*Y46,0),Y46*$BI46),Y46*$BI46),0)</f>
        <v>0</v>
      </c>
      <c r="CC46" s="319">
        <f>IF($BI46&lt;&gt;"",IF('Capacity summary'!$D$14="Yes",IF(COUNTBLANK('Capacity summary'!$H165:$BG165)&lt;52,IF('Capacity summary'!Z165&lt;&gt;"",$BI46*Z46,0),Z46*$BI46),Z46*$BI46),0)</f>
        <v>0</v>
      </c>
      <c r="CD46" s="319">
        <f>IF($BI46&lt;&gt;"",IF('Capacity summary'!$D$14="Yes",IF(COUNTBLANK('Capacity summary'!$H165:$BG165)&lt;52,IF('Capacity summary'!AA165&lt;&gt;"",$BI46*AA46,0),AA46*$BI46),AA46*$BI46),0)</f>
        <v>0</v>
      </c>
      <c r="CE46" s="319">
        <f>IF($BI46&lt;&gt;"",IF('Capacity summary'!$D$14="Yes",IF(COUNTBLANK('Capacity summary'!$H165:$BG165)&lt;52,IF('Capacity summary'!AB165&lt;&gt;"",$BI46*AB46,0),AB46*$BI46),AB46*$BI46),0)</f>
        <v>0</v>
      </c>
      <c r="CF46" s="319">
        <f>IF($BI46&lt;&gt;"",IF('Capacity summary'!$D$14="Yes",IF(COUNTBLANK('Capacity summary'!$H165:$BG165)&lt;52,IF('Capacity summary'!AC165&lt;&gt;"",$BI46*AC46,0),AC46*$BI46),AC46*$BI46),0)</f>
        <v>0</v>
      </c>
      <c r="CG46" s="319">
        <f>IF($BI46&lt;&gt;"",IF('Capacity summary'!$D$14="Yes",IF(COUNTBLANK('Capacity summary'!$H165:$BG165)&lt;52,IF('Capacity summary'!AD165&lt;&gt;"",$BI46*AD46,0),AD46*$BI46),AD46*$BI46),0)</f>
        <v>0</v>
      </c>
      <c r="CH46" s="319">
        <f>IF($BI46&lt;&gt;"",IF('Capacity summary'!$D$14="Yes",IF(COUNTBLANK('Capacity summary'!$H165:$BG165)&lt;52,IF('Capacity summary'!AE165&lt;&gt;"",$BI46*AE46,0),AE46*$BI46),AE46*$BI46),0)</f>
        <v>0</v>
      </c>
      <c r="CI46" s="319">
        <f>IF($BI46&lt;&gt;"",IF('Capacity summary'!$D$14="Yes",IF(COUNTBLANK('Capacity summary'!$H165:$BG165)&lt;52,IF('Capacity summary'!AF165&lt;&gt;"",$BI46*AF46,0),AF46*$BI46),AF46*$BI46),0)</f>
        <v>0</v>
      </c>
      <c r="CJ46" s="319">
        <f>IF($BI46&lt;&gt;"",IF('Capacity summary'!$D$14="Yes",IF(COUNTBLANK('Capacity summary'!$H165:$BG165)&lt;52,IF('Capacity summary'!AG165&lt;&gt;"",$BI46*AG46,0),AG46*$BI46),AG46*$BI46),0)</f>
        <v>0</v>
      </c>
      <c r="CK46" s="319">
        <f>IF($BI46&lt;&gt;"",IF('Capacity summary'!$D$14="Yes",IF(COUNTBLANK('Capacity summary'!$H165:$BG165)&lt;52,IF('Capacity summary'!AH165&lt;&gt;"",$BI46*AH46,0),AH46*$BI46),AH46*$BI46),0)</f>
        <v>0</v>
      </c>
      <c r="CL46" s="319">
        <f>IF($BI46&lt;&gt;"",IF('Capacity summary'!$D$14="Yes",IF(COUNTBLANK('Capacity summary'!$H165:$BG165)&lt;52,IF('Capacity summary'!AI165&lt;&gt;"",$BI46*AI46,0),AI46*$BI46),AI46*$BI46),0)</f>
        <v>0</v>
      </c>
      <c r="CM46" s="319">
        <f>IF($BI46&lt;&gt;"",IF('Capacity summary'!$D$14="Yes",IF(COUNTBLANK('Capacity summary'!$H165:$BG165)&lt;52,IF('Capacity summary'!AJ165&lt;&gt;"",$BI46*AJ46,0),AJ46*$BI46),AJ46*$BI46),0)</f>
        <v>0</v>
      </c>
      <c r="CN46" s="319">
        <f>IF($BI46&lt;&gt;"",IF('Capacity summary'!$D$14="Yes",IF(COUNTBLANK('Capacity summary'!$H165:$BG165)&lt;52,IF('Capacity summary'!AK165&lt;&gt;"",$BI46*AK46,0),AK46*$BI46),AK46*$BI46),0)</f>
        <v>0</v>
      </c>
      <c r="CO46" s="319">
        <f>IF($BI46&lt;&gt;"",IF('Capacity summary'!$D$14="Yes",IF(COUNTBLANK('Capacity summary'!$H165:$BG165)&lt;52,IF('Capacity summary'!AL165&lt;&gt;"",$BI46*AL46,0),AL46*$BI46),AL46*$BI46),0)</f>
        <v>0</v>
      </c>
      <c r="CP46" s="319">
        <f>IF($BI46&lt;&gt;"",IF('Capacity summary'!$D$14="Yes",IF(COUNTBLANK('Capacity summary'!$H165:$BG165)&lt;52,IF('Capacity summary'!AM165&lt;&gt;"",$BI46*AM46,0),AM46*$BI46),AM46*$BI46),0)</f>
        <v>0</v>
      </c>
      <c r="CQ46" s="319">
        <f>IF($BI46&lt;&gt;"",IF('Capacity summary'!$D$14="Yes",IF(COUNTBLANK('Capacity summary'!$H165:$BG165)&lt;52,IF('Capacity summary'!AN165&lt;&gt;"",$BI46*AN46,0),AN46*$BI46),AN46*$BI46),0)</f>
        <v>0</v>
      </c>
      <c r="CR46" s="319">
        <f>IF($BI46&lt;&gt;"",IF('Capacity summary'!$D$14="Yes",IF(COUNTBLANK('Capacity summary'!$H165:$BG165)&lt;52,IF('Capacity summary'!AO165&lt;&gt;"",$BI46*AO46,0),AO46*$BI46),AO46*$BI46),0)</f>
        <v>0</v>
      </c>
      <c r="CS46" s="319">
        <f>IF($BI46&lt;&gt;"",IF('Capacity summary'!$D$14="Yes",IF(COUNTBLANK('Capacity summary'!$H165:$BG165)&lt;52,IF('Capacity summary'!AP165&lt;&gt;"",$BI46*AP46,0),AP46*$BI46),AP46*$BI46),0)</f>
        <v>0</v>
      </c>
      <c r="CT46" s="319">
        <f>IF($BI46&lt;&gt;"",IF('Capacity summary'!$D$14="Yes",IF(COUNTBLANK('Capacity summary'!$H165:$BG165)&lt;52,IF('Capacity summary'!AQ165&lt;&gt;"",$BI46*AQ46,0),AQ46*$BI46),AQ46*$BI46),0)</f>
        <v>0</v>
      </c>
      <c r="CU46" s="319">
        <f>IF($BI46&lt;&gt;"",IF('Capacity summary'!$D$14="Yes",IF(COUNTBLANK('Capacity summary'!$H165:$BG165)&lt;52,IF('Capacity summary'!AR165&lt;&gt;"",$BI46*AR46,0),AR46*$BI46),AR46*$BI46),0)</f>
        <v>0</v>
      </c>
      <c r="CV46" s="319">
        <f>IF($BI46&lt;&gt;"",IF('Capacity summary'!$D$14="Yes",IF(COUNTBLANK('Capacity summary'!$H165:$BG165)&lt;52,IF('Capacity summary'!AS165&lt;&gt;"",$BI46*AS46,0),AS46*$BI46),AS46*$BI46),0)</f>
        <v>0</v>
      </c>
      <c r="CW46" s="319">
        <f>IF($BI46&lt;&gt;"",IF('Capacity summary'!$D$14="Yes",IF(COUNTBLANK('Capacity summary'!$H165:$BG165)&lt;52,IF('Capacity summary'!AT165&lt;&gt;"",$BI46*AT46,0),AT46*$BI46),AT46*$BI46),0)</f>
        <v>0</v>
      </c>
      <c r="CX46" s="319">
        <f>IF($BI46&lt;&gt;"",IF('Capacity summary'!$D$14="Yes",IF(COUNTBLANK('Capacity summary'!$H165:$BG165)&lt;52,IF('Capacity summary'!AU165&lt;&gt;"",$BI46*AU46,0),AU46*$BI46),AU46*$BI46),0)</f>
        <v>0</v>
      </c>
      <c r="CY46" s="319">
        <f>IF($BI46&lt;&gt;"",IF('Capacity summary'!$D$14="Yes",IF(COUNTBLANK('Capacity summary'!$H165:$BG165)&lt;52,IF('Capacity summary'!AV165&lt;&gt;"",$BI46*AV46,0),AV46*$BI46),AV46*$BI46),0)</f>
        <v>0</v>
      </c>
      <c r="CZ46" s="319">
        <f>IF($BI46&lt;&gt;"",IF('Capacity summary'!$D$14="Yes",IF(COUNTBLANK('Capacity summary'!$H165:$BG165)&lt;52,IF('Capacity summary'!AW165&lt;&gt;"",$BI46*AW46,0),AW46*$BI46),AW46*$BI46),0)</f>
        <v>0</v>
      </c>
      <c r="DA46" s="319">
        <f>IF($BI46&lt;&gt;"",IF('Capacity summary'!$D$14="Yes",IF(COUNTBLANK('Capacity summary'!$H165:$BG165)&lt;52,IF('Capacity summary'!AX165&lt;&gt;"",$BI46*AX46,0),AX46*$BI46),AX46*$BI46),0)</f>
        <v>0</v>
      </c>
      <c r="DB46" s="319">
        <f>IF($BI46&lt;&gt;"",IF('Capacity summary'!$D$14="Yes",IF(COUNTBLANK('Capacity summary'!$H165:$BG165)&lt;52,IF('Capacity summary'!AY165&lt;&gt;"",$BI46*AY46,0),AY46*$BI46),AY46*$BI46),0)</f>
        <v>0</v>
      </c>
      <c r="DC46" s="319">
        <f>IF($BI46&lt;&gt;"",IF('Capacity summary'!$D$14="Yes",IF(COUNTBLANK('Capacity summary'!$H165:$BG165)&lt;52,IF('Capacity summary'!AZ165&lt;&gt;"",$BI46*AZ46,0),AZ46*$BI46),AZ46*$BI46),0)</f>
        <v>0</v>
      </c>
      <c r="DD46" s="319">
        <f>IF($BI46&lt;&gt;"",IF('Capacity summary'!$D$14="Yes",IF(COUNTBLANK('Capacity summary'!$H165:$BG165)&lt;52,IF('Capacity summary'!BA165&lt;&gt;"",$BI46*BA46,0),BA46*$BI46),BA46*$BI46),0)</f>
        <v>0</v>
      </c>
      <c r="DE46" s="319">
        <f>IF($BI46&lt;&gt;"",IF('Capacity summary'!$D$14="Yes",IF(COUNTBLANK('Capacity summary'!$H165:$BG165)&lt;52,IF('Capacity summary'!BB165&lt;&gt;"",$BI46*BB46,0),BB46*$BI46),BB46*$BI46),0)</f>
        <v>0</v>
      </c>
      <c r="DF46" s="319">
        <f>IF($BI46&lt;&gt;"",IF('Capacity summary'!$D$14="Yes",IF(COUNTBLANK('Capacity summary'!$H165:$BG165)&lt;52,IF('Capacity summary'!BC165&lt;&gt;"",$BI46*BC46,0),BC46*$BI46),BC46*$BI46),0)</f>
        <v>0</v>
      </c>
      <c r="DG46" s="319">
        <f>IF($BI46&lt;&gt;"",IF('Capacity summary'!$D$14="Yes",IF(COUNTBLANK('Capacity summary'!$H165:$BG165)&lt;52,IF('Capacity summary'!BD165&lt;&gt;"",$BI46*BD46,0),BD46*$BI46),BD46*$BI46),0)</f>
        <v>0</v>
      </c>
      <c r="DH46" s="319">
        <f>IF($BI46&lt;&gt;"",IF('Capacity summary'!$D$14="Yes",IF(COUNTBLANK('Capacity summary'!$H165:$BG165)&lt;52,IF('Capacity summary'!BE165&lt;&gt;"",$BI46*BE46,0),BE46*$BI46),BE46*$BI46),0)</f>
        <v>0</v>
      </c>
      <c r="DI46" s="319">
        <f>IF($BI46&lt;&gt;"",IF('Capacity summary'!$D$14="Yes",IF(COUNTBLANK('Capacity summary'!$H165:$BG165)&lt;52,IF('Capacity summary'!BF165&lt;&gt;"",$BI46*BF46,0),BF46*$BI46),BF46*$BI46),0)</f>
        <v>0</v>
      </c>
      <c r="DJ46" s="319">
        <f>IF($BI46&lt;&gt;"",IF('Capacity summary'!$D$14="Yes",IF(COUNTBLANK('Capacity summary'!$H165:$BG165)&lt;52,IF('Capacity summary'!BG165&lt;&gt;"",$BI46*BG46,0),BG46*$BI46),BG46*$BI46),0)</f>
        <v>0</v>
      </c>
      <c r="DK46" s="5">
        <f t="shared" si="2"/>
        <v>0</v>
      </c>
      <c r="DL46" s="5" t="str">
        <f>Capacity!H58</f>
        <v/>
      </c>
      <c r="DP46" s="5"/>
    </row>
    <row r="47" spans="2:120" x14ac:dyDescent="0.2">
      <c r="B47" s="68"/>
      <c r="C47" s="68" t="str">
        <f>ROW(A43)&amp;". "&amp;Capacity!B59</f>
        <v xml:space="preserve">43. </v>
      </c>
      <c r="D47" s="68">
        <f>'Capacity setup'!C54</f>
        <v>0</v>
      </c>
      <c r="E47" s="68">
        <f>'Capacity setup'!D54</f>
        <v>0</v>
      </c>
      <c r="F47" s="68">
        <f>'Capacity setup'!E54</f>
        <v>0</v>
      </c>
      <c r="H47" s="68">
        <f ca="1">IF(AND(SUMIF(Capacity_Resource,$D47,'Critical resources (hide)'!U$6:U$105)+SUMIF(Capacity_Resource,$E47,'Critical resources (hide)'!U$6:U$105)+SUMIF(Capacity_Resource,$F47,'Critical resources (hide)'!U$6:U$105)&gt;0,$E$1=2),0,1)</f>
        <v>1</v>
      </c>
      <c r="I47" s="68">
        <f ca="1">IF(AND(SUMIF(Capacity_Resource,$D47,'Critical resources (hide)'!V$6:V$105)+SUMIF(Capacity_Resource,$E47,'Critical resources (hide)'!V$6:V$105)+SUMIF(Capacity_Resource,$F47,'Critical resources (hide)'!V$6:V$105)&gt;0,$E$1=2),0,1)</f>
        <v>1</v>
      </c>
      <c r="J47" s="68">
        <f ca="1">IF(AND(SUMIF(Capacity_Resource,$D47,'Critical resources (hide)'!W$6:W$105)+SUMIF(Capacity_Resource,$E47,'Critical resources (hide)'!W$6:W$105)+SUMIF(Capacity_Resource,$F47,'Critical resources (hide)'!W$6:W$105)&gt;0,$E$1=2),0,1)</f>
        <v>1</v>
      </c>
      <c r="K47" s="68">
        <f ca="1">IF(AND(SUMIF(Capacity_Resource,$D47,'Critical resources (hide)'!X$6:X$105)+SUMIF(Capacity_Resource,$E47,'Critical resources (hide)'!X$6:X$105)+SUMIF(Capacity_Resource,$F47,'Critical resources (hide)'!X$6:X$105)&gt;0,$E$1=2),0,1)</f>
        <v>1</v>
      </c>
      <c r="L47" s="68">
        <f ca="1">IF(AND(SUMIF(Capacity_Resource,$D47,'Critical resources (hide)'!Y$6:Y$105)+SUMIF(Capacity_Resource,$E47,'Critical resources (hide)'!Y$6:Y$105)+SUMIF(Capacity_Resource,$F47,'Critical resources (hide)'!Y$6:Y$105)&gt;0,$E$1=2),0,1)</f>
        <v>1</v>
      </c>
      <c r="M47" s="68">
        <f ca="1">IF(AND(SUMIF(Capacity_Resource,$D47,'Critical resources (hide)'!Z$6:Z$105)+SUMIF(Capacity_Resource,$E47,'Critical resources (hide)'!Z$6:Z$105)+SUMIF(Capacity_Resource,$F47,'Critical resources (hide)'!Z$6:Z$105)&gt;0,$E$1=2),0,1)</f>
        <v>1</v>
      </c>
      <c r="N47" s="68">
        <f ca="1">IF(AND(SUMIF(Capacity_Resource,$D47,'Critical resources (hide)'!AA$6:AA$105)+SUMIF(Capacity_Resource,$E47,'Critical resources (hide)'!AA$6:AA$105)+SUMIF(Capacity_Resource,$F47,'Critical resources (hide)'!AA$6:AA$105)&gt;0,$E$1=2),0,1)</f>
        <v>1</v>
      </c>
      <c r="O47" s="68">
        <f ca="1">IF(AND(SUMIF(Capacity_Resource,$D47,'Critical resources (hide)'!AB$6:AB$105)+SUMIF(Capacity_Resource,$E47,'Critical resources (hide)'!AB$6:AB$105)+SUMIF(Capacity_Resource,$F47,'Critical resources (hide)'!AB$6:AB$105)&gt;0,$E$1=2),0,1)</f>
        <v>1</v>
      </c>
      <c r="P47" s="68">
        <f ca="1">IF(AND(SUMIF(Capacity_Resource,$D47,'Critical resources (hide)'!AC$6:AC$105)+SUMIF(Capacity_Resource,$E47,'Critical resources (hide)'!AC$6:AC$105)+SUMIF(Capacity_Resource,$F47,'Critical resources (hide)'!AC$6:AC$105)&gt;0,$E$1=2),0,1)</f>
        <v>1</v>
      </c>
      <c r="Q47" s="68">
        <f ca="1">IF(AND(SUMIF(Capacity_Resource,$D47,'Critical resources (hide)'!AD$6:AD$105)+SUMIF(Capacity_Resource,$E47,'Critical resources (hide)'!AD$6:AD$105)+SUMIF(Capacity_Resource,$F47,'Critical resources (hide)'!AD$6:AD$105)&gt;0,$E$1=2),0,1)</f>
        <v>1</v>
      </c>
      <c r="R47" s="68">
        <f ca="1">IF(AND(SUMIF(Capacity_Resource,$D47,'Critical resources (hide)'!AE$6:AE$105)+SUMIF(Capacity_Resource,$E47,'Critical resources (hide)'!AE$6:AE$105)+SUMIF(Capacity_Resource,$F47,'Critical resources (hide)'!AE$6:AE$105)&gt;0,$E$1=2),0,1)</f>
        <v>1</v>
      </c>
      <c r="S47" s="68">
        <f ca="1">IF(AND(SUMIF(Capacity_Resource,$D47,'Critical resources (hide)'!AF$6:AF$105)+SUMIF(Capacity_Resource,$E47,'Critical resources (hide)'!AF$6:AF$105)+SUMIF(Capacity_Resource,$F47,'Critical resources (hide)'!AF$6:AF$105)&gt;0,$E$1=2),0,1)</f>
        <v>1</v>
      </c>
      <c r="T47" s="68">
        <f ca="1">IF(AND(SUMIF(Capacity_Resource,$D47,'Critical resources (hide)'!AG$6:AG$105)+SUMIF(Capacity_Resource,$E47,'Critical resources (hide)'!AG$6:AG$105)+SUMIF(Capacity_Resource,$F47,'Critical resources (hide)'!AG$6:AG$105)&gt;0,$E$1=2),0,1)</f>
        <v>1</v>
      </c>
      <c r="U47" s="68">
        <f ca="1">IF(AND(SUMIF(Capacity_Resource,$D47,'Critical resources (hide)'!AH$6:AH$105)+SUMIF(Capacity_Resource,$E47,'Critical resources (hide)'!AH$6:AH$105)+SUMIF(Capacity_Resource,$F47,'Critical resources (hide)'!AH$6:AH$105)&gt;0,$E$1=2),0,1)</f>
        <v>1</v>
      </c>
      <c r="V47" s="68">
        <f ca="1">IF(AND(SUMIF(Capacity_Resource,$D47,'Critical resources (hide)'!AI$6:AI$105)+SUMIF(Capacity_Resource,$E47,'Critical resources (hide)'!AI$6:AI$105)+SUMIF(Capacity_Resource,$F47,'Critical resources (hide)'!AI$6:AI$105)&gt;0,$E$1=2),0,1)</f>
        <v>1</v>
      </c>
      <c r="W47" s="68">
        <f ca="1">IF(AND(SUMIF(Capacity_Resource,$D47,'Critical resources (hide)'!AJ$6:AJ$105)+SUMIF(Capacity_Resource,$E47,'Critical resources (hide)'!AJ$6:AJ$105)+SUMIF(Capacity_Resource,$F47,'Critical resources (hide)'!AJ$6:AJ$105)&gt;0,$E$1=2),0,1)</f>
        <v>1</v>
      </c>
      <c r="X47" s="68">
        <f ca="1">IF(AND(SUMIF(Capacity_Resource,$D47,'Critical resources (hide)'!AK$6:AK$105)+SUMIF(Capacity_Resource,$E47,'Critical resources (hide)'!AK$6:AK$105)+SUMIF(Capacity_Resource,$F47,'Critical resources (hide)'!AK$6:AK$105)&gt;0,$E$1=2),0,1)</f>
        <v>1</v>
      </c>
      <c r="Y47" s="68">
        <f ca="1">IF(AND(SUMIF(Capacity_Resource,$D47,'Critical resources (hide)'!AL$6:AL$105)+SUMIF(Capacity_Resource,$E47,'Critical resources (hide)'!AL$6:AL$105)+SUMIF(Capacity_Resource,$F47,'Critical resources (hide)'!AL$6:AL$105)&gt;0,$E$1=2),0,1)</f>
        <v>1</v>
      </c>
      <c r="Z47" s="68">
        <f ca="1">IF(AND(SUMIF(Capacity_Resource,$D47,'Critical resources (hide)'!AM$6:AM$105)+SUMIF(Capacity_Resource,$E47,'Critical resources (hide)'!AM$6:AM$105)+SUMIF(Capacity_Resource,$F47,'Critical resources (hide)'!AM$6:AM$105)&gt;0,$E$1=2),0,1)</f>
        <v>1</v>
      </c>
      <c r="AA47" s="68">
        <f ca="1">IF(AND(SUMIF(Capacity_Resource,$D47,'Critical resources (hide)'!AN$6:AN$105)+SUMIF(Capacity_Resource,$E47,'Critical resources (hide)'!AN$6:AN$105)+SUMIF(Capacity_Resource,$F47,'Critical resources (hide)'!AN$6:AN$105)&gt;0,$E$1=2),0,1)</f>
        <v>1</v>
      </c>
      <c r="AB47" s="68">
        <f ca="1">IF(AND(SUMIF(Capacity_Resource,$D47,'Critical resources (hide)'!AO$6:AO$105)+SUMIF(Capacity_Resource,$E47,'Critical resources (hide)'!AO$6:AO$105)+SUMIF(Capacity_Resource,$F47,'Critical resources (hide)'!AO$6:AO$105)&gt;0,$E$1=2),0,1)</f>
        <v>1</v>
      </c>
      <c r="AC47" s="68">
        <f ca="1">IF(AND(SUMIF(Capacity_Resource,$D47,'Critical resources (hide)'!AP$6:AP$105)+SUMIF(Capacity_Resource,$E47,'Critical resources (hide)'!AP$6:AP$105)+SUMIF(Capacity_Resource,$F47,'Critical resources (hide)'!AP$6:AP$105)&gt;0,$E$1=2),0,1)</f>
        <v>1</v>
      </c>
      <c r="AD47" s="68">
        <f ca="1">IF(AND(SUMIF(Capacity_Resource,$D47,'Critical resources (hide)'!AQ$6:AQ$105)+SUMIF(Capacity_Resource,$E47,'Critical resources (hide)'!AQ$6:AQ$105)+SUMIF(Capacity_Resource,$F47,'Critical resources (hide)'!AQ$6:AQ$105)&gt;0,$E$1=2),0,1)</f>
        <v>1</v>
      </c>
      <c r="AE47" s="68">
        <f ca="1">IF(AND(SUMIF(Capacity_Resource,$D47,'Critical resources (hide)'!AR$6:AR$105)+SUMIF(Capacity_Resource,$E47,'Critical resources (hide)'!AR$6:AR$105)+SUMIF(Capacity_Resource,$F47,'Critical resources (hide)'!AR$6:AR$105)&gt;0,$E$1=2),0,1)</f>
        <v>1</v>
      </c>
      <c r="AF47" s="68">
        <f ca="1">IF(AND(SUMIF(Capacity_Resource,$D47,'Critical resources (hide)'!AS$6:AS$105)+SUMIF(Capacity_Resource,$E47,'Critical resources (hide)'!AS$6:AS$105)+SUMIF(Capacity_Resource,$F47,'Critical resources (hide)'!AS$6:AS$105)&gt;0,$E$1=2),0,1)</f>
        <v>1</v>
      </c>
      <c r="AG47" s="68">
        <f ca="1">IF(AND(SUMIF(Capacity_Resource,$D47,'Critical resources (hide)'!AT$6:AT$105)+SUMIF(Capacity_Resource,$E47,'Critical resources (hide)'!AT$6:AT$105)+SUMIF(Capacity_Resource,$F47,'Critical resources (hide)'!AT$6:AT$105)&gt;0,$E$1=2),0,1)</f>
        <v>1</v>
      </c>
      <c r="AH47" s="68">
        <f ca="1">IF(AND(SUMIF(Capacity_Resource,$D47,'Critical resources (hide)'!AU$6:AU$105)+SUMIF(Capacity_Resource,$E47,'Critical resources (hide)'!AU$6:AU$105)+SUMIF(Capacity_Resource,$F47,'Critical resources (hide)'!AU$6:AU$105)&gt;0,$E$1=2),0,1)</f>
        <v>1</v>
      </c>
      <c r="AI47" s="68">
        <f ca="1">IF(AND(SUMIF(Capacity_Resource,$D47,'Critical resources (hide)'!AV$6:AV$105)+SUMIF(Capacity_Resource,$E47,'Critical resources (hide)'!AV$6:AV$105)+SUMIF(Capacity_Resource,$F47,'Critical resources (hide)'!AV$6:AV$105)&gt;0,$E$1=2),0,1)</f>
        <v>1</v>
      </c>
      <c r="AJ47" s="68">
        <f ca="1">IF(AND(SUMIF(Capacity_Resource,$D47,'Critical resources (hide)'!AW$6:AW$105)+SUMIF(Capacity_Resource,$E47,'Critical resources (hide)'!AW$6:AW$105)+SUMIF(Capacity_Resource,$F47,'Critical resources (hide)'!AW$6:AW$105)&gt;0,$E$1=2),0,1)</f>
        <v>1</v>
      </c>
      <c r="AK47" s="68">
        <f ca="1">IF(AND(SUMIF(Capacity_Resource,$D47,'Critical resources (hide)'!AX$6:AX$105)+SUMIF(Capacity_Resource,$E47,'Critical resources (hide)'!AX$6:AX$105)+SUMIF(Capacity_Resource,$F47,'Critical resources (hide)'!AX$6:AX$105)&gt;0,$E$1=2),0,1)</f>
        <v>1</v>
      </c>
      <c r="AL47" s="68">
        <f ca="1">IF(AND(SUMIF(Capacity_Resource,$D47,'Critical resources (hide)'!AY$6:AY$105)+SUMIF(Capacity_Resource,$E47,'Critical resources (hide)'!AY$6:AY$105)+SUMIF(Capacity_Resource,$F47,'Critical resources (hide)'!AY$6:AY$105)&gt;0,$E$1=2),0,1)</f>
        <v>1</v>
      </c>
      <c r="AM47" s="68">
        <f ca="1">IF(AND(SUMIF(Capacity_Resource,$D47,'Critical resources (hide)'!AZ$6:AZ$105)+SUMIF(Capacity_Resource,$E47,'Critical resources (hide)'!AZ$6:AZ$105)+SUMIF(Capacity_Resource,$F47,'Critical resources (hide)'!AZ$6:AZ$105)&gt;0,$E$1=2),0,1)</f>
        <v>1</v>
      </c>
      <c r="AN47" s="68">
        <f ca="1">IF(AND(SUMIF(Capacity_Resource,$D47,'Critical resources (hide)'!BA$6:BA$105)+SUMIF(Capacity_Resource,$E47,'Critical resources (hide)'!BA$6:BA$105)+SUMIF(Capacity_Resource,$F47,'Critical resources (hide)'!BA$6:BA$105)&gt;0,$E$1=2),0,1)</f>
        <v>1</v>
      </c>
      <c r="AO47" s="68">
        <f ca="1">IF(AND(SUMIF(Capacity_Resource,$D47,'Critical resources (hide)'!BB$6:BB$105)+SUMIF(Capacity_Resource,$E47,'Critical resources (hide)'!BB$6:BB$105)+SUMIF(Capacity_Resource,$F47,'Critical resources (hide)'!BB$6:BB$105)&gt;0,$E$1=2),0,1)</f>
        <v>1</v>
      </c>
      <c r="AP47" s="68">
        <f ca="1">IF(AND(SUMIF(Capacity_Resource,$D47,'Critical resources (hide)'!BC$6:BC$105)+SUMIF(Capacity_Resource,$E47,'Critical resources (hide)'!BC$6:BC$105)+SUMIF(Capacity_Resource,$F47,'Critical resources (hide)'!BC$6:BC$105)&gt;0,$E$1=2),0,1)</f>
        <v>1</v>
      </c>
      <c r="AQ47" s="68">
        <f ca="1">IF(AND(SUMIF(Capacity_Resource,$D47,'Critical resources (hide)'!BD$6:BD$105)+SUMIF(Capacity_Resource,$E47,'Critical resources (hide)'!BD$6:BD$105)+SUMIF(Capacity_Resource,$F47,'Critical resources (hide)'!BD$6:BD$105)&gt;0,$E$1=2),0,1)</f>
        <v>1</v>
      </c>
      <c r="AR47" s="68">
        <f ca="1">IF(AND(SUMIF(Capacity_Resource,$D47,'Critical resources (hide)'!BE$6:BE$105)+SUMIF(Capacity_Resource,$E47,'Critical resources (hide)'!BE$6:BE$105)+SUMIF(Capacity_Resource,$F47,'Critical resources (hide)'!BE$6:BE$105)&gt;0,$E$1=2),0,1)</f>
        <v>1</v>
      </c>
      <c r="AS47" s="68">
        <f ca="1">IF(AND(SUMIF(Capacity_Resource,$D47,'Critical resources (hide)'!BF$6:BF$105)+SUMIF(Capacity_Resource,$E47,'Critical resources (hide)'!BF$6:BF$105)+SUMIF(Capacity_Resource,$F47,'Critical resources (hide)'!BF$6:BF$105)&gt;0,$E$1=2),0,1)</f>
        <v>1</v>
      </c>
      <c r="AT47" s="68">
        <f ca="1">IF(AND(SUMIF(Capacity_Resource,$D47,'Critical resources (hide)'!BG$6:BG$105)+SUMIF(Capacity_Resource,$E47,'Critical resources (hide)'!BG$6:BG$105)+SUMIF(Capacity_Resource,$F47,'Critical resources (hide)'!BG$6:BG$105)&gt;0,$E$1=2),0,1)</f>
        <v>1</v>
      </c>
      <c r="AU47" s="68">
        <f ca="1">IF(AND(SUMIF(Capacity_Resource,$D47,'Critical resources (hide)'!BH$6:BH$105)+SUMIF(Capacity_Resource,$E47,'Critical resources (hide)'!BH$6:BH$105)+SUMIF(Capacity_Resource,$F47,'Critical resources (hide)'!BH$6:BH$105)&gt;0,$E$1=2),0,1)</f>
        <v>1</v>
      </c>
      <c r="AV47" s="68">
        <f ca="1">IF(AND(SUMIF(Capacity_Resource,$D47,'Critical resources (hide)'!BI$6:BI$105)+SUMIF(Capacity_Resource,$E47,'Critical resources (hide)'!BI$6:BI$105)+SUMIF(Capacity_Resource,$F47,'Critical resources (hide)'!BI$6:BI$105)&gt;0,$E$1=2),0,1)</f>
        <v>1</v>
      </c>
      <c r="AW47" s="68">
        <f ca="1">IF(AND(SUMIF(Capacity_Resource,$D47,'Critical resources (hide)'!BJ$6:BJ$105)+SUMIF(Capacity_Resource,$E47,'Critical resources (hide)'!BJ$6:BJ$105)+SUMIF(Capacity_Resource,$F47,'Critical resources (hide)'!BJ$6:BJ$105)&gt;0,$E$1=2),0,1)</f>
        <v>1</v>
      </c>
      <c r="AX47" s="68">
        <f ca="1">IF(AND(SUMIF(Capacity_Resource,$D47,'Critical resources (hide)'!BK$6:BK$105)+SUMIF(Capacity_Resource,$E47,'Critical resources (hide)'!BK$6:BK$105)+SUMIF(Capacity_Resource,$F47,'Critical resources (hide)'!BK$6:BK$105)&gt;0,$E$1=2),0,1)</f>
        <v>1</v>
      </c>
      <c r="AY47" s="68">
        <f ca="1">IF(AND(SUMIF(Capacity_Resource,$D47,'Critical resources (hide)'!BL$6:BL$105)+SUMIF(Capacity_Resource,$E47,'Critical resources (hide)'!BL$6:BL$105)+SUMIF(Capacity_Resource,$F47,'Critical resources (hide)'!BL$6:BL$105)&gt;0,$E$1=2),0,1)</f>
        <v>1</v>
      </c>
      <c r="AZ47" s="68">
        <f ca="1">IF(AND(SUMIF(Capacity_Resource,$D47,'Critical resources (hide)'!BM$6:BM$105)+SUMIF(Capacity_Resource,$E47,'Critical resources (hide)'!BM$6:BM$105)+SUMIF(Capacity_Resource,$F47,'Critical resources (hide)'!BM$6:BM$105)&gt;0,$E$1=2),0,1)</f>
        <v>1</v>
      </c>
      <c r="BA47" s="68">
        <f ca="1">IF(AND(SUMIF(Capacity_Resource,$D47,'Critical resources (hide)'!BN$6:BN$105)+SUMIF(Capacity_Resource,$E47,'Critical resources (hide)'!BN$6:BN$105)+SUMIF(Capacity_Resource,$F47,'Critical resources (hide)'!BN$6:BN$105)&gt;0,$E$1=2),0,1)</f>
        <v>1</v>
      </c>
      <c r="BB47" s="68">
        <f ca="1">IF(AND(SUMIF(Capacity_Resource,$D47,'Critical resources (hide)'!BO$6:BO$105)+SUMIF(Capacity_Resource,$E47,'Critical resources (hide)'!BO$6:BO$105)+SUMIF(Capacity_Resource,$F47,'Critical resources (hide)'!BO$6:BO$105)&gt;0,$E$1=2),0,1)</f>
        <v>1</v>
      </c>
      <c r="BC47" s="68">
        <f ca="1">IF(AND(SUMIF(Capacity_Resource,$D47,'Critical resources (hide)'!BP$6:BP$105)+SUMIF(Capacity_Resource,$E47,'Critical resources (hide)'!BP$6:BP$105)+SUMIF(Capacity_Resource,$F47,'Critical resources (hide)'!BP$6:BP$105)&gt;0,$E$1=2),0,1)</f>
        <v>1</v>
      </c>
      <c r="BD47" s="68">
        <f ca="1">IF(AND(SUMIF(Capacity_Resource,$D47,'Critical resources (hide)'!BQ$6:BQ$105)+SUMIF(Capacity_Resource,$E47,'Critical resources (hide)'!BQ$6:BQ$105)+SUMIF(Capacity_Resource,$F47,'Critical resources (hide)'!BQ$6:BQ$105)&gt;0,$E$1=2),0,1)</f>
        <v>1</v>
      </c>
      <c r="BE47" s="68">
        <f ca="1">IF(AND(SUMIF(Capacity_Resource,$D47,'Critical resources (hide)'!BR$6:BR$105)+SUMIF(Capacity_Resource,$E47,'Critical resources (hide)'!BR$6:BR$105)+SUMIF(Capacity_Resource,$F47,'Critical resources (hide)'!BR$6:BR$105)&gt;0,$E$1=2),0,1)</f>
        <v>1</v>
      </c>
      <c r="BF47" s="68">
        <f ca="1">IF(AND(SUMIF(Capacity_Resource,$D47,'Critical resources (hide)'!BS$6:BS$105)+SUMIF(Capacity_Resource,$E47,'Critical resources (hide)'!BS$6:BS$105)+SUMIF(Capacity_Resource,$F47,'Critical resources (hide)'!BS$6:BS$105)&gt;0,$E$1=2),0,1)</f>
        <v>1</v>
      </c>
      <c r="BG47" s="68">
        <f ca="1">IF(AND(SUMIF(Capacity_Resource,$D47,'Critical resources (hide)'!BT$6:BT$105)+SUMIF(Capacity_Resource,$E47,'Critical resources (hide)'!BT$6:BT$105)+SUMIF(Capacity_Resource,$F47,'Critical resources (hide)'!BT$6:BT$105)&gt;0,$E$1=2),0,1)</f>
        <v>1</v>
      </c>
      <c r="BH47" s="68">
        <f>IF(ROW(C43)&lt;=Capacity!$A$16,IF('Capacity summary'!$D$14="No",SUM(H47:BG47),'Capacity summary'!$E166),0)</f>
        <v>0</v>
      </c>
      <c r="BI47" s="5" t="str">
        <f>IF(BH47&gt;0,IF(BH47&lt;Capacity!E59,Capacity!F59,Capacity!H59/'Capacity calculation (hide)'!BH47),"")</f>
        <v/>
      </c>
      <c r="BK47" s="319">
        <f>IF($BI47&lt;&gt;"",IF('Capacity summary'!$D$14="Yes",IF(COUNTBLANK('Capacity summary'!$H166:$BG166)&lt;52,IF('Capacity summary'!H166&lt;&gt;"",$BI47*H47,0),H47*$BI47),H47*$BI47),0)</f>
        <v>0</v>
      </c>
      <c r="BL47" s="319">
        <f>IF($BI47&lt;&gt;"",IF('Capacity summary'!$D$14="Yes",IF(COUNTBLANK('Capacity summary'!$H166:$BG166)&lt;52,IF('Capacity summary'!I166&lt;&gt;"",$BI47*I47,0),I47*$BI47),I47*$BI47),0)</f>
        <v>0</v>
      </c>
      <c r="BM47" s="319">
        <f>IF($BI47&lt;&gt;"",IF('Capacity summary'!$D$14="Yes",IF(COUNTBLANK('Capacity summary'!$H166:$BG166)&lt;52,IF('Capacity summary'!J166&lt;&gt;"",$BI47*J47,0),J47*$BI47),J47*$BI47),0)</f>
        <v>0</v>
      </c>
      <c r="BN47" s="319">
        <f>IF($BI47&lt;&gt;"",IF('Capacity summary'!$D$14="Yes",IF(COUNTBLANK('Capacity summary'!$H166:$BG166)&lt;52,IF('Capacity summary'!K166&lt;&gt;"",$BI47*K47,0),K47*$BI47),K47*$BI47),0)</f>
        <v>0</v>
      </c>
      <c r="BO47" s="319">
        <f>IF($BI47&lt;&gt;"",IF('Capacity summary'!$D$14="Yes",IF(COUNTBLANK('Capacity summary'!$H166:$BG166)&lt;52,IF('Capacity summary'!L166&lt;&gt;"",$BI47*L47,0),L47*$BI47),L47*$BI47),0)</f>
        <v>0</v>
      </c>
      <c r="BP47" s="319">
        <f>IF($BI47&lt;&gt;"",IF('Capacity summary'!$D$14="Yes",IF(COUNTBLANK('Capacity summary'!$H166:$BG166)&lt;52,IF('Capacity summary'!M166&lt;&gt;"",$BI47*M47,0),M47*$BI47),M47*$BI47),0)</f>
        <v>0</v>
      </c>
      <c r="BQ47" s="319">
        <f>IF($BI47&lt;&gt;"",IF('Capacity summary'!$D$14="Yes",IF(COUNTBLANK('Capacity summary'!$H166:$BG166)&lt;52,IF('Capacity summary'!N166&lt;&gt;"",$BI47*N47,0),N47*$BI47),N47*$BI47),0)</f>
        <v>0</v>
      </c>
      <c r="BR47" s="319">
        <f>IF($BI47&lt;&gt;"",IF('Capacity summary'!$D$14="Yes",IF(COUNTBLANK('Capacity summary'!$H166:$BG166)&lt;52,IF('Capacity summary'!O166&lt;&gt;"",$BI47*O47,0),O47*$BI47),O47*$BI47),0)</f>
        <v>0</v>
      </c>
      <c r="BS47" s="319">
        <f>IF($BI47&lt;&gt;"",IF('Capacity summary'!$D$14="Yes",IF(COUNTBLANK('Capacity summary'!$H166:$BG166)&lt;52,IF('Capacity summary'!P166&lt;&gt;"",$BI47*P47,0),P47*$BI47),P47*$BI47),0)</f>
        <v>0</v>
      </c>
      <c r="BT47" s="319">
        <f>IF($BI47&lt;&gt;"",IF('Capacity summary'!$D$14="Yes",IF(COUNTBLANK('Capacity summary'!$H166:$BG166)&lt;52,IF('Capacity summary'!Q166&lt;&gt;"",$BI47*Q47,0),Q47*$BI47),Q47*$BI47),0)</f>
        <v>0</v>
      </c>
      <c r="BU47" s="319">
        <f>IF($BI47&lt;&gt;"",IF('Capacity summary'!$D$14="Yes",IF(COUNTBLANK('Capacity summary'!$H166:$BG166)&lt;52,IF('Capacity summary'!R166&lt;&gt;"",$BI47*R47,0),R47*$BI47),R47*$BI47),0)</f>
        <v>0</v>
      </c>
      <c r="BV47" s="319">
        <f>IF($BI47&lt;&gt;"",IF('Capacity summary'!$D$14="Yes",IF(COUNTBLANK('Capacity summary'!$H166:$BG166)&lt;52,IF('Capacity summary'!S166&lt;&gt;"",$BI47*S47,0),S47*$BI47),S47*$BI47),0)</f>
        <v>0</v>
      </c>
      <c r="BW47" s="319">
        <f>IF($BI47&lt;&gt;"",IF('Capacity summary'!$D$14="Yes",IF(COUNTBLANK('Capacity summary'!$H166:$BG166)&lt;52,IF('Capacity summary'!T166&lt;&gt;"",$BI47*T47,0),T47*$BI47),T47*$BI47),0)</f>
        <v>0</v>
      </c>
      <c r="BX47" s="319">
        <f>IF($BI47&lt;&gt;"",IF('Capacity summary'!$D$14="Yes",IF(COUNTBLANK('Capacity summary'!$H166:$BG166)&lt;52,IF('Capacity summary'!U166&lt;&gt;"",$BI47*U47,0),U47*$BI47),U47*$BI47),0)</f>
        <v>0</v>
      </c>
      <c r="BY47" s="319">
        <f>IF($BI47&lt;&gt;"",IF('Capacity summary'!$D$14="Yes",IF(COUNTBLANK('Capacity summary'!$H166:$BG166)&lt;52,IF('Capacity summary'!V166&lt;&gt;"",$BI47*V47,0),V47*$BI47),V47*$BI47),0)</f>
        <v>0</v>
      </c>
      <c r="BZ47" s="319">
        <f>IF($BI47&lt;&gt;"",IF('Capacity summary'!$D$14="Yes",IF(COUNTBLANK('Capacity summary'!$H166:$BG166)&lt;52,IF('Capacity summary'!W166&lt;&gt;"",$BI47*W47,0),W47*$BI47),W47*$BI47),0)</f>
        <v>0</v>
      </c>
      <c r="CA47" s="319">
        <f>IF($BI47&lt;&gt;"",IF('Capacity summary'!$D$14="Yes",IF(COUNTBLANK('Capacity summary'!$H166:$BG166)&lt;52,IF('Capacity summary'!X166&lt;&gt;"",$BI47*X47,0),X47*$BI47),X47*$BI47),0)</f>
        <v>0</v>
      </c>
      <c r="CB47" s="319">
        <f>IF($BI47&lt;&gt;"",IF('Capacity summary'!$D$14="Yes",IF(COUNTBLANK('Capacity summary'!$H166:$BG166)&lt;52,IF('Capacity summary'!Y166&lt;&gt;"",$BI47*Y47,0),Y47*$BI47),Y47*$BI47),0)</f>
        <v>0</v>
      </c>
      <c r="CC47" s="319">
        <f>IF($BI47&lt;&gt;"",IF('Capacity summary'!$D$14="Yes",IF(COUNTBLANK('Capacity summary'!$H166:$BG166)&lt;52,IF('Capacity summary'!Z166&lt;&gt;"",$BI47*Z47,0),Z47*$BI47),Z47*$BI47),0)</f>
        <v>0</v>
      </c>
      <c r="CD47" s="319">
        <f>IF($BI47&lt;&gt;"",IF('Capacity summary'!$D$14="Yes",IF(COUNTBLANK('Capacity summary'!$H166:$BG166)&lt;52,IF('Capacity summary'!AA166&lt;&gt;"",$BI47*AA47,0),AA47*$BI47),AA47*$BI47),0)</f>
        <v>0</v>
      </c>
      <c r="CE47" s="319">
        <f>IF($BI47&lt;&gt;"",IF('Capacity summary'!$D$14="Yes",IF(COUNTBLANK('Capacity summary'!$H166:$BG166)&lt;52,IF('Capacity summary'!AB166&lt;&gt;"",$BI47*AB47,0),AB47*$BI47),AB47*$BI47),0)</f>
        <v>0</v>
      </c>
      <c r="CF47" s="319">
        <f>IF($BI47&lt;&gt;"",IF('Capacity summary'!$D$14="Yes",IF(COUNTBLANK('Capacity summary'!$H166:$BG166)&lt;52,IF('Capacity summary'!AC166&lt;&gt;"",$BI47*AC47,0),AC47*$BI47),AC47*$BI47),0)</f>
        <v>0</v>
      </c>
      <c r="CG47" s="319">
        <f>IF($BI47&lt;&gt;"",IF('Capacity summary'!$D$14="Yes",IF(COUNTBLANK('Capacity summary'!$H166:$BG166)&lt;52,IF('Capacity summary'!AD166&lt;&gt;"",$BI47*AD47,0),AD47*$BI47),AD47*$BI47),0)</f>
        <v>0</v>
      </c>
      <c r="CH47" s="319">
        <f>IF($BI47&lt;&gt;"",IF('Capacity summary'!$D$14="Yes",IF(COUNTBLANK('Capacity summary'!$H166:$BG166)&lt;52,IF('Capacity summary'!AE166&lt;&gt;"",$BI47*AE47,0),AE47*$BI47),AE47*$BI47),0)</f>
        <v>0</v>
      </c>
      <c r="CI47" s="319">
        <f>IF($BI47&lt;&gt;"",IF('Capacity summary'!$D$14="Yes",IF(COUNTBLANK('Capacity summary'!$H166:$BG166)&lt;52,IF('Capacity summary'!AF166&lt;&gt;"",$BI47*AF47,0),AF47*$BI47),AF47*$BI47),0)</f>
        <v>0</v>
      </c>
      <c r="CJ47" s="319">
        <f>IF($BI47&lt;&gt;"",IF('Capacity summary'!$D$14="Yes",IF(COUNTBLANK('Capacity summary'!$H166:$BG166)&lt;52,IF('Capacity summary'!AG166&lt;&gt;"",$BI47*AG47,0),AG47*$BI47),AG47*$BI47),0)</f>
        <v>0</v>
      </c>
      <c r="CK47" s="319">
        <f>IF($BI47&lt;&gt;"",IF('Capacity summary'!$D$14="Yes",IF(COUNTBLANK('Capacity summary'!$H166:$BG166)&lt;52,IF('Capacity summary'!AH166&lt;&gt;"",$BI47*AH47,0),AH47*$BI47),AH47*$BI47),0)</f>
        <v>0</v>
      </c>
      <c r="CL47" s="319">
        <f>IF($BI47&lt;&gt;"",IF('Capacity summary'!$D$14="Yes",IF(COUNTBLANK('Capacity summary'!$H166:$BG166)&lt;52,IF('Capacity summary'!AI166&lt;&gt;"",$BI47*AI47,0),AI47*$BI47),AI47*$BI47),0)</f>
        <v>0</v>
      </c>
      <c r="CM47" s="319">
        <f>IF($BI47&lt;&gt;"",IF('Capacity summary'!$D$14="Yes",IF(COUNTBLANK('Capacity summary'!$H166:$BG166)&lt;52,IF('Capacity summary'!AJ166&lt;&gt;"",$BI47*AJ47,0),AJ47*$BI47),AJ47*$BI47),0)</f>
        <v>0</v>
      </c>
      <c r="CN47" s="319">
        <f>IF($BI47&lt;&gt;"",IF('Capacity summary'!$D$14="Yes",IF(COUNTBLANK('Capacity summary'!$H166:$BG166)&lt;52,IF('Capacity summary'!AK166&lt;&gt;"",$BI47*AK47,0),AK47*$BI47),AK47*$BI47),0)</f>
        <v>0</v>
      </c>
      <c r="CO47" s="319">
        <f>IF($BI47&lt;&gt;"",IF('Capacity summary'!$D$14="Yes",IF(COUNTBLANK('Capacity summary'!$H166:$BG166)&lt;52,IF('Capacity summary'!AL166&lt;&gt;"",$BI47*AL47,0),AL47*$BI47),AL47*$BI47),0)</f>
        <v>0</v>
      </c>
      <c r="CP47" s="319">
        <f>IF($BI47&lt;&gt;"",IF('Capacity summary'!$D$14="Yes",IF(COUNTBLANK('Capacity summary'!$H166:$BG166)&lt;52,IF('Capacity summary'!AM166&lt;&gt;"",$BI47*AM47,0),AM47*$BI47),AM47*$BI47),0)</f>
        <v>0</v>
      </c>
      <c r="CQ47" s="319">
        <f>IF($BI47&lt;&gt;"",IF('Capacity summary'!$D$14="Yes",IF(COUNTBLANK('Capacity summary'!$H166:$BG166)&lt;52,IF('Capacity summary'!AN166&lt;&gt;"",$BI47*AN47,0),AN47*$BI47),AN47*$BI47),0)</f>
        <v>0</v>
      </c>
      <c r="CR47" s="319">
        <f>IF($BI47&lt;&gt;"",IF('Capacity summary'!$D$14="Yes",IF(COUNTBLANK('Capacity summary'!$H166:$BG166)&lt;52,IF('Capacity summary'!AO166&lt;&gt;"",$BI47*AO47,0),AO47*$BI47),AO47*$BI47),0)</f>
        <v>0</v>
      </c>
      <c r="CS47" s="319">
        <f>IF($BI47&lt;&gt;"",IF('Capacity summary'!$D$14="Yes",IF(COUNTBLANK('Capacity summary'!$H166:$BG166)&lt;52,IF('Capacity summary'!AP166&lt;&gt;"",$BI47*AP47,0),AP47*$BI47),AP47*$BI47),0)</f>
        <v>0</v>
      </c>
      <c r="CT47" s="319">
        <f>IF($BI47&lt;&gt;"",IF('Capacity summary'!$D$14="Yes",IF(COUNTBLANK('Capacity summary'!$H166:$BG166)&lt;52,IF('Capacity summary'!AQ166&lt;&gt;"",$BI47*AQ47,0),AQ47*$BI47),AQ47*$BI47),0)</f>
        <v>0</v>
      </c>
      <c r="CU47" s="319">
        <f>IF($BI47&lt;&gt;"",IF('Capacity summary'!$D$14="Yes",IF(COUNTBLANK('Capacity summary'!$H166:$BG166)&lt;52,IF('Capacity summary'!AR166&lt;&gt;"",$BI47*AR47,0),AR47*$BI47),AR47*$BI47),0)</f>
        <v>0</v>
      </c>
      <c r="CV47" s="319">
        <f>IF($BI47&lt;&gt;"",IF('Capacity summary'!$D$14="Yes",IF(COUNTBLANK('Capacity summary'!$H166:$BG166)&lt;52,IF('Capacity summary'!AS166&lt;&gt;"",$BI47*AS47,0),AS47*$BI47),AS47*$BI47),0)</f>
        <v>0</v>
      </c>
      <c r="CW47" s="319">
        <f>IF($BI47&lt;&gt;"",IF('Capacity summary'!$D$14="Yes",IF(COUNTBLANK('Capacity summary'!$H166:$BG166)&lt;52,IF('Capacity summary'!AT166&lt;&gt;"",$BI47*AT47,0),AT47*$BI47),AT47*$BI47),0)</f>
        <v>0</v>
      </c>
      <c r="CX47" s="319">
        <f>IF($BI47&lt;&gt;"",IF('Capacity summary'!$D$14="Yes",IF(COUNTBLANK('Capacity summary'!$H166:$BG166)&lt;52,IF('Capacity summary'!AU166&lt;&gt;"",$BI47*AU47,0),AU47*$BI47),AU47*$BI47),0)</f>
        <v>0</v>
      </c>
      <c r="CY47" s="319">
        <f>IF($BI47&lt;&gt;"",IF('Capacity summary'!$D$14="Yes",IF(COUNTBLANK('Capacity summary'!$H166:$BG166)&lt;52,IF('Capacity summary'!AV166&lt;&gt;"",$BI47*AV47,0),AV47*$BI47),AV47*$BI47),0)</f>
        <v>0</v>
      </c>
      <c r="CZ47" s="319">
        <f>IF($BI47&lt;&gt;"",IF('Capacity summary'!$D$14="Yes",IF(COUNTBLANK('Capacity summary'!$H166:$BG166)&lt;52,IF('Capacity summary'!AW166&lt;&gt;"",$BI47*AW47,0),AW47*$BI47),AW47*$BI47),0)</f>
        <v>0</v>
      </c>
      <c r="DA47" s="319">
        <f>IF($BI47&lt;&gt;"",IF('Capacity summary'!$D$14="Yes",IF(COUNTBLANK('Capacity summary'!$H166:$BG166)&lt;52,IF('Capacity summary'!AX166&lt;&gt;"",$BI47*AX47,0),AX47*$BI47),AX47*$BI47),0)</f>
        <v>0</v>
      </c>
      <c r="DB47" s="319">
        <f>IF($BI47&lt;&gt;"",IF('Capacity summary'!$D$14="Yes",IF(COUNTBLANK('Capacity summary'!$H166:$BG166)&lt;52,IF('Capacity summary'!AY166&lt;&gt;"",$BI47*AY47,0),AY47*$BI47),AY47*$BI47),0)</f>
        <v>0</v>
      </c>
      <c r="DC47" s="319">
        <f>IF($BI47&lt;&gt;"",IF('Capacity summary'!$D$14="Yes",IF(COUNTBLANK('Capacity summary'!$H166:$BG166)&lt;52,IF('Capacity summary'!AZ166&lt;&gt;"",$BI47*AZ47,0),AZ47*$BI47),AZ47*$BI47),0)</f>
        <v>0</v>
      </c>
      <c r="DD47" s="319">
        <f>IF($BI47&lt;&gt;"",IF('Capacity summary'!$D$14="Yes",IF(COUNTBLANK('Capacity summary'!$H166:$BG166)&lt;52,IF('Capacity summary'!BA166&lt;&gt;"",$BI47*BA47,0),BA47*$BI47),BA47*$BI47),0)</f>
        <v>0</v>
      </c>
      <c r="DE47" s="319">
        <f>IF($BI47&lt;&gt;"",IF('Capacity summary'!$D$14="Yes",IF(COUNTBLANK('Capacity summary'!$H166:$BG166)&lt;52,IF('Capacity summary'!BB166&lt;&gt;"",$BI47*BB47,0),BB47*$BI47),BB47*$BI47),0)</f>
        <v>0</v>
      </c>
      <c r="DF47" s="319">
        <f>IF($BI47&lt;&gt;"",IF('Capacity summary'!$D$14="Yes",IF(COUNTBLANK('Capacity summary'!$H166:$BG166)&lt;52,IF('Capacity summary'!BC166&lt;&gt;"",$BI47*BC47,0),BC47*$BI47),BC47*$BI47),0)</f>
        <v>0</v>
      </c>
      <c r="DG47" s="319">
        <f>IF($BI47&lt;&gt;"",IF('Capacity summary'!$D$14="Yes",IF(COUNTBLANK('Capacity summary'!$H166:$BG166)&lt;52,IF('Capacity summary'!BD166&lt;&gt;"",$BI47*BD47,0),BD47*$BI47),BD47*$BI47),0)</f>
        <v>0</v>
      </c>
      <c r="DH47" s="319">
        <f>IF($BI47&lt;&gt;"",IF('Capacity summary'!$D$14="Yes",IF(COUNTBLANK('Capacity summary'!$H166:$BG166)&lt;52,IF('Capacity summary'!BE166&lt;&gt;"",$BI47*BE47,0),BE47*$BI47),BE47*$BI47),0)</f>
        <v>0</v>
      </c>
      <c r="DI47" s="319">
        <f>IF($BI47&lt;&gt;"",IF('Capacity summary'!$D$14="Yes",IF(COUNTBLANK('Capacity summary'!$H166:$BG166)&lt;52,IF('Capacity summary'!BF166&lt;&gt;"",$BI47*BF47,0),BF47*$BI47),BF47*$BI47),0)</f>
        <v>0</v>
      </c>
      <c r="DJ47" s="319">
        <f>IF($BI47&lt;&gt;"",IF('Capacity summary'!$D$14="Yes",IF(COUNTBLANK('Capacity summary'!$H166:$BG166)&lt;52,IF('Capacity summary'!BG166&lt;&gt;"",$BI47*BG47,0),BG47*$BI47),BG47*$BI47),0)</f>
        <v>0</v>
      </c>
      <c r="DK47" s="5">
        <f t="shared" si="2"/>
        <v>0</v>
      </c>
      <c r="DL47" s="5" t="str">
        <f>Capacity!H59</f>
        <v/>
      </c>
      <c r="DP47" s="5"/>
    </row>
    <row r="48" spans="2:120" x14ac:dyDescent="0.2">
      <c r="B48" s="68"/>
      <c r="C48" s="68" t="str">
        <f>ROW(A44)&amp;". "&amp;Capacity!B60</f>
        <v xml:space="preserve">44. </v>
      </c>
      <c r="D48" s="68">
        <f>'Capacity setup'!C55</f>
        <v>0</v>
      </c>
      <c r="E48" s="68">
        <f>'Capacity setup'!D55</f>
        <v>0</v>
      </c>
      <c r="F48" s="68">
        <f>'Capacity setup'!E55</f>
        <v>0</v>
      </c>
      <c r="H48" s="68">
        <f ca="1">IF(AND(SUMIF(Capacity_Resource,$D48,'Critical resources (hide)'!U$6:U$105)+SUMIF(Capacity_Resource,$E48,'Critical resources (hide)'!U$6:U$105)+SUMIF(Capacity_Resource,$F48,'Critical resources (hide)'!U$6:U$105)&gt;0,$E$1=2),0,1)</f>
        <v>1</v>
      </c>
      <c r="I48" s="68">
        <f ca="1">IF(AND(SUMIF(Capacity_Resource,$D48,'Critical resources (hide)'!V$6:V$105)+SUMIF(Capacity_Resource,$E48,'Critical resources (hide)'!V$6:V$105)+SUMIF(Capacity_Resource,$F48,'Critical resources (hide)'!V$6:V$105)&gt;0,$E$1=2),0,1)</f>
        <v>1</v>
      </c>
      <c r="J48" s="68">
        <f ca="1">IF(AND(SUMIF(Capacity_Resource,$D48,'Critical resources (hide)'!W$6:W$105)+SUMIF(Capacity_Resource,$E48,'Critical resources (hide)'!W$6:W$105)+SUMIF(Capacity_Resource,$F48,'Critical resources (hide)'!W$6:W$105)&gt;0,$E$1=2),0,1)</f>
        <v>1</v>
      </c>
      <c r="K48" s="68">
        <f ca="1">IF(AND(SUMIF(Capacity_Resource,$D48,'Critical resources (hide)'!X$6:X$105)+SUMIF(Capacity_Resource,$E48,'Critical resources (hide)'!X$6:X$105)+SUMIF(Capacity_Resource,$F48,'Critical resources (hide)'!X$6:X$105)&gt;0,$E$1=2),0,1)</f>
        <v>1</v>
      </c>
      <c r="L48" s="68">
        <f ca="1">IF(AND(SUMIF(Capacity_Resource,$D48,'Critical resources (hide)'!Y$6:Y$105)+SUMIF(Capacity_Resource,$E48,'Critical resources (hide)'!Y$6:Y$105)+SUMIF(Capacity_Resource,$F48,'Critical resources (hide)'!Y$6:Y$105)&gt;0,$E$1=2),0,1)</f>
        <v>1</v>
      </c>
      <c r="M48" s="68">
        <f ca="1">IF(AND(SUMIF(Capacity_Resource,$D48,'Critical resources (hide)'!Z$6:Z$105)+SUMIF(Capacity_Resource,$E48,'Critical resources (hide)'!Z$6:Z$105)+SUMIF(Capacity_Resource,$F48,'Critical resources (hide)'!Z$6:Z$105)&gt;0,$E$1=2),0,1)</f>
        <v>1</v>
      </c>
      <c r="N48" s="68">
        <f ca="1">IF(AND(SUMIF(Capacity_Resource,$D48,'Critical resources (hide)'!AA$6:AA$105)+SUMIF(Capacity_Resource,$E48,'Critical resources (hide)'!AA$6:AA$105)+SUMIF(Capacity_Resource,$F48,'Critical resources (hide)'!AA$6:AA$105)&gt;0,$E$1=2),0,1)</f>
        <v>1</v>
      </c>
      <c r="O48" s="68">
        <f ca="1">IF(AND(SUMIF(Capacity_Resource,$D48,'Critical resources (hide)'!AB$6:AB$105)+SUMIF(Capacity_Resource,$E48,'Critical resources (hide)'!AB$6:AB$105)+SUMIF(Capacity_Resource,$F48,'Critical resources (hide)'!AB$6:AB$105)&gt;0,$E$1=2),0,1)</f>
        <v>1</v>
      </c>
      <c r="P48" s="68">
        <f ca="1">IF(AND(SUMIF(Capacity_Resource,$D48,'Critical resources (hide)'!AC$6:AC$105)+SUMIF(Capacity_Resource,$E48,'Critical resources (hide)'!AC$6:AC$105)+SUMIF(Capacity_Resource,$F48,'Critical resources (hide)'!AC$6:AC$105)&gt;0,$E$1=2),0,1)</f>
        <v>1</v>
      </c>
      <c r="Q48" s="68">
        <f ca="1">IF(AND(SUMIF(Capacity_Resource,$D48,'Critical resources (hide)'!AD$6:AD$105)+SUMIF(Capacity_Resource,$E48,'Critical resources (hide)'!AD$6:AD$105)+SUMIF(Capacity_Resource,$F48,'Critical resources (hide)'!AD$6:AD$105)&gt;0,$E$1=2),0,1)</f>
        <v>1</v>
      </c>
      <c r="R48" s="68">
        <f ca="1">IF(AND(SUMIF(Capacity_Resource,$D48,'Critical resources (hide)'!AE$6:AE$105)+SUMIF(Capacity_Resource,$E48,'Critical resources (hide)'!AE$6:AE$105)+SUMIF(Capacity_Resource,$F48,'Critical resources (hide)'!AE$6:AE$105)&gt;0,$E$1=2),0,1)</f>
        <v>1</v>
      </c>
      <c r="S48" s="68">
        <f ca="1">IF(AND(SUMIF(Capacity_Resource,$D48,'Critical resources (hide)'!AF$6:AF$105)+SUMIF(Capacity_Resource,$E48,'Critical resources (hide)'!AF$6:AF$105)+SUMIF(Capacity_Resource,$F48,'Critical resources (hide)'!AF$6:AF$105)&gt;0,$E$1=2),0,1)</f>
        <v>1</v>
      </c>
      <c r="T48" s="68">
        <f ca="1">IF(AND(SUMIF(Capacity_Resource,$D48,'Critical resources (hide)'!AG$6:AG$105)+SUMIF(Capacity_Resource,$E48,'Critical resources (hide)'!AG$6:AG$105)+SUMIF(Capacity_Resource,$F48,'Critical resources (hide)'!AG$6:AG$105)&gt;0,$E$1=2),0,1)</f>
        <v>1</v>
      </c>
      <c r="U48" s="68">
        <f ca="1">IF(AND(SUMIF(Capacity_Resource,$D48,'Critical resources (hide)'!AH$6:AH$105)+SUMIF(Capacity_Resource,$E48,'Critical resources (hide)'!AH$6:AH$105)+SUMIF(Capacity_Resource,$F48,'Critical resources (hide)'!AH$6:AH$105)&gt;0,$E$1=2),0,1)</f>
        <v>1</v>
      </c>
      <c r="V48" s="68">
        <f ca="1">IF(AND(SUMIF(Capacity_Resource,$D48,'Critical resources (hide)'!AI$6:AI$105)+SUMIF(Capacity_Resource,$E48,'Critical resources (hide)'!AI$6:AI$105)+SUMIF(Capacity_Resource,$F48,'Critical resources (hide)'!AI$6:AI$105)&gt;0,$E$1=2),0,1)</f>
        <v>1</v>
      </c>
      <c r="W48" s="68">
        <f ca="1">IF(AND(SUMIF(Capacity_Resource,$D48,'Critical resources (hide)'!AJ$6:AJ$105)+SUMIF(Capacity_Resource,$E48,'Critical resources (hide)'!AJ$6:AJ$105)+SUMIF(Capacity_Resource,$F48,'Critical resources (hide)'!AJ$6:AJ$105)&gt;0,$E$1=2),0,1)</f>
        <v>1</v>
      </c>
      <c r="X48" s="68">
        <f ca="1">IF(AND(SUMIF(Capacity_Resource,$D48,'Critical resources (hide)'!AK$6:AK$105)+SUMIF(Capacity_Resource,$E48,'Critical resources (hide)'!AK$6:AK$105)+SUMIF(Capacity_Resource,$F48,'Critical resources (hide)'!AK$6:AK$105)&gt;0,$E$1=2),0,1)</f>
        <v>1</v>
      </c>
      <c r="Y48" s="68">
        <f ca="1">IF(AND(SUMIF(Capacity_Resource,$D48,'Critical resources (hide)'!AL$6:AL$105)+SUMIF(Capacity_Resource,$E48,'Critical resources (hide)'!AL$6:AL$105)+SUMIF(Capacity_Resource,$F48,'Critical resources (hide)'!AL$6:AL$105)&gt;0,$E$1=2),0,1)</f>
        <v>1</v>
      </c>
      <c r="Z48" s="68">
        <f ca="1">IF(AND(SUMIF(Capacity_Resource,$D48,'Critical resources (hide)'!AM$6:AM$105)+SUMIF(Capacity_Resource,$E48,'Critical resources (hide)'!AM$6:AM$105)+SUMIF(Capacity_Resource,$F48,'Critical resources (hide)'!AM$6:AM$105)&gt;0,$E$1=2),0,1)</f>
        <v>1</v>
      </c>
      <c r="AA48" s="68">
        <f ca="1">IF(AND(SUMIF(Capacity_Resource,$D48,'Critical resources (hide)'!AN$6:AN$105)+SUMIF(Capacity_Resource,$E48,'Critical resources (hide)'!AN$6:AN$105)+SUMIF(Capacity_Resource,$F48,'Critical resources (hide)'!AN$6:AN$105)&gt;0,$E$1=2),0,1)</f>
        <v>1</v>
      </c>
      <c r="AB48" s="68">
        <f ca="1">IF(AND(SUMIF(Capacity_Resource,$D48,'Critical resources (hide)'!AO$6:AO$105)+SUMIF(Capacity_Resource,$E48,'Critical resources (hide)'!AO$6:AO$105)+SUMIF(Capacity_Resource,$F48,'Critical resources (hide)'!AO$6:AO$105)&gt;0,$E$1=2),0,1)</f>
        <v>1</v>
      </c>
      <c r="AC48" s="68">
        <f ca="1">IF(AND(SUMIF(Capacity_Resource,$D48,'Critical resources (hide)'!AP$6:AP$105)+SUMIF(Capacity_Resource,$E48,'Critical resources (hide)'!AP$6:AP$105)+SUMIF(Capacity_Resource,$F48,'Critical resources (hide)'!AP$6:AP$105)&gt;0,$E$1=2),0,1)</f>
        <v>1</v>
      </c>
      <c r="AD48" s="68">
        <f ca="1">IF(AND(SUMIF(Capacity_Resource,$D48,'Critical resources (hide)'!AQ$6:AQ$105)+SUMIF(Capacity_Resource,$E48,'Critical resources (hide)'!AQ$6:AQ$105)+SUMIF(Capacity_Resource,$F48,'Critical resources (hide)'!AQ$6:AQ$105)&gt;0,$E$1=2),0,1)</f>
        <v>1</v>
      </c>
      <c r="AE48" s="68">
        <f ca="1">IF(AND(SUMIF(Capacity_Resource,$D48,'Critical resources (hide)'!AR$6:AR$105)+SUMIF(Capacity_Resource,$E48,'Critical resources (hide)'!AR$6:AR$105)+SUMIF(Capacity_Resource,$F48,'Critical resources (hide)'!AR$6:AR$105)&gt;0,$E$1=2),0,1)</f>
        <v>1</v>
      </c>
      <c r="AF48" s="68">
        <f ca="1">IF(AND(SUMIF(Capacity_Resource,$D48,'Critical resources (hide)'!AS$6:AS$105)+SUMIF(Capacity_Resource,$E48,'Critical resources (hide)'!AS$6:AS$105)+SUMIF(Capacity_Resource,$F48,'Critical resources (hide)'!AS$6:AS$105)&gt;0,$E$1=2),0,1)</f>
        <v>1</v>
      </c>
      <c r="AG48" s="68">
        <f ca="1">IF(AND(SUMIF(Capacity_Resource,$D48,'Critical resources (hide)'!AT$6:AT$105)+SUMIF(Capacity_Resource,$E48,'Critical resources (hide)'!AT$6:AT$105)+SUMIF(Capacity_Resource,$F48,'Critical resources (hide)'!AT$6:AT$105)&gt;0,$E$1=2),0,1)</f>
        <v>1</v>
      </c>
      <c r="AH48" s="68">
        <f ca="1">IF(AND(SUMIF(Capacity_Resource,$D48,'Critical resources (hide)'!AU$6:AU$105)+SUMIF(Capacity_Resource,$E48,'Critical resources (hide)'!AU$6:AU$105)+SUMIF(Capacity_Resource,$F48,'Critical resources (hide)'!AU$6:AU$105)&gt;0,$E$1=2),0,1)</f>
        <v>1</v>
      </c>
      <c r="AI48" s="68">
        <f ca="1">IF(AND(SUMIF(Capacity_Resource,$D48,'Critical resources (hide)'!AV$6:AV$105)+SUMIF(Capacity_Resource,$E48,'Critical resources (hide)'!AV$6:AV$105)+SUMIF(Capacity_Resource,$F48,'Critical resources (hide)'!AV$6:AV$105)&gt;0,$E$1=2),0,1)</f>
        <v>1</v>
      </c>
      <c r="AJ48" s="68">
        <f ca="1">IF(AND(SUMIF(Capacity_Resource,$D48,'Critical resources (hide)'!AW$6:AW$105)+SUMIF(Capacity_Resource,$E48,'Critical resources (hide)'!AW$6:AW$105)+SUMIF(Capacity_Resource,$F48,'Critical resources (hide)'!AW$6:AW$105)&gt;0,$E$1=2),0,1)</f>
        <v>1</v>
      </c>
      <c r="AK48" s="68">
        <f ca="1">IF(AND(SUMIF(Capacity_Resource,$D48,'Critical resources (hide)'!AX$6:AX$105)+SUMIF(Capacity_Resource,$E48,'Critical resources (hide)'!AX$6:AX$105)+SUMIF(Capacity_Resource,$F48,'Critical resources (hide)'!AX$6:AX$105)&gt;0,$E$1=2),0,1)</f>
        <v>1</v>
      </c>
      <c r="AL48" s="68">
        <f ca="1">IF(AND(SUMIF(Capacity_Resource,$D48,'Critical resources (hide)'!AY$6:AY$105)+SUMIF(Capacity_Resource,$E48,'Critical resources (hide)'!AY$6:AY$105)+SUMIF(Capacity_Resource,$F48,'Critical resources (hide)'!AY$6:AY$105)&gt;0,$E$1=2),0,1)</f>
        <v>1</v>
      </c>
      <c r="AM48" s="68">
        <f ca="1">IF(AND(SUMIF(Capacity_Resource,$D48,'Critical resources (hide)'!AZ$6:AZ$105)+SUMIF(Capacity_Resource,$E48,'Critical resources (hide)'!AZ$6:AZ$105)+SUMIF(Capacity_Resource,$F48,'Critical resources (hide)'!AZ$6:AZ$105)&gt;0,$E$1=2),0,1)</f>
        <v>1</v>
      </c>
      <c r="AN48" s="68">
        <f ca="1">IF(AND(SUMIF(Capacity_Resource,$D48,'Critical resources (hide)'!BA$6:BA$105)+SUMIF(Capacity_Resource,$E48,'Critical resources (hide)'!BA$6:BA$105)+SUMIF(Capacity_Resource,$F48,'Critical resources (hide)'!BA$6:BA$105)&gt;0,$E$1=2),0,1)</f>
        <v>1</v>
      </c>
      <c r="AO48" s="68">
        <f ca="1">IF(AND(SUMIF(Capacity_Resource,$D48,'Critical resources (hide)'!BB$6:BB$105)+SUMIF(Capacity_Resource,$E48,'Critical resources (hide)'!BB$6:BB$105)+SUMIF(Capacity_Resource,$F48,'Critical resources (hide)'!BB$6:BB$105)&gt;0,$E$1=2),0,1)</f>
        <v>1</v>
      </c>
      <c r="AP48" s="68">
        <f ca="1">IF(AND(SUMIF(Capacity_Resource,$D48,'Critical resources (hide)'!BC$6:BC$105)+SUMIF(Capacity_Resource,$E48,'Critical resources (hide)'!BC$6:BC$105)+SUMIF(Capacity_Resource,$F48,'Critical resources (hide)'!BC$6:BC$105)&gt;0,$E$1=2),0,1)</f>
        <v>1</v>
      </c>
      <c r="AQ48" s="68">
        <f ca="1">IF(AND(SUMIF(Capacity_Resource,$D48,'Critical resources (hide)'!BD$6:BD$105)+SUMIF(Capacity_Resource,$E48,'Critical resources (hide)'!BD$6:BD$105)+SUMIF(Capacity_Resource,$F48,'Critical resources (hide)'!BD$6:BD$105)&gt;0,$E$1=2),0,1)</f>
        <v>1</v>
      </c>
      <c r="AR48" s="68">
        <f ca="1">IF(AND(SUMIF(Capacity_Resource,$D48,'Critical resources (hide)'!BE$6:BE$105)+SUMIF(Capacity_Resource,$E48,'Critical resources (hide)'!BE$6:BE$105)+SUMIF(Capacity_Resource,$F48,'Critical resources (hide)'!BE$6:BE$105)&gt;0,$E$1=2),0,1)</f>
        <v>1</v>
      </c>
      <c r="AS48" s="68">
        <f ca="1">IF(AND(SUMIF(Capacity_Resource,$D48,'Critical resources (hide)'!BF$6:BF$105)+SUMIF(Capacity_Resource,$E48,'Critical resources (hide)'!BF$6:BF$105)+SUMIF(Capacity_Resource,$F48,'Critical resources (hide)'!BF$6:BF$105)&gt;0,$E$1=2),0,1)</f>
        <v>1</v>
      </c>
      <c r="AT48" s="68">
        <f ca="1">IF(AND(SUMIF(Capacity_Resource,$D48,'Critical resources (hide)'!BG$6:BG$105)+SUMIF(Capacity_Resource,$E48,'Critical resources (hide)'!BG$6:BG$105)+SUMIF(Capacity_Resource,$F48,'Critical resources (hide)'!BG$6:BG$105)&gt;0,$E$1=2),0,1)</f>
        <v>1</v>
      </c>
      <c r="AU48" s="68">
        <f ca="1">IF(AND(SUMIF(Capacity_Resource,$D48,'Critical resources (hide)'!BH$6:BH$105)+SUMIF(Capacity_Resource,$E48,'Critical resources (hide)'!BH$6:BH$105)+SUMIF(Capacity_Resource,$F48,'Critical resources (hide)'!BH$6:BH$105)&gt;0,$E$1=2),0,1)</f>
        <v>1</v>
      </c>
      <c r="AV48" s="68">
        <f ca="1">IF(AND(SUMIF(Capacity_Resource,$D48,'Critical resources (hide)'!BI$6:BI$105)+SUMIF(Capacity_Resource,$E48,'Critical resources (hide)'!BI$6:BI$105)+SUMIF(Capacity_Resource,$F48,'Critical resources (hide)'!BI$6:BI$105)&gt;0,$E$1=2),0,1)</f>
        <v>1</v>
      </c>
      <c r="AW48" s="68">
        <f ca="1">IF(AND(SUMIF(Capacity_Resource,$D48,'Critical resources (hide)'!BJ$6:BJ$105)+SUMIF(Capacity_Resource,$E48,'Critical resources (hide)'!BJ$6:BJ$105)+SUMIF(Capacity_Resource,$F48,'Critical resources (hide)'!BJ$6:BJ$105)&gt;0,$E$1=2),0,1)</f>
        <v>1</v>
      </c>
      <c r="AX48" s="68">
        <f ca="1">IF(AND(SUMIF(Capacity_Resource,$D48,'Critical resources (hide)'!BK$6:BK$105)+SUMIF(Capacity_Resource,$E48,'Critical resources (hide)'!BK$6:BK$105)+SUMIF(Capacity_Resource,$F48,'Critical resources (hide)'!BK$6:BK$105)&gt;0,$E$1=2),0,1)</f>
        <v>1</v>
      </c>
      <c r="AY48" s="68">
        <f ca="1">IF(AND(SUMIF(Capacity_Resource,$D48,'Critical resources (hide)'!BL$6:BL$105)+SUMIF(Capacity_Resource,$E48,'Critical resources (hide)'!BL$6:BL$105)+SUMIF(Capacity_Resource,$F48,'Critical resources (hide)'!BL$6:BL$105)&gt;0,$E$1=2),0,1)</f>
        <v>1</v>
      </c>
      <c r="AZ48" s="68">
        <f ca="1">IF(AND(SUMIF(Capacity_Resource,$D48,'Critical resources (hide)'!BM$6:BM$105)+SUMIF(Capacity_Resource,$E48,'Critical resources (hide)'!BM$6:BM$105)+SUMIF(Capacity_Resource,$F48,'Critical resources (hide)'!BM$6:BM$105)&gt;0,$E$1=2),0,1)</f>
        <v>1</v>
      </c>
      <c r="BA48" s="68">
        <f ca="1">IF(AND(SUMIF(Capacity_Resource,$D48,'Critical resources (hide)'!BN$6:BN$105)+SUMIF(Capacity_Resource,$E48,'Critical resources (hide)'!BN$6:BN$105)+SUMIF(Capacity_Resource,$F48,'Critical resources (hide)'!BN$6:BN$105)&gt;0,$E$1=2),0,1)</f>
        <v>1</v>
      </c>
      <c r="BB48" s="68">
        <f ca="1">IF(AND(SUMIF(Capacity_Resource,$D48,'Critical resources (hide)'!BO$6:BO$105)+SUMIF(Capacity_Resource,$E48,'Critical resources (hide)'!BO$6:BO$105)+SUMIF(Capacity_Resource,$F48,'Critical resources (hide)'!BO$6:BO$105)&gt;0,$E$1=2),0,1)</f>
        <v>1</v>
      </c>
      <c r="BC48" s="68">
        <f ca="1">IF(AND(SUMIF(Capacity_Resource,$D48,'Critical resources (hide)'!BP$6:BP$105)+SUMIF(Capacity_Resource,$E48,'Critical resources (hide)'!BP$6:BP$105)+SUMIF(Capacity_Resource,$F48,'Critical resources (hide)'!BP$6:BP$105)&gt;0,$E$1=2),0,1)</f>
        <v>1</v>
      </c>
      <c r="BD48" s="68">
        <f ca="1">IF(AND(SUMIF(Capacity_Resource,$D48,'Critical resources (hide)'!BQ$6:BQ$105)+SUMIF(Capacity_Resource,$E48,'Critical resources (hide)'!BQ$6:BQ$105)+SUMIF(Capacity_Resource,$F48,'Critical resources (hide)'!BQ$6:BQ$105)&gt;0,$E$1=2),0,1)</f>
        <v>1</v>
      </c>
      <c r="BE48" s="68">
        <f ca="1">IF(AND(SUMIF(Capacity_Resource,$D48,'Critical resources (hide)'!BR$6:BR$105)+SUMIF(Capacity_Resource,$E48,'Critical resources (hide)'!BR$6:BR$105)+SUMIF(Capacity_Resource,$F48,'Critical resources (hide)'!BR$6:BR$105)&gt;0,$E$1=2),0,1)</f>
        <v>1</v>
      </c>
      <c r="BF48" s="68">
        <f ca="1">IF(AND(SUMIF(Capacity_Resource,$D48,'Critical resources (hide)'!BS$6:BS$105)+SUMIF(Capacity_Resource,$E48,'Critical resources (hide)'!BS$6:BS$105)+SUMIF(Capacity_Resource,$F48,'Critical resources (hide)'!BS$6:BS$105)&gt;0,$E$1=2),0,1)</f>
        <v>1</v>
      </c>
      <c r="BG48" s="68">
        <f ca="1">IF(AND(SUMIF(Capacity_Resource,$D48,'Critical resources (hide)'!BT$6:BT$105)+SUMIF(Capacity_Resource,$E48,'Critical resources (hide)'!BT$6:BT$105)+SUMIF(Capacity_Resource,$F48,'Critical resources (hide)'!BT$6:BT$105)&gt;0,$E$1=2),0,1)</f>
        <v>1</v>
      </c>
      <c r="BH48" s="68">
        <f>IF(ROW(C44)&lt;=Capacity!$A$16,IF('Capacity summary'!$D$14="No",SUM(H48:BG48),'Capacity summary'!$E167),0)</f>
        <v>0</v>
      </c>
      <c r="BI48" s="5" t="str">
        <f>IF(BH48&gt;0,IF(BH48&lt;Capacity!E60,Capacity!F60,Capacity!H60/'Capacity calculation (hide)'!BH48),"")</f>
        <v/>
      </c>
      <c r="BK48" s="319">
        <f>IF($BI48&lt;&gt;"",IF('Capacity summary'!$D$14="Yes",IF(COUNTBLANK('Capacity summary'!$H167:$BG167)&lt;52,IF('Capacity summary'!H167&lt;&gt;"",$BI48*H48,0),H48*$BI48),H48*$BI48),0)</f>
        <v>0</v>
      </c>
      <c r="BL48" s="319">
        <f>IF($BI48&lt;&gt;"",IF('Capacity summary'!$D$14="Yes",IF(COUNTBLANK('Capacity summary'!$H167:$BG167)&lt;52,IF('Capacity summary'!I167&lt;&gt;"",$BI48*I48,0),I48*$BI48),I48*$BI48),0)</f>
        <v>0</v>
      </c>
      <c r="BM48" s="319">
        <f>IF($BI48&lt;&gt;"",IF('Capacity summary'!$D$14="Yes",IF(COUNTBLANK('Capacity summary'!$H167:$BG167)&lt;52,IF('Capacity summary'!J167&lt;&gt;"",$BI48*J48,0),J48*$BI48),J48*$BI48),0)</f>
        <v>0</v>
      </c>
      <c r="BN48" s="319">
        <f>IF($BI48&lt;&gt;"",IF('Capacity summary'!$D$14="Yes",IF(COUNTBLANK('Capacity summary'!$H167:$BG167)&lt;52,IF('Capacity summary'!K167&lt;&gt;"",$BI48*K48,0),K48*$BI48),K48*$BI48),0)</f>
        <v>0</v>
      </c>
      <c r="BO48" s="319">
        <f>IF($BI48&lt;&gt;"",IF('Capacity summary'!$D$14="Yes",IF(COUNTBLANK('Capacity summary'!$H167:$BG167)&lt;52,IF('Capacity summary'!L167&lt;&gt;"",$BI48*L48,0),L48*$BI48),L48*$BI48),0)</f>
        <v>0</v>
      </c>
      <c r="BP48" s="319">
        <f>IF($BI48&lt;&gt;"",IF('Capacity summary'!$D$14="Yes",IF(COUNTBLANK('Capacity summary'!$H167:$BG167)&lt;52,IF('Capacity summary'!M167&lt;&gt;"",$BI48*M48,0),M48*$BI48),M48*$BI48),0)</f>
        <v>0</v>
      </c>
      <c r="BQ48" s="319">
        <f>IF($BI48&lt;&gt;"",IF('Capacity summary'!$D$14="Yes",IF(COUNTBLANK('Capacity summary'!$H167:$BG167)&lt;52,IF('Capacity summary'!N167&lt;&gt;"",$BI48*N48,0),N48*$BI48),N48*$BI48),0)</f>
        <v>0</v>
      </c>
      <c r="BR48" s="319">
        <f>IF($BI48&lt;&gt;"",IF('Capacity summary'!$D$14="Yes",IF(COUNTBLANK('Capacity summary'!$H167:$BG167)&lt;52,IF('Capacity summary'!O167&lt;&gt;"",$BI48*O48,0),O48*$BI48),O48*$BI48),0)</f>
        <v>0</v>
      </c>
      <c r="BS48" s="319">
        <f>IF($BI48&lt;&gt;"",IF('Capacity summary'!$D$14="Yes",IF(COUNTBLANK('Capacity summary'!$H167:$BG167)&lt;52,IF('Capacity summary'!P167&lt;&gt;"",$BI48*P48,0),P48*$BI48),P48*$BI48),0)</f>
        <v>0</v>
      </c>
      <c r="BT48" s="319">
        <f>IF($BI48&lt;&gt;"",IF('Capacity summary'!$D$14="Yes",IF(COUNTBLANK('Capacity summary'!$H167:$BG167)&lt;52,IF('Capacity summary'!Q167&lt;&gt;"",$BI48*Q48,0),Q48*$BI48),Q48*$BI48),0)</f>
        <v>0</v>
      </c>
      <c r="BU48" s="319">
        <f>IF($BI48&lt;&gt;"",IF('Capacity summary'!$D$14="Yes",IF(COUNTBLANK('Capacity summary'!$H167:$BG167)&lt;52,IF('Capacity summary'!R167&lt;&gt;"",$BI48*R48,0),R48*$BI48),R48*$BI48),0)</f>
        <v>0</v>
      </c>
      <c r="BV48" s="319">
        <f>IF($BI48&lt;&gt;"",IF('Capacity summary'!$D$14="Yes",IF(COUNTBLANK('Capacity summary'!$H167:$BG167)&lt;52,IF('Capacity summary'!S167&lt;&gt;"",$BI48*S48,0),S48*$BI48),S48*$BI48),0)</f>
        <v>0</v>
      </c>
      <c r="BW48" s="319">
        <f>IF($BI48&lt;&gt;"",IF('Capacity summary'!$D$14="Yes",IF(COUNTBLANK('Capacity summary'!$H167:$BG167)&lt;52,IF('Capacity summary'!T167&lt;&gt;"",$BI48*T48,0),T48*$BI48),T48*$BI48),0)</f>
        <v>0</v>
      </c>
      <c r="BX48" s="319">
        <f>IF($BI48&lt;&gt;"",IF('Capacity summary'!$D$14="Yes",IF(COUNTBLANK('Capacity summary'!$H167:$BG167)&lt;52,IF('Capacity summary'!U167&lt;&gt;"",$BI48*U48,0),U48*$BI48),U48*$BI48),0)</f>
        <v>0</v>
      </c>
      <c r="BY48" s="319">
        <f>IF($BI48&lt;&gt;"",IF('Capacity summary'!$D$14="Yes",IF(COUNTBLANK('Capacity summary'!$H167:$BG167)&lt;52,IF('Capacity summary'!V167&lt;&gt;"",$BI48*V48,0),V48*$BI48),V48*$BI48),0)</f>
        <v>0</v>
      </c>
      <c r="BZ48" s="319">
        <f>IF($BI48&lt;&gt;"",IF('Capacity summary'!$D$14="Yes",IF(COUNTBLANK('Capacity summary'!$H167:$BG167)&lt;52,IF('Capacity summary'!W167&lt;&gt;"",$BI48*W48,0),W48*$BI48),W48*$BI48),0)</f>
        <v>0</v>
      </c>
      <c r="CA48" s="319">
        <f>IF($BI48&lt;&gt;"",IF('Capacity summary'!$D$14="Yes",IF(COUNTBLANK('Capacity summary'!$H167:$BG167)&lt;52,IF('Capacity summary'!X167&lt;&gt;"",$BI48*X48,0),X48*$BI48),X48*$BI48),0)</f>
        <v>0</v>
      </c>
      <c r="CB48" s="319">
        <f>IF($BI48&lt;&gt;"",IF('Capacity summary'!$D$14="Yes",IF(COUNTBLANK('Capacity summary'!$H167:$BG167)&lt;52,IF('Capacity summary'!Y167&lt;&gt;"",$BI48*Y48,0),Y48*$BI48),Y48*$BI48),0)</f>
        <v>0</v>
      </c>
      <c r="CC48" s="319">
        <f>IF($BI48&lt;&gt;"",IF('Capacity summary'!$D$14="Yes",IF(COUNTBLANK('Capacity summary'!$H167:$BG167)&lt;52,IF('Capacity summary'!Z167&lt;&gt;"",$BI48*Z48,0),Z48*$BI48),Z48*$BI48),0)</f>
        <v>0</v>
      </c>
      <c r="CD48" s="319">
        <f>IF($BI48&lt;&gt;"",IF('Capacity summary'!$D$14="Yes",IF(COUNTBLANK('Capacity summary'!$H167:$BG167)&lt;52,IF('Capacity summary'!AA167&lt;&gt;"",$BI48*AA48,0),AA48*$BI48),AA48*$BI48),0)</f>
        <v>0</v>
      </c>
      <c r="CE48" s="319">
        <f>IF($BI48&lt;&gt;"",IF('Capacity summary'!$D$14="Yes",IF(COUNTBLANK('Capacity summary'!$H167:$BG167)&lt;52,IF('Capacity summary'!AB167&lt;&gt;"",$BI48*AB48,0),AB48*$BI48),AB48*$BI48),0)</f>
        <v>0</v>
      </c>
      <c r="CF48" s="319">
        <f>IF($BI48&lt;&gt;"",IF('Capacity summary'!$D$14="Yes",IF(COUNTBLANK('Capacity summary'!$H167:$BG167)&lt;52,IF('Capacity summary'!AC167&lt;&gt;"",$BI48*AC48,0),AC48*$BI48),AC48*$BI48),0)</f>
        <v>0</v>
      </c>
      <c r="CG48" s="319">
        <f>IF($BI48&lt;&gt;"",IF('Capacity summary'!$D$14="Yes",IF(COUNTBLANK('Capacity summary'!$H167:$BG167)&lt;52,IF('Capacity summary'!AD167&lt;&gt;"",$BI48*AD48,0),AD48*$BI48),AD48*$BI48),0)</f>
        <v>0</v>
      </c>
      <c r="CH48" s="319">
        <f>IF($BI48&lt;&gt;"",IF('Capacity summary'!$D$14="Yes",IF(COUNTBLANK('Capacity summary'!$H167:$BG167)&lt;52,IF('Capacity summary'!AE167&lt;&gt;"",$BI48*AE48,0),AE48*$BI48),AE48*$BI48),0)</f>
        <v>0</v>
      </c>
      <c r="CI48" s="319">
        <f>IF($BI48&lt;&gt;"",IF('Capacity summary'!$D$14="Yes",IF(COUNTBLANK('Capacity summary'!$H167:$BG167)&lt;52,IF('Capacity summary'!AF167&lt;&gt;"",$BI48*AF48,0),AF48*$BI48),AF48*$BI48),0)</f>
        <v>0</v>
      </c>
      <c r="CJ48" s="319">
        <f>IF($BI48&lt;&gt;"",IF('Capacity summary'!$D$14="Yes",IF(COUNTBLANK('Capacity summary'!$H167:$BG167)&lt;52,IF('Capacity summary'!AG167&lt;&gt;"",$BI48*AG48,0),AG48*$BI48),AG48*$BI48),0)</f>
        <v>0</v>
      </c>
      <c r="CK48" s="319">
        <f>IF($BI48&lt;&gt;"",IF('Capacity summary'!$D$14="Yes",IF(COUNTBLANK('Capacity summary'!$H167:$BG167)&lt;52,IF('Capacity summary'!AH167&lt;&gt;"",$BI48*AH48,0),AH48*$BI48),AH48*$BI48),0)</f>
        <v>0</v>
      </c>
      <c r="CL48" s="319">
        <f>IF($BI48&lt;&gt;"",IF('Capacity summary'!$D$14="Yes",IF(COUNTBLANK('Capacity summary'!$H167:$BG167)&lt;52,IF('Capacity summary'!AI167&lt;&gt;"",$BI48*AI48,0),AI48*$BI48),AI48*$BI48),0)</f>
        <v>0</v>
      </c>
      <c r="CM48" s="319">
        <f>IF($BI48&lt;&gt;"",IF('Capacity summary'!$D$14="Yes",IF(COUNTBLANK('Capacity summary'!$H167:$BG167)&lt;52,IF('Capacity summary'!AJ167&lt;&gt;"",$BI48*AJ48,0),AJ48*$BI48),AJ48*$BI48),0)</f>
        <v>0</v>
      </c>
      <c r="CN48" s="319">
        <f>IF($BI48&lt;&gt;"",IF('Capacity summary'!$D$14="Yes",IF(COUNTBLANK('Capacity summary'!$H167:$BG167)&lt;52,IF('Capacity summary'!AK167&lt;&gt;"",$BI48*AK48,0),AK48*$BI48),AK48*$BI48),0)</f>
        <v>0</v>
      </c>
      <c r="CO48" s="319">
        <f>IF($BI48&lt;&gt;"",IF('Capacity summary'!$D$14="Yes",IF(COUNTBLANK('Capacity summary'!$H167:$BG167)&lt;52,IF('Capacity summary'!AL167&lt;&gt;"",$BI48*AL48,0),AL48*$BI48),AL48*$BI48),0)</f>
        <v>0</v>
      </c>
      <c r="CP48" s="319">
        <f>IF($BI48&lt;&gt;"",IF('Capacity summary'!$D$14="Yes",IF(COUNTBLANK('Capacity summary'!$H167:$BG167)&lt;52,IF('Capacity summary'!AM167&lt;&gt;"",$BI48*AM48,0),AM48*$BI48),AM48*$BI48),0)</f>
        <v>0</v>
      </c>
      <c r="CQ48" s="319">
        <f>IF($BI48&lt;&gt;"",IF('Capacity summary'!$D$14="Yes",IF(COUNTBLANK('Capacity summary'!$H167:$BG167)&lt;52,IF('Capacity summary'!AN167&lt;&gt;"",$BI48*AN48,0),AN48*$BI48),AN48*$BI48),0)</f>
        <v>0</v>
      </c>
      <c r="CR48" s="319">
        <f>IF($BI48&lt;&gt;"",IF('Capacity summary'!$D$14="Yes",IF(COUNTBLANK('Capacity summary'!$H167:$BG167)&lt;52,IF('Capacity summary'!AO167&lt;&gt;"",$BI48*AO48,0),AO48*$BI48),AO48*$BI48),0)</f>
        <v>0</v>
      </c>
      <c r="CS48" s="319">
        <f>IF($BI48&lt;&gt;"",IF('Capacity summary'!$D$14="Yes",IF(COUNTBLANK('Capacity summary'!$H167:$BG167)&lt;52,IF('Capacity summary'!AP167&lt;&gt;"",$BI48*AP48,0),AP48*$BI48),AP48*$BI48),0)</f>
        <v>0</v>
      </c>
      <c r="CT48" s="319">
        <f>IF($BI48&lt;&gt;"",IF('Capacity summary'!$D$14="Yes",IF(COUNTBLANK('Capacity summary'!$H167:$BG167)&lt;52,IF('Capacity summary'!AQ167&lt;&gt;"",$BI48*AQ48,0),AQ48*$BI48),AQ48*$BI48),0)</f>
        <v>0</v>
      </c>
      <c r="CU48" s="319">
        <f>IF($BI48&lt;&gt;"",IF('Capacity summary'!$D$14="Yes",IF(COUNTBLANK('Capacity summary'!$H167:$BG167)&lt;52,IF('Capacity summary'!AR167&lt;&gt;"",$BI48*AR48,0),AR48*$BI48),AR48*$BI48),0)</f>
        <v>0</v>
      </c>
      <c r="CV48" s="319">
        <f>IF($BI48&lt;&gt;"",IF('Capacity summary'!$D$14="Yes",IF(COUNTBLANK('Capacity summary'!$H167:$BG167)&lt;52,IF('Capacity summary'!AS167&lt;&gt;"",$BI48*AS48,0),AS48*$BI48),AS48*$BI48),0)</f>
        <v>0</v>
      </c>
      <c r="CW48" s="319">
        <f>IF($BI48&lt;&gt;"",IF('Capacity summary'!$D$14="Yes",IF(COUNTBLANK('Capacity summary'!$H167:$BG167)&lt;52,IF('Capacity summary'!AT167&lt;&gt;"",$BI48*AT48,0),AT48*$BI48),AT48*$BI48),0)</f>
        <v>0</v>
      </c>
      <c r="CX48" s="319">
        <f>IF($BI48&lt;&gt;"",IF('Capacity summary'!$D$14="Yes",IF(COUNTBLANK('Capacity summary'!$H167:$BG167)&lt;52,IF('Capacity summary'!AU167&lt;&gt;"",$BI48*AU48,0),AU48*$BI48),AU48*$BI48),0)</f>
        <v>0</v>
      </c>
      <c r="CY48" s="319">
        <f>IF($BI48&lt;&gt;"",IF('Capacity summary'!$D$14="Yes",IF(COUNTBLANK('Capacity summary'!$H167:$BG167)&lt;52,IF('Capacity summary'!AV167&lt;&gt;"",$BI48*AV48,0),AV48*$BI48),AV48*$BI48),0)</f>
        <v>0</v>
      </c>
      <c r="CZ48" s="319">
        <f>IF($BI48&lt;&gt;"",IF('Capacity summary'!$D$14="Yes",IF(COUNTBLANK('Capacity summary'!$H167:$BG167)&lt;52,IF('Capacity summary'!AW167&lt;&gt;"",$BI48*AW48,0),AW48*$BI48),AW48*$BI48),0)</f>
        <v>0</v>
      </c>
      <c r="DA48" s="319">
        <f>IF($BI48&lt;&gt;"",IF('Capacity summary'!$D$14="Yes",IF(COUNTBLANK('Capacity summary'!$H167:$BG167)&lt;52,IF('Capacity summary'!AX167&lt;&gt;"",$BI48*AX48,0),AX48*$BI48),AX48*$BI48),0)</f>
        <v>0</v>
      </c>
      <c r="DB48" s="319">
        <f>IF($BI48&lt;&gt;"",IF('Capacity summary'!$D$14="Yes",IF(COUNTBLANK('Capacity summary'!$H167:$BG167)&lt;52,IF('Capacity summary'!AY167&lt;&gt;"",$BI48*AY48,0),AY48*$BI48),AY48*$BI48),0)</f>
        <v>0</v>
      </c>
      <c r="DC48" s="319">
        <f>IF($BI48&lt;&gt;"",IF('Capacity summary'!$D$14="Yes",IF(COUNTBLANK('Capacity summary'!$H167:$BG167)&lt;52,IF('Capacity summary'!AZ167&lt;&gt;"",$BI48*AZ48,0),AZ48*$BI48),AZ48*$BI48),0)</f>
        <v>0</v>
      </c>
      <c r="DD48" s="319">
        <f>IF($BI48&lt;&gt;"",IF('Capacity summary'!$D$14="Yes",IF(COUNTBLANK('Capacity summary'!$H167:$BG167)&lt;52,IF('Capacity summary'!BA167&lt;&gt;"",$BI48*BA48,0),BA48*$BI48),BA48*$BI48),0)</f>
        <v>0</v>
      </c>
      <c r="DE48" s="319">
        <f>IF($BI48&lt;&gt;"",IF('Capacity summary'!$D$14="Yes",IF(COUNTBLANK('Capacity summary'!$H167:$BG167)&lt;52,IF('Capacity summary'!BB167&lt;&gt;"",$BI48*BB48,0),BB48*$BI48),BB48*$BI48),0)</f>
        <v>0</v>
      </c>
      <c r="DF48" s="319">
        <f>IF($BI48&lt;&gt;"",IF('Capacity summary'!$D$14="Yes",IF(COUNTBLANK('Capacity summary'!$H167:$BG167)&lt;52,IF('Capacity summary'!BC167&lt;&gt;"",$BI48*BC48,0),BC48*$BI48),BC48*$BI48),0)</f>
        <v>0</v>
      </c>
      <c r="DG48" s="319">
        <f>IF($BI48&lt;&gt;"",IF('Capacity summary'!$D$14="Yes",IF(COUNTBLANK('Capacity summary'!$H167:$BG167)&lt;52,IF('Capacity summary'!BD167&lt;&gt;"",$BI48*BD48,0),BD48*$BI48),BD48*$BI48),0)</f>
        <v>0</v>
      </c>
      <c r="DH48" s="319">
        <f>IF($BI48&lt;&gt;"",IF('Capacity summary'!$D$14="Yes",IF(COUNTBLANK('Capacity summary'!$H167:$BG167)&lt;52,IF('Capacity summary'!BE167&lt;&gt;"",$BI48*BE48,0),BE48*$BI48),BE48*$BI48),0)</f>
        <v>0</v>
      </c>
      <c r="DI48" s="319">
        <f>IF($BI48&lt;&gt;"",IF('Capacity summary'!$D$14="Yes",IF(COUNTBLANK('Capacity summary'!$H167:$BG167)&lt;52,IF('Capacity summary'!BF167&lt;&gt;"",$BI48*BF48,0),BF48*$BI48),BF48*$BI48),0)</f>
        <v>0</v>
      </c>
      <c r="DJ48" s="319">
        <f>IF($BI48&lt;&gt;"",IF('Capacity summary'!$D$14="Yes",IF(COUNTBLANK('Capacity summary'!$H167:$BG167)&lt;52,IF('Capacity summary'!BG167&lt;&gt;"",$BI48*BG48,0),BG48*$BI48),BG48*$BI48),0)</f>
        <v>0</v>
      </c>
      <c r="DK48" s="5">
        <f t="shared" si="2"/>
        <v>0</v>
      </c>
      <c r="DL48" s="5" t="str">
        <f>Capacity!H60</f>
        <v/>
      </c>
      <c r="DP48" s="5"/>
    </row>
    <row r="49" spans="2:120" x14ac:dyDescent="0.2">
      <c r="B49" s="68"/>
      <c r="C49" s="68" t="str">
        <f>ROW(A45)&amp;". "&amp;Capacity!B61</f>
        <v xml:space="preserve">45. </v>
      </c>
      <c r="D49" s="68">
        <f>'Capacity setup'!C56</f>
        <v>0</v>
      </c>
      <c r="E49" s="68">
        <f>'Capacity setup'!D56</f>
        <v>0</v>
      </c>
      <c r="F49" s="68">
        <f>'Capacity setup'!E56</f>
        <v>0</v>
      </c>
      <c r="H49" s="68">
        <f ca="1">IF(AND(SUMIF(Capacity_Resource,$D49,'Critical resources (hide)'!U$6:U$105)+SUMIF(Capacity_Resource,$E49,'Critical resources (hide)'!U$6:U$105)+SUMIF(Capacity_Resource,$F49,'Critical resources (hide)'!U$6:U$105)&gt;0,$E$1=2),0,1)</f>
        <v>1</v>
      </c>
      <c r="I49" s="68">
        <f ca="1">IF(AND(SUMIF(Capacity_Resource,$D49,'Critical resources (hide)'!V$6:V$105)+SUMIF(Capacity_Resource,$E49,'Critical resources (hide)'!V$6:V$105)+SUMIF(Capacity_Resource,$F49,'Critical resources (hide)'!V$6:V$105)&gt;0,$E$1=2),0,1)</f>
        <v>1</v>
      </c>
      <c r="J49" s="68">
        <f ca="1">IF(AND(SUMIF(Capacity_Resource,$D49,'Critical resources (hide)'!W$6:W$105)+SUMIF(Capacity_Resource,$E49,'Critical resources (hide)'!W$6:W$105)+SUMIF(Capacity_Resource,$F49,'Critical resources (hide)'!W$6:W$105)&gt;0,$E$1=2),0,1)</f>
        <v>1</v>
      </c>
      <c r="K49" s="68">
        <f ca="1">IF(AND(SUMIF(Capacity_Resource,$D49,'Critical resources (hide)'!X$6:X$105)+SUMIF(Capacity_Resource,$E49,'Critical resources (hide)'!X$6:X$105)+SUMIF(Capacity_Resource,$F49,'Critical resources (hide)'!X$6:X$105)&gt;0,$E$1=2),0,1)</f>
        <v>1</v>
      </c>
      <c r="L49" s="68">
        <f ca="1">IF(AND(SUMIF(Capacity_Resource,$D49,'Critical resources (hide)'!Y$6:Y$105)+SUMIF(Capacity_Resource,$E49,'Critical resources (hide)'!Y$6:Y$105)+SUMIF(Capacity_Resource,$F49,'Critical resources (hide)'!Y$6:Y$105)&gt;0,$E$1=2),0,1)</f>
        <v>1</v>
      </c>
      <c r="M49" s="68">
        <f ca="1">IF(AND(SUMIF(Capacity_Resource,$D49,'Critical resources (hide)'!Z$6:Z$105)+SUMIF(Capacity_Resource,$E49,'Critical resources (hide)'!Z$6:Z$105)+SUMIF(Capacity_Resource,$F49,'Critical resources (hide)'!Z$6:Z$105)&gt;0,$E$1=2),0,1)</f>
        <v>1</v>
      </c>
      <c r="N49" s="68">
        <f ca="1">IF(AND(SUMIF(Capacity_Resource,$D49,'Critical resources (hide)'!AA$6:AA$105)+SUMIF(Capacity_Resource,$E49,'Critical resources (hide)'!AA$6:AA$105)+SUMIF(Capacity_Resource,$F49,'Critical resources (hide)'!AA$6:AA$105)&gt;0,$E$1=2),0,1)</f>
        <v>1</v>
      </c>
      <c r="O49" s="68">
        <f ca="1">IF(AND(SUMIF(Capacity_Resource,$D49,'Critical resources (hide)'!AB$6:AB$105)+SUMIF(Capacity_Resource,$E49,'Critical resources (hide)'!AB$6:AB$105)+SUMIF(Capacity_Resource,$F49,'Critical resources (hide)'!AB$6:AB$105)&gt;0,$E$1=2),0,1)</f>
        <v>1</v>
      </c>
      <c r="P49" s="68">
        <f ca="1">IF(AND(SUMIF(Capacity_Resource,$D49,'Critical resources (hide)'!AC$6:AC$105)+SUMIF(Capacity_Resource,$E49,'Critical resources (hide)'!AC$6:AC$105)+SUMIF(Capacity_Resource,$F49,'Critical resources (hide)'!AC$6:AC$105)&gt;0,$E$1=2),0,1)</f>
        <v>1</v>
      </c>
      <c r="Q49" s="68">
        <f ca="1">IF(AND(SUMIF(Capacity_Resource,$D49,'Critical resources (hide)'!AD$6:AD$105)+SUMIF(Capacity_Resource,$E49,'Critical resources (hide)'!AD$6:AD$105)+SUMIF(Capacity_Resource,$F49,'Critical resources (hide)'!AD$6:AD$105)&gt;0,$E$1=2),0,1)</f>
        <v>1</v>
      </c>
      <c r="R49" s="68">
        <f ca="1">IF(AND(SUMIF(Capacity_Resource,$D49,'Critical resources (hide)'!AE$6:AE$105)+SUMIF(Capacity_Resource,$E49,'Critical resources (hide)'!AE$6:AE$105)+SUMIF(Capacity_Resource,$F49,'Critical resources (hide)'!AE$6:AE$105)&gt;0,$E$1=2),0,1)</f>
        <v>1</v>
      </c>
      <c r="S49" s="68">
        <f ca="1">IF(AND(SUMIF(Capacity_Resource,$D49,'Critical resources (hide)'!AF$6:AF$105)+SUMIF(Capacity_Resource,$E49,'Critical resources (hide)'!AF$6:AF$105)+SUMIF(Capacity_Resource,$F49,'Critical resources (hide)'!AF$6:AF$105)&gt;0,$E$1=2),0,1)</f>
        <v>1</v>
      </c>
      <c r="T49" s="68">
        <f ca="1">IF(AND(SUMIF(Capacity_Resource,$D49,'Critical resources (hide)'!AG$6:AG$105)+SUMIF(Capacity_Resource,$E49,'Critical resources (hide)'!AG$6:AG$105)+SUMIF(Capacity_Resource,$F49,'Critical resources (hide)'!AG$6:AG$105)&gt;0,$E$1=2),0,1)</f>
        <v>1</v>
      </c>
      <c r="U49" s="68">
        <f ca="1">IF(AND(SUMIF(Capacity_Resource,$D49,'Critical resources (hide)'!AH$6:AH$105)+SUMIF(Capacity_Resource,$E49,'Critical resources (hide)'!AH$6:AH$105)+SUMIF(Capacity_Resource,$F49,'Critical resources (hide)'!AH$6:AH$105)&gt;0,$E$1=2),0,1)</f>
        <v>1</v>
      </c>
      <c r="V49" s="68">
        <f ca="1">IF(AND(SUMIF(Capacity_Resource,$D49,'Critical resources (hide)'!AI$6:AI$105)+SUMIF(Capacity_Resource,$E49,'Critical resources (hide)'!AI$6:AI$105)+SUMIF(Capacity_Resource,$F49,'Critical resources (hide)'!AI$6:AI$105)&gt;0,$E$1=2),0,1)</f>
        <v>1</v>
      </c>
      <c r="W49" s="68">
        <f ca="1">IF(AND(SUMIF(Capacity_Resource,$D49,'Critical resources (hide)'!AJ$6:AJ$105)+SUMIF(Capacity_Resource,$E49,'Critical resources (hide)'!AJ$6:AJ$105)+SUMIF(Capacity_Resource,$F49,'Critical resources (hide)'!AJ$6:AJ$105)&gt;0,$E$1=2),0,1)</f>
        <v>1</v>
      </c>
      <c r="X49" s="68">
        <f ca="1">IF(AND(SUMIF(Capacity_Resource,$D49,'Critical resources (hide)'!AK$6:AK$105)+SUMIF(Capacity_Resource,$E49,'Critical resources (hide)'!AK$6:AK$105)+SUMIF(Capacity_Resource,$F49,'Critical resources (hide)'!AK$6:AK$105)&gt;0,$E$1=2),0,1)</f>
        <v>1</v>
      </c>
      <c r="Y49" s="68">
        <f ca="1">IF(AND(SUMIF(Capacity_Resource,$D49,'Critical resources (hide)'!AL$6:AL$105)+SUMIF(Capacity_Resource,$E49,'Critical resources (hide)'!AL$6:AL$105)+SUMIF(Capacity_Resource,$F49,'Critical resources (hide)'!AL$6:AL$105)&gt;0,$E$1=2),0,1)</f>
        <v>1</v>
      </c>
      <c r="Z49" s="68">
        <f ca="1">IF(AND(SUMIF(Capacity_Resource,$D49,'Critical resources (hide)'!AM$6:AM$105)+SUMIF(Capacity_Resource,$E49,'Critical resources (hide)'!AM$6:AM$105)+SUMIF(Capacity_Resource,$F49,'Critical resources (hide)'!AM$6:AM$105)&gt;0,$E$1=2),0,1)</f>
        <v>1</v>
      </c>
      <c r="AA49" s="68">
        <f ca="1">IF(AND(SUMIF(Capacity_Resource,$D49,'Critical resources (hide)'!AN$6:AN$105)+SUMIF(Capacity_Resource,$E49,'Critical resources (hide)'!AN$6:AN$105)+SUMIF(Capacity_Resource,$F49,'Critical resources (hide)'!AN$6:AN$105)&gt;0,$E$1=2),0,1)</f>
        <v>1</v>
      </c>
      <c r="AB49" s="68">
        <f ca="1">IF(AND(SUMIF(Capacity_Resource,$D49,'Critical resources (hide)'!AO$6:AO$105)+SUMIF(Capacity_Resource,$E49,'Critical resources (hide)'!AO$6:AO$105)+SUMIF(Capacity_Resource,$F49,'Critical resources (hide)'!AO$6:AO$105)&gt;0,$E$1=2),0,1)</f>
        <v>1</v>
      </c>
      <c r="AC49" s="68">
        <f ca="1">IF(AND(SUMIF(Capacity_Resource,$D49,'Critical resources (hide)'!AP$6:AP$105)+SUMIF(Capacity_Resource,$E49,'Critical resources (hide)'!AP$6:AP$105)+SUMIF(Capacity_Resource,$F49,'Critical resources (hide)'!AP$6:AP$105)&gt;0,$E$1=2),0,1)</f>
        <v>1</v>
      </c>
      <c r="AD49" s="68">
        <f ca="1">IF(AND(SUMIF(Capacity_Resource,$D49,'Critical resources (hide)'!AQ$6:AQ$105)+SUMIF(Capacity_Resource,$E49,'Critical resources (hide)'!AQ$6:AQ$105)+SUMIF(Capacity_Resource,$F49,'Critical resources (hide)'!AQ$6:AQ$105)&gt;0,$E$1=2),0,1)</f>
        <v>1</v>
      </c>
      <c r="AE49" s="68">
        <f ca="1">IF(AND(SUMIF(Capacity_Resource,$D49,'Critical resources (hide)'!AR$6:AR$105)+SUMIF(Capacity_Resource,$E49,'Critical resources (hide)'!AR$6:AR$105)+SUMIF(Capacity_Resource,$F49,'Critical resources (hide)'!AR$6:AR$105)&gt;0,$E$1=2),0,1)</f>
        <v>1</v>
      </c>
      <c r="AF49" s="68">
        <f ca="1">IF(AND(SUMIF(Capacity_Resource,$D49,'Critical resources (hide)'!AS$6:AS$105)+SUMIF(Capacity_Resource,$E49,'Critical resources (hide)'!AS$6:AS$105)+SUMIF(Capacity_Resource,$F49,'Critical resources (hide)'!AS$6:AS$105)&gt;0,$E$1=2),0,1)</f>
        <v>1</v>
      </c>
      <c r="AG49" s="68">
        <f ca="1">IF(AND(SUMIF(Capacity_Resource,$D49,'Critical resources (hide)'!AT$6:AT$105)+SUMIF(Capacity_Resource,$E49,'Critical resources (hide)'!AT$6:AT$105)+SUMIF(Capacity_Resource,$F49,'Critical resources (hide)'!AT$6:AT$105)&gt;0,$E$1=2),0,1)</f>
        <v>1</v>
      </c>
      <c r="AH49" s="68">
        <f ca="1">IF(AND(SUMIF(Capacity_Resource,$D49,'Critical resources (hide)'!AU$6:AU$105)+SUMIF(Capacity_Resource,$E49,'Critical resources (hide)'!AU$6:AU$105)+SUMIF(Capacity_Resource,$F49,'Critical resources (hide)'!AU$6:AU$105)&gt;0,$E$1=2),0,1)</f>
        <v>1</v>
      </c>
      <c r="AI49" s="68">
        <f ca="1">IF(AND(SUMIF(Capacity_Resource,$D49,'Critical resources (hide)'!AV$6:AV$105)+SUMIF(Capacity_Resource,$E49,'Critical resources (hide)'!AV$6:AV$105)+SUMIF(Capacity_Resource,$F49,'Critical resources (hide)'!AV$6:AV$105)&gt;0,$E$1=2),0,1)</f>
        <v>1</v>
      </c>
      <c r="AJ49" s="68">
        <f ca="1">IF(AND(SUMIF(Capacity_Resource,$D49,'Critical resources (hide)'!AW$6:AW$105)+SUMIF(Capacity_Resource,$E49,'Critical resources (hide)'!AW$6:AW$105)+SUMIF(Capacity_Resource,$F49,'Critical resources (hide)'!AW$6:AW$105)&gt;0,$E$1=2),0,1)</f>
        <v>1</v>
      </c>
      <c r="AK49" s="68">
        <f ca="1">IF(AND(SUMIF(Capacity_Resource,$D49,'Critical resources (hide)'!AX$6:AX$105)+SUMIF(Capacity_Resource,$E49,'Critical resources (hide)'!AX$6:AX$105)+SUMIF(Capacity_Resource,$F49,'Critical resources (hide)'!AX$6:AX$105)&gt;0,$E$1=2),0,1)</f>
        <v>1</v>
      </c>
      <c r="AL49" s="68">
        <f ca="1">IF(AND(SUMIF(Capacity_Resource,$D49,'Critical resources (hide)'!AY$6:AY$105)+SUMIF(Capacity_Resource,$E49,'Critical resources (hide)'!AY$6:AY$105)+SUMIF(Capacity_Resource,$F49,'Critical resources (hide)'!AY$6:AY$105)&gt;0,$E$1=2),0,1)</f>
        <v>1</v>
      </c>
      <c r="AM49" s="68">
        <f ca="1">IF(AND(SUMIF(Capacity_Resource,$D49,'Critical resources (hide)'!AZ$6:AZ$105)+SUMIF(Capacity_Resource,$E49,'Critical resources (hide)'!AZ$6:AZ$105)+SUMIF(Capacity_Resource,$F49,'Critical resources (hide)'!AZ$6:AZ$105)&gt;0,$E$1=2),0,1)</f>
        <v>1</v>
      </c>
      <c r="AN49" s="68">
        <f ca="1">IF(AND(SUMIF(Capacity_Resource,$D49,'Critical resources (hide)'!BA$6:BA$105)+SUMIF(Capacity_Resource,$E49,'Critical resources (hide)'!BA$6:BA$105)+SUMIF(Capacity_Resource,$F49,'Critical resources (hide)'!BA$6:BA$105)&gt;0,$E$1=2),0,1)</f>
        <v>1</v>
      </c>
      <c r="AO49" s="68">
        <f ca="1">IF(AND(SUMIF(Capacity_Resource,$D49,'Critical resources (hide)'!BB$6:BB$105)+SUMIF(Capacity_Resource,$E49,'Critical resources (hide)'!BB$6:BB$105)+SUMIF(Capacity_Resource,$F49,'Critical resources (hide)'!BB$6:BB$105)&gt;0,$E$1=2),0,1)</f>
        <v>1</v>
      </c>
      <c r="AP49" s="68">
        <f ca="1">IF(AND(SUMIF(Capacity_Resource,$D49,'Critical resources (hide)'!BC$6:BC$105)+SUMIF(Capacity_Resource,$E49,'Critical resources (hide)'!BC$6:BC$105)+SUMIF(Capacity_Resource,$F49,'Critical resources (hide)'!BC$6:BC$105)&gt;0,$E$1=2),0,1)</f>
        <v>1</v>
      </c>
      <c r="AQ49" s="68">
        <f ca="1">IF(AND(SUMIF(Capacity_Resource,$D49,'Critical resources (hide)'!BD$6:BD$105)+SUMIF(Capacity_Resource,$E49,'Critical resources (hide)'!BD$6:BD$105)+SUMIF(Capacity_Resource,$F49,'Critical resources (hide)'!BD$6:BD$105)&gt;0,$E$1=2),0,1)</f>
        <v>1</v>
      </c>
      <c r="AR49" s="68">
        <f ca="1">IF(AND(SUMIF(Capacity_Resource,$D49,'Critical resources (hide)'!BE$6:BE$105)+SUMIF(Capacity_Resource,$E49,'Critical resources (hide)'!BE$6:BE$105)+SUMIF(Capacity_Resource,$F49,'Critical resources (hide)'!BE$6:BE$105)&gt;0,$E$1=2),0,1)</f>
        <v>1</v>
      </c>
      <c r="AS49" s="68">
        <f ca="1">IF(AND(SUMIF(Capacity_Resource,$D49,'Critical resources (hide)'!BF$6:BF$105)+SUMIF(Capacity_Resource,$E49,'Critical resources (hide)'!BF$6:BF$105)+SUMIF(Capacity_Resource,$F49,'Critical resources (hide)'!BF$6:BF$105)&gt;0,$E$1=2),0,1)</f>
        <v>1</v>
      </c>
      <c r="AT49" s="68">
        <f ca="1">IF(AND(SUMIF(Capacity_Resource,$D49,'Critical resources (hide)'!BG$6:BG$105)+SUMIF(Capacity_Resource,$E49,'Critical resources (hide)'!BG$6:BG$105)+SUMIF(Capacity_Resource,$F49,'Critical resources (hide)'!BG$6:BG$105)&gt;0,$E$1=2),0,1)</f>
        <v>1</v>
      </c>
      <c r="AU49" s="68">
        <f ca="1">IF(AND(SUMIF(Capacity_Resource,$D49,'Critical resources (hide)'!BH$6:BH$105)+SUMIF(Capacity_Resource,$E49,'Critical resources (hide)'!BH$6:BH$105)+SUMIF(Capacity_Resource,$F49,'Critical resources (hide)'!BH$6:BH$105)&gt;0,$E$1=2),0,1)</f>
        <v>1</v>
      </c>
      <c r="AV49" s="68">
        <f ca="1">IF(AND(SUMIF(Capacity_Resource,$D49,'Critical resources (hide)'!BI$6:BI$105)+SUMIF(Capacity_Resource,$E49,'Critical resources (hide)'!BI$6:BI$105)+SUMIF(Capacity_Resource,$F49,'Critical resources (hide)'!BI$6:BI$105)&gt;0,$E$1=2),0,1)</f>
        <v>1</v>
      </c>
      <c r="AW49" s="68">
        <f ca="1">IF(AND(SUMIF(Capacity_Resource,$D49,'Critical resources (hide)'!BJ$6:BJ$105)+SUMIF(Capacity_Resource,$E49,'Critical resources (hide)'!BJ$6:BJ$105)+SUMIF(Capacity_Resource,$F49,'Critical resources (hide)'!BJ$6:BJ$105)&gt;0,$E$1=2),0,1)</f>
        <v>1</v>
      </c>
      <c r="AX49" s="68">
        <f ca="1">IF(AND(SUMIF(Capacity_Resource,$D49,'Critical resources (hide)'!BK$6:BK$105)+SUMIF(Capacity_Resource,$E49,'Critical resources (hide)'!BK$6:BK$105)+SUMIF(Capacity_Resource,$F49,'Critical resources (hide)'!BK$6:BK$105)&gt;0,$E$1=2),0,1)</f>
        <v>1</v>
      </c>
      <c r="AY49" s="68">
        <f ca="1">IF(AND(SUMIF(Capacity_Resource,$D49,'Critical resources (hide)'!BL$6:BL$105)+SUMIF(Capacity_Resource,$E49,'Critical resources (hide)'!BL$6:BL$105)+SUMIF(Capacity_Resource,$F49,'Critical resources (hide)'!BL$6:BL$105)&gt;0,$E$1=2),0,1)</f>
        <v>1</v>
      </c>
      <c r="AZ49" s="68">
        <f ca="1">IF(AND(SUMIF(Capacity_Resource,$D49,'Critical resources (hide)'!BM$6:BM$105)+SUMIF(Capacity_Resource,$E49,'Critical resources (hide)'!BM$6:BM$105)+SUMIF(Capacity_Resource,$F49,'Critical resources (hide)'!BM$6:BM$105)&gt;0,$E$1=2),0,1)</f>
        <v>1</v>
      </c>
      <c r="BA49" s="68">
        <f ca="1">IF(AND(SUMIF(Capacity_Resource,$D49,'Critical resources (hide)'!BN$6:BN$105)+SUMIF(Capacity_Resource,$E49,'Critical resources (hide)'!BN$6:BN$105)+SUMIF(Capacity_Resource,$F49,'Critical resources (hide)'!BN$6:BN$105)&gt;0,$E$1=2),0,1)</f>
        <v>1</v>
      </c>
      <c r="BB49" s="68">
        <f ca="1">IF(AND(SUMIF(Capacity_Resource,$D49,'Critical resources (hide)'!BO$6:BO$105)+SUMIF(Capacity_Resource,$E49,'Critical resources (hide)'!BO$6:BO$105)+SUMIF(Capacity_Resource,$F49,'Critical resources (hide)'!BO$6:BO$105)&gt;0,$E$1=2),0,1)</f>
        <v>1</v>
      </c>
      <c r="BC49" s="68">
        <f ca="1">IF(AND(SUMIF(Capacity_Resource,$D49,'Critical resources (hide)'!BP$6:BP$105)+SUMIF(Capacity_Resource,$E49,'Critical resources (hide)'!BP$6:BP$105)+SUMIF(Capacity_Resource,$F49,'Critical resources (hide)'!BP$6:BP$105)&gt;0,$E$1=2),0,1)</f>
        <v>1</v>
      </c>
      <c r="BD49" s="68">
        <f ca="1">IF(AND(SUMIF(Capacity_Resource,$D49,'Critical resources (hide)'!BQ$6:BQ$105)+SUMIF(Capacity_Resource,$E49,'Critical resources (hide)'!BQ$6:BQ$105)+SUMIF(Capacity_Resource,$F49,'Critical resources (hide)'!BQ$6:BQ$105)&gt;0,$E$1=2),0,1)</f>
        <v>1</v>
      </c>
      <c r="BE49" s="68">
        <f ca="1">IF(AND(SUMIF(Capacity_Resource,$D49,'Critical resources (hide)'!BR$6:BR$105)+SUMIF(Capacity_Resource,$E49,'Critical resources (hide)'!BR$6:BR$105)+SUMIF(Capacity_Resource,$F49,'Critical resources (hide)'!BR$6:BR$105)&gt;0,$E$1=2),0,1)</f>
        <v>1</v>
      </c>
      <c r="BF49" s="68">
        <f ca="1">IF(AND(SUMIF(Capacity_Resource,$D49,'Critical resources (hide)'!BS$6:BS$105)+SUMIF(Capacity_Resource,$E49,'Critical resources (hide)'!BS$6:BS$105)+SUMIF(Capacity_Resource,$F49,'Critical resources (hide)'!BS$6:BS$105)&gt;0,$E$1=2),0,1)</f>
        <v>1</v>
      </c>
      <c r="BG49" s="68">
        <f ca="1">IF(AND(SUMIF(Capacity_Resource,$D49,'Critical resources (hide)'!BT$6:BT$105)+SUMIF(Capacity_Resource,$E49,'Critical resources (hide)'!BT$6:BT$105)+SUMIF(Capacity_Resource,$F49,'Critical resources (hide)'!BT$6:BT$105)&gt;0,$E$1=2),0,1)</f>
        <v>1</v>
      </c>
      <c r="BH49" s="68">
        <f>IF(ROW(C45)&lt;=Capacity!$A$16,IF('Capacity summary'!$D$14="No",SUM(H49:BG49),'Capacity summary'!$E168),0)</f>
        <v>0</v>
      </c>
      <c r="BI49" s="5" t="str">
        <f>IF(BH49&gt;0,IF(BH49&lt;Capacity!E61,Capacity!F61,Capacity!H61/'Capacity calculation (hide)'!BH49),"")</f>
        <v/>
      </c>
      <c r="BK49" s="319">
        <f>IF($BI49&lt;&gt;"",IF('Capacity summary'!$D$14="Yes",IF(COUNTBLANK('Capacity summary'!$H168:$BG168)&lt;52,IF('Capacity summary'!H168&lt;&gt;"",$BI49*H49,0),H49*$BI49),H49*$BI49),0)</f>
        <v>0</v>
      </c>
      <c r="BL49" s="319">
        <f>IF($BI49&lt;&gt;"",IF('Capacity summary'!$D$14="Yes",IF(COUNTBLANK('Capacity summary'!$H168:$BG168)&lt;52,IF('Capacity summary'!I168&lt;&gt;"",$BI49*I49,0),I49*$BI49),I49*$BI49),0)</f>
        <v>0</v>
      </c>
      <c r="BM49" s="319">
        <f>IF($BI49&lt;&gt;"",IF('Capacity summary'!$D$14="Yes",IF(COUNTBLANK('Capacity summary'!$H168:$BG168)&lt;52,IF('Capacity summary'!J168&lt;&gt;"",$BI49*J49,0),J49*$BI49),J49*$BI49),0)</f>
        <v>0</v>
      </c>
      <c r="BN49" s="319">
        <f>IF($BI49&lt;&gt;"",IF('Capacity summary'!$D$14="Yes",IF(COUNTBLANK('Capacity summary'!$H168:$BG168)&lt;52,IF('Capacity summary'!K168&lt;&gt;"",$BI49*K49,0),K49*$BI49),K49*$BI49),0)</f>
        <v>0</v>
      </c>
      <c r="BO49" s="319">
        <f>IF($BI49&lt;&gt;"",IF('Capacity summary'!$D$14="Yes",IF(COUNTBLANK('Capacity summary'!$H168:$BG168)&lt;52,IF('Capacity summary'!L168&lt;&gt;"",$BI49*L49,0),L49*$BI49),L49*$BI49),0)</f>
        <v>0</v>
      </c>
      <c r="BP49" s="319">
        <f>IF($BI49&lt;&gt;"",IF('Capacity summary'!$D$14="Yes",IF(COUNTBLANK('Capacity summary'!$H168:$BG168)&lt;52,IF('Capacity summary'!M168&lt;&gt;"",$BI49*M49,0),M49*$BI49),M49*$BI49),0)</f>
        <v>0</v>
      </c>
      <c r="BQ49" s="319">
        <f>IF($BI49&lt;&gt;"",IF('Capacity summary'!$D$14="Yes",IF(COUNTBLANK('Capacity summary'!$H168:$BG168)&lt;52,IF('Capacity summary'!N168&lt;&gt;"",$BI49*N49,0),N49*$BI49),N49*$BI49),0)</f>
        <v>0</v>
      </c>
      <c r="BR49" s="319">
        <f>IF($BI49&lt;&gt;"",IF('Capacity summary'!$D$14="Yes",IF(COUNTBLANK('Capacity summary'!$H168:$BG168)&lt;52,IF('Capacity summary'!O168&lt;&gt;"",$BI49*O49,0),O49*$BI49),O49*$BI49),0)</f>
        <v>0</v>
      </c>
      <c r="BS49" s="319">
        <f>IF($BI49&lt;&gt;"",IF('Capacity summary'!$D$14="Yes",IF(COUNTBLANK('Capacity summary'!$H168:$BG168)&lt;52,IF('Capacity summary'!P168&lt;&gt;"",$BI49*P49,0),P49*$BI49),P49*$BI49),0)</f>
        <v>0</v>
      </c>
      <c r="BT49" s="319">
        <f>IF($BI49&lt;&gt;"",IF('Capacity summary'!$D$14="Yes",IF(COUNTBLANK('Capacity summary'!$H168:$BG168)&lt;52,IF('Capacity summary'!Q168&lt;&gt;"",$BI49*Q49,0),Q49*$BI49),Q49*$BI49),0)</f>
        <v>0</v>
      </c>
      <c r="BU49" s="319">
        <f>IF($BI49&lt;&gt;"",IF('Capacity summary'!$D$14="Yes",IF(COUNTBLANK('Capacity summary'!$H168:$BG168)&lt;52,IF('Capacity summary'!R168&lt;&gt;"",$BI49*R49,0),R49*$BI49),R49*$BI49),0)</f>
        <v>0</v>
      </c>
      <c r="BV49" s="319">
        <f>IF($BI49&lt;&gt;"",IF('Capacity summary'!$D$14="Yes",IF(COUNTBLANK('Capacity summary'!$H168:$BG168)&lt;52,IF('Capacity summary'!S168&lt;&gt;"",$BI49*S49,0),S49*$BI49),S49*$BI49),0)</f>
        <v>0</v>
      </c>
      <c r="BW49" s="319">
        <f>IF($BI49&lt;&gt;"",IF('Capacity summary'!$D$14="Yes",IF(COUNTBLANK('Capacity summary'!$H168:$BG168)&lt;52,IF('Capacity summary'!T168&lt;&gt;"",$BI49*T49,0),T49*$BI49),T49*$BI49),0)</f>
        <v>0</v>
      </c>
      <c r="BX49" s="319">
        <f>IF($BI49&lt;&gt;"",IF('Capacity summary'!$D$14="Yes",IF(COUNTBLANK('Capacity summary'!$H168:$BG168)&lt;52,IF('Capacity summary'!U168&lt;&gt;"",$BI49*U49,0),U49*$BI49),U49*$BI49),0)</f>
        <v>0</v>
      </c>
      <c r="BY49" s="319">
        <f>IF($BI49&lt;&gt;"",IF('Capacity summary'!$D$14="Yes",IF(COUNTBLANK('Capacity summary'!$H168:$BG168)&lt;52,IF('Capacity summary'!V168&lt;&gt;"",$BI49*V49,0),V49*$BI49),V49*$BI49),0)</f>
        <v>0</v>
      </c>
      <c r="BZ49" s="319">
        <f>IF($BI49&lt;&gt;"",IF('Capacity summary'!$D$14="Yes",IF(COUNTBLANK('Capacity summary'!$H168:$BG168)&lt;52,IF('Capacity summary'!W168&lt;&gt;"",$BI49*W49,0),W49*$BI49),W49*$BI49),0)</f>
        <v>0</v>
      </c>
      <c r="CA49" s="319">
        <f>IF($BI49&lt;&gt;"",IF('Capacity summary'!$D$14="Yes",IF(COUNTBLANK('Capacity summary'!$H168:$BG168)&lt;52,IF('Capacity summary'!X168&lt;&gt;"",$BI49*X49,0),X49*$BI49),X49*$BI49),0)</f>
        <v>0</v>
      </c>
      <c r="CB49" s="319">
        <f>IF($BI49&lt;&gt;"",IF('Capacity summary'!$D$14="Yes",IF(COUNTBLANK('Capacity summary'!$H168:$BG168)&lt;52,IF('Capacity summary'!Y168&lt;&gt;"",$BI49*Y49,0),Y49*$BI49),Y49*$BI49),0)</f>
        <v>0</v>
      </c>
      <c r="CC49" s="319">
        <f>IF($BI49&lt;&gt;"",IF('Capacity summary'!$D$14="Yes",IF(COUNTBLANK('Capacity summary'!$H168:$BG168)&lt;52,IF('Capacity summary'!Z168&lt;&gt;"",$BI49*Z49,0),Z49*$BI49),Z49*$BI49),0)</f>
        <v>0</v>
      </c>
      <c r="CD49" s="319">
        <f>IF($BI49&lt;&gt;"",IF('Capacity summary'!$D$14="Yes",IF(COUNTBLANK('Capacity summary'!$H168:$BG168)&lt;52,IF('Capacity summary'!AA168&lt;&gt;"",$BI49*AA49,0),AA49*$BI49),AA49*$BI49),0)</f>
        <v>0</v>
      </c>
      <c r="CE49" s="319">
        <f>IF($BI49&lt;&gt;"",IF('Capacity summary'!$D$14="Yes",IF(COUNTBLANK('Capacity summary'!$H168:$BG168)&lt;52,IF('Capacity summary'!AB168&lt;&gt;"",$BI49*AB49,0),AB49*$BI49),AB49*$BI49),0)</f>
        <v>0</v>
      </c>
      <c r="CF49" s="319">
        <f>IF($BI49&lt;&gt;"",IF('Capacity summary'!$D$14="Yes",IF(COUNTBLANK('Capacity summary'!$H168:$BG168)&lt;52,IF('Capacity summary'!AC168&lt;&gt;"",$BI49*AC49,0),AC49*$BI49),AC49*$BI49),0)</f>
        <v>0</v>
      </c>
      <c r="CG49" s="319">
        <f>IF($BI49&lt;&gt;"",IF('Capacity summary'!$D$14="Yes",IF(COUNTBLANK('Capacity summary'!$H168:$BG168)&lt;52,IF('Capacity summary'!AD168&lt;&gt;"",$BI49*AD49,0),AD49*$BI49),AD49*$BI49),0)</f>
        <v>0</v>
      </c>
      <c r="CH49" s="319">
        <f>IF($BI49&lt;&gt;"",IF('Capacity summary'!$D$14="Yes",IF(COUNTBLANK('Capacity summary'!$H168:$BG168)&lt;52,IF('Capacity summary'!AE168&lt;&gt;"",$BI49*AE49,0),AE49*$BI49),AE49*$BI49),0)</f>
        <v>0</v>
      </c>
      <c r="CI49" s="319">
        <f>IF($BI49&lt;&gt;"",IF('Capacity summary'!$D$14="Yes",IF(COUNTBLANK('Capacity summary'!$H168:$BG168)&lt;52,IF('Capacity summary'!AF168&lt;&gt;"",$BI49*AF49,0),AF49*$BI49),AF49*$BI49),0)</f>
        <v>0</v>
      </c>
      <c r="CJ49" s="319">
        <f>IF($BI49&lt;&gt;"",IF('Capacity summary'!$D$14="Yes",IF(COUNTBLANK('Capacity summary'!$H168:$BG168)&lt;52,IF('Capacity summary'!AG168&lt;&gt;"",$BI49*AG49,0),AG49*$BI49),AG49*$BI49),0)</f>
        <v>0</v>
      </c>
      <c r="CK49" s="319">
        <f>IF($BI49&lt;&gt;"",IF('Capacity summary'!$D$14="Yes",IF(COUNTBLANK('Capacity summary'!$H168:$BG168)&lt;52,IF('Capacity summary'!AH168&lt;&gt;"",$BI49*AH49,0),AH49*$BI49),AH49*$BI49),0)</f>
        <v>0</v>
      </c>
      <c r="CL49" s="319">
        <f>IF($BI49&lt;&gt;"",IF('Capacity summary'!$D$14="Yes",IF(COUNTBLANK('Capacity summary'!$H168:$BG168)&lt;52,IF('Capacity summary'!AI168&lt;&gt;"",$BI49*AI49,0),AI49*$BI49),AI49*$BI49),0)</f>
        <v>0</v>
      </c>
      <c r="CM49" s="319">
        <f>IF($BI49&lt;&gt;"",IF('Capacity summary'!$D$14="Yes",IF(COUNTBLANK('Capacity summary'!$H168:$BG168)&lt;52,IF('Capacity summary'!AJ168&lt;&gt;"",$BI49*AJ49,0),AJ49*$BI49),AJ49*$BI49),0)</f>
        <v>0</v>
      </c>
      <c r="CN49" s="319">
        <f>IF($BI49&lt;&gt;"",IF('Capacity summary'!$D$14="Yes",IF(COUNTBLANK('Capacity summary'!$H168:$BG168)&lt;52,IF('Capacity summary'!AK168&lt;&gt;"",$BI49*AK49,0),AK49*$BI49),AK49*$BI49),0)</f>
        <v>0</v>
      </c>
      <c r="CO49" s="319">
        <f>IF($BI49&lt;&gt;"",IF('Capacity summary'!$D$14="Yes",IF(COUNTBLANK('Capacity summary'!$H168:$BG168)&lt;52,IF('Capacity summary'!AL168&lt;&gt;"",$BI49*AL49,0),AL49*$BI49),AL49*$BI49),0)</f>
        <v>0</v>
      </c>
      <c r="CP49" s="319">
        <f>IF($BI49&lt;&gt;"",IF('Capacity summary'!$D$14="Yes",IF(COUNTBLANK('Capacity summary'!$H168:$BG168)&lt;52,IF('Capacity summary'!AM168&lt;&gt;"",$BI49*AM49,0),AM49*$BI49),AM49*$BI49),0)</f>
        <v>0</v>
      </c>
      <c r="CQ49" s="319">
        <f>IF($BI49&lt;&gt;"",IF('Capacity summary'!$D$14="Yes",IF(COUNTBLANK('Capacity summary'!$H168:$BG168)&lt;52,IF('Capacity summary'!AN168&lt;&gt;"",$BI49*AN49,0),AN49*$BI49),AN49*$BI49),0)</f>
        <v>0</v>
      </c>
      <c r="CR49" s="319">
        <f>IF($BI49&lt;&gt;"",IF('Capacity summary'!$D$14="Yes",IF(COUNTBLANK('Capacity summary'!$H168:$BG168)&lt;52,IF('Capacity summary'!AO168&lt;&gt;"",$BI49*AO49,0),AO49*$BI49),AO49*$BI49),0)</f>
        <v>0</v>
      </c>
      <c r="CS49" s="319">
        <f>IF($BI49&lt;&gt;"",IF('Capacity summary'!$D$14="Yes",IF(COUNTBLANK('Capacity summary'!$H168:$BG168)&lt;52,IF('Capacity summary'!AP168&lt;&gt;"",$BI49*AP49,0),AP49*$BI49),AP49*$BI49),0)</f>
        <v>0</v>
      </c>
      <c r="CT49" s="319">
        <f>IF($BI49&lt;&gt;"",IF('Capacity summary'!$D$14="Yes",IF(COUNTBLANK('Capacity summary'!$H168:$BG168)&lt;52,IF('Capacity summary'!AQ168&lt;&gt;"",$BI49*AQ49,0),AQ49*$BI49),AQ49*$BI49),0)</f>
        <v>0</v>
      </c>
      <c r="CU49" s="319">
        <f>IF($BI49&lt;&gt;"",IF('Capacity summary'!$D$14="Yes",IF(COUNTBLANK('Capacity summary'!$H168:$BG168)&lt;52,IF('Capacity summary'!AR168&lt;&gt;"",$BI49*AR49,0),AR49*$BI49),AR49*$BI49),0)</f>
        <v>0</v>
      </c>
      <c r="CV49" s="319">
        <f>IF($BI49&lt;&gt;"",IF('Capacity summary'!$D$14="Yes",IF(COUNTBLANK('Capacity summary'!$H168:$BG168)&lt;52,IF('Capacity summary'!AS168&lt;&gt;"",$BI49*AS49,0),AS49*$BI49),AS49*$BI49),0)</f>
        <v>0</v>
      </c>
      <c r="CW49" s="319">
        <f>IF($BI49&lt;&gt;"",IF('Capacity summary'!$D$14="Yes",IF(COUNTBLANK('Capacity summary'!$H168:$BG168)&lt;52,IF('Capacity summary'!AT168&lt;&gt;"",$BI49*AT49,0),AT49*$BI49),AT49*$BI49),0)</f>
        <v>0</v>
      </c>
      <c r="CX49" s="319">
        <f>IF($BI49&lt;&gt;"",IF('Capacity summary'!$D$14="Yes",IF(COUNTBLANK('Capacity summary'!$H168:$BG168)&lt;52,IF('Capacity summary'!AU168&lt;&gt;"",$BI49*AU49,0),AU49*$BI49),AU49*$BI49),0)</f>
        <v>0</v>
      </c>
      <c r="CY49" s="319">
        <f>IF($BI49&lt;&gt;"",IF('Capacity summary'!$D$14="Yes",IF(COUNTBLANK('Capacity summary'!$H168:$BG168)&lt;52,IF('Capacity summary'!AV168&lt;&gt;"",$BI49*AV49,0),AV49*$BI49),AV49*$BI49),0)</f>
        <v>0</v>
      </c>
      <c r="CZ49" s="319">
        <f>IF($BI49&lt;&gt;"",IF('Capacity summary'!$D$14="Yes",IF(COUNTBLANK('Capacity summary'!$H168:$BG168)&lt;52,IF('Capacity summary'!AW168&lt;&gt;"",$BI49*AW49,0),AW49*$BI49),AW49*$BI49),0)</f>
        <v>0</v>
      </c>
      <c r="DA49" s="319">
        <f>IF($BI49&lt;&gt;"",IF('Capacity summary'!$D$14="Yes",IF(COUNTBLANK('Capacity summary'!$H168:$BG168)&lt;52,IF('Capacity summary'!AX168&lt;&gt;"",$BI49*AX49,0),AX49*$BI49),AX49*$BI49),0)</f>
        <v>0</v>
      </c>
      <c r="DB49" s="319">
        <f>IF($BI49&lt;&gt;"",IF('Capacity summary'!$D$14="Yes",IF(COUNTBLANK('Capacity summary'!$H168:$BG168)&lt;52,IF('Capacity summary'!AY168&lt;&gt;"",$BI49*AY49,0),AY49*$BI49),AY49*$BI49),0)</f>
        <v>0</v>
      </c>
      <c r="DC49" s="319">
        <f>IF($BI49&lt;&gt;"",IF('Capacity summary'!$D$14="Yes",IF(COUNTBLANK('Capacity summary'!$H168:$BG168)&lt;52,IF('Capacity summary'!AZ168&lt;&gt;"",$BI49*AZ49,0),AZ49*$BI49),AZ49*$BI49),0)</f>
        <v>0</v>
      </c>
      <c r="DD49" s="319">
        <f>IF($BI49&lt;&gt;"",IF('Capacity summary'!$D$14="Yes",IF(COUNTBLANK('Capacity summary'!$H168:$BG168)&lt;52,IF('Capacity summary'!BA168&lt;&gt;"",$BI49*BA49,0),BA49*$BI49),BA49*$BI49),0)</f>
        <v>0</v>
      </c>
      <c r="DE49" s="319">
        <f>IF($BI49&lt;&gt;"",IF('Capacity summary'!$D$14="Yes",IF(COUNTBLANK('Capacity summary'!$H168:$BG168)&lt;52,IF('Capacity summary'!BB168&lt;&gt;"",$BI49*BB49,0),BB49*$BI49),BB49*$BI49),0)</f>
        <v>0</v>
      </c>
      <c r="DF49" s="319">
        <f>IF($BI49&lt;&gt;"",IF('Capacity summary'!$D$14="Yes",IF(COUNTBLANK('Capacity summary'!$H168:$BG168)&lt;52,IF('Capacity summary'!BC168&lt;&gt;"",$BI49*BC49,0),BC49*$BI49),BC49*$BI49),0)</f>
        <v>0</v>
      </c>
      <c r="DG49" s="319">
        <f>IF($BI49&lt;&gt;"",IF('Capacity summary'!$D$14="Yes",IF(COUNTBLANK('Capacity summary'!$H168:$BG168)&lt;52,IF('Capacity summary'!BD168&lt;&gt;"",$BI49*BD49,0),BD49*$BI49),BD49*$BI49),0)</f>
        <v>0</v>
      </c>
      <c r="DH49" s="319">
        <f>IF($BI49&lt;&gt;"",IF('Capacity summary'!$D$14="Yes",IF(COUNTBLANK('Capacity summary'!$H168:$BG168)&lt;52,IF('Capacity summary'!BE168&lt;&gt;"",$BI49*BE49,0),BE49*$BI49),BE49*$BI49),0)</f>
        <v>0</v>
      </c>
      <c r="DI49" s="319">
        <f>IF($BI49&lt;&gt;"",IF('Capacity summary'!$D$14="Yes",IF(COUNTBLANK('Capacity summary'!$H168:$BG168)&lt;52,IF('Capacity summary'!BF168&lt;&gt;"",$BI49*BF49,0),BF49*$BI49),BF49*$BI49),0)</f>
        <v>0</v>
      </c>
      <c r="DJ49" s="319">
        <f>IF($BI49&lt;&gt;"",IF('Capacity summary'!$D$14="Yes",IF(COUNTBLANK('Capacity summary'!$H168:$BG168)&lt;52,IF('Capacity summary'!BG168&lt;&gt;"",$BI49*BG49,0),BG49*$BI49),BG49*$BI49),0)</f>
        <v>0</v>
      </c>
      <c r="DK49" s="5">
        <f t="shared" si="2"/>
        <v>0</v>
      </c>
      <c r="DL49" s="5" t="str">
        <f>Capacity!H61</f>
        <v/>
      </c>
      <c r="DP49" s="5"/>
    </row>
    <row r="50" spans="2:120" x14ac:dyDescent="0.2">
      <c r="B50" s="68"/>
      <c r="C50" s="68" t="str">
        <f>ROW(A46)&amp;". "&amp;Capacity!B62</f>
        <v xml:space="preserve">46. </v>
      </c>
      <c r="D50" s="68">
        <f>'Capacity setup'!C57</f>
        <v>0</v>
      </c>
      <c r="E50" s="68">
        <f>'Capacity setup'!D57</f>
        <v>0</v>
      </c>
      <c r="F50" s="68">
        <f>'Capacity setup'!E57</f>
        <v>0</v>
      </c>
      <c r="H50" s="68">
        <f ca="1">IF(AND(SUMIF(Capacity_Resource,$D50,'Critical resources (hide)'!U$6:U$105)+SUMIF(Capacity_Resource,$E50,'Critical resources (hide)'!U$6:U$105)+SUMIF(Capacity_Resource,$F50,'Critical resources (hide)'!U$6:U$105)&gt;0,$E$1=2),0,1)</f>
        <v>1</v>
      </c>
      <c r="I50" s="68">
        <f ca="1">IF(AND(SUMIF(Capacity_Resource,$D50,'Critical resources (hide)'!V$6:V$105)+SUMIF(Capacity_Resource,$E50,'Critical resources (hide)'!V$6:V$105)+SUMIF(Capacity_Resource,$F50,'Critical resources (hide)'!V$6:V$105)&gt;0,$E$1=2),0,1)</f>
        <v>1</v>
      </c>
      <c r="J50" s="68">
        <f ca="1">IF(AND(SUMIF(Capacity_Resource,$D50,'Critical resources (hide)'!W$6:W$105)+SUMIF(Capacity_Resource,$E50,'Critical resources (hide)'!W$6:W$105)+SUMIF(Capacity_Resource,$F50,'Critical resources (hide)'!W$6:W$105)&gt;0,$E$1=2),0,1)</f>
        <v>1</v>
      </c>
      <c r="K50" s="68">
        <f ca="1">IF(AND(SUMIF(Capacity_Resource,$D50,'Critical resources (hide)'!X$6:X$105)+SUMIF(Capacity_Resource,$E50,'Critical resources (hide)'!X$6:X$105)+SUMIF(Capacity_Resource,$F50,'Critical resources (hide)'!X$6:X$105)&gt;0,$E$1=2),0,1)</f>
        <v>1</v>
      </c>
      <c r="L50" s="68">
        <f ca="1">IF(AND(SUMIF(Capacity_Resource,$D50,'Critical resources (hide)'!Y$6:Y$105)+SUMIF(Capacity_Resource,$E50,'Critical resources (hide)'!Y$6:Y$105)+SUMIF(Capacity_Resource,$F50,'Critical resources (hide)'!Y$6:Y$105)&gt;0,$E$1=2),0,1)</f>
        <v>1</v>
      </c>
      <c r="M50" s="68">
        <f ca="1">IF(AND(SUMIF(Capacity_Resource,$D50,'Critical resources (hide)'!Z$6:Z$105)+SUMIF(Capacity_Resource,$E50,'Critical resources (hide)'!Z$6:Z$105)+SUMIF(Capacity_Resource,$F50,'Critical resources (hide)'!Z$6:Z$105)&gt;0,$E$1=2),0,1)</f>
        <v>1</v>
      </c>
      <c r="N50" s="68">
        <f ca="1">IF(AND(SUMIF(Capacity_Resource,$D50,'Critical resources (hide)'!AA$6:AA$105)+SUMIF(Capacity_Resource,$E50,'Critical resources (hide)'!AA$6:AA$105)+SUMIF(Capacity_Resource,$F50,'Critical resources (hide)'!AA$6:AA$105)&gt;0,$E$1=2),0,1)</f>
        <v>1</v>
      </c>
      <c r="O50" s="68">
        <f ca="1">IF(AND(SUMIF(Capacity_Resource,$D50,'Critical resources (hide)'!AB$6:AB$105)+SUMIF(Capacity_Resource,$E50,'Critical resources (hide)'!AB$6:AB$105)+SUMIF(Capacity_Resource,$F50,'Critical resources (hide)'!AB$6:AB$105)&gt;0,$E$1=2),0,1)</f>
        <v>1</v>
      </c>
      <c r="P50" s="68">
        <f ca="1">IF(AND(SUMIF(Capacity_Resource,$D50,'Critical resources (hide)'!AC$6:AC$105)+SUMIF(Capacity_Resource,$E50,'Critical resources (hide)'!AC$6:AC$105)+SUMIF(Capacity_Resource,$F50,'Critical resources (hide)'!AC$6:AC$105)&gt;0,$E$1=2),0,1)</f>
        <v>1</v>
      </c>
      <c r="Q50" s="68">
        <f ca="1">IF(AND(SUMIF(Capacity_Resource,$D50,'Critical resources (hide)'!AD$6:AD$105)+SUMIF(Capacity_Resource,$E50,'Critical resources (hide)'!AD$6:AD$105)+SUMIF(Capacity_Resource,$F50,'Critical resources (hide)'!AD$6:AD$105)&gt;0,$E$1=2),0,1)</f>
        <v>1</v>
      </c>
      <c r="R50" s="68">
        <f ca="1">IF(AND(SUMIF(Capacity_Resource,$D50,'Critical resources (hide)'!AE$6:AE$105)+SUMIF(Capacity_Resource,$E50,'Critical resources (hide)'!AE$6:AE$105)+SUMIF(Capacity_Resource,$F50,'Critical resources (hide)'!AE$6:AE$105)&gt;0,$E$1=2),0,1)</f>
        <v>1</v>
      </c>
      <c r="S50" s="68">
        <f ca="1">IF(AND(SUMIF(Capacity_Resource,$D50,'Critical resources (hide)'!AF$6:AF$105)+SUMIF(Capacity_Resource,$E50,'Critical resources (hide)'!AF$6:AF$105)+SUMIF(Capacity_Resource,$F50,'Critical resources (hide)'!AF$6:AF$105)&gt;0,$E$1=2),0,1)</f>
        <v>1</v>
      </c>
      <c r="T50" s="68">
        <f ca="1">IF(AND(SUMIF(Capacity_Resource,$D50,'Critical resources (hide)'!AG$6:AG$105)+SUMIF(Capacity_Resource,$E50,'Critical resources (hide)'!AG$6:AG$105)+SUMIF(Capacity_Resource,$F50,'Critical resources (hide)'!AG$6:AG$105)&gt;0,$E$1=2),0,1)</f>
        <v>1</v>
      </c>
      <c r="U50" s="68">
        <f ca="1">IF(AND(SUMIF(Capacity_Resource,$D50,'Critical resources (hide)'!AH$6:AH$105)+SUMIF(Capacity_Resource,$E50,'Critical resources (hide)'!AH$6:AH$105)+SUMIF(Capacity_Resource,$F50,'Critical resources (hide)'!AH$6:AH$105)&gt;0,$E$1=2),0,1)</f>
        <v>1</v>
      </c>
      <c r="V50" s="68">
        <f ca="1">IF(AND(SUMIF(Capacity_Resource,$D50,'Critical resources (hide)'!AI$6:AI$105)+SUMIF(Capacity_Resource,$E50,'Critical resources (hide)'!AI$6:AI$105)+SUMIF(Capacity_Resource,$F50,'Critical resources (hide)'!AI$6:AI$105)&gt;0,$E$1=2),0,1)</f>
        <v>1</v>
      </c>
      <c r="W50" s="68">
        <f ca="1">IF(AND(SUMIF(Capacity_Resource,$D50,'Critical resources (hide)'!AJ$6:AJ$105)+SUMIF(Capacity_Resource,$E50,'Critical resources (hide)'!AJ$6:AJ$105)+SUMIF(Capacity_Resource,$F50,'Critical resources (hide)'!AJ$6:AJ$105)&gt;0,$E$1=2),0,1)</f>
        <v>1</v>
      </c>
      <c r="X50" s="68">
        <f ca="1">IF(AND(SUMIF(Capacity_Resource,$D50,'Critical resources (hide)'!AK$6:AK$105)+SUMIF(Capacity_Resource,$E50,'Critical resources (hide)'!AK$6:AK$105)+SUMIF(Capacity_Resource,$F50,'Critical resources (hide)'!AK$6:AK$105)&gt;0,$E$1=2),0,1)</f>
        <v>1</v>
      </c>
      <c r="Y50" s="68">
        <f ca="1">IF(AND(SUMIF(Capacity_Resource,$D50,'Critical resources (hide)'!AL$6:AL$105)+SUMIF(Capacity_Resource,$E50,'Critical resources (hide)'!AL$6:AL$105)+SUMIF(Capacity_Resource,$F50,'Critical resources (hide)'!AL$6:AL$105)&gt;0,$E$1=2),0,1)</f>
        <v>1</v>
      </c>
      <c r="Z50" s="68">
        <f ca="1">IF(AND(SUMIF(Capacity_Resource,$D50,'Critical resources (hide)'!AM$6:AM$105)+SUMIF(Capacity_Resource,$E50,'Critical resources (hide)'!AM$6:AM$105)+SUMIF(Capacity_Resource,$F50,'Critical resources (hide)'!AM$6:AM$105)&gt;0,$E$1=2),0,1)</f>
        <v>1</v>
      </c>
      <c r="AA50" s="68">
        <f ca="1">IF(AND(SUMIF(Capacity_Resource,$D50,'Critical resources (hide)'!AN$6:AN$105)+SUMIF(Capacity_Resource,$E50,'Critical resources (hide)'!AN$6:AN$105)+SUMIF(Capacity_Resource,$F50,'Critical resources (hide)'!AN$6:AN$105)&gt;0,$E$1=2),0,1)</f>
        <v>1</v>
      </c>
      <c r="AB50" s="68">
        <f ca="1">IF(AND(SUMIF(Capacity_Resource,$D50,'Critical resources (hide)'!AO$6:AO$105)+SUMIF(Capacity_Resource,$E50,'Critical resources (hide)'!AO$6:AO$105)+SUMIF(Capacity_Resource,$F50,'Critical resources (hide)'!AO$6:AO$105)&gt;0,$E$1=2),0,1)</f>
        <v>1</v>
      </c>
      <c r="AC50" s="68">
        <f ca="1">IF(AND(SUMIF(Capacity_Resource,$D50,'Critical resources (hide)'!AP$6:AP$105)+SUMIF(Capacity_Resource,$E50,'Critical resources (hide)'!AP$6:AP$105)+SUMIF(Capacity_Resource,$F50,'Critical resources (hide)'!AP$6:AP$105)&gt;0,$E$1=2),0,1)</f>
        <v>1</v>
      </c>
      <c r="AD50" s="68">
        <f ca="1">IF(AND(SUMIF(Capacity_Resource,$D50,'Critical resources (hide)'!AQ$6:AQ$105)+SUMIF(Capacity_Resource,$E50,'Critical resources (hide)'!AQ$6:AQ$105)+SUMIF(Capacity_Resource,$F50,'Critical resources (hide)'!AQ$6:AQ$105)&gt;0,$E$1=2),0,1)</f>
        <v>1</v>
      </c>
      <c r="AE50" s="68">
        <f ca="1">IF(AND(SUMIF(Capacity_Resource,$D50,'Critical resources (hide)'!AR$6:AR$105)+SUMIF(Capacity_Resource,$E50,'Critical resources (hide)'!AR$6:AR$105)+SUMIF(Capacity_Resource,$F50,'Critical resources (hide)'!AR$6:AR$105)&gt;0,$E$1=2),0,1)</f>
        <v>1</v>
      </c>
      <c r="AF50" s="68">
        <f ca="1">IF(AND(SUMIF(Capacity_Resource,$D50,'Critical resources (hide)'!AS$6:AS$105)+SUMIF(Capacity_Resource,$E50,'Critical resources (hide)'!AS$6:AS$105)+SUMIF(Capacity_Resource,$F50,'Critical resources (hide)'!AS$6:AS$105)&gt;0,$E$1=2),0,1)</f>
        <v>1</v>
      </c>
      <c r="AG50" s="68">
        <f ca="1">IF(AND(SUMIF(Capacity_Resource,$D50,'Critical resources (hide)'!AT$6:AT$105)+SUMIF(Capacity_Resource,$E50,'Critical resources (hide)'!AT$6:AT$105)+SUMIF(Capacity_Resource,$F50,'Critical resources (hide)'!AT$6:AT$105)&gt;0,$E$1=2),0,1)</f>
        <v>1</v>
      </c>
      <c r="AH50" s="68">
        <f ca="1">IF(AND(SUMIF(Capacity_Resource,$D50,'Critical resources (hide)'!AU$6:AU$105)+SUMIF(Capacity_Resource,$E50,'Critical resources (hide)'!AU$6:AU$105)+SUMIF(Capacity_Resource,$F50,'Critical resources (hide)'!AU$6:AU$105)&gt;0,$E$1=2),0,1)</f>
        <v>1</v>
      </c>
      <c r="AI50" s="68">
        <f ca="1">IF(AND(SUMIF(Capacity_Resource,$D50,'Critical resources (hide)'!AV$6:AV$105)+SUMIF(Capacity_Resource,$E50,'Critical resources (hide)'!AV$6:AV$105)+SUMIF(Capacity_Resource,$F50,'Critical resources (hide)'!AV$6:AV$105)&gt;0,$E$1=2),0,1)</f>
        <v>1</v>
      </c>
      <c r="AJ50" s="68">
        <f ca="1">IF(AND(SUMIF(Capacity_Resource,$D50,'Critical resources (hide)'!AW$6:AW$105)+SUMIF(Capacity_Resource,$E50,'Critical resources (hide)'!AW$6:AW$105)+SUMIF(Capacity_Resource,$F50,'Critical resources (hide)'!AW$6:AW$105)&gt;0,$E$1=2),0,1)</f>
        <v>1</v>
      </c>
      <c r="AK50" s="68">
        <f ca="1">IF(AND(SUMIF(Capacity_Resource,$D50,'Critical resources (hide)'!AX$6:AX$105)+SUMIF(Capacity_Resource,$E50,'Critical resources (hide)'!AX$6:AX$105)+SUMIF(Capacity_Resource,$F50,'Critical resources (hide)'!AX$6:AX$105)&gt;0,$E$1=2),0,1)</f>
        <v>1</v>
      </c>
      <c r="AL50" s="68">
        <f ca="1">IF(AND(SUMIF(Capacity_Resource,$D50,'Critical resources (hide)'!AY$6:AY$105)+SUMIF(Capacity_Resource,$E50,'Critical resources (hide)'!AY$6:AY$105)+SUMIF(Capacity_Resource,$F50,'Critical resources (hide)'!AY$6:AY$105)&gt;0,$E$1=2),0,1)</f>
        <v>1</v>
      </c>
      <c r="AM50" s="68">
        <f ca="1">IF(AND(SUMIF(Capacity_Resource,$D50,'Critical resources (hide)'!AZ$6:AZ$105)+SUMIF(Capacity_Resource,$E50,'Critical resources (hide)'!AZ$6:AZ$105)+SUMIF(Capacity_Resource,$F50,'Critical resources (hide)'!AZ$6:AZ$105)&gt;0,$E$1=2),0,1)</f>
        <v>1</v>
      </c>
      <c r="AN50" s="68">
        <f ca="1">IF(AND(SUMIF(Capacity_Resource,$D50,'Critical resources (hide)'!BA$6:BA$105)+SUMIF(Capacity_Resource,$E50,'Critical resources (hide)'!BA$6:BA$105)+SUMIF(Capacity_Resource,$F50,'Critical resources (hide)'!BA$6:BA$105)&gt;0,$E$1=2),0,1)</f>
        <v>1</v>
      </c>
      <c r="AO50" s="68">
        <f ca="1">IF(AND(SUMIF(Capacity_Resource,$D50,'Critical resources (hide)'!BB$6:BB$105)+SUMIF(Capacity_Resource,$E50,'Critical resources (hide)'!BB$6:BB$105)+SUMIF(Capacity_Resource,$F50,'Critical resources (hide)'!BB$6:BB$105)&gt;0,$E$1=2),0,1)</f>
        <v>1</v>
      </c>
      <c r="AP50" s="68">
        <f ca="1">IF(AND(SUMIF(Capacity_Resource,$D50,'Critical resources (hide)'!BC$6:BC$105)+SUMIF(Capacity_Resource,$E50,'Critical resources (hide)'!BC$6:BC$105)+SUMIF(Capacity_Resource,$F50,'Critical resources (hide)'!BC$6:BC$105)&gt;0,$E$1=2),0,1)</f>
        <v>1</v>
      </c>
      <c r="AQ50" s="68">
        <f ca="1">IF(AND(SUMIF(Capacity_Resource,$D50,'Critical resources (hide)'!BD$6:BD$105)+SUMIF(Capacity_Resource,$E50,'Critical resources (hide)'!BD$6:BD$105)+SUMIF(Capacity_Resource,$F50,'Critical resources (hide)'!BD$6:BD$105)&gt;0,$E$1=2),0,1)</f>
        <v>1</v>
      </c>
      <c r="AR50" s="68">
        <f ca="1">IF(AND(SUMIF(Capacity_Resource,$D50,'Critical resources (hide)'!BE$6:BE$105)+SUMIF(Capacity_Resource,$E50,'Critical resources (hide)'!BE$6:BE$105)+SUMIF(Capacity_Resource,$F50,'Critical resources (hide)'!BE$6:BE$105)&gt;0,$E$1=2),0,1)</f>
        <v>1</v>
      </c>
      <c r="AS50" s="68">
        <f ca="1">IF(AND(SUMIF(Capacity_Resource,$D50,'Critical resources (hide)'!BF$6:BF$105)+SUMIF(Capacity_Resource,$E50,'Critical resources (hide)'!BF$6:BF$105)+SUMIF(Capacity_Resource,$F50,'Critical resources (hide)'!BF$6:BF$105)&gt;0,$E$1=2),0,1)</f>
        <v>1</v>
      </c>
      <c r="AT50" s="68">
        <f ca="1">IF(AND(SUMIF(Capacity_Resource,$D50,'Critical resources (hide)'!BG$6:BG$105)+SUMIF(Capacity_Resource,$E50,'Critical resources (hide)'!BG$6:BG$105)+SUMIF(Capacity_Resource,$F50,'Critical resources (hide)'!BG$6:BG$105)&gt;0,$E$1=2),0,1)</f>
        <v>1</v>
      </c>
      <c r="AU50" s="68">
        <f ca="1">IF(AND(SUMIF(Capacity_Resource,$D50,'Critical resources (hide)'!BH$6:BH$105)+SUMIF(Capacity_Resource,$E50,'Critical resources (hide)'!BH$6:BH$105)+SUMIF(Capacity_Resource,$F50,'Critical resources (hide)'!BH$6:BH$105)&gt;0,$E$1=2),0,1)</f>
        <v>1</v>
      </c>
      <c r="AV50" s="68">
        <f ca="1">IF(AND(SUMIF(Capacity_Resource,$D50,'Critical resources (hide)'!BI$6:BI$105)+SUMIF(Capacity_Resource,$E50,'Critical resources (hide)'!BI$6:BI$105)+SUMIF(Capacity_Resource,$F50,'Critical resources (hide)'!BI$6:BI$105)&gt;0,$E$1=2),0,1)</f>
        <v>1</v>
      </c>
      <c r="AW50" s="68">
        <f ca="1">IF(AND(SUMIF(Capacity_Resource,$D50,'Critical resources (hide)'!BJ$6:BJ$105)+SUMIF(Capacity_Resource,$E50,'Critical resources (hide)'!BJ$6:BJ$105)+SUMIF(Capacity_Resource,$F50,'Critical resources (hide)'!BJ$6:BJ$105)&gt;0,$E$1=2),0,1)</f>
        <v>1</v>
      </c>
      <c r="AX50" s="68">
        <f ca="1">IF(AND(SUMIF(Capacity_Resource,$D50,'Critical resources (hide)'!BK$6:BK$105)+SUMIF(Capacity_Resource,$E50,'Critical resources (hide)'!BK$6:BK$105)+SUMIF(Capacity_Resource,$F50,'Critical resources (hide)'!BK$6:BK$105)&gt;0,$E$1=2),0,1)</f>
        <v>1</v>
      </c>
      <c r="AY50" s="68">
        <f ca="1">IF(AND(SUMIF(Capacity_Resource,$D50,'Critical resources (hide)'!BL$6:BL$105)+SUMIF(Capacity_Resource,$E50,'Critical resources (hide)'!BL$6:BL$105)+SUMIF(Capacity_Resource,$F50,'Critical resources (hide)'!BL$6:BL$105)&gt;0,$E$1=2),0,1)</f>
        <v>1</v>
      </c>
      <c r="AZ50" s="68">
        <f ca="1">IF(AND(SUMIF(Capacity_Resource,$D50,'Critical resources (hide)'!BM$6:BM$105)+SUMIF(Capacity_Resource,$E50,'Critical resources (hide)'!BM$6:BM$105)+SUMIF(Capacity_Resource,$F50,'Critical resources (hide)'!BM$6:BM$105)&gt;0,$E$1=2),0,1)</f>
        <v>1</v>
      </c>
      <c r="BA50" s="68">
        <f ca="1">IF(AND(SUMIF(Capacity_Resource,$D50,'Critical resources (hide)'!BN$6:BN$105)+SUMIF(Capacity_Resource,$E50,'Critical resources (hide)'!BN$6:BN$105)+SUMIF(Capacity_Resource,$F50,'Critical resources (hide)'!BN$6:BN$105)&gt;0,$E$1=2),0,1)</f>
        <v>1</v>
      </c>
      <c r="BB50" s="68">
        <f ca="1">IF(AND(SUMIF(Capacity_Resource,$D50,'Critical resources (hide)'!BO$6:BO$105)+SUMIF(Capacity_Resource,$E50,'Critical resources (hide)'!BO$6:BO$105)+SUMIF(Capacity_Resource,$F50,'Critical resources (hide)'!BO$6:BO$105)&gt;0,$E$1=2),0,1)</f>
        <v>1</v>
      </c>
      <c r="BC50" s="68">
        <f ca="1">IF(AND(SUMIF(Capacity_Resource,$D50,'Critical resources (hide)'!BP$6:BP$105)+SUMIF(Capacity_Resource,$E50,'Critical resources (hide)'!BP$6:BP$105)+SUMIF(Capacity_Resource,$F50,'Critical resources (hide)'!BP$6:BP$105)&gt;0,$E$1=2),0,1)</f>
        <v>1</v>
      </c>
      <c r="BD50" s="68">
        <f ca="1">IF(AND(SUMIF(Capacity_Resource,$D50,'Critical resources (hide)'!BQ$6:BQ$105)+SUMIF(Capacity_Resource,$E50,'Critical resources (hide)'!BQ$6:BQ$105)+SUMIF(Capacity_Resource,$F50,'Critical resources (hide)'!BQ$6:BQ$105)&gt;0,$E$1=2),0,1)</f>
        <v>1</v>
      </c>
      <c r="BE50" s="68">
        <f ca="1">IF(AND(SUMIF(Capacity_Resource,$D50,'Critical resources (hide)'!BR$6:BR$105)+SUMIF(Capacity_Resource,$E50,'Critical resources (hide)'!BR$6:BR$105)+SUMIF(Capacity_Resource,$F50,'Critical resources (hide)'!BR$6:BR$105)&gt;0,$E$1=2),0,1)</f>
        <v>1</v>
      </c>
      <c r="BF50" s="68">
        <f ca="1">IF(AND(SUMIF(Capacity_Resource,$D50,'Critical resources (hide)'!BS$6:BS$105)+SUMIF(Capacity_Resource,$E50,'Critical resources (hide)'!BS$6:BS$105)+SUMIF(Capacity_Resource,$F50,'Critical resources (hide)'!BS$6:BS$105)&gt;0,$E$1=2),0,1)</f>
        <v>1</v>
      </c>
      <c r="BG50" s="68">
        <f ca="1">IF(AND(SUMIF(Capacity_Resource,$D50,'Critical resources (hide)'!BT$6:BT$105)+SUMIF(Capacity_Resource,$E50,'Critical resources (hide)'!BT$6:BT$105)+SUMIF(Capacity_Resource,$F50,'Critical resources (hide)'!BT$6:BT$105)&gt;0,$E$1=2),0,1)</f>
        <v>1</v>
      </c>
      <c r="BH50" s="68">
        <f>IF(ROW(C46)&lt;=Capacity!$A$16,IF('Capacity summary'!$D$14="No",SUM(H50:BG50),'Capacity summary'!$E169),0)</f>
        <v>0</v>
      </c>
      <c r="BI50" s="5" t="str">
        <f>IF(BH50&gt;0,IF(BH50&lt;Capacity!E62,Capacity!F62,Capacity!H62/'Capacity calculation (hide)'!BH50),"")</f>
        <v/>
      </c>
      <c r="BK50" s="319">
        <f>IF($BI50&lt;&gt;"",IF('Capacity summary'!$D$14="Yes",IF(COUNTBLANK('Capacity summary'!$H169:$BG169)&lt;52,IF('Capacity summary'!H169&lt;&gt;"",$BI50*H50,0),H50*$BI50),H50*$BI50),0)</f>
        <v>0</v>
      </c>
      <c r="BL50" s="319">
        <f>IF($BI50&lt;&gt;"",IF('Capacity summary'!$D$14="Yes",IF(COUNTBLANK('Capacity summary'!$H169:$BG169)&lt;52,IF('Capacity summary'!I169&lt;&gt;"",$BI50*I50,0),I50*$BI50),I50*$BI50),0)</f>
        <v>0</v>
      </c>
      <c r="BM50" s="319">
        <f>IF($BI50&lt;&gt;"",IF('Capacity summary'!$D$14="Yes",IF(COUNTBLANK('Capacity summary'!$H169:$BG169)&lt;52,IF('Capacity summary'!J169&lt;&gt;"",$BI50*J50,0),J50*$BI50),J50*$BI50),0)</f>
        <v>0</v>
      </c>
      <c r="BN50" s="319">
        <f>IF($BI50&lt;&gt;"",IF('Capacity summary'!$D$14="Yes",IF(COUNTBLANK('Capacity summary'!$H169:$BG169)&lt;52,IF('Capacity summary'!K169&lt;&gt;"",$BI50*K50,0),K50*$BI50),K50*$BI50),0)</f>
        <v>0</v>
      </c>
      <c r="BO50" s="319">
        <f>IF($BI50&lt;&gt;"",IF('Capacity summary'!$D$14="Yes",IF(COUNTBLANK('Capacity summary'!$H169:$BG169)&lt;52,IF('Capacity summary'!L169&lt;&gt;"",$BI50*L50,0),L50*$BI50),L50*$BI50),0)</f>
        <v>0</v>
      </c>
      <c r="BP50" s="319">
        <f>IF($BI50&lt;&gt;"",IF('Capacity summary'!$D$14="Yes",IF(COUNTBLANK('Capacity summary'!$H169:$BG169)&lt;52,IF('Capacity summary'!M169&lt;&gt;"",$BI50*M50,0),M50*$BI50),M50*$BI50),0)</f>
        <v>0</v>
      </c>
      <c r="BQ50" s="319">
        <f>IF($BI50&lt;&gt;"",IF('Capacity summary'!$D$14="Yes",IF(COUNTBLANK('Capacity summary'!$H169:$BG169)&lt;52,IF('Capacity summary'!N169&lt;&gt;"",$BI50*N50,0),N50*$BI50),N50*$BI50),0)</f>
        <v>0</v>
      </c>
      <c r="BR50" s="319">
        <f>IF($BI50&lt;&gt;"",IF('Capacity summary'!$D$14="Yes",IF(COUNTBLANK('Capacity summary'!$H169:$BG169)&lt;52,IF('Capacity summary'!O169&lt;&gt;"",$BI50*O50,0),O50*$BI50),O50*$BI50),0)</f>
        <v>0</v>
      </c>
      <c r="BS50" s="319">
        <f>IF($BI50&lt;&gt;"",IF('Capacity summary'!$D$14="Yes",IF(COUNTBLANK('Capacity summary'!$H169:$BG169)&lt;52,IF('Capacity summary'!P169&lt;&gt;"",$BI50*P50,0),P50*$BI50),P50*$BI50),0)</f>
        <v>0</v>
      </c>
      <c r="BT50" s="319">
        <f>IF($BI50&lt;&gt;"",IF('Capacity summary'!$D$14="Yes",IF(COUNTBLANK('Capacity summary'!$H169:$BG169)&lt;52,IF('Capacity summary'!Q169&lt;&gt;"",$BI50*Q50,0),Q50*$BI50),Q50*$BI50),0)</f>
        <v>0</v>
      </c>
      <c r="BU50" s="319">
        <f>IF($BI50&lt;&gt;"",IF('Capacity summary'!$D$14="Yes",IF(COUNTBLANK('Capacity summary'!$H169:$BG169)&lt;52,IF('Capacity summary'!R169&lt;&gt;"",$BI50*R50,0),R50*$BI50),R50*$BI50),0)</f>
        <v>0</v>
      </c>
      <c r="BV50" s="319">
        <f>IF($BI50&lt;&gt;"",IF('Capacity summary'!$D$14="Yes",IF(COUNTBLANK('Capacity summary'!$H169:$BG169)&lt;52,IF('Capacity summary'!S169&lt;&gt;"",$BI50*S50,0),S50*$BI50),S50*$BI50),0)</f>
        <v>0</v>
      </c>
      <c r="BW50" s="319">
        <f>IF($BI50&lt;&gt;"",IF('Capacity summary'!$D$14="Yes",IF(COUNTBLANK('Capacity summary'!$H169:$BG169)&lt;52,IF('Capacity summary'!T169&lt;&gt;"",$BI50*T50,0),T50*$BI50),T50*$BI50),0)</f>
        <v>0</v>
      </c>
      <c r="BX50" s="319">
        <f>IF($BI50&lt;&gt;"",IF('Capacity summary'!$D$14="Yes",IF(COUNTBLANK('Capacity summary'!$H169:$BG169)&lt;52,IF('Capacity summary'!U169&lt;&gt;"",$BI50*U50,0),U50*$BI50),U50*$BI50),0)</f>
        <v>0</v>
      </c>
      <c r="BY50" s="319">
        <f>IF($BI50&lt;&gt;"",IF('Capacity summary'!$D$14="Yes",IF(COUNTBLANK('Capacity summary'!$H169:$BG169)&lt;52,IF('Capacity summary'!V169&lt;&gt;"",$BI50*V50,0),V50*$BI50),V50*$BI50),0)</f>
        <v>0</v>
      </c>
      <c r="BZ50" s="319">
        <f>IF($BI50&lt;&gt;"",IF('Capacity summary'!$D$14="Yes",IF(COUNTBLANK('Capacity summary'!$H169:$BG169)&lt;52,IF('Capacity summary'!W169&lt;&gt;"",$BI50*W50,0),W50*$BI50),W50*$BI50),0)</f>
        <v>0</v>
      </c>
      <c r="CA50" s="319">
        <f>IF($BI50&lt;&gt;"",IF('Capacity summary'!$D$14="Yes",IF(COUNTBLANK('Capacity summary'!$H169:$BG169)&lt;52,IF('Capacity summary'!X169&lt;&gt;"",$BI50*X50,0),X50*$BI50),X50*$BI50),0)</f>
        <v>0</v>
      </c>
      <c r="CB50" s="319">
        <f>IF($BI50&lt;&gt;"",IF('Capacity summary'!$D$14="Yes",IF(COUNTBLANK('Capacity summary'!$H169:$BG169)&lt;52,IF('Capacity summary'!Y169&lt;&gt;"",$BI50*Y50,0),Y50*$BI50),Y50*$BI50),0)</f>
        <v>0</v>
      </c>
      <c r="CC50" s="319">
        <f>IF($BI50&lt;&gt;"",IF('Capacity summary'!$D$14="Yes",IF(COUNTBLANK('Capacity summary'!$H169:$BG169)&lt;52,IF('Capacity summary'!Z169&lt;&gt;"",$BI50*Z50,0),Z50*$BI50),Z50*$BI50),0)</f>
        <v>0</v>
      </c>
      <c r="CD50" s="319">
        <f>IF($BI50&lt;&gt;"",IF('Capacity summary'!$D$14="Yes",IF(COUNTBLANK('Capacity summary'!$H169:$BG169)&lt;52,IF('Capacity summary'!AA169&lt;&gt;"",$BI50*AA50,0),AA50*$BI50),AA50*$BI50),0)</f>
        <v>0</v>
      </c>
      <c r="CE50" s="319">
        <f>IF($BI50&lt;&gt;"",IF('Capacity summary'!$D$14="Yes",IF(COUNTBLANK('Capacity summary'!$H169:$BG169)&lt;52,IF('Capacity summary'!AB169&lt;&gt;"",$BI50*AB50,0),AB50*$BI50),AB50*$BI50),0)</f>
        <v>0</v>
      </c>
      <c r="CF50" s="319">
        <f>IF($BI50&lt;&gt;"",IF('Capacity summary'!$D$14="Yes",IF(COUNTBLANK('Capacity summary'!$H169:$BG169)&lt;52,IF('Capacity summary'!AC169&lt;&gt;"",$BI50*AC50,0),AC50*$BI50),AC50*$BI50),0)</f>
        <v>0</v>
      </c>
      <c r="CG50" s="319">
        <f>IF($BI50&lt;&gt;"",IF('Capacity summary'!$D$14="Yes",IF(COUNTBLANK('Capacity summary'!$H169:$BG169)&lt;52,IF('Capacity summary'!AD169&lt;&gt;"",$BI50*AD50,0),AD50*$BI50),AD50*$BI50),0)</f>
        <v>0</v>
      </c>
      <c r="CH50" s="319">
        <f>IF($BI50&lt;&gt;"",IF('Capacity summary'!$D$14="Yes",IF(COUNTBLANK('Capacity summary'!$H169:$BG169)&lt;52,IF('Capacity summary'!AE169&lt;&gt;"",$BI50*AE50,0),AE50*$BI50),AE50*$BI50),0)</f>
        <v>0</v>
      </c>
      <c r="CI50" s="319">
        <f>IF($BI50&lt;&gt;"",IF('Capacity summary'!$D$14="Yes",IF(COUNTBLANK('Capacity summary'!$H169:$BG169)&lt;52,IF('Capacity summary'!AF169&lt;&gt;"",$BI50*AF50,0),AF50*$BI50),AF50*$BI50),0)</f>
        <v>0</v>
      </c>
      <c r="CJ50" s="319">
        <f>IF($BI50&lt;&gt;"",IF('Capacity summary'!$D$14="Yes",IF(COUNTBLANK('Capacity summary'!$H169:$BG169)&lt;52,IF('Capacity summary'!AG169&lt;&gt;"",$BI50*AG50,0),AG50*$BI50),AG50*$BI50),0)</f>
        <v>0</v>
      </c>
      <c r="CK50" s="319">
        <f>IF($BI50&lt;&gt;"",IF('Capacity summary'!$D$14="Yes",IF(COUNTBLANK('Capacity summary'!$H169:$BG169)&lt;52,IF('Capacity summary'!AH169&lt;&gt;"",$BI50*AH50,0),AH50*$BI50),AH50*$BI50),0)</f>
        <v>0</v>
      </c>
      <c r="CL50" s="319">
        <f>IF($BI50&lt;&gt;"",IF('Capacity summary'!$D$14="Yes",IF(COUNTBLANK('Capacity summary'!$H169:$BG169)&lt;52,IF('Capacity summary'!AI169&lt;&gt;"",$BI50*AI50,0),AI50*$BI50),AI50*$BI50),0)</f>
        <v>0</v>
      </c>
      <c r="CM50" s="319">
        <f>IF($BI50&lt;&gt;"",IF('Capacity summary'!$D$14="Yes",IF(COUNTBLANK('Capacity summary'!$H169:$BG169)&lt;52,IF('Capacity summary'!AJ169&lt;&gt;"",$BI50*AJ50,0),AJ50*$BI50),AJ50*$BI50),0)</f>
        <v>0</v>
      </c>
      <c r="CN50" s="319">
        <f>IF($BI50&lt;&gt;"",IF('Capacity summary'!$D$14="Yes",IF(COUNTBLANK('Capacity summary'!$H169:$BG169)&lt;52,IF('Capacity summary'!AK169&lt;&gt;"",$BI50*AK50,0),AK50*$BI50),AK50*$BI50),0)</f>
        <v>0</v>
      </c>
      <c r="CO50" s="319">
        <f>IF($BI50&lt;&gt;"",IF('Capacity summary'!$D$14="Yes",IF(COUNTBLANK('Capacity summary'!$H169:$BG169)&lt;52,IF('Capacity summary'!AL169&lt;&gt;"",$BI50*AL50,0),AL50*$BI50),AL50*$BI50),0)</f>
        <v>0</v>
      </c>
      <c r="CP50" s="319">
        <f>IF($BI50&lt;&gt;"",IF('Capacity summary'!$D$14="Yes",IF(COUNTBLANK('Capacity summary'!$H169:$BG169)&lt;52,IF('Capacity summary'!AM169&lt;&gt;"",$BI50*AM50,0),AM50*$BI50),AM50*$BI50),0)</f>
        <v>0</v>
      </c>
      <c r="CQ50" s="319">
        <f>IF($BI50&lt;&gt;"",IF('Capacity summary'!$D$14="Yes",IF(COUNTBLANK('Capacity summary'!$H169:$BG169)&lt;52,IF('Capacity summary'!AN169&lt;&gt;"",$BI50*AN50,0),AN50*$BI50),AN50*$BI50),0)</f>
        <v>0</v>
      </c>
      <c r="CR50" s="319">
        <f>IF($BI50&lt;&gt;"",IF('Capacity summary'!$D$14="Yes",IF(COUNTBLANK('Capacity summary'!$H169:$BG169)&lt;52,IF('Capacity summary'!AO169&lt;&gt;"",$BI50*AO50,0),AO50*$BI50),AO50*$BI50),0)</f>
        <v>0</v>
      </c>
      <c r="CS50" s="319">
        <f>IF($BI50&lt;&gt;"",IF('Capacity summary'!$D$14="Yes",IF(COUNTBLANK('Capacity summary'!$H169:$BG169)&lt;52,IF('Capacity summary'!AP169&lt;&gt;"",$BI50*AP50,0),AP50*$BI50),AP50*$BI50),0)</f>
        <v>0</v>
      </c>
      <c r="CT50" s="319">
        <f>IF($BI50&lt;&gt;"",IF('Capacity summary'!$D$14="Yes",IF(COUNTBLANK('Capacity summary'!$H169:$BG169)&lt;52,IF('Capacity summary'!AQ169&lt;&gt;"",$BI50*AQ50,0),AQ50*$BI50),AQ50*$BI50),0)</f>
        <v>0</v>
      </c>
      <c r="CU50" s="319">
        <f>IF($BI50&lt;&gt;"",IF('Capacity summary'!$D$14="Yes",IF(COUNTBLANK('Capacity summary'!$H169:$BG169)&lt;52,IF('Capacity summary'!AR169&lt;&gt;"",$BI50*AR50,0),AR50*$BI50),AR50*$BI50),0)</f>
        <v>0</v>
      </c>
      <c r="CV50" s="319">
        <f>IF($BI50&lt;&gt;"",IF('Capacity summary'!$D$14="Yes",IF(COUNTBLANK('Capacity summary'!$H169:$BG169)&lt;52,IF('Capacity summary'!AS169&lt;&gt;"",$BI50*AS50,0),AS50*$BI50),AS50*$BI50),0)</f>
        <v>0</v>
      </c>
      <c r="CW50" s="319">
        <f>IF($BI50&lt;&gt;"",IF('Capacity summary'!$D$14="Yes",IF(COUNTBLANK('Capacity summary'!$H169:$BG169)&lt;52,IF('Capacity summary'!AT169&lt;&gt;"",$BI50*AT50,0),AT50*$BI50),AT50*$BI50),0)</f>
        <v>0</v>
      </c>
      <c r="CX50" s="319">
        <f>IF($BI50&lt;&gt;"",IF('Capacity summary'!$D$14="Yes",IF(COUNTBLANK('Capacity summary'!$H169:$BG169)&lt;52,IF('Capacity summary'!AU169&lt;&gt;"",$BI50*AU50,0),AU50*$BI50),AU50*$BI50),0)</f>
        <v>0</v>
      </c>
      <c r="CY50" s="319">
        <f>IF($BI50&lt;&gt;"",IF('Capacity summary'!$D$14="Yes",IF(COUNTBLANK('Capacity summary'!$H169:$BG169)&lt;52,IF('Capacity summary'!AV169&lt;&gt;"",$BI50*AV50,0),AV50*$BI50),AV50*$BI50),0)</f>
        <v>0</v>
      </c>
      <c r="CZ50" s="319">
        <f>IF($BI50&lt;&gt;"",IF('Capacity summary'!$D$14="Yes",IF(COUNTBLANK('Capacity summary'!$H169:$BG169)&lt;52,IF('Capacity summary'!AW169&lt;&gt;"",$BI50*AW50,0),AW50*$BI50),AW50*$BI50),0)</f>
        <v>0</v>
      </c>
      <c r="DA50" s="319">
        <f>IF($BI50&lt;&gt;"",IF('Capacity summary'!$D$14="Yes",IF(COUNTBLANK('Capacity summary'!$H169:$BG169)&lt;52,IF('Capacity summary'!AX169&lt;&gt;"",$BI50*AX50,0),AX50*$BI50),AX50*$BI50),0)</f>
        <v>0</v>
      </c>
      <c r="DB50" s="319">
        <f>IF($BI50&lt;&gt;"",IF('Capacity summary'!$D$14="Yes",IF(COUNTBLANK('Capacity summary'!$H169:$BG169)&lt;52,IF('Capacity summary'!AY169&lt;&gt;"",$BI50*AY50,0),AY50*$BI50),AY50*$BI50),0)</f>
        <v>0</v>
      </c>
      <c r="DC50" s="319">
        <f>IF($BI50&lt;&gt;"",IF('Capacity summary'!$D$14="Yes",IF(COUNTBLANK('Capacity summary'!$H169:$BG169)&lt;52,IF('Capacity summary'!AZ169&lt;&gt;"",$BI50*AZ50,0),AZ50*$BI50),AZ50*$BI50),0)</f>
        <v>0</v>
      </c>
      <c r="DD50" s="319">
        <f>IF($BI50&lt;&gt;"",IF('Capacity summary'!$D$14="Yes",IF(COUNTBLANK('Capacity summary'!$H169:$BG169)&lt;52,IF('Capacity summary'!BA169&lt;&gt;"",$BI50*BA50,0),BA50*$BI50),BA50*$BI50),0)</f>
        <v>0</v>
      </c>
      <c r="DE50" s="319">
        <f>IF($BI50&lt;&gt;"",IF('Capacity summary'!$D$14="Yes",IF(COUNTBLANK('Capacity summary'!$H169:$BG169)&lt;52,IF('Capacity summary'!BB169&lt;&gt;"",$BI50*BB50,0),BB50*$BI50),BB50*$BI50),0)</f>
        <v>0</v>
      </c>
      <c r="DF50" s="319">
        <f>IF($BI50&lt;&gt;"",IF('Capacity summary'!$D$14="Yes",IF(COUNTBLANK('Capacity summary'!$H169:$BG169)&lt;52,IF('Capacity summary'!BC169&lt;&gt;"",$BI50*BC50,0),BC50*$BI50),BC50*$BI50),0)</f>
        <v>0</v>
      </c>
      <c r="DG50" s="319">
        <f>IF($BI50&lt;&gt;"",IF('Capacity summary'!$D$14="Yes",IF(COUNTBLANK('Capacity summary'!$H169:$BG169)&lt;52,IF('Capacity summary'!BD169&lt;&gt;"",$BI50*BD50,0),BD50*$BI50),BD50*$BI50),0)</f>
        <v>0</v>
      </c>
      <c r="DH50" s="319">
        <f>IF($BI50&lt;&gt;"",IF('Capacity summary'!$D$14="Yes",IF(COUNTBLANK('Capacity summary'!$H169:$BG169)&lt;52,IF('Capacity summary'!BE169&lt;&gt;"",$BI50*BE50,0),BE50*$BI50),BE50*$BI50),0)</f>
        <v>0</v>
      </c>
      <c r="DI50" s="319">
        <f>IF($BI50&lt;&gt;"",IF('Capacity summary'!$D$14="Yes",IF(COUNTBLANK('Capacity summary'!$H169:$BG169)&lt;52,IF('Capacity summary'!BF169&lt;&gt;"",$BI50*BF50,0),BF50*$BI50),BF50*$BI50),0)</f>
        <v>0</v>
      </c>
      <c r="DJ50" s="319">
        <f>IF($BI50&lt;&gt;"",IF('Capacity summary'!$D$14="Yes",IF(COUNTBLANK('Capacity summary'!$H169:$BG169)&lt;52,IF('Capacity summary'!BG169&lt;&gt;"",$BI50*BG50,0),BG50*$BI50),BG50*$BI50),0)</f>
        <v>0</v>
      </c>
      <c r="DK50" s="5">
        <f t="shared" si="2"/>
        <v>0</v>
      </c>
      <c r="DL50" s="5" t="str">
        <f>Capacity!H62</f>
        <v/>
      </c>
      <c r="DP50" s="5"/>
    </row>
    <row r="51" spans="2:120" x14ac:dyDescent="0.2">
      <c r="B51" s="68"/>
      <c r="C51" s="68" t="str">
        <f>ROW(A47)&amp;". "&amp;Capacity!B63</f>
        <v xml:space="preserve">47. </v>
      </c>
      <c r="D51" s="68">
        <f>'Capacity setup'!C58</f>
        <v>0</v>
      </c>
      <c r="E51" s="68">
        <f>'Capacity setup'!D58</f>
        <v>0</v>
      </c>
      <c r="F51" s="68">
        <f>'Capacity setup'!E58</f>
        <v>0</v>
      </c>
      <c r="H51" s="68">
        <f ca="1">IF(AND(SUMIF(Capacity_Resource,$D51,'Critical resources (hide)'!U$6:U$105)+SUMIF(Capacity_Resource,$E51,'Critical resources (hide)'!U$6:U$105)+SUMIF(Capacity_Resource,$F51,'Critical resources (hide)'!U$6:U$105)&gt;0,$E$1=2),0,1)</f>
        <v>1</v>
      </c>
      <c r="I51" s="68">
        <f ca="1">IF(AND(SUMIF(Capacity_Resource,$D51,'Critical resources (hide)'!V$6:V$105)+SUMIF(Capacity_Resource,$E51,'Critical resources (hide)'!V$6:V$105)+SUMIF(Capacity_Resource,$F51,'Critical resources (hide)'!V$6:V$105)&gt;0,$E$1=2),0,1)</f>
        <v>1</v>
      </c>
      <c r="J51" s="68">
        <f ca="1">IF(AND(SUMIF(Capacity_Resource,$D51,'Critical resources (hide)'!W$6:W$105)+SUMIF(Capacity_Resource,$E51,'Critical resources (hide)'!W$6:W$105)+SUMIF(Capacity_Resource,$F51,'Critical resources (hide)'!W$6:W$105)&gt;0,$E$1=2),0,1)</f>
        <v>1</v>
      </c>
      <c r="K51" s="68">
        <f ca="1">IF(AND(SUMIF(Capacity_Resource,$D51,'Critical resources (hide)'!X$6:X$105)+SUMIF(Capacity_Resource,$E51,'Critical resources (hide)'!X$6:X$105)+SUMIF(Capacity_Resource,$F51,'Critical resources (hide)'!X$6:X$105)&gt;0,$E$1=2),0,1)</f>
        <v>1</v>
      </c>
      <c r="L51" s="68">
        <f ca="1">IF(AND(SUMIF(Capacity_Resource,$D51,'Critical resources (hide)'!Y$6:Y$105)+SUMIF(Capacity_Resource,$E51,'Critical resources (hide)'!Y$6:Y$105)+SUMIF(Capacity_Resource,$F51,'Critical resources (hide)'!Y$6:Y$105)&gt;0,$E$1=2),0,1)</f>
        <v>1</v>
      </c>
      <c r="M51" s="68">
        <f ca="1">IF(AND(SUMIF(Capacity_Resource,$D51,'Critical resources (hide)'!Z$6:Z$105)+SUMIF(Capacity_Resource,$E51,'Critical resources (hide)'!Z$6:Z$105)+SUMIF(Capacity_Resource,$F51,'Critical resources (hide)'!Z$6:Z$105)&gt;0,$E$1=2),0,1)</f>
        <v>1</v>
      </c>
      <c r="N51" s="68">
        <f ca="1">IF(AND(SUMIF(Capacity_Resource,$D51,'Critical resources (hide)'!AA$6:AA$105)+SUMIF(Capacity_Resource,$E51,'Critical resources (hide)'!AA$6:AA$105)+SUMIF(Capacity_Resource,$F51,'Critical resources (hide)'!AA$6:AA$105)&gt;0,$E$1=2),0,1)</f>
        <v>1</v>
      </c>
      <c r="O51" s="68">
        <f ca="1">IF(AND(SUMIF(Capacity_Resource,$D51,'Critical resources (hide)'!AB$6:AB$105)+SUMIF(Capacity_Resource,$E51,'Critical resources (hide)'!AB$6:AB$105)+SUMIF(Capacity_Resource,$F51,'Critical resources (hide)'!AB$6:AB$105)&gt;0,$E$1=2),0,1)</f>
        <v>1</v>
      </c>
      <c r="P51" s="68">
        <f ca="1">IF(AND(SUMIF(Capacity_Resource,$D51,'Critical resources (hide)'!AC$6:AC$105)+SUMIF(Capacity_Resource,$E51,'Critical resources (hide)'!AC$6:AC$105)+SUMIF(Capacity_Resource,$F51,'Critical resources (hide)'!AC$6:AC$105)&gt;0,$E$1=2),0,1)</f>
        <v>1</v>
      </c>
      <c r="Q51" s="68">
        <f ca="1">IF(AND(SUMIF(Capacity_Resource,$D51,'Critical resources (hide)'!AD$6:AD$105)+SUMIF(Capacity_Resource,$E51,'Critical resources (hide)'!AD$6:AD$105)+SUMIF(Capacity_Resource,$F51,'Critical resources (hide)'!AD$6:AD$105)&gt;0,$E$1=2),0,1)</f>
        <v>1</v>
      </c>
      <c r="R51" s="68">
        <f ca="1">IF(AND(SUMIF(Capacity_Resource,$D51,'Critical resources (hide)'!AE$6:AE$105)+SUMIF(Capacity_Resource,$E51,'Critical resources (hide)'!AE$6:AE$105)+SUMIF(Capacity_Resource,$F51,'Critical resources (hide)'!AE$6:AE$105)&gt;0,$E$1=2),0,1)</f>
        <v>1</v>
      </c>
      <c r="S51" s="68">
        <f ca="1">IF(AND(SUMIF(Capacity_Resource,$D51,'Critical resources (hide)'!AF$6:AF$105)+SUMIF(Capacity_Resource,$E51,'Critical resources (hide)'!AF$6:AF$105)+SUMIF(Capacity_Resource,$F51,'Critical resources (hide)'!AF$6:AF$105)&gt;0,$E$1=2),0,1)</f>
        <v>1</v>
      </c>
      <c r="T51" s="68">
        <f ca="1">IF(AND(SUMIF(Capacity_Resource,$D51,'Critical resources (hide)'!AG$6:AG$105)+SUMIF(Capacity_Resource,$E51,'Critical resources (hide)'!AG$6:AG$105)+SUMIF(Capacity_Resource,$F51,'Critical resources (hide)'!AG$6:AG$105)&gt;0,$E$1=2),0,1)</f>
        <v>1</v>
      </c>
      <c r="U51" s="68">
        <f ca="1">IF(AND(SUMIF(Capacity_Resource,$D51,'Critical resources (hide)'!AH$6:AH$105)+SUMIF(Capacity_Resource,$E51,'Critical resources (hide)'!AH$6:AH$105)+SUMIF(Capacity_Resource,$F51,'Critical resources (hide)'!AH$6:AH$105)&gt;0,$E$1=2),0,1)</f>
        <v>1</v>
      </c>
      <c r="V51" s="68">
        <f ca="1">IF(AND(SUMIF(Capacity_Resource,$D51,'Critical resources (hide)'!AI$6:AI$105)+SUMIF(Capacity_Resource,$E51,'Critical resources (hide)'!AI$6:AI$105)+SUMIF(Capacity_Resource,$F51,'Critical resources (hide)'!AI$6:AI$105)&gt;0,$E$1=2),0,1)</f>
        <v>1</v>
      </c>
      <c r="W51" s="68">
        <f ca="1">IF(AND(SUMIF(Capacity_Resource,$D51,'Critical resources (hide)'!AJ$6:AJ$105)+SUMIF(Capacity_Resource,$E51,'Critical resources (hide)'!AJ$6:AJ$105)+SUMIF(Capacity_Resource,$F51,'Critical resources (hide)'!AJ$6:AJ$105)&gt;0,$E$1=2),0,1)</f>
        <v>1</v>
      </c>
      <c r="X51" s="68">
        <f ca="1">IF(AND(SUMIF(Capacity_Resource,$D51,'Critical resources (hide)'!AK$6:AK$105)+SUMIF(Capacity_Resource,$E51,'Critical resources (hide)'!AK$6:AK$105)+SUMIF(Capacity_Resource,$F51,'Critical resources (hide)'!AK$6:AK$105)&gt;0,$E$1=2),0,1)</f>
        <v>1</v>
      </c>
      <c r="Y51" s="68">
        <f ca="1">IF(AND(SUMIF(Capacity_Resource,$D51,'Critical resources (hide)'!AL$6:AL$105)+SUMIF(Capacity_Resource,$E51,'Critical resources (hide)'!AL$6:AL$105)+SUMIF(Capacity_Resource,$F51,'Critical resources (hide)'!AL$6:AL$105)&gt;0,$E$1=2),0,1)</f>
        <v>1</v>
      </c>
      <c r="Z51" s="68">
        <f ca="1">IF(AND(SUMIF(Capacity_Resource,$D51,'Critical resources (hide)'!AM$6:AM$105)+SUMIF(Capacity_Resource,$E51,'Critical resources (hide)'!AM$6:AM$105)+SUMIF(Capacity_Resource,$F51,'Critical resources (hide)'!AM$6:AM$105)&gt;0,$E$1=2),0,1)</f>
        <v>1</v>
      </c>
      <c r="AA51" s="68">
        <f ca="1">IF(AND(SUMIF(Capacity_Resource,$D51,'Critical resources (hide)'!AN$6:AN$105)+SUMIF(Capacity_Resource,$E51,'Critical resources (hide)'!AN$6:AN$105)+SUMIF(Capacity_Resource,$F51,'Critical resources (hide)'!AN$6:AN$105)&gt;0,$E$1=2),0,1)</f>
        <v>1</v>
      </c>
      <c r="AB51" s="68">
        <f ca="1">IF(AND(SUMIF(Capacity_Resource,$D51,'Critical resources (hide)'!AO$6:AO$105)+SUMIF(Capacity_Resource,$E51,'Critical resources (hide)'!AO$6:AO$105)+SUMIF(Capacity_Resource,$F51,'Critical resources (hide)'!AO$6:AO$105)&gt;0,$E$1=2),0,1)</f>
        <v>1</v>
      </c>
      <c r="AC51" s="68">
        <f ca="1">IF(AND(SUMIF(Capacity_Resource,$D51,'Critical resources (hide)'!AP$6:AP$105)+SUMIF(Capacity_Resource,$E51,'Critical resources (hide)'!AP$6:AP$105)+SUMIF(Capacity_Resource,$F51,'Critical resources (hide)'!AP$6:AP$105)&gt;0,$E$1=2),0,1)</f>
        <v>1</v>
      </c>
      <c r="AD51" s="68">
        <f ca="1">IF(AND(SUMIF(Capacity_Resource,$D51,'Critical resources (hide)'!AQ$6:AQ$105)+SUMIF(Capacity_Resource,$E51,'Critical resources (hide)'!AQ$6:AQ$105)+SUMIF(Capacity_Resource,$F51,'Critical resources (hide)'!AQ$6:AQ$105)&gt;0,$E$1=2),0,1)</f>
        <v>1</v>
      </c>
      <c r="AE51" s="68">
        <f ca="1">IF(AND(SUMIF(Capacity_Resource,$D51,'Critical resources (hide)'!AR$6:AR$105)+SUMIF(Capacity_Resource,$E51,'Critical resources (hide)'!AR$6:AR$105)+SUMIF(Capacity_Resource,$F51,'Critical resources (hide)'!AR$6:AR$105)&gt;0,$E$1=2),0,1)</f>
        <v>1</v>
      </c>
      <c r="AF51" s="68">
        <f ca="1">IF(AND(SUMIF(Capacity_Resource,$D51,'Critical resources (hide)'!AS$6:AS$105)+SUMIF(Capacity_Resource,$E51,'Critical resources (hide)'!AS$6:AS$105)+SUMIF(Capacity_Resource,$F51,'Critical resources (hide)'!AS$6:AS$105)&gt;0,$E$1=2),0,1)</f>
        <v>1</v>
      </c>
      <c r="AG51" s="68">
        <f ca="1">IF(AND(SUMIF(Capacity_Resource,$D51,'Critical resources (hide)'!AT$6:AT$105)+SUMIF(Capacity_Resource,$E51,'Critical resources (hide)'!AT$6:AT$105)+SUMIF(Capacity_Resource,$F51,'Critical resources (hide)'!AT$6:AT$105)&gt;0,$E$1=2),0,1)</f>
        <v>1</v>
      </c>
      <c r="AH51" s="68">
        <f ca="1">IF(AND(SUMIF(Capacity_Resource,$D51,'Critical resources (hide)'!AU$6:AU$105)+SUMIF(Capacity_Resource,$E51,'Critical resources (hide)'!AU$6:AU$105)+SUMIF(Capacity_Resource,$F51,'Critical resources (hide)'!AU$6:AU$105)&gt;0,$E$1=2),0,1)</f>
        <v>1</v>
      </c>
      <c r="AI51" s="68">
        <f ca="1">IF(AND(SUMIF(Capacity_Resource,$D51,'Critical resources (hide)'!AV$6:AV$105)+SUMIF(Capacity_Resource,$E51,'Critical resources (hide)'!AV$6:AV$105)+SUMIF(Capacity_Resource,$F51,'Critical resources (hide)'!AV$6:AV$105)&gt;0,$E$1=2),0,1)</f>
        <v>1</v>
      </c>
      <c r="AJ51" s="68">
        <f ca="1">IF(AND(SUMIF(Capacity_Resource,$D51,'Critical resources (hide)'!AW$6:AW$105)+SUMIF(Capacity_Resource,$E51,'Critical resources (hide)'!AW$6:AW$105)+SUMIF(Capacity_Resource,$F51,'Critical resources (hide)'!AW$6:AW$105)&gt;0,$E$1=2),0,1)</f>
        <v>1</v>
      </c>
      <c r="AK51" s="68">
        <f ca="1">IF(AND(SUMIF(Capacity_Resource,$D51,'Critical resources (hide)'!AX$6:AX$105)+SUMIF(Capacity_Resource,$E51,'Critical resources (hide)'!AX$6:AX$105)+SUMIF(Capacity_Resource,$F51,'Critical resources (hide)'!AX$6:AX$105)&gt;0,$E$1=2),0,1)</f>
        <v>1</v>
      </c>
      <c r="AL51" s="68">
        <f ca="1">IF(AND(SUMIF(Capacity_Resource,$D51,'Critical resources (hide)'!AY$6:AY$105)+SUMIF(Capacity_Resource,$E51,'Critical resources (hide)'!AY$6:AY$105)+SUMIF(Capacity_Resource,$F51,'Critical resources (hide)'!AY$6:AY$105)&gt;0,$E$1=2),0,1)</f>
        <v>1</v>
      </c>
      <c r="AM51" s="68">
        <f ca="1">IF(AND(SUMIF(Capacity_Resource,$D51,'Critical resources (hide)'!AZ$6:AZ$105)+SUMIF(Capacity_Resource,$E51,'Critical resources (hide)'!AZ$6:AZ$105)+SUMIF(Capacity_Resource,$F51,'Critical resources (hide)'!AZ$6:AZ$105)&gt;0,$E$1=2),0,1)</f>
        <v>1</v>
      </c>
      <c r="AN51" s="68">
        <f ca="1">IF(AND(SUMIF(Capacity_Resource,$D51,'Critical resources (hide)'!BA$6:BA$105)+SUMIF(Capacity_Resource,$E51,'Critical resources (hide)'!BA$6:BA$105)+SUMIF(Capacity_Resource,$F51,'Critical resources (hide)'!BA$6:BA$105)&gt;0,$E$1=2),0,1)</f>
        <v>1</v>
      </c>
      <c r="AO51" s="68">
        <f ca="1">IF(AND(SUMIF(Capacity_Resource,$D51,'Critical resources (hide)'!BB$6:BB$105)+SUMIF(Capacity_Resource,$E51,'Critical resources (hide)'!BB$6:BB$105)+SUMIF(Capacity_Resource,$F51,'Critical resources (hide)'!BB$6:BB$105)&gt;0,$E$1=2),0,1)</f>
        <v>1</v>
      </c>
      <c r="AP51" s="68">
        <f ca="1">IF(AND(SUMIF(Capacity_Resource,$D51,'Critical resources (hide)'!BC$6:BC$105)+SUMIF(Capacity_Resource,$E51,'Critical resources (hide)'!BC$6:BC$105)+SUMIF(Capacity_Resource,$F51,'Critical resources (hide)'!BC$6:BC$105)&gt;0,$E$1=2),0,1)</f>
        <v>1</v>
      </c>
      <c r="AQ51" s="68">
        <f ca="1">IF(AND(SUMIF(Capacity_Resource,$D51,'Critical resources (hide)'!BD$6:BD$105)+SUMIF(Capacity_Resource,$E51,'Critical resources (hide)'!BD$6:BD$105)+SUMIF(Capacity_Resource,$F51,'Critical resources (hide)'!BD$6:BD$105)&gt;0,$E$1=2),0,1)</f>
        <v>1</v>
      </c>
      <c r="AR51" s="68">
        <f ca="1">IF(AND(SUMIF(Capacity_Resource,$D51,'Critical resources (hide)'!BE$6:BE$105)+SUMIF(Capacity_Resource,$E51,'Critical resources (hide)'!BE$6:BE$105)+SUMIF(Capacity_Resource,$F51,'Critical resources (hide)'!BE$6:BE$105)&gt;0,$E$1=2),0,1)</f>
        <v>1</v>
      </c>
      <c r="AS51" s="68">
        <f ca="1">IF(AND(SUMIF(Capacity_Resource,$D51,'Critical resources (hide)'!BF$6:BF$105)+SUMIF(Capacity_Resource,$E51,'Critical resources (hide)'!BF$6:BF$105)+SUMIF(Capacity_Resource,$F51,'Critical resources (hide)'!BF$6:BF$105)&gt;0,$E$1=2),0,1)</f>
        <v>1</v>
      </c>
      <c r="AT51" s="68">
        <f ca="1">IF(AND(SUMIF(Capacity_Resource,$D51,'Critical resources (hide)'!BG$6:BG$105)+SUMIF(Capacity_Resource,$E51,'Critical resources (hide)'!BG$6:BG$105)+SUMIF(Capacity_Resource,$F51,'Critical resources (hide)'!BG$6:BG$105)&gt;0,$E$1=2),0,1)</f>
        <v>1</v>
      </c>
      <c r="AU51" s="68">
        <f ca="1">IF(AND(SUMIF(Capacity_Resource,$D51,'Critical resources (hide)'!BH$6:BH$105)+SUMIF(Capacity_Resource,$E51,'Critical resources (hide)'!BH$6:BH$105)+SUMIF(Capacity_Resource,$F51,'Critical resources (hide)'!BH$6:BH$105)&gt;0,$E$1=2),0,1)</f>
        <v>1</v>
      </c>
      <c r="AV51" s="68">
        <f ca="1">IF(AND(SUMIF(Capacity_Resource,$D51,'Critical resources (hide)'!BI$6:BI$105)+SUMIF(Capacity_Resource,$E51,'Critical resources (hide)'!BI$6:BI$105)+SUMIF(Capacity_Resource,$F51,'Critical resources (hide)'!BI$6:BI$105)&gt;0,$E$1=2),0,1)</f>
        <v>1</v>
      </c>
      <c r="AW51" s="68">
        <f ca="1">IF(AND(SUMIF(Capacity_Resource,$D51,'Critical resources (hide)'!BJ$6:BJ$105)+SUMIF(Capacity_Resource,$E51,'Critical resources (hide)'!BJ$6:BJ$105)+SUMIF(Capacity_Resource,$F51,'Critical resources (hide)'!BJ$6:BJ$105)&gt;0,$E$1=2),0,1)</f>
        <v>1</v>
      </c>
      <c r="AX51" s="68">
        <f ca="1">IF(AND(SUMIF(Capacity_Resource,$D51,'Critical resources (hide)'!BK$6:BK$105)+SUMIF(Capacity_Resource,$E51,'Critical resources (hide)'!BK$6:BK$105)+SUMIF(Capacity_Resource,$F51,'Critical resources (hide)'!BK$6:BK$105)&gt;0,$E$1=2),0,1)</f>
        <v>1</v>
      </c>
      <c r="AY51" s="68">
        <f ca="1">IF(AND(SUMIF(Capacity_Resource,$D51,'Critical resources (hide)'!BL$6:BL$105)+SUMIF(Capacity_Resource,$E51,'Critical resources (hide)'!BL$6:BL$105)+SUMIF(Capacity_Resource,$F51,'Critical resources (hide)'!BL$6:BL$105)&gt;0,$E$1=2),0,1)</f>
        <v>1</v>
      </c>
      <c r="AZ51" s="68">
        <f ca="1">IF(AND(SUMIF(Capacity_Resource,$D51,'Critical resources (hide)'!BM$6:BM$105)+SUMIF(Capacity_Resource,$E51,'Critical resources (hide)'!BM$6:BM$105)+SUMIF(Capacity_Resource,$F51,'Critical resources (hide)'!BM$6:BM$105)&gt;0,$E$1=2),0,1)</f>
        <v>1</v>
      </c>
      <c r="BA51" s="68">
        <f ca="1">IF(AND(SUMIF(Capacity_Resource,$D51,'Critical resources (hide)'!BN$6:BN$105)+SUMIF(Capacity_Resource,$E51,'Critical resources (hide)'!BN$6:BN$105)+SUMIF(Capacity_Resource,$F51,'Critical resources (hide)'!BN$6:BN$105)&gt;0,$E$1=2),0,1)</f>
        <v>1</v>
      </c>
      <c r="BB51" s="68">
        <f ca="1">IF(AND(SUMIF(Capacity_Resource,$D51,'Critical resources (hide)'!BO$6:BO$105)+SUMIF(Capacity_Resource,$E51,'Critical resources (hide)'!BO$6:BO$105)+SUMIF(Capacity_Resource,$F51,'Critical resources (hide)'!BO$6:BO$105)&gt;0,$E$1=2),0,1)</f>
        <v>1</v>
      </c>
      <c r="BC51" s="68">
        <f ca="1">IF(AND(SUMIF(Capacity_Resource,$D51,'Critical resources (hide)'!BP$6:BP$105)+SUMIF(Capacity_Resource,$E51,'Critical resources (hide)'!BP$6:BP$105)+SUMIF(Capacity_Resource,$F51,'Critical resources (hide)'!BP$6:BP$105)&gt;0,$E$1=2),0,1)</f>
        <v>1</v>
      </c>
      <c r="BD51" s="68">
        <f ca="1">IF(AND(SUMIF(Capacity_Resource,$D51,'Critical resources (hide)'!BQ$6:BQ$105)+SUMIF(Capacity_Resource,$E51,'Critical resources (hide)'!BQ$6:BQ$105)+SUMIF(Capacity_Resource,$F51,'Critical resources (hide)'!BQ$6:BQ$105)&gt;0,$E$1=2),0,1)</f>
        <v>1</v>
      </c>
      <c r="BE51" s="68">
        <f ca="1">IF(AND(SUMIF(Capacity_Resource,$D51,'Critical resources (hide)'!BR$6:BR$105)+SUMIF(Capacity_Resource,$E51,'Critical resources (hide)'!BR$6:BR$105)+SUMIF(Capacity_Resource,$F51,'Critical resources (hide)'!BR$6:BR$105)&gt;0,$E$1=2),0,1)</f>
        <v>1</v>
      </c>
      <c r="BF51" s="68">
        <f ca="1">IF(AND(SUMIF(Capacity_Resource,$D51,'Critical resources (hide)'!BS$6:BS$105)+SUMIF(Capacity_Resource,$E51,'Critical resources (hide)'!BS$6:BS$105)+SUMIF(Capacity_Resource,$F51,'Critical resources (hide)'!BS$6:BS$105)&gt;0,$E$1=2),0,1)</f>
        <v>1</v>
      </c>
      <c r="BG51" s="68">
        <f ca="1">IF(AND(SUMIF(Capacity_Resource,$D51,'Critical resources (hide)'!BT$6:BT$105)+SUMIF(Capacity_Resource,$E51,'Critical resources (hide)'!BT$6:BT$105)+SUMIF(Capacity_Resource,$F51,'Critical resources (hide)'!BT$6:BT$105)&gt;0,$E$1=2),0,1)</f>
        <v>1</v>
      </c>
      <c r="BH51" s="68">
        <f>IF(ROW(C47)&lt;=Capacity!$A$16,IF('Capacity summary'!$D$14="No",SUM(H51:BG51),'Capacity summary'!$E170),0)</f>
        <v>0</v>
      </c>
      <c r="BI51" s="5" t="str">
        <f>IF(BH51&gt;0,IF(BH51&lt;Capacity!E63,Capacity!F63,Capacity!H63/'Capacity calculation (hide)'!BH51),"")</f>
        <v/>
      </c>
      <c r="BK51" s="319">
        <f>IF($BI51&lt;&gt;"",IF('Capacity summary'!$D$14="Yes",IF(COUNTBLANK('Capacity summary'!$H170:$BG170)&lt;52,IF('Capacity summary'!H170&lt;&gt;"",$BI51*H51,0),H51*$BI51),H51*$BI51),0)</f>
        <v>0</v>
      </c>
      <c r="BL51" s="319">
        <f>IF($BI51&lt;&gt;"",IF('Capacity summary'!$D$14="Yes",IF(COUNTBLANK('Capacity summary'!$H170:$BG170)&lt;52,IF('Capacity summary'!I170&lt;&gt;"",$BI51*I51,0),I51*$BI51),I51*$BI51),0)</f>
        <v>0</v>
      </c>
      <c r="BM51" s="319">
        <f>IF($BI51&lt;&gt;"",IF('Capacity summary'!$D$14="Yes",IF(COUNTBLANK('Capacity summary'!$H170:$BG170)&lt;52,IF('Capacity summary'!J170&lt;&gt;"",$BI51*J51,0),J51*$BI51),J51*$BI51),0)</f>
        <v>0</v>
      </c>
      <c r="BN51" s="319">
        <f>IF($BI51&lt;&gt;"",IF('Capacity summary'!$D$14="Yes",IF(COUNTBLANK('Capacity summary'!$H170:$BG170)&lt;52,IF('Capacity summary'!K170&lt;&gt;"",$BI51*K51,0),K51*$BI51),K51*$BI51),0)</f>
        <v>0</v>
      </c>
      <c r="BO51" s="319">
        <f>IF($BI51&lt;&gt;"",IF('Capacity summary'!$D$14="Yes",IF(COUNTBLANK('Capacity summary'!$H170:$BG170)&lt;52,IF('Capacity summary'!L170&lt;&gt;"",$BI51*L51,0),L51*$BI51),L51*$BI51),0)</f>
        <v>0</v>
      </c>
      <c r="BP51" s="319">
        <f>IF($BI51&lt;&gt;"",IF('Capacity summary'!$D$14="Yes",IF(COUNTBLANK('Capacity summary'!$H170:$BG170)&lt;52,IF('Capacity summary'!M170&lt;&gt;"",$BI51*M51,0),M51*$BI51),M51*$BI51),0)</f>
        <v>0</v>
      </c>
      <c r="BQ51" s="319">
        <f>IF($BI51&lt;&gt;"",IF('Capacity summary'!$D$14="Yes",IF(COUNTBLANK('Capacity summary'!$H170:$BG170)&lt;52,IF('Capacity summary'!N170&lt;&gt;"",$BI51*N51,0),N51*$BI51),N51*$BI51),0)</f>
        <v>0</v>
      </c>
      <c r="BR51" s="319">
        <f>IF($BI51&lt;&gt;"",IF('Capacity summary'!$D$14="Yes",IF(COUNTBLANK('Capacity summary'!$H170:$BG170)&lt;52,IF('Capacity summary'!O170&lt;&gt;"",$BI51*O51,0),O51*$BI51),O51*$BI51),0)</f>
        <v>0</v>
      </c>
      <c r="BS51" s="319">
        <f>IF($BI51&lt;&gt;"",IF('Capacity summary'!$D$14="Yes",IF(COUNTBLANK('Capacity summary'!$H170:$BG170)&lt;52,IF('Capacity summary'!P170&lt;&gt;"",$BI51*P51,0),P51*$BI51),P51*$BI51),0)</f>
        <v>0</v>
      </c>
      <c r="BT51" s="319">
        <f>IF($BI51&lt;&gt;"",IF('Capacity summary'!$D$14="Yes",IF(COUNTBLANK('Capacity summary'!$H170:$BG170)&lt;52,IF('Capacity summary'!Q170&lt;&gt;"",$BI51*Q51,0),Q51*$BI51),Q51*$BI51),0)</f>
        <v>0</v>
      </c>
      <c r="BU51" s="319">
        <f>IF($BI51&lt;&gt;"",IF('Capacity summary'!$D$14="Yes",IF(COUNTBLANK('Capacity summary'!$H170:$BG170)&lt;52,IF('Capacity summary'!R170&lt;&gt;"",$BI51*R51,0),R51*$BI51),R51*$BI51),0)</f>
        <v>0</v>
      </c>
      <c r="BV51" s="319">
        <f>IF($BI51&lt;&gt;"",IF('Capacity summary'!$D$14="Yes",IF(COUNTBLANK('Capacity summary'!$H170:$BG170)&lt;52,IF('Capacity summary'!S170&lt;&gt;"",$BI51*S51,0),S51*$BI51),S51*$BI51),0)</f>
        <v>0</v>
      </c>
      <c r="BW51" s="319">
        <f>IF($BI51&lt;&gt;"",IF('Capacity summary'!$D$14="Yes",IF(COUNTBLANK('Capacity summary'!$H170:$BG170)&lt;52,IF('Capacity summary'!T170&lt;&gt;"",$BI51*T51,0),T51*$BI51),T51*$BI51),0)</f>
        <v>0</v>
      </c>
      <c r="BX51" s="319">
        <f>IF($BI51&lt;&gt;"",IF('Capacity summary'!$D$14="Yes",IF(COUNTBLANK('Capacity summary'!$H170:$BG170)&lt;52,IF('Capacity summary'!U170&lt;&gt;"",$BI51*U51,0),U51*$BI51),U51*$BI51),0)</f>
        <v>0</v>
      </c>
      <c r="BY51" s="319">
        <f>IF($BI51&lt;&gt;"",IF('Capacity summary'!$D$14="Yes",IF(COUNTBLANK('Capacity summary'!$H170:$BG170)&lt;52,IF('Capacity summary'!V170&lt;&gt;"",$BI51*V51,0),V51*$BI51),V51*$BI51),0)</f>
        <v>0</v>
      </c>
      <c r="BZ51" s="319">
        <f>IF($BI51&lt;&gt;"",IF('Capacity summary'!$D$14="Yes",IF(COUNTBLANK('Capacity summary'!$H170:$BG170)&lt;52,IF('Capacity summary'!W170&lt;&gt;"",$BI51*W51,0),W51*$BI51),W51*$BI51),0)</f>
        <v>0</v>
      </c>
      <c r="CA51" s="319">
        <f>IF($BI51&lt;&gt;"",IF('Capacity summary'!$D$14="Yes",IF(COUNTBLANK('Capacity summary'!$H170:$BG170)&lt;52,IF('Capacity summary'!X170&lt;&gt;"",$BI51*X51,0),X51*$BI51),X51*$BI51),0)</f>
        <v>0</v>
      </c>
      <c r="CB51" s="319">
        <f>IF($BI51&lt;&gt;"",IF('Capacity summary'!$D$14="Yes",IF(COUNTBLANK('Capacity summary'!$H170:$BG170)&lt;52,IF('Capacity summary'!Y170&lt;&gt;"",$BI51*Y51,0),Y51*$BI51),Y51*$BI51),0)</f>
        <v>0</v>
      </c>
      <c r="CC51" s="319">
        <f>IF($BI51&lt;&gt;"",IF('Capacity summary'!$D$14="Yes",IF(COUNTBLANK('Capacity summary'!$H170:$BG170)&lt;52,IF('Capacity summary'!Z170&lt;&gt;"",$BI51*Z51,0),Z51*$BI51),Z51*$BI51),0)</f>
        <v>0</v>
      </c>
      <c r="CD51" s="319">
        <f>IF($BI51&lt;&gt;"",IF('Capacity summary'!$D$14="Yes",IF(COUNTBLANK('Capacity summary'!$H170:$BG170)&lt;52,IF('Capacity summary'!AA170&lt;&gt;"",$BI51*AA51,0),AA51*$BI51),AA51*$BI51),0)</f>
        <v>0</v>
      </c>
      <c r="CE51" s="319">
        <f>IF($BI51&lt;&gt;"",IF('Capacity summary'!$D$14="Yes",IF(COUNTBLANK('Capacity summary'!$H170:$BG170)&lt;52,IF('Capacity summary'!AB170&lt;&gt;"",$BI51*AB51,0),AB51*$BI51),AB51*$BI51),0)</f>
        <v>0</v>
      </c>
      <c r="CF51" s="319">
        <f>IF($BI51&lt;&gt;"",IF('Capacity summary'!$D$14="Yes",IF(COUNTBLANK('Capacity summary'!$H170:$BG170)&lt;52,IF('Capacity summary'!AC170&lt;&gt;"",$BI51*AC51,0),AC51*$BI51),AC51*$BI51),0)</f>
        <v>0</v>
      </c>
      <c r="CG51" s="319">
        <f>IF($BI51&lt;&gt;"",IF('Capacity summary'!$D$14="Yes",IF(COUNTBLANK('Capacity summary'!$H170:$BG170)&lt;52,IF('Capacity summary'!AD170&lt;&gt;"",$BI51*AD51,0),AD51*$BI51),AD51*$BI51),0)</f>
        <v>0</v>
      </c>
      <c r="CH51" s="319">
        <f>IF($BI51&lt;&gt;"",IF('Capacity summary'!$D$14="Yes",IF(COUNTBLANK('Capacity summary'!$H170:$BG170)&lt;52,IF('Capacity summary'!AE170&lt;&gt;"",$BI51*AE51,0),AE51*$BI51),AE51*$BI51),0)</f>
        <v>0</v>
      </c>
      <c r="CI51" s="319">
        <f>IF($BI51&lt;&gt;"",IF('Capacity summary'!$D$14="Yes",IF(COUNTBLANK('Capacity summary'!$H170:$BG170)&lt;52,IF('Capacity summary'!AF170&lt;&gt;"",$BI51*AF51,0),AF51*$BI51),AF51*$BI51),0)</f>
        <v>0</v>
      </c>
      <c r="CJ51" s="319">
        <f>IF($BI51&lt;&gt;"",IF('Capacity summary'!$D$14="Yes",IF(COUNTBLANK('Capacity summary'!$H170:$BG170)&lt;52,IF('Capacity summary'!AG170&lt;&gt;"",$BI51*AG51,0),AG51*$BI51),AG51*$BI51),0)</f>
        <v>0</v>
      </c>
      <c r="CK51" s="319">
        <f>IF($BI51&lt;&gt;"",IF('Capacity summary'!$D$14="Yes",IF(COUNTBLANK('Capacity summary'!$H170:$BG170)&lt;52,IF('Capacity summary'!AH170&lt;&gt;"",$BI51*AH51,0),AH51*$BI51),AH51*$BI51),0)</f>
        <v>0</v>
      </c>
      <c r="CL51" s="319">
        <f>IF($BI51&lt;&gt;"",IF('Capacity summary'!$D$14="Yes",IF(COUNTBLANK('Capacity summary'!$H170:$BG170)&lt;52,IF('Capacity summary'!AI170&lt;&gt;"",$BI51*AI51,0),AI51*$BI51),AI51*$BI51),0)</f>
        <v>0</v>
      </c>
      <c r="CM51" s="319">
        <f>IF($BI51&lt;&gt;"",IF('Capacity summary'!$D$14="Yes",IF(COUNTBLANK('Capacity summary'!$H170:$BG170)&lt;52,IF('Capacity summary'!AJ170&lt;&gt;"",$BI51*AJ51,0),AJ51*$BI51),AJ51*$BI51),0)</f>
        <v>0</v>
      </c>
      <c r="CN51" s="319">
        <f>IF($BI51&lt;&gt;"",IF('Capacity summary'!$D$14="Yes",IF(COUNTBLANK('Capacity summary'!$H170:$BG170)&lt;52,IF('Capacity summary'!AK170&lt;&gt;"",$BI51*AK51,0),AK51*$BI51),AK51*$BI51),0)</f>
        <v>0</v>
      </c>
      <c r="CO51" s="319">
        <f>IF($BI51&lt;&gt;"",IF('Capacity summary'!$D$14="Yes",IF(COUNTBLANK('Capacity summary'!$H170:$BG170)&lt;52,IF('Capacity summary'!AL170&lt;&gt;"",$BI51*AL51,0),AL51*$BI51),AL51*$BI51),0)</f>
        <v>0</v>
      </c>
      <c r="CP51" s="319">
        <f>IF($BI51&lt;&gt;"",IF('Capacity summary'!$D$14="Yes",IF(COUNTBLANK('Capacity summary'!$H170:$BG170)&lt;52,IF('Capacity summary'!AM170&lt;&gt;"",$BI51*AM51,0),AM51*$BI51),AM51*$BI51),0)</f>
        <v>0</v>
      </c>
      <c r="CQ51" s="319">
        <f>IF($BI51&lt;&gt;"",IF('Capacity summary'!$D$14="Yes",IF(COUNTBLANK('Capacity summary'!$H170:$BG170)&lt;52,IF('Capacity summary'!AN170&lt;&gt;"",$BI51*AN51,0),AN51*$BI51),AN51*$BI51),0)</f>
        <v>0</v>
      </c>
      <c r="CR51" s="319">
        <f>IF($BI51&lt;&gt;"",IF('Capacity summary'!$D$14="Yes",IF(COUNTBLANK('Capacity summary'!$H170:$BG170)&lt;52,IF('Capacity summary'!AO170&lt;&gt;"",$BI51*AO51,0),AO51*$BI51),AO51*$BI51),0)</f>
        <v>0</v>
      </c>
      <c r="CS51" s="319">
        <f>IF($BI51&lt;&gt;"",IF('Capacity summary'!$D$14="Yes",IF(COUNTBLANK('Capacity summary'!$H170:$BG170)&lt;52,IF('Capacity summary'!AP170&lt;&gt;"",$BI51*AP51,0),AP51*$BI51),AP51*$BI51),0)</f>
        <v>0</v>
      </c>
      <c r="CT51" s="319">
        <f>IF($BI51&lt;&gt;"",IF('Capacity summary'!$D$14="Yes",IF(COUNTBLANK('Capacity summary'!$H170:$BG170)&lt;52,IF('Capacity summary'!AQ170&lt;&gt;"",$BI51*AQ51,0),AQ51*$BI51),AQ51*$BI51),0)</f>
        <v>0</v>
      </c>
      <c r="CU51" s="319">
        <f>IF($BI51&lt;&gt;"",IF('Capacity summary'!$D$14="Yes",IF(COUNTBLANK('Capacity summary'!$H170:$BG170)&lt;52,IF('Capacity summary'!AR170&lt;&gt;"",$BI51*AR51,0),AR51*$BI51),AR51*$BI51),0)</f>
        <v>0</v>
      </c>
      <c r="CV51" s="319">
        <f>IF($BI51&lt;&gt;"",IF('Capacity summary'!$D$14="Yes",IF(COUNTBLANK('Capacity summary'!$H170:$BG170)&lt;52,IF('Capacity summary'!AS170&lt;&gt;"",$BI51*AS51,0),AS51*$BI51),AS51*$BI51),0)</f>
        <v>0</v>
      </c>
      <c r="CW51" s="319">
        <f>IF($BI51&lt;&gt;"",IF('Capacity summary'!$D$14="Yes",IF(COUNTBLANK('Capacity summary'!$H170:$BG170)&lt;52,IF('Capacity summary'!AT170&lt;&gt;"",$BI51*AT51,0),AT51*$BI51),AT51*$BI51),0)</f>
        <v>0</v>
      </c>
      <c r="CX51" s="319">
        <f>IF($BI51&lt;&gt;"",IF('Capacity summary'!$D$14="Yes",IF(COUNTBLANK('Capacity summary'!$H170:$BG170)&lt;52,IF('Capacity summary'!AU170&lt;&gt;"",$BI51*AU51,0),AU51*$BI51),AU51*$BI51),0)</f>
        <v>0</v>
      </c>
      <c r="CY51" s="319">
        <f>IF($BI51&lt;&gt;"",IF('Capacity summary'!$D$14="Yes",IF(COUNTBLANK('Capacity summary'!$H170:$BG170)&lt;52,IF('Capacity summary'!AV170&lt;&gt;"",$BI51*AV51,0),AV51*$BI51),AV51*$BI51),0)</f>
        <v>0</v>
      </c>
      <c r="CZ51" s="319">
        <f>IF($BI51&lt;&gt;"",IF('Capacity summary'!$D$14="Yes",IF(COUNTBLANK('Capacity summary'!$H170:$BG170)&lt;52,IF('Capacity summary'!AW170&lt;&gt;"",$BI51*AW51,0),AW51*$BI51),AW51*$BI51),0)</f>
        <v>0</v>
      </c>
      <c r="DA51" s="319">
        <f>IF($BI51&lt;&gt;"",IF('Capacity summary'!$D$14="Yes",IF(COUNTBLANK('Capacity summary'!$H170:$BG170)&lt;52,IF('Capacity summary'!AX170&lt;&gt;"",$BI51*AX51,0),AX51*$BI51),AX51*$BI51),0)</f>
        <v>0</v>
      </c>
      <c r="DB51" s="319">
        <f>IF($BI51&lt;&gt;"",IF('Capacity summary'!$D$14="Yes",IF(COUNTBLANK('Capacity summary'!$H170:$BG170)&lt;52,IF('Capacity summary'!AY170&lt;&gt;"",$BI51*AY51,0),AY51*$BI51),AY51*$BI51),0)</f>
        <v>0</v>
      </c>
      <c r="DC51" s="319">
        <f>IF($BI51&lt;&gt;"",IF('Capacity summary'!$D$14="Yes",IF(COUNTBLANK('Capacity summary'!$H170:$BG170)&lt;52,IF('Capacity summary'!AZ170&lt;&gt;"",$BI51*AZ51,0),AZ51*$BI51),AZ51*$BI51),0)</f>
        <v>0</v>
      </c>
      <c r="DD51" s="319">
        <f>IF($BI51&lt;&gt;"",IF('Capacity summary'!$D$14="Yes",IF(COUNTBLANK('Capacity summary'!$H170:$BG170)&lt;52,IF('Capacity summary'!BA170&lt;&gt;"",$BI51*BA51,0),BA51*$BI51),BA51*$BI51),0)</f>
        <v>0</v>
      </c>
      <c r="DE51" s="319">
        <f>IF($BI51&lt;&gt;"",IF('Capacity summary'!$D$14="Yes",IF(COUNTBLANK('Capacity summary'!$H170:$BG170)&lt;52,IF('Capacity summary'!BB170&lt;&gt;"",$BI51*BB51,0),BB51*$BI51),BB51*$BI51),0)</f>
        <v>0</v>
      </c>
      <c r="DF51" s="319">
        <f>IF($BI51&lt;&gt;"",IF('Capacity summary'!$D$14="Yes",IF(COUNTBLANK('Capacity summary'!$H170:$BG170)&lt;52,IF('Capacity summary'!BC170&lt;&gt;"",$BI51*BC51,0),BC51*$BI51),BC51*$BI51),0)</f>
        <v>0</v>
      </c>
      <c r="DG51" s="319">
        <f>IF($BI51&lt;&gt;"",IF('Capacity summary'!$D$14="Yes",IF(COUNTBLANK('Capacity summary'!$H170:$BG170)&lt;52,IF('Capacity summary'!BD170&lt;&gt;"",$BI51*BD51,0),BD51*$BI51),BD51*$BI51),0)</f>
        <v>0</v>
      </c>
      <c r="DH51" s="319">
        <f>IF($BI51&lt;&gt;"",IF('Capacity summary'!$D$14="Yes",IF(COUNTBLANK('Capacity summary'!$H170:$BG170)&lt;52,IF('Capacity summary'!BE170&lt;&gt;"",$BI51*BE51,0),BE51*$BI51),BE51*$BI51),0)</f>
        <v>0</v>
      </c>
      <c r="DI51" s="319">
        <f>IF($BI51&lt;&gt;"",IF('Capacity summary'!$D$14="Yes",IF(COUNTBLANK('Capacity summary'!$H170:$BG170)&lt;52,IF('Capacity summary'!BF170&lt;&gt;"",$BI51*BF51,0),BF51*$BI51),BF51*$BI51),0)</f>
        <v>0</v>
      </c>
      <c r="DJ51" s="319">
        <f>IF($BI51&lt;&gt;"",IF('Capacity summary'!$D$14="Yes",IF(COUNTBLANK('Capacity summary'!$H170:$BG170)&lt;52,IF('Capacity summary'!BG170&lt;&gt;"",$BI51*BG51,0),BG51*$BI51),BG51*$BI51),0)</f>
        <v>0</v>
      </c>
      <c r="DK51" s="5">
        <f t="shared" si="2"/>
        <v>0</v>
      </c>
      <c r="DL51" s="5" t="str">
        <f>Capacity!H63</f>
        <v/>
      </c>
      <c r="DP51" s="5"/>
    </row>
    <row r="52" spans="2:120" x14ac:dyDescent="0.2">
      <c r="B52" s="68"/>
      <c r="C52" s="68" t="str">
        <f>ROW(A48)&amp;". "&amp;Capacity!B64</f>
        <v xml:space="preserve">48. </v>
      </c>
      <c r="D52" s="68">
        <f>'Capacity setup'!C59</f>
        <v>0</v>
      </c>
      <c r="E52" s="68">
        <f>'Capacity setup'!D59</f>
        <v>0</v>
      </c>
      <c r="F52" s="68">
        <f>'Capacity setup'!E59</f>
        <v>0</v>
      </c>
      <c r="H52" s="68">
        <f ca="1">IF(AND(SUMIF(Capacity_Resource,$D52,'Critical resources (hide)'!U$6:U$105)+SUMIF(Capacity_Resource,$E52,'Critical resources (hide)'!U$6:U$105)+SUMIF(Capacity_Resource,$F52,'Critical resources (hide)'!U$6:U$105)&gt;0,$E$1=2),0,1)</f>
        <v>1</v>
      </c>
      <c r="I52" s="68">
        <f ca="1">IF(AND(SUMIF(Capacity_Resource,$D52,'Critical resources (hide)'!V$6:V$105)+SUMIF(Capacity_Resource,$E52,'Critical resources (hide)'!V$6:V$105)+SUMIF(Capacity_Resource,$F52,'Critical resources (hide)'!V$6:V$105)&gt;0,$E$1=2),0,1)</f>
        <v>1</v>
      </c>
      <c r="J52" s="68">
        <f ca="1">IF(AND(SUMIF(Capacity_Resource,$D52,'Critical resources (hide)'!W$6:W$105)+SUMIF(Capacity_Resource,$E52,'Critical resources (hide)'!W$6:W$105)+SUMIF(Capacity_Resource,$F52,'Critical resources (hide)'!W$6:W$105)&gt;0,$E$1=2),0,1)</f>
        <v>1</v>
      </c>
      <c r="K52" s="68">
        <f ca="1">IF(AND(SUMIF(Capacity_Resource,$D52,'Critical resources (hide)'!X$6:X$105)+SUMIF(Capacity_Resource,$E52,'Critical resources (hide)'!X$6:X$105)+SUMIF(Capacity_Resource,$F52,'Critical resources (hide)'!X$6:X$105)&gt;0,$E$1=2),0,1)</f>
        <v>1</v>
      </c>
      <c r="L52" s="68">
        <f ca="1">IF(AND(SUMIF(Capacity_Resource,$D52,'Critical resources (hide)'!Y$6:Y$105)+SUMIF(Capacity_Resource,$E52,'Critical resources (hide)'!Y$6:Y$105)+SUMIF(Capacity_Resource,$F52,'Critical resources (hide)'!Y$6:Y$105)&gt;0,$E$1=2),0,1)</f>
        <v>1</v>
      </c>
      <c r="M52" s="68">
        <f ca="1">IF(AND(SUMIF(Capacity_Resource,$D52,'Critical resources (hide)'!Z$6:Z$105)+SUMIF(Capacity_Resource,$E52,'Critical resources (hide)'!Z$6:Z$105)+SUMIF(Capacity_Resource,$F52,'Critical resources (hide)'!Z$6:Z$105)&gt;0,$E$1=2),0,1)</f>
        <v>1</v>
      </c>
      <c r="N52" s="68">
        <f ca="1">IF(AND(SUMIF(Capacity_Resource,$D52,'Critical resources (hide)'!AA$6:AA$105)+SUMIF(Capacity_Resource,$E52,'Critical resources (hide)'!AA$6:AA$105)+SUMIF(Capacity_Resource,$F52,'Critical resources (hide)'!AA$6:AA$105)&gt;0,$E$1=2),0,1)</f>
        <v>1</v>
      </c>
      <c r="O52" s="68">
        <f ca="1">IF(AND(SUMIF(Capacity_Resource,$D52,'Critical resources (hide)'!AB$6:AB$105)+SUMIF(Capacity_Resource,$E52,'Critical resources (hide)'!AB$6:AB$105)+SUMIF(Capacity_Resource,$F52,'Critical resources (hide)'!AB$6:AB$105)&gt;0,$E$1=2),0,1)</f>
        <v>1</v>
      </c>
      <c r="P52" s="68">
        <f ca="1">IF(AND(SUMIF(Capacity_Resource,$D52,'Critical resources (hide)'!AC$6:AC$105)+SUMIF(Capacity_Resource,$E52,'Critical resources (hide)'!AC$6:AC$105)+SUMIF(Capacity_Resource,$F52,'Critical resources (hide)'!AC$6:AC$105)&gt;0,$E$1=2),0,1)</f>
        <v>1</v>
      </c>
      <c r="Q52" s="68">
        <f ca="1">IF(AND(SUMIF(Capacity_Resource,$D52,'Critical resources (hide)'!AD$6:AD$105)+SUMIF(Capacity_Resource,$E52,'Critical resources (hide)'!AD$6:AD$105)+SUMIF(Capacity_Resource,$F52,'Critical resources (hide)'!AD$6:AD$105)&gt;0,$E$1=2),0,1)</f>
        <v>1</v>
      </c>
      <c r="R52" s="68">
        <f ca="1">IF(AND(SUMIF(Capacity_Resource,$D52,'Critical resources (hide)'!AE$6:AE$105)+SUMIF(Capacity_Resource,$E52,'Critical resources (hide)'!AE$6:AE$105)+SUMIF(Capacity_Resource,$F52,'Critical resources (hide)'!AE$6:AE$105)&gt;0,$E$1=2),0,1)</f>
        <v>1</v>
      </c>
      <c r="S52" s="68">
        <f ca="1">IF(AND(SUMIF(Capacity_Resource,$D52,'Critical resources (hide)'!AF$6:AF$105)+SUMIF(Capacity_Resource,$E52,'Critical resources (hide)'!AF$6:AF$105)+SUMIF(Capacity_Resource,$F52,'Critical resources (hide)'!AF$6:AF$105)&gt;0,$E$1=2),0,1)</f>
        <v>1</v>
      </c>
      <c r="T52" s="68">
        <f ca="1">IF(AND(SUMIF(Capacity_Resource,$D52,'Critical resources (hide)'!AG$6:AG$105)+SUMIF(Capacity_Resource,$E52,'Critical resources (hide)'!AG$6:AG$105)+SUMIF(Capacity_Resource,$F52,'Critical resources (hide)'!AG$6:AG$105)&gt;0,$E$1=2),0,1)</f>
        <v>1</v>
      </c>
      <c r="U52" s="68">
        <f ca="1">IF(AND(SUMIF(Capacity_Resource,$D52,'Critical resources (hide)'!AH$6:AH$105)+SUMIF(Capacity_Resource,$E52,'Critical resources (hide)'!AH$6:AH$105)+SUMIF(Capacity_Resource,$F52,'Critical resources (hide)'!AH$6:AH$105)&gt;0,$E$1=2),0,1)</f>
        <v>1</v>
      </c>
      <c r="V52" s="68">
        <f ca="1">IF(AND(SUMIF(Capacity_Resource,$D52,'Critical resources (hide)'!AI$6:AI$105)+SUMIF(Capacity_Resource,$E52,'Critical resources (hide)'!AI$6:AI$105)+SUMIF(Capacity_Resource,$F52,'Critical resources (hide)'!AI$6:AI$105)&gt;0,$E$1=2),0,1)</f>
        <v>1</v>
      </c>
      <c r="W52" s="68">
        <f ca="1">IF(AND(SUMIF(Capacity_Resource,$D52,'Critical resources (hide)'!AJ$6:AJ$105)+SUMIF(Capacity_Resource,$E52,'Critical resources (hide)'!AJ$6:AJ$105)+SUMIF(Capacity_Resource,$F52,'Critical resources (hide)'!AJ$6:AJ$105)&gt;0,$E$1=2),0,1)</f>
        <v>1</v>
      </c>
      <c r="X52" s="68">
        <f ca="1">IF(AND(SUMIF(Capacity_Resource,$D52,'Critical resources (hide)'!AK$6:AK$105)+SUMIF(Capacity_Resource,$E52,'Critical resources (hide)'!AK$6:AK$105)+SUMIF(Capacity_Resource,$F52,'Critical resources (hide)'!AK$6:AK$105)&gt;0,$E$1=2),0,1)</f>
        <v>1</v>
      </c>
      <c r="Y52" s="68">
        <f ca="1">IF(AND(SUMIF(Capacity_Resource,$D52,'Critical resources (hide)'!AL$6:AL$105)+SUMIF(Capacity_Resource,$E52,'Critical resources (hide)'!AL$6:AL$105)+SUMIF(Capacity_Resource,$F52,'Critical resources (hide)'!AL$6:AL$105)&gt;0,$E$1=2),0,1)</f>
        <v>1</v>
      </c>
      <c r="Z52" s="68">
        <f ca="1">IF(AND(SUMIF(Capacity_Resource,$D52,'Critical resources (hide)'!AM$6:AM$105)+SUMIF(Capacity_Resource,$E52,'Critical resources (hide)'!AM$6:AM$105)+SUMIF(Capacity_Resource,$F52,'Critical resources (hide)'!AM$6:AM$105)&gt;0,$E$1=2),0,1)</f>
        <v>1</v>
      </c>
      <c r="AA52" s="68">
        <f ca="1">IF(AND(SUMIF(Capacity_Resource,$D52,'Critical resources (hide)'!AN$6:AN$105)+SUMIF(Capacity_Resource,$E52,'Critical resources (hide)'!AN$6:AN$105)+SUMIF(Capacity_Resource,$F52,'Critical resources (hide)'!AN$6:AN$105)&gt;0,$E$1=2),0,1)</f>
        <v>1</v>
      </c>
      <c r="AB52" s="68">
        <f ca="1">IF(AND(SUMIF(Capacity_Resource,$D52,'Critical resources (hide)'!AO$6:AO$105)+SUMIF(Capacity_Resource,$E52,'Critical resources (hide)'!AO$6:AO$105)+SUMIF(Capacity_Resource,$F52,'Critical resources (hide)'!AO$6:AO$105)&gt;0,$E$1=2),0,1)</f>
        <v>1</v>
      </c>
      <c r="AC52" s="68">
        <f ca="1">IF(AND(SUMIF(Capacity_Resource,$D52,'Critical resources (hide)'!AP$6:AP$105)+SUMIF(Capacity_Resource,$E52,'Critical resources (hide)'!AP$6:AP$105)+SUMIF(Capacity_Resource,$F52,'Critical resources (hide)'!AP$6:AP$105)&gt;0,$E$1=2),0,1)</f>
        <v>1</v>
      </c>
      <c r="AD52" s="68">
        <f ca="1">IF(AND(SUMIF(Capacity_Resource,$D52,'Critical resources (hide)'!AQ$6:AQ$105)+SUMIF(Capacity_Resource,$E52,'Critical resources (hide)'!AQ$6:AQ$105)+SUMIF(Capacity_Resource,$F52,'Critical resources (hide)'!AQ$6:AQ$105)&gt;0,$E$1=2),0,1)</f>
        <v>1</v>
      </c>
      <c r="AE52" s="68">
        <f ca="1">IF(AND(SUMIF(Capacity_Resource,$D52,'Critical resources (hide)'!AR$6:AR$105)+SUMIF(Capacity_Resource,$E52,'Critical resources (hide)'!AR$6:AR$105)+SUMIF(Capacity_Resource,$F52,'Critical resources (hide)'!AR$6:AR$105)&gt;0,$E$1=2),0,1)</f>
        <v>1</v>
      </c>
      <c r="AF52" s="68">
        <f ca="1">IF(AND(SUMIF(Capacity_Resource,$D52,'Critical resources (hide)'!AS$6:AS$105)+SUMIF(Capacity_Resource,$E52,'Critical resources (hide)'!AS$6:AS$105)+SUMIF(Capacity_Resource,$F52,'Critical resources (hide)'!AS$6:AS$105)&gt;0,$E$1=2),0,1)</f>
        <v>1</v>
      </c>
      <c r="AG52" s="68">
        <f ca="1">IF(AND(SUMIF(Capacity_Resource,$D52,'Critical resources (hide)'!AT$6:AT$105)+SUMIF(Capacity_Resource,$E52,'Critical resources (hide)'!AT$6:AT$105)+SUMIF(Capacity_Resource,$F52,'Critical resources (hide)'!AT$6:AT$105)&gt;0,$E$1=2),0,1)</f>
        <v>1</v>
      </c>
      <c r="AH52" s="68">
        <f ca="1">IF(AND(SUMIF(Capacity_Resource,$D52,'Critical resources (hide)'!AU$6:AU$105)+SUMIF(Capacity_Resource,$E52,'Critical resources (hide)'!AU$6:AU$105)+SUMIF(Capacity_Resource,$F52,'Critical resources (hide)'!AU$6:AU$105)&gt;0,$E$1=2),0,1)</f>
        <v>1</v>
      </c>
      <c r="AI52" s="68">
        <f ca="1">IF(AND(SUMIF(Capacity_Resource,$D52,'Critical resources (hide)'!AV$6:AV$105)+SUMIF(Capacity_Resource,$E52,'Critical resources (hide)'!AV$6:AV$105)+SUMIF(Capacity_Resource,$F52,'Critical resources (hide)'!AV$6:AV$105)&gt;0,$E$1=2),0,1)</f>
        <v>1</v>
      </c>
      <c r="AJ52" s="68">
        <f ca="1">IF(AND(SUMIF(Capacity_Resource,$D52,'Critical resources (hide)'!AW$6:AW$105)+SUMIF(Capacity_Resource,$E52,'Critical resources (hide)'!AW$6:AW$105)+SUMIF(Capacity_Resource,$F52,'Critical resources (hide)'!AW$6:AW$105)&gt;0,$E$1=2),0,1)</f>
        <v>1</v>
      </c>
      <c r="AK52" s="68">
        <f ca="1">IF(AND(SUMIF(Capacity_Resource,$D52,'Critical resources (hide)'!AX$6:AX$105)+SUMIF(Capacity_Resource,$E52,'Critical resources (hide)'!AX$6:AX$105)+SUMIF(Capacity_Resource,$F52,'Critical resources (hide)'!AX$6:AX$105)&gt;0,$E$1=2),0,1)</f>
        <v>1</v>
      </c>
      <c r="AL52" s="68">
        <f ca="1">IF(AND(SUMIF(Capacity_Resource,$D52,'Critical resources (hide)'!AY$6:AY$105)+SUMIF(Capacity_Resource,$E52,'Critical resources (hide)'!AY$6:AY$105)+SUMIF(Capacity_Resource,$F52,'Critical resources (hide)'!AY$6:AY$105)&gt;0,$E$1=2),0,1)</f>
        <v>1</v>
      </c>
      <c r="AM52" s="68">
        <f ca="1">IF(AND(SUMIF(Capacity_Resource,$D52,'Critical resources (hide)'!AZ$6:AZ$105)+SUMIF(Capacity_Resource,$E52,'Critical resources (hide)'!AZ$6:AZ$105)+SUMIF(Capacity_Resource,$F52,'Critical resources (hide)'!AZ$6:AZ$105)&gt;0,$E$1=2),0,1)</f>
        <v>1</v>
      </c>
      <c r="AN52" s="68">
        <f ca="1">IF(AND(SUMIF(Capacity_Resource,$D52,'Critical resources (hide)'!BA$6:BA$105)+SUMIF(Capacity_Resource,$E52,'Critical resources (hide)'!BA$6:BA$105)+SUMIF(Capacity_Resource,$F52,'Critical resources (hide)'!BA$6:BA$105)&gt;0,$E$1=2),0,1)</f>
        <v>1</v>
      </c>
      <c r="AO52" s="68">
        <f ca="1">IF(AND(SUMIF(Capacity_Resource,$D52,'Critical resources (hide)'!BB$6:BB$105)+SUMIF(Capacity_Resource,$E52,'Critical resources (hide)'!BB$6:BB$105)+SUMIF(Capacity_Resource,$F52,'Critical resources (hide)'!BB$6:BB$105)&gt;0,$E$1=2),0,1)</f>
        <v>1</v>
      </c>
      <c r="AP52" s="68">
        <f ca="1">IF(AND(SUMIF(Capacity_Resource,$D52,'Critical resources (hide)'!BC$6:BC$105)+SUMIF(Capacity_Resource,$E52,'Critical resources (hide)'!BC$6:BC$105)+SUMIF(Capacity_Resource,$F52,'Critical resources (hide)'!BC$6:BC$105)&gt;0,$E$1=2),0,1)</f>
        <v>1</v>
      </c>
      <c r="AQ52" s="68">
        <f ca="1">IF(AND(SUMIF(Capacity_Resource,$D52,'Critical resources (hide)'!BD$6:BD$105)+SUMIF(Capacity_Resource,$E52,'Critical resources (hide)'!BD$6:BD$105)+SUMIF(Capacity_Resource,$F52,'Critical resources (hide)'!BD$6:BD$105)&gt;0,$E$1=2),0,1)</f>
        <v>1</v>
      </c>
      <c r="AR52" s="68">
        <f ca="1">IF(AND(SUMIF(Capacity_Resource,$D52,'Critical resources (hide)'!BE$6:BE$105)+SUMIF(Capacity_Resource,$E52,'Critical resources (hide)'!BE$6:BE$105)+SUMIF(Capacity_Resource,$F52,'Critical resources (hide)'!BE$6:BE$105)&gt;0,$E$1=2),0,1)</f>
        <v>1</v>
      </c>
      <c r="AS52" s="68">
        <f ca="1">IF(AND(SUMIF(Capacity_Resource,$D52,'Critical resources (hide)'!BF$6:BF$105)+SUMIF(Capacity_Resource,$E52,'Critical resources (hide)'!BF$6:BF$105)+SUMIF(Capacity_Resource,$F52,'Critical resources (hide)'!BF$6:BF$105)&gt;0,$E$1=2),0,1)</f>
        <v>1</v>
      </c>
      <c r="AT52" s="68">
        <f ca="1">IF(AND(SUMIF(Capacity_Resource,$D52,'Critical resources (hide)'!BG$6:BG$105)+SUMIF(Capacity_Resource,$E52,'Critical resources (hide)'!BG$6:BG$105)+SUMIF(Capacity_Resource,$F52,'Critical resources (hide)'!BG$6:BG$105)&gt;0,$E$1=2),0,1)</f>
        <v>1</v>
      </c>
      <c r="AU52" s="68">
        <f ca="1">IF(AND(SUMIF(Capacity_Resource,$D52,'Critical resources (hide)'!BH$6:BH$105)+SUMIF(Capacity_Resource,$E52,'Critical resources (hide)'!BH$6:BH$105)+SUMIF(Capacity_Resource,$F52,'Critical resources (hide)'!BH$6:BH$105)&gt;0,$E$1=2),0,1)</f>
        <v>1</v>
      </c>
      <c r="AV52" s="68">
        <f ca="1">IF(AND(SUMIF(Capacity_Resource,$D52,'Critical resources (hide)'!BI$6:BI$105)+SUMIF(Capacity_Resource,$E52,'Critical resources (hide)'!BI$6:BI$105)+SUMIF(Capacity_Resource,$F52,'Critical resources (hide)'!BI$6:BI$105)&gt;0,$E$1=2),0,1)</f>
        <v>1</v>
      </c>
      <c r="AW52" s="68">
        <f ca="1">IF(AND(SUMIF(Capacity_Resource,$D52,'Critical resources (hide)'!BJ$6:BJ$105)+SUMIF(Capacity_Resource,$E52,'Critical resources (hide)'!BJ$6:BJ$105)+SUMIF(Capacity_Resource,$F52,'Critical resources (hide)'!BJ$6:BJ$105)&gt;0,$E$1=2),0,1)</f>
        <v>1</v>
      </c>
      <c r="AX52" s="68">
        <f ca="1">IF(AND(SUMIF(Capacity_Resource,$D52,'Critical resources (hide)'!BK$6:BK$105)+SUMIF(Capacity_Resource,$E52,'Critical resources (hide)'!BK$6:BK$105)+SUMIF(Capacity_Resource,$F52,'Critical resources (hide)'!BK$6:BK$105)&gt;0,$E$1=2),0,1)</f>
        <v>1</v>
      </c>
      <c r="AY52" s="68">
        <f ca="1">IF(AND(SUMIF(Capacity_Resource,$D52,'Critical resources (hide)'!BL$6:BL$105)+SUMIF(Capacity_Resource,$E52,'Critical resources (hide)'!BL$6:BL$105)+SUMIF(Capacity_Resource,$F52,'Critical resources (hide)'!BL$6:BL$105)&gt;0,$E$1=2),0,1)</f>
        <v>1</v>
      </c>
      <c r="AZ52" s="68">
        <f ca="1">IF(AND(SUMIF(Capacity_Resource,$D52,'Critical resources (hide)'!BM$6:BM$105)+SUMIF(Capacity_Resource,$E52,'Critical resources (hide)'!BM$6:BM$105)+SUMIF(Capacity_Resource,$F52,'Critical resources (hide)'!BM$6:BM$105)&gt;0,$E$1=2),0,1)</f>
        <v>1</v>
      </c>
      <c r="BA52" s="68">
        <f ca="1">IF(AND(SUMIF(Capacity_Resource,$D52,'Critical resources (hide)'!BN$6:BN$105)+SUMIF(Capacity_Resource,$E52,'Critical resources (hide)'!BN$6:BN$105)+SUMIF(Capacity_Resource,$F52,'Critical resources (hide)'!BN$6:BN$105)&gt;0,$E$1=2),0,1)</f>
        <v>1</v>
      </c>
      <c r="BB52" s="68">
        <f ca="1">IF(AND(SUMIF(Capacity_Resource,$D52,'Critical resources (hide)'!BO$6:BO$105)+SUMIF(Capacity_Resource,$E52,'Critical resources (hide)'!BO$6:BO$105)+SUMIF(Capacity_Resource,$F52,'Critical resources (hide)'!BO$6:BO$105)&gt;0,$E$1=2),0,1)</f>
        <v>1</v>
      </c>
      <c r="BC52" s="68">
        <f ca="1">IF(AND(SUMIF(Capacity_Resource,$D52,'Critical resources (hide)'!BP$6:BP$105)+SUMIF(Capacity_Resource,$E52,'Critical resources (hide)'!BP$6:BP$105)+SUMIF(Capacity_Resource,$F52,'Critical resources (hide)'!BP$6:BP$105)&gt;0,$E$1=2),0,1)</f>
        <v>1</v>
      </c>
      <c r="BD52" s="68">
        <f ca="1">IF(AND(SUMIF(Capacity_Resource,$D52,'Critical resources (hide)'!BQ$6:BQ$105)+SUMIF(Capacity_Resource,$E52,'Critical resources (hide)'!BQ$6:BQ$105)+SUMIF(Capacity_Resource,$F52,'Critical resources (hide)'!BQ$6:BQ$105)&gt;0,$E$1=2),0,1)</f>
        <v>1</v>
      </c>
      <c r="BE52" s="68">
        <f ca="1">IF(AND(SUMIF(Capacity_Resource,$D52,'Critical resources (hide)'!BR$6:BR$105)+SUMIF(Capacity_Resource,$E52,'Critical resources (hide)'!BR$6:BR$105)+SUMIF(Capacity_Resource,$F52,'Critical resources (hide)'!BR$6:BR$105)&gt;0,$E$1=2),0,1)</f>
        <v>1</v>
      </c>
      <c r="BF52" s="68">
        <f ca="1">IF(AND(SUMIF(Capacity_Resource,$D52,'Critical resources (hide)'!BS$6:BS$105)+SUMIF(Capacity_Resource,$E52,'Critical resources (hide)'!BS$6:BS$105)+SUMIF(Capacity_Resource,$F52,'Critical resources (hide)'!BS$6:BS$105)&gt;0,$E$1=2),0,1)</f>
        <v>1</v>
      </c>
      <c r="BG52" s="68">
        <f ca="1">IF(AND(SUMIF(Capacity_Resource,$D52,'Critical resources (hide)'!BT$6:BT$105)+SUMIF(Capacity_Resource,$E52,'Critical resources (hide)'!BT$6:BT$105)+SUMIF(Capacity_Resource,$F52,'Critical resources (hide)'!BT$6:BT$105)&gt;0,$E$1=2),0,1)</f>
        <v>1</v>
      </c>
      <c r="BH52" s="68">
        <f>IF(ROW(C48)&lt;=Capacity!$A$16,IF('Capacity summary'!$D$14="No",SUM(H52:BG52),'Capacity summary'!$E171),0)</f>
        <v>0</v>
      </c>
      <c r="BI52" s="5" t="str">
        <f>IF(BH52&gt;0,IF(BH52&lt;Capacity!E64,Capacity!F64,Capacity!H64/'Capacity calculation (hide)'!BH52),"")</f>
        <v/>
      </c>
      <c r="BK52" s="319">
        <f>IF($BI52&lt;&gt;"",IF('Capacity summary'!$D$14="Yes",IF(COUNTBLANK('Capacity summary'!$H171:$BG171)&lt;52,IF('Capacity summary'!H171&lt;&gt;"",$BI52*H52,0),H52*$BI52),H52*$BI52),0)</f>
        <v>0</v>
      </c>
      <c r="BL52" s="319">
        <f>IF($BI52&lt;&gt;"",IF('Capacity summary'!$D$14="Yes",IF(COUNTBLANK('Capacity summary'!$H171:$BG171)&lt;52,IF('Capacity summary'!I171&lt;&gt;"",$BI52*I52,0),I52*$BI52),I52*$BI52),0)</f>
        <v>0</v>
      </c>
      <c r="BM52" s="319">
        <f>IF($BI52&lt;&gt;"",IF('Capacity summary'!$D$14="Yes",IF(COUNTBLANK('Capacity summary'!$H171:$BG171)&lt;52,IF('Capacity summary'!J171&lt;&gt;"",$BI52*J52,0),J52*$BI52),J52*$BI52),0)</f>
        <v>0</v>
      </c>
      <c r="BN52" s="319">
        <f>IF($BI52&lt;&gt;"",IF('Capacity summary'!$D$14="Yes",IF(COUNTBLANK('Capacity summary'!$H171:$BG171)&lt;52,IF('Capacity summary'!K171&lt;&gt;"",$BI52*K52,0),K52*$BI52),K52*$BI52),0)</f>
        <v>0</v>
      </c>
      <c r="BO52" s="319">
        <f>IF($BI52&lt;&gt;"",IF('Capacity summary'!$D$14="Yes",IF(COUNTBLANK('Capacity summary'!$H171:$BG171)&lt;52,IF('Capacity summary'!L171&lt;&gt;"",$BI52*L52,0),L52*$BI52),L52*$BI52),0)</f>
        <v>0</v>
      </c>
      <c r="BP52" s="319">
        <f>IF($BI52&lt;&gt;"",IF('Capacity summary'!$D$14="Yes",IF(COUNTBLANK('Capacity summary'!$H171:$BG171)&lt;52,IF('Capacity summary'!M171&lt;&gt;"",$BI52*M52,0),M52*$BI52),M52*$BI52),0)</f>
        <v>0</v>
      </c>
      <c r="BQ52" s="319">
        <f>IF($BI52&lt;&gt;"",IF('Capacity summary'!$D$14="Yes",IF(COUNTBLANK('Capacity summary'!$H171:$BG171)&lt;52,IF('Capacity summary'!N171&lt;&gt;"",$BI52*N52,0),N52*$BI52),N52*$BI52),0)</f>
        <v>0</v>
      </c>
      <c r="BR52" s="319">
        <f>IF($BI52&lt;&gt;"",IF('Capacity summary'!$D$14="Yes",IF(COUNTBLANK('Capacity summary'!$H171:$BG171)&lt;52,IF('Capacity summary'!O171&lt;&gt;"",$BI52*O52,0),O52*$BI52),O52*$BI52),0)</f>
        <v>0</v>
      </c>
      <c r="BS52" s="319">
        <f>IF($BI52&lt;&gt;"",IF('Capacity summary'!$D$14="Yes",IF(COUNTBLANK('Capacity summary'!$H171:$BG171)&lt;52,IF('Capacity summary'!P171&lt;&gt;"",$BI52*P52,0),P52*$BI52),P52*$BI52),0)</f>
        <v>0</v>
      </c>
      <c r="BT52" s="319">
        <f>IF($BI52&lt;&gt;"",IF('Capacity summary'!$D$14="Yes",IF(COUNTBLANK('Capacity summary'!$H171:$BG171)&lt;52,IF('Capacity summary'!Q171&lt;&gt;"",$BI52*Q52,0),Q52*$BI52),Q52*$BI52),0)</f>
        <v>0</v>
      </c>
      <c r="BU52" s="319">
        <f>IF($BI52&lt;&gt;"",IF('Capacity summary'!$D$14="Yes",IF(COUNTBLANK('Capacity summary'!$H171:$BG171)&lt;52,IF('Capacity summary'!R171&lt;&gt;"",$BI52*R52,0),R52*$BI52),R52*$BI52),0)</f>
        <v>0</v>
      </c>
      <c r="BV52" s="319">
        <f>IF($BI52&lt;&gt;"",IF('Capacity summary'!$D$14="Yes",IF(COUNTBLANK('Capacity summary'!$H171:$BG171)&lt;52,IF('Capacity summary'!S171&lt;&gt;"",$BI52*S52,0),S52*$BI52),S52*$BI52),0)</f>
        <v>0</v>
      </c>
      <c r="BW52" s="319">
        <f>IF($BI52&lt;&gt;"",IF('Capacity summary'!$D$14="Yes",IF(COUNTBLANK('Capacity summary'!$H171:$BG171)&lt;52,IF('Capacity summary'!T171&lt;&gt;"",$BI52*T52,0),T52*$BI52),T52*$BI52),0)</f>
        <v>0</v>
      </c>
      <c r="BX52" s="319">
        <f>IF($BI52&lt;&gt;"",IF('Capacity summary'!$D$14="Yes",IF(COUNTBLANK('Capacity summary'!$H171:$BG171)&lt;52,IF('Capacity summary'!U171&lt;&gt;"",$BI52*U52,0),U52*$BI52),U52*$BI52),0)</f>
        <v>0</v>
      </c>
      <c r="BY52" s="319">
        <f>IF($BI52&lt;&gt;"",IF('Capacity summary'!$D$14="Yes",IF(COUNTBLANK('Capacity summary'!$H171:$BG171)&lt;52,IF('Capacity summary'!V171&lt;&gt;"",$BI52*V52,0),V52*$BI52),V52*$BI52),0)</f>
        <v>0</v>
      </c>
      <c r="BZ52" s="319">
        <f>IF($BI52&lt;&gt;"",IF('Capacity summary'!$D$14="Yes",IF(COUNTBLANK('Capacity summary'!$H171:$BG171)&lt;52,IF('Capacity summary'!W171&lt;&gt;"",$BI52*W52,0),W52*$BI52),W52*$BI52),0)</f>
        <v>0</v>
      </c>
      <c r="CA52" s="319">
        <f>IF($BI52&lt;&gt;"",IF('Capacity summary'!$D$14="Yes",IF(COUNTBLANK('Capacity summary'!$H171:$BG171)&lt;52,IF('Capacity summary'!X171&lt;&gt;"",$BI52*X52,0),X52*$BI52),X52*$BI52),0)</f>
        <v>0</v>
      </c>
      <c r="CB52" s="319">
        <f>IF($BI52&lt;&gt;"",IF('Capacity summary'!$D$14="Yes",IF(COUNTBLANK('Capacity summary'!$H171:$BG171)&lt;52,IF('Capacity summary'!Y171&lt;&gt;"",$BI52*Y52,0),Y52*$BI52),Y52*$BI52),0)</f>
        <v>0</v>
      </c>
      <c r="CC52" s="319">
        <f>IF($BI52&lt;&gt;"",IF('Capacity summary'!$D$14="Yes",IF(COUNTBLANK('Capacity summary'!$H171:$BG171)&lt;52,IF('Capacity summary'!Z171&lt;&gt;"",$BI52*Z52,0),Z52*$BI52),Z52*$BI52),0)</f>
        <v>0</v>
      </c>
      <c r="CD52" s="319">
        <f>IF($BI52&lt;&gt;"",IF('Capacity summary'!$D$14="Yes",IF(COUNTBLANK('Capacity summary'!$H171:$BG171)&lt;52,IF('Capacity summary'!AA171&lt;&gt;"",$BI52*AA52,0),AA52*$BI52),AA52*$BI52),0)</f>
        <v>0</v>
      </c>
      <c r="CE52" s="319">
        <f>IF($BI52&lt;&gt;"",IF('Capacity summary'!$D$14="Yes",IF(COUNTBLANK('Capacity summary'!$H171:$BG171)&lt;52,IF('Capacity summary'!AB171&lt;&gt;"",$BI52*AB52,0),AB52*$BI52),AB52*$BI52),0)</f>
        <v>0</v>
      </c>
      <c r="CF52" s="319">
        <f>IF($BI52&lt;&gt;"",IF('Capacity summary'!$D$14="Yes",IF(COUNTBLANK('Capacity summary'!$H171:$BG171)&lt;52,IF('Capacity summary'!AC171&lt;&gt;"",$BI52*AC52,0),AC52*$BI52),AC52*$BI52),0)</f>
        <v>0</v>
      </c>
      <c r="CG52" s="319">
        <f>IF($BI52&lt;&gt;"",IF('Capacity summary'!$D$14="Yes",IF(COUNTBLANK('Capacity summary'!$H171:$BG171)&lt;52,IF('Capacity summary'!AD171&lt;&gt;"",$BI52*AD52,0),AD52*$BI52),AD52*$BI52),0)</f>
        <v>0</v>
      </c>
      <c r="CH52" s="319">
        <f>IF($BI52&lt;&gt;"",IF('Capacity summary'!$D$14="Yes",IF(COUNTBLANK('Capacity summary'!$H171:$BG171)&lt;52,IF('Capacity summary'!AE171&lt;&gt;"",$BI52*AE52,0),AE52*$BI52),AE52*$BI52),0)</f>
        <v>0</v>
      </c>
      <c r="CI52" s="319">
        <f>IF($BI52&lt;&gt;"",IF('Capacity summary'!$D$14="Yes",IF(COUNTBLANK('Capacity summary'!$H171:$BG171)&lt;52,IF('Capacity summary'!AF171&lt;&gt;"",$BI52*AF52,0),AF52*$BI52),AF52*$BI52),0)</f>
        <v>0</v>
      </c>
      <c r="CJ52" s="319">
        <f>IF($BI52&lt;&gt;"",IF('Capacity summary'!$D$14="Yes",IF(COUNTBLANK('Capacity summary'!$H171:$BG171)&lt;52,IF('Capacity summary'!AG171&lt;&gt;"",$BI52*AG52,0),AG52*$BI52),AG52*$BI52),0)</f>
        <v>0</v>
      </c>
      <c r="CK52" s="319">
        <f>IF($BI52&lt;&gt;"",IF('Capacity summary'!$D$14="Yes",IF(COUNTBLANK('Capacity summary'!$H171:$BG171)&lt;52,IF('Capacity summary'!AH171&lt;&gt;"",$BI52*AH52,0),AH52*$BI52),AH52*$BI52),0)</f>
        <v>0</v>
      </c>
      <c r="CL52" s="319">
        <f>IF($BI52&lt;&gt;"",IF('Capacity summary'!$D$14="Yes",IF(COUNTBLANK('Capacity summary'!$H171:$BG171)&lt;52,IF('Capacity summary'!AI171&lt;&gt;"",$BI52*AI52,0),AI52*$BI52),AI52*$BI52),0)</f>
        <v>0</v>
      </c>
      <c r="CM52" s="319">
        <f>IF($BI52&lt;&gt;"",IF('Capacity summary'!$D$14="Yes",IF(COUNTBLANK('Capacity summary'!$H171:$BG171)&lt;52,IF('Capacity summary'!AJ171&lt;&gt;"",$BI52*AJ52,0),AJ52*$BI52),AJ52*$BI52),0)</f>
        <v>0</v>
      </c>
      <c r="CN52" s="319">
        <f>IF($BI52&lt;&gt;"",IF('Capacity summary'!$D$14="Yes",IF(COUNTBLANK('Capacity summary'!$H171:$BG171)&lt;52,IF('Capacity summary'!AK171&lt;&gt;"",$BI52*AK52,0),AK52*$BI52),AK52*$BI52),0)</f>
        <v>0</v>
      </c>
      <c r="CO52" s="319">
        <f>IF($BI52&lt;&gt;"",IF('Capacity summary'!$D$14="Yes",IF(COUNTBLANK('Capacity summary'!$H171:$BG171)&lt;52,IF('Capacity summary'!AL171&lt;&gt;"",$BI52*AL52,0),AL52*$BI52),AL52*$BI52),0)</f>
        <v>0</v>
      </c>
      <c r="CP52" s="319">
        <f>IF($BI52&lt;&gt;"",IF('Capacity summary'!$D$14="Yes",IF(COUNTBLANK('Capacity summary'!$H171:$BG171)&lt;52,IF('Capacity summary'!AM171&lt;&gt;"",$BI52*AM52,0),AM52*$BI52),AM52*$BI52),0)</f>
        <v>0</v>
      </c>
      <c r="CQ52" s="319">
        <f>IF($BI52&lt;&gt;"",IF('Capacity summary'!$D$14="Yes",IF(COUNTBLANK('Capacity summary'!$H171:$BG171)&lt;52,IF('Capacity summary'!AN171&lt;&gt;"",$BI52*AN52,0),AN52*$BI52),AN52*$BI52),0)</f>
        <v>0</v>
      </c>
      <c r="CR52" s="319">
        <f>IF($BI52&lt;&gt;"",IF('Capacity summary'!$D$14="Yes",IF(COUNTBLANK('Capacity summary'!$H171:$BG171)&lt;52,IF('Capacity summary'!AO171&lt;&gt;"",$BI52*AO52,0),AO52*$BI52),AO52*$BI52),0)</f>
        <v>0</v>
      </c>
      <c r="CS52" s="319">
        <f>IF($BI52&lt;&gt;"",IF('Capacity summary'!$D$14="Yes",IF(COUNTBLANK('Capacity summary'!$H171:$BG171)&lt;52,IF('Capacity summary'!AP171&lt;&gt;"",$BI52*AP52,0),AP52*$BI52),AP52*$BI52),0)</f>
        <v>0</v>
      </c>
      <c r="CT52" s="319">
        <f>IF($BI52&lt;&gt;"",IF('Capacity summary'!$D$14="Yes",IF(COUNTBLANK('Capacity summary'!$H171:$BG171)&lt;52,IF('Capacity summary'!AQ171&lt;&gt;"",$BI52*AQ52,0),AQ52*$BI52),AQ52*$BI52),0)</f>
        <v>0</v>
      </c>
      <c r="CU52" s="319">
        <f>IF($BI52&lt;&gt;"",IF('Capacity summary'!$D$14="Yes",IF(COUNTBLANK('Capacity summary'!$H171:$BG171)&lt;52,IF('Capacity summary'!AR171&lt;&gt;"",$BI52*AR52,0),AR52*$BI52),AR52*$BI52),0)</f>
        <v>0</v>
      </c>
      <c r="CV52" s="319">
        <f>IF($BI52&lt;&gt;"",IF('Capacity summary'!$D$14="Yes",IF(COUNTBLANK('Capacity summary'!$H171:$BG171)&lt;52,IF('Capacity summary'!AS171&lt;&gt;"",$BI52*AS52,0),AS52*$BI52),AS52*$BI52),0)</f>
        <v>0</v>
      </c>
      <c r="CW52" s="319">
        <f>IF($BI52&lt;&gt;"",IF('Capacity summary'!$D$14="Yes",IF(COUNTBLANK('Capacity summary'!$H171:$BG171)&lt;52,IF('Capacity summary'!AT171&lt;&gt;"",$BI52*AT52,0),AT52*$BI52),AT52*$BI52),0)</f>
        <v>0</v>
      </c>
      <c r="CX52" s="319">
        <f>IF($BI52&lt;&gt;"",IF('Capacity summary'!$D$14="Yes",IF(COUNTBLANK('Capacity summary'!$H171:$BG171)&lt;52,IF('Capacity summary'!AU171&lt;&gt;"",$BI52*AU52,0),AU52*$BI52),AU52*$BI52),0)</f>
        <v>0</v>
      </c>
      <c r="CY52" s="319">
        <f>IF($BI52&lt;&gt;"",IF('Capacity summary'!$D$14="Yes",IF(COUNTBLANK('Capacity summary'!$H171:$BG171)&lt;52,IF('Capacity summary'!AV171&lt;&gt;"",$BI52*AV52,0),AV52*$BI52),AV52*$BI52),0)</f>
        <v>0</v>
      </c>
      <c r="CZ52" s="319">
        <f>IF($BI52&lt;&gt;"",IF('Capacity summary'!$D$14="Yes",IF(COUNTBLANK('Capacity summary'!$H171:$BG171)&lt;52,IF('Capacity summary'!AW171&lt;&gt;"",$BI52*AW52,0),AW52*$BI52),AW52*$BI52),0)</f>
        <v>0</v>
      </c>
      <c r="DA52" s="319">
        <f>IF($BI52&lt;&gt;"",IF('Capacity summary'!$D$14="Yes",IF(COUNTBLANK('Capacity summary'!$H171:$BG171)&lt;52,IF('Capacity summary'!AX171&lt;&gt;"",$BI52*AX52,0),AX52*$BI52),AX52*$BI52),0)</f>
        <v>0</v>
      </c>
      <c r="DB52" s="319">
        <f>IF($BI52&lt;&gt;"",IF('Capacity summary'!$D$14="Yes",IF(COUNTBLANK('Capacity summary'!$H171:$BG171)&lt;52,IF('Capacity summary'!AY171&lt;&gt;"",$BI52*AY52,0),AY52*$BI52),AY52*$BI52),0)</f>
        <v>0</v>
      </c>
      <c r="DC52" s="319">
        <f>IF($BI52&lt;&gt;"",IF('Capacity summary'!$D$14="Yes",IF(COUNTBLANK('Capacity summary'!$H171:$BG171)&lt;52,IF('Capacity summary'!AZ171&lt;&gt;"",$BI52*AZ52,0),AZ52*$BI52),AZ52*$BI52),0)</f>
        <v>0</v>
      </c>
      <c r="DD52" s="319">
        <f>IF($BI52&lt;&gt;"",IF('Capacity summary'!$D$14="Yes",IF(COUNTBLANK('Capacity summary'!$H171:$BG171)&lt;52,IF('Capacity summary'!BA171&lt;&gt;"",$BI52*BA52,0),BA52*$BI52),BA52*$BI52),0)</f>
        <v>0</v>
      </c>
      <c r="DE52" s="319">
        <f>IF($BI52&lt;&gt;"",IF('Capacity summary'!$D$14="Yes",IF(COUNTBLANK('Capacity summary'!$H171:$BG171)&lt;52,IF('Capacity summary'!BB171&lt;&gt;"",$BI52*BB52,0),BB52*$BI52),BB52*$BI52),0)</f>
        <v>0</v>
      </c>
      <c r="DF52" s="319">
        <f>IF($BI52&lt;&gt;"",IF('Capacity summary'!$D$14="Yes",IF(COUNTBLANK('Capacity summary'!$H171:$BG171)&lt;52,IF('Capacity summary'!BC171&lt;&gt;"",$BI52*BC52,0),BC52*$BI52),BC52*$BI52),0)</f>
        <v>0</v>
      </c>
      <c r="DG52" s="319">
        <f>IF($BI52&lt;&gt;"",IF('Capacity summary'!$D$14="Yes",IF(COUNTBLANK('Capacity summary'!$H171:$BG171)&lt;52,IF('Capacity summary'!BD171&lt;&gt;"",$BI52*BD52,0),BD52*$BI52),BD52*$BI52),0)</f>
        <v>0</v>
      </c>
      <c r="DH52" s="319">
        <f>IF($BI52&lt;&gt;"",IF('Capacity summary'!$D$14="Yes",IF(COUNTBLANK('Capacity summary'!$H171:$BG171)&lt;52,IF('Capacity summary'!BE171&lt;&gt;"",$BI52*BE52,0),BE52*$BI52),BE52*$BI52),0)</f>
        <v>0</v>
      </c>
      <c r="DI52" s="319">
        <f>IF($BI52&lt;&gt;"",IF('Capacity summary'!$D$14="Yes",IF(COUNTBLANK('Capacity summary'!$H171:$BG171)&lt;52,IF('Capacity summary'!BF171&lt;&gt;"",$BI52*BF52,0),BF52*$BI52),BF52*$BI52),0)</f>
        <v>0</v>
      </c>
      <c r="DJ52" s="319">
        <f>IF($BI52&lt;&gt;"",IF('Capacity summary'!$D$14="Yes",IF(COUNTBLANK('Capacity summary'!$H171:$BG171)&lt;52,IF('Capacity summary'!BG171&lt;&gt;"",$BI52*BG52,0),BG52*$BI52),BG52*$BI52),0)</f>
        <v>0</v>
      </c>
      <c r="DK52" s="5">
        <f t="shared" si="2"/>
        <v>0</v>
      </c>
      <c r="DL52" s="5" t="str">
        <f>Capacity!H64</f>
        <v/>
      </c>
      <c r="DP52" s="5"/>
    </row>
    <row r="53" spans="2:120" x14ac:dyDescent="0.2">
      <c r="B53" s="68"/>
      <c r="C53" s="68" t="str">
        <f>ROW(A49)&amp;". "&amp;Capacity!B65</f>
        <v xml:space="preserve">49. </v>
      </c>
      <c r="D53" s="68">
        <f>'Capacity setup'!C60</f>
        <v>0</v>
      </c>
      <c r="E53" s="68">
        <f>'Capacity setup'!D60</f>
        <v>0</v>
      </c>
      <c r="F53" s="68">
        <f>'Capacity setup'!E60</f>
        <v>0</v>
      </c>
      <c r="H53" s="68">
        <f ca="1">IF(AND(SUMIF(Capacity_Resource,$D53,'Critical resources (hide)'!U$6:U$105)+SUMIF(Capacity_Resource,$E53,'Critical resources (hide)'!U$6:U$105)+SUMIF(Capacity_Resource,$F53,'Critical resources (hide)'!U$6:U$105)&gt;0,$E$1=2),0,1)</f>
        <v>1</v>
      </c>
      <c r="I53" s="68">
        <f ca="1">IF(AND(SUMIF(Capacity_Resource,$D53,'Critical resources (hide)'!V$6:V$105)+SUMIF(Capacity_Resource,$E53,'Critical resources (hide)'!V$6:V$105)+SUMIF(Capacity_Resource,$F53,'Critical resources (hide)'!V$6:V$105)&gt;0,$E$1=2),0,1)</f>
        <v>1</v>
      </c>
      <c r="J53" s="68">
        <f ca="1">IF(AND(SUMIF(Capacity_Resource,$D53,'Critical resources (hide)'!W$6:W$105)+SUMIF(Capacity_Resource,$E53,'Critical resources (hide)'!W$6:W$105)+SUMIF(Capacity_Resource,$F53,'Critical resources (hide)'!W$6:W$105)&gt;0,$E$1=2),0,1)</f>
        <v>1</v>
      </c>
      <c r="K53" s="68">
        <f ca="1">IF(AND(SUMIF(Capacity_Resource,$D53,'Critical resources (hide)'!X$6:X$105)+SUMIF(Capacity_Resource,$E53,'Critical resources (hide)'!X$6:X$105)+SUMIF(Capacity_Resource,$F53,'Critical resources (hide)'!X$6:X$105)&gt;0,$E$1=2),0,1)</f>
        <v>1</v>
      </c>
      <c r="L53" s="68">
        <f ca="1">IF(AND(SUMIF(Capacity_Resource,$D53,'Critical resources (hide)'!Y$6:Y$105)+SUMIF(Capacity_Resource,$E53,'Critical resources (hide)'!Y$6:Y$105)+SUMIF(Capacity_Resource,$F53,'Critical resources (hide)'!Y$6:Y$105)&gt;0,$E$1=2),0,1)</f>
        <v>1</v>
      </c>
      <c r="M53" s="68">
        <f ca="1">IF(AND(SUMIF(Capacity_Resource,$D53,'Critical resources (hide)'!Z$6:Z$105)+SUMIF(Capacity_Resource,$E53,'Critical resources (hide)'!Z$6:Z$105)+SUMIF(Capacity_Resource,$F53,'Critical resources (hide)'!Z$6:Z$105)&gt;0,$E$1=2),0,1)</f>
        <v>1</v>
      </c>
      <c r="N53" s="68">
        <f ca="1">IF(AND(SUMIF(Capacity_Resource,$D53,'Critical resources (hide)'!AA$6:AA$105)+SUMIF(Capacity_Resource,$E53,'Critical resources (hide)'!AA$6:AA$105)+SUMIF(Capacity_Resource,$F53,'Critical resources (hide)'!AA$6:AA$105)&gt;0,$E$1=2),0,1)</f>
        <v>1</v>
      </c>
      <c r="O53" s="68">
        <f ca="1">IF(AND(SUMIF(Capacity_Resource,$D53,'Critical resources (hide)'!AB$6:AB$105)+SUMIF(Capacity_Resource,$E53,'Critical resources (hide)'!AB$6:AB$105)+SUMIF(Capacity_Resource,$F53,'Critical resources (hide)'!AB$6:AB$105)&gt;0,$E$1=2),0,1)</f>
        <v>1</v>
      </c>
      <c r="P53" s="68">
        <f ca="1">IF(AND(SUMIF(Capacity_Resource,$D53,'Critical resources (hide)'!AC$6:AC$105)+SUMIF(Capacity_Resource,$E53,'Critical resources (hide)'!AC$6:AC$105)+SUMIF(Capacity_Resource,$F53,'Critical resources (hide)'!AC$6:AC$105)&gt;0,$E$1=2),0,1)</f>
        <v>1</v>
      </c>
      <c r="Q53" s="68">
        <f ca="1">IF(AND(SUMIF(Capacity_Resource,$D53,'Critical resources (hide)'!AD$6:AD$105)+SUMIF(Capacity_Resource,$E53,'Critical resources (hide)'!AD$6:AD$105)+SUMIF(Capacity_Resource,$F53,'Critical resources (hide)'!AD$6:AD$105)&gt;0,$E$1=2),0,1)</f>
        <v>1</v>
      </c>
      <c r="R53" s="68">
        <f ca="1">IF(AND(SUMIF(Capacity_Resource,$D53,'Critical resources (hide)'!AE$6:AE$105)+SUMIF(Capacity_Resource,$E53,'Critical resources (hide)'!AE$6:AE$105)+SUMIF(Capacity_Resource,$F53,'Critical resources (hide)'!AE$6:AE$105)&gt;0,$E$1=2),0,1)</f>
        <v>1</v>
      </c>
      <c r="S53" s="68">
        <f ca="1">IF(AND(SUMIF(Capacity_Resource,$D53,'Critical resources (hide)'!AF$6:AF$105)+SUMIF(Capacity_Resource,$E53,'Critical resources (hide)'!AF$6:AF$105)+SUMIF(Capacity_Resource,$F53,'Critical resources (hide)'!AF$6:AF$105)&gt;0,$E$1=2),0,1)</f>
        <v>1</v>
      </c>
      <c r="T53" s="68">
        <f ca="1">IF(AND(SUMIF(Capacity_Resource,$D53,'Critical resources (hide)'!AG$6:AG$105)+SUMIF(Capacity_Resource,$E53,'Critical resources (hide)'!AG$6:AG$105)+SUMIF(Capacity_Resource,$F53,'Critical resources (hide)'!AG$6:AG$105)&gt;0,$E$1=2),0,1)</f>
        <v>1</v>
      </c>
      <c r="U53" s="68">
        <f ca="1">IF(AND(SUMIF(Capacity_Resource,$D53,'Critical resources (hide)'!AH$6:AH$105)+SUMIF(Capacity_Resource,$E53,'Critical resources (hide)'!AH$6:AH$105)+SUMIF(Capacity_Resource,$F53,'Critical resources (hide)'!AH$6:AH$105)&gt;0,$E$1=2),0,1)</f>
        <v>1</v>
      </c>
      <c r="V53" s="68">
        <f ca="1">IF(AND(SUMIF(Capacity_Resource,$D53,'Critical resources (hide)'!AI$6:AI$105)+SUMIF(Capacity_Resource,$E53,'Critical resources (hide)'!AI$6:AI$105)+SUMIF(Capacity_Resource,$F53,'Critical resources (hide)'!AI$6:AI$105)&gt;0,$E$1=2),0,1)</f>
        <v>1</v>
      </c>
      <c r="W53" s="68">
        <f ca="1">IF(AND(SUMIF(Capacity_Resource,$D53,'Critical resources (hide)'!AJ$6:AJ$105)+SUMIF(Capacity_Resource,$E53,'Critical resources (hide)'!AJ$6:AJ$105)+SUMIF(Capacity_Resource,$F53,'Critical resources (hide)'!AJ$6:AJ$105)&gt;0,$E$1=2),0,1)</f>
        <v>1</v>
      </c>
      <c r="X53" s="68">
        <f ca="1">IF(AND(SUMIF(Capacity_Resource,$D53,'Critical resources (hide)'!AK$6:AK$105)+SUMIF(Capacity_Resource,$E53,'Critical resources (hide)'!AK$6:AK$105)+SUMIF(Capacity_Resource,$F53,'Critical resources (hide)'!AK$6:AK$105)&gt;0,$E$1=2),0,1)</f>
        <v>1</v>
      </c>
      <c r="Y53" s="68">
        <f ca="1">IF(AND(SUMIF(Capacity_Resource,$D53,'Critical resources (hide)'!AL$6:AL$105)+SUMIF(Capacity_Resource,$E53,'Critical resources (hide)'!AL$6:AL$105)+SUMIF(Capacity_Resource,$F53,'Critical resources (hide)'!AL$6:AL$105)&gt;0,$E$1=2),0,1)</f>
        <v>1</v>
      </c>
      <c r="Z53" s="68">
        <f ca="1">IF(AND(SUMIF(Capacity_Resource,$D53,'Critical resources (hide)'!AM$6:AM$105)+SUMIF(Capacity_Resource,$E53,'Critical resources (hide)'!AM$6:AM$105)+SUMIF(Capacity_Resource,$F53,'Critical resources (hide)'!AM$6:AM$105)&gt;0,$E$1=2),0,1)</f>
        <v>1</v>
      </c>
      <c r="AA53" s="68">
        <f ca="1">IF(AND(SUMIF(Capacity_Resource,$D53,'Critical resources (hide)'!AN$6:AN$105)+SUMIF(Capacity_Resource,$E53,'Critical resources (hide)'!AN$6:AN$105)+SUMIF(Capacity_Resource,$F53,'Critical resources (hide)'!AN$6:AN$105)&gt;0,$E$1=2),0,1)</f>
        <v>1</v>
      </c>
      <c r="AB53" s="68">
        <f ca="1">IF(AND(SUMIF(Capacity_Resource,$D53,'Critical resources (hide)'!AO$6:AO$105)+SUMIF(Capacity_Resource,$E53,'Critical resources (hide)'!AO$6:AO$105)+SUMIF(Capacity_Resource,$F53,'Critical resources (hide)'!AO$6:AO$105)&gt;0,$E$1=2),0,1)</f>
        <v>1</v>
      </c>
      <c r="AC53" s="68">
        <f ca="1">IF(AND(SUMIF(Capacity_Resource,$D53,'Critical resources (hide)'!AP$6:AP$105)+SUMIF(Capacity_Resource,$E53,'Critical resources (hide)'!AP$6:AP$105)+SUMIF(Capacity_Resource,$F53,'Critical resources (hide)'!AP$6:AP$105)&gt;0,$E$1=2),0,1)</f>
        <v>1</v>
      </c>
      <c r="AD53" s="68">
        <f ca="1">IF(AND(SUMIF(Capacity_Resource,$D53,'Critical resources (hide)'!AQ$6:AQ$105)+SUMIF(Capacity_Resource,$E53,'Critical resources (hide)'!AQ$6:AQ$105)+SUMIF(Capacity_Resource,$F53,'Critical resources (hide)'!AQ$6:AQ$105)&gt;0,$E$1=2),0,1)</f>
        <v>1</v>
      </c>
      <c r="AE53" s="68">
        <f ca="1">IF(AND(SUMIF(Capacity_Resource,$D53,'Critical resources (hide)'!AR$6:AR$105)+SUMIF(Capacity_Resource,$E53,'Critical resources (hide)'!AR$6:AR$105)+SUMIF(Capacity_Resource,$F53,'Critical resources (hide)'!AR$6:AR$105)&gt;0,$E$1=2),0,1)</f>
        <v>1</v>
      </c>
      <c r="AF53" s="68">
        <f ca="1">IF(AND(SUMIF(Capacity_Resource,$D53,'Critical resources (hide)'!AS$6:AS$105)+SUMIF(Capacity_Resource,$E53,'Critical resources (hide)'!AS$6:AS$105)+SUMIF(Capacity_Resource,$F53,'Critical resources (hide)'!AS$6:AS$105)&gt;0,$E$1=2),0,1)</f>
        <v>1</v>
      </c>
      <c r="AG53" s="68">
        <f ca="1">IF(AND(SUMIF(Capacity_Resource,$D53,'Critical resources (hide)'!AT$6:AT$105)+SUMIF(Capacity_Resource,$E53,'Critical resources (hide)'!AT$6:AT$105)+SUMIF(Capacity_Resource,$F53,'Critical resources (hide)'!AT$6:AT$105)&gt;0,$E$1=2),0,1)</f>
        <v>1</v>
      </c>
      <c r="AH53" s="68">
        <f ca="1">IF(AND(SUMIF(Capacity_Resource,$D53,'Critical resources (hide)'!AU$6:AU$105)+SUMIF(Capacity_Resource,$E53,'Critical resources (hide)'!AU$6:AU$105)+SUMIF(Capacity_Resource,$F53,'Critical resources (hide)'!AU$6:AU$105)&gt;0,$E$1=2),0,1)</f>
        <v>1</v>
      </c>
      <c r="AI53" s="68">
        <f ca="1">IF(AND(SUMIF(Capacity_Resource,$D53,'Critical resources (hide)'!AV$6:AV$105)+SUMIF(Capacity_Resource,$E53,'Critical resources (hide)'!AV$6:AV$105)+SUMIF(Capacity_Resource,$F53,'Critical resources (hide)'!AV$6:AV$105)&gt;0,$E$1=2),0,1)</f>
        <v>1</v>
      </c>
      <c r="AJ53" s="68">
        <f ca="1">IF(AND(SUMIF(Capacity_Resource,$D53,'Critical resources (hide)'!AW$6:AW$105)+SUMIF(Capacity_Resource,$E53,'Critical resources (hide)'!AW$6:AW$105)+SUMIF(Capacity_Resource,$F53,'Critical resources (hide)'!AW$6:AW$105)&gt;0,$E$1=2),0,1)</f>
        <v>1</v>
      </c>
      <c r="AK53" s="68">
        <f ca="1">IF(AND(SUMIF(Capacity_Resource,$D53,'Critical resources (hide)'!AX$6:AX$105)+SUMIF(Capacity_Resource,$E53,'Critical resources (hide)'!AX$6:AX$105)+SUMIF(Capacity_Resource,$F53,'Critical resources (hide)'!AX$6:AX$105)&gt;0,$E$1=2),0,1)</f>
        <v>1</v>
      </c>
      <c r="AL53" s="68">
        <f ca="1">IF(AND(SUMIF(Capacity_Resource,$D53,'Critical resources (hide)'!AY$6:AY$105)+SUMIF(Capacity_Resource,$E53,'Critical resources (hide)'!AY$6:AY$105)+SUMIF(Capacity_Resource,$F53,'Critical resources (hide)'!AY$6:AY$105)&gt;0,$E$1=2),0,1)</f>
        <v>1</v>
      </c>
      <c r="AM53" s="68">
        <f ca="1">IF(AND(SUMIF(Capacity_Resource,$D53,'Critical resources (hide)'!AZ$6:AZ$105)+SUMIF(Capacity_Resource,$E53,'Critical resources (hide)'!AZ$6:AZ$105)+SUMIF(Capacity_Resource,$F53,'Critical resources (hide)'!AZ$6:AZ$105)&gt;0,$E$1=2),0,1)</f>
        <v>1</v>
      </c>
      <c r="AN53" s="68">
        <f ca="1">IF(AND(SUMIF(Capacity_Resource,$D53,'Critical resources (hide)'!BA$6:BA$105)+SUMIF(Capacity_Resource,$E53,'Critical resources (hide)'!BA$6:BA$105)+SUMIF(Capacity_Resource,$F53,'Critical resources (hide)'!BA$6:BA$105)&gt;0,$E$1=2),0,1)</f>
        <v>1</v>
      </c>
      <c r="AO53" s="68">
        <f ca="1">IF(AND(SUMIF(Capacity_Resource,$D53,'Critical resources (hide)'!BB$6:BB$105)+SUMIF(Capacity_Resource,$E53,'Critical resources (hide)'!BB$6:BB$105)+SUMIF(Capacity_Resource,$F53,'Critical resources (hide)'!BB$6:BB$105)&gt;0,$E$1=2),0,1)</f>
        <v>1</v>
      </c>
      <c r="AP53" s="68">
        <f ca="1">IF(AND(SUMIF(Capacity_Resource,$D53,'Critical resources (hide)'!BC$6:BC$105)+SUMIF(Capacity_Resource,$E53,'Critical resources (hide)'!BC$6:BC$105)+SUMIF(Capacity_Resource,$F53,'Critical resources (hide)'!BC$6:BC$105)&gt;0,$E$1=2),0,1)</f>
        <v>1</v>
      </c>
      <c r="AQ53" s="68">
        <f ca="1">IF(AND(SUMIF(Capacity_Resource,$D53,'Critical resources (hide)'!BD$6:BD$105)+SUMIF(Capacity_Resource,$E53,'Critical resources (hide)'!BD$6:BD$105)+SUMIF(Capacity_Resource,$F53,'Critical resources (hide)'!BD$6:BD$105)&gt;0,$E$1=2),0,1)</f>
        <v>1</v>
      </c>
      <c r="AR53" s="68">
        <f ca="1">IF(AND(SUMIF(Capacity_Resource,$D53,'Critical resources (hide)'!BE$6:BE$105)+SUMIF(Capacity_Resource,$E53,'Critical resources (hide)'!BE$6:BE$105)+SUMIF(Capacity_Resource,$F53,'Critical resources (hide)'!BE$6:BE$105)&gt;0,$E$1=2),0,1)</f>
        <v>1</v>
      </c>
      <c r="AS53" s="68">
        <f ca="1">IF(AND(SUMIF(Capacity_Resource,$D53,'Critical resources (hide)'!BF$6:BF$105)+SUMIF(Capacity_Resource,$E53,'Critical resources (hide)'!BF$6:BF$105)+SUMIF(Capacity_Resource,$F53,'Critical resources (hide)'!BF$6:BF$105)&gt;0,$E$1=2),0,1)</f>
        <v>1</v>
      </c>
      <c r="AT53" s="68">
        <f ca="1">IF(AND(SUMIF(Capacity_Resource,$D53,'Critical resources (hide)'!BG$6:BG$105)+SUMIF(Capacity_Resource,$E53,'Critical resources (hide)'!BG$6:BG$105)+SUMIF(Capacity_Resource,$F53,'Critical resources (hide)'!BG$6:BG$105)&gt;0,$E$1=2),0,1)</f>
        <v>1</v>
      </c>
      <c r="AU53" s="68">
        <f ca="1">IF(AND(SUMIF(Capacity_Resource,$D53,'Critical resources (hide)'!BH$6:BH$105)+SUMIF(Capacity_Resource,$E53,'Critical resources (hide)'!BH$6:BH$105)+SUMIF(Capacity_Resource,$F53,'Critical resources (hide)'!BH$6:BH$105)&gt;0,$E$1=2),0,1)</f>
        <v>1</v>
      </c>
      <c r="AV53" s="68">
        <f ca="1">IF(AND(SUMIF(Capacity_Resource,$D53,'Critical resources (hide)'!BI$6:BI$105)+SUMIF(Capacity_Resource,$E53,'Critical resources (hide)'!BI$6:BI$105)+SUMIF(Capacity_Resource,$F53,'Critical resources (hide)'!BI$6:BI$105)&gt;0,$E$1=2),0,1)</f>
        <v>1</v>
      </c>
      <c r="AW53" s="68">
        <f ca="1">IF(AND(SUMIF(Capacity_Resource,$D53,'Critical resources (hide)'!BJ$6:BJ$105)+SUMIF(Capacity_Resource,$E53,'Critical resources (hide)'!BJ$6:BJ$105)+SUMIF(Capacity_Resource,$F53,'Critical resources (hide)'!BJ$6:BJ$105)&gt;0,$E$1=2),0,1)</f>
        <v>1</v>
      </c>
      <c r="AX53" s="68">
        <f ca="1">IF(AND(SUMIF(Capacity_Resource,$D53,'Critical resources (hide)'!BK$6:BK$105)+SUMIF(Capacity_Resource,$E53,'Critical resources (hide)'!BK$6:BK$105)+SUMIF(Capacity_Resource,$F53,'Critical resources (hide)'!BK$6:BK$105)&gt;0,$E$1=2),0,1)</f>
        <v>1</v>
      </c>
      <c r="AY53" s="68">
        <f ca="1">IF(AND(SUMIF(Capacity_Resource,$D53,'Critical resources (hide)'!BL$6:BL$105)+SUMIF(Capacity_Resource,$E53,'Critical resources (hide)'!BL$6:BL$105)+SUMIF(Capacity_Resource,$F53,'Critical resources (hide)'!BL$6:BL$105)&gt;0,$E$1=2),0,1)</f>
        <v>1</v>
      </c>
      <c r="AZ53" s="68">
        <f ca="1">IF(AND(SUMIF(Capacity_Resource,$D53,'Critical resources (hide)'!BM$6:BM$105)+SUMIF(Capacity_Resource,$E53,'Critical resources (hide)'!BM$6:BM$105)+SUMIF(Capacity_Resource,$F53,'Critical resources (hide)'!BM$6:BM$105)&gt;0,$E$1=2),0,1)</f>
        <v>1</v>
      </c>
      <c r="BA53" s="68">
        <f ca="1">IF(AND(SUMIF(Capacity_Resource,$D53,'Critical resources (hide)'!BN$6:BN$105)+SUMIF(Capacity_Resource,$E53,'Critical resources (hide)'!BN$6:BN$105)+SUMIF(Capacity_Resource,$F53,'Critical resources (hide)'!BN$6:BN$105)&gt;0,$E$1=2),0,1)</f>
        <v>1</v>
      </c>
      <c r="BB53" s="68">
        <f ca="1">IF(AND(SUMIF(Capacity_Resource,$D53,'Critical resources (hide)'!BO$6:BO$105)+SUMIF(Capacity_Resource,$E53,'Critical resources (hide)'!BO$6:BO$105)+SUMIF(Capacity_Resource,$F53,'Critical resources (hide)'!BO$6:BO$105)&gt;0,$E$1=2),0,1)</f>
        <v>1</v>
      </c>
      <c r="BC53" s="68">
        <f ca="1">IF(AND(SUMIF(Capacity_Resource,$D53,'Critical resources (hide)'!BP$6:BP$105)+SUMIF(Capacity_Resource,$E53,'Critical resources (hide)'!BP$6:BP$105)+SUMIF(Capacity_Resource,$F53,'Critical resources (hide)'!BP$6:BP$105)&gt;0,$E$1=2),0,1)</f>
        <v>1</v>
      </c>
      <c r="BD53" s="68">
        <f ca="1">IF(AND(SUMIF(Capacity_Resource,$D53,'Critical resources (hide)'!BQ$6:BQ$105)+SUMIF(Capacity_Resource,$E53,'Critical resources (hide)'!BQ$6:BQ$105)+SUMIF(Capacity_Resource,$F53,'Critical resources (hide)'!BQ$6:BQ$105)&gt;0,$E$1=2),0,1)</f>
        <v>1</v>
      </c>
      <c r="BE53" s="68">
        <f ca="1">IF(AND(SUMIF(Capacity_Resource,$D53,'Critical resources (hide)'!BR$6:BR$105)+SUMIF(Capacity_Resource,$E53,'Critical resources (hide)'!BR$6:BR$105)+SUMIF(Capacity_Resource,$F53,'Critical resources (hide)'!BR$6:BR$105)&gt;0,$E$1=2),0,1)</f>
        <v>1</v>
      </c>
      <c r="BF53" s="68">
        <f ca="1">IF(AND(SUMIF(Capacity_Resource,$D53,'Critical resources (hide)'!BS$6:BS$105)+SUMIF(Capacity_Resource,$E53,'Critical resources (hide)'!BS$6:BS$105)+SUMIF(Capacity_Resource,$F53,'Critical resources (hide)'!BS$6:BS$105)&gt;0,$E$1=2),0,1)</f>
        <v>1</v>
      </c>
      <c r="BG53" s="68">
        <f ca="1">IF(AND(SUMIF(Capacity_Resource,$D53,'Critical resources (hide)'!BT$6:BT$105)+SUMIF(Capacity_Resource,$E53,'Critical resources (hide)'!BT$6:BT$105)+SUMIF(Capacity_Resource,$F53,'Critical resources (hide)'!BT$6:BT$105)&gt;0,$E$1=2),0,1)</f>
        <v>1</v>
      </c>
      <c r="BH53" s="68">
        <f>IF(ROW(C49)&lt;=Capacity!$A$16,IF('Capacity summary'!$D$14="No",SUM(H53:BG53),'Capacity summary'!$E172),0)</f>
        <v>0</v>
      </c>
      <c r="BI53" s="5" t="str">
        <f>IF(BH53&gt;0,IF(BH53&lt;Capacity!E65,Capacity!F65,Capacity!H65/'Capacity calculation (hide)'!BH53),"")</f>
        <v/>
      </c>
      <c r="BK53" s="319">
        <f>IF($BI53&lt;&gt;"",IF('Capacity summary'!$D$14="Yes",IF(COUNTBLANK('Capacity summary'!$H172:$BG172)&lt;52,IF('Capacity summary'!H172&lt;&gt;"",$BI53*H53,0),H53*$BI53),H53*$BI53),0)</f>
        <v>0</v>
      </c>
      <c r="BL53" s="319">
        <f>IF($BI53&lt;&gt;"",IF('Capacity summary'!$D$14="Yes",IF(COUNTBLANK('Capacity summary'!$H172:$BG172)&lt;52,IF('Capacity summary'!I172&lt;&gt;"",$BI53*I53,0),I53*$BI53),I53*$BI53),0)</f>
        <v>0</v>
      </c>
      <c r="BM53" s="319">
        <f>IF($BI53&lt;&gt;"",IF('Capacity summary'!$D$14="Yes",IF(COUNTBLANK('Capacity summary'!$H172:$BG172)&lt;52,IF('Capacity summary'!J172&lt;&gt;"",$BI53*J53,0),J53*$BI53),J53*$BI53),0)</f>
        <v>0</v>
      </c>
      <c r="BN53" s="319">
        <f>IF($BI53&lt;&gt;"",IF('Capacity summary'!$D$14="Yes",IF(COUNTBLANK('Capacity summary'!$H172:$BG172)&lt;52,IF('Capacity summary'!K172&lt;&gt;"",$BI53*K53,0),K53*$BI53),K53*$BI53),0)</f>
        <v>0</v>
      </c>
      <c r="BO53" s="319">
        <f>IF($BI53&lt;&gt;"",IF('Capacity summary'!$D$14="Yes",IF(COUNTBLANK('Capacity summary'!$H172:$BG172)&lt;52,IF('Capacity summary'!L172&lt;&gt;"",$BI53*L53,0),L53*$BI53),L53*$BI53),0)</f>
        <v>0</v>
      </c>
      <c r="BP53" s="319">
        <f>IF($BI53&lt;&gt;"",IF('Capacity summary'!$D$14="Yes",IF(COUNTBLANK('Capacity summary'!$H172:$BG172)&lt;52,IF('Capacity summary'!M172&lt;&gt;"",$BI53*M53,0),M53*$BI53),M53*$BI53),0)</f>
        <v>0</v>
      </c>
      <c r="BQ53" s="319">
        <f>IF($BI53&lt;&gt;"",IF('Capacity summary'!$D$14="Yes",IF(COUNTBLANK('Capacity summary'!$H172:$BG172)&lt;52,IF('Capacity summary'!N172&lt;&gt;"",$BI53*N53,0),N53*$BI53),N53*$BI53),0)</f>
        <v>0</v>
      </c>
      <c r="BR53" s="319">
        <f>IF($BI53&lt;&gt;"",IF('Capacity summary'!$D$14="Yes",IF(COUNTBLANK('Capacity summary'!$H172:$BG172)&lt;52,IF('Capacity summary'!O172&lt;&gt;"",$BI53*O53,0),O53*$BI53),O53*$BI53),0)</f>
        <v>0</v>
      </c>
      <c r="BS53" s="319">
        <f>IF($BI53&lt;&gt;"",IF('Capacity summary'!$D$14="Yes",IF(COUNTBLANK('Capacity summary'!$H172:$BG172)&lt;52,IF('Capacity summary'!P172&lt;&gt;"",$BI53*P53,0),P53*$BI53),P53*$BI53),0)</f>
        <v>0</v>
      </c>
      <c r="BT53" s="319">
        <f>IF($BI53&lt;&gt;"",IF('Capacity summary'!$D$14="Yes",IF(COUNTBLANK('Capacity summary'!$H172:$BG172)&lt;52,IF('Capacity summary'!Q172&lt;&gt;"",$BI53*Q53,0),Q53*$BI53),Q53*$BI53),0)</f>
        <v>0</v>
      </c>
      <c r="BU53" s="319">
        <f>IF($BI53&lt;&gt;"",IF('Capacity summary'!$D$14="Yes",IF(COUNTBLANK('Capacity summary'!$H172:$BG172)&lt;52,IF('Capacity summary'!R172&lt;&gt;"",$BI53*R53,0),R53*$BI53),R53*$BI53),0)</f>
        <v>0</v>
      </c>
      <c r="BV53" s="319">
        <f>IF($BI53&lt;&gt;"",IF('Capacity summary'!$D$14="Yes",IF(COUNTBLANK('Capacity summary'!$H172:$BG172)&lt;52,IF('Capacity summary'!S172&lt;&gt;"",$BI53*S53,0),S53*$BI53),S53*$BI53),0)</f>
        <v>0</v>
      </c>
      <c r="BW53" s="319">
        <f>IF($BI53&lt;&gt;"",IF('Capacity summary'!$D$14="Yes",IF(COUNTBLANK('Capacity summary'!$H172:$BG172)&lt;52,IF('Capacity summary'!T172&lt;&gt;"",$BI53*T53,0),T53*$BI53),T53*$BI53),0)</f>
        <v>0</v>
      </c>
      <c r="BX53" s="319">
        <f>IF($BI53&lt;&gt;"",IF('Capacity summary'!$D$14="Yes",IF(COUNTBLANK('Capacity summary'!$H172:$BG172)&lt;52,IF('Capacity summary'!U172&lt;&gt;"",$BI53*U53,0),U53*$BI53),U53*$BI53),0)</f>
        <v>0</v>
      </c>
      <c r="BY53" s="319">
        <f>IF($BI53&lt;&gt;"",IF('Capacity summary'!$D$14="Yes",IF(COUNTBLANK('Capacity summary'!$H172:$BG172)&lt;52,IF('Capacity summary'!V172&lt;&gt;"",$BI53*V53,0),V53*$BI53),V53*$BI53),0)</f>
        <v>0</v>
      </c>
      <c r="BZ53" s="319">
        <f>IF($BI53&lt;&gt;"",IF('Capacity summary'!$D$14="Yes",IF(COUNTBLANK('Capacity summary'!$H172:$BG172)&lt;52,IF('Capacity summary'!W172&lt;&gt;"",$BI53*W53,0),W53*$BI53),W53*$BI53),0)</f>
        <v>0</v>
      </c>
      <c r="CA53" s="319">
        <f>IF($BI53&lt;&gt;"",IF('Capacity summary'!$D$14="Yes",IF(COUNTBLANK('Capacity summary'!$H172:$BG172)&lt;52,IF('Capacity summary'!X172&lt;&gt;"",$BI53*X53,0),X53*$BI53),X53*$BI53),0)</f>
        <v>0</v>
      </c>
      <c r="CB53" s="319">
        <f>IF($BI53&lt;&gt;"",IF('Capacity summary'!$D$14="Yes",IF(COUNTBLANK('Capacity summary'!$H172:$BG172)&lt;52,IF('Capacity summary'!Y172&lt;&gt;"",$BI53*Y53,0),Y53*$BI53),Y53*$BI53),0)</f>
        <v>0</v>
      </c>
      <c r="CC53" s="319">
        <f>IF($BI53&lt;&gt;"",IF('Capacity summary'!$D$14="Yes",IF(COUNTBLANK('Capacity summary'!$H172:$BG172)&lt;52,IF('Capacity summary'!Z172&lt;&gt;"",$BI53*Z53,0),Z53*$BI53),Z53*$BI53),0)</f>
        <v>0</v>
      </c>
      <c r="CD53" s="319">
        <f>IF($BI53&lt;&gt;"",IF('Capacity summary'!$D$14="Yes",IF(COUNTBLANK('Capacity summary'!$H172:$BG172)&lt;52,IF('Capacity summary'!AA172&lt;&gt;"",$BI53*AA53,0),AA53*$BI53),AA53*$BI53),0)</f>
        <v>0</v>
      </c>
      <c r="CE53" s="319">
        <f>IF($BI53&lt;&gt;"",IF('Capacity summary'!$D$14="Yes",IF(COUNTBLANK('Capacity summary'!$H172:$BG172)&lt;52,IF('Capacity summary'!AB172&lt;&gt;"",$BI53*AB53,0),AB53*$BI53),AB53*$BI53),0)</f>
        <v>0</v>
      </c>
      <c r="CF53" s="319">
        <f>IF($BI53&lt;&gt;"",IF('Capacity summary'!$D$14="Yes",IF(COUNTBLANK('Capacity summary'!$H172:$BG172)&lt;52,IF('Capacity summary'!AC172&lt;&gt;"",$BI53*AC53,0),AC53*$BI53),AC53*$BI53),0)</f>
        <v>0</v>
      </c>
      <c r="CG53" s="319">
        <f>IF($BI53&lt;&gt;"",IF('Capacity summary'!$D$14="Yes",IF(COUNTBLANK('Capacity summary'!$H172:$BG172)&lt;52,IF('Capacity summary'!AD172&lt;&gt;"",$BI53*AD53,0),AD53*$BI53),AD53*$BI53),0)</f>
        <v>0</v>
      </c>
      <c r="CH53" s="319">
        <f>IF($BI53&lt;&gt;"",IF('Capacity summary'!$D$14="Yes",IF(COUNTBLANK('Capacity summary'!$H172:$BG172)&lt;52,IF('Capacity summary'!AE172&lt;&gt;"",$BI53*AE53,0),AE53*$BI53),AE53*$BI53),0)</f>
        <v>0</v>
      </c>
      <c r="CI53" s="319">
        <f>IF($BI53&lt;&gt;"",IF('Capacity summary'!$D$14="Yes",IF(COUNTBLANK('Capacity summary'!$H172:$BG172)&lt;52,IF('Capacity summary'!AF172&lt;&gt;"",$BI53*AF53,0),AF53*$BI53),AF53*$BI53),0)</f>
        <v>0</v>
      </c>
      <c r="CJ53" s="319">
        <f>IF($BI53&lt;&gt;"",IF('Capacity summary'!$D$14="Yes",IF(COUNTBLANK('Capacity summary'!$H172:$BG172)&lt;52,IF('Capacity summary'!AG172&lt;&gt;"",$BI53*AG53,0),AG53*$BI53),AG53*$BI53),0)</f>
        <v>0</v>
      </c>
      <c r="CK53" s="319">
        <f>IF($BI53&lt;&gt;"",IF('Capacity summary'!$D$14="Yes",IF(COUNTBLANK('Capacity summary'!$H172:$BG172)&lt;52,IF('Capacity summary'!AH172&lt;&gt;"",$BI53*AH53,0),AH53*$BI53),AH53*$BI53),0)</f>
        <v>0</v>
      </c>
      <c r="CL53" s="319">
        <f>IF($BI53&lt;&gt;"",IF('Capacity summary'!$D$14="Yes",IF(COUNTBLANK('Capacity summary'!$H172:$BG172)&lt;52,IF('Capacity summary'!AI172&lt;&gt;"",$BI53*AI53,0),AI53*$BI53),AI53*$BI53),0)</f>
        <v>0</v>
      </c>
      <c r="CM53" s="319">
        <f>IF($BI53&lt;&gt;"",IF('Capacity summary'!$D$14="Yes",IF(COUNTBLANK('Capacity summary'!$H172:$BG172)&lt;52,IF('Capacity summary'!AJ172&lt;&gt;"",$BI53*AJ53,0),AJ53*$BI53),AJ53*$BI53),0)</f>
        <v>0</v>
      </c>
      <c r="CN53" s="319">
        <f>IF($BI53&lt;&gt;"",IF('Capacity summary'!$D$14="Yes",IF(COUNTBLANK('Capacity summary'!$H172:$BG172)&lt;52,IF('Capacity summary'!AK172&lt;&gt;"",$BI53*AK53,0),AK53*$BI53),AK53*$BI53),0)</f>
        <v>0</v>
      </c>
      <c r="CO53" s="319">
        <f>IF($BI53&lt;&gt;"",IF('Capacity summary'!$D$14="Yes",IF(COUNTBLANK('Capacity summary'!$H172:$BG172)&lt;52,IF('Capacity summary'!AL172&lt;&gt;"",$BI53*AL53,0),AL53*$BI53),AL53*$BI53),0)</f>
        <v>0</v>
      </c>
      <c r="CP53" s="319">
        <f>IF($BI53&lt;&gt;"",IF('Capacity summary'!$D$14="Yes",IF(COUNTBLANK('Capacity summary'!$H172:$BG172)&lt;52,IF('Capacity summary'!AM172&lt;&gt;"",$BI53*AM53,0),AM53*$BI53),AM53*$BI53),0)</f>
        <v>0</v>
      </c>
      <c r="CQ53" s="319">
        <f>IF($BI53&lt;&gt;"",IF('Capacity summary'!$D$14="Yes",IF(COUNTBLANK('Capacity summary'!$H172:$BG172)&lt;52,IF('Capacity summary'!AN172&lt;&gt;"",$BI53*AN53,0),AN53*$BI53),AN53*$BI53),0)</f>
        <v>0</v>
      </c>
      <c r="CR53" s="319">
        <f>IF($BI53&lt;&gt;"",IF('Capacity summary'!$D$14="Yes",IF(COUNTBLANK('Capacity summary'!$H172:$BG172)&lt;52,IF('Capacity summary'!AO172&lt;&gt;"",$BI53*AO53,0),AO53*$BI53),AO53*$BI53),0)</f>
        <v>0</v>
      </c>
      <c r="CS53" s="319">
        <f>IF($BI53&lt;&gt;"",IF('Capacity summary'!$D$14="Yes",IF(COUNTBLANK('Capacity summary'!$H172:$BG172)&lt;52,IF('Capacity summary'!AP172&lt;&gt;"",$BI53*AP53,0),AP53*$BI53),AP53*$BI53),0)</f>
        <v>0</v>
      </c>
      <c r="CT53" s="319">
        <f>IF($BI53&lt;&gt;"",IF('Capacity summary'!$D$14="Yes",IF(COUNTBLANK('Capacity summary'!$H172:$BG172)&lt;52,IF('Capacity summary'!AQ172&lt;&gt;"",$BI53*AQ53,0),AQ53*$BI53),AQ53*$BI53),0)</f>
        <v>0</v>
      </c>
      <c r="CU53" s="319">
        <f>IF($BI53&lt;&gt;"",IF('Capacity summary'!$D$14="Yes",IF(COUNTBLANK('Capacity summary'!$H172:$BG172)&lt;52,IF('Capacity summary'!AR172&lt;&gt;"",$BI53*AR53,0),AR53*$BI53),AR53*$BI53),0)</f>
        <v>0</v>
      </c>
      <c r="CV53" s="319">
        <f>IF($BI53&lt;&gt;"",IF('Capacity summary'!$D$14="Yes",IF(COUNTBLANK('Capacity summary'!$H172:$BG172)&lt;52,IF('Capacity summary'!AS172&lt;&gt;"",$BI53*AS53,0),AS53*$BI53),AS53*$BI53),0)</f>
        <v>0</v>
      </c>
      <c r="CW53" s="319">
        <f>IF($BI53&lt;&gt;"",IF('Capacity summary'!$D$14="Yes",IF(COUNTBLANK('Capacity summary'!$H172:$BG172)&lt;52,IF('Capacity summary'!AT172&lt;&gt;"",$BI53*AT53,0),AT53*$BI53),AT53*$BI53),0)</f>
        <v>0</v>
      </c>
      <c r="CX53" s="319">
        <f>IF($BI53&lt;&gt;"",IF('Capacity summary'!$D$14="Yes",IF(COUNTBLANK('Capacity summary'!$H172:$BG172)&lt;52,IF('Capacity summary'!AU172&lt;&gt;"",$BI53*AU53,0),AU53*$BI53),AU53*$BI53),0)</f>
        <v>0</v>
      </c>
      <c r="CY53" s="319">
        <f>IF($BI53&lt;&gt;"",IF('Capacity summary'!$D$14="Yes",IF(COUNTBLANK('Capacity summary'!$H172:$BG172)&lt;52,IF('Capacity summary'!AV172&lt;&gt;"",$BI53*AV53,0),AV53*$BI53),AV53*$BI53),0)</f>
        <v>0</v>
      </c>
      <c r="CZ53" s="319">
        <f>IF($BI53&lt;&gt;"",IF('Capacity summary'!$D$14="Yes",IF(COUNTBLANK('Capacity summary'!$H172:$BG172)&lt;52,IF('Capacity summary'!AW172&lt;&gt;"",$BI53*AW53,0),AW53*$BI53),AW53*$BI53),0)</f>
        <v>0</v>
      </c>
      <c r="DA53" s="319">
        <f>IF($BI53&lt;&gt;"",IF('Capacity summary'!$D$14="Yes",IF(COUNTBLANK('Capacity summary'!$H172:$BG172)&lt;52,IF('Capacity summary'!AX172&lt;&gt;"",$BI53*AX53,0),AX53*$BI53),AX53*$BI53),0)</f>
        <v>0</v>
      </c>
      <c r="DB53" s="319">
        <f>IF($BI53&lt;&gt;"",IF('Capacity summary'!$D$14="Yes",IF(COUNTBLANK('Capacity summary'!$H172:$BG172)&lt;52,IF('Capacity summary'!AY172&lt;&gt;"",$BI53*AY53,0),AY53*$BI53),AY53*$BI53),0)</f>
        <v>0</v>
      </c>
      <c r="DC53" s="319">
        <f>IF($BI53&lt;&gt;"",IF('Capacity summary'!$D$14="Yes",IF(COUNTBLANK('Capacity summary'!$H172:$BG172)&lt;52,IF('Capacity summary'!AZ172&lt;&gt;"",$BI53*AZ53,0),AZ53*$BI53),AZ53*$BI53),0)</f>
        <v>0</v>
      </c>
      <c r="DD53" s="319">
        <f>IF($BI53&lt;&gt;"",IF('Capacity summary'!$D$14="Yes",IF(COUNTBLANK('Capacity summary'!$H172:$BG172)&lt;52,IF('Capacity summary'!BA172&lt;&gt;"",$BI53*BA53,0),BA53*$BI53),BA53*$BI53),0)</f>
        <v>0</v>
      </c>
      <c r="DE53" s="319">
        <f>IF($BI53&lt;&gt;"",IF('Capacity summary'!$D$14="Yes",IF(COUNTBLANK('Capacity summary'!$H172:$BG172)&lt;52,IF('Capacity summary'!BB172&lt;&gt;"",$BI53*BB53,0),BB53*$BI53),BB53*$BI53),0)</f>
        <v>0</v>
      </c>
      <c r="DF53" s="319">
        <f>IF($BI53&lt;&gt;"",IF('Capacity summary'!$D$14="Yes",IF(COUNTBLANK('Capacity summary'!$H172:$BG172)&lt;52,IF('Capacity summary'!BC172&lt;&gt;"",$BI53*BC53,0),BC53*$BI53),BC53*$BI53),0)</f>
        <v>0</v>
      </c>
      <c r="DG53" s="319">
        <f>IF($BI53&lt;&gt;"",IF('Capacity summary'!$D$14="Yes",IF(COUNTBLANK('Capacity summary'!$H172:$BG172)&lt;52,IF('Capacity summary'!BD172&lt;&gt;"",$BI53*BD53,0),BD53*$BI53),BD53*$BI53),0)</f>
        <v>0</v>
      </c>
      <c r="DH53" s="319">
        <f>IF($BI53&lt;&gt;"",IF('Capacity summary'!$D$14="Yes",IF(COUNTBLANK('Capacity summary'!$H172:$BG172)&lt;52,IF('Capacity summary'!BE172&lt;&gt;"",$BI53*BE53,0),BE53*$BI53),BE53*$BI53),0)</f>
        <v>0</v>
      </c>
      <c r="DI53" s="319">
        <f>IF($BI53&lt;&gt;"",IF('Capacity summary'!$D$14="Yes",IF(COUNTBLANK('Capacity summary'!$H172:$BG172)&lt;52,IF('Capacity summary'!BF172&lt;&gt;"",$BI53*BF53,0),BF53*$BI53),BF53*$BI53),0)</f>
        <v>0</v>
      </c>
      <c r="DJ53" s="319">
        <f>IF($BI53&lt;&gt;"",IF('Capacity summary'!$D$14="Yes",IF(COUNTBLANK('Capacity summary'!$H172:$BG172)&lt;52,IF('Capacity summary'!BG172&lt;&gt;"",$BI53*BG53,0),BG53*$BI53),BG53*$BI53),0)</f>
        <v>0</v>
      </c>
      <c r="DK53" s="5">
        <f t="shared" si="2"/>
        <v>0</v>
      </c>
      <c r="DL53" s="5" t="str">
        <f>Capacity!H65</f>
        <v/>
      </c>
      <c r="DP53" s="5"/>
    </row>
    <row r="54" spans="2:120" x14ac:dyDescent="0.2">
      <c r="B54" s="68"/>
      <c r="C54" s="68" t="str">
        <f>ROW(A50)&amp;". "&amp;Capacity!B66</f>
        <v xml:space="preserve">50. </v>
      </c>
      <c r="D54" s="68">
        <f>'Capacity setup'!C61</f>
        <v>0</v>
      </c>
      <c r="E54" s="68">
        <f>'Capacity setup'!D61</f>
        <v>0</v>
      </c>
      <c r="F54" s="68">
        <f>'Capacity setup'!E61</f>
        <v>0</v>
      </c>
      <c r="H54" s="68">
        <f ca="1">IF(AND(SUMIF(Capacity_Resource,$D54,'Critical resources (hide)'!U$6:U$105)+SUMIF(Capacity_Resource,$E54,'Critical resources (hide)'!U$6:U$105)+SUMIF(Capacity_Resource,$F54,'Critical resources (hide)'!U$6:U$105)&gt;0,$E$1=2),0,1)</f>
        <v>1</v>
      </c>
      <c r="I54" s="68">
        <f ca="1">IF(AND(SUMIF(Capacity_Resource,$D54,'Critical resources (hide)'!V$6:V$105)+SUMIF(Capacity_Resource,$E54,'Critical resources (hide)'!V$6:V$105)+SUMIF(Capacity_Resource,$F54,'Critical resources (hide)'!V$6:V$105)&gt;0,$E$1=2),0,1)</f>
        <v>1</v>
      </c>
      <c r="J54" s="68">
        <f ca="1">IF(AND(SUMIF(Capacity_Resource,$D54,'Critical resources (hide)'!W$6:W$105)+SUMIF(Capacity_Resource,$E54,'Critical resources (hide)'!W$6:W$105)+SUMIF(Capacity_Resource,$F54,'Critical resources (hide)'!W$6:W$105)&gt;0,$E$1=2),0,1)</f>
        <v>1</v>
      </c>
      <c r="K54" s="68">
        <f ca="1">IF(AND(SUMIF(Capacity_Resource,$D54,'Critical resources (hide)'!X$6:X$105)+SUMIF(Capacity_Resource,$E54,'Critical resources (hide)'!X$6:X$105)+SUMIF(Capacity_Resource,$F54,'Critical resources (hide)'!X$6:X$105)&gt;0,$E$1=2),0,1)</f>
        <v>1</v>
      </c>
      <c r="L54" s="68">
        <f ca="1">IF(AND(SUMIF(Capacity_Resource,$D54,'Critical resources (hide)'!Y$6:Y$105)+SUMIF(Capacity_Resource,$E54,'Critical resources (hide)'!Y$6:Y$105)+SUMIF(Capacity_Resource,$F54,'Critical resources (hide)'!Y$6:Y$105)&gt;0,$E$1=2),0,1)</f>
        <v>1</v>
      </c>
      <c r="M54" s="68">
        <f ca="1">IF(AND(SUMIF(Capacity_Resource,$D54,'Critical resources (hide)'!Z$6:Z$105)+SUMIF(Capacity_Resource,$E54,'Critical resources (hide)'!Z$6:Z$105)+SUMIF(Capacity_Resource,$F54,'Critical resources (hide)'!Z$6:Z$105)&gt;0,$E$1=2),0,1)</f>
        <v>1</v>
      </c>
      <c r="N54" s="68">
        <f ca="1">IF(AND(SUMIF(Capacity_Resource,$D54,'Critical resources (hide)'!AA$6:AA$105)+SUMIF(Capacity_Resource,$E54,'Critical resources (hide)'!AA$6:AA$105)+SUMIF(Capacity_Resource,$F54,'Critical resources (hide)'!AA$6:AA$105)&gt;0,$E$1=2),0,1)</f>
        <v>1</v>
      </c>
      <c r="O54" s="68">
        <f ca="1">IF(AND(SUMIF(Capacity_Resource,$D54,'Critical resources (hide)'!AB$6:AB$105)+SUMIF(Capacity_Resource,$E54,'Critical resources (hide)'!AB$6:AB$105)+SUMIF(Capacity_Resource,$F54,'Critical resources (hide)'!AB$6:AB$105)&gt;0,$E$1=2),0,1)</f>
        <v>1</v>
      </c>
      <c r="P54" s="68">
        <f ca="1">IF(AND(SUMIF(Capacity_Resource,$D54,'Critical resources (hide)'!AC$6:AC$105)+SUMIF(Capacity_Resource,$E54,'Critical resources (hide)'!AC$6:AC$105)+SUMIF(Capacity_Resource,$F54,'Critical resources (hide)'!AC$6:AC$105)&gt;0,$E$1=2),0,1)</f>
        <v>1</v>
      </c>
      <c r="Q54" s="68">
        <f ca="1">IF(AND(SUMIF(Capacity_Resource,$D54,'Critical resources (hide)'!AD$6:AD$105)+SUMIF(Capacity_Resource,$E54,'Critical resources (hide)'!AD$6:AD$105)+SUMIF(Capacity_Resource,$F54,'Critical resources (hide)'!AD$6:AD$105)&gt;0,$E$1=2),0,1)</f>
        <v>1</v>
      </c>
      <c r="R54" s="68">
        <f ca="1">IF(AND(SUMIF(Capacity_Resource,$D54,'Critical resources (hide)'!AE$6:AE$105)+SUMIF(Capacity_Resource,$E54,'Critical resources (hide)'!AE$6:AE$105)+SUMIF(Capacity_Resource,$F54,'Critical resources (hide)'!AE$6:AE$105)&gt;0,$E$1=2),0,1)</f>
        <v>1</v>
      </c>
      <c r="S54" s="68">
        <f ca="1">IF(AND(SUMIF(Capacity_Resource,$D54,'Critical resources (hide)'!AF$6:AF$105)+SUMIF(Capacity_Resource,$E54,'Critical resources (hide)'!AF$6:AF$105)+SUMIF(Capacity_Resource,$F54,'Critical resources (hide)'!AF$6:AF$105)&gt;0,$E$1=2),0,1)</f>
        <v>1</v>
      </c>
      <c r="T54" s="68">
        <f ca="1">IF(AND(SUMIF(Capacity_Resource,$D54,'Critical resources (hide)'!AG$6:AG$105)+SUMIF(Capacity_Resource,$E54,'Critical resources (hide)'!AG$6:AG$105)+SUMIF(Capacity_Resource,$F54,'Critical resources (hide)'!AG$6:AG$105)&gt;0,$E$1=2),0,1)</f>
        <v>1</v>
      </c>
      <c r="U54" s="68">
        <f ca="1">IF(AND(SUMIF(Capacity_Resource,$D54,'Critical resources (hide)'!AH$6:AH$105)+SUMIF(Capacity_Resource,$E54,'Critical resources (hide)'!AH$6:AH$105)+SUMIF(Capacity_Resource,$F54,'Critical resources (hide)'!AH$6:AH$105)&gt;0,$E$1=2),0,1)</f>
        <v>1</v>
      </c>
      <c r="V54" s="68">
        <f ca="1">IF(AND(SUMIF(Capacity_Resource,$D54,'Critical resources (hide)'!AI$6:AI$105)+SUMIF(Capacity_Resource,$E54,'Critical resources (hide)'!AI$6:AI$105)+SUMIF(Capacity_Resource,$F54,'Critical resources (hide)'!AI$6:AI$105)&gt;0,$E$1=2),0,1)</f>
        <v>1</v>
      </c>
      <c r="W54" s="68">
        <f ca="1">IF(AND(SUMIF(Capacity_Resource,$D54,'Critical resources (hide)'!AJ$6:AJ$105)+SUMIF(Capacity_Resource,$E54,'Critical resources (hide)'!AJ$6:AJ$105)+SUMIF(Capacity_Resource,$F54,'Critical resources (hide)'!AJ$6:AJ$105)&gt;0,$E$1=2),0,1)</f>
        <v>1</v>
      </c>
      <c r="X54" s="68">
        <f ca="1">IF(AND(SUMIF(Capacity_Resource,$D54,'Critical resources (hide)'!AK$6:AK$105)+SUMIF(Capacity_Resource,$E54,'Critical resources (hide)'!AK$6:AK$105)+SUMIF(Capacity_Resource,$F54,'Critical resources (hide)'!AK$6:AK$105)&gt;0,$E$1=2),0,1)</f>
        <v>1</v>
      </c>
      <c r="Y54" s="68">
        <f ca="1">IF(AND(SUMIF(Capacity_Resource,$D54,'Critical resources (hide)'!AL$6:AL$105)+SUMIF(Capacity_Resource,$E54,'Critical resources (hide)'!AL$6:AL$105)+SUMIF(Capacity_Resource,$F54,'Critical resources (hide)'!AL$6:AL$105)&gt;0,$E$1=2),0,1)</f>
        <v>1</v>
      </c>
      <c r="Z54" s="68">
        <f ca="1">IF(AND(SUMIF(Capacity_Resource,$D54,'Critical resources (hide)'!AM$6:AM$105)+SUMIF(Capacity_Resource,$E54,'Critical resources (hide)'!AM$6:AM$105)+SUMIF(Capacity_Resource,$F54,'Critical resources (hide)'!AM$6:AM$105)&gt;0,$E$1=2),0,1)</f>
        <v>1</v>
      </c>
      <c r="AA54" s="68">
        <f ca="1">IF(AND(SUMIF(Capacity_Resource,$D54,'Critical resources (hide)'!AN$6:AN$105)+SUMIF(Capacity_Resource,$E54,'Critical resources (hide)'!AN$6:AN$105)+SUMIF(Capacity_Resource,$F54,'Critical resources (hide)'!AN$6:AN$105)&gt;0,$E$1=2),0,1)</f>
        <v>1</v>
      </c>
      <c r="AB54" s="68">
        <f ca="1">IF(AND(SUMIF(Capacity_Resource,$D54,'Critical resources (hide)'!AO$6:AO$105)+SUMIF(Capacity_Resource,$E54,'Critical resources (hide)'!AO$6:AO$105)+SUMIF(Capacity_Resource,$F54,'Critical resources (hide)'!AO$6:AO$105)&gt;0,$E$1=2),0,1)</f>
        <v>1</v>
      </c>
      <c r="AC54" s="68">
        <f ca="1">IF(AND(SUMIF(Capacity_Resource,$D54,'Critical resources (hide)'!AP$6:AP$105)+SUMIF(Capacity_Resource,$E54,'Critical resources (hide)'!AP$6:AP$105)+SUMIF(Capacity_Resource,$F54,'Critical resources (hide)'!AP$6:AP$105)&gt;0,$E$1=2),0,1)</f>
        <v>1</v>
      </c>
      <c r="AD54" s="68">
        <f ca="1">IF(AND(SUMIF(Capacity_Resource,$D54,'Critical resources (hide)'!AQ$6:AQ$105)+SUMIF(Capacity_Resource,$E54,'Critical resources (hide)'!AQ$6:AQ$105)+SUMIF(Capacity_Resource,$F54,'Critical resources (hide)'!AQ$6:AQ$105)&gt;0,$E$1=2),0,1)</f>
        <v>1</v>
      </c>
      <c r="AE54" s="68">
        <f ca="1">IF(AND(SUMIF(Capacity_Resource,$D54,'Critical resources (hide)'!AR$6:AR$105)+SUMIF(Capacity_Resource,$E54,'Critical resources (hide)'!AR$6:AR$105)+SUMIF(Capacity_Resource,$F54,'Critical resources (hide)'!AR$6:AR$105)&gt;0,$E$1=2),0,1)</f>
        <v>1</v>
      </c>
      <c r="AF54" s="68">
        <f ca="1">IF(AND(SUMIF(Capacity_Resource,$D54,'Critical resources (hide)'!AS$6:AS$105)+SUMIF(Capacity_Resource,$E54,'Critical resources (hide)'!AS$6:AS$105)+SUMIF(Capacity_Resource,$F54,'Critical resources (hide)'!AS$6:AS$105)&gt;0,$E$1=2),0,1)</f>
        <v>1</v>
      </c>
      <c r="AG54" s="68">
        <f ca="1">IF(AND(SUMIF(Capacity_Resource,$D54,'Critical resources (hide)'!AT$6:AT$105)+SUMIF(Capacity_Resource,$E54,'Critical resources (hide)'!AT$6:AT$105)+SUMIF(Capacity_Resource,$F54,'Critical resources (hide)'!AT$6:AT$105)&gt;0,$E$1=2),0,1)</f>
        <v>1</v>
      </c>
      <c r="AH54" s="68">
        <f ca="1">IF(AND(SUMIF(Capacity_Resource,$D54,'Critical resources (hide)'!AU$6:AU$105)+SUMIF(Capacity_Resource,$E54,'Critical resources (hide)'!AU$6:AU$105)+SUMIF(Capacity_Resource,$F54,'Critical resources (hide)'!AU$6:AU$105)&gt;0,$E$1=2),0,1)</f>
        <v>1</v>
      </c>
      <c r="AI54" s="68">
        <f ca="1">IF(AND(SUMIF(Capacity_Resource,$D54,'Critical resources (hide)'!AV$6:AV$105)+SUMIF(Capacity_Resource,$E54,'Critical resources (hide)'!AV$6:AV$105)+SUMIF(Capacity_Resource,$F54,'Critical resources (hide)'!AV$6:AV$105)&gt;0,$E$1=2),0,1)</f>
        <v>1</v>
      </c>
      <c r="AJ54" s="68">
        <f ca="1">IF(AND(SUMIF(Capacity_Resource,$D54,'Critical resources (hide)'!AW$6:AW$105)+SUMIF(Capacity_Resource,$E54,'Critical resources (hide)'!AW$6:AW$105)+SUMIF(Capacity_Resource,$F54,'Critical resources (hide)'!AW$6:AW$105)&gt;0,$E$1=2),0,1)</f>
        <v>1</v>
      </c>
      <c r="AK54" s="68">
        <f ca="1">IF(AND(SUMIF(Capacity_Resource,$D54,'Critical resources (hide)'!AX$6:AX$105)+SUMIF(Capacity_Resource,$E54,'Critical resources (hide)'!AX$6:AX$105)+SUMIF(Capacity_Resource,$F54,'Critical resources (hide)'!AX$6:AX$105)&gt;0,$E$1=2),0,1)</f>
        <v>1</v>
      </c>
      <c r="AL54" s="68">
        <f ca="1">IF(AND(SUMIF(Capacity_Resource,$D54,'Critical resources (hide)'!AY$6:AY$105)+SUMIF(Capacity_Resource,$E54,'Critical resources (hide)'!AY$6:AY$105)+SUMIF(Capacity_Resource,$F54,'Critical resources (hide)'!AY$6:AY$105)&gt;0,$E$1=2),0,1)</f>
        <v>1</v>
      </c>
      <c r="AM54" s="68">
        <f ca="1">IF(AND(SUMIF(Capacity_Resource,$D54,'Critical resources (hide)'!AZ$6:AZ$105)+SUMIF(Capacity_Resource,$E54,'Critical resources (hide)'!AZ$6:AZ$105)+SUMIF(Capacity_Resource,$F54,'Critical resources (hide)'!AZ$6:AZ$105)&gt;0,$E$1=2),0,1)</f>
        <v>1</v>
      </c>
      <c r="AN54" s="68">
        <f ca="1">IF(AND(SUMIF(Capacity_Resource,$D54,'Critical resources (hide)'!BA$6:BA$105)+SUMIF(Capacity_Resource,$E54,'Critical resources (hide)'!BA$6:BA$105)+SUMIF(Capacity_Resource,$F54,'Critical resources (hide)'!BA$6:BA$105)&gt;0,$E$1=2),0,1)</f>
        <v>1</v>
      </c>
      <c r="AO54" s="68">
        <f ca="1">IF(AND(SUMIF(Capacity_Resource,$D54,'Critical resources (hide)'!BB$6:BB$105)+SUMIF(Capacity_Resource,$E54,'Critical resources (hide)'!BB$6:BB$105)+SUMIF(Capacity_Resource,$F54,'Critical resources (hide)'!BB$6:BB$105)&gt;0,$E$1=2),0,1)</f>
        <v>1</v>
      </c>
      <c r="AP54" s="68">
        <f ca="1">IF(AND(SUMIF(Capacity_Resource,$D54,'Critical resources (hide)'!BC$6:BC$105)+SUMIF(Capacity_Resource,$E54,'Critical resources (hide)'!BC$6:BC$105)+SUMIF(Capacity_Resource,$F54,'Critical resources (hide)'!BC$6:BC$105)&gt;0,$E$1=2),0,1)</f>
        <v>1</v>
      </c>
      <c r="AQ54" s="68">
        <f ca="1">IF(AND(SUMIF(Capacity_Resource,$D54,'Critical resources (hide)'!BD$6:BD$105)+SUMIF(Capacity_Resource,$E54,'Critical resources (hide)'!BD$6:BD$105)+SUMIF(Capacity_Resource,$F54,'Critical resources (hide)'!BD$6:BD$105)&gt;0,$E$1=2),0,1)</f>
        <v>1</v>
      </c>
      <c r="AR54" s="68">
        <f ca="1">IF(AND(SUMIF(Capacity_Resource,$D54,'Critical resources (hide)'!BE$6:BE$105)+SUMIF(Capacity_Resource,$E54,'Critical resources (hide)'!BE$6:BE$105)+SUMIF(Capacity_Resource,$F54,'Critical resources (hide)'!BE$6:BE$105)&gt;0,$E$1=2),0,1)</f>
        <v>1</v>
      </c>
      <c r="AS54" s="68">
        <f ca="1">IF(AND(SUMIF(Capacity_Resource,$D54,'Critical resources (hide)'!BF$6:BF$105)+SUMIF(Capacity_Resource,$E54,'Critical resources (hide)'!BF$6:BF$105)+SUMIF(Capacity_Resource,$F54,'Critical resources (hide)'!BF$6:BF$105)&gt;0,$E$1=2),0,1)</f>
        <v>1</v>
      </c>
      <c r="AT54" s="68">
        <f ca="1">IF(AND(SUMIF(Capacity_Resource,$D54,'Critical resources (hide)'!BG$6:BG$105)+SUMIF(Capacity_Resource,$E54,'Critical resources (hide)'!BG$6:BG$105)+SUMIF(Capacity_Resource,$F54,'Critical resources (hide)'!BG$6:BG$105)&gt;0,$E$1=2),0,1)</f>
        <v>1</v>
      </c>
      <c r="AU54" s="68">
        <f ca="1">IF(AND(SUMIF(Capacity_Resource,$D54,'Critical resources (hide)'!BH$6:BH$105)+SUMIF(Capacity_Resource,$E54,'Critical resources (hide)'!BH$6:BH$105)+SUMIF(Capacity_Resource,$F54,'Critical resources (hide)'!BH$6:BH$105)&gt;0,$E$1=2),0,1)</f>
        <v>1</v>
      </c>
      <c r="AV54" s="68">
        <f ca="1">IF(AND(SUMIF(Capacity_Resource,$D54,'Critical resources (hide)'!BI$6:BI$105)+SUMIF(Capacity_Resource,$E54,'Critical resources (hide)'!BI$6:BI$105)+SUMIF(Capacity_Resource,$F54,'Critical resources (hide)'!BI$6:BI$105)&gt;0,$E$1=2),0,1)</f>
        <v>1</v>
      </c>
      <c r="AW54" s="68">
        <f ca="1">IF(AND(SUMIF(Capacity_Resource,$D54,'Critical resources (hide)'!BJ$6:BJ$105)+SUMIF(Capacity_Resource,$E54,'Critical resources (hide)'!BJ$6:BJ$105)+SUMIF(Capacity_Resource,$F54,'Critical resources (hide)'!BJ$6:BJ$105)&gt;0,$E$1=2),0,1)</f>
        <v>1</v>
      </c>
      <c r="AX54" s="68">
        <f ca="1">IF(AND(SUMIF(Capacity_Resource,$D54,'Critical resources (hide)'!BK$6:BK$105)+SUMIF(Capacity_Resource,$E54,'Critical resources (hide)'!BK$6:BK$105)+SUMIF(Capacity_Resource,$F54,'Critical resources (hide)'!BK$6:BK$105)&gt;0,$E$1=2),0,1)</f>
        <v>1</v>
      </c>
      <c r="AY54" s="68">
        <f ca="1">IF(AND(SUMIF(Capacity_Resource,$D54,'Critical resources (hide)'!BL$6:BL$105)+SUMIF(Capacity_Resource,$E54,'Critical resources (hide)'!BL$6:BL$105)+SUMIF(Capacity_Resource,$F54,'Critical resources (hide)'!BL$6:BL$105)&gt;0,$E$1=2),0,1)</f>
        <v>1</v>
      </c>
      <c r="AZ54" s="68">
        <f ca="1">IF(AND(SUMIF(Capacity_Resource,$D54,'Critical resources (hide)'!BM$6:BM$105)+SUMIF(Capacity_Resource,$E54,'Critical resources (hide)'!BM$6:BM$105)+SUMIF(Capacity_Resource,$F54,'Critical resources (hide)'!BM$6:BM$105)&gt;0,$E$1=2),0,1)</f>
        <v>1</v>
      </c>
      <c r="BA54" s="68">
        <f ca="1">IF(AND(SUMIF(Capacity_Resource,$D54,'Critical resources (hide)'!BN$6:BN$105)+SUMIF(Capacity_Resource,$E54,'Critical resources (hide)'!BN$6:BN$105)+SUMIF(Capacity_Resource,$F54,'Critical resources (hide)'!BN$6:BN$105)&gt;0,$E$1=2),0,1)</f>
        <v>1</v>
      </c>
      <c r="BB54" s="68">
        <f ca="1">IF(AND(SUMIF(Capacity_Resource,$D54,'Critical resources (hide)'!BO$6:BO$105)+SUMIF(Capacity_Resource,$E54,'Critical resources (hide)'!BO$6:BO$105)+SUMIF(Capacity_Resource,$F54,'Critical resources (hide)'!BO$6:BO$105)&gt;0,$E$1=2),0,1)</f>
        <v>1</v>
      </c>
      <c r="BC54" s="68">
        <f ca="1">IF(AND(SUMIF(Capacity_Resource,$D54,'Critical resources (hide)'!BP$6:BP$105)+SUMIF(Capacity_Resource,$E54,'Critical resources (hide)'!BP$6:BP$105)+SUMIF(Capacity_Resource,$F54,'Critical resources (hide)'!BP$6:BP$105)&gt;0,$E$1=2),0,1)</f>
        <v>1</v>
      </c>
      <c r="BD54" s="68">
        <f ca="1">IF(AND(SUMIF(Capacity_Resource,$D54,'Critical resources (hide)'!BQ$6:BQ$105)+SUMIF(Capacity_Resource,$E54,'Critical resources (hide)'!BQ$6:BQ$105)+SUMIF(Capacity_Resource,$F54,'Critical resources (hide)'!BQ$6:BQ$105)&gt;0,$E$1=2),0,1)</f>
        <v>1</v>
      </c>
      <c r="BE54" s="68">
        <f ca="1">IF(AND(SUMIF(Capacity_Resource,$D54,'Critical resources (hide)'!BR$6:BR$105)+SUMIF(Capacity_Resource,$E54,'Critical resources (hide)'!BR$6:BR$105)+SUMIF(Capacity_Resource,$F54,'Critical resources (hide)'!BR$6:BR$105)&gt;0,$E$1=2),0,1)</f>
        <v>1</v>
      </c>
      <c r="BF54" s="68">
        <f ca="1">IF(AND(SUMIF(Capacity_Resource,$D54,'Critical resources (hide)'!BS$6:BS$105)+SUMIF(Capacity_Resource,$E54,'Critical resources (hide)'!BS$6:BS$105)+SUMIF(Capacity_Resource,$F54,'Critical resources (hide)'!BS$6:BS$105)&gt;0,$E$1=2),0,1)</f>
        <v>1</v>
      </c>
      <c r="BG54" s="68">
        <f ca="1">IF(AND(SUMIF(Capacity_Resource,$D54,'Critical resources (hide)'!BT$6:BT$105)+SUMIF(Capacity_Resource,$E54,'Critical resources (hide)'!BT$6:BT$105)+SUMIF(Capacity_Resource,$F54,'Critical resources (hide)'!BT$6:BT$105)&gt;0,$E$1=2),0,1)</f>
        <v>1</v>
      </c>
      <c r="BH54" s="68">
        <f>IF(ROW(C50)&lt;=Capacity!$A$16,IF('Capacity summary'!$D$14="No",SUM(H54:BG54),'Capacity summary'!$E173),0)</f>
        <v>0</v>
      </c>
      <c r="BI54" s="5" t="str">
        <f>IF(BH54&gt;0,IF(BH54&lt;Capacity!E66,Capacity!F66,Capacity!H66/'Capacity calculation (hide)'!BH54),"")</f>
        <v/>
      </c>
      <c r="BK54" s="319">
        <f>IF($BI54&lt;&gt;"",IF('Capacity summary'!$D$14="Yes",IF(COUNTBLANK('Capacity summary'!$H173:$BG173)&lt;52,IF('Capacity summary'!H173&lt;&gt;"",$BI54*H54,0),H54*$BI54),H54*$BI54),0)</f>
        <v>0</v>
      </c>
      <c r="BL54" s="319">
        <f>IF($BI54&lt;&gt;"",IF('Capacity summary'!$D$14="Yes",IF(COUNTBLANK('Capacity summary'!$H173:$BG173)&lt;52,IF('Capacity summary'!I173&lt;&gt;"",$BI54*I54,0),I54*$BI54),I54*$BI54),0)</f>
        <v>0</v>
      </c>
      <c r="BM54" s="319">
        <f>IF($BI54&lt;&gt;"",IF('Capacity summary'!$D$14="Yes",IF(COUNTBLANK('Capacity summary'!$H173:$BG173)&lt;52,IF('Capacity summary'!J173&lt;&gt;"",$BI54*J54,0),J54*$BI54),J54*$BI54),0)</f>
        <v>0</v>
      </c>
      <c r="BN54" s="319">
        <f>IF($BI54&lt;&gt;"",IF('Capacity summary'!$D$14="Yes",IF(COUNTBLANK('Capacity summary'!$H173:$BG173)&lt;52,IF('Capacity summary'!K173&lt;&gt;"",$BI54*K54,0),K54*$BI54),K54*$BI54),0)</f>
        <v>0</v>
      </c>
      <c r="BO54" s="319">
        <f>IF($BI54&lt;&gt;"",IF('Capacity summary'!$D$14="Yes",IF(COUNTBLANK('Capacity summary'!$H173:$BG173)&lt;52,IF('Capacity summary'!L173&lt;&gt;"",$BI54*L54,0),L54*$BI54),L54*$BI54),0)</f>
        <v>0</v>
      </c>
      <c r="BP54" s="319">
        <f>IF($BI54&lt;&gt;"",IF('Capacity summary'!$D$14="Yes",IF(COUNTBLANK('Capacity summary'!$H173:$BG173)&lt;52,IF('Capacity summary'!M173&lt;&gt;"",$BI54*M54,0),M54*$BI54),M54*$BI54),0)</f>
        <v>0</v>
      </c>
      <c r="BQ54" s="319">
        <f>IF($BI54&lt;&gt;"",IF('Capacity summary'!$D$14="Yes",IF(COUNTBLANK('Capacity summary'!$H173:$BG173)&lt;52,IF('Capacity summary'!N173&lt;&gt;"",$BI54*N54,0),N54*$BI54),N54*$BI54),0)</f>
        <v>0</v>
      </c>
      <c r="BR54" s="319">
        <f>IF($BI54&lt;&gt;"",IF('Capacity summary'!$D$14="Yes",IF(COUNTBLANK('Capacity summary'!$H173:$BG173)&lt;52,IF('Capacity summary'!O173&lt;&gt;"",$BI54*O54,0),O54*$BI54),O54*$BI54),0)</f>
        <v>0</v>
      </c>
      <c r="BS54" s="319">
        <f>IF($BI54&lt;&gt;"",IF('Capacity summary'!$D$14="Yes",IF(COUNTBLANK('Capacity summary'!$H173:$BG173)&lt;52,IF('Capacity summary'!P173&lt;&gt;"",$BI54*P54,0),P54*$BI54),P54*$BI54),0)</f>
        <v>0</v>
      </c>
      <c r="BT54" s="319">
        <f>IF($BI54&lt;&gt;"",IF('Capacity summary'!$D$14="Yes",IF(COUNTBLANK('Capacity summary'!$H173:$BG173)&lt;52,IF('Capacity summary'!Q173&lt;&gt;"",$BI54*Q54,0),Q54*$BI54),Q54*$BI54),0)</f>
        <v>0</v>
      </c>
      <c r="BU54" s="319">
        <f>IF($BI54&lt;&gt;"",IF('Capacity summary'!$D$14="Yes",IF(COUNTBLANK('Capacity summary'!$H173:$BG173)&lt;52,IF('Capacity summary'!R173&lt;&gt;"",$BI54*R54,0),R54*$BI54),R54*$BI54),0)</f>
        <v>0</v>
      </c>
      <c r="BV54" s="319">
        <f>IF($BI54&lt;&gt;"",IF('Capacity summary'!$D$14="Yes",IF(COUNTBLANK('Capacity summary'!$H173:$BG173)&lt;52,IF('Capacity summary'!S173&lt;&gt;"",$BI54*S54,0),S54*$BI54),S54*$BI54),0)</f>
        <v>0</v>
      </c>
      <c r="BW54" s="319">
        <f>IF($BI54&lt;&gt;"",IF('Capacity summary'!$D$14="Yes",IF(COUNTBLANK('Capacity summary'!$H173:$BG173)&lt;52,IF('Capacity summary'!T173&lt;&gt;"",$BI54*T54,0),T54*$BI54),T54*$BI54),0)</f>
        <v>0</v>
      </c>
      <c r="BX54" s="319">
        <f>IF($BI54&lt;&gt;"",IF('Capacity summary'!$D$14="Yes",IF(COUNTBLANK('Capacity summary'!$H173:$BG173)&lt;52,IF('Capacity summary'!U173&lt;&gt;"",$BI54*U54,0),U54*$BI54),U54*$BI54),0)</f>
        <v>0</v>
      </c>
      <c r="BY54" s="319">
        <f>IF($BI54&lt;&gt;"",IF('Capacity summary'!$D$14="Yes",IF(COUNTBLANK('Capacity summary'!$H173:$BG173)&lt;52,IF('Capacity summary'!V173&lt;&gt;"",$BI54*V54,0),V54*$BI54),V54*$BI54),0)</f>
        <v>0</v>
      </c>
      <c r="BZ54" s="319">
        <f>IF($BI54&lt;&gt;"",IF('Capacity summary'!$D$14="Yes",IF(COUNTBLANK('Capacity summary'!$H173:$BG173)&lt;52,IF('Capacity summary'!W173&lt;&gt;"",$BI54*W54,0),W54*$BI54),W54*$BI54),0)</f>
        <v>0</v>
      </c>
      <c r="CA54" s="319">
        <f>IF($BI54&lt;&gt;"",IF('Capacity summary'!$D$14="Yes",IF(COUNTBLANK('Capacity summary'!$H173:$BG173)&lt;52,IF('Capacity summary'!X173&lt;&gt;"",$BI54*X54,0),X54*$BI54),X54*$BI54),0)</f>
        <v>0</v>
      </c>
      <c r="CB54" s="319">
        <f>IF($BI54&lt;&gt;"",IF('Capacity summary'!$D$14="Yes",IF(COUNTBLANK('Capacity summary'!$H173:$BG173)&lt;52,IF('Capacity summary'!Y173&lt;&gt;"",$BI54*Y54,0),Y54*$BI54),Y54*$BI54),0)</f>
        <v>0</v>
      </c>
      <c r="CC54" s="319">
        <f>IF($BI54&lt;&gt;"",IF('Capacity summary'!$D$14="Yes",IF(COUNTBLANK('Capacity summary'!$H173:$BG173)&lt;52,IF('Capacity summary'!Z173&lt;&gt;"",$BI54*Z54,0),Z54*$BI54),Z54*$BI54),0)</f>
        <v>0</v>
      </c>
      <c r="CD54" s="319">
        <f>IF($BI54&lt;&gt;"",IF('Capacity summary'!$D$14="Yes",IF(COUNTBLANK('Capacity summary'!$H173:$BG173)&lt;52,IF('Capacity summary'!AA173&lt;&gt;"",$BI54*AA54,0),AA54*$BI54),AA54*$BI54),0)</f>
        <v>0</v>
      </c>
      <c r="CE54" s="319">
        <f>IF($BI54&lt;&gt;"",IF('Capacity summary'!$D$14="Yes",IF(COUNTBLANK('Capacity summary'!$H173:$BG173)&lt;52,IF('Capacity summary'!AB173&lt;&gt;"",$BI54*AB54,0),AB54*$BI54),AB54*$BI54),0)</f>
        <v>0</v>
      </c>
      <c r="CF54" s="319">
        <f>IF($BI54&lt;&gt;"",IF('Capacity summary'!$D$14="Yes",IF(COUNTBLANK('Capacity summary'!$H173:$BG173)&lt;52,IF('Capacity summary'!AC173&lt;&gt;"",$BI54*AC54,0),AC54*$BI54),AC54*$BI54),0)</f>
        <v>0</v>
      </c>
      <c r="CG54" s="319">
        <f>IF($BI54&lt;&gt;"",IF('Capacity summary'!$D$14="Yes",IF(COUNTBLANK('Capacity summary'!$H173:$BG173)&lt;52,IF('Capacity summary'!AD173&lt;&gt;"",$BI54*AD54,0),AD54*$BI54),AD54*$BI54),0)</f>
        <v>0</v>
      </c>
      <c r="CH54" s="319">
        <f>IF($BI54&lt;&gt;"",IF('Capacity summary'!$D$14="Yes",IF(COUNTBLANK('Capacity summary'!$H173:$BG173)&lt;52,IF('Capacity summary'!AE173&lt;&gt;"",$BI54*AE54,0),AE54*$BI54),AE54*$BI54),0)</f>
        <v>0</v>
      </c>
      <c r="CI54" s="319">
        <f>IF($BI54&lt;&gt;"",IF('Capacity summary'!$D$14="Yes",IF(COUNTBLANK('Capacity summary'!$H173:$BG173)&lt;52,IF('Capacity summary'!AF173&lt;&gt;"",$BI54*AF54,0),AF54*$BI54),AF54*$BI54),0)</f>
        <v>0</v>
      </c>
      <c r="CJ54" s="319">
        <f>IF($BI54&lt;&gt;"",IF('Capacity summary'!$D$14="Yes",IF(COUNTBLANK('Capacity summary'!$H173:$BG173)&lt;52,IF('Capacity summary'!AG173&lt;&gt;"",$BI54*AG54,0),AG54*$BI54),AG54*$BI54),0)</f>
        <v>0</v>
      </c>
      <c r="CK54" s="319">
        <f>IF($BI54&lt;&gt;"",IF('Capacity summary'!$D$14="Yes",IF(COUNTBLANK('Capacity summary'!$H173:$BG173)&lt;52,IF('Capacity summary'!AH173&lt;&gt;"",$BI54*AH54,0),AH54*$BI54),AH54*$BI54),0)</f>
        <v>0</v>
      </c>
      <c r="CL54" s="319">
        <f>IF($BI54&lt;&gt;"",IF('Capacity summary'!$D$14="Yes",IF(COUNTBLANK('Capacity summary'!$H173:$BG173)&lt;52,IF('Capacity summary'!AI173&lt;&gt;"",$BI54*AI54,0),AI54*$BI54),AI54*$BI54),0)</f>
        <v>0</v>
      </c>
      <c r="CM54" s="319">
        <f>IF($BI54&lt;&gt;"",IF('Capacity summary'!$D$14="Yes",IF(COUNTBLANK('Capacity summary'!$H173:$BG173)&lt;52,IF('Capacity summary'!AJ173&lt;&gt;"",$BI54*AJ54,0),AJ54*$BI54),AJ54*$BI54),0)</f>
        <v>0</v>
      </c>
      <c r="CN54" s="319">
        <f>IF($BI54&lt;&gt;"",IF('Capacity summary'!$D$14="Yes",IF(COUNTBLANK('Capacity summary'!$H173:$BG173)&lt;52,IF('Capacity summary'!AK173&lt;&gt;"",$BI54*AK54,0),AK54*$BI54),AK54*$BI54),0)</f>
        <v>0</v>
      </c>
      <c r="CO54" s="319">
        <f>IF($BI54&lt;&gt;"",IF('Capacity summary'!$D$14="Yes",IF(COUNTBLANK('Capacity summary'!$H173:$BG173)&lt;52,IF('Capacity summary'!AL173&lt;&gt;"",$BI54*AL54,0),AL54*$BI54),AL54*$BI54),0)</f>
        <v>0</v>
      </c>
      <c r="CP54" s="319">
        <f>IF($BI54&lt;&gt;"",IF('Capacity summary'!$D$14="Yes",IF(COUNTBLANK('Capacity summary'!$H173:$BG173)&lt;52,IF('Capacity summary'!AM173&lt;&gt;"",$BI54*AM54,0),AM54*$BI54),AM54*$BI54),0)</f>
        <v>0</v>
      </c>
      <c r="CQ54" s="319">
        <f>IF($BI54&lt;&gt;"",IF('Capacity summary'!$D$14="Yes",IF(COUNTBLANK('Capacity summary'!$H173:$BG173)&lt;52,IF('Capacity summary'!AN173&lt;&gt;"",$BI54*AN54,0),AN54*$BI54),AN54*$BI54),0)</f>
        <v>0</v>
      </c>
      <c r="CR54" s="319">
        <f>IF($BI54&lt;&gt;"",IF('Capacity summary'!$D$14="Yes",IF(COUNTBLANK('Capacity summary'!$H173:$BG173)&lt;52,IF('Capacity summary'!AO173&lt;&gt;"",$BI54*AO54,0),AO54*$BI54),AO54*$BI54),0)</f>
        <v>0</v>
      </c>
      <c r="CS54" s="319">
        <f>IF($BI54&lt;&gt;"",IF('Capacity summary'!$D$14="Yes",IF(COUNTBLANK('Capacity summary'!$H173:$BG173)&lt;52,IF('Capacity summary'!AP173&lt;&gt;"",$BI54*AP54,0),AP54*$BI54),AP54*$BI54),0)</f>
        <v>0</v>
      </c>
      <c r="CT54" s="319">
        <f>IF($BI54&lt;&gt;"",IF('Capacity summary'!$D$14="Yes",IF(COUNTBLANK('Capacity summary'!$H173:$BG173)&lt;52,IF('Capacity summary'!AQ173&lt;&gt;"",$BI54*AQ54,0),AQ54*$BI54),AQ54*$BI54),0)</f>
        <v>0</v>
      </c>
      <c r="CU54" s="319">
        <f>IF($BI54&lt;&gt;"",IF('Capacity summary'!$D$14="Yes",IF(COUNTBLANK('Capacity summary'!$H173:$BG173)&lt;52,IF('Capacity summary'!AR173&lt;&gt;"",$BI54*AR54,0),AR54*$BI54),AR54*$BI54),0)</f>
        <v>0</v>
      </c>
      <c r="CV54" s="319">
        <f>IF($BI54&lt;&gt;"",IF('Capacity summary'!$D$14="Yes",IF(COUNTBLANK('Capacity summary'!$H173:$BG173)&lt;52,IF('Capacity summary'!AS173&lt;&gt;"",$BI54*AS54,0),AS54*$BI54),AS54*$BI54),0)</f>
        <v>0</v>
      </c>
      <c r="CW54" s="319">
        <f>IF($BI54&lt;&gt;"",IF('Capacity summary'!$D$14="Yes",IF(COUNTBLANK('Capacity summary'!$H173:$BG173)&lt;52,IF('Capacity summary'!AT173&lt;&gt;"",$BI54*AT54,0),AT54*$BI54),AT54*$BI54),0)</f>
        <v>0</v>
      </c>
      <c r="CX54" s="319">
        <f>IF($BI54&lt;&gt;"",IF('Capacity summary'!$D$14="Yes",IF(COUNTBLANK('Capacity summary'!$H173:$BG173)&lt;52,IF('Capacity summary'!AU173&lt;&gt;"",$BI54*AU54,0),AU54*$BI54),AU54*$BI54),0)</f>
        <v>0</v>
      </c>
      <c r="CY54" s="319">
        <f>IF($BI54&lt;&gt;"",IF('Capacity summary'!$D$14="Yes",IF(COUNTBLANK('Capacity summary'!$H173:$BG173)&lt;52,IF('Capacity summary'!AV173&lt;&gt;"",$BI54*AV54,0),AV54*$BI54),AV54*$BI54),0)</f>
        <v>0</v>
      </c>
      <c r="CZ54" s="319">
        <f>IF($BI54&lt;&gt;"",IF('Capacity summary'!$D$14="Yes",IF(COUNTBLANK('Capacity summary'!$H173:$BG173)&lt;52,IF('Capacity summary'!AW173&lt;&gt;"",$BI54*AW54,0),AW54*$BI54),AW54*$BI54),0)</f>
        <v>0</v>
      </c>
      <c r="DA54" s="319">
        <f>IF($BI54&lt;&gt;"",IF('Capacity summary'!$D$14="Yes",IF(COUNTBLANK('Capacity summary'!$H173:$BG173)&lt;52,IF('Capacity summary'!AX173&lt;&gt;"",$BI54*AX54,0),AX54*$BI54),AX54*$BI54),0)</f>
        <v>0</v>
      </c>
      <c r="DB54" s="319">
        <f>IF($BI54&lt;&gt;"",IF('Capacity summary'!$D$14="Yes",IF(COUNTBLANK('Capacity summary'!$H173:$BG173)&lt;52,IF('Capacity summary'!AY173&lt;&gt;"",$BI54*AY54,0),AY54*$BI54),AY54*$BI54),0)</f>
        <v>0</v>
      </c>
      <c r="DC54" s="319">
        <f>IF($BI54&lt;&gt;"",IF('Capacity summary'!$D$14="Yes",IF(COUNTBLANK('Capacity summary'!$H173:$BG173)&lt;52,IF('Capacity summary'!AZ173&lt;&gt;"",$BI54*AZ54,0),AZ54*$BI54),AZ54*$BI54),0)</f>
        <v>0</v>
      </c>
      <c r="DD54" s="319">
        <f>IF($BI54&lt;&gt;"",IF('Capacity summary'!$D$14="Yes",IF(COUNTBLANK('Capacity summary'!$H173:$BG173)&lt;52,IF('Capacity summary'!BA173&lt;&gt;"",$BI54*BA54,0),BA54*$BI54),BA54*$BI54),0)</f>
        <v>0</v>
      </c>
      <c r="DE54" s="319">
        <f>IF($BI54&lt;&gt;"",IF('Capacity summary'!$D$14="Yes",IF(COUNTBLANK('Capacity summary'!$H173:$BG173)&lt;52,IF('Capacity summary'!BB173&lt;&gt;"",$BI54*BB54,0),BB54*$BI54),BB54*$BI54),0)</f>
        <v>0</v>
      </c>
      <c r="DF54" s="319">
        <f>IF($BI54&lt;&gt;"",IF('Capacity summary'!$D$14="Yes",IF(COUNTBLANK('Capacity summary'!$H173:$BG173)&lt;52,IF('Capacity summary'!BC173&lt;&gt;"",$BI54*BC54,0),BC54*$BI54),BC54*$BI54),0)</f>
        <v>0</v>
      </c>
      <c r="DG54" s="319">
        <f>IF($BI54&lt;&gt;"",IF('Capacity summary'!$D$14="Yes",IF(COUNTBLANK('Capacity summary'!$H173:$BG173)&lt;52,IF('Capacity summary'!BD173&lt;&gt;"",$BI54*BD54,0),BD54*$BI54),BD54*$BI54),0)</f>
        <v>0</v>
      </c>
      <c r="DH54" s="319">
        <f>IF($BI54&lt;&gt;"",IF('Capacity summary'!$D$14="Yes",IF(COUNTBLANK('Capacity summary'!$H173:$BG173)&lt;52,IF('Capacity summary'!BE173&lt;&gt;"",$BI54*BE54,0),BE54*$BI54),BE54*$BI54),0)</f>
        <v>0</v>
      </c>
      <c r="DI54" s="319">
        <f>IF($BI54&lt;&gt;"",IF('Capacity summary'!$D$14="Yes",IF(COUNTBLANK('Capacity summary'!$H173:$BG173)&lt;52,IF('Capacity summary'!BF173&lt;&gt;"",$BI54*BF54,0),BF54*$BI54),BF54*$BI54),0)</f>
        <v>0</v>
      </c>
      <c r="DJ54" s="319">
        <f>IF($BI54&lt;&gt;"",IF('Capacity summary'!$D$14="Yes",IF(COUNTBLANK('Capacity summary'!$H173:$BG173)&lt;52,IF('Capacity summary'!BG173&lt;&gt;"",$BI54*BG54,0),BG54*$BI54),BG54*$BI54),0)</f>
        <v>0</v>
      </c>
      <c r="DK54" s="5">
        <f t="shared" si="2"/>
        <v>0</v>
      </c>
      <c r="DL54" s="5" t="str">
        <f>Capacity!H66</f>
        <v/>
      </c>
      <c r="DP54" s="5"/>
    </row>
    <row r="55" spans="2:120" x14ac:dyDescent="0.2">
      <c r="B55" s="68"/>
      <c r="C55" s="68" t="str">
        <f>ROW(A51)&amp;". "&amp;Capacity!B67</f>
        <v xml:space="preserve">51. </v>
      </c>
      <c r="D55" s="68">
        <f>'Capacity setup'!C62</f>
        <v>0</v>
      </c>
      <c r="E55" s="68">
        <f>'Capacity setup'!D62</f>
        <v>0</v>
      </c>
      <c r="F55" s="68">
        <f>'Capacity setup'!E62</f>
        <v>0</v>
      </c>
      <c r="H55" s="68">
        <f ca="1">IF(AND(SUMIF(Capacity_Resource,$D55,'Critical resources (hide)'!U$6:U$105)+SUMIF(Capacity_Resource,$E55,'Critical resources (hide)'!U$6:U$105)+SUMIF(Capacity_Resource,$F55,'Critical resources (hide)'!U$6:U$105)&gt;0,$E$1=2),0,1)</f>
        <v>1</v>
      </c>
      <c r="I55" s="68">
        <f ca="1">IF(AND(SUMIF(Capacity_Resource,$D55,'Critical resources (hide)'!V$6:V$105)+SUMIF(Capacity_Resource,$E55,'Critical resources (hide)'!V$6:V$105)+SUMIF(Capacity_Resource,$F55,'Critical resources (hide)'!V$6:V$105)&gt;0,$E$1=2),0,1)</f>
        <v>1</v>
      </c>
      <c r="J55" s="68">
        <f ca="1">IF(AND(SUMIF(Capacity_Resource,$D55,'Critical resources (hide)'!W$6:W$105)+SUMIF(Capacity_Resource,$E55,'Critical resources (hide)'!W$6:W$105)+SUMIF(Capacity_Resource,$F55,'Critical resources (hide)'!W$6:W$105)&gt;0,$E$1=2),0,1)</f>
        <v>1</v>
      </c>
      <c r="K55" s="68">
        <f ca="1">IF(AND(SUMIF(Capacity_Resource,$D55,'Critical resources (hide)'!X$6:X$105)+SUMIF(Capacity_Resource,$E55,'Critical resources (hide)'!X$6:X$105)+SUMIF(Capacity_Resource,$F55,'Critical resources (hide)'!X$6:X$105)&gt;0,$E$1=2),0,1)</f>
        <v>1</v>
      </c>
      <c r="L55" s="68">
        <f ca="1">IF(AND(SUMIF(Capacity_Resource,$D55,'Critical resources (hide)'!Y$6:Y$105)+SUMIF(Capacity_Resource,$E55,'Critical resources (hide)'!Y$6:Y$105)+SUMIF(Capacity_Resource,$F55,'Critical resources (hide)'!Y$6:Y$105)&gt;0,$E$1=2),0,1)</f>
        <v>1</v>
      </c>
      <c r="M55" s="68">
        <f ca="1">IF(AND(SUMIF(Capacity_Resource,$D55,'Critical resources (hide)'!Z$6:Z$105)+SUMIF(Capacity_Resource,$E55,'Critical resources (hide)'!Z$6:Z$105)+SUMIF(Capacity_Resource,$F55,'Critical resources (hide)'!Z$6:Z$105)&gt;0,$E$1=2),0,1)</f>
        <v>1</v>
      </c>
      <c r="N55" s="68">
        <f ca="1">IF(AND(SUMIF(Capacity_Resource,$D55,'Critical resources (hide)'!AA$6:AA$105)+SUMIF(Capacity_Resource,$E55,'Critical resources (hide)'!AA$6:AA$105)+SUMIF(Capacity_Resource,$F55,'Critical resources (hide)'!AA$6:AA$105)&gt;0,$E$1=2),0,1)</f>
        <v>1</v>
      </c>
      <c r="O55" s="68">
        <f ca="1">IF(AND(SUMIF(Capacity_Resource,$D55,'Critical resources (hide)'!AB$6:AB$105)+SUMIF(Capacity_Resource,$E55,'Critical resources (hide)'!AB$6:AB$105)+SUMIF(Capacity_Resource,$F55,'Critical resources (hide)'!AB$6:AB$105)&gt;0,$E$1=2),0,1)</f>
        <v>1</v>
      </c>
      <c r="P55" s="68">
        <f ca="1">IF(AND(SUMIF(Capacity_Resource,$D55,'Critical resources (hide)'!AC$6:AC$105)+SUMIF(Capacity_Resource,$E55,'Critical resources (hide)'!AC$6:AC$105)+SUMIF(Capacity_Resource,$F55,'Critical resources (hide)'!AC$6:AC$105)&gt;0,$E$1=2),0,1)</f>
        <v>1</v>
      </c>
      <c r="Q55" s="68">
        <f ca="1">IF(AND(SUMIF(Capacity_Resource,$D55,'Critical resources (hide)'!AD$6:AD$105)+SUMIF(Capacity_Resource,$E55,'Critical resources (hide)'!AD$6:AD$105)+SUMIF(Capacity_Resource,$F55,'Critical resources (hide)'!AD$6:AD$105)&gt;0,$E$1=2),0,1)</f>
        <v>1</v>
      </c>
      <c r="R55" s="68">
        <f ca="1">IF(AND(SUMIF(Capacity_Resource,$D55,'Critical resources (hide)'!AE$6:AE$105)+SUMIF(Capacity_Resource,$E55,'Critical resources (hide)'!AE$6:AE$105)+SUMIF(Capacity_Resource,$F55,'Critical resources (hide)'!AE$6:AE$105)&gt;0,$E$1=2),0,1)</f>
        <v>1</v>
      </c>
      <c r="S55" s="68">
        <f ca="1">IF(AND(SUMIF(Capacity_Resource,$D55,'Critical resources (hide)'!AF$6:AF$105)+SUMIF(Capacity_Resource,$E55,'Critical resources (hide)'!AF$6:AF$105)+SUMIF(Capacity_Resource,$F55,'Critical resources (hide)'!AF$6:AF$105)&gt;0,$E$1=2),0,1)</f>
        <v>1</v>
      </c>
      <c r="T55" s="68">
        <f ca="1">IF(AND(SUMIF(Capacity_Resource,$D55,'Critical resources (hide)'!AG$6:AG$105)+SUMIF(Capacity_Resource,$E55,'Critical resources (hide)'!AG$6:AG$105)+SUMIF(Capacity_Resource,$F55,'Critical resources (hide)'!AG$6:AG$105)&gt;0,$E$1=2),0,1)</f>
        <v>1</v>
      </c>
      <c r="U55" s="68">
        <f ca="1">IF(AND(SUMIF(Capacity_Resource,$D55,'Critical resources (hide)'!AH$6:AH$105)+SUMIF(Capacity_Resource,$E55,'Critical resources (hide)'!AH$6:AH$105)+SUMIF(Capacity_Resource,$F55,'Critical resources (hide)'!AH$6:AH$105)&gt;0,$E$1=2),0,1)</f>
        <v>1</v>
      </c>
      <c r="V55" s="68">
        <f ca="1">IF(AND(SUMIF(Capacity_Resource,$D55,'Critical resources (hide)'!AI$6:AI$105)+SUMIF(Capacity_Resource,$E55,'Critical resources (hide)'!AI$6:AI$105)+SUMIF(Capacity_Resource,$F55,'Critical resources (hide)'!AI$6:AI$105)&gt;0,$E$1=2),0,1)</f>
        <v>1</v>
      </c>
      <c r="W55" s="68">
        <f ca="1">IF(AND(SUMIF(Capacity_Resource,$D55,'Critical resources (hide)'!AJ$6:AJ$105)+SUMIF(Capacity_Resource,$E55,'Critical resources (hide)'!AJ$6:AJ$105)+SUMIF(Capacity_Resource,$F55,'Critical resources (hide)'!AJ$6:AJ$105)&gt;0,$E$1=2),0,1)</f>
        <v>1</v>
      </c>
      <c r="X55" s="68">
        <f ca="1">IF(AND(SUMIF(Capacity_Resource,$D55,'Critical resources (hide)'!AK$6:AK$105)+SUMIF(Capacity_Resource,$E55,'Critical resources (hide)'!AK$6:AK$105)+SUMIF(Capacity_Resource,$F55,'Critical resources (hide)'!AK$6:AK$105)&gt;0,$E$1=2),0,1)</f>
        <v>1</v>
      </c>
      <c r="Y55" s="68">
        <f ca="1">IF(AND(SUMIF(Capacity_Resource,$D55,'Critical resources (hide)'!AL$6:AL$105)+SUMIF(Capacity_Resource,$E55,'Critical resources (hide)'!AL$6:AL$105)+SUMIF(Capacity_Resource,$F55,'Critical resources (hide)'!AL$6:AL$105)&gt;0,$E$1=2),0,1)</f>
        <v>1</v>
      </c>
      <c r="Z55" s="68">
        <f ca="1">IF(AND(SUMIF(Capacity_Resource,$D55,'Critical resources (hide)'!AM$6:AM$105)+SUMIF(Capacity_Resource,$E55,'Critical resources (hide)'!AM$6:AM$105)+SUMIF(Capacity_Resource,$F55,'Critical resources (hide)'!AM$6:AM$105)&gt;0,$E$1=2),0,1)</f>
        <v>1</v>
      </c>
      <c r="AA55" s="68">
        <f ca="1">IF(AND(SUMIF(Capacity_Resource,$D55,'Critical resources (hide)'!AN$6:AN$105)+SUMIF(Capacity_Resource,$E55,'Critical resources (hide)'!AN$6:AN$105)+SUMIF(Capacity_Resource,$F55,'Critical resources (hide)'!AN$6:AN$105)&gt;0,$E$1=2),0,1)</f>
        <v>1</v>
      </c>
      <c r="AB55" s="68">
        <f ca="1">IF(AND(SUMIF(Capacity_Resource,$D55,'Critical resources (hide)'!AO$6:AO$105)+SUMIF(Capacity_Resource,$E55,'Critical resources (hide)'!AO$6:AO$105)+SUMIF(Capacity_Resource,$F55,'Critical resources (hide)'!AO$6:AO$105)&gt;0,$E$1=2),0,1)</f>
        <v>1</v>
      </c>
      <c r="AC55" s="68">
        <f ca="1">IF(AND(SUMIF(Capacity_Resource,$D55,'Critical resources (hide)'!AP$6:AP$105)+SUMIF(Capacity_Resource,$E55,'Critical resources (hide)'!AP$6:AP$105)+SUMIF(Capacity_Resource,$F55,'Critical resources (hide)'!AP$6:AP$105)&gt;0,$E$1=2),0,1)</f>
        <v>1</v>
      </c>
      <c r="AD55" s="68">
        <f ca="1">IF(AND(SUMIF(Capacity_Resource,$D55,'Critical resources (hide)'!AQ$6:AQ$105)+SUMIF(Capacity_Resource,$E55,'Critical resources (hide)'!AQ$6:AQ$105)+SUMIF(Capacity_Resource,$F55,'Critical resources (hide)'!AQ$6:AQ$105)&gt;0,$E$1=2),0,1)</f>
        <v>1</v>
      </c>
      <c r="AE55" s="68">
        <f ca="1">IF(AND(SUMIF(Capacity_Resource,$D55,'Critical resources (hide)'!AR$6:AR$105)+SUMIF(Capacity_Resource,$E55,'Critical resources (hide)'!AR$6:AR$105)+SUMIF(Capacity_Resource,$F55,'Critical resources (hide)'!AR$6:AR$105)&gt;0,$E$1=2),0,1)</f>
        <v>1</v>
      </c>
      <c r="AF55" s="68">
        <f ca="1">IF(AND(SUMIF(Capacity_Resource,$D55,'Critical resources (hide)'!AS$6:AS$105)+SUMIF(Capacity_Resource,$E55,'Critical resources (hide)'!AS$6:AS$105)+SUMIF(Capacity_Resource,$F55,'Critical resources (hide)'!AS$6:AS$105)&gt;0,$E$1=2),0,1)</f>
        <v>1</v>
      </c>
      <c r="AG55" s="68">
        <f ca="1">IF(AND(SUMIF(Capacity_Resource,$D55,'Critical resources (hide)'!AT$6:AT$105)+SUMIF(Capacity_Resource,$E55,'Critical resources (hide)'!AT$6:AT$105)+SUMIF(Capacity_Resource,$F55,'Critical resources (hide)'!AT$6:AT$105)&gt;0,$E$1=2),0,1)</f>
        <v>1</v>
      </c>
      <c r="AH55" s="68">
        <f ca="1">IF(AND(SUMIF(Capacity_Resource,$D55,'Critical resources (hide)'!AU$6:AU$105)+SUMIF(Capacity_Resource,$E55,'Critical resources (hide)'!AU$6:AU$105)+SUMIF(Capacity_Resource,$F55,'Critical resources (hide)'!AU$6:AU$105)&gt;0,$E$1=2),0,1)</f>
        <v>1</v>
      </c>
      <c r="AI55" s="68">
        <f ca="1">IF(AND(SUMIF(Capacity_Resource,$D55,'Critical resources (hide)'!AV$6:AV$105)+SUMIF(Capacity_Resource,$E55,'Critical resources (hide)'!AV$6:AV$105)+SUMIF(Capacity_Resource,$F55,'Critical resources (hide)'!AV$6:AV$105)&gt;0,$E$1=2),0,1)</f>
        <v>1</v>
      </c>
      <c r="AJ55" s="68">
        <f ca="1">IF(AND(SUMIF(Capacity_Resource,$D55,'Critical resources (hide)'!AW$6:AW$105)+SUMIF(Capacity_Resource,$E55,'Critical resources (hide)'!AW$6:AW$105)+SUMIF(Capacity_Resource,$F55,'Critical resources (hide)'!AW$6:AW$105)&gt;0,$E$1=2),0,1)</f>
        <v>1</v>
      </c>
      <c r="AK55" s="68">
        <f ca="1">IF(AND(SUMIF(Capacity_Resource,$D55,'Critical resources (hide)'!AX$6:AX$105)+SUMIF(Capacity_Resource,$E55,'Critical resources (hide)'!AX$6:AX$105)+SUMIF(Capacity_Resource,$F55,'Critical resources (hide)'!AX$6:AX$105)&gt;0,$E$1=2),0,1)</f>
        <v>1</v>
      </c>
      <c r="AL55" s="68">
        <f ca="1">IF(AND(SUMIF(Capacity_Resource,$D55,'Critical resources (hide)'!AY$6:AY$105)+SUMIF(Capacity_Resource,$E55,'Critical resources (hide)'!AY$6:AY$105)+SUMIF(Capacity_Resource,$F55,'Critical resources (hide)'!AY$6:AY$105)&gt;0,$E$1=2),0,1)</f>
        <v>1</v>
      </c>
      <c r="AM55" s="68">
        <f ca="1">IF(AND(SUMIF(Capacity_Resource,$D55,'Critical resources (hide)'!AZ$6:AZ$105)+SUMIF(Capacity_Resource,$E55,'Critical resources (hide)'!AZ$6:AZ$105)+SUMIF(Capacity_Resource,$F55,'Critical resources (hide)'!AZ$6:AZ$105)&gt;0,$E$1=2),0,1)</f>
        <v>1</v>
      </c>
      <c r="AN55" s="68">
        <f ca="1">IF(AND(SUMIF(Capacity_Resource,$D55,'Critical resources (hide)'!BA$6:BA$105)+SUMIF(Capacity_Resource,$E55,'Critical resources (hide)'!BA$6:BA$105)+SUMIF(Capacity_Resource,$F55,'Critical resources (hide)'!BA$6:BA$105)&gt;0,$E$1=2),0,1)</f>
        <v>1</v>
      </c>
      <c r="AO55" s="68">
        <f ca="1">IF(AND(SUMIF(Capacity_Resource,$D55,'Critical resources (hide)'!BB$6:BB$105)+SUMIF(Capacity_Resource,$E55,'Critical resources (hide)'!BB$6:BB$105)+SUMIF(Capacity_Resource,$F55,'Critical resources (hide)'!BB$6:BB$105)&gt;0,$E$1=2),0,1)</f>
        <v>1</v>
      </c>
      <c r="AP55" s="68">
        <f ca="1">IF(AND(SUMIF(Capacity_Resource,$D55,'Critical resources (hide)'!BC$6:BC$105)+SUMIF(Capacity_Resource,$E55,'Critical resources (hide)'!BC$6:BC$105)+SUMIF(Capacity_Resource,$F55,'Critical resources (hide)'!BC$6:BC$105)&gt;0,$E$1=2),0,1)</f>
        <v>1</v>
      </c>
      <c r="AQ55" s="68">
        <f ca="1">IF(AND(SUMIF(Capacity_Resource,$D55,'Critical resources (hide)'!BD$6:BD$105)+SUMIF(Capacity_Resource,$E55,'Critical resources (hide)'!BD$6:BD$105)+SUMIF(Capacity_Resource,$F55,'Critical resources (hide)'!BD$6:BD$105)&gt;0,$E$1=2),0,1)</f>
        <v>1</v>
      </c>
      <c r="AR55" s="68">
        <f ca="1">IF(AND(SUMIF(Capacity_Resource,$D55,'Critical resources (hide)'!BE$6:BE$105)+SUMIF(Capacity_Resource,$E55,'Critical resources (hide)'!BE$6:BE$105)+SUMIF(Capacity_Resource,$F55,'Critical resources (hide)'!BE$6:BE$105)&gt;0,$E$1=2),0,1)</f>
        <v>1</v>
      </c>
      <c r="AS55" s="68">
        <f ca="1">IF(AND(SUMIF(Capacity_Resource,$D55,'Critical resources (hide)'!BF$6:BF$105)+SUMIF(Capacity_Resource,$E55,'Critical resources (hide)'!BF$6:BF$105)+SUMIF(Capacity_Resource,$F55,'Critical resources (hide)'!BF$6:BF$105)&gt;0,$E$1=2),0,1)</f>
        <v>1</v>
      </c>
      <c r="AT55" s="68">
        <f ca="1">IF(AND(SUMIF(Capacity_Resource,$D55,'Critical resources (hide)'!BG$6:BG$105)+SUMIF(Capacity_Resource,$E55,'Critical resources (hide)'!BG$6:BG$105)+SUMIF(Capacity_Resource,$F55,'Critical resources (hide)'!BG$6:BG$105)&gt;0,$E$1=2),0,1)</f>
        <v>1</v>
      </c>
      <c r="AU55" s="68">
        <f ca="1">IF(AND(SUMIF(Capacity_Resource,$D55,'Critical resources (hide)'!BH$6:BH$105)+SUMIF(Capacity_Resource,$E55,'Critical resources (hide)'!BH$6:BH$105)+SUMIF(Capacity_Resource,$F55,'Critical resources (hide)'!BH$6:BH$105)&gt;0,$E$1=2),0,1)</f>
        <v>1</v>
      </c>
      <c r="AV55" s="68">
        <f ca="1">IF(AND(SUMIF(Capacity_Resource,$D55,'Critical resources (hide)'!BI$6:BI$105)+SUMIF(Capacity_Resource,$E55,'Critical resources (hide)'!BI$6:BI$105)+SUMIF(Capacity_Resource,$F55,'Critical resources (hide)'!BI$6:BI$105)&gt;0,$E$1=2),0,1)</f>
        <v>1</v>
      </c>
      <c r="AW55" s="68">
        <f ca="1">IF(AND(SUMIF(Capacity_Resource,$D55,'Critical resources (hide)'!BJ$6:BJ$105)+SUMIF(Capacity_Resource,$E55,'Critical resources (hide)'!BJ$6:BJ$105)+SUMIF(Capacity_Resource,$F55,'Critical resources (hide)'!BJ$6:BJ$105)&gt;0,$E$1=2),0,1)</f>
        <v>1</v>
      </c>
      <c r="AX55" s="68">
        <f ca="1">IF(AND(SUMIF(Capacity_Resource,$D55,'Critical resources (hide)'!BK$6:BK$105)+SUMIF(Capacity_Resource,$E55,'Critical resources (hide)'!BK$6:BK$105)+SUMIF(Capacity_Resource,$F55,'Critical resources (hide)'!BK$6:BK$105)&gt;0,$E$1=2),0,1)</f>
        <v>1</v>
      </c>
      <c r="AY55" s="68">
        <f ca="1">IF(AND(SUMIF(Capacity_Resource,$D55,'Critical resources (hide)'!BL$6:BL$105)+SUMIF(Capacity_Resource,$E55,'Critical resources (hide)'!BL$6:BL$105)+SUMIF(Capacity_Resource,$F55,'Critical resources (hide)'!BL$6:BL$105)&gt;0,$E$1=2),0,1)</f>
        <v>1</v>
      </c>
      <c r="AZ55" s="68">
        <f ca="1">IF(AND(SUMIF(Capacity_Resource,$D55,'Critical resources (hide)'!BM$6:BM$105)+SUMIF(Capacity_Resource,$E55,'Critical resources (hide)'!BM$6:BM$105)+SUMIF(Capacity_Resource,$F55,'Critical resources (hide)'!BM$6:BM$105)&gt;0,$E$1=2),0,1)</f>
        <v>1</v>
      </c>
      <c r="BA55" s="68">
        <f ca="1">IF(AND(SUMIF(Capacity_Resource,$D55,'Critical resources (hide)'!BN$6:BN$105)+SUMIF(Capacity_Resource,$E55,'Critical resources (hide)'!BN$6:BN$105)+SUMIF(Capacity_Resource,$F55,'Critical resources (hide)'!BN$6:BN$105)&gt;0,$E$1=2),0,1)</f>
        <v>1</v>
      </c>
      <c r="BB55" s="68">
        <f ca="1">IF(AND(SUMIF(Capacity_Resource,$D55,'Critical resources (hide)'!BO$6:BO$105)+SUMIF(Capacity_Resource,$E55,'Critical resources (hide)'!BO$6:BO$105)+SUMIF(Capacity_Resource,$F55,'Critical resources (hide)'!BO$6:BO$105)&gt;0,$E$1=2),0,1)</f>
        <v>1</v>
      </c>
      <c r="BC55" s="68">
        <f ca="1">IF(AND(SUMIF(Capacity_Resource,$D55,'Critical resources (hide)'!BP$6:BP$105)+SUMIF(Capacity_Resource,$E55,'Critical resources (hide)'!BP$6:BP$105)+SUMIF(Capacity_Resource,$F55,'Critical resources (hide)'!BP$6:BP$105)&gt;0,$E$1=2),0,1)</f>
        <v>1</v>
      </c>
      <c r="BD55" s="68">
        <f ca="1">IF(AND(SUMIF(Capacity_Resource,$D55,'Critical resources (hide)'!BQ$6:BQ$105)+SUMIF(Capacity_Resource,$E55,'Critical resources (hide)'!BQ$6:BQ$105)+SUMIF(Capacity_Resource,$F55,'Critical resources (hide)'!BQ$6:BQ$105)&gt;0,$E$1=2),0,1)</f>
        <v>1</v>
      </c>
      <c r="BE55" s="68">
        <f ca="1">IF(AND(SUMIF(Capacity_Resource,$D55,'Critical resources (hide)'!BR$6:BR$105)+SUMIF(Capacity_Resource,$E55,'Critical resources (hide)'!BR$6:BR$105)+SUMIF(Capacity_Resource,$F55,'Critical resources (hide)'!BR$6:BR$105)&gt;0,$E$1=2),0,1)</f>
        <v>1</v>
      </c>
      <c r="BF55" s="68">
        <f ca="1">IF(AND(SUMIF(Capacity_Resource,$D55,'Critical resources (hide)'!BS$6:BS$105)+SUMIF(Capacity_Resource,$E55,'Critical resources (hide)'!BS$6:BS$105)+SUMIF(Capacity_Resource,$F55,'Critical resources (hide)'!BS$6:BS$105)&gt;0,$E$1=2),0,1)</f>
        <v>1</v>
      </c>
      <c r="BG55" s="68">
        <f ca="1">IF(AND(SUMIF(Capacity_Resource,$D55,'Critical resources (hide)'!BT$6:BT$105)+SUMIF(Capacity_Resource,$E55,'Critical resources (hide)'!BT$6:BT$105)+SUMIF(Capacity_Resource,$F55,'Critical resources (hide)'!BT$6:BT$105)&gt;0,$E$1=2),0,1)</f>
        <v>1</v>
      </c>
      <c r="BH55" s="68">
        <f>IF(ROW(C51)&lt;=Capacity!$A$16,IF('Capacity summary'!$D$14="No",SUM(H55:BG55),'Capacity summary'!$E174),0)</f>
        <v>0</v>
      </c>
      <c r="BI55" s="5" t="str">
        <f>IF(BH55&gt;0,IF(BH55&lt;Capacity!E67,Capacity!F67,Capacity!H67/'Capacity calculation (hide)'!BH55),"")</f>
        <v/>
      </c>
      <c r="BK55" s="319">
        <f>IF($BI55&lt;&gt;"",IF('Capacity summary'!$D$14="Yes",IF(COUNTBLANK('Capacity summary'!$H174:$BG174)&lt;52,IF('Capacity summary'!H174&lt;&gt;"",$BI55*H55,0),H55*$BI55),H55*$BI55),0)</f>
        <v>0</v>
      </c>
      <c r="BL55" s="319">
        <f>IF($BI55&lt;&gt;"",IF('Capacity summary'!$D$14="Yes",IF(COUNTBLANK('Capacity summary'!$H174:$BG174)&lt;52,IF('Capacity summary'!I174&lt;&gt;"",$BI55*I55,0),I55*$BI55),I55*$BI55),0)</f>
        <v>0</v>
      </c>
      <c r="BM55" s="319">
        <f>IF($BI55&lt;&gt;"",IF('Capacity summary'!$D$14="Yes",IF(COUNTBLANK('Capacity summary'!$H174:$BG174)&lt;52,IF('Capacity summary'!J174&lt;&gt;"",$BI55*J55,0),J55*$BI55),J55*$BI55),0)</f>
        <v>0</v>
      </c>
      <c r="BN55" s="319">
        <f>IF($BI55&lt;&gt;"",IF('Capacity summary'!$D$14="Yes",IF(COUNTBLANK('Capacity summary'!$H174:$BG174)&lt;52,IF('Capacity summary'!K174&lt;&gt;"",$BI55*K55,0),K55*$BI55),K55*$BI55),0)</f>
        <v>0</v>
      </c>
      <c r="BO55" s="319">
        <f>IF($BI55&lt;&gt;"",IF('Capacity summary'!$D$14="Yes",IF(COUNTBLANK('Capacity summary'!$H174:$BG174)&lt;52,IF('Capacity summary'!L174&lt;&gt;"",$BI55*L55,0),L55*$BI55),L55*$BI55),0)</f>
        <v>0</v>
      </c>
      <c r="BP55" s="319">
        <f>IF($BI55&lt;&gt;"",IF('Capacity summary'!$D$14="Yes",IF(COUNTBLANK('Capacity summary'!$H174:$BG174)&lt;52,IF('Capacity summary'!M174&lt;&gt;"",$BI55*M55,0),M55*$BI55),M55*$BI55),0)</f>
        <v>0</v>
      </c>
      <c r="BQ55" s="319">
        <f>IF($BI55&lt;&gt;"",IF('Capacity summary'!$D$14="Yes",IF(COUNTBLANK('Capacity summary'!$H174:$BG174)&lt;52,IF('Capacity summary'!N174&lt;&gt;"",$BI55*N55,0),N55*$BI55),N55*$BI55),0)</f>
        <v>0</v>
      </c>
      <c r="BR55" s="319">
        <f>IF($BI55&lt;&gt;"",IF('Capacity summary'!$D$14="Yes",IF(COUNTBLANK('Capacity summary'!$H174:$BG174)&lt;52,IF('Capacity summary'!O174&lt;&gt;"",$BI55*O55,0),O55*$BI55),O55*$BI55),0)</f>
        <v>0</v>
      </c>
      <c r="BS55" s="319">
        <f>IF($BI55&lt;&gt;"",IF('Capacity summary'!$D$14="Yes",IF(COUNTBLANK('Capacity summary'!$H174:$BG174)&lt;52,IF('Capacity summary'!P174&lt;&gt;"",$BI55*P55,0),P55*$BI55),P55*$BI55),0)</f>
        <v>0</v>
      </c>
      <c r="BT55" s="319">
        <f>IF($BI55&lt;&gt;"",IF('Capacity summary'!$D$14="Yes",IF(COUNTBLANK('Capacity summary'!$H174:$BG174)&lt;52,IF('Capacity summary'!Q174&lt;&gt;"",$BI55*Q55,0),Q55*$BI55),Q55*$BI55),0)</f>
        <v>0</v>
      </c>
      <c r="BU55" s="319">
        <f>IF($BI55&lt;&gt;"",IF('Capacity summary'!$D$14="Yes",IF(COUNTBLANK('Capacity summary'!$H174:$BG174)&lt;52,IF('Capacity summary'!R174&lt;&gt;"",$BI55*R55,0),R55*$BI55),R55*$BI55),0)</f>
        <v>0</v>
      </c>
      <c r="BV55" s="319">
        <f>IF($BI55&lt;&gt;"",IF('Capacity summary'!$D$14="Yes",IF(COUNTBLANK('Capacity summary'!$H174:$BG174)&lt;52,IF('Capacity summary'!S174&lt;&gt;"",$BI55*S55,0),S55*$BI55),S55*$BI55),0)</f>
        <v>0</v>
      </c>
      <c r="BW55" s="319">
        <f>IF($BI55&lt;&gt;"",IF('Capacity summary'!$D$14="Yes",IF(COUNTBLANK('Capacity summary'!$H174:$BG174)&lt;52,IF('Capacity summary'!T174&lt;&gt;"",$BI55*T55,0),T55*$BI55),T55*$BI55),0)</f>
        <v>0</v>
      </c>
      <c r="BX55" s="319">
        <f>IF($BI55&lt;&gt;"",IF('Capacity summary'!$D$14="Yes",IF(COUNTBLANK('Capacity summary'!$H174:$BG174)&lt;52,IF('Capacity summary'!U174&lt;&gt;"",$BI55*U55,0),U55*$BI55),U55*$BI55),0)</f>
        <v>0</v>
      </c>
      <c r="BY55" s="319">
        <f>IF($BI55&lt;&gt;"",IF('Capacity summary'!$D$14="Yes",IF(COUNTBLANK('Capacity summary'!$H174:$BG174)&lt;52,IF('Capacity summary'!V174&lt;&gt;"",$BI55*V55,0),V55*$BI55),V55*$BI55),0)</f>
        <v>0</v>
      </c>
      <c r="BZ55" s="319">
        <f>IF($BI55&lt;&gt;"",IF('Capacity summary'!$D$14="Yes",IF(COUNTBLANK('Capacity summary'!$H174:$BG174)&lt;52,IF('Capacity summary'!W174&lt;&gt;"",$BI55*W55,0),W55*$BI55),W55*$BI55),0)</f>
        <v>0</v>
      </c>
      <c r="CA55" s="319">
        <f>IF($BI55&lt;&gt;"",IF('Capacity summary'!$D$14="Yes",IF(COUNTBLANK('Capacity summary'!$H174:$BG174)&lt;52,IF('Capacity summary'!X174&lt;&gt;"",$BI55*X55,0),X55*$BI55),X55*$BI55),0)</f>
        <v>0</v>
      </c>
      <c r="CB55" s="319">
        <f>IF($BI55&lt;&gt;"",IF('Capacity summary'!$D$14="Yes",IF(COUNTBLANK('Capacity summary'!$H174:$BG174)&lt;52,IF('Capacity summary'!Y174&lt;&gt;"",$BI55*Y55,0),Y55*$BI55),Y55*$BI55),0)</f>
        <v>0</v>
      </c>
      <c r="CC55" s="319">
        <f>IF($BI55&lt;&gt;"",IF('Capacity summary'!$D$14="Yes",IF(COUNTBLANK('Capacity summary'!$H174:$BG174)&lt;52,IF('Capacity summary'!Z174&lt;&gt;"",$BI55*Z55,0),Z55*$BI55),Z55*$BI55),0)</f>
        <v>0</v>
      </c>
      <c r="CD55" s="319">
        <f>IF($BI55&lt;&gt;"",IF('Capacity summary'!$D$14="Yes",IF(COUNTBLANK('Capacity summary'!$H174:$BG174)&lt;52,IF('Capacity summary'!AA174&lt;&gt;"",$BI55*AA55,0),AA55*$BI55),AA55*$BI55),0)</f>
        <v>0</v>
      </c>
      <c r="CE55" s="319">
        <f>IF($BI55&lt;&gt;"",IF('Capacity summary'!$D$14="Yes",IF(COUNTBLANK('Capacity summary'!$H174:$BG174)&lt;52,IF('Capacity summary'!AB174&lt;&gt;"",$BI55*AB55,0),AB55*$BI55),AB55*$BI55),0)</f>
        <v>0</v>
      </c>
      <c r="CF55" s="319">
        <f>IF($BI55&lt;&gt;"",IF('Capacity summary'!$D$14="Yes",IF(COUNTBLANK('Capacity summary'!$H174:$BG174)&lt;52,IF('Capacity summary'!AC174&lt;&gt;"",$BI55*AC55,0),AC55*$BI55),AC55*$BI55),0)</f>
        <v>0</v>
      </c>
      <c r="CG55" s="319">
        <f>IF($BI55&lt;&gt;"",IF('Capacity summary'!$D$14="Yes",IF(COUNTBLANK('Capacity summary'!$H174:$BG174)&lt;52,IF('Capacity summary'!AD174&lt;&gt;"",$BI55*AD55,0),AD55*$BI55),AD55*$BI55),0)</f>
        <v>0</v>
      </c>
      <c r="CH55" s="319">
        <f>IF($BI55&lt;&gt;"",IF('Capacity summary'!$D$14="Yes",IF(COUNTBLANK('Capacity summary'!$H174:$BG174)&lt;52,IF('Capacity summary'!AE174&lt;&gt;"",$BI55*AE55,0),AE55*$BI55),AE55*$BI55),0)</f>
        <v>0</v>
      </c>
      <c r="CI55" s="319">
        <f>IF($BI55&lt;&gt;"",IF('Capacity summary'!$D$14="Yes",IF(COUNTBLANK('Capacity summary'!$H174:$BG174)&lt;52,IF('Capacity summary'!AF174&lt;&gt;"",$BI55*AF55,0),AF55*$BI55),AF55*$BI55),0)</f>
        <v>0</v>
      </c>
      <c r="CJ55" s="319">
        <f>IF($BI55&lt;&gt;"",IF('Capacity summary'!$D$14="Yes",IF(COUNTBLANK('Capacity summary'!$H174:$BG174)&lt;52,IF('Capacity summary'!AG174&lt;&gt;"",$BI55*AG55,0),AG55*$BI55),AG55*$BI55),0)</f>
        <v>0</v>
      </c>
      <c r="CK55" s="319">
        <f>IF($BI55&lt;&gt;"",IF('Capacity summary'!$D$14="Yes",IF(COUNTBLANK('Capacity summary'!$H174:$BG174)&lt;52,IF('Capacity summary'!AH174&lt;&gt;"",$BI55*AH55,0),AH55*$BI55),AH55*$BI55),0)</f>
        <v>0</v>
      </c>
      <c r="CL55" s="319">
        <f>IF($BI55&lt;&gt;"",IF('Capacity summary'!$D$14="Yes",IF(COUNTBLANK('Capacity summary'!$H174:$BG174)&lt;52,IF('Capacity summary'!AI174&lt;&gt;"",$BI55*AI55,0),AI55*$BI55),AI55*$BI55),0)</f>
        <v>0</v>
      </c>
      <c r="CM55" s="319">
        <f>IF($BI55&lt;&gt;"",IF('Capacity summary'!$D$14="Yes",IF(COUNTBLANK('Capacity summary'!$H174:$BG174)&lt;52,IF('Capacity summary'!AJ174&lt;&gt;"",$BI55*AJ55,0),AJ55*$BI55),AJ55*$BI55),0)</f>
        <v>0</v>
      </c>
      <c r="CN55" s="319">
        <f>IF($BI55&lt;&gt;"",IF('Capacity summary'!$D$14="Yes",IF(COUNTBLANK('Capacity summary'!$H174:$BG174)&lt;52,IF('Capacity summary'!AK174&lt;&gt;"",$BI55*AK55,0),AK55*$BI55),AK55*$BI55),0)</f>
        <v>0</v>
      </c>
      <c r="CO55" s="319">
        <f>IF($BI55&lt;&gt;"",IF('Capacity summary'!$D$14="Yes",IF(COUNTBLANK('Capacity summary'!$H174:$BG174)&lt;52,IF('Capacity summary'!AL174&lt;&gt;"",$BI55*AL55,0),AL55*$BI55),AL55*$BI55),0)</f>
        <v>0</v>
      </c>
      <c r="CP55" s="319">
        <f>IF($BI55&lt;&gt;"",IF('Capacity summary'!$D$14="Yes",IF(COUNTBLANK('Capacity summary'!$H174:$BG174)&lt;52,IF('Capacity summary'!AM174&lt;&gt;"",$BI55*AM55,0),AM55*$BI55),AM55*$BI55),0)</f>
        <v>0</v>
      </c>
      <c r="CQ55" s="319">
        <f>IF($BI55&lt;&gt;"",IF('Capacity summary'!$D$14="Yes",IF(COUNTBLANK('Capacity summary'!$H174:$BG174)&lt;52,IF('Capacity summary'!AN174&lt;&gt;"",$BI55*AN55,0),AN55*$BI55),AN55*$BI55),0)</f>
        <v>0</v>
      </c>
      <c r="CR55" s="319">
        <f>IF($BI55&lt;&gt;"",IF('Capacity summary'!$D$14="Yes",IF(COUNTBLANK('Capacity summary'!$H174:$BG174)&lt;52,IF('Capacity summary'!AO174&lt;&gt;"",$BI55*AO55,0),AO55*$BI55),AO55*$BI55),0)</f>
        <v>0</v>
      </c>
      <c r="CS55" s="319">
        <f>IF($BI55&lt;&gt;"",IF('Capacity summary'!$D$14="Yes",IF(COUNTBLANK('Capacity summary'!$H174:$BG174)&lt;52,IF('Capacity summary'!AP174&lt;&gt;"",$BI55*AP55,0),AP55*$BI55),AP55*$BI55),0)</f>
        <v>0</v>
      </c>
      <c r="CT55" s="319">
        <f>IF($BI55&lt;&gt;"",IF('Capacity summary'!$D$14="Yes",IF(COUNTBLANK('Capacity summary'!$H174:$BG174)&lt;52,IF('Capacity summary'!AQ174&lt;&gt;"",$BI55*AQ55,0),AQ55*$BI55),AQ55*$BI55),0)</f>
        <v>0</v>
      </c>
      <c r="CU55" s="319">
        <f>IF($BI55&lt;&gt;"",IF('Capacity summary'!$D$14="Yes",IF(COUNTBLANK('Capacity summary'!$H174:$BG174)&lt;52,IF('Capacity summary'!AR174&lt;&gt;"",$BI55*AR55,0),AR55*$BI55),AR55*$BI55),0)</f>
        <v>0</v>
      </c>
      <c r="CV55" s="319">
        <f>IF($BI55&lt;&gt;"",IF('Capacity summary'!$D$14="Yes",IF(COUNTBLANK('Capacity summary'!$H174:$BG174)&lt;52,IF('Capacity summary'!AS174&lt;&gt;"",$BI55*AS55,0),AS55*$BI55),AS55*$BI55),0)</f>
        <v>0</v>
      </c>
      <c r="CW55" s="319">
        <f>IF($BI55&lt;&gt;"",IF('Capacity summary'!$D$14="Yes",IF(COUNTBLANK('Capacity summary'!$H174:$BG174)&lt;52,IF('Capacity summary'!AT174&lt;&gt;"",$BI55*AT55,0),AT55*$BI55),AT55*$BI55),0)</f>
        <v>0</v>
      </c>
      <c r="CX55" s="319">
        <f>IF($BI55&lt;&gt;"",IF('Capacity summary'!$D$14="Yes",IF(COUNTBLANK('Capacity summary'!$H174:$BG174)&lt;52,IF('Capacity summary'!AU174&lt;&gt;"",$BI55*AU55,0),AU55*$BI55),AU55*$BI55),0)</f>
        <v>0</v>
      </c>
      <c r="CY55" s="319">
        <f>IF($BI55&lt;&gt;"",IF('Capacity summary'!$D$14="Yes",IF(COUNTBLANK('Capacity summary'!$H174:$BG174)&lt;52,IF('Capacity summary'!AV174&lt;&gt;"",$BI55*AV55,0),AV55*$BI55),AV55*$BI55),0)</f>
        <v>0</v>
      </c>
      <c r="CZ55" s="319">
        <f>IF($BI55&lt;&gt;"",IF('Capacity summary'!$D$14="Yes",IF(COUNTBLANK('Capacity summary'!$H174:$BG174)&lt;52,IF('Capacity summary'!AW174&lt;&gt;"",$BI55*AW55,0),AW55*$BI55),AW55*$BI55),0)</f>
        <v>0</v>
      </c>
      <c r="DA55" s="319">
        <f>IF($BI55&lt;&gt;"",IF('Capacity summary'!$D$14="Yes",IF(COUNTBLANK('Capacity summary'!$H174:$BG174)&lt;52,IF('Capacity summary'!AX174&lt;&gt;"",$BI55*AX55,0),AX55*$BI55),AX55*$BI55),0)</f>
        <v>0</v>
      </c>
      <c r="DB55" s="319">
        <f>IF($BI55&lt;&gt;"",IF('Capacity summary'!$D$14="Yes",IF(COUNTBLANK('Capacity summary'!$H174:$BG174)&lt;52,IF('Capacity summary'!AY174&lt;&gt;"",$BI55*AY55,0),AY55*$BI55),AY55*$BI55),0)</f>
        <v>0</v>
      </c>
      <c r="DC55" s="319">
        <f>IF($BI55&lt;&gt;"",IF('Capacity summary'!$D$14="Yes",IF(COUNTBLANK('Capacity summary'!$H174:$BG174)&lt;52,IF('Capacity summary'!AZ174&lt;&gt;"",$BI55*AZ55,0),AZ55*$BI55),AZ55*$BI55),0)</f>
        <v>0</v>
      </c>
      <c r="DD55" s="319">
        <f>IF($BI55&lt;&gt;"",IF('Capacity summary'!$D$14="Yes",IF(COUNTBLANK('Capacity summary'!$H174:$BG174)&lt;52,IF('Capacity summary'!BA174&lt;&gt;"",$BI55*BA55,0),BA55*$BI55),BA55*$BI55),0)</f>
        <v>0</v>
      </c>
      <c r="DE55" s="319">
        <f>IF($BI55&lt;&gt;"",IF('Capacity summary'!$D$14="Yes",IF(COUNTBLANK('Capacity summary'!$H174:$BG174)&lt;52,IF('Capacity summary'!BB174&lt;&gt;"",$BI55*BB55,0),BB55*$BI55),BB55*$BI55),0)</f>
        <v>0</v>
      </c>
      <c r="DF55" s="319">
        <f>IF($BI55&lt;&gt;"",IF('Capacity summary'!$D$14="Yes",IF(COUNTBLANK('Capacity summary'!$H174:$BG174)&lt;52,IF('Capacity summary'!BC174&lt;&gt;"",$BI55*BC55,0),BC55*$BI55),BC55*$BI55),0)</f>
        <v>0</v>
      </c>
      <c r="DG55" s="319">
        <f>IF($BI55&lt;&gt;"",IF('Capacity summary'!$D$14="Yes",IF(COUNTBLANK('Capacity summary'!$H174:$BG174)&lt;52,IF('Capacity summary'!BD174&lt;&gt;"",$BI55*BD55,0),BD55*$BI55),BD55*$BI55),0)</f>
        <v>0</v>
      </c>
      <c r="DH55" s="319">
        <f>IF($BI55&lt;&gt;"",IF('Capacity summary'!$D$14="Yes",IF(COUNTBLANK('Capacity summary'!$H174:$BG174)&lt;52,IF('Capacity summary'!BE174&lt;&gt;"",$BI55*BE55,0),BE55*$BI55),BE55*$BI55),0)</f>
        <v>0</v>
      </c>
      <c r="DI55" s="319">
        <f>IF($BI55&lt;&gt;"",IF('Capacity summary'!$D$14="Yes",IF(COUNTBLANK('Capacity summary'!$H174:$BG174)&lt;52,IF('Capacity summary'!BF174&lt;&gt;"",$BI55*BF55,0),BF55*$BI55),BF55*$BI55),0)</f>
        <v>0</v>
      </c>
      <c r="DJ55" s="319">
        <f>IF($BI55&lt;&gt;"",IF('Capacity summary'!$D$14="Yes",IF(COUNTBLANK('Capacity summary'!$H174:$BG174)&lt;52,IF('Capacity summary'!BG174&lt;&gt;"",$BI55*BG55,0),BG55*$BI55),BG55*$BI55),0)</f>
        <v>0</v>
      </c>
      <c r="DK55" s="5">
        <f t="shared" si="2"/>
        <v>0</v>
      </c>
      <c r="DL55" s="5" t="str">
        <f>Capacity!H67</f>
        <v/>
      </c>
      <c r="DP55" s="5"/>
    </row>
    <row r="56" spans="2:120" x14ac:dyDescent="0.2">
      <c r="B56" s="68"/>
      <c r="C56" s="68" t="str">
        <f>ROW(A52)&amp;". "&amp;Capacity!B68</f>
        <v xml:space="preserve">52. </v>
      </c>
      <c r="D56" s="68">
        <f>'Capacity setup'!C63</f>
        <v>0</v>
      </c>
      <c r="E56" s="68">
        <f>'Capacity setup'!D63</f>
        <v>0</v>
      </c>
      <c r="F56" s="68">
        <f>'Capacity setup'!E63</f>
        <v>0</v>
      </c>
      <c r="H56" s="68">
        <f ca="1">IF(AND(SUMIF(Capacity_Resource,$D56,'Critical resources (hide)'!U$6:U$105)+SUMIF(Capacity_Resource,$E56,'Critical resources (hide)'!U$6:U$105)+SUMIF(Capacity_Resource,$F56,'Critical resources (hide)'!U$6:U$105)&gt;0,$E$1=2),0,1)</f>
        <v>1</v>
      </c>
      <c r="I56" s="68">
        <f ca="1">IF(AND(SUMIF(Capacity_Resource,$D56,'Critical resources (hide)'!V$6:V$105)+SUMIF(Capacity_Resource,$E56,'Critical resources (hide)'!V$6:V$105)+SUMIF(Capacity_Resource,$F56,'Critical resources (hide)'!V$6:V$105)&gt;0,$E$1=2),0,1)</f>
        <v>1</v>
      </c>
      <c r="J56" s="68">
        <f ca="1">IF(AND(SUMIF(Capacity_Resource,$D56,'Critical resources (hide)'!W$6:W$105)+SUMIF(Capacity_Resource,$E56,'Critical resources (hide)'!W$6:W$105)+SUMIF(Capacity_Resource,$F56,'Critical resources (hide)'!W$6:W$105)&gt;0,$E$1=2),0,1)</f>
        <v>1</v>
      </c>
      <c r="K56" s="68">
        <f ca="1">IF(AND(SUMIF(Capacity_Resource,$D56,'Critical resources (hide)'!X$6:X$105)+SUMIF(Capacity_Resource,$E56,'Critical resources (hide)'!X$6:X$105)+SUMIF(Capacity_Resource,$F56,'Critical resources (hide)'!X$6:X$105)&gt;0,$E$1=2),0,1)</f>
        <v>1</v>
      </c>
      <c r="L56" s="68">
        <f ca="1">IF(AND(SUMIF(Capacity_Resource,$D56,'Critical resources (hide)'!Y$6:Y$105)+SUMIF(Capacity_Resource,$E56,'Critical resources (hide)'!Y$6:Y$105)+SUMIF(Capacity_Resource,$F56,'Critical resources (hide)'!Y$6:Y$105)&gt;0,$E$1=2),0,1)</f>
        <v>1</v>
      </c>
      <c r="M56" s="68">
        <f ca="1">IF(AND(SUMIF(Capacity_Resource,$D56,'Critical resources (hide)'!Z$6:Z$105)+SUMIF(Capacity_Resource,$E56,'Critical resources (hide)'!Z$6:Z$105)+SUMIF(Capacity_Resource,$F56,'Critical resources (hide)'!Z$6:Z$105)&gt;0,$E$1=2),0,1)</f>
        <v>1</v>
      </c>
      <c r="N56" s="68">
        <f ca="1">IF(AND(SUMIF(Capacity_Resource,$D56,'Critical resources (hide)'!AA$6:AA$105)+SUMIF(Capacity_Resource,$E56,'Critical resources (hide)'!AA$6:AA$105)+SUMIF(Capacity_Resource,$F56,'Critical resources (hide)'!AA$6:AA$105)&gt;0,$E$1=2),0,1)</f>
        <v>1</v>
      </c>
      <c r="O56" s="68">
        <f ca="1">IF(AND(SUMIF(Capacity_Resource,$D56,'Critical resources (hide)'!AB$6:AB$105)+SUMIF(Capacity_Resource,$E56,'Critical resources (hide)'!AB$6:AB$105)+SUMIF(Capacity_Resource,$F56,'Critical resources (hide)'!AB$6:AB$105)&gt;0,$E$1=2),0,1)</f>
        <v>1</v>
      </c>
      <c r="P56" s="68">
        <f ca="1">IF(AND(SUMIF(Capacity_Resource,$D56,'Critical resources (hide)'!AC$6:AC$105)+SUMIF(Capacity_Resource,$E56,'Critical resources (hide)'!AC$6:AC$105)+SUMIF(Capacity_Resource,$F56,'Critical resources (hide)'!AC$6:AC$105)&gt;0,$E$1=2),0,1)</f>
        <v>1</v>
      </c>
      <c r="Q56" s="68">
        <f ca="1">IF(AND(SUMIF(Capacity_Resource,$D56,'Critical resources (hide)'!AD$6:AD$105)+SUMIF(Capacity_Resource,$E56,'Critical resources (hide)'!AD$6:AD$105)+SUMIF(Capacity_Resource,$F56,'Critical resources (hide)'!AD$6:AD$105)&gt;0,$E$1=2),0,1)</f>
        <v>1</v>
      </c>
      <c r="R56" s="68">
        <f ca="1">IF(AND(SUMIF(Capacity_Resource,$D56,'Critical resources (hide)'!AE$6:AE$105)+SUMIF(Capacity_Resource,$E56,'Critical resources (hide)'!AE$6:AE$105)+SUMIF(Capacity_Resource,$F56,'Critical resources (hide)'!AE$6:AE$105)&gt;0,$E$1=2),0,1)</f>
        <v>1</v>
      </c>
      <c r="S56" s="68">
        <f ca="1">IF(AND(SUMIF(Capacity_Resource,$D56,'Critical resources (hide)'!AF$6:AF$105)+SUMIF(Capacity_Resource,$E56,'Critical resources (hide)'!AF$6:AF$105)+SUMIF(Capacity_Resource,$F56,'Critical resources (hide)'!AF$6:AF$105)&gt;0,$E$1=2),0,1)</f>
        <v>1</v>
      </c>
      <c r="T56" s="68">
        <f ca="1">IF(AND(SUMIF(Capacity_Resource,$D56,'Critical resources (hide)'!AG$6:AG$105)+SUMIF(Capacity_Resource,$E56,'Critical resources (hide)'!AG$6:AG$105)+SUMIF(Capacity_Resource,$F56,'Critical resources (hide)'!AG$6:AG$105)&gt;0,$E$1=2),0,1)</f>
        <v>1</v>
      </c>
      <c r="U56" s="68">
        <f ca="1">IF(AND(SUMIF(Capacity_Resource,$D56,'Critical resources (hide)'!AH$6:AH$105)+SUMIF(Capacity_Resource,$E56,'Critical resources (hide)'!AH$6:AH$105)+SUMIF(Capacity_Resource,$F56,'Critical resources (hide)'!AH$6:AH$105)&gt;0,$E$1=2),0,1)</f>
        <v>1</v>
      </c>
      <c r="V56" s="68">
        <f ca="1">IF(AND(SUMIF(Capacity_Resource,$D56,'Critical resources (hide)'!AI$6:AI$105)+SUMIF(Capacity_Resource,$E56,'Critical resources (hide)'!AI$6:AI$105)+SUMIF(Capacity_Resource,$F56,'Critical resources (hide)'!AI$6:AI$105)&gt;0,$E$1=2),0,1)</f>
        <v>1</v>
      </c>
      <c r="W56" s="68">
        <f ca="1">IF(AND(SUMIF(Capacity_Resource,$D56,'Critical resources (hide)'!AJ$6:AJ$105)+SUMIF(Capacity_Resource,$E56,'Critical resources (hide)'!AJ$6:AJ$105)+SUMIF(Capacity_Resource,$F56,'Critical resources (hide)'!AJ$6:AJ$105)&gt;0,$E$1=2),0,1)</f>
        <v>1</v>
      </c>
      <c r="X56" s="68">
        <f ca="1">IF(AND(SUMIF(Capacity_Resource,$D56,'Critical resources (hide)'!AK$6:AK$105)+SUMIF(Capacity_Resource,$E56,'Critical resources (hide)'!AK$6:AK$105)+SUMIF(Capacity_Resource,$F56,'Critical resources (hide)'!AK$6:AK$105)&gt;0,$E$1=2),0,1)</f>
        <v>1</v>
      </c>
      <c r="Y56" s="68">
        <f ca="1">IF(AND(SUMIF(Capacity_Resource,$D56,'Critical resources (hide)'!AL$6:AL$105)+SUMIF(Capacity_Resource,$E56,'Critical resources (hide)'!AL$6:AL$105)+SUMIF(Capacity_Resource,$F56,'Critical resources (hide)'!AL$6:AL$105)&gt;0,$E$1=2),0,1)</f>
        <v>1</v>
      </c>
      <c r="Z56" s="68">
        <f ca="1">IF(AND(SUMIF(Capacity_Resource,$D56,'Critical resources (hide)'!AM$6:AM$105)+SUMIF(Capacity_Resource,$E56,'Critical resources (hide)'!AM$6:AM$105)+SUMIF(Capacity_Resource,$F56,'Critical resources (hide)'!AM$6:AM$105)&gt;0,$E$1=2),0,1)</f>
        <v>1</v>
      </c>
      <c r="AA56" s="68">
        <f ca="1">IF(AND(SUMIF(Capacity_Resource,$D56,'Critical resources (hide)'!AN$6:AN$105)+SUMIF(Capacity_Resource,$E56,'Critical resources (hide)'!AN$6:AN$105)+SUMIF(Capacity_Resource,$F56,'Critical resources (hide)'!AN$6:AN$105)&gt;0,$E$1=2),0,1)</f>
        <v>1</v>
      </c>
      <c r="AB56" s="68">
        <f ca="1">IF(AND(SUMIF(Capacity_Resource,$D56,'Critical resources (hide)'!AO$6:AO$105)+SUMIF(Capacity_Resource,$E56,'Critical resources (hide)'!AO$6:AO$105)+SUMIF(Capacity_Resource,$F56,'Critical resources (hide)'!AO$6:AO$105)&gt;0,$E$1=2),0,1)</f>
        <v>1</v>
      </c>
      <c r="AC56" s="68">
        <f ca="1">IF(AND(SUMIF(Capacity_Resource,$D56,'Critical resources (hide)'!AP$6:AP$105)+SUMIF(Capacity_Resource,$E56,'Critical resources (hide)'!AP$6:AP$105)+SUMIF(Capacity_Resource,$F56,'Critical resources (hide)'!AP$6:AP$105)&gt;0,$E$1=2),0,1)</f>
        <v>1</v>
      </c>
      <c r="AD56" s="68">
        <f ca="1">IF(AND(SUMIF(Capacity_Resource,$D56,'Critical resources (hide)'!AQ$6:AQ$105)+SUMIF(Capacity_Resource,$E56,'Critical resources (hide)'!AQ$6:AQ$105)+SUMIF(Capacity_Resource,$F56,'Critical resources (hide)'!AQ$6:AQ$105)&gt;0,$E$1=2),0,1)</f>
        <v>1</v>
      </c>
      <c r="AE56" s="68">
        <f ca="1">IF(AND(SUMIF(Capacity_Resource,$D56,'Critical resources (hide)'!AR$6:AR$105)+SUMIF(Capacity_Resource,$E56,'Critical resources (hide)'!AR$6:AR$105)+SUMIF(Capacity_Resource,$F56,'Critical resources (hide)'!AR$6:AR$105)&gt;0,$E$1=2),0,1)</f>
        <v>1</v>
      </c>
      <c r="AF56" s="68">
        <f ca="1">IF(AND(SUMIF(Capacity_Resource,$D56,'Critical resources (hide)'!AS$6:AS$105)+SUMIF(Capacity_Resource,$E56,'Critical resources (hide)'!AS$6:AS$105)+SUMIF(Capacity_Resource,$F56,'Critical resources (hide)'!AS$6:AS$105)&gt;0,$E$1=2),0,1)</f>
        <v>1</v>
      </c>
      <c r="AG56" s="68">
        <f ca="1">IF(AND(SUMIF(Capacity_Resource,$D56,'Critical resources (hide)'!AT$6:AT$105)+SUMIF(Capacity_Resource,$E56,'Critical resources (hide)'!AT$6:AT$105)+SUMIF(Capacity_Resource,$F56,'Critical resources (hide)'!AT$6:AT$105)&gt;0,$E$1=2),0,1)</f>
        <v>1</v>
      </c>
      <c r="AH56" s="68">
        <f ca="1">IF(AND(SUMIF(Capacity_Resource,$D56,'Critical resources (hide)'!AU$6:AU$105)+SUMIF(Capacity_Resource,$E56,'Critical resources (hide)'!AU$6:AU$105)+SUMIF(Capacity_Resource,$F56,'Critical resources (hide)'!AU$6:AU$105)&gt;0,$E$1=2),0,1)</f>
        <v>1</v>
      </c>
      <c r="AI56" s="68">
        <f ca="1">IF(AND(SUMIF(Capacity_Resource,$D56,'Critical resources (hide)'!AV$6:AV$105)+SUMIF(Capacity_Resource,$E56,'Critical resources (hide)'!AV$6:AV$105)+SUMIF(Capacity_Resource,$F56,'Critical resources (hide)'!AV$6:AV$105)&gt;0,$E$1=2),0,1)</f>
        <v>1</v>
      </c>
      <c r="AJ56" s="68">
        <f ca="1">IF(AND(SUMIF(Capacity_Resource,$D56,'Critical resources (hide)'!AW$6:AW$105)+SUMIF(Capacity_Resource,$E56,'Critical resources (hide)'!AW$6:AW$105)+SUMIF(Capacity_Resource,$F56,'Critical resources (hide)'!AW$6:AW$105)&gt;0,$E$1=2),0,1)</f>
        <v>1</v>
      </c>
      <c r="AK56" s="68">
        <f ca="1">IF(AND(SUMIF(Capacity_Resource,$D56,'Critical resources (hide)'!AX$6:AX$105)+SUMIF(Capacity_Resource,$E56,'Critical resources (hide)'!AX$6:AX$105)+SUMIF(Capacity_Resource,$F56,'Critical resources (hide)'!AX$6:AX$105)&gt;0,$E$1=2),0,1)</f>
        <v>1</v>
      </c>
      <c r="AL56" s="68">
        <f ca="1">IF(AND(SUMIF(Capacity_Resource,$D56,'Critical resources (hide)'!AY$6:AY$105)+SUMIF(Capacity_Resource,$E56,'Critical resources (hide)'!AY$6:AY$105)+SUMIF(Capacity_Resource,$F56,'Critical resources (hide)'!AY$6:AY$105)&gt;0,$E$1=2),0,1)</f>
        <v>1</v>
      </c>
      <c r="AM56" s="68">
        <f ca="1">IF(AND(SUMIF(Capacity_Resource,$D56,'Critical resources (hide)'!AZ$6:AZ$105)+SUMIF(Capacity_Resource,$E56,'Critical resources (hide)'!AZ$6:AZ$105)+SUMIF(Capacity_Resource,$F56,'Critical resources (hide)'!AZ$6:AZ$105)&gt;0,$E$1=2),0,1)</f>
        <v>1</v>
      </c>
      <c r="AN56" s="68">
        <f ca="1">IF(AND(SUMIF(Capacity_Resource,$D56,'Critical resources (hide)'!BA$6:BA$105)+SUMIF(Capacity_Resource,$E56,'Critical resources (hide)'!BA$6:BA$105)+SUMIF(Capacity_Resource,$F56,'Critical resources (hide)'!BA$6:BA$105)&gt;0,$E$1=2),0,1)</f>
        <v>1</v>
      </c>
      <c r="AO56" s="68">
        <f ca="1">IF(AND(SUMIF(Capacity_Resource,$D56,'Critical resources (hide)'!BB$6:BB$105)+SUMIF(Capacity_Resource,$E56,'Critical resources (hide)'!BB$6:BB$105)+SUMIF(Capacity_Resource,$F56,'Critical resources (hide)'!BB$6:BB$105)&gt;0,$E$1=2),0,1)</f>
        <v>1</v>
      </c>
      <c r="AP56" s="68">
        <f ca="1">IF(AND(SUMIF(Capacity_Resource,$D56,'Critical resources (hide)'!BC$6:BC$105)+SUMIF(Capacity_Resource,$E56,'Critical resources (hide)'!BC$6:BC$105)+SUMIF(Capacity_Resource,$F56,'Critical resources (hide)'!BC$6:BC$105)&gt;0,$E$1=2),0,1)</f>
        <v>1</v>
      </c>
      <c r="AQ56" s="68">
        <f ca="1">IF(AND(SUMIF(Capacity_Resource,$D56,'Critical resources (hide)'!BD$6:BD$105)+SUMIF(Capacity_Resource,$E56,'Critical resources (hide)'!BD$6:BD$105)+SUMIF(Capacity_Resource,$F56,'Critical resources (hide)'!BD$6:BD$105)&gt;0,$E$1=2),0,1)</f>
        <v>1</v>
      </c>
      <c r="AR56" s="68">
        <f ca="1">IF(AND(SUMIF(Capacity_Resource,$D56,'Critical resources (hide)'!BE$6:BE$105)+SUMIF(Capacity_Resource,$E56,'Critical resources (hide)'!BE$6:BE$105)+SUMIF(Capacity_Resource,$F56,'Critical resources (hide)'!BE$6:BE$105)&gt;0,$E$1=2),0,1)</f>
        <v>1</v>
      </c>
      <c r="AS56" s="68">
        <f ca="1">IF(AND(SUMIF(Capacity_Resource,$D56,'Critical resources (hide)'!BF$6:BF$105)+SUMIF(Capacity_Resource,$E56,'Critical resources (hide)'!BF$6:BF$105)+SUMIF(Capacity_Resource,$F56,'Critical resources (hide)'!BF$6:BF$105)&gt;0,$E$1=2),0,1)</f>
        <v>1</v>
      </c>
      <c r="AT56" s="68">
        <f ca="1">IF(AND(SUMIF(Capacity_Resource,$D56,'Critical resources (hide)'!BG$6:BG$105)+SUMIF(Capacity_Resource,$E56,'Critical resources (hide)'!BG$6:BG$105)+SUMIF(Capacity_Resource,$F56,'Critical resources (hide)'!BG$6:BG$105)&gt;0,$E$1=2),0,1)</f>
        <v>1</v>
      </c>
      <c r="AU56" s="68">
        <f ca="1">IF(AND(SUMIF(Capacity_Resource,$D56,'Critical resources (hide)'!BH$6:BH$105)+SUMIF(Capacity_Resource,$E56,'Critical resources (hide)'!BH$6:BH$105)+SUMIF(Capacity_Resource,$F56,'Critical resources (hide)'!BH$6:BH$105)&gt;0,$E$1=2),0,1)</f>
        <v>1</v>
      </c>
      <c r="AV56" s="68">
        <f ca="1">IF(AND(SUMIF(Capacity_Resource,$D56,'Critical resources (hide)'!BI$6:BI$105)+SUMIF(Capacity_Resource,$E56,'Critical resources (hide)'!BI$6:BI$105)+SUMIF(Capacity_Resource,$F56,'Critical resources (hide)'!BI$6:BI$105)&gt;0,$E$1=2),0,1)</f>
        <v>1</v>
      </c>
      <c r="AW56" s="68">
        <f ca="1">IF(AND(SUMIF(Capacity_Resource,$D56,'Critical resources (hide)'!BJ$6:BJ$105)+SUMIF(Capacity_Resource,$E56,'Critical resources (hide)'!BJ$6:BJ$105)+SUMIF(Capacity_Resource,$F56,'Critical resources (hide)'!BJ$6:BJ$105)&gt;0,$E$1=2),0,1)</f>
        <v>1</v>
      </c>
      <c r="AX56" s="68">
        <f ca="1">IF(AND(SUMIF(Capacity_Resource,$D56,'Critical resources (hide)'!BK$6:BK$105)+SUMIF(Capacity_Resource,$E56,'Critical resources (hide)'!BK$6:BK$105)+SUMIF(Capacity_Resource,$F56,'Critical resources (hide)'!BK$6:BK$105)&gt;0,$E$1=2),0,1)</f>
        <v>1</v>
      </c>
      <c r="AY56" s="68">
        <f ca="1">IF(AND(SUMIF(Capacity_Resource,$D56,'Critical resources (hide)'!BL$6:BL$105)+SUMIF(Capacity_Resource,$E56,'Critical resources (hide)'!BL$6:BL$105)+SUMIF(Capacity_Resource,$F56,'Critical resources (hide)'!BL$6:BL$105)&gt;0,$E$1=2),0,1)</f>
        <v>1</v>
      </c>
      <c r="AZ56" s="68">
        <f ca="1">IF(AND(SUMIF(Capacity_Resource,$D56,'Critical resources (hide)'!BM$6:BM$105)+SUMIF(Capacity_Resource,$E56,'Critical resources (hide)'!BM$6:BM$105)+SUMIF(Capacity_Resource,$F56,'Critical resources (hide)'!BM$6:BM$105)&gt;0,$E$1=2),0,1)</f>
        <v>1</v>
      </c>
      <c r="BA56" s="68">
        <f ca="1">IF(AND(SUMIF(Capacity_Resource,$D56,'Critical resources (hide)'!BN$6:BN$105)+SUMIF(Capacity_Resource,$E56,'Critical resources (hide)'!BN$6:BN$105)+SUMIF(Capacity_Resource,$F56,'Critical resources (hide)'!BN$6:BN$105)&gt;0,$E$1=2),0,1)</f>
        <v>1</v>
      </c>
      <c r="BB56" s="68">
        <f ca="1">IF(AND(SUMIF(Capacity_Resource,$D56,'Critical resources (hide)'!BO$6:BO$105)+SUMIF(Capacity_Resource,$E56,'Critical resources (hide)'!BO$6:BO$105)+SUMIF(Capacity_Resource,$F56,'Critical resources (hide)'!BO$6:BO$105)&gt;0,$E$1=2),0,1)</f>
        <v>1</v>
      </c>
      <c r="BC56" s="68">
        <f ca="1">IF(AND(SUMIF(Capacity_Resource,$D56,'Critical resources (hide)'!BP$6:BP$105)+SUMIF(Capacity_Resource,$E56,'Critical resources (hide)'!BP$6:BP$105)+SUMIF(Capacity_Resource,$F56,'Critical resources (hide)'!BP$6:BP$105)&gt;0,$E$1=2),0,1)</f>
        <v>1</v>
      </c>
      <c r="BD56" s="68">
        <f ca="1">IF(AND(SUMIF(Capacity_Resource,$D56,'Critical resources (hide)'!BQ$6:BQ$105)+SUMIF(Capacity_Resource,$E56,'Critical resources (hide)'!BQ$6:BQ$105)+SUMIF(Capacity_Resource,$F56,'Critical resources (hide)'!BQ$6:BQ$105)&gt;0,$E$1=2),0,1)</f>
        <v>1</v>
      </c>
      <c r="BE56" s="68">
        <f ca="1">IF(AND(SUMIF(Capacity_Resource,$D56,'Critical resources (hide)'!BR$6:BR$105)+SUMIF(Capacity_Resource,$E56,'Critical resources (hide)'!BR$6:BR$105)+SUMIF(Capacity_Resource,$F56,'Critical resources (hide)'!BR$6:BR$105)&gt;0,$E$1=2),0,1)</f>
        <v>1</v>
      </c>
      <c r="BF56" s="68">
        <f ca="1">IF(AND(SUMIF(Capacity_Resource,$D56,'Critical resources (hide)'!BS$6:BS$105)+SUMIF(Capacity_Resource,$E56,'Critical resources (hide)'!BS$6:BS$105)+SUMIF(Capacity_Resource,$F56,'Critical resources (hide)'!BS$6:BS$105)&gt;0,$E$1=2),0,1)</f>
        <v>1</v>
      </c>
      <c r="BG56" s="68">
        <f ca="1">IF(AND(SUMIF(Capacity_Resource,$D56,'Critical resources (hide)'!BT$6:BT$105)+SUMIF(Capacity_Resource,$E56,'Critical resources (hide)'!BT$6:BT$105)+SUMIF(Capacity_Resource,$F56,'Critical resources (hide)'!BT$6:BT$105)&gt;0,$E$1=2),0,1)</f>
        <v>1</v>
      </c>
      <c r="BH56" s="68">
        <f>IF(ROW(C52)&lt;=Capacity!$A$16,IF('Capacity summary'!$D$14="No",SUM(H56:BG56),'Capacity summary'!$E175),0)</f>
        <v>0</v>
      </c>
      <c r="BI56" s="5" t="str">
        <f>IF(BH56&gt;0,IF(BH56&lt;Capacity!E68,Capacity!F68,Capacity!H68/'Capacity calculation (hide)'!BH56),"")</f>
        <v/>
      </c>
      <c r="BK56" s="319">
        <f>IF($BI56&lt;&gt;"",IF('Capacity summary'!$D$14="Yes",IF(COUNTBLANK('Capacity summary'!$H175:$BG175)&lt;52,IF('Capacity summary'!H175&lt;&gt;"",$BI56*H56,0),H56*$BI56),H56*$BI56),0)</f>
        <v>0</v>
      </c>
      <c r="BL56" s="319">
        <f>IF($BI56&lt;&gt;"",IF('Capacity summary'!$D$14="Yes",IF(COUNTBLANK('Capacity summary'!$H175:$BG175)&lt;52,IF('Capacity summary'!I175&lt;&gt;"",$BI56*I56,0),I56*$BI56),I56*$BI56),0)</f>
        <v>0</v>
      </c>
      <c r="BM56" s="319">
        <f>IF($BI56&lt;&gt;"",IF('Capacity summary'!$D$14="Yes",IF(COUNTBLANK('Capacity summary'!$H175:$BG175)&lt;52,IF('Capacity summary'!J175&lt;&gt;"",$BI56*J56,0),J56*$BI56),J56*$BI56),0)</f>
        <v>0</v>
      </c>
      <c r="BN56" s="319">
        <f>IF($BI56&lt;&gt;"",IF('Capacity summary'!$D$14="Yes",IF(COUNTBLANK('Capacity summary'!$H175:$BG175)&lt;52,IF('Capacity summary'!K175&lt;&gt;"",$BI56*K56,0),K56*$BI56),K56*$BI56),0)</f>
        <v>0</v>
      </c>
      <c r="BO56" s="319">
        <f>IF($BI56&lt;&gt;"",IF('Capacity summary'!$D$14="Yes",IF(COUNTBLANK('Capacity summary'!$H175:$BG175)&lt;52,IF('Capacity summary'!L175&lt;&gt;"",$BI56*L56,0),L56*$BI56),L56*$BI56),0)</f>
        <v>0</v>
      </c>
      <c r="BP56" s="319">
        <f>IF($BI56&lt;&gt;"",IF('Capacity summary'!$D$14="Yes",IF(COUNTBLANK('Capacity summary'!$H175:$BG175)&lt;52,IF('Capacity summary'!M175&lt;&gt;"",$BI56*M56,0),M56*$BI56),M56*$BI56),0)</f>
        <v>0</v>
      </c>
      <c r="BQ56" s="319">
        <f>IF($BI56&lt;&gt;"",IF('Capacity summary'!$D$14="Yes",IF(COUNTBLANK('Capacity summary'!$H175:$BG175)&lt;52,IF('Capacity summary'!N175&lt;&gt;"",$BI56*N56,0),N56*$BI56),N56*$BI56),0)</f>
        <v>0</v>
      </c>
      <c r="BR56" s="319">
        <f>IF($BI56&lt;&gt;"",IF('Capacity summary'!$D$14="Yes",IF(COUNTBLANK('Capacity summary'!$H175:$BG175)&lt;52,IF('Capacity summary'!O175&lt;&gt;"",$BI56*O56,0),O56*$BI56),O56*$BI56),0)</f>
        <v>0</v>
      </c>
      <c r="BS56" s="319">
        <f>IF($BI56&lt;&gt;"",IF('Capacity summary'!$D$14="Yes",IF(COUNTBLANK('Capacity summary'!$H175:$BG175)&lt;52,IF('Capacity summary'!P175&lt;&gt;"",$BI56*P56,0),P56*$BI56),P56*$BI56),0)</f>
        <v>0</v>
      </c>
      <c r="BT56" s="319">
        <f>IF($BI56&lt;&gt;"",IF('Capacity summary'!$D$14="Yes",IF(COUNTBLANK('Capacity summary'!$H175:$BG175)&lt;52,IF('Capacity summary'!Q175&lt;&gt;"",$BI56*Q56,0),Q56*$BI56),Q56*$BI56),0)</f>
        <v>0</v>
      </c>
      <c r="BU56" s="319">
        <f>IF($BI56&lt;&gt;"",IF('Capacity summary'!$D$14="Yes",IF(COUNTBLANK('Capacity summary'!$H175:$BG175)&lt;52,IF('Capacity summary'!R175&lt;&gt;"",$BI56*R56,0),R56*$BI56),R56*$BI56),0)</f>
        <v>0</v>
      </c>
      <c r="BV56" s="319">
        <f>IF($BI56&lt;&gt;"",IF('Capacity summary'!$D$14="Yes",IF(COUNTBLANK('Capacity summary'!$H175:$BG175)&lt;52,IF('Capacity summary'!S175&lt;&gt;"",$BI56*S56,0),S56*$BI56),S56*$BI56),0)</f>
        <v>0</v>
      </c>
      <c r="BW56" s="319">
        <f>IF($BI56&lt;&gt;"",IF('Capacity summary'!$D$14="Yes",IF(COUNTBLANK('Capacity summary'!$H175:$BG175)&lt;52,IF('Capacity summary'!T175&lt;&gt;"",$BI56*T56,0),T56*$BI56),T56*$BI56),0)</f>
        <v>0</v>
      </c>
      <c r="BX56" s="319">
        <f>IF($BI56&lt;&gt;"",IF('Capacity summary'!$D$14="Yes",IF(COUNTBLANK('Capacity summary'!$H175:$BG175)&lt;52,IF('Capacity summary'!U175&lt;&gt;"",$BI56*U56,0),U56*$BI56),U56*$BI56),0)</f>
        <v>0</v>
      </c>
      <c r="BY56" s="319">
        <f>IF($BI56&lt;&gt;"",IF('Capacity summary'!$D$14="Yes",IF(COUNTBLANK('Capacity summary'!$H175:$BG175)&lt;52,IF('Capacity summary'!V175&lt;&gt;"",$BI56*V56,0),V56*$BI56),V56*$BI56),0)</f>
        <v>0</v>
      </c>
      <c r="BZ56" s="319">
        <f>IF($BI56&lt;&gt;"",IF('Capacity summary'!$D$14="Yes",IF(COUNTBLANK('Capacity summary'!$H175:$BG175)&lt;52,IF('Capacity summary'!W175&lt;&gt;"",$BI56*W56,0),W56*$BI56),W56*$BI56),0)</f>
        <v>0</v>
      </c>
      <c r="CA56" s="319">
        <f>IF($BI56&lt;&gt;"",IF('Capacity summary'!$D$14="Yes",IF(COUNTBLANK('Capacity summary'!$H175:$BG175)&lt;52,IF('Capacity summary'!X175&lt;&gt;"",$BI56*X56,0),X56*$BI56),X56*$BI56),0)</f>
        <v>0</v>
      </c>
      <c r="CB56" s="319">
        <f>IF($BI56&lt;&gt;"",IF('Capacity summary'!$D$14="Yes",IF(COUNTBLANK('Capacity summary'!$H175:$BG175)&lt;52,IF('Capacity summary'!Y175&lt;&gt;"",$BI56*Y56,0),Y56*$BI56),Y56*$BI56),0)</f>
        <v>0</v>
      </c>
      <c r="CC56" s="319">
        <f>IF($BI56&lt;&gt;"",IF('Capacity summary'!$D$14="Yes",IF(COUNTBLANK('Capacity summary'!$H175:$BG175)&lt;52,IF('Capacity summary'!Z175&lt;&gt;"",$BI56*Z56,0),Z56*$BI56),Z56*$BI56),0)</f>
        <v>0</v>
      </c>
      <c r="CD56" s="319">
        <f>IF($BI56&lt;&gt;"",IF('Capacity summary'!$D$14="Yes",IF(COUNTBLANK('Capacity summary'!$H175:$BG175)&lt;52,IF('Capacity summary'!AA175&lt;&gt;"",$BI56*AA56,0),AA56*$BI56),AA56*$BI56),0)</f>
        <v>0</v>
      </c>
      <c r="CE56" s="319">
        <f>IF($BI56&lt;&gt;"",IF('Capacity summary'!$D$14="Yes",IF(COUNTBLANK('Capacity summary'!$H175:$BG175)&lt;52,IF('Capacity summary'!AB175&lt;&gt;"",$BI56*AB56,0),AB56*$BI56),AB56*$BI56),0)</f>
        <v>0</v>
      </c>
      <c r="CF56" s="319">
        <f>IF($BI56&lt;&gt;"",IF('Capacity summary'!$D$14="Yes",IF(COUNTBLANK('Capacity summary'!$H175:$BG175)&lt;52,IF('Capacity summary'!AC175&lt;&gt;"",$BI56*AC56,0),AC56*$BI56),AC56*$BI56),0)</f>
        <v>0</v>
      </c>
      <c r="CG56" s="319">
        <f>IF($BI56&lt;&gt;"",IF('Capacity summary'!$D$14="Yes",IF(COUNTBLANK('Capacity summary'!$H175:$BG175)&lt;52,IF('Capacity summary'!AD175&lt;&gt;"",$BI56*AD56,0),AD56*$BI56),AD56*$BI56),0)</f>
        <v>0</v>
      </c>
      <c r="CH56" s="319">
        <f>IF($BI56&lt;&gt;"",IF('Capacity summary'!$D$14="Yes",IF(COUNTBLANK('Capacity summary'!$H175:$BG175)&lt;52,IF('Capacity summary'!AE175&lt;&gt;"",$BI56*AE56,0),AE56*$BI56),AE56*$BI56),0)</f>
        <v>0</v>
      </c>
      <c r="CI56" s="319">
        <f>IF($BI56&lt;&gt;"",IF('Capacity summary'!$D$14="Yes",IF(COUNTBLANK('Capacity summary'!$H175:$BG175)&lt;52,IF('Capacity summary'!AF175&lt;&gt;"",$BI56*AF56,0),AF56*$BI56),AF56*$BI56),0)</f>
        <v>0</v>
      </c>
      <c r="CJ56" s="319">
        <f>IF($BI56&lt;&gt;"",IF('Capacity summary'!$D$14="Yes",IF(COUNTBLANK('Capacity summary'!$H175:$BG175)&lt;52,IF('Capacity summary'!AG175&lt;&gt;"",$BI56*AG56,0),AG56*$BI56),AG56*$BI56),0)</f>
        <v>0</v>
      </c>
      <c r="CK56" s="319">
        <f>IF($BI56&lt;&gt;"",IF('Capacity summary'!$D$14="Yes",IF(COUNTBLANK('Capacity summary'!$H175:$BG175)&lt;52,IF('Capacity summary'!AH175&lt;&gt;"",$BI56*AH56,0),AH56*$BI56),AH56*$BI56),0)</f>
        <v>0</v>
      </c>
      <c r="CL56" s="319">
        <f>IF($BI56&lt;&gt;"",IF('Capacity summary'!$D$14="Yes",IF(COUNTBLANK('Capacity summary'!$H175:$BG175)&lt;52,IF('Capacity summary'!AI175&lt;&gt;"",$BI56*AI56,0),AI56*$BI56),AI56*$BI56),0)</f>
        <v>0</v>
      </c>
      <c r="CM56" s="319">
        <f>IF($BI56&lt;&gt;"",IF('Capacity summary'!$D$14="Yes",IF(COUNTBLANK('Capacity summary'!$H175:$BG175)&lt;52,IF('Capacity summary'!AJ175&lt;&gt;"",$BI56*AJ56,0),AJ56*$BI56),AJ56*$BI56),0)</f>
        <v>0</v>
      </c>
      <c r="CN56" s="319">
        <f>IF($BI56&lt;&gt;"",IF('Capacity summary'!$D$14="Yes",IF(COUNTBLANK('Capacity summary'!$H175:$BG175)&lt;52,IF('Capacity summary'!AK175&lt;&gt;"",$BI56*AK56,0),AK56*$BI56),AK56*$BI56),0)</f>
        <v>0</v>
      </c>
      <c r="CO56" s="319">
        <f>IF($BI56&lt;&gt;"",IF('Capacity summary'!$D$14="Yes",IF(COUNTBLANK('Capacity summary'!$H175:$BG175)&lt;52,IF('Capacity summary'!AL175&lt;&gt;"",$BI56*AL56,0),AL56*$BI56),AL56*$BI56),0)</f>
        <v>0</v>
      </c>
      <c r="CP56" s="319">
        <f>IF($BI56&lt;&gt;"",IF('Capacity summary'!$D$14="Yes",IF(COUNTBLANK('Capacity summary'!$H175:$BG175)&lt;52,IF('Capacity summary'!AM175&lt;&gt;"",$BI56*AM56,0),AM56*$BI56),AM56*$BI56),0)</f>
        <v>0</v>
      </c>
      <c r="CQ56" s="319">
        <f>IF($BI56&lt;&gt;"",IF('Capacity summary'!$D$14="Yes",IF(COUNTBLANK('Capacity summary'!$H175:$BG175)&lt;52,IF('Capacity summary'!AN175&lt;&gt;"",$BI56*AN56,0),AN56*$BI56),AN56*$BI56),0)</f>
        <v>0</v>
      </c>
      <c r="CR56" s="319">
        <f>IF($BI56&lt;&gt;"",IF('Capacity summary'!$D$14="Yes",IF(COUNTBLANK('Capacity summary'!$H175:$BG175)&lt;52,IF('Capacity summary'!AO175&lt;&gt;"",$BI56*AO56,0),AO56*$BI56),AO56*$BI56),0)</f>
        <v>0</v>
      </c>
      <c r="CS56" s="319">
        <f>IF($BI56&lt;&gt;"",IF('Capacity summary'!$D$14="Yes",IF(COUNTBLANK('Capacity summary'!$H175:$BG175)&lt;52,IF('Capacity summary'!AP175&lt;&gt;"",$BI56*AP56,0),AP56*$BI56),AP56*$BI56),0)</f>
        <v>0</v>
      </c>
      <c r="CT56" s="319">
        <f>IF($BI56&lt;&gt;"",IF('Capacity summary'!$D$14="Yes",IF(COUNTBLANK('Capacity summary'!$H175:$BG175)&lt;52,IF('Capacity summary'!AQ175&lt;&gt;"",$BI56*AQ56,0),AQ56*$BI56),AQ56*$BI56),0)</f>
        <v>0</v>
      </c>
      <c r="CU56" s="319">
        <f>IF($BI56&lt;&gt;"",IF('Capacity summary'!$D$14="Yes",IF(COUNTBLANK('Capacity summary'!$H175:$BG175)&lt;52,IF('Capacity summary'!AR175&lt;&gt;"",$BI56*AR56,0),AR56*$BI56),AR56*$BI56),0)</f>
        <v>0</v>
      </c>
      <c r="CV56" s="319">
        <f>IF($BI56&lt;&gt;"",IF('Capacity summary'!$D$14="Yes",IF(COUNTBLANK('Capacity summary'!$H175:$BG175)&lt;52,IF('Capacity summary'!AS175&lt;&gt;"",$BI56*AS56,0),AS56*$BI56),AS56*$BI56),0)</f>
        <v>0</v>
      </c>
      <c r="CW56" s="319">
        <f>IF($BI56&lt;&gt;"",IF('Capacity summary'!$D$14="Yes",IF(COUNTBLANK('Capacity summary'!$H175:$BG175)&lt;52,IF('Capacity summary'!AT175&lt;&gt;"",$BI56*AT56,0),AT56*$BI56),AT56*$BI56),0)</f>
        <v>0</v>
      </c>
      <c r="CX56" s="319">
        <f>IF($BI56&lt;&gt;"",IF('Capacity summary'!$D$14="Yes",IF(COUNTBLANK('Capacity summary'!$H175:$BG175)&lt;52,IF('Capacity summary'!AU175&lt;&gt;"",$BI56*AU56,0),AU56*$BI56),AU56*$BI56),0)</f>
        <v>0</v>
      </c>
      <c r="CY56" s="319">
        <f>IF($BI56&lt;&gt;"",IF('Capacity summary'!$D$14="Yes",IF(COUNTBLANK('Capacity summary'!$H175:$BG175)&lt;52,IF('Capacity summary'!AV175&lt;&gt;"",$BI56*AV56,0),AV56*$BI56),AV56*$BI56),0)</f>
        <v>0</v>
      </c>
      <c r="CZ56" s="319">
        <f>IF($BI56&lt;&gt;"",IF('Capacity summary'!$D$14="Yes",IF(COUNTBLANK('Capacity summary'!$H175:$BG175)&lt;52,IF('Capacity summary'!AW175&lt;&gt;"",$BI56*AW56,0),AW56*$BI56),AW56*$BI56),0)</f>
        <v>0</v>
      </c>
      <c r="DA56" s="319">
        <f>IF($BI56&lt;&gt;"",IF('Capacity summary'!$D$14="Yes",IF(COUNTBLANK('Capacity summary'!$H175:$BG175)&lt;52,IF('Capacity summary'!AX175&lt;&gt;"",$BI56*AX56,0),AX56*$BI56),AX56*$BI56),0)</f>
        <v>0</v>
      </c>
      <c r="DB56" s="319">
        <f>IF($BI56&lt;&gt;"",IF('Capacity summary'!$D$14="Yes",IF(COUNTBLANK('Capacity summary'!$H175:$BG175)&lt;52,IF('Capacity summary'!AY175&lt;&gt;"",$BI56*AY56,0),AY56*$BI56),AY56*$BI56),0)</f>
        <v>0</v>
      </c>
      <c r="DC56" s="319">
        <f>IF($BI56&lt;&gt;"",IF('Capacity summary'!$D$14="Yes",IF(COUNTBLANK('Capacity summary'!$H175:$BG175)&lt;52,IF('Capacity summary'!AZ175&lt;&gt;"",$BI56*AZ56,0),AZ56*$BI56),AZ56*$BI56),0)</f>
        <v>0</v>
      </c>
      <c r="DD56" s="319">
        <f>IF($BI56&lt;&gt;"",IF('Capacity summary'!$D$14="Yes",IF(COUNTBLANK('Capacity summary'!$H175:$BG175)&lt;52,IF('Capacity summary'!BA175&lt;&gt;"",$BI56*BA56,0),BA56*$BI56),BA56*$BI56),0)</f>
        <v>0</v>
      </c>
      <c r="DE56" s="319">
        <f>IF($BI56&lt;&gt;"",IF('Capacity summary'!$D$14="Yes",IF(COUNTBLANK('Capacity summary'!$H175:$BG175)&lt;52,IF('Capacity summary'!BB175&lt;&gt;"",$BI56*BB56,0),BB56*$BI56),BB56*$BI56),0)</f>
        <v>0</v>
      </c>
      <c r="DF56" s="319">
        <f>IF($BI56&lt;&gt;"",IF('Capacity summary'!$D$14="Yes",IF(COUNTBLANK('Capacity summary'!$H175:$BG175)&lt;52,IF('Capacity summary'!BC175&lt;&gt;"",$BI56*BC56,0),BC56*$BI56),BC56*$BI56),0)</f>
        <v>0</v>
      </c>
      <c r="DG56" s="319">
        <f>IF($BI56&lt;&gt;"",IF('Capacity summary'!$D$14="Yes",IF(COUNTBLANK('Capacity summary'!$H175:$BG175)&lt;52,IF('Capacity summary'!BD175&lt;&gt;"",$BI56*BD56,0),BD56*$BI56),BD56*$BI56),0)</f>
        <v>0</v>
      </c>
      <c r="DH56" s="319">
        <f>IF($BI56&lt;&gt;"",IF('Capacity summary'!$D$14="Yes",IF(COUNTBLANK('Capacity summary'!$H175:$BG175)&lt;52,IF('Capacity summary'!BE175&lt;&gt;"",$BI56*BE56,0),BE56*$BI56),BE56*$BI56),0)</f>
        <v>0</v>
      </c>
      <c r="DI56" s="319">
        <f>IF($BI56&lt;&gt;"",IF('Capacity summary'!$D$14="Yes",IF(COUNTBLANK('Capacity summary'!$H175:$BG175)&lt;52,IF('Capacity summary'!BF175&lt;&gt;"",$BI56*BF56,0),BF56*$BI56),BF56*$BI56),0)</f>
        <v>0</v>
      </c>
      <c r="DJ56" s="319">
        <f>IF($BI56&lt;&gt;"",IF('Capacity summary'!$D$14="Yes",IF(COUNTBLANK('Capacity summary'!$H175:$BG175)&lt;52,IF('Capacity summary'!BG175&lt;&gt;"",$BI56*BG56,0),BG56*$BI56),BG56*$BI56),0)</f>
        <v>0</v>
      </c>
      <c r="DK56" s="5">
        <f t="shared" si="2"/>
        <v>0</v>
      </c>
      <c r="DL56" s="5" t="str">
        <f>Capacity!H68</f>
        <v/>
      </c>
      <c r="DP56" s="5"/>
    </row>
    <row r="57" spans="2:120" x14ac:dyDescent="0.2">
      <c r="B57" s="68"/>
      <c r="C57" s="68" t="str">
        <f>ROW(A53)&amp;". "&amp;Capacity!B69</f>
        <v xml:space="preserve">53. </v>
      </c>
      <c r="D57" s="68">
        <f>'Capacity setup'!C64</f>
        <v>0</v>
      </c>
      <c r="E57" s="68">
        <f>'Capacity setup'!D64</f>
        <v>0</v>
      </c>
      <c r="F57" s="68">
        <f>'Capacity setup'!E64</f>
        <v>0</v>
      </c>
      <c r="H57" s="68">
        <f ca="1">IF(AND(SUMIF(Capacity_Resource,$D57,'Critical resources (hide)'!U$6:U$105)+SUMIF(Capacity_Resource,$E57,'Critical resources (hide)'!U$6:U$105)+SUMIF(Capacity_Resource,$F57,'Critical resources (hide)'!U$6:U$105)&gt;0,$E$1=2),0,1)</f>
        <v>1</v>
      </c>
      <c r="I57" s="68">
        <f ca="1">IF(AND(SUMIF(Capacity_Resource,$D57,'Critical resources (hide)'!V$6:V$105)+SUMIF(Capacity_Resource,$E57,'Critical resources (hide)'!V$6:V$105)+SUMIF(Capacity_Resource,$F57,'Critical resources (hide)'!V$6:V$105)&gt;0,$E$1=2),0,1)</f>
        <v>1</v>
      </c>
      <c r="J57" s="68">
        <f ca="1">IF(AND(SUMIF(Capacity_Resource,$D57,'Critical resources (hide)'!W$6:W$105)+SUMIF(Capacity_Resource,$E57,'Critical resources (hide)'!W$6:W$105)+SUMIF(Capacity_Resource,$F57,'Critical resources (hide)'!W$6:W$105)&gt;0,$E$1=2),0,1)</f>
        <v>1</v>
      </c>
      <c r="K57" s="68">
        <f ca="1">IF(AND(SUMIF(Capacity_Resource,$D57,'Critical resources (hide)'!X$6:X$105)+SUMIF(Capacity_Resource,$E57,'Critical resources (hide)'!X$6:X$105)+SUMIF(Capacity_Resource,$F57,'Critical resources (hide)'!X$6:X$105)&gt;0,$E$1=2),0,1)</f>
        <v>1</v>
      </c>
      <c r="L57" s="68">
        <f ca="1">IF(AND(SUMIF(Capacity_Resource,$D57,'Critical resources (hide)'!Y$6:Y$105)+SUMIF(Capacity_Resource,$E57,'Critical resources (hide)'!Y$6:Y$105)+SUMIF(Capacity_Resource,$F57,'Critical resources (hide)'!Y$6:Y$105)&gt;0,$E$1=2),0,1)</f>
        <v>1</v>
      </c>
      <c r="M57" s="68">
        <f ca="1">IF(AND(SUMIF(Capacity_Resource,$D57,'Critical resources (hide)'!Z$6:Z$105)+SUMIF(Capacity_Resource,$E57,'Critical resources (hide)'!Z$6:Z$105)+SUMIF(Capacity_Resource,$F57,'Critical resources (hide)'!Z$6:Z$105)&gt;0,$E$1=2),0,1)</f>
        <v>1</v>
      </c>
      <c r="N57" s="68">
        <f ca="1">IF(AND(SUMIF(Capacity_Resource,$D57,'Critical resources (hide)'!AA$6:AA$105)+SUMIF(Capacity_Resource,$E57,'Critical resources (hide)'!AA$6:AA$105)+SUMIF(Capacity_Resource,$F57,'Critical resources (hide)'!AA$6:AA$105)&gt;0,$E$1=2),0,1)</f>
        <v>1</v>
      </c>
      <c r="O57" s="68">
        <f ca="1">IF(AND(SUMIF(Capacity_Resource,$D57,'Critical resources (hide)'!AB$6:AB$105)+SUMIF(Capacity_Resource,$E57,'Critical resources (hide)'!AB$6:AB$105)+SUMIF(Capacity_Resource,$F57,'Critical resources (hide)'!AB$6:AB$105)&gt;0,$E$1=2),0,1)</f>
        <v>1</v>
      </c>
      <c r="P57" s="68">
        <f ca="1">IF(AND(SUMIF(Capacity_Resource,$D57,'Critical resources (hide)'!AC$6:AC$105)+SUMIF(Capacity_Resource,$E57,'Critical resources (hide)'!AC$6:AC$105)+SUMIF(Capacity_Resource,$F57,'Critical resources (hide)'!AC$6:AC$105)&gt;0,$E$1=2),0,1)</f>
        <v>1</v>
      </c>
      <c r="Q57" s="68">
        <f ca="1">IF(AND(SUMIF(Capacity_Resource,$D57,'Critical resources (hide)'!AD$6:AD$105)+SUMIF(Capacity_Resource,$E57,'Critical resources (hide)'!AD$6:AD$105)+SUMIF(Capacity_Resource,$F57,'Critical resources (hide)'!AD$6:AD$105)&gt;0,$E$1=2),0,1)</f>
        <v>1</v>
      </c>
      <c r="R57" s="68">
        <f ca="1">IF(AND(SUMIF(Capacity_Resource,$D57,'Critical resources (hide)'!AE$6:AE$105)+SUMIF(Capacity_Resource,$E57,'Critical resources (hide)'!AE$6:AE$105)+SUMIF(Capacity_Resource,$F57,'Critical resources (hide)'!AE$6:AE$105)&gt;0,$E$1=2),0,1)</f>
        <v>1</v>
      </c>
      <c r="S57" s="68">
        <f ca="1">IF(AND(SUMIF(Capacity_Resource,$D57,'Critical resources (hide)'!AF$6:AF$105)+SUMIF(Capacity_Resource,$E57,'Critical resources (hide)'!AF$6:AF$105)+SUMIF(Capacity_Resource,$F57,'Critical resources (hide)'!AF$6:AF$105)&gt;0,$E$1=2),0,1)</f>
        <v>1</v>
      </c>
      <c r="T57" s="68">
        <f ca="1">IF(AND(SUMIF(Capacity_Resource,$D57,'Critical resources (hide)'!AG$6:AG$105)+SUMIF(Capacity_Resource,$E57,'Critical resources (hide)'!AG$6:AG$105)+SUMIF(Capacity_Resource,$F57,'Critical resources (hide)'!AG$6:AG$105)&gt;0,$E$1=2),0,1)</f>
        <v>1</v>
      </c>
      <c r="U57" s="68">
        <f ca="1">IF(AND(SUMIF(Capacity_Resource,$D57,'Critical resources (hide)'!AH$6:AH$105)+SUMIF(Capacity_Resource,$E57,'Critical resources (hide)'!AH$6:AH$105)+SUMIF(Capacity_Resource,$F57,'Critical resources (hide)'!AH$6:AH$105)&gt;0,$E$1=2),0,1)</f>
        <v>1</v>
      </c>
      <c r="V57" s="68">
        <f ca="1">IF(AND(SUMIF(Capacity_Resource,$D57,'Critical resources (hide)'!AI$6:AI$105)+SUMIF(Capacity_Resource,$E57,'Critical resources (hide)'!AI$6:AI$105)+SUMIF(Capacity_Resource,$F57,'Critical resources (hide)'!AI$6:AI$105)&gt;0,$E$1=2),0,1)</f>
        <v>1</v>
      </c>
      <c r="W57" s="68">
        <f ca="1">IF(AND(SUMIF(Capacity_Resource,$D57,'Critical resources (hide)'!AJ$6:AJ$105)+SUMIF(Capacity_Resource,$E57,'Critical resources (hide)'!AJ$6:AJ$105)+SUMIF(Capacity_Resource,$F57,'Critical resources (hide)'!AJ$6:AJ$105)&gt;0,$E$1=2),0,1)</f>
        <v>1</v>
      </c>
      <c r="X57" s="68">
        <f ca="1">IF(AND(SUMIF(Capacity_Resource,$D57,'Critical resources (hide)'!AK$6:AK$105)+SUMIF(Capacity_Resource,$E57,'Critical resources (hide)'!AK$6:AK$105)+SUMIF(Capacity_Resource,$F57,'Critical resources (hide)'!AK$6:AK$105)&gt;0,$E$1=2),0,1)</f>
        <v>1</v>
      </c>
      <c r="Y57" s="68">
        <f ca="1">IF(AND(SUMIF(Capacity_Resource,$D57,'Critical resources (hide)'!AL$6:AL$105)+SUMIF(Capacity_Resource,$E57,'Critical resources (hide)'!AL$6:AL$105)+SUMIF(Capacity_Resource,$F57,'Critical resources (hide)'!AL$6:AL$105)&gt;0,$E$1=2),0,1)</f>
        <v>1</v>
      </c>
      <c r="Z57" s="68">
        <f ca="1">IF(AND(SUMIF(Capacity_Resource,$D57,'Critical resources (hide)'!AM$6:AM$105)+SUMIF(Capacity_Resource,$E57,'Critical resources (hide)'!AM$6:AM$105)+SUMIF(Capacity_Resource,$F57,'Critical resources (hide)'!AM$6:AM$105)&gt;0,$E$1=2),0,1)</f>
        <v>1</v>
      </c>
      <c r="AA57" s="68">
        <f ca="1">IF(AND(SUMIF(Capacity_Resource,$D57,'Critical resources (hide)'!AN$6:AN$105)+SUMIF(Capacity_Resource,$E57,'Critical resources (hide)'!AN$6:AN$105)+SUMIF(Capacity_Resource,$F57,'Critical resources (hide)'!AN$6:AN$105)&gt;0,$E$1=2),0,1)</f>
        <v>1</v>
      </c>
      <c r="AB57" s="68">
        <f ca="1">IF(AND(SUMIF(Capacity_Resource,$D57,'Critical resources (hide)'!AO$6:AO$105)+SUMIF(Capacity_Resource,$E57,'Critical resources (hide)'!AO$6:AO$105)+SUMIF(Capacity_Resource,$F57,'Critical resources (hide)'!AO$6:AO$105)&gt;0,$E$1=2),0,1)</f>
        <v>1</v>
      </c>
      <c r="AC57" s="68">
        <f ca="1">IF(AND(SUMIF(Capacity_Resource,$D57,'Critical resources (hide)'!AP$6:AP$105)+SUMIF(Capacity_Resource,$E57,'Critical resources (hide)'!AP$6:AP$105)+SUMIF(Capacity_Resource,$F57,'Critical resources (hide)'!AP$6:AP$105)&gt;0,$E$1=2),0,1)</f>
        <v>1</v>
      </c>
      <c r="AD57" s="68">
        <f ca="1">IF(AND(SUMIF(Capacity_Resource,$D57,'Critical resources (hide)'!AQ$6:AQ$105)+SUMIF(Capacity_Resource,$E57,'Critical resources (hide)'!AQ$6:AQ$105)+SUMIF(Capacity_Resource,$F57,'Critical resources (hide)'!AQ$6:AQ$105)&gt;0,$E$1=2),0,1)</f>
        <v>1</v>
      </c>
      <c r="AE57" s="68">
        <f ca="1">IF(AND(SUMIF(Capacity_Resource,$D57,'Critical resources (hide)'!AR$6:AR$105)+SUMIF(Capacity_Resource,$E57,'Critical resources (hide)'!AR$6:AR$105)+SUMIF(Capacity_Resource,$F57,'Critical resources (hide)'!AR$6:AR$105)&gt;0,$E$1=2),0,1)</f>
        <v>1</v>
      </c>
      <c r="AF57" s="68">
        <f ca="1">IF(AND(SUMIF(Capacity_Resource,$D57,'Critical resources (hide)'!AS$6:AS$105)+SUMIF(Capacity_Resource,$E57,'Critical resources (hide)'!AS$6:AS$105)+SUMIF(Capacity_Resource,$F57,'Critical resources (hide)'!AS$6:AS$105)&gt;0,$E$1=2),0,1)</f>
        <v>1</v>
      </c>
      <c r="AG57" s="68">
        <f ca="1">IF(AND(SUMIF(Capacity_Resource,$D57,'Critical resources (hide)'!AT$6:AT$105)+SUMIF(Capacity_Resource,$E57,'Critical resources (hide)'!AT$6:AT$105)+SUMIF(Capacity_Resource,$F57,'Critical resources (hide)'!AT$6:AT$105)&gt;0,$E$1=2),0,1)</f>
        <v>1</v>
      </c>
      <c r="AH57" s="68">
        <f ca="1">IF(AND(SUMIF(Capacity_Resource,$D57,'Critical resources (hide)'!AU$6:AU$105)+SUMIF(Capacity_Resource,$E57,'Critical resources (hide)'!AU$6:AU$105)+SUMIF(Capacity_Resource,$F57,'Critical resources (hide)'!AU$6:AU$105)&gt;0,$E$1=2),0,1)</f>
        <v>1</v>
      </c>
      <c r="AI57" s="68">
        <f ca="1">IF(AND(SUMIF(Capacity_Resource,$D57,'Critical resources (hide)'!AV$6:AV$105)+SUMIF(Capacity_Resource,$E57,'Critical resources (hide)'!AV$6:AV$105)+SUMIF(Capacity_Resource,$F57,'Critical resources (hide)'!AV$6:AV$105)&gt;0,$E$1=2),0,1)</f>
        <v>1</v>
      </c>
      <c r="AJ57" s="68">
        <f ca="1">IF(AND(SUMIF(Capacity_Resource,$D57,'Critical resources (hide)'!AW$6:AW$105)+SUMIF(Capacity_Resource,$E57,'Critical resources (hide)'!AW$6:AW$105)+SUMIF(Capacity_Resource,$F57,'Critical resources (hide)'!AW$6:AW$105)&gt;0,$E$1=2),0,1)</f>
        <v>1</v>
      </c>
      <c r="AK57" s="68">
        <f ca="1">IF(AND(SUMIF(Capacity_Resource,$D57,'Critical resources (hide)'!AX$6:AX$105)+SUMIF(Capacity_Resource,$E57,'Critical resources (hide)'!AX$6:AX$105)+SUMIF(Capacity_Resource,$F57,'Critical resources (hide)'!AX$6:AX$105)&gt;0,$E$1=2),0,1)</f>
        <v>1</v>
      </c>
      <c r="AL57" s="68">
        <f ca="1">IF(AND(SUMIF(Capacity_Resource,$D57,'Critical resources (hide)'!AY$6:AY$105)+SUMIF(Capacity_Resource,$E57,'Critical resources (hide)'!AY$6:AY$105)+SUMIF(Capacity_Resource,$F57,'Critical resources (hide)'!AY$6:AY$105)&gt;0,$E$1=2),0,1)</f>
        <v>1</v>
      </c>
      <c r="AM57" s="68">
        <f ca="1">IF(AND(SUMIF(Capacity_Resource,$D57,'Critical resources (hide)'!AZ$6:AZ$105)+SUMIF(Capacity_Resource,$E57,'Critical resources (hide)'!AZ$6:AZ$105)+SUMIF(Capacity_Resource,$F57,'Critical resources (hide)'!AZ$6:AZ$105)&gt;0,$E$1=2),0,1)</f>
        <v>1</v>
      </c>
      <c r="AN57" s="68">
        <f ca="1">IF(AND(SUMIF(Capacity_Resource,$D57,'Critical resources (hide)'!BA$6:BA$105)+SUMIF(Capacity_Resource,$E57,'Critical resources (hide)'!BA$6:BA$105)+SUMIF(Capacity_Resource,$F57,'Critical resources (hide)'!BA$6:BA$105)&gt;0,$E$1=2),0,1)</f>
        <v>1</v>
      </c>
      <c r="AO57" s="68">
        <f ca="1">IF(AND(SUMIF(Capacity_Resource,$D57,'Critical resources (hide)'!BB$6:BB$105)+SUMIF(Capacity_Resource,$E57,'Critical resources (hide)'!BB$6:BB$105)+SUMIF(Capacity_Resource,$F57,'Critical resources (hide)'!BB$6:BB$105)&gt;0,$E$1=2),0,1)</f>
        <v>1</v>
      </c>
      <c r="AP57" s="68">
        <f ca="1">IF(AND(SUMIF(Capacity_Resource,$D57,'Critical resources (hide)'!BC$6:BC$105)+SUMIF(Capacity_Resource,$E57,'Critical resources (hide)'!BC$6:BC$105)+SUMIF(Capacity_Resource,$F57,'Critical resources (hide)'!BC$6:BC$105)&gt;0,$E$1=2),0,1)</f>
        <v>1</v>
      </c>
      <c r="AQ57" s="68">
        <f ca="1">IF(AND(SUMIF(Capacity_Resource,$D57,'Critical resources (hide)'!BD$6:BD$105)+SUMIF(Capacity_Resource,$E57,'Critical resources (hide)'!BD$6:BD$105)+SUMIF(Capacity_Resource,$F57,'Critical resources (hide)'!BD$6:BD$105)&gt;0,$E$1=2),0,1)</f>
        <v>1</v>
      </c>
      <c r="AR57" s="68">
        <f ca="1">IF(AND(SUMIF(Capacity_Resource,$D57,'Critical resources (hide)'!BE$6:BE$105)+SUMIF(Capacity_Resource,$E57,'Critical resources (hide)'!BE$6:BE$105)+SUMIF(Capacity_Resource,$F57,'Critical resources (hide)'!BE$6:BE$105)&gt;0,$E$1=2),0,1)</f>
        <v>1</v>
      </c>
      <c r="AS57" s="68">
        <f ca="1">IF(AND(SUMIF(Capacity_Resource,$D57,'Critical resources (hide)'!BF$6:BF$105)+SUMIF(Capacity_Resource,$E57,'Critical resources (hide)'!BF$6:BF$105)+SUMIF(Capacity_Resource,$F57,'Critical resources (hide)'!BF$6:BF$105)&gt;0,$E$1=2),0,1)</f>
        <v>1</v>
      </c>
      <c r="AT57" s="68">
        <f ca="1">IF(AND(SUMIF(Capacity_Resource,$D57,'Critical resources (hide)'!BG$6:BG$105)+SUMIF(Capacity_Resource,$E57,'Critical resources (hide)'!BG$6:BG$105)+SUMIF(Capacity_Resource,$F57,'Critical resources (hide)'!BG$6:BG$105)&gt;0,$E$1=2),0,1)</f>
        <v>1</v>
      </c>
      <c r="AU57" s="68">
        <f ca="1">IF(AND(SUMIF(Capacity_Resource,$D57,'Critical resources (hide)'!BH$6:BH$105)+SUMIF(Capacity_Resource,$E57,'Critical resources (hide)'!BH$6:BH$105)+SUMIF(Capacity_Resource,$F57,'Critical resources (hide)'!BH$6:BH$105)&gt;0,$E$1=2),0,1)</f>
        <v>1</v>
      </c>
      <c r="AV57" s="68">
        <f ca="1">IF(AND(SUMIF(Capacity_Resource,$D57,'Critical resources (hide)'!BI$6:BI$105)+SUMIF(Capacity_Resource,$E57,'Critical resources (hide)'!BI$6:BI$105)+SUMIF(Capacity_Resource,$F57,'Critical resources (hide)'!BI$6:BI$105)&gt;0,$E$1=2),0,1)</f>
        <v>1</v>
      </c>
      <c r="AW57" s="68">
        <f ca="1">IF(AND(SUMIF(Capacity_Resource,$D57,'Critical resources (hide)'!BJ$6:BJ$105)+SUMIF(Capacity_Resource,$E57,'Critical resources (hide)'!BJ$6:BJ$105)+SUMIF(Capacity_Resource,$F57,'Critical resources (hide)'!BJ$6:BJ$105)&gt;0,$E$1=2),0,1)</f>
        <v>1</v>
      </c>
      <c r="AX57" s="68">
        <f ca="1">IF(AND(SUMIF(Capacity_Resource,$D57,'Critical resources (hide)'!BK$6:BK$105)+SUMIF(Capacity_Resource,$E57,'Critical resources (hide)'!BK$6:BK$105)+SUMIF(Capacity_Resource,$F57,'Critical resources (hide)'!BK$6:BK$105)&gt;0,$E$1=2),0,1)</f>
        <v>1</v>
      </c>
      <c r="AY57" s="68">
        <f ca="1">IF(AND(SUMIF(Capacity_Resource,$D57,'Critical resources (hide)'!BL$6:BL$105)+SUMIF(Capacity_Resource,$E57,'Critical resources (hide)'!BL$6:BL$105)+SUMIF(Capacity_Resource,$F57,'Critical resources (hide)'!BL$6:BL$105)&gt;0,$E$1=2),0,1)</f>
        <v>1</v>
      </c>
      <c r="AZ57" s="68">
        <f ca="1">IF(AND(SUMIF(Capacity_Resource,$D57,'Critical resources (hide)'!BM$6:BM$105)+SUMIF(Capacity_Resource,$E57,'Critical resources (hide)'!BM$6:BM$105)+SUMIF(Capacity_Resource,$F57,'Critical resources (hide)'!BM$6:BM$105)&gt;0,$E$1=2),0,1)</f>
        <v>1</v>
      </c>
      <c r="BA57" s="68">
        <f ca="1">IF(AND(SUMIF(Capacity_Resource,$D57,'Critical resources (hide)'!BN$6:BN$105)+SUMIF(Capacity_Resource,$E57,'Critical resources (hide)'!BN$6:BN$105)+SUMIF(Capacity_Resource,$F57,'Critical resources (hide)'!BN$6:BN$105)&gt;0,$E$1=2),0,1)</f>
        <v>1</v>
      </c>
      <c r="BB57" s="68">
        <f ca="1">IF(AND(SUMIF(Capacity_Resource,$D57,'Critical resources (hide)'!BO$6:BO$105)+SUMIF(Capacity_Resource,$E57,'Critical resources (hide)'!BO$6:BO$105)+SUMIF(Capacity_Resource,$F57,'Critical resources (hide)'!BO$6:BO$105)&gt;0,$E$1=2),0,1)</f>
        <v>1</v>
      </c>
      <c r="BC57" s="68">
        <f ca="1">IF(AND(SUMIF(Capacity_Resource,$D57,'Critical resources (hide)'!BP$6:BP$105)+SUMIF(Capacity_Resource,$E57,'Critical resources (hide)'!BP$6:BP$105)+SUMIF(Capacity_Resource,$F57,'Critical resources (hide)'!BP$6:BP$105)&gt;0,$E$1=2),0,1)</f>
        <v>1</v>
      </c>
      <c r="BD57" s="68">
        <f ca="1">IF(AND(SUMIF(Capacity_Resource,$D57,'Critical resources (hide)'!BQ$6:BQ$105)+SUMIF(Capacity_Resource,$E57,'Critical resources (hide)'!BQ$6:BQ$105)+SUMIF(Capacity_Resource,$F57,'Critical resources (hide)'!BQ$6:BQ$105)&gt;0,$E$1=2),0,1)</f>
        <v>1</v>
      </c>
      <c r="BE57" s="68">
        <f ca="1">IF(AND(SUMIF(Capacity_Resource,$D57,'Critical resources (hide)'!BR$6:BR$105)+SUMIF(Capacity_Resource,$E57,'Critical resources (hide)'!BR$6:BR$105)+SUMIF(Capacity_Resource,$F57,'Critical resources (hide)'!BR$6:BR$105)&gt;0,$E$1=2),0,1)</f>
        <v>1</v>
      </c>
      <c r="BF57" s="68">
        <f ca="1">IF(AND(SUMIF(Capacity_Resource,$D57,'Critical resources (hide)'!BS$6:BS$105)+SUMIF(Capacity_Resource,$E57,'Critical resources (hide)'!BS$6:BS$105)+SUMIF(Capacity_Resource,$F57,'Critical resources (hide)'!BS$6:BS$105)&gt;0,$E$1=2),0,1)</f>
        <v>1</v>
      </c>
      <c r="BG57" s="68">
        <f ca="1">IF(AND(SUMIF(Capacity_Resource,$D57,'Critical resources (hide)'!BT$6:BT$105)+SUMIF(Capacity_Resource,$E57,'Critical resources (hide)'!BT$6:BT$105)+SUMIF(Capacity_Resource,$F57,'Critical resources (hide)'!BT$6:BT$105)&gt;0,$E$1=2),0,1)</f>
        <v>1</v>
      </c>
      <c r="BH57" s="68">
        <f>IF(ROW(C53)&lt;=Capacity!$A$16,IF('Capacity summary'!$D$14="No",SUM(H57:BG57),'Capacity summary'!$E176),0)</f>
        <v>0</v>
      </c>
      <c r="BI57" s="5" t="str">
        <f>IF(BH57&gt;0,IF(BH57&lt;Capacity!E69,Capacity!F69,Capacity!H69/'Capacity calculation (hide)'!BH57),"")</f>
        <v/>
      </c>
      <c r="BK57" s="319">
        <f>IF($BI57&lt;&gt;"",IF('Capacity summary'!$D$14="Yes",IF(COUNTBLANK('Capacity summary'!$H176:$BG176)&lt;52,IF('Capacity summary'!H176&lt;&gt;"",$BI57*H57,0),H57*$BI57),H57*$BI57),0)</f>
        <v>0</v>
      </c>
      <c r="BL57" s="319">
        <f>IF($BI57&lt;&gt;"",IF('Capacity summary'!$D$14="Yes",IF(COUNTBLANK('Capacity summary'!$H176:$BG176)&lt;52,IF('Capacity summary'!I176&lt;&gt;"",$BI57*I57,0),I57*$BI57),I57*$BI57),0)</f>
        <v>0</v>
      </c>
      <c r="BM57" s="319">
        <f>IF($BI57&lt;&gt;"",IF('Capacity summary'!$D$14="Yes",IF(COUNTBLANK('Capacity summary'!$H176:$BG176)&lt;52,IF('Capacity summary'!J176&lt;&gt;"",$BI57*J57,0),J57*$BI57),J57*$BI57),0)</f>
        <v>0</v>
      </c>
      <c r="BN57" s="319">
        <f>IF($BI57&lt;&gt;"",IF('Capacity summary'!$D$14="Yes",IF(COUNTBLANK('Capacity summary'!$H176:$BG176)&lt;52,IF('Capacity summary'!K176&lt;&gt;"",$BI57*K57,0),K57*$BI57),K57*$BI57),0)</f>
        <v>0</v>
      </c>
      <c r="BO57" s="319">
        <f>IF($BI57&lt;&gt;"",IF('Capacity summary'!$D$14="Yes",IF(COUNTBLANK('Capacity summary'!$H176:$BG176)&lt;52,IF('Capacity summary'!L176&lt;&gt;"",$BI57*L57,0),L57*$BI57),L57*$BI57),0)</f>
        <v>0</v>
      </c>
      <c r="BP57" s="319">
        <f>IF($BI57&lt;&gt;"",IF('Capacity summary'!$D$14="Yes",IF(COUNTBLANK('Capacity summary'!$H176:$BG176)&lt;52,IF('Capacity summary'!M176&lt;&gt;"",$BI57*M57,0),M57*$BI57),M57*$BI57),0)</f>
        <v>0</v>
      </c>
      <c r="BQ57" s="319">
        <f>IF($BI57&lt;&gt;"",IF('Capacity summary'!$D$14="Yes",IF(COUNTBLANK('Capacity summary'!$H176:$BG176)&lt;52,IF('Capacity summary'!N176&lt;&gt;"",$BI57*N57,0),N57*$BI57),N57*$BI57),0)</f>
        <v>0</v>
      </c>
      <c r="BR57" s="319">
        <f>IF($BI57&lt;&gt;"",IF('Capacity summary'!$D$14="Yes",IF(COUNTBLANK('Capacity summary'!$H176:$BG176)&lt;52,IF('Capacity summary'!O176&lt;&gt;"",$BI57*O57,0),O57*$BI57),O57*$BI57),0)</f>
        <v>0</v>
      </c>
      <c r="BS57" s="319">
        <f>IF($BI57&lt;&gt;"",IF('Capacity summary'!$D$14="Yes",IF(COUNTBLANK('Capacity summary'!$H176:$BG176)&lt;52,IF('Capacity summary'!P176&lt;&gt;"",$BI57*P57,0),P57*$BI57),P57*$BI57),0)</f>
        <v>0</v>
      </c>
      <c r="BT57" s="319">
        <f>IF($BI57&lt;&gt;"",IF('Capacity summary'!$D$14="Yes",IF(COUNTBLANK('Capacity summary'!$H176:$BG176)&lt;52,IF('Capacity summary'!Q176&lt;&gt;"",$BI57*Q57,0),Q57*$BI57),Q57*$BI57),0)</f>
        <v>0</v>
      </c>
      <c r="BU57" s="319">
        <f>IF($BI57&lt;&gt;"",IF('Capacity summary'!$D$14="Yes",IF(COUNTBLANK('Capacity summary'!$H176:$BG176)&lt;52,IF('Capacity summary'!R176&lt;&gt;"",$BI57*R57,0),R57*$BI57),R57*$BI57),0)</f>
        <v>0</v>
      </c>
      <c r="BV57" s="319">
        <f>IF($BI57&lt;&gt;"",IF('Capacity summary'!$D$14="Yes",IF(COUNTBLANK('Capacity summary'!$H176:$BG176)&lt;52,IF('Capacity summary'!S176&lt;&gt;"",$BI57*S57,0),S57*$BI57),S57*$BI57),0)</f>
        <v>0</v>
      </c>
      <c r="BW57" s="319">
        <f>IF($BI57&lt;&gt;"",IF('Capacity summary'!$D$14="Yes",IF(COUNTBLANK('Capacity summary'!$H176:$BG176)&lt;52,IF('Capacity summary'!T176&lt;&gt;"",$BI57*T57,0),T57*$BI57),T57*$BI57),0)</f>
        <v>0</v>
      </c>
      <c r="BX57" s="319">
        <f>IF($BI57&lt;&gt;"",IF('Capacity summary'!$D$14="Yes",IF(COUNTBLANK('Capacity summary'!$H176:$BG176)&lt;52,IF('Capacity summary'!U176&lt;&gt;"",$BI57*U57,0),U57*$BI57),U57*$BI57),0)</f>
        <v>0</v>
      </c>
      <c r="BY57" s="319">
        <f>IF($BI57&lt;&gt;"",IF('Capacity summary'!$D$14="Yes",IF(COUNTBLANK('Capacity summary'!$H176:$BG176)&lt;52,IF('Capacity summary'!V176&lt;&gt;"",$BI57*V57,0),V57*$BI57),V57*$BI57),0)</f>
        <v>0</v>
      </c>
      <c r="BZ57" s="319">
        <f>IF($BI57&lt;&gt;"",IF('Capacity summary'!$D$14="Yes",IF(COUNTBLANK('Capacity summary'!$H176:$BG176)&lt;52,IF('Capacity summary'!W176&lt;&gt;"",$BI57*W57,0),W57*$BI57),W57*$BI57),0)</f>
        <v>0</v>
      </c>
      <c r="CA57" s="319">
        <f>IF($BI57&lt;&gt;"",IF('Capacity summary'!$D$14="Yes",IF(COUNTBLANK('Capacity summary'!$H176:$BG176)&lt;52,IF('Capacity summary'!X176&lt;&gt;"",$BI57*X57,0),X57*$BI57),X57*$BI57),0)</f>
        <v>0</v>
      </c>
      <c r="CB57" s="319">
        <f>IF($BI57&lt;&gt;"",IF('Capacity summary'!$D$14="Yes",IF(COUNTBLANK('Capacity summary'!$H176:$BG176)&lt;52,IF('Capacity summary'!Y176&lt;&gt;"",$BI57*Y57,0),Y57*$BI57),Y57*$BI57),0)</f>
        <v>0</v>
      </c>
      <c r="CC57" s="319">
        <f>IF($BI57&lt;&gt;"",IF('Capacity summary'!$D$14="Yes",IF(COUNTBLANK('Capacity summary'!$H176:$BG176)&lt;52,IF('Capacity summary'!Z176&lt;&gt;"",$BI57*Z57,0),Z57*$BI57),Z57*$BI57),0)</f>
        <v>0</v>
      </c>
      <c r="CD57" s="319">
        <f>IF($BI57&lt;&gt;"",IF('Capacity summary'!$D$14="Yes",IF(COUNTBLANK('Capacity summary'!$H176:$BG176)&lt;52,IF('Capacity summary'!AA176&lt;&gt;"",$BI57*AA57,0),AA57*$BI57),AA57*$BI57),0)</f>
        <v>0</v>
      </c>
      <c r="CE57" s="319">
        <f>IF($BI57&lt;&gt;"",IF('Capacity summary'!$D$14="Yes",IF(COUNTBLANK('Capacity summary'!$H176:$BG176)&lt;52,IF('Capacity summary'!AB176&lt;&gt;"",$BI57*AB57,0),AB57*$BI57),AB57*$BI57),0)</f>
        <v>0</v>
      </c>
      <c r="CF57" s="319">
        <f>IF($BI57&lt;&gt;"",IF('Capacity summary'!$D$14="Yes",IF(COUNTBLANK('Capacity summary'!$H176:$BG176)&lt;52,IF('Capacity summary'!AC176&lt;&gt;"",$BI57*AC57,0),AC57*$BI57),AC57*$BI57),0)</f>
        <v>0</v>
      </c>
      <c r="CG57" s="319">
        <f>IF($BI57&lt;&gt;"",IF('Capacity summary'!$D$14="Yes",IF(COUNTBLANK('Capacity summary'!$H176:$BG176)&lt;52,IF('Capacity summary'!AD176&lt;&gt;"",$BI57*AD57,0),AD57*$BI57),AD57*$BI57),0)</f>
        <v>0</v>
      </c>
      <c r="CH57" s="319">
        <f>IF($BI57&lt;&gt;"",IF('Capacity summary'!$D$14="Yes",IF(COUNTBLANK('Capacity summary'!$H176:$BG176)&lt;52,IF('Capacity summary'!AE176&lt;&gt;"",$BI57*AE57,0),AE57*$BI57),AE57*$BI57),0)</f>
        <v>0</v>
      </c>
      <c r="CI57" s="319">
        <f>IF($BI57&lt;&gt;"",IF('Capacity summary'!$D$14="Yes",IF(COUNTBLANK('Capacity summary'!$H176:$BG176)&lt;52,IF('Capacity summary'!AF176&lt;&gt;"",$BI57*AF57,0),AF57*$BI57),AF57*$BI57),0)</f>
        <v>0</v>
      </c>
      <c r="CJ57" s="319">
        <f>IF($BI57&lt;&gt;"",IF('Capacity summary'!$D$14="Yes",IF(COUNTBLANK('Capacity summary'!$H176:$BG176)&lt;52,IF('Capacity summary'!AG176&lt;&gt;"",$BI57*AG57,0),AG57*$BI57),AG57*$BI57),0)</f>
        <v>0</v>
      </c>
      <c r="CK57" s="319">
        <f>IF($BI57&lt;&gt;"",IF('Capacity summary'!$D$14="Yes",IF(COUNTBLANK('Capacity summary'!$H176:$BG176)&lt;52,IF('Capacity summary'!AH176&lt;&gt;"",$BI57*AH57,0),AH57*$BI57),AH57*$BI57),0)</f>
        <v>0</v>
      </c>
      <c r="CL57" s="319">
        <f>IF($BI57&lt;&gt;"",IF('Capacity summary'!$D$14="Yes",IF(COUNTBLANK('Capacity summary'!$H176:$BG176)&lt;52,IF('Capacity summary'!AI176&lt;&gt;"",$BI57*AI57,0),AI57*$BI57),AI57*$BI57),0)</f>
        <v>0</v>
      </c>
      <c r="CM57" s="319">
        <f>IF($BI57&lt;&gt;"",IF('Capacity summary'!$D$14="Yes",IF(COUNTBLANK('Capacity summary'!$H176:$BG176)&lt;52,IF('Capacity summary'!AJ176&lt;&gt;"",$BI57*AJ57,0),AJ57*$BI57),AJ57*$BI57),0)</f>
        <v>0</v>
      </c>
      <c r="CN57" s="319">
        <f>IF($BI57&lt;&gt;"",IF('Capacity summary'!$D$14="Yes",IF(COUNTBLANK('Capacity summary'!$H176:$BG176)&lt;52,IF('Capacity summary'!AK176&lt;&gt;"",$BI57*AK57,0),AK57*$BI57),AK57*$BI57),0)</f>
        <v>0</v>
      </c>
      <c r="CO57" s="319">
        <f>IF($BI57&lt;&gt;"",IF('Capacity summary'!$D$14="Yes",IF(COUNTBLANK('Capacity summary'!$H176:$BG176)&lt;52,IF('Capacity summary'!AL176&lt;&gt;"",$BI57*AL57,0),AL57*$BI57),AL57*$BI57),0)</f>
        <v>0</v>
      </c>
      <c r="CP57" s="319">
        <f>IF($BI57&lt;&gt;"",IF('Capacity summary'!$D$14="Yes",IF(COUNTBLANK('Capacity summary'!$H176:$BG176)&lt;52,IF('Capacity summary'!AM176&lt;&gt;"",$BI57*AM57,0),AM57*$BI57),AM57*$BI57),0)</f>
        <v>0</v>
      </c>
      <c r="CQ57" s="319">
        <f>IF($BI57&lt;&gt;"",IF('Capacity summary'!$D$14="Yes",IF(COUNTBLANK('Capacity summary'!$H176:$BG176)&lt;52,IF('Capacity summary'!AN176&lt;&gt;"",$BI57*AN57,0),AN57*$BI57),AN57*$BI57),0)</f>
        <v>0</v>
      </c>
      <c r="CR57" s="319">
        <f>IF($BI57&lt;&gt;"",IF('Capacity summary'!$D$14="Yes",IF(COUNTBLANK('Capacity summary'!$H176:$BG176)&lt;52,IF('Capacity summary'!AO176&lt;&gt;"",$BI57*AO57,0),AO57*$BI57),AO57*$BI57),0)</f>
        <v>0</v>
      </c>
      <c r="CS57" s="319">
        <f>IF($BI57&lt;&gt;"",IF('Capacity summary'!$D$14="Yes",IF(COUNTBLANK('Capacity summary'!$H176:$BG176)&lt;52,IF('Capacity summary'!AP176&lt;&gt;"",$BI57*AP57,0),AP57*$BI57),AP57*$BI57),0)</f>
        <v>0</v>
      </c>
      <c r="CT57" s="319">
        <f>IF($BI57&lt;&gt;"",IF('Capacity summary'!$D$14="Yes",IF(COUNTBLANK('Capacity summary'!$H176:$BG176)&lt;52,IF('Capacity summary'!AQ176&lt;&gt;"",$BI57*AQ57,0),AQ57*$BI57),AQ57*$BI57),0)</f>
        <v>0</v>
      </c>
      <c r="CU57" s="319">
        <f>IF($BI57&lt;&gt;"",IF('Capacity summary'!$D$14="Yes",IF(COUNTBLANK('Capacity summary'!$H176:$BG176)&lt;52,IF('Capacity summary'!AR176&lt;&gt;"",$BI57*AR57,0),AR57*$BI57),AR57*$BI57),0)</f>
        <v>0</v>
      </c>
      <c r="CV57" s="319">
        <f>IF($BI57&lt;&gt;"",IF('Capacity summary'!$D$14="Yes",IF(COUNTBLANK('Capacity summary'!$H176:$BG176)&lt;52,IF('Capacity summary'!AS176&lt;&gt;"",$BI57*AS57,0),AS57*$BI57),AS57*$BI57),0)</f>
        <v>0</v>
      </c>
      <c r="CW57" s="319">
        <f>IF($BI57&lt;&gt;"",IF('Capacity summary'!$D$14="Yes",IF(COUNTBLANK('Capacity summary'!$H176:$BG176)&lt;52,IF('Capacity summary'!AT176&lt;&gt;"",$BI57*AT57,0),AT57*$BI57),AT57*$BI57),0)</f>
        <v>0</v>
      </c>
      <c r="CX57" s="319">
        <f>IF($BI57&lt;&gt;"",IF('Capacity summary'!$D$14="Yes",IF(COUNTBLANK('Capacity summary'!$H176:$BG176)&lt;52,IF('Capacity summary'!AU176&lt;&gt;"",$BI57*AU57,0),AU57*$BI57),AU57*$BI57),0)</f>
        <v>0</v>
      </c>
      <c r="CY57" s="319">
        <f>IF($BI57&lt;&gt;"",IF('Capacity summary'!$D$14="Yes",IF(COUNTBLANK('Capacity summary'!$H176:$BG176)&lt;52,IF('Capacity summary'!AV176&lt;&gt;"",$BI57*AV57,0),AV57*$BI57),AV57*$BI57),0)</f>
        <v>0</v>
      </c>
      <c r="CZ57" s="319">
        <f>IF($BI57&lt;&gt;"",IF('Capacity summary'!$D$14="Yes",IF(COUNTBLANK('Capacity summary'!$H176:$BG176)&lt;52,IF('Capacity summary'!AW176&lt;&gt;"",$BI57*AW57,0),AW57*$BI57),AW57*$BI57),0)</f>
        <v>0</v>
      </c>
      <c r="DA57" s="319">
        <f>IF($BI57&lt;&gt;"",IF('Capacity summary'!$D$14="Yes",IF(COUNTBLANK('Capacity summary'!$H176:$BG176)&lt;52,IF('Capacity summary'!AX176&lt;&gt;"",$BI57*AX57,0),AX57*$BI57),AX57*$BI57),0)</f>
        <v>0</v>
      </c>
      <c r="DB57" s="319">
        <f>IF($BI57&lt;&gt;"",IF('Capacity summary'!$D$14="Yes",IF(COUNTBLANK('Capacity summary'!$H176:$BG176)&lt;52,IF('Capacity summary'!AY176&lt;&gt;"",$BI57*AY57,0),AY57*$BI57),AY57*$BI57),0)</f>
        <v>0</v>
      </c>
      <c r="DC57" s="319">
        <f>IF($BI57&lt;&gt;"",IF('Capacity summary'!$D$14="Yes",IF(COUNTBLANK('Capacity summary'!$H176:$BG176)&lt;52,IF('Capacity summary'!AZ176&lt;&gt;"",$BI57*AZ57,0),AZ57*$BI57),AZ57*$BI57),0)</f>
        <v>0</v>
      </c>
      <c r="DD57" s="319">
        <f>IF($BI57&lt;&gt;"",IF('Capacity summary'!$D$14="Yes",IF(COUNTBLANK('Capacity summary'!$H176:$BG176)&lt;52,IF('Capacity summary'!BA176&lt;&gt;"",$BI57*BA57,0),BA57*$BI57),BA57*$BI57),0)</f>
        <v>0</v>
      </c>
      <c r="DE57" s="319">
        <f>IF($BI57&lt;&gt;"",IF('Capacity summary'!$D$14="Yes",IF(COUNTBLANK('Capacity summary'!$H176:$BG176)&lt;52,IF('Capacity summary'!BB176&lt;&gt;"",$BI57*BB57,0),BB57*$BI57),BB57*$BI57),0)</f>
        <v>0</v>
      </c>
      <c r="DF57" s="319">
        <f>IF($BI57&lt;&gt;"",IF('Capacity summary'!$D$14="Yes",IF(COUNTBLANK('Capacity summary'!$H176:$BG176)&lt;52,IF('Capacity summary'!BC176&lt;&gt;"",$BI57*BC57,0),BC57*$BI57),BC57*$BI57),0)</f>
        <v>0</v>
      </c>
      <c r="DG57" s="319">
        <f>IF($BI57&lt;&gt;"",IF('Capacity summary'!$D$14="Yes",IF(COUNTBLANK('Capacity summary'!$H176:$BG176)&lt;52,IF('Capacity summary'!BD176&lt;&gt;"",$BI57*BD57,0),BD57*$BI57),BD57*$BI57),0)</f>
        <v>0</v>
      </c>
      <c r="DH57" s="319">
        <f>IF($BI57&lt;&gt;"",IF('Capacity summary'!$D$14="Yes",IF(COUNTBLANK('Capacity summary'!$H176:$BG176)&lt;52,IF('Capacity summary'!BE176&lt;&gt;"",$BI57*BE57,0),BE57*$BI57),BE57*$BI57),0)</f>
        <v>0</v>
      </c>
      <c r="DI57" s="319">
        <f>IF($BI57&lt;&gt;"",IF('Capacity summary'!$D$14="Yes",IF(COUNTBLANK('Capacity summary'!$H176:$BG176)&lt;52,IF('Capacity summary'!BF176&lt;&gt;"",$BI57*BF57,0),BF57*$BI57),BF57*$BI57),0)</f>
        <v>0</v>
      </c>
      <c r="DJ57" s="319">
        <f>IF($BI57&lt;&gt;"",IF('Capacity summary'!$D$14="Yes",IF(COUNTBLANK('Capacity summary'!$H176:$BG176)&lt;52,IF('Capacity summary'!BG176&lt;&gt;"",$BI57*BG57,0),BG57*$BI57),BG57*$BI57),0)</f>
        <v>0</v>
      </c>
      <c r="DK57" s="5">
        <f t="shared" si="2"/>
        <v>0</v>
      </c>
      <c r="DL57" s="5" t="str">
        <f>Capacity!H69</f>
        <v/>
      </c>
    </row>
    <row r="58" spans="2:120" x14ac:dyDescent="0.2">
      <c r="B58" s="68"/>
      <c r="C58" s="68" t="str">
        <f>ROW(A54)&amp;". "&amp;Capacity!B70</f>
        <v xml:space="preserve">54. </v>
      </c>
      <c r="D58" s="68">
        <f>'Capacity setup'!C65</f>
        <v>0</v>
      </c>
      <c r="E58" s="68">
        <f>'Capacity setup'!D65</f>
        <v>0</v>
      </c>
      <c r="F58" s="68">
        <f>'Capacity setup'!E65</f>
        <v>0</v>
      </c>
      <c r="H58" s="68">
        <f ca="1">IF(AND(SUMIF(Capacity_Resource,$D58,'Critical resources (hide)'!U$6:U$105)+SUMIF(Capacity_Resource,$E58,'Critical resources (hide)'!U$6:U$105)+SUMIF(Capacity_Resource,$F58,'Critical resources (hide)'!U$6:U$105)&gt;0,$E$1=2),0,1)</f>
        <v>1</v>
      </c>
      <c r="I58" s="68">
        <f ca="1">IF(AND(SUMIF(Capacity_Resource,$D58,'Critical resources (hide)'!V$6:V$105)+SUMIF(Capacity_Resource,$E58,'Critical resources (hide)'!V$6:V$105)+SUMIF(Capacity_Resource,$F58,'Critical resources (hide)'!V$6:V$105)&gt;0,$E$1=2),0,1)</f>
        <v>1</v>
      </c>
      <c r="J58" s="68">
        <f ca="1">IF(AND(SUMIF(Capacity_Resource,$D58,'Critical resources (hide)'!W$6:W$105)+SUMIF(Capacity_Resource,$E58,'Critical resources (hide)'!W$6:W$105)+SUMIF(Capacity_Resource,$F58,'Critical resources (hide)'!W$6:W$105)&gt;0,$E$1=2),0,1)</f>
        <v>1</v>
      </c>
      <c r="K58" s="68">
        <f ca="1">IF(AND(SUMIF(Capacity_Resource,$D58,'Critical resources (hide)'!X$6:X$105)+SUMIF(Capacity_Resource,$E58,'Critical resources (hide)'!X$6:X$105)+SUMIF(Capacity_Resource,$F58,'Critical resources (hide)'!X$6:X$105)&gt;0,$E$1=2),0,1)</f>
        <v>1</v>
      </c>
      <c r="L58" s="68">
        <f ca="1">IF(AND(SUMIF(Capacity_Resource,$D58,'Critical resources (hide)'!Y$6:Y$105)+SUMIF(Capacity_Resource,$E58,'Critical resources (hide)'!Y$6:Y$105)+SUMIF(Capacity_Resource,$F58,'Critical resources (hide)'!Y$6:Y$105)&gt;0,$E$1=2),0,1)</f>
        <v>1</v>
      </c>
      <c r="M58" s="68">
        <f ca="1">IF(AND(SUMIF(Capacity_Resource,$D58,'Critical resources (hide)'!Z$6:Z$105)+SUMIF(Capacity_Resource,$E58,'Critical resources (hide)'!Z$6:Z$105)+SUMIF(Capacity_Resource,$F58,'Critical resources (hide)'!Z$6:Z$105)&gt;0,$E$1=2),0,1)</f>
        <v>1</v>
      </c>
      <c r="N58" s="68">
        <f ca="1">IF(AND(SUMIF(Capacity_Resource,$D58,'Critical resources (hide)'!AA$6:AA$105)+SUMIF(Capacity_Resource,$E58,'Critical resources (hide)'!AA$6:AA$105)+SUMIF(Capacity_Resource,$F58,'Critical resources (hide)'!AA$6:AA$105)&gt;0,$E$1=2),0,1)</f>
        <v>1</v>
      </c>
      <c r="O58" s="68">
        <f ca="1">IF(AND(SUMIF(Capacity_Resource,$D58,'Critical resources (hide)'!AB$6:AB$105)+SUMIF(Capacity_Resource,$E58,'Critical resources (hide)'!AB$6:AB$105)+SUMIF(Capacity_Resource,$F58,'Critical resources (hide)'!AB$6:AB$105)&gt;0,$E$1=2),0,1)</f>
        <v>1</v>
      </c>
      <c r="P58" s="68">
        <f ca="1">IF(AND(SUMIF(Capacity_Resource,$D58,'Critical resources (hide)'!AC$6:AC$105)+SUMIF(Capacity_Resource,$E58,'Critical resources (hide)'!AC$6:AC$105)+SUMIF(Capacity_Resource,$F58,'Critical resources (hide)'!AC$6:AC$105)&gt;0,$E$1=2),0,1)</f>
        <v>1</v>
      </c>
      <c r="Q58" s="68">
        <f ca="1">IF(AND(SUMIF(Capacity_Resource,$D58,'Critical resources (hide)'!AD$6:AD$105)+SUMIF(Capacity_Resource,$E58,'Critical resources (hide)'!AD$6:AD$105)+SUMIF(Capacity_Resource,$F58,'Critical resources (hide)'!AD$6:AD$105)&gt;0,$E$1=2),0,1)</f>
        <v>1</v>
      </c>
      <c r="R58" s="68">
        <f ca="1">IF(AND(SUMIF(Capacity_Resource,$D58,'Critical resources (hide)'!AE$6:AE$105)+SUMIF(Capacity_Resource,$E58,'Critical resources (hide)'!AE$6:AE$105)+SUMIF(Capacity_Resource,$F58,'Critical resources (hide)'!AE$6:AE$105)&gt;0,$E$1=2),0,1)</f>
        <v>1</v>
      </c>
      <c r="S58" s="68">
        <f ca="1">IF(AND(SUMIF(Capacity_Resource,$D58,'Critical resources (hide)'!AF$6:AF$105)+SUMIF(Capacity_Resource,$E58,'Critical resources (hide)'!AF$6:AF$105)+SUMIF(Capacity_Resource,$F58,'Critical resources (hide)'!AF$6:AF$105)&gt;0,$E$1=2),0,1)</f>
        <v>1</v>
      </c>
      <c r="T58" s="68">
        <f ca="1">IF(AND(SUMIF(Capacity_Resource,$D58,'Critical resources (hide)'!AG$6:AG$105)+SUMIF(Capacity_Resource,$E58,'Critical resources (hide)'!AG$6:AG$105)+SUMIF(Capacity_Resource,$F58,'Critical resources (hide)'!AG$6:AG$105)&gt;0,$E$1=2),0,1)</f>
        <v>1</v>
      </c>
      <c r="U58" s="68">
        <f ca="1">IF(AND(SUMIF(Capacity_Resource,$D58,'Critical resources (hide)'!AH$6:AH$105)+SUMIF(Capacity_Resource,$E58,'Critical resources (hide)'!AH$6:AH$105)+SUMIF(Capacity_Resource,$F58,'Critical resources (hide)'!AH$6:AH$105)&gt;0,$E$1=2),0,1)</f>
        <v>1</v>
      </c>
      <c r="V58" s="68">
        <f ca="1">IF(AND(SUMIF(Capacity_Resource,$D58,'Critical resources (hide)'!AI$6:AI$105)+SUMIF(Capacity_Resource,$E58,'Critical resources (hide)'!AI$6:AI$105)+SUMIF(Capacity_Resource,$F58,'Critical resources (hide)'!AI$6:AI$105)&gt;0,$E$1=2),0,1)</f>
        <v>1</v>
      </c>
      <c r="W58" s="68">
        <f ca="1">IF(AND(SUMIF(Capacity_Resource,$D58,'Critical resources (hide)'!AJ$6:AJ$105)+SUMIF(Capacity_Resource,$E58,'Critical resources (hide)'!AJ$6:AJ$105)+SUMIF(Capacity_Resource,$F58,'Critical resources (hide)'!AJ$6:AJ$105)&gt;0,$E$1=2),0,1)</f>
        <v>1</v>
      </c>
      <c r="X58" s="68">
        <f ca="1">IF(AND(SUMIF(Capacity_Resource,$D58,'Critical resources (hide)'!AK$6:AK$105)+SUMIF(Capacity_Resource,$E58,'Critical resources (hide)'!AK$6:AK$105)+SUMIF(Capacity_Resource,$F58,'Critical resources (hide)'!AK$6:AK$105)&gt;0,$E$1=2),0,1)</f>
        <v>1</v>
      </c>
      <c r="Y58" s="68">
        <f ca="1">IF(AND(SUMIF(Capacity_Resource,$D58,'Critical resources (hide)'!AL$6:AL$105)+SUMIF(Capacity_Resource,$E58,'Critical resources (hide)'!AL$6:AL$105)+SUMIF(Capacity_Resource,$F58,'Critical resources (hide)'!AL$6:AL$105)&gt;0,$E$1=2),0,1)</f>
        <v>1</v>
      </c>
      <c r="Z58" s="68">
        <f ca="1">IF(AND(SUMIF(Capacity_Resource,$D58,'Critical resources (hide)'!AM$6:AM$105)+SUMIF(Capacity_Resource,$E58,'Critical resources (hide)'!AM$6:AM$105)+SUMIF(Capacity_Resource,$F58,'Critical resources (hide)'!AM$6:AM$105)&gt;0,$E$1=2),0,1)</f>
        <v>1</v>
      </c>
      <c r="AA58" s="68">
        <f ca="1">IF(AND(SUMIF(Capacity_Resource,$D58,'Critical resources (hide)'!AN$6:AN$105)+SUMIF(Capacity_Resource,$E58,'Critical resources (hide)'!AN$6:AN$105)+SUMIF(Capacity_Resource,$F58,'Critical resources (hide)'!AN$6:AN$105)&gt;0,$E$1=2),0,1)</f>
        <v>1</v>
      </c>
      <c r="AB58" s="68">
        <f ca="1">IF(AND(SUMIF(Capacity_Resource,$D58,'Critical resources (hide)'!AO$6:AO$105)+SUMIF(Capacity_Resource,$E58,'Critical resources (hide)'!AO$6:AO$105)+SUMIF(Capacity_Resource,$F58,'Critical resources (hide)'!AO$6:AO$105)&gt;0,$E$1=2),0,1)</f>
        <v>1</v>
      </c>
      <c r="AC58" s="68">
        <f ca="1">IF(AND(SUMIF(Capacity_Resource,$D58,'Critical resources (hide)'!AP$6:AP$105)+SUMIF(Capacity_Resource,$E58,'Critical resources (hide)'!AP$6:AP$105)+SUMIF(Capacity_Resource,$F58,'Critical resources (hide)'!AP$6:AP$105)&gt;0,$E$1=2),0,1)</f>
        <v>1</v>
      </c>
      <c r="AD58" s="68">
        <f ca="1">IF(AND(SUMIF(Capacity_Resource,$D58,'Critical resources (hide)'!AQ$6:AQ$105)+SUMIF(Capacity_Resource,$E58,'Critical resources (hide)'!AQ$6:AQ$105)+SUMIF(Capacity_Resource,$F58,'Critical resources (hide)'!AQ$6:AQ$105)&gt;0,$E$1=2),0,1)</f>
        <v>1</v>
      </c>
      <c r="AE58" s="68">
        <f ca="1">IF(AND(SUMIF(Capacity_Resource,$D58,'Critical resources (hide)'!AR$6:AR$105)+SUMIF(Capacity_Resource,$E58,'Critical resources (hide)'!AR$6:AR$105)+SUMIF(Capacity_Resource,$F58,'Critical resources (hide)'!AR$6:AR$105)&gt;0,$E$1=2),0,1)</f>
        <v>1</v>
      </c>
      <c r="AF58" s="68">
        <f ca="1">IF(AND(SUMIF(Capacity_Resource,$D58,'Critical resources (hide)'!AS$6:AS$105)+SUMIF(Capacity_Resource,$E58,'Critical resources (hide)'!AS$6:AS$105)+SUMIF(Capacity_Resource,$F58,'Critical resources (hide)'!AS$6:AS$105)&gt;0,$E$1=2),0,1)</f>
        <v>1</v>
      </c>
      <c r="AG58" s="68">
        <f ca="1">IF(AND(SUMIF(Capacity_Resource,$D58,'Critical resources (hide)'!AT$6:AT$105)+SUMIF(Capacity_Resource,$E58,'Critical resources (hide)'!AT$6:AT$105)+SUMIF(Capacity_Resource,$F58,'Critical resources (hide)'!AT$6:AT$105)&gt;0,$E$1=2),0,1)</f>
        <v>1</v>
      </c>
      <c r="AH58" s="68">
        <f ca="1">IF(AND(SUMIF(Capacity_Resource,$D58,'Critical resources (hide)'!AU$6:AU$105)+SUMIF(Capacity_Resource,$E58,'Critical resources (hide)'!AU$6:AU$105)+SUMIF(Capacity_Resource,$F58,'Critical resources (hide)'!AU$6:AU$105)&gt;0,$E$1=2),0,1)</f>
        <v>1</v>
      </c>
      <c r="AI58" s="68">
        <f ca="1">IF(AND(SUMIF(Capacity_Resource,$D58,'Critical resources (hide)'!AV$6:AV$105)+SUMIF(Capacity_Resource,$E58,'Critical resources (hide)'!AV$6:AV$105)+SUMIF(Capacity_Resource,$F58,'Critical resources (hide)'!AV$6:AV$105)&gt;0,$E$1=2),0,1)</f>
        <v>1</v>
      </c>
      <c r="AJ58" s="68">
        <f ca="1">IF(AND(SUMIF(Capacity_Resource,$D58,'Critical resources (hide)'!AW$6:AW$105)+SUMIF(Capacity_Resource,$E58,'Critical resources (hide)'!AW$6:AW$105)+SUMIF(Capacity_Resource,$F58,'Critical resources (hide)'!AW$6:AW$105)&gt;0,$E$1=2),0,1)</f>
        <v>1</v>
      </c>
      <c r="AK58" s="68">
        <f ca="1">IF(AND(SUMIF(Capacity_Resource,$D58,'Critical resources (hide)'!AX$6:AX$105)+SUMIF(Capacity_Resource,$E58,'Critical resources (hide)'!AX$6:AX$105)+SUMIF(Capacity_Resource,$F58,'Critical resources (hide)'!AX$6:AX$105)&gt;0,$E$1=2),0,1)</f>
        <v>1</v>
      </c>
      <c r="AL58" s="68">
        <f ca="1">IF(AND(SUMIF(Capacity_Resource,$D58,'Critical resources (hide)'!AY$6:AY$105)+SUMIF(Capacity_Resource,$E58,'Critical resources (hide)'!AY$6:AY$105)+SUMIF(Capacity_Resource,$F58,'Critical resources (hide)'!AY$6:AY$105)&gt;0,$E$1=2),0,1)</f>
        <v>1</v>
      </c>
      <c r="AM58" s="68">
        <f ca="1">IF(AND(SUMIF(Capacity_Resource,$D58,'Critical resources (hide)'!AZ$6:AZ$105)+SUMIF(Capacity_Resource,$E58,'Critical resources (hide)'!AZ$6:AZ$105)+SUMIF(Capacity_Resource,$F58,'Critical resources (hide)'!AZ$6:AZ$105)&gt;0,$E$1=2),0,1)</f>
        <v>1</v>
      </c>
      <c r="AN58" s="68">
        <f ca="1">IF(AND(SUMIF(Capacity_Resource,$D58,'Critical resources (hide)'!BA$6:BA$105)+SUMIF(Capacity_Resource,$E58,'Critical resources (hide)'!BA$6:BA$105)+SUMIF(Capacity_Resource,$F58,'Critical resources (hide)'!BA$6:BA$105)&gt;0,$E$1=2),0,1)</f>
        <v>1</v>
      </c>
      <c r="AO58" s="68">
        <f ca="1">IF(AND(SUMIF(Capacity_Resource,$D58,'Critical resources (hide)'!BB$6:BB$105)+SUMIF(Capacity_Resource,$E58,'Critical resources (hide)'!BB$6:BB$105)+SUMIF(Capacity_Resource,$F58,'Critical resources (hide)'!BB$6:BB$105)&gt;0,$E$1=2),0,1)</f>
        <v>1</v>
      </c>
      <c r="AP58" s="68">
        <f ca="1">IF(AND(SUMIF(Capacity_Resource,$D58,'Critical resources (hide)'!BC$6:BC$105)+SUMIF(Capacity_Resource,$E58,'Critical resources (hide)'!BC$6:BC$105)+SUMIF(Capacity_Resource,$F58,'Critical resources (hide)'!BC$6:BC$105)&gt;0,$E$1=2),0,1)</f>
        <v>1</v>
      </c>
      <c r="AQ58" s="68">
        <f ca="1">IF(AND(SUMIF(Capacity_Resource,$D58,'Critical resources (hide)'!BD$6:BD$105)+SUMIF(Capacity_Resource,$E58,'Critical resources (hide)'!BD$6:BD$105)+SUMIF(Capacity_Resource,$F58,'Critical resources (hide)'!BD$6:BD$105)&gt;0,$E$1=2),0,1)</f>
        <v>1</v>
      </c>
      <c r="AR58" s="68">
        <f ca="1">IF(AND(SUMIF(Capacity_Resource,$D58,'Critical resources (hide)'!BE$6:BE$105)+SUMIF(Capacity_Resource,$E58,'Critical resources (hide)'!BE$6:BE$105)+SUMIF(Capacity_Resource,$F58,'Critical resources (hide)'!BE$6:BE$105)&gt;0,$E$1=2),0,1)</f>
        <v>1</v>
      </c>
      <c r="AS58" s="68">
        <f ca="1">IF(AND(SUMIF(Capacity_Resource,$D58,'Critical resources (hide)'!BF$6:BF$105)+SUMIF(Capacity_Resource,$E58,'Critical resources (hide)'!BF$6:BF$105)+SUMIF(Capacity_Resource,$F58,'Critical resources (hide)'!BF$6:BF$105)&gt;0,$E$1=2),0,1)</f>
        <v>1</v>
      </c>
      <c r="AT58" s="68">
        <f ca="1">IF(AND(SUMIF(Capacity_Resource,$D58,'Critical resources (hide)'!BG$6:BG$105)+SUMIF(Capacity_Resource,$E58,'Critical resources (hide)'!BG$6:BG$105)+SUMIF(Capacity_Resource,$F58,'Critical resources (hide)'!BG$6:BG$105)&gt;0,$E$1=2),0,1)</f>
        <v>1</v>
      </c>
      <c r="AU58" s="68">
        <f ca="1">IF(AND(SUMIF(Capacity_Resource,$D58,'Critical resources (hide)'!BH$6:BH$105)+SUMIF(Capacity_Resource,$E58,'Critical resources (hide)'!BH$6:BH$105)+SUMIF(Capacity_Resource,$F58,'Critical resources (hide)'!BH$6:BH$105)&gt;0,$E$1=2),0,1)</f>
        <v>1</v>
      </c>
      <c r="AV58" s="68">
        <f ca="1">IF(AND(SUMIF(Capacity_Resource,$D58,'Critical resources (hide)'!BI$6:BI$105)+SUMIF(Capacity_Resource,$E58,'Critical resources (hide)'!BI$6:BI$105)+SUMIF(Capacity_Resource,$F58,'Critical resources (hide)'!BI$6:BI$105)&gt;0,$E$1=2),0,1)</f>
        <v>1</v>
      </c>
      <c r="AW58" s="68">
        <f ca="1">IF(AND(SUMIF(Capacity_Resource,$D58,'Critical resources (hide)'!BJ$6:BJ$105)+SUMIF(Capacity_Resource,$E58,'Critical resources (hide)'!BJ$6:BJ$105)+SUMIF(Capacity_Resource,$F58,'Critical resources (hide)'!BJ$6:BJ$105)&gt;0,$E$1=2),0,1)</f>
        <v>1</v>
      </c>
      <c r="AX58" s="68">
        <f ca="1">IF(AND(SUMIF(Capacity_Resource,$D58,'Critical resources (hide)'!BK$6:BK$105)+SUMIF(Capacity_Resource,$E58,'Critical resources (hide)'!BK$6:BK$105)+SUMIF(Capacity_Resource,$F58,'Critical resources (hide)'!BK$6:BK$105)&gt;0,$E$1=2),0,1)</f>
        <v>1</v>
      </c>
      <c r="AY58" s="68">
        <f ca="1">IF(AND(SUMIF(Capacity_Resource,$D58,'Critical resources (hide)'!BL$6:BL$105)+SUMIF(Capacity_Resource,$E58,'Critical resources (hide)'!BL$6:BL$105)+SUMIF(Capacity_Resource,$F58,'Critical resources (hide)'!BL$6:BL$105)&gt;0,$E$1=2),0,1)</f>
        <v>1</v>
      </c>
      <c r="AZ58" s="68">
        <f ca="1">IF(AND(SUMIF(Capacity_Resource,$D58,'Critical resources (hide)'!BM$6:BM$105)+SUMIF(Capacity_Resource,$E58,'Critical resources (hide)'!BM$6:BM$105)+SUMIF(Capacity_Resource,$F58,'Critical resources (hide)'!BM$6:BM$105)&gt;0,$E$1=2),0,1)</f>
        <v>1</v>
      </c>
      <c r="BA58" s="68">
        <f ca="1">IF(AND(SUMIF(Capacity_Resource,$D58,'Critical resources (hide)'!BN$6:BN$105)+SUMIF(Capacity_Resource,$E58,'Critical resources (hide)'!BN$6:BN$105)+SUMIF(Capacity_Resource,$F58,'Critical resources (hide)'!BN$6:BN$105)&gt;0,$E$1=2),0,1)</f>
        <v>1</v>
      </c>
      <c r="BB58" s="68">
        <f ca="1">IF(AND(SUMIF(Capacity_Resource,$D58,'Critical resources (hide)'!BO$6:BO$105)+SUMIF(Capacity_Resource,$E58,'Critical resources (hide)'!BO$6:BO$105)+SUMIF(Capacity_Resource,$F58,'Critical resources (hide)'!BO$6:BO$105)&gt;0,$E$1=2),0,1)</f>
        <v>1</v>
      </c>
      <c r="BC58" s="68">
        <f ca="1">IF(AND(SUMIF(Capacity_Resource,$D58,'Critical resources (hide)'!BP$6:BP$105)+SUMIF(Capacity_Resource,$E58,'Critical resources (hide)'!BP$6:BP$105)+SUMIF(Capacity_Resource,$F58,'Critical resources (hide)'!BP$6:BP$105)&gt;0,$E$1=2),0,1)</f>
        <v>1</v>
      </c>
      <c r="BD58" s="68">
        <f ca="1">IF(AND(SUMIF(Capacity_Resource,$D58,'Critical resources (hide)'!BQ$6:BQ$105)+SUMIF(Capacity_Resource,$E58,'Critical resources (hide)'!BQ$6:BQ$105)+SUMIF(Capacity_Resource,$F58,'Critical resources (hide)'!BQ$6:BQ$105)&gt;0,$E$1=2),0,1)</f>
        <v>1</v>
      </c>
      <c r="BE58" s="68">
        <f ca="1">IF(AND(SUMIF(Capacity_Resource,$D58,'Critical resources (hide)'!BR$6:BR$105)+SUMIF(Capacity_Resource,$E58,'Critical resources (hide)'!BR$6:BR$105)+SUMIF(Capacity_Resource,$F58,'Critical resources (hide)'!BR$6:BR$105)&gt;0,$E$1=2),0,1)</f>
        <v>1</v>
      </c>
      <c r="BF58" s="68">
        <f ca="1">IF(AND(SUMIF(Capacity_Resource,$D58,'Critical resources (hide)'!BS$6:BS$105)+SUMIF(Capacity_Resource,$E58,'Critical resources (hide)'!BS$6:BS$105)+SUMIF(Capacity_Resource,$F58,'Critical resources (hide)'!BS$6:BS$105)&gt;0,$E$1=2),0,1)</f>
        <v>1</v>
      </c>
      <c r="BG58" s="68">
        <f ca="1">IF(AND(SUMIF(Capacity_Resource,$D58,'Critical resources (hide)'!BT$6:BT$105)+SUMIF(Capacity_Resource,$E58,'Critical resources (hide)'!BT$6:BT$105)+SUMIF(Capacity_Resource,$F58,'Critical resources (hide)'!BT$6:BT$105)&gt;0,$E$1=2),0,1)</f>
        <v>1</v>
      </c>
      <c r="BH58" s="68">
        <f>IF(ROW(C54)&lt;=Capacity!$A$16,IF('Capacity summary'!$D$14="No",SUM(H58:BG58),'Capacity summary'!$E177),0)</f>
        <v>0</v>
      </c>
      <c r="BI58" s="5" t="str">
        <f>IF(BH58&gt;0,IF(BH58&lt;Capacity!E70,Capacity!F70,Capacity!H70/'Capacity calculation (hide)'!BH58),"")</f>
        <v/>
      </c>
      <c r="BK58" s="319">
        <f>IF($BI58&lt;&gt;"",IF('Capacity summary'!$D$14="Yes",IF(COUNTBLANK('Capacity summary'!$H177:$BG177)&lt;52,IF('Capacity summary'!H177&lt;&gt;"",$BI58*H58,0),H58*$BI58),H58*$BI58),0)</f>
        <v>0</v>
      </c>
      <c r="BL58" s="319">
        <f>IF($BI58&lt;&gt;"",IF('Capacity summary'!$D$14="Yes",IF(COUNTBLANK('Capacity summary'!$H177:$BG177)&lt;52,IF('Capacity summary'!I177&lt;&gt;"",$BI58*I58,0),I58*$BI58),I58*$BI58),0)</f>
        <v>0</v>
      </c>
      <c r="BM58" s="319">
        <f>IF($BI58&lt;&gt;"",IF('Capacity summary'!$D$14="Yes",IF(COUNTBLANK('Capacity summary'!$H177:$BG177)&lt;52,IF('Capacity summary'!J177&lt;&gt;"",$BI58*J58,0),J58*$BI58),J58*$BI58),0)</f>
        <v>0</v>
      </c>
      <c r="BN58" s="319">
        <f>IF($BI58&lt;&gt;"",IF('Capacity summary'!$D$14="Yes",IF(COUNTBLANK('Capacity summary'!$H177:$BG177)&lt;52,IF('Capacity summary'!K177&lt;&gt;"",$BI58*K58,0),K58*$BI58),K58*$BI58),0)</f>
        <v>0</v>
      </c>
      <c r="BO58" s="319">
        <f>IF($BI58&lt;&gt;"",IF('Capacity summary'!$D$14="Yes",IF(COUNTBLANK('Capacity summary'!$H177:$BG177)&lt;52,IF('Capacity summary'!L177&lt;&gt;"",$BI58*L58,0),L58*$BI58),L58*$BI58),0)</f>
        <v>0</v>
      </c>
      <c r="BP58" s="319">
        <f>IF($BI58&lt;&gt;"",IF('Capacity summary'!$D$14="Yes",IF(COUNTBLANK('Capacity summary'!$H177:$BG177)&lt;52,IF('Capacity summary'!M177&lt;&gt;"",$BI58*M58,0),M58*$BI58),M58*$BI58),0)</f>
        <v>0</v>
      </c>
      <c r="BQ58" s="319">
        <f>IF($BI58&lt;&gt;"",IF('Capacity summary'!$D$14="Yes",IF(COUNTBLANK('Capacity summary'!$H177:$BG177)&lt;52,IF('Capacity summary'!N177&lt;&gt;"",$BI58*N58,0),N58*$BI58),N58*$BI58),0)</f>
        <v>0</v>
      </c>
      <c r="BR58" s="319">
        <f>IF($BI58&lt;&gt;"",IF('Capacity summary'!$D$14="Yes",IF(COUNTBLANK('Capacity summary'!$H177:$BG177)&lt;52,IF('Capacity summary'!O177&lt;&gt;"",$BI58*O58,0),O58*$BI58),O58*$BI58),0)</f>
        <v>0</v>
      </c>
      <c r="BS58" s="319">
        <f>IF($BI58&lt;&gt;"",IF('Capacity summary'!$D$14="Yes",IF(COUNTBLANK('Capacity summary'!$H177:$BG177)&lt;52,IF('Capacity summary'!P177&lt;&gt;"",$BI58*P58,0),P58*$BI58),P58*$BI58),0)</f>
        <v>0</v>
      </c>
      <c r="BT58" s="319">
        <f>IF($BI58&lt;&gt;"",IF('Capacity summary'!$D$14="Yes",IF(COUNTBLANK('Capacity summary'!$H177:$BG177)&lt;52,IF('Capacity summary'!Q177&lt;&gt;"",$BI58*Q58,0),Q58*$BI58),Q58*$BI58),0)</f>
        <v>0</v>
      </c>
      <c r="BU58" s="319">
        <f>IF($BI58&lt;&gt;"",IF('Capacity summary'!$D$14="Yes",IF(COUNTBLANK('Capacity summary'!$H177:$BG177)&lt;52,IF('Capacity summary'!R177&lt;&gt;"",$BI58*R58,0),R58*$BI58),R58*$BI58),0)</f>
        <v>0</v>
      </c>
      <c r="BV58" s="319">
        <f>IF($BI58&lt;&gt;"",IF('Capacity summary'!$D$14="Yes",IF(COUNTBLANK('Capacity summary'!$H177:$BG177)&lt;52,IF('Capacity summary'!S177&lt;&gt;"",$BI58*S58,0),S58*$BI58),S58*$BI58),0)</f>
        <v>0</v>
      </c>
      <c r="BW58" s="319">
        <f>IF($BI58&lt;&gt;"",IF('Capacity summary'!$D$14="Yes",IF(COUNTBLANK('Capacity summary'!$H177:$BG177)&lt;52,IF('Capacity summary'!T177&lt;&gt;"",$BI58*T58,0),T58*$BI58),T58*$BI58),0)</f>
        <v>0</v>
      </c>
      <c r="BX58" s="319">
        <f>IF($BI58&lt;&gt;"",IF('Capacity summary'!$D$14="Yes",IF(COUNTBLANK('Capacity summary'!$H177:$BG177)&lt;52,IF('Capacity summary'!U177&lt;&gt;"",$BI58*U58,0),U58*$BI58),U58*$BI58),0)</f>
        <v>0</v>
      </c>
      <c r="BY58" s="319">
        <f>IF($BI58&lt;&gt;"",IF('Capacity summary'!$D$14="Yes",IF(COUNTBLANK('Capacity summary'!$H177:$BG177)&lt;52,IF('Capacity summary'!V177&lt;&gt;"",$BI58*V58,0),V58*$BI58),V58*$BI58),0)</f>
        <v>0</v>
      </c>
      <c r="BZ58" s="319">
        <f>IF($BI58&lt;&gt;"",IF('Capacity summary'!$D$14="Yes",IF(COUNTBLANK('Capacity summary'!$H177:$BG177)&lt;52,IF('Capacity summary'!W177&lt;&gt;"",$BI58*W58,0),W58*$BI58),W58*$BI58),0)</f>
        <v>0</v>
      </c>
      <c r="CA58" s="319">
        <f>IF($BI58&lt;&gt;"",IF('Capacity summary'!$D$14="Yes",IF(COUNTBLANK('Capacity summary'!$H177:$BG177)&lt;52,IF('Capacity summary'!X177&lt;&gt;"",$BI58*X58,0),X58*$BI58),X58*$BI58),0)</f>
        <v>0</v>
      </c>
      <c r="CB58" s="319">
        <f>IF($BI58&lt;&gt;"",IF('Capacity summary'!$D$14="Yes",IF(COUNTBLANK('Capacity summary'!$H177:$BG177)&lt;52,IF('Capacity summary'!Y177&lt;&gt;"",$BI58*Y58,0),Y58*$BI58),Y58*$BI58),0)</f>
        <v>0</v>
      </c>
      <c r="CC58" s="319">
        <f>IF($BI58&lt;&gt;"",IF('Capacity summary'!$D$14="Yes",IF(COUNTBLANK('Capacity summary'!$H177:$BG177)&lt;52,IF('Capacity summary'!Z177&lt;&gt;"",$BI58*Z58,0),Z58*$BI58),Z58*$BI58),0)</f>
        <v>0</v>
      </c>
      <c r="CD58" s="319">
        <f>IF($BI58&lt;&gt;"",IF('Capacity summary'!$D$14="Yes",IF(COUNTBLANK('Capacity summary'!$H177:$BG177)&lt;52,IF('Capacity summary'!AA177&lt;&gt;"",$BI58*AA58,0),AA58*$BI58),AA58*$BI58),0)</f>
        <v>0</v>
      </c>
      <c r="CE58" s="319">
        <f>IF($BI58&lt;&gt;"",IF('Capacity summary'!$D$14="Yes",IF(COUNTBLANK('Capacity summary'!$H177:$BG177)&lt;52,IF('Capacity summary'!AB177&lt;&gt;"",$BI58*AB58,0),AB58*$BI58),AB58*$BI58),0)</f>
        <v>0</v>
      </c>
      <c r="CF58" s="319">
        <f>IF($BI58&lt;&gt;"",IF('Capacity summary'!$D$14="Yes",IF(COUNTBLANK('Capacity summary'!$H177:$BG177)&lt;52,IF('Capacity summary'!AC177&lt;&gt;"",$BI58*AC58,0),AC58*$BI58),AC58*$BI58),0)</f>
        <v>0</v>
      </c>
      <c r="CG58" s="319">
        <f>IF($BI58&lt;&gt;"",IF('Capacity summary'!$D$14="Yes",IF(COUNTBLANK('Capacity summary'!$H177:$BG177)&lt;52,IF('Capacity summary'!AD177&lt;&gt;"",$BI58*AD58,0),AD58*$BI58),AD58*$BI58),0)</f>
        <v>0</v>
      </c>
      <c r="CH58" s="319">
        <f>IF($BI58&lt;&gt;"",IF('Capacity summary'!$D$14="Yes",IF(COUNTBLANK('Capacity summary'!$H177:$BG177)&lt;52,IF('Capacity summary'!AE177&lt;&gt;"",$BI58*AE58,0),AE58*$BI58),AE58*$BI58),0)</f>
        <v>0</v>
      </c>
      <c r="CI58" s="319">
        <f>IF($BI58&lt;&gt;"",IF('Capacity summary'!$D$14="Yes",IF(COUNTBLANK('Capacity summary'!$H177:$BG177)&lt;52,IF('Capacity summary'!AF177&lt;&gt;"",$BI58*AF58,0),AF58*$BI58),AF58*$BI58),0)</f>
        <v>0</v>
      </c>
      <c r="CJ58" s="319">
        <f>IF($BI58&lt;&gt;"",IF('Capacity summary'!$D$14="Yes",IF(COUNTBLANK('Capacity summary'!$H177:$BG177)&lt;52,IF('Capacity summary'!AG177&lt;&gt;"",$BI58*AG58,0),AG58*$BI58),AG58*$BI58),0)</f>
        <v>0</v>
      </c>
      <c r="CK58" s="319">
        <f>IF($BI58&lt;&gt;"",IF('Capacity summary'!$D$14="Yes",IF(COUNTBLANK('Capacity summary'!$H177:$BG177)&lt;52,IF('Capacity summary'!AH177&lt;&gt;"",$BI58*AH58,0),AH58*$BI58),AH58*$BI58),0)</f>
        <v>0</v>
      </c>
      <c r="CL58" s="319">
        <f>IF($BI58&lt;&gt;"",IF('Capacity summary'!$D$14="Yes",IF(COUNTBLANK('Capacity summary'!$H177:$BG177)&lt;52,IF('Capacity summary'!AI177&lt;&gt;"",$BI58*AI58,0),AI58*$BI58),AI58*$BI58),0)</f>
        <v>0</v>
      </c>
      <c r="CM58" s="319">
        <f>IF($BI58&lt;&gt;"",IF('Capacity summary'!$D$14="Yes",IF(COUNTBLANK('Capacity summary'!$H177:$BG177)&lt;52,IF('Capacity summary'!AJ177&lt;&gt;"",$BI58*AJ58,0),AJ58*$BI58),AJ58*$BI58),0)</f>
        <v>0</v>
      </c>
      <c r="CN58" s="319">
        <f>IF($BI58&lt;&gt;"",IF('Capacity summary'!$D$14="Yes",IF(COUNTBLANK('Capacity summary'!$H177:$BG177)&lt;52,IF('Capacity summary'!AK177&lt;&gt;"",$BI58*AK58,0),AK58*$BI58),AK58*$BI58),0)</f>
        <v>0</v>
      </c>
      <c r="CO58" s="319">
        <f>IF($BI58&lt;&gt;"",IF('Capacity summary'!$D$14="Yes",IF(COUNTBLANK('Capacity summary'!$H177:$BG177)&lt;52,IF('Capacity summary'!AL177&lt;&gt;"",$BI58*AL58,0),AL58*$BI58),AL58*$BI58),0)</f>
        <v>0</v>
      </c>
      <c r="CP58" s="319">
        <f>IF($BI58&lt;&gt;"",IF('Capacity summary'!$D$14="Yes",IF(COUNTBLANK('Capacity summary'!$H177:$BG177)&lt;52,IF('Capacity summary'!AM177&lt;&gt;"",$BI58*AM58,0),AM58*$BI58),AM58*$BI58),0)</f>
        <v>0</v>
      </c>
      <c r="CQ58" s="319">
        <f>IF($BI58&lt;&gt;"",IF('Capacity summary'!$D$14="Yes",IF(COUNTBLANK('Capacity summary'!$H177:$BG177)&lt;52,IF('Capacity summary'!AN177&lt;&gt;"",$BI58*AN58,0),AN58*$BI58),AN58*$BI58),0)</f>
        <v>0</v>
      </c>
      <c r="CR58" s="319">
        <f>IF($BI58&lt;&gt;"",IF('Capacity summary'!$D$14="Yes",IF(COUNTBLANK('Capacity summary'!$H177:$BG177)&lt;52,IF('Capacity summary'!AO177&lt;&gt;"",$BI58*AO58,0),AO58*$BI58),AO58*$BI58),0)</f>
        <v>0</v>
      </c>
      <c r="CS58" s="319">
        <f>IF($BI58&lt;&gt;"",IF('Capacity summary'!$D$14="Yes",IF(COUNTBLANK('Capacity summary'!$H177:$BG177)&lt;52,IF('Capacity summary'!AP177&lt;&gt;"",$BI58*AP58,0),AP58*$BI58),AP58*$BI58),0)</f>
        <v>0</v>
      </c>
      <c r="CT58" s="319">
        <f>IF($BI58&lt;&gt;"",IF('Capacity summary'!$D$14="Yes",IF(COUNTBLANK('Capacity summary'!$H177:$BG177)&lt;52,IF('Capacity summary'!AQ177&lt;&gt;"",$BI58*AQ58,0),AQ58*$BI58),AQ58*$BI58),0)</f>
        <v>0</v>
      </c>
      <c r="CU58" s="319">
        <f>IF($BI58&lt;&gt;"",IF('Capacity summary'!$D$14="Yes",IF(COUNTBLANK('Capacity summary'!$H177:$BG177)&lt;52,IF('Capacity summary'!AR177&lt;&gt;"",$BI58*AR58,0),AR58*$BI58),AR58*$BI58),0)</f>
        <v>0</v>
      </c>
      <c r="CV58" s="319">
        <f>IF($BI58&lt;&gt;"",IF('Capacity summary'!$D$14="Yes",IF(COUNTBLANK('Capacity summary'!$H177:$BG177)&lt;52,IF('Capacity summary'!AS177&lt;&gt;"",$BI58*AS58,0),AS58*$BI58),AS58*$BI58),0)</f>
        <v>0</v>
      </c>
      <c r="CW58" s="319">
        <f>IF($BI58&lt;&gt;"",IF('Capacity summary'!$D$14="Yes",IF(COUNTBLANK('Capacity summary'!$H177:$BG177)&lt;52,IF('Capacity summary'!AT177&lt;&gt;"",$BI58*AT58,0),AT58*$BI58),AT58*$BI58),0)</f>
        <v>0</v>
      </c>
      <c r="CX58" s="319">
        <f>IF($BI58&lt;&gt;"",IF('Capacity summary'!$D$14="Yes",IF(COUNTBLANK('Capacity summary'!$H177:$BG177)&lt;52,IF('Capacity summary'!AU177&lt;&gt;"",$BI58*AU58,0),AU58*$BI58),AU58*$BI58),0)</f>
        <v>0</v>
      </c>
      <c r="CY58" s="319">
        <f>IF($BI58&lt;&gt;"",IF('Capacity summary'!$D$14="Yes",IF(COUNTBLANK('Capacity summary'!$H177:$BG177)&lt;52,IF('Capacity summary'!AV177&lt;&gt;"",$BI58*AV58,0),AV58*$BI58),AV58*$BI58),0)</f>
        <v>0</v>
      </c>
      <c r="CZ58" s="319">
        <f>IF($BI58&lt;&gt;"",IF('Capacity summary'!$D$14="Yes",IF(COUNTBLANK('Capacity summary'!$H177:$BG177)&lt;52,IF('Capacity summary'!AW177&lt;&gt;"",$BI58*AW58,0),AW58*$BI58),AW58*$BI58),0)</f>
        <v>0</v>
      </c>
      <c r="DA58" s="319">
        <f>IF($BI58&lt;&gt;"",IF('Capacity summary'!$D$14="Yes",IF(COUNTBLANK('Capacity summary'!$H177:$BG177)&lt;52,IF('Capacity summary'!AX177&lt;&gt;"",$BI58*AX58,0),AX58*$BI58),AX58*$BI58),0)</f>
        <v>0</v>
      </c>
      <c r="DB58" s="319">
        <f>IF($BI58&lt;&gt;"",IF('Capacity summary'!$D$14="Yes",IF(COUNTBLANK('Capacity summary'!$H177:$BG177)&lt;52,IF('Capacity summary'!AY177&lt;&gt;"",$BI58*AY58,0),AY58*$BI58),AY58*$BI58),0)</f>
        <v>0</v>
      </c>
      <c r="DC58" s="319">
        <f>IF($BI58&lt;&gt;"",IF('Capacity summary'!$D$14="Yes",IF(COUNTBLANK('Capacity summary'!$H177:$BG177)&lt;52,IF('Capacity summary'!AZ177&lt;&gt;"",$BI58*AZ58,0),AZ58*$BI58),AZ58*$BI58),0)</f>
        <v>0</v>
      </c>
      <c r="DD58" s="319">
        <f>IF($BI58&lt;&gt;"",IF('Capacity summary'!$D$14="Yes",IF(COUNTBLANK('Capacity summary'!$H177:$BG177)&lt;52,IF('Capacity summary'!BA177&lt;&gt;"",$BI58*BA58,0),BA58*$BI58),BA58*$BI58),0)</f>
        <v>0</v>
      </c>
      <c r="DE58" s="319">
        <f>IF($BI58&lt;&gt;"",IF('Capacity summary'!$D$14="Yes",IF(COUNTBLANK('Capacity summary'!$H177:$BG177)&lt;52,IF('Capacity summary'!BB177&lt;&gt;"",$BI58*BB58,0),BB58*$BI58),BB58*$BI58),0)</f>
        <v>0</v>
      </c>
      <c r="DF58" s="319">
        <f>IF($BI58&lt;&gt;"",IF('Capacity summary'!$D$14="Yes",IF(COUNTBLANK('Capacity summary'!$H177:$BG177)&lt;52,IF('Capacity summary'!BC177&lt;&gt;"",$BI58*BC58,0),BC58*$BI58),BC58*$BI58),0)</f>
        <v>0</v>
      </c>
      <c r="DG58" s="319">
        <f>IF($BI58&lt;&gt;"",IF('Capacity summary'!$D$14="Yes",IF(COUNTBLANK('Capacity summary'!$H177:$BG177)&lt;52,IF('Capacity summary'!BD177&lt;&gt;"",$BI58*BD58,0),BD58*$BI58),BD58*$BI58),0)</f>
        <v>0</v>
      </c>
      <c r="DH58" s="319">
        <f>IF($BI58&lt;&gt;"",IF('Capacity summary'!$D$14="Yes",IF(COUNTBLANK('Capacity summary'!$H177:$BG177)&lt;52,IF('Capacity summary'!BE177&lt;&gt;"",$BI58*BE58,0),BE58*$BI58),BE58*$BI58),0)</f>
        <v>0</v>
      </c>
      <c r="DI58" s="319">
        <f>IF($BI58&lt;&gt;"",IF('Capacity summary'!$D$14="Yes",IF(COUNTBLANK('Capacity summary'!$H177:$BG177)&lt;52,IF('Capacity summary'!BF177&lt;&gt;"",$BI58*BF58,0),BF58*$BI58),BF58*$BI58),0)</f>
        <v>0</v>
      </c>
      <c r="DJ58" s="319">
        <f>IF($BI58&lt;&gt;"",IF('Capacity summary'!$D$14="Yes",IF(COUNTBLANK('Capacity summary'!$H177:$BG177)&lt;52,IF('Capacity summary'!BG177&lt;&gt;"",$BI58*BG58,0),BG58*$BI58),BG58*$BI58),0)</f>
        <v>0</v>
      </c>
      <c r="DK58" s="5">
        <f t="shared" si="2"/>
        <v>0</v>
      </c>
      <c r="DL58" s="5" t="str">
        <f>Capacity!H70</f>
        <v/>
      </c>
    </row>
    <row r="59" spans="2:120" x14ac:dyDescent="0.2">
      <c r="B59" s="68"/>
      <c r="C59" s="68" t="str">
        <f>ROW(A55)&amp;". "&amp;Capacity!B71</f>
        <v xml:space="preserve">55. </v>
      </c>
      <c r="D59" s="68">
        <f>'Capacity setup'!C66</f>
        <v>0</v>
      </c>
      <c r="E59" s="68">
        <f>'Capacity setup'!D66</f>
        <v>0</v>
      </c>
      <c r="F59" s="68">
        <f>'Capacity setup'!E66</f>
        <v>0</v>
      </c>
      <c r="H59" s="68">
        <f ca="1">IF(AND(SUMIF(Capacity_Resource,$D59,'Critical resources (hide)'!U$6:U$105)+SUMIF(Capacity_Resource,$E59,'Critical resources (hide)'!U$6:U$105)+SUMIF(Capacity_Resource,$F59,'Critical resources (hide)'!U$6:U$105)&gt;0,$E$1=2),0,1)</f>
        <v>1</v>
      </c>
      <c r="I59" s="68">
        <f ca="1">IF(AND(SUMIF(Capacity_Resource,$D59,'Critical resources (hide)'!V$6:V$105)+SUMIF(Capacity_Resource,$E59,'Critical resources (hide)'!V$6:V$105)+SUMIF(Capacity_Resource,$F59,'Critical resources (hide)'!V$6:V$105)&gt;0,$E$1=2),0,1)</f>
        <v>1</v>
      </c>
      <c r="J59" s="68">
        <f ca="1">IF(AND(SUMIF(Capacity_Resource,$D59,'Critical resources (hide)'!W$6:W$105)+SUMIF(Capacity_Resource,$E59,'Critical resources (hide)'!W$6:W$105)+SUMIF(Capacity_Resource,$F59,'Critical resources (hide)'!W$6:W$105)&gt;0,$E$1=2),0,1)</f>
        <v>1</v>
      </c>
      <c r="K59" s="68">
        <f ca="1">IF(AND(SUMIF(Capacity_Resource,$D59,'Critical resources (hide)'!X$6:X$105)+SUMIF(Capacity_Resource,$E59,'Critical resources (hide)'!X$6:X$105)+SUMIF(Capacity_Resource,$F59,'Critical resources (hide)'!X$6:X$105)&gt;0,$E$1=2),0,1)</f>
        <v>1</v>
      </c>
      <c r="L59" s="68">
        <f ca="1">IF(AND(SUMIF(Capacity_Resource,$D59,'Critical resources (hide)'!Y$6:Y$105)+SUMIF(Capacity_Resource,$E59,'Critical resources (hide)'!Y$6:Y$105)+SUMIF(Capacity_Resource,$F59,'Critical resources (hide)'!Y$6:Y$105)&gt;0,$E$1=2),0,1)</f>
        <v>1</v>
      </c>
      <c r="M59" s="68">
        <f ca="1">IF(AND(SUMIF(Capacity_Resource,$D59,'Critical resources (hide)'!Z$6:Z$105)+SUMIF(Capacity_Resource,$E59,'Critical resources (hide)'!Z$6:Z$105)+SUMIF(Capacity_Resource,$F59,'Critical resources (hide)'!Z$6:Z$105)&gt;0,$E$1=2),0,1)</f>
        <v>1</v>
      </c>
      <c r="N59" s="68">
        <f ca="1">IF(AND(SUMIF(Capacity_Resource,$D59,'Critical resources (hide)'!AA$6:AA$105)+SUMIF(Capacity_Resource,$E59,'Critical resources (hide)'!AA$6:AA$105)+SUMIF(Capacity_Resource,$F59,'Critical resources (hide)'!AA$6:AA$105)&gt;0,$E$1=2),0,1)</f>
        <v>1</v>
      </c>
      <c r="O59" s="68">
        <f ca="1">IF(AND(SUMIF(Capacity_Resource,$D59,'Critical resources (hide)'!AB$6:AB$105)+SUMIF(Capacity_Resource,$E59,'Critical resources (hide)'!AB$6:AB$105)+SUMIF(Capacity_Resource,$F59,'Critical resources (hide)'!AB$6:AB$105)&gt;0,$E$1=2),0,1)</f>
        <v>1</v>
      </c>
      <c r="P59" s="68">
        <f ca="1">IF(AND(SUMIF(Capacity_Resource,$D59,'Critical resources (hide)'!AC$6:AC$105)+SUMIF(Capacity_Resource,$E59,'Critical resources (hide)'!AC$6:AC$105)+SUMIF(Capacity_Resource,$F59,'Critical resources (hide)'!AC$6:AC$105)&gt;0,$E$1=2),0,1)</f>
        <v>1</v>
      </c>
      <c r="Q59" s="68">
        <f ca="1">IF(AND(SUMIF(Capacity_Resource,$D59,'Critical resources (hide)'!AD$6:AD$105)+SUMIF(Capacity_Resource,$E59,'Critical resources (hide)'!AD$6:AD$105)+SUMIF(Capacity_Resource,$F59,'Critical resources (hide)'!AD$6:AD$105)&gt;0,$E$1=2),0,1)</f>
        <v>1</v>
      </c>
      <c r="R59" s="68">
        <f ca="1">IF(AND(SUMIF(Capacity_Resource,$D59,'Critical resources (hide)'!AE$6:AE$105)+SUMIF(Capacity_Resource,$E59,'Critical resources (hide)'!AE$6:AE$105)+SUMIF(Capacity_Resource,$F59,'Critical resources (hide)'!AE$6:AE$105)&gt;0,$E$1=2),0,1)</f>
        <v>1</v>
      </c>
      <c r="S59" s="68">
        <f ca="1">IF(AND(SUMIF(Capacity_Resource,$D59,'Critical resources (hide)'!AF$6:AF$105)+SUMIF(Capacity_Resource,$E59,'Critical resources (hide)'!AF$6:AF$105)+SUMIF(Capacity_Resource,$F59,'Critical resources (hide)'!AF$6:AF$105)&gt;0,$E$1=2),0,1)</f>
        <v>1</v>
      </c>
      <c r="T59" s="68">
        <f ca="1">IF(AND(SUMIF(Capacity_Resource,$D59,'Critical resources (hide)'!AG$6:AG$105)+SUMIF(Capacity_Resource,$E59,'Critical resources (hide)'!AG$6:AG$105)+SUMIF(Capacity_Resource,$F59,'Critical resources (hide)'!AG$6:AG$105)&gt;0,$E$1=2),0,1)</f>
        <v>1</v>
      </c>
      <c r="U59" s="68">
        <f ca="1">IF(AND(SUMIF(Capacity_Resource,$D59,'Critical resources (hide)'!AH$6:AH$105)+SUMIF(Capacity_Resource,$E59,'Critical resources (hide)'!AH$6:AH$105)+SUMIF(Capacity_Resource,$F59,'Critical resources (hide)'!AH$6:AH$105)&gt;0,$E$1=2),0,1)</f>
        <v>1</v>
      </c>
      <c r="V59" s="68">
        <f ca="1">IF(AND(SUMIF(Capacity_Resource,$D59,'Critical resources (hide)'!AI$6:AI$105)+SUMIF(Capacity_Resource,$E59,'Critical resources (hide)'!AI$6:AI$105)+SUMIF(Capacity_Resource,$F59,'Critical resources (hide)'!AI$6:AI$105)&gt;0,$E$1=2),0,1)</f>
        <v>1</v>
      </c>
      <c r="W59" s="68">
        <f ca="1">IF(AND(SUMIF(Capacity_Resource,$D59,'Critical resources (hide)'!AJ$6:AJ$105)+SUMIF(Capacity_Resource,$E59,'Critical resources (hide)'!AJ$6:AJ$105)+SUMIF(Capacity_Resource,$F59,'Critical resources (hide)'!AJ$6:AJ$105)&gt;0,$E$1=2),0,1)</f>
        <v>1</v>
      </c>
      <c r="X59" s="68">
        <f ca="1">IF(AND(SUMIF(Capacity_Resource,$D59,'Critical resources (hide)'!AK$6:AK$105)+SUMIF(Capacity_Resource,$E59,'Critical resources (hide)'!AK$6:AK$105)+SUMIF(Capacity_Resource,$F59,'Critical resources (hide)'!AK$6:AK$105)&gt;0,$E$1=2),0,1)</f>
        <v>1</v>
      </c>
      <c r="Y59" s="68">
        <f ca="1">IF(AND(SUMIF(Capacity_Resource,$D59,'Critical resources (hide)'!AL$6:AL$105)+SUMIF(Capacity_Resource,$E59,'Critical resources (hide)'!AL$6:AL$105)+SUMIF(Capacity_Resource,$F59,'Critical resources (hide)'!AL$6:AL$105)&gt;0,$E$1=2),0,1)</f>
        <v>1</v>
      </c>
      <c r="Z59" s="68">
        <f ca="1">IF(AND(SUMIF(Capacity_Resource,$D59,'Critical resources (hide)'!AM$6:AM$105)+SUMIF(Capacity_Resource,$E59,'Critical resources (hide)'!AM$6:AM$105)+SUMIF(Capacity_Resource,$F59,'Critical resources (hide)'!AM$6:AM$105)&gt;0,$E$1=2),0,1)</f>
        <v>1</v>
      </c>
      <c r="AA59" s="68">
        <f ca="1">IF(AND(SUMIF(Capacity_Resource,$D59,'Critical resources (hide)'!AN$6:AN$105)+SUMIF(Capacity_Resource,$E59,'Critical resources (hide)'!AN$6:AN$105)+SUMIF(Capacity_Resource,$F59,'Critical resources (hide)'!AN$6:AN$105)&gt;0,$E$1=2),0,1)</f>
        <v>1</v>
      </c>
      <c r="AB59" s="68">
        <f ca="1">IF(AND(SUMIF(Capacity_Resource,$D59,'Critical resources (hide)'!AO$6:AO$105)+SUMIF(Capacity_Resource,$E59,'Critical resources (hide)'!AO$6:AO$105)+SUMIF(Capacity_Resource,$F59,'Critical resources (hide)'!AO$6:AO$105)&gt;0,$E$1=2),0,1)</f>
        <v>1</v>
      </c>
      <c r="AC59" s="68">
        <f ca="1">IF(AND(SUMIF(Capacity_Resource,$D59,'Critical resources (hide)'!AP$6:AP$105)+SUMIF(Capacity_Resource,$E59,'Critical resources (hide)'!AP$6:AP$105)+SUMIF(Capacity_Resource,$F59,'Critical resources (hide)'!AP$6:AP$105)&gt;0,$E$1=2),0,1)</f>
        <v>1</v>
      </c>
      <c r="AD59" s="68">
        <f ca="1">IF(AND(SUMIF(Capacity_Resource,$D59,'Critical resources (hide)'!AQ$6:AQ$105)+SUMIF(Capacity_Resource,$E59,'Critical resources (hide)'!AQ$6:AQ$105)+SUMIF(Capacity_Resource,$F59,'Critical resources (hide)'!AQ$6:AQ$105)&gt;0,$E$1=2),0,1)</f>
        <v>1</v>
      </c>
      <c r="AE59" s="68">
        <f ca="1">IF(AND(SUMIF(Capacity_Resource,$D59,'Critical resources (hide)'!AR$6:AR$105)+SUMIF(Capacity_Resource,$E59,'Critical resources (hide)'!AR$6:AR$105)+SUMIF(Capacity_Resource,$F59,'Critical resources (hide)'!AR$6:AR$105)&gt;0,$E$1=2),0,1)</f>
        <v>1</v>
      </c>
      <c r="AF59" s="68">
        <f ca="1">IF(AND(SUMIF(Capacity_Resource,$D59,'Critical resources (hide)'!AS$6:AS$105)+SUMIF(Capacity_Resource,$E59,'Critical resources (hide)'!AS$6:AS$105)+SUMIF(Capacity_Resource,$F59,'Critical resources (hide)'!AS$6:AS$105)&gt;0,$E$1=2),0,1)</f>
        <v>1</v>
      </c>
      <c r="AG59" s="68">
        <f ca="1">IF(AND(SUMIF(Capacity_Resource,$D59,'Critical resources (hide)'!AT$6:AT$105)+SUMIF(Capacity_Resource,$E59,'Critical resources (hide)'!AT$6:AT$105)+SUMIF(Capacity_Resource,$F59,'Critical resources (hide)'!AT$6:AT$105)&gt;0,$E$1=2),0,1)</f>
        <v>1</v>
      </c>
      <c r="AH59" s="68">
        <f ca="1">IF(AND(SUMIF(Capacity_Resource,$D59,'Critical resources (hide)'!AU$6:AU$105)+SUMIF(Capacity_Resource,$E59,'Critical resources (hide)'!AU$6:AU$105)+SUMIF(Capacity_Resource,$F59,'Critical resources (hide)'!AU$6:AU$105)&gt;0,$E$1=2),0,1)</f>
        <v>1</v>
      </c>
      <c r="AI59" s="68">
        <f ca="1">IF(AND(SUMIF(Capacity_Resource,$D59,'Critical resources (hide)'!AV$6:AV$105)+SUMIF(Capacity_Resource,$E59,'Critical resources (hide)'!AV$6:AV$105)+SUMIF(Capacity_Resource,$F59,'Critical resources (hide)'!AV$6:AV$105)&gt;0,$E$1=2),0,1)</f>
        <v>1</v>
      </c>
      <c r="AJ59" s="68">
        <f ca="1">IF(AND(SUMIF(Capacity_Resource,$D59,'Critical resources (hide)'!AW$6:AW$105)+SUMIF(Capacity_Resource,$E59,'Critical resources (hide)'!AW$6:AW$105)+SUMIF(Capacity_Resource,$F59,'Critical resources (hide)'!AW$6:AW$105)&gt;0,$E$1=2),0,1)</f>
        <v>1</v>
      </c>
      <c r="AK59" s="68">
        <f ca="1">IF(AND(SUMIF(Capacity_Resource,$D59,'Critical resources (hide)'!AX$6:AX$105)+SUMIF(Capacity_Resource,$E59,'Critical resources (hide)'!AX$6:AX$105)+SUMIF(Capacity_Resource,$F59,'Critical resources (hide)'!AX$6:AX$105)&gt;0,$E$1=2),0,1)</f>
        <v>1</v>
      </c>
      <c r="AL59" s="68">
        <f ca="1">IF(AND(SUMIF(Capacity_Resource,$D59,'Critical resources (hide)'!AY$6:AY$105)+SUMIF(Capacity_Resource,$E59,'Critical resources (hide)'!AY$6:AY$105)+SUMIF(Capacity_Resource,$F59,'Critical resources (hide)'!AY$6:AY$105)&gt;0,$E$1=2),0,1)</f>
        <v>1</v>
      </c>
      <c r="AM59" s="68">
        <f ca="1">IF(AND(SUMIF(Capacity_Resource,$D59,'Critical resources (hide)'!AZ$6:AZ$105)+SUMIF(Capacity_Resource,$E59,'Critical resources (hide)'!AZ$6:AZ$105)+SUMIF(Capacity_Resource,$F59,'Critical resources (hide)'!AZ$6:AZ$105)&gt;0,$E$1=2),0,1)</f>
        <v>1</v>
      </c>
      <c r="AN59" s="68">
        <f ca="1">IF(AND(SUMIF(Capacity_Resource,$D59,'Critical resources (hide)'!BA$6:BA$105)+SUMIF(Capacity_Resource,$E59,'Critical resources (hide)'!BA$6:BA$105)+SUMIF(Capacity_Resource,$F59,'Critical resources (hide)'!BA$6:BA$105)&gt;0,$E$1=2),0,1)</f>
        <v>1</v>
      </c>
      <c r="AO59" s="68">
        <f ca="1">IF(AND(SUMIF(Capacity_Resource,$D59,'Critical resources (hide)'!BB$6:BB$105)+SUMIF(Capacity_Resource,$E59,'Critical resources (hide)'!BB$6:BB$105)+SUMIF(Capacity_Resource,$F59,'Critical resources (hide)'!BB$6:BB$105)&gt;0,$E$1=2),0,1)</f>
        <v>1</v>
      </c>
      <c r="AP59" s="68">
        <f ca="1">IF(AND(SUMIF(Capacity_Resource,$D59,'Critical resources (hide)'!BC$6:BC$105)+SUMIF(Capacity_Resource,$E59,'Critical resources (hide)'!BC$6:BC$105)+SUMIF(Capacity_Resource,$F59,'Critical resources (hide)'!BC$6:BC$105)&gt;0,$E$1=2),0,1)</f>
        <v>1</v>
      </c>
      <c r="AQ59" s="68">
        <f ca="1">IF(AND(SUMIF(Capacity_Resource,$D59,'Critical resources (hide)'!BD$6:BD$105)+SUMIF(Capacity_Resource,$E59,'Critical resources (hide)'!BD$6:BD$105)+SUMIF(Capacity_Resource,$F59,'Critical resources (hide)'!BD$6:BD$105)&gt;0,$E$1=2),0,1)</f>
        <v>1</v>
      </c>
      <c r="AR59" s="68">
        <f ca="1">IF(AND(SUMIF(Capacity_Resource,$D59,'Critical resources (hide)'!BE$6:BE$105)+SUMIF(Capacity_Resource,$E59,'Critical resources (hide)'!BE$6:BE$105)+SUMIF(Capacity_Resource,$F59,'Critical resources (hide)'!BE$6:BE$105)&gt;0,$E$1=2),0,1)</f>
        <v>1</v>
      </c>
      <c r="AS59" s="68">
        <f ca="1">IF(AND(SUMIF(Capacity_Resource,$D59,'Critical resources (hide)'!BF$6:BF$105)+SUMIF(Capacity_Resource,$E59,'Critical resources (hide)'!BF$6:BF$105)+SUMIF(Capacity_Resource,$F59,'Critical resources (hide)'!BF$6:BF$105)&gt;0,$E$1=2),0,1)</f>
        <v>1</v>
      </c>
      <c r="AT59" s="68">
        <f ca="1">IF(AND(SUMIF(Capacity_Resource,$D59,'Critical resources (hide)'!BG$6:BG$105)+SUMIF(Capacity_Resource,$E59,'Critical resources (hide)'!BG$6:BG$105)+SUMIF(Capacity_Resource,$F59,'Critical resources (hide)'!BG$6:BG$105)&gt;0,$E$1=2),0,1)</f>
        <v>1</v>
      </c>
      <c r="AU59" s="68">
        <f ca="1">IF(AND(SUMIF(Capacity_Resource,$D59,'Critical resources (hide)'!BH$6:BH$105)+SUMIF(Capacity_Resource,$E59,'Critical resources (hide)'!BH$6:BH$105)+SUMIF(Capacity_Resource,$F59,'Critical resources (hide)'!BH$6:BH$105)&gt;0,$E$1=2),0,1)</f>
        <v>1</v>
      </c>
      <c r="AV59" s="68">
        <f ca="1">IF(AND(SUMIF(Capacity_Resource,$D59,'Critical resources (hide)'!BI$6:BI$105)+SUMIF(Capacity_Resource,$E59,'Critical resources (hide)'!BI$6:BI$105)+SUMIF(Capacity_Resource,$F59,'Critical resources (hide)'!BI$6:BI$105)&gt;0,$E$1=2),0,1)</f>
        <v>1</v>
      </c>
      <c r="AW59" s="68">
        <f ca="1">IF(AND(SUMIF(Capacity_Resource,$D59,'Critical resources (hide)'!BJ$6:BJ$105)+SUMIF(Capacity_Resource,$E59,'Critical resources (hide)'!BJ$6:BJ$105)+SUMIF(Capacity_Resource,$F59,'Critical resources (hide)'!BJ$6:BJ$105)&gt;0,$E$1=2),0,1)</f>
        <v>1</v>
      </c>
      <c r="AX59" s="68">
        <f ca="1">IF(AND(SUMIF(Capacity_Resource,$D59,'Critical resources (hide)'!BK$6:BK$105)+SUMIF(Capacity_Resource,$E59,'Critical resources (hide)'!BK$6:BK$105)+SUMIF(Capacity_Resource,$F59,'Critical resources (hide)'!BK$6:BK$105)&gt;0,$E$1=2),0,1)</f>
        <v>1</v>
      </c>
      <c r="AY59" s="68">
        <f ca="1">IF(AND(SUMIF(Capacity_Resource,$D59,'Critical resources (hide)'!BL$6:BL$105)+SUMIF(Capacity_Resource,$E59,'Critical resources (hide)'!BL$6:BL$105)+SUMIF(Capacity_Resource,$F59,'Critical resources (hide)'!BL$6:BL$105)&gt;0,$E$1=2),0,1)</f>
        <v>1</v>
      </c>
      <c r="AZ59" s="68">
        <f ca="1">IF(AND(SUMIF(Capacity_Resource,$D59,'Critical resources (hide)'!BM$6:BM$105)+SUMIF(Capacity_Resource,$E59,'Critical resources (hide)'!BM$6:BM$105)+SUMIF(Capacity_Resource,$F59,'Critical resources (hide)'!BM$6:BM$105)&gt;0,$E$1=2),0,1)</f>
        <v>1</v>
      </c>
      <c r="BA59" s="68">
        <f ca="1">IF(AND(SUMIF(Capacity_Resource,$D59,'Critical resources (hide)'!BN$6:BN$105)+SUMIF(Capacity_Resource,$E59,'Critical resources (hide)'!BN$6:BN$105)+SUMIF(Capacity_Resource,$F59,'Critical resources (hide)'!BN$6:BN$105)&gt;0,$E$1=2),0,1)</f>
        <v>1</v>
      </c>
      <c r="BB59" s="68">
        <f ca="1">IF(AND(SUMIF(Capacity_Resource,$D59,'Critical resources (hide)'!BO$6:BO$105)+SUMIF(Capacity_Resource,$E59,'Critical resources (hide)'!BO$6:BO$105)+SUMIF(Capacity_Resource,$F59,'Critical resources (hide)'!BO$6:BO$105)&gt;0,$E$1=2),0,1)</f>
        <v>1</v>
      </c>
      <c r="BC59" s="68">
        <f ca="1">IF(AND(SUMIF(Capacity_Resource,$D59,'Critical resources (hide)'!BP$6:BP$105)+SUMIF(Capacity_Resource,$E59,'Critical resources (hide)'!BP$6:BP$105)+SUMIF(Capacity_Resource,$F59,'Critical resources (hide)'!BP$6:BP$105)&gt;0,$E$1=2),0,1)</f>
        <v>1</v>
      </c>
      <c r="BD59" s="68">
        <f ca="1">IF(AND(SUMIF(Capacity_Resource,$D59,'Critical resources (hide)'!BQ$6:BQ$105)+SUMIF(Capacity_Resource,$E59,'Critical resources (hide)'!BQ$6:BQ$105)+SUMIF(Capacity_Resource,$F59,'Critical resources (hide)'!BQ$6:BQ$105)&gt;0,$E$1=2),0,1)</f>
        <v>1</v>
      </c>
      <c r="BE59" s="68">
        <f ca="1">IF(AND(SUMIF(Capacity_Resource,$D59,'Critical resources (hide)'!BR$6:BR$105)+SUMIF(Capacity_Resource,$E59,'Critical resources (hide)'!BR$6:BR$105)+SUMIF(Capacity_Resource,$F59,'Critical resources (hide)'!BR$6:BR$105)&gt;0,$E$1=2),0,1)</f>
        <v>1</v>
      </c>
      <c r="BF59" s="68">
        <f ca="1">IF(AND(SUMIF(Capacity_Resource,$D59,'Critical resources (hide)'!BS$6:BS$105)+SUMIF(Capacity_Resource,$E59,'Critical resources (hide)'!BS$6:BS$105)+SUMIF(Capacity_Resource,$F59,'Critical resources (hide)'!BS$6:BS$105)&gt;0,$E$1=2),0,1)</f>
        <v>1</v>
      </c>
      <c r="BG59" s="68">
        <f ca="1">IF(AND(SUMIF(Capacity_Resource,$D59,'Critical resources (hide)'!BT$6:BT$105)+SUMIF(Capacity_Resource,$E59,'Critical resources (hide)'!BT$6:BT$105)+SUMIF(Capacity_Resource,$F59,'Critical resources (hide)'!BT$6:BT$105)&gt;0,$E$1=2),0,1)</f>
        <v>1</v>
      </c>
      <c r="BH59" s="68">
        <f>IF(ROW(C55)&lt;=Capacity!$A$16,IF('Capacity summary'!$D$14="No",SUM(H59:BG59),'Capacity summary'!$E178),0)</f>
        <v>0</v>
      </c>
      <c r="BI59" s="5" t="str">
        <f>IF(BH59&gt;0,IF(BH59&lt;Capacity!E71,Capacity!F71,Capacity!H71/'Capacity calculation (hide)'!BH59),"")</f>
        <v/>
      </c>
      <c r="BK59" s="319">
        <f>IF($BI59&lt;&gt;"",IF('Capacity summary'!$D$14="Yes",IF(COUNTBLANK('Capacity summary'!$H178:$BG178)&lt;52,IF('Capacity summary'!H178&lt;&gt;"",$BI59*H59,0),H59*$BI59),H59*$BI59),0)</f>
        <v>0</v>
      </c>
      <c r="BL59" s="319">
        <f>IF($BI59&lt;&gt;"",IF('Capacity summary'!$D$14="Yes",IF(COUNTBLANK('Capacity summary'!$H178:$BG178)&lt;52,IF('Capacity summary'!I178&lt;&gt;"",$BI59*I59,0),I59*$BI59),I59*$BI59),0)</f>
        <v>0</v>
      </c>
      <c r="BM59" s="319">
        <f>IF($BI59&lt;&gt;"",IF('Capacity summary'!$D$14="Yes",IF(COUNTBLANK('Capacity summary'!$H178:$BG178)&lt;52,IF('Capacity summary'!J178&lt;&gt;"",$BI59*J59,0),J59*$BI59),J59*$BI59),0)</f>
        <v>0</v>
      </c>
      <c r="BN59" s="319">
        <f>IF($BI59&lt;&gt;"",IF('Capacity summary'!$D$14="Yes",IF(COUNTBLANK('Capacity summary'!$H178:$BG178)&lt;52,IF('Capacity summary'!K178&lt;&gt;"",$BI59*K59,0),K59*$BI59),K59*$BI59),0)</f>
        <v>0</v>
      </c>
      <c r="BO59" s="319">
        <f>IF($BI59&lt;&gt;"",IF('Capacity summary'!$D$14="Yes",IF(COUNTBLANK('Capacity summary'!$H178:$BG178)&lt;52,IF('Capacity summary'!L178&lt;&gt;"",$BI59*L59,0),L59*$BI59),L59*$BI59),0)</f>
        <v>0</v>
      </c>
      <c r="BP59" s="319">
        <f>IF($BI59&lt;&gt;"",IF('Capacity summary'!$D$14="Yes",IF(COUNTBLANK('Capacity summary'!$H178:$BG178)&lt;52,IF('Capacity summary'!M178&lt;&gt;"",$BI59*M59,0),M59*$BI59),M59*$BI59),0)</f>
        <v>0</v>
      </c>
      <c r="BQ59" s="319">
        <f>IF($BI59&lt;&gt;"",IF('Capacity summary'!$D$14="Yes",IF(COUNTBLANK('Capacity summary'!$H178:$BG178)&lt;52,IF('Capacity summary'!N178&lt;&gt;"",$BI59*N59,0),N59*$BI59),N59*$BI59),0)</f>
        <v>0</v>
      </c>
      <c r="BR59" s="319">
        <f>IF($BI59&lt;&gt;"",IF('Capacity summary'!$D$14="Yes",IF(COUNTBLANK('Capacity summary'!$H178:$BG178)&lt;52,IF('Capacity summary'!O178&lt;&gt;"",$BI59*O59,0),O59*$BI59),O59*$BI59),0)</f>
        <v>0</v>
      </c>
      <c r="BS59" s="319">
        <f>IF($BI59&lt;&gt;"",IF('Capacity summary'!$D$14="Yes",IF(COUNTBLANK('Capacity summary'!$H178:$BG178)&lt;52,IF('Capacity summary'!P178&lt;&gt;"",$BI59*P59,0),P59*$BI59),P59*$BI59),0)</f>
        <v>0</v>
      </c>
      <c r="BT59" s="319">
        <f>IF($BI59&lt;&gt;"",IF('Capacity summary'!$D$14="Yes",IF(COUNTBLANK('Capacity summary'!$H178:$BG178)&lt;52,IF('Capacity summary'!Q178&lt;&gt;"",$BI59*Q59,0),Q59*$BI59),Q59*$BI59),0)</f>
        <v>0</v>
      </c>
      <c r="BU59" s="319">
        <f>IF($BI59&lt;&gt;"",IF('Capacity summary'!$D$14="Yes",IF(COUNTBLANK('Capacity summary'!$H178:$BG178)&lt;52,IF('Capacity summary'!R178&lt;&gt;"",$BI59*R59,0),R59*$BI59),R59*$BI59),0)</f>
        <v>0</v>
      </c>
      <c r="BV59" s="319">
        <f>IF($BI59&lt;&gt;"",IF('Capacity summary'!$D$14="Yes",IF(COUNTBLANK('Capacity summary'!$H178:$BG178)&lt;52,IF('Capacity summary'!S178&lt;&gt;"",$BI59*S59,0),S59*$BI59),S59*$BI59),0)</f>
        <v>0</v>
      </c>
      <c r="BW59" s="319">
        <f>IF($BI59&lt;&gt;"",IF('Capacity summary'!$D$14="Yes",IF(COUNTBLANK('Capacity summary'!$H178:$BG178)&lt;52,IF('Capacity summary'!T178&lt;&gt;"",$BI59*T59,0),T59*$BI59),T59*$BI59),0)</f>
        <v>0</v>
      </c>
      <c r="BX59" s="319">
        <f>IF($BI59&lt;&gt;"",IF('Capacity summary'!$D$14="Yes",IF(COUNTBLANK('Capacity summary'!$H178:$BG178)&lt;52,IF('Capacity summary'!U178&lt;&gt;"",$BI59*U59,0),U59*$BI59),U59*$BI59),0)</f>
        <v>0</v>
      </c>
      <c r="BY59" s="319">
        <f>IF($BI59&lt;&gt;"",IF('Capacity summary'!$D$14="Yes",IF(COUNTBLANK('Capacity summary'!$H178:$BG178)&lt;52,IF('Capacity summary'!V178&lt;&gt;"",$BI59*V59,0),V59*$BI59),V59*$BI59),0)</f>
        <v>0</v>
      </c>
      <c r="BZ59" s="319">
        <f>IF($BI59&lt;&gt;"",IF('Capacity summary'!$D$14="Yes",IF(COUNTBLANK('Capacity summary'!$H178:$BG178)&lt;52,IF('Capacity summary'!W178&lt;&gt;"",$BI59*W59,0),W59*$BI59),W59*$BI59),0)</f>
        <v>0</v>
      </c>
      <c r="CA59" s="319">
        <f>IF($BI59&lt;&gt;"",IF('Capacity summary'!$D$14="Yes",IF(COUNTBLANK('Capacity summary'!$H178:$BG178)&lt;52,IF('Capacity summary'!X178&lt;&gt;"",$BI59*X59,0),X59*$BI59),X59*$BI59),0)</f>
        <v>0</v>
      </c>
      <c r="CB59" s="319">
        <f>IF($BI59&lt;&gt;"",IF('Capacity summary'!$D$14="Yes",IF(COUNTBLANK('Capacity summary'!$H178:$BG178)&lt;52,IF('Capacity summary'!Y178&lt;&gt;"",$BI59*Y59,0),Y59*$BI59),Y59*$BI59),0)</f>
        <v>0</v>
      </c>
      <c r="CC59" s="319">
        <f>IF($BI59&lt;&gt;"",IF('Capacity summary'!$D$14="Yes",IF(COUNTBLANK('Capacity summary'!$H178:$BG178)&lt;52,IF('Capacity summary'!Z178&lt;&gt;"",$BI59*Z59,0),Z59*$BI59),Z59*$BI59),0)</f>
        <v>0</v>
      </c>
      <c r="CD59" s="319">
        <f>IF($BI59&lt;&gt;"",IF('Capacity summary'!$D$14="Yes",IF(COUNTBLANK('Capacity summary'!$H178:$BG178)&lt;52,IF('Capacity summary'!AA178&lt;&gt;"",$BI59*AA59,0),AA59*$BI59),AA59*$BI59),0)</f>
        <v>0</v>
      </c>
      <c r="CE59" s="319">
        <f>IF($BI59&lt;&gt;"",IF('Capacity summary'!$D$14="Yes",IF(COUNTBLANK('Capacity summary'!$H178:$BG178)&lt;52,IF('Capacity summary'!AB178&lt;&gt;"",$BI59*AB59,0),AB59*$BI59),AB59*$BI59),0)</f>
        <v>0</v>
      </c>
      <c r="CF59" s="319">
        <f>IF($BI59&lt;&gt;"",IF('Capacity summary'!$D$14="Yes",IF(COUNTBLANK('Capacity summary'!$H178:$BG178)&lt;52,IF('Capacity summary'!AC178&lt;&gt;"",$BI59*AC59,0),AC59*$BI59),AC59*$BI59),0)</f>
        <v>0</v>
      </c>
      <c r="CG59" s="319">
        <f>IF($BI59&lt;&gt;"",IF('Capacity summary'!$D$14="Yes",IF(COUNTBLANK('Capacity summary'!$H178:$BG178)&lt;52,IF('Capacity summary'!AD178&lt;&gt;"",$BI59*AD59,0),AD59*$BI59),AD59*$BI59),0)</f>
        <v>0</v>
      </c>
      <c r="CH59" s="319">
        <f>IF($BI59&lt;&gt;"",IF('Capacity summary'!$D$14="Yes",IF(COUNTBLANK('Capacity summary'!$H178:$BG178)&lt;52,IF('Capacity summary'!AE178&lt;&gt;"",$BI59*AE59,0),AE59*$BI59),AE59*$BI59),0)</f>
        <v>0</v>
      </c>
      <c r="CI59" s="319">
        <f>IF($BI59&lt;&gt;"",IF('Capacity summary'!$D$14="Yes",IF(COUNTBLANK('Capacity summary'!$H178:$BG178)&lt;52,IF('Capacity summary'!AF178&lt;&gt;"",$BI59*AF59,0),AF59*$BI59),AF59*$BI59),0)</f>
        <v>0</v>
      </c>
      <c r="CJ59" s="319">
        <f>IF($BI59&lt;&gt;"",IF('Capacity summary'!$D$14="Yes",IF(COUNTBLANK('Capacity summary'!$H178:$BG178)&lt;52,IF('Capacity summary'!AG178&lt;&gt;"",$BI59*AG59,0),AG59*$BI59),AG59*$BI59),0)</f>
        <v>0</v>
      </c>
      <c r="CK59" s="319">
        <f>IF($BI59&lt;&gt;"",IF('Capacity summary'!$D$14="Yes",IF(COUNTBLANK('Capacity summary'!$H178:$BG178)&lt;52,IF('Capacity summary'!AH178&lt;&gt;"",$BI59*AH59,0),AH59*$BI59),AH59*$BI59),0)</f>
        <v>0</v>
      </c>
      <c r="CL59" s="319">
        <f>IF($BI59&lt;&gt;"",IF('Capacity summary'!$D$14="Yes",IF(COUNTBLANK('Capacity summary'!$H178:$BG178)&lt;52,IF('Capacity summary'!AI178&lt;&gt;"",$BI59*AI59,0),AI59*$BI59),AI59*$BI59),0)</f>
        <v>0</v>
      </c>
      <c r="CM59" s="319">
        <f>IF($BI59&lt;&gt;"",IF('Capacity summary'!$D$14="Yes",IF(COUNTBLANK('Capacity summary'!$H178:$BG178)&lt;52,IF('Capacity summary'!AJ178&lt;&gt;"",$BI59*AJ59,0),AJ59*$BI59),AJ59*$BI59),0)</f>
        <v>0</v>
      </c>
      <c r="CN59" s="319">
        <f>IF($BI59&lt;&gt;"",IF('Capacity summary'!$D$14="Yes",IF(COUNTBLANK('Capacity summary'!$H178:$BG178)&lt;52,IF('Capacity summary'!AK178&lt;&gt;"",$BI59*AK59,0),AK59*$BI59),AK59*$BI59),0)</f>
        <v>0</v>
      </c>
      <c r="CO59" s="319">
        <f>IF($BI59&lt;&gt;"",IF('Capacity summary'!$D$14="Yes",IF(COUNTBLANK('Capacity summary'!$H178:$BG178)&lt;52,IF('Capacity summary'!AL178&lt;&gt;"",$BI59*AL59,0),AL59*$BI59),AL59*$BI59),0)</f>
        <v>0</v>
      </c>
      <c r="CP59" s="319">
        <f>IF($BI59&lt;&gt;"",IF('Capacity summary'!$D$14="Yes",IF(COUNTBLANK('Capacity summary'!$H178:$BG178)&lt;52,IF('Capacity summary'!AM178&lt;&gt;"",$BI59*AM59,0),AM59*$BI59),AM59*$BI59),0)</f>
        <v>0</v>
      </c>
      <c r="CQ59" s="319">
        <f>IF($BI59&lt;&gt;"",IF('Capacity summary'!$D$14="Yes",IF(COUNTBLANK('Capacity summary'!$H178:$BG178)&lt;52,IF('Capacity summary'!AN178&lt;&gt;"",$BI59*AN59,0),AN59*$BI59),AN59*$BI59),0)</f>
        <v>0</v>
      </c>
      <c r="CR59" s="319">
        <f>IF($BI59&lt;&gt;"",IF('Capacity summary'!$D$14="Yes",IF(COUNTBLANK('Capacity summary'!$H178:$BG178)&lt;52,IF('Capacity summary'!AO178&lt;&gt;"",$BI59*AO59,0),AO59*$BI59),AO59*$BI59),0)</f>
        <v>0</v>
      </c>
      <c r="CS59" s="319">
        <f>IF($BI59&lt;&gt;"",IF('Capacity summary'!$D$14="Yes",IF(COUNTBLANK('Capacity summary'!$H178:$BG178)&lt;52,IF('Capacity summary'!AP178&lt;&gt;"",$BI59*AP59,0),AP59*$BI59),AP59*$BI59),0)</f>
        <v>0</v>
      </c>
      <c r="CT59" s="319">
        <f>IF($BI59&lt;&gt;"",IF('Capacity summary'!$D$14="Yes",IF(COUNTBLANK('Capacity summary'!$H178:$BG178)&lt;52,IF('Capacity summary'!AQ178&lt;&gt;"",$BI59*AQ59,0),AQ59*$BI59),AQ59*$BI59),0)</f>
        <v>0</v>
      </c>
      <c r="CU59" s="319">
        <f>IF($BI59&lt;&gt;"",IF('Capacity summary'!$D$14="Yes",IF(COUNTBLANK('Capacity summary'!$H178:$BG178)&lt;52,IF('Capacity summary'!AR178&lt;&gt;"",$BI59*AR59,0),AR59*$BI59),AR59*$BI59),0)</f>
        <v>0</v>
      </c>
      <c r="CV59" s="319">
        <f>IF($BI59&lt;&gt;"",IF('Capacity summary'!$D$14="Yes",IF(COUNTBLANK('Capacity summary'!$H178:$BG178)&lt;52,IF('Capacity summary'!AS178&lt;&gt;"",$BI59*AS59,0),AS59*$BI59),AS59*$BI59),0)</f>
        <v>0</v>
      </c>
      <c r="CW59" s="319">
        <f>IF($BI59&lt;&gt;"",IF('Capacity summary'!$D$14="Yes",IF(COUNTBLANK('Capacity summary'!$H178:$BG178)&lt;52,IF('Capacity summary'!AT178&lt;&gt;"",$BI59*AT59,0),AT59*$BI59),AT59*$BI59),0)</f>
        <v>0</v>
      </c>
      <c r="CX59" s="319">
        <f>IF($BI59&lt;&gt;"",IF('Capacity summary'!$D$14="Yes",IF(COUNTBLANK('Capacity summary'!$H178:$BG178)&lt;52,IF('Capacity summary'!AU178&lt;&gt;"",$BI59*AU59,0),AU59*$BI59),AU59*$BI59),0)</f>
        <v>0</v>
      </c>
      <c r="CY59" s="319">
        <f>IF($BI59&lt;&gt;"",IF('Capacity summary'!$D$14="Yes",IF(COUNTBLANK('Capacity summary'!$H178:$BG178)&lt;52,IF('Capacity summary'!AV178&lt;&gt;"",$BI59*AV59,0),AV59*$BI59),AV59*$BI59),0)</f>
        <v>0</v>
      </c>
      <c r="CZ59" s="319">
        <f>IF($BI59&lt;&gt;"",IF('Capacity summary'!$D$14="Yes",IF(COUNTBLANK('Capacity summary'!$H178:$BG178)&lt;52,IF('Capacity summary'!AW178&lt;&gt;"",$BI59*AW59,0),AW59*$BI59),AW59*$BI59),0)</f>
        <v>0</v>
      </c>
      <c r="DA59" s="319">
        <f>IF($BI59&lt;&gt;"",IF('Capacity summary'!$D$14="Yes",IF(COUNTBLANK('Capacity summary'!$H178:$BG178)&lt;52,IF('Capacity summary'!AX178&lt;&gt;"",$BI59*AX59,0),AX59*$BI59),AX59*$BI59),0)</f>
        <v>0</v>
      </c>
      <c r="DB59" s="319">
        <f>IF($BI59&lt;&gt;"",IF('Capacity summary'!$D$14="Yes",IF(COUNTBLANK('Capacity summary'!$H178:$BG178)&lt;52,IF('Capacity summary'!AY178&lt;&gt;"",$BI59*AY59,0),AY59*$BI59),AY59*$BI59),0)</f>
        <v>0</v>
      </c>
      <c r="DC59" s="319">
        <f>IF($BI59&lt;&gt;"",IF('Capacity summary'!$D$14="Yes",IF(COUNTBLANK('Capacity summary'!$H178:$BG178)&lt;52,IF('Capacity summary'!AZ178&lt;&gt;"",$BI59*AZ59,0),AZ59*$BI59),AZ59*$BI59),0)</f>
        <v>0</v>
      </c>
      <c r="DD59" s="319">
        <f>IF($BI59&lt;&gt;"",IF('Capacity summary'!$D$14="Yes",IF(COUNTBLANK('Capacity summary'!$H178:$BG178)&lt;52,IF('Capacity summary'!BA178&lt;&gt;"",$BI59*BA59,0),BA59*$BI59),BA59*$BI59),0)</f>
        <v>0</v>
      </c>
      <c r="DE59" s="319">
        <f>IF($BI59&lt;&gt;"",IF('Capacity summary'!$D$14="Yes",IF(COUNTBLANK('Capacity summary'!$H178:$BG178)&lt;52,IF('Capacity summary'!BB178&lt;&gt;"",$BI59*BB59,0),BB59*$BI59),BB59*$BI59),0)</f>
        <v>0</v>
      </c>
      <c r="DF59" s="319">
        <f>IF($BI59&lt;&gt;"",IF('Capacity summary'!$D$14="Yes",IF(COUNTBLANK('Capacity summary'!$H178:$BG178)&lt;52,IF('Capacity summary'!BC178&lt;&gt;"",$BI59*BC59,0),BC59*$BI59),BC59*$BI59),0)</f>
        <v>0</v>
      </c>
      <c r="DG59" s="319">
        <f>IF($BI59&lt;&gt;"",IF('Capacity summary'!$D$14="Yes",IF(COUNTBLANK('Capacity summary'!$H178:$BG178)&lt;52,IF('Capacity summary'!BD178&lt;&gt;"",$BI59*BD59,0),BD59*$BI59),BD59*$BI59),0)</f>
        <v>0</v>
      </c>
      <c r="DH59" s="319">
        <f>IF($BI59&lt;&gt;"",IF('Capacity summary'!$D$14="Yes",IF(COUNTBLANK('Capacity summary'!$H178:$BG178)&lt;52,IF('Capacity summary'!BE178&lt;&gt;"",$BI59*BE59,0),BE59*$BI59),BE59*$BI59),0)</f>
        <v>0</v>
      </c>
      <c r="DI59" s="319">
        <f>IF($BI59&lt;&gt;"",IF('Capacity summary'!$D$14="Yes",IF(COUNTBLANK('Capacity summary'!$H178:$BG178)&lt;52,IF('Capacity summary'!BF178&lt;&gt;"",$BI59*BF59,0),BF59*$BI59),BF59*$BI59),0)</f>
        <v>0</v>
      </c>
      <c r="DJ59" s="319">
        <f>IF($BI59&lt;&gt;"",IF('Capacity summary'!$D$14="Yes",IF(COUNTBLANK('Capacity summary'!$H178:$BG178)&lt;52,IF('Capacity summary'!BG178&lt;&gt;"",$BI59*BG59,0),BG59*$BI59),BG59*$BI59),0)</f>
        <v>0</v>
      </c>
      <c r="DK59" s="5">
        <f t="shared" si="2"/>
        <v>0</v>
      </c>
      <c r="DL59" s="5" t="str">
        <f>Capacity!H71</f>
        <v/>
      </c>
    </row>
    <row r="60" spans="2:120" x14ac:dyDescent="0.2">
      <c r="B60" s="68"/>
      <c r="C60" s="68" t="str">
        <f>ROW(A56)&amp;". "&amp;Capacity!B72</f>
        <v xml:space="preserve">56. </v>
      </c>
      <c r="D60" s="68">
        <f>'Capacity setup'!C67</f>
        <v>0</v>
      </c>
      <c r="E60" s="68">
        <f>'Capacity setup'!D67</f>
        <v>0</v>
      </c>
      <c r="F60" s="68">
        <f>'Capacity setup'!E67</f>
        <v>0</v>
      </c>
      <c r="H60" s="68">
        <f ca="1">IF(AND(SUMIF(Capacity_Resource,$D60,'Critical resources (hide)'!U$6:U$105)+SUMIF(Capacity_Resource,$E60,'Critical resources (hide)'!U$6:U$105)+SUMIF(Capacity_Resource,$F60,'Critical resources (hide)'!U$6:U$105)&gt;0,$E$1=2),0,1)</f>
        <v>1</v>
      </c>
      <c r="I60" s="68">
        <f ca="1">IF(AND(SUMIF(Capacity_Resource,$D60,'Critical resources (hide)'!V$6:V$105)+SUMIF(Capacity_Resource,$E60,'Critical resources (hide)'!V$6:V$105)+SUMIF(Capacity_Resource,$F60,'Critical resources (hide)'!V$6:V$105)&gt;0,$E$1=2),0,1)</f>
        <v>1</v>
      </c>
      <c r="J60" s="68">
        <f ca="1">IF(AND(SUMIF(Capacity_Resource,$D60,'Critical resources (hide)'!W$6:W$105)+SUMIF(Capacity_Resource,$E60,'Critical resources (hide)'!W$6:W$105)+SUMIF(Capacity_Resource,$F60,'Critical resources (hide)'!W$6:W$105)&gt;0,$E$1=2),0,1)</f>
        <v>1</v>
      </c>
      <c r="K60" s="68">
        <f ca="1">IF(AND(SUMIF(Capacity_Resource,$D60,'Critical resources (hide)'!X$6:X$105)+SUMIF(Capacity_Resource,$E60,'Critical resources (hide)'!X$6:X$105)+SUMIF(Capacity_Resource,$F60,'Critical resources (hide)'!X$6:X$105)&gt;0,$E$1=2),0,1)</f>
        <v>1</v>
      </c>
      <c r="L60" s="68">
        <f ca="1">IF(AND(SUMIF(Capacity_Resource,$D60,'Critical resources (hide)'!Y$6:Y$105)+SUMIF(Capacity_Resource,$E60,'Critical resources (hide)'!Y$6:Y$105)+SUMIF(Capacity_Resource,$F60,'Critical resources (hide)'!Y$6:Y$105)&gt;0,$E$1=2),0,1)</f>
        <v>1</v>
      </c>
      <c r="M60" s="68">
        <f ca="1">IF(AND(SUMIF(Capacity_Resource,$D60,'Critical resources (hide)'!Z$6:Z$105)+SUMIF(Capacity_Resource,$E60,'Critical resources (hide)'!Z$6:Z$105)+SUMIF(Capacity_Resource,$F60,'Critical resources (hide)'!Z$6:Z$105)&gt;0,$E$1=2),0,1)</f>
        <v>1</v>
      </c>
      <c r="N60" s="68">
        <f ca="1">IF(AND(SUMIF(Capacity_Resource,$D60,'Critical resources (hide)'!AA$6:AA$105)+SUMIF(Capacity_Resource,$E60,'Critical resources (hide)'!AA$6:AA$105)+SUMIF(Capacity_Resource,$F60,'Critical resources (hide)'!AA$6:AA$105)&gt;0,$E$1=2),0,1)</f>
        <v>1</v>
      </c>
      <c r="O60" s="68">
        <f ca="1">IF(AND(SUMIF(Capacity_Resource,$D60,'Critical resources (hide)'!AB$6:AB$105)+SUMIF(Capacity_Resource,$E60,'Critical resources (hide)'!AB$6:AB$105)+SUMIF(Capacity_Resource,$F60,'Critical resources (hide)'!AB$6:AB$105)&gt;0,$E$1=2),0,1)</f>
        <v>1</v>
      </c>
      <c r="P60" s="68">
        <f ca="1">IF(AND(SUMIF(Capacity_Resource,$D60,'Critical resources (hide)'!AC$6:AC$105)+SUMIF(Capacity_Resource,$E60,'Critical resources (hide)'!AC$6:AC$105)+SUMIF(Capacity_Resource,$F60,'Critical resources (hide)'!AC$6:AC$105)&gt;0,$E$1=2),0,1)</f>
        <v>1</v>
      </c>
      <c r="Q60" s="68">
        <f ca="1">IF(AND(SUMIF(Capacity_Resource,$D60,'Critical resources (hide)'!AD$6:AD$105)+SUMIF(Capacity_Resource,$E60,'Critical resources (hide)'!AD$6:AD$105)+SUMIF(Capacity_Resource,$F60,'Critical resources (hide)'!AD$6:AD$105)&gt;0,$E$1=2),0,1)</f>
        <v>1</v>
      </c>
      <c r="R60" s="68">
        <f ca="1">IF(AND(SUMIF(Capacity_Resource,$D60,'Critical resources (hide)'!AE$6:AE$105)+SUMIF(Capacity_Resource,$E60,'Critical resources (hide)'!AE$6:AE$105)+SUMIF(Capacity_Resource,$F60,'Critical resources (hide)'!AE$6:AE$105)&gt;0,$E$1=2),0,1)</f>
        <v>1</v>
      </c>
      <c r="S60" s="68">
        <f ca="1">IF(AND(SUMIF(Capacity_Resource,$D60,'Critical resources (hide)'!AF$6:AF$105)+SUMIF(Capacity_Resource,$E60,'Critical resources (hide)'!AF$6:AF$105)+SUMIF(Capacity_Resource,$F60,'Critical resources (hide)'!AF$6:AF$105)&gt;0,$E$1=2),0,1)</f>
        <v>1</v>
      </c>
      <c r="T60" s="68">
        <f ca="1">IF(AND(SUMIF(Capacity_Resource,$D60,'Critical resources (hide)'!AG$6:AG$105)+SUMIF(Capacity_Resource,$E60,'Critical resources (hide)'!AG$6:AG$105)+SUMIF(Capacity_Resource,$F60,'Critical resources (hide)'!AG$6:AG$105)&gt;0,$E$1=2),0,1)</f>
        <v>1</v>
      </c>
      <c r="U60" s="68">
        <f ca="1">IF(AND(SUMIF(Capacity_Resource,$D60,'Critical resources (hide)'!AH$6:AH$105)+SUMIF(Capacity_Resource,$E60,'Critical resources (hide)'!AH$6:AH$105)+SUMIF(Capacity_Resource,$F60,'Critical resources (hide)'!AH$6:AH$105)&gt;0,$E$1=2),0,1)</f>
        <v>1</v>
      </c>
      <c r="V60" s="68">
        <f ca="1">IF(AND(SUMIF(Capacity_Resource,$D60,'Critical resources (hide)'!AI$6:AI$105)+SUMIF(Capacity_Resource,$E60,'Critical resources (hide)'!AI$6:AI$105)+SUMIF(Capacity_Resource,$F60,'Critical resources (hide)'!AI$6:AI$105)&gt;0,$E$1=2),0,1)</f>
        <v>1</v>
      </c>
      <c r="W60" s="68">
        <f ca="1">IF(AND(SUMIF(Capacity_Resource,$D60,'Critical resources (hide)'!AJ$6:AJ$105)+SUMIF(Capacity_Resource,$E60,'Critical resources (hide)'!AJ$6:AJ$105)+SUMIF(Capacity_Resource,$F60,'Critical resources (hide)'!AJ$6:AJ$105)&gt;0,$E$1=2),0,1)</f>
        <v>1</v>
      </c>
      <c r="X60" s="68">
        <f ca="1">IF(AND(SUMIF(Capacity_Resource,$D60,'Critical resources (hide)'!AK$6:AK$105)+SUMIF(Capacity_Resource,$E60,'Critical resources (hide)'!AK$6:AK$105)+SUMIF(Capacity_Resource,$F60,'Critical resources (hide)'!AK$6:AK$105)&gt;0,$E$1=2),0,1)</f>
        <v>1</v>
      </c>
      <c r="Y60" s="68">
        <f ca="1">IF(AND(SUMIF(Capacity_Resource,$D60,'Critical resources (hide)'!AL$6:AL$105)+SUMIF(Capacity_Resource,$E60,'Critical resources (hide)'!AL$6:AL$105)+SUMIF(Capacity_Resource,$F60,'Critical resources (hide)'!AL$6:AL$105)&gt;0,$E$1=2),0,1)</f>
        <v>1</v>
      </c>
      <c r="Z60" s="68">
        <f ca="1">IF(AND(SUMIF(Capacity_Resource,$D60,'Critical resources (hide)'!AM$6:AM$105)+SUMIF(Capacity_Resource,$E60,'Critical resources (hide)'!AM$6:AM$105)+SUMIF(Capacity_Resource,$F60,'Critical resources (hide)'!AM$6:AM$105)&gt;0,$E$1=2),0,1)</f>
        <v>1</v>
      </c>
      <c r="AA60" s="68">
        <f ca="1">IF(AND(SUMIF(Capacity_Resource,$D60,'Critical resources (hide)'!AN$6:AN$105)+SUMIF(Capacity_Resource,$E60,'Critical resources (hide)'!AN$6:AN$105)+SUMIF(Capacity_Resource,$F60,'Critical resources (hide)'!AN$6:AN$105)&gt;0,$E$1=2),0,1)</f>
        <v>1</v>
      </c>
      <c r="AB60" s="68">
        <f ca="1">IF(AND(SUMIF(Capacity_Resource,$D60,'Critical resources (hide)'!AO$6:AO$105)+SUMIF(Capacity_Resource,$E60,'Critical resources (hide)'!AO$6:AO$105)+SUMIF(Capacity_Resource,$F60,'Critical resources (hide)'!AO$6:AO$105)&gt;0,$E$1=2),0,1)</f>
        <v>1</v>
      </c>
      <c r="AC60" s="68">
        <f ca="1">IF(AND(SUMIF(Capacity_Resource,$D60,'Critical resources (hide)'!AP$6:AP$105)+SUMIF(Capacity_Resource,$E60,'Critical resources (hide)'!AP$6:AP$105)+SUMIF(Capacity_Resource,$F60,'Critical resources (hide)'!AP$6:AP$105)&gt;0,$E$1=2),0,1)</f>
        <v>1</v>
      </c>
      <c r="AD60" s="68">
        <f ca="1">IF(AND(SUMIF(Capacity_Resource,$D60,'Critical resources (hide)'!AQ$6:AQ$105)+SUMIF(Capacity_Resource,$E60,'Critical resources (hide)'!AQ$6:AQ$105)+SUMIF(Capacity_Resource,$F60,'Critical resources (hide)'!AQ$6:AQ$105)&gt;0,$E$1=2),0,1)</f>
        <v>1</v>
      </c>
      <c r="AE60" s="68">
        <f ca="1">IF(AND(SUMIF(Capacity_Resource,$D60,'Critical resources (hide)'!AR$6:AR$105)+SUMIF(Capacity_Resource,$E60,'Critical resources (hide)'!AR$6:AR$105)+SUMIF(Capacity_Resource,$F60,'Critical resources (hide)'!AR$6:AR$105)&gt;0,$E$1=2),0,1)</f>
        <v>1</v>
      </c>
      <c r="AF60" s="68">
        <f ca="1">IF(AND(SUMIF(Capacity_Resource,$D60,'Critical resources (hide)'!AS$6:AS$105)+SUMIF(Capacity_Resource,$E60,'Critical resources (hide)'!AS$6:AS$105)+SUMIF(Capacity_Resource,$F60,'Critical resources (hide)'!AS$6:AS$105)&gt;0,$E$1=2),0,1)</f>
        <v>1</v>
      </c>
      <c r="AG60" s="68">
        <f ca="1">IF(AND(SUMIF(Capacity_Resource,$D60,'Critical resources (hide)'!AT$6:AT$105)+SUMIF(Capacity_Resource,$E60,'Critical resources (hide)'!AT$6:AT$105)+SUMIF(Capacity_Resource,$F60,'Critical resources (hide)'!AT$6:AT$105)&gt;0,$E$1=2),0,1)</f>
        <v>1</v>
      </c>
      <c r="AH60" s="68">
        <f ca="1">IF(AND(SUMIF(Capacity_Resource,$D60,'Critical resources (hide)'!AU$6:AU$105)+SUMIF(Capacity_Resource,$E60,'Critical resources (hide)'!AU$6:AU$105)+SUMIF(Capacity_Resource,$F60,'Critical resources (hide)'!AU$6:AU$105)&gt;0,$E$1=2),0,1)</f>
        <v>1</v>
      </c>
      <c r="AI60" s="68">
        <f ca="1">IF(AND(SUMIF(Capacity_Resource,$D60,'Critical resources (hide)'!AV$6:AV$105)+SUMIF(Capacity_Resource,$E60,'Critical resources (hide)'!AV$6:AV$105)+SUMIF(Capacity_Resource,$F60,'Critical resources (hide)'!AV$6:AV$105)&gt;0,$E$1=2),0,1)</f>
        <v>1</v>
      </c>
      <c r="AJ60" s="68">
        <f ca="1">IF(AND(SUMIF(Capacity_Resource,$D60,'Critical resources (hide)'!AW$6:AW$105)+SUMIF(Capacity_Resource,$E60,'Critical resources (hide)'!AW$6:AW$105)+SUMIF(Capacity_Resource,$F60,'Critical resources (hide)'!AW$6:AW$105)&gt;0,$E$1=2),0,1)</f>
        <v>1</v>
      </c>
      <c r="AK60" s="68">
        <f ca="1">IF(AND(SUMIF(Capacity_Resource,$D60,'Critical resources (hide)'!AX$6:AX$105)+SUMIF(Capacity_Resource,$E60,'Critical resources (hide)'!AX$6:AX$105)+SUMIF(Capacity_Resource,$F60,'Critical resources (hide)'!AX$6:AX$105)&gt;0,$E$1=2),0,1)</f>
        <v>1</v>
      </c>
      <c r="AL60" s="68">
        <f ca="1">IF(AND(SUMIF(Capacity_Resource,$D60,'Critical resources (hide)'!AY$6:AY$105)+SUMIF(Capacity_Resource,$E60,'Critical resources (hide)'!AY$6:AY$105)+SUMIF(Capacity_Resource,$F60,'Critical resources (hide)'!AY$6:AY$105)&gt;0,$E$1=2),0,1)</f>
        <v>1</v>
      </c>
      <c r="AM60" s="68">
        <f ca="1">IF(AND(SUMIF(Capacity_Resource,$D60,'Critical resources (hide)'!AZ$6:AZ$105)+SUMIF(Capacity_Resource,$E60,'Critical resources (hide)'!AZ$6:AZ$105)+SUMIF(Capacity_Resource,$F60,'Critical resources (hide)'!AZ$6:AZ$105)&gt;0,$E$1=2),0,1)</f>
        <v>1</v>
      </c>
      <c r="AN60" s="68">
        <f ca="1">IF(AND(SUMIF(Capacity_Resource,$D60,'Critical resources (hide)'!BA$6:BA$105)+SUMIF(Capacity_Resource,$E60,'Critical resources (hide)'!BA$6:BA$105)+SUMIF(Capacity_Resource,$F60,'Critical resources (hide)'!BA$6:BA$105)&gt;0,$E$1=2),0,1)</f>
        <v>1</v>
      </c>
      <c r="AO60" s="68">
        <f ca="1">IF(AND(SUMIF(Capacity_Resource,$D60,'Critical resources (hide)'!BB$6:BB$105)+SUMIF(Capacity_Resource,$E60,'Critical resources (hide)'!BB$6:BB$105)+SUMIF(Capacity_Resource,$F60,'Critical resources (hide)'!BB$6:BB$105)&gt;0,$E$1=2),0,1)</f>
        <v>1</v>
      </c>
      <c r="AP60" s="68">
        <f ca="1">IF(AND(SUMIF(Capacity_Resource,$D60,'Critical resources (hide)'!BC$6:BC$105)+SUMIF(Capacity_Resource,$E60,'Critical resources (hide)'!BC$6:BC$105)+SUMIF(Capacity_Resource,$F60,'Critical resources (hide)'!BC$6:BC$105)&gt;0,$E$1=2),0,1)</f>
        <v>1</v>
      </c>
      <c r="AQ60" s="68">
        <f ca="1">IF(AND(SUMIF(Capacity_Resource,$D60,'Critical resources (hide)'!BD$6:BD$105)+SUMIF(Capacity_Resource,$E60,'Critical resources (hide)'!BD$6:BD$105)+SUMIF(Capacity_Resource,$F60,'Critical resources (hide)'!BD$6:BD$105)&gt;0,$E$1=2),0,1)</f>
        <v>1</v>
      </c>
      <c r="AR60" s="68">
        <f ca="1">IF(AND(SUMIF(Capacity_Resource,$D60,'Critical resources (hide)'!BE$6:BE$105)+SUMIF(Capacity_Resource,$E60,'Critical resources (hide)'!BE$6:BE$105)+SUMIF(Capacity_Resource,$F60,'Critical resources (hide)'!BE$6:BE$105)&gt;0,$E$1=2),0,1)</f>
        <v>1</v>
      </c>
      <c r="AS60" s="68">
        <f ca="1">IF(AND(SUMIF(Capacity_Resource,$D60,'Critical resources (hide)'!BF$6:BF$105)+SUMIF(Capacity_Resource,$E60,'Critical resources (hide)'!BF$6:BF$105)+SUMIF(Capacity_Resource,$F60,'Critical resources (hide)'!BF$6:BF$105)&gt;0,$E$1=2),0,1)</f>
        <v>1</v>
      </c>
      <c r="AT60" s="68">
        <f ca="1">IF(AND(SUMIF(Capacity_Resource,$D60,'Critical resources (hide)'!BG$6:BG$105)+SUMIF(Capacity_Resource,$E60,'Critical resources (hide)'!BG$6:BG$105)+SUMIF(Capacity_Resource,$F60,'Critical resources (hide)'!BG$6:BG$105)&gt;0,$E$1=2),0,1)</f>
        <v>1</v>
      </c>
      <c r="AU60" s="68">
        <f ca="1">IF(AND(SUMIF(Capacity_Resource,$D60,'Critical resources (hide)'!BH$6:BH$105)+SUMIF(Capacity_Resource,$E60,'Critical resources (hide)'!BH$6:BH$105)+SUMIF(Capacity_Resource,$F60,'Critical resources (hide)'!BH$6:BH$105)&gt;0,$E$1=2),0,1)</f>
        <v>1</v>
      </c>
      <c r="AV60" s="68">
        <f ca="1">IF(AND(SUMIF(Capacity_Resource,$D60,'Critical resources (hide)'!BI$6:BI$105)+SUMIF(Capacity_Resource,$E60,'Critical resources (hide)'!BI$6:BI$105)+SUMIF(Capacity_Resource,$F60,'Critical resources (hide)'!BI$6:BI$105)&gt;0,$E$1=2),0,1)</f>
        <v>1</v>
      </c>
      <c r="AW60" s="68">
        <f ca="1">IF(AND(SUMIF(Capacity_Resource,$D60,'Critical resources (hide)'!BJ$6:BJ$105)+SUMIF(Capacity_Resource,$E60,'Critical resources (hide)'!BJ$6:BJ$105)+SUMIF(Capacity_Resource,$F60,'Critical resources (hide)'!BJ$6:BJ$105)&gt;0,$E$1=2),0,1)</f>
        <v>1</v>
      </c>
      <c r="AX60" s="68">
        <f ca="1">IF(AND(SUMIF(Capacity_Resource,$D60,'Critical resources (hide)'!BK$6:BK$105)+SUMIF(Capacity_Resource,$E60,'Critical resources (hide)'!BK$6:BK$105)+SUMIF(Capacity_Resource,$F60,'Critical resources (hide)'!BK$6:BK$105)&gt;0,$E$1=2),0,1)</f>
        <v>1</v>
      </c>
      <c r="AY60" s="68">
        <f ca="1">IF(AND(SUMIF(Capacity_Resource,$D60,'Critical resources (hide)'!BL$6:BL$105)+SUMIF(Capacity_Resource,$E60,'Critical resources (hide)'!BL$6:BL$105)+SUMIF(Capacity_Resource,$F60,'Critical resources (hide)'!BL$6:BL$105)&gt;0,$E$1=2),0,1)</f>
        <v>1</v>
      </c>
      <c r="AZ60" s="68">
        <f ca="1">IF(AND(SUMIF(Capacity_Resource,$D60,'Critical resources (hide)'!BM$6:BM$105)+SUMIF(Capacity_Resource,$E60,'Critical resources (hide)'!BM$6:BM$105)+SUMIF(Capacity_Resource,$F60,'Critical resources (hide)'!BM$6:BM$105)&gt;0,$E$1=2),0,1)</f>
        <v>1</v>
      </c>
      <c r="BA60" s="68">
        <f ca="1">IF(AND(SUMIF(Capacity_Resource,$D60,'Critical resources (hide)'!BN$6:BN$105)+SUMIF(Capacity_Resource,$E60,'Critical resources (hide)'!BN$6:BN$105)+SUMIF(Capacity_Resource,$F60,'Critical resources (hide)'!BN$6:BN$105)&gt;0,$E$1=2),0,1)</f>
        <v>1</v>
      </c>
      <c r="BB60" s="68">
        <f ca="1">IF(AND(SUMIF(Capacity_Resource,$D60,'Critical resources (hide)'!BO$6:BO$105)+SUMIF(Capacity_Resource,$E60,'Critical resources (hide)'!BO$6:BO$105)+SUMIF(Capacity_Resource,$F60,'Critical resources (hide)'!BO$6:BO$105)&gt;0,$E$1=2),0,1)</f>
        <v>1</v>
      </c>
      <c r="BC60" s="68">
        <f ca="1">IF(AND(SUMIF(Capacity_Resource,$D60,'Critical resources (hide)'!BP$6:BP$105)+SUMIF(Capacity_Resource,$E60,'Critical resources (hide)'!BP$6:BP$105)+SUMIF(Capacity_Resource,$F60,'Critical resources (hide)'!BP$6:BP$105)&gt;0,$E$1=2),0,1)</f>
        <v>1</v>
      </c>
      <c r="BD60" s="68">
        <f ca="1">IF(AND(SUMIF(Capacity_Resource,$D60,'Critical resources (hide)'!BQ$6:BQ$105)+SUMIF(Capacity_Resource,$E60,'Critical resources (hide)'!BQ$6:BQ$105)+SUMIF(Capacity_Resource,$F60,'Critical resources (hide)'!BQ$6:BQ$105)&gt;0,$E$1=2),0,1)</f>
        <v>1</v>
      </c>
      <c r="BE60" s="68">
        <f ca="1">IF(AND(SUMIF(Capacity_Resource,$D60,'Critical resources (hide)'!BR$6:BR$105)+SUMIF(Capacity_Resource,$E60,'Critical resources (hide)'!BR$6:BR$105)+SUMIF(Capacity_Resource,$F60,'Critical resources (hide)'!BR$6:BR$105)&gt;0,$E$1=2),0,1)</f>
        <v>1</v>
      </c>
      <c r="BF60" s="68">
        <f ca="1">IF(AND(SUMIF(Capacity_Resource,$D60,'Critical resources (hide)'!BS$6:BS$105)+SUMIF(Capacity_Resource,$E60,'Critical resources (hide)'!BS$6:BS$105)+SUMIF(Capacity_Resource,$F60,'Critical resources (hide)'!BS$6:BS$105)&gt;0,$E$1=2),0,1)</f>
        <v>1</v>
      </c>
      <c r="BG60" s="68">
        <f ca="1">IF(AND(SUMIF(Capacity_Resource,$D60,'Critical resources (hide)'!BT$6:BT$105)+SUMIF(Capacity_Resource,$E60,'Critical resources (hide)'!BT$6:BT$105)+SUMIF(Capacity_Resource,$F60,'Critical resources (hide)'!BT$6:BT$105)&gt;0,$E$1=2),0,1)</f>
        <v>1</v>
      </c>
      <c r="BH60" s="68">
        <f>IF(ROW(C56)&lt;=Capacity!$A$16,IF('Capacity summary'!$D$14="No",SUM(H60:BG60),'Capacity summary'!$E179),0)</f>
        <v>0</v>
      </c>
      <c r="BI60" s="5" t="str">
        <f>IF(BH60&gt;0,IF(BH60&lt;Capacity!E72,Capacity!F72,Capacity!H72/'Capacity calculation (hide)'!BH60),"")</f>
        <v/>
      </c>
      <c r="BK60" s="319">
        <f>IF($BI60&lt;&gt;"",IF('Capacity summary'!$D$14="Yes",IF(COUNTBLANK('Capacity summary'!$H179:$BG179)&lt;52,IF('Capacity summary'!H179&lt;&gt;"",$BI60*H60,0),H60*$BI60),H60*$BI60),0)</f>
        <v>0</v>
      </c>
      <c r="BL60" s="319">
        <f>IF($BI60&lt;&gt;"",IF('Capacity summary'!$D$14="Yes",IF(COUNTBLANK('Capacity summary'!$H179:$BG179)&lt;52,IF('Capacity summary'!I179&lt;&gt;"",$BI60*I60,0),I60*$BI60),I60*$BI60),0)</f>
        <v>0</v>
      </c>
      <c r="BM60" s="319">
        <f>IF($BI60&lt;&gt;"",IF('Capacity summary'!$D$14="Yes",IF(COUNTBLANK('Capacity summary'!$H179:$BG179)&lt;52,IF('Capacity summary'!J179&lt;&gt;"",$BI60*J60,0),J60*$BI60),J60*$BI60),0)</f>
        <v>0</v>
      </c>
      <c r="BN60" s="319">
        <f>IF($BI60&lt;&gt;"",IF('Capacity summary'!$D$14="Yes",IF(COUNTBLANK('Capacity summary'!$H179:$BG179)&lt;52,IF('Capacity summary'!K179&lt;&gt;"",$BI60*K60,0),K60*$BI60),K60*$BI60),0)</f>
        <v>0</v>
      </c>
      <c r="BO60" s="319">
        <f>IF($BI60&lt;&gt;"",IF('Capacity summary'!$D$14="Yes",IF(COUNTBLANK('Capacity summary'!$H179:$BG179)&lt;52,IF('Capacity summary'!L179&lt;&gt;"",$BI60*L60,0),L60*$BI60),L60*$BI60),0)</f>
        <v>0</v>
      </c>
      <c r="BP60" s="319">
        <f>IF($BI60&lt;&gt;"",IF('Capacity summary'!$D$14="Yes",IF(COUNTBLANK('Capacity summary'!$H179:$BG179)&lt;52,IF('Capacity summary'!M179&lt;&gt;"",$BI60*M60,0),M60*$BI60),M60*$BI60),0)</f>
        <v>0</v>
      </c>
      <c r="BQ60" s="319">
        <f>IF($BI60&lt;&gt;"",IF('Capacity summary'!$D$14="Yes",IF(COUNTBLANK('Capacity summary'!$H179:$BG179)&lt;52,IF('Capacity summary'!N179&lt;&gt;"",$BI60*N60,0),N60*$BI60),N60*$BI60),0)</f>
        <v>0</v>
      </c>
      <c r="BR60" s="319">
        <f>IF($BI60&lt;&gt;"",IF('Capacity summary'!$D$14="Yes",IF(COUNTBLANK('Capacity summary'!$H179:$BG179)&lt;52,IF('Capacity summary'!O179&lt;&gt;"",$BI60*O60,0),O60*$BI60),O60*$BI60),0)</f>
        <v>0</v>
      </c>
      <c r="BS60" s="319">
        <f>IF($BI60&lt;&gt;"",IF('Capacity summary'!$D$14="Yes",IF(COUNTBLANK('Capacity summary'!$H179:$BG179)&lt;52,IF('Capacity summary'!P179&lt;&gt;"",$BI60*P60,0),P60*$BI60),P60*$BI60),0)</f>
        <v>0</v>
      </c>
      <c r="BT60" s="319">
        <f>IF($BI60&lt;&gt;"",IF('Capacity summary'!$D$14="Yes",IF(COUNTBLANK('Capacity summary'!$H179:$BG179)&lt;52,IF('Capacity summary'!Q179&lt;&gt;"",$BI60*Q60,0),Q60*$BI60),Q60*$BI60),0)</f>
        <v>0</v>
      </c>
      <c r="BU60" s="319">
        <f>IF($BI60&lt;&gt;"",IF('Capacity summary'!$D$14="Yes",IF(COUNTBLANK('Capacity summary'!$H179:$BG179)&lt;52,IF('Capacity summary'!R179&lt;&gt;"",$BI60*R60,0),R60*$BI60),R60*$BI60),0)</f>
        <v>0</v>
      </c>
      <c r="BV60" s="319">
        <f>IF($BI60&lt;&gt;"",IF('Capacity summary'!$D$14="Yes",IF(COUNTBLANK('Capacity summary'!$H179:$BG179)&lt;52,IF('Capacity summary'!S179&lt;&gt;"",$BI60*S60,0),S60*$BI60),S60*$BI60),0)</f>
        <v>0</v>
      </c>
      <c r="BW60" s="319">
        <f>IF($BI60&lt;&gt;"",IF('Capacity summary'!$D$14="Yes",IF(COUNTBLANK('Capacity summary'!$H179:$BG179)&lt;52,IF('Capacity summary'!T179&lt;&gt;"",$BI60*T60,0),T60*$BI60),T60*$BI60),0)</f>
        <v>0</v>
      </c>
      <c r="BX60" s="319">
        <f>IF($BI60&lt;&gt;"",IF('Capacity summary'!$D$14="Yes",IF(COUNTBLANK('Capacity summary'!$H179:$BG179)&lt;52,IF('Capacity summary'!U179&lt;&gt;"",$BI60*U60,0),U60*$BI60),U60*$BI60),0)</f>
        <v>0</v>
      </c>
      <c r="BY60" s="319">
        <f>IF($BI60&lt;&gt;"",IF('Capacity summary'!$D$14="Yes",IF(COUNTBLANK('Capacity summary'!$H179:$BG179)&lt;52,IF('Capacity summary'!V179&lt;&gt;"",$BI60*V60,0),V60*$BI60),V60*$BI60),0)</f>
        <v>0</v>
      </c>
      <c r="BZ60" s="319">
        <f>IF($BI60&lt;&gt;"",IF('Capacity summary'!$D$14="Yes",IF(COUNTBLANK('Capacity summary'!$H179:$BG179)&lt;52,IF('Capacity summary'!W179&lt;&gt;"",$BI60*W60,0),W60*$BI60),W60*$BI60),0)</f>
        <v>0</v>
      </c>
      <c r="CA60" s="319">
        <f>IF($BI60&lt;&gt;"",IF('Capacity summary'!$D$14="Yes",IF(COUNTBLANK('Capacity summary'!$H179:$BG179)&lt;52,IF('Capacity summary'!X179&lt;&gt;"",$BI60*X60,0),X60*$BI60),X60*$BI60),0)</f>
        <v>0</v>
      </c>
      <c r="CB60" s="319">
        <f>IF($BI60&lt;&gt;"",IF('Capacity summary'!$D$14="Yes",IF(COUNTBLANK('Capacity summary'!$H179:$BG179)&lt;52,IF('Capacity summary'!Y179&lt;&gt;"",$BI60*Y60,0),Y60*$BI60),Y60*$BI60),0)</f>
        <v>0</v>
      </c>
      <c r="CC60" s="319">
        <f>IF($BI60&lt;&gt;"",IF('Capacity summary'!$D$14="Yes",IF(COUNTBLANK('Capacity summary'!$H179:$BG179)&lt;52,IF('Capacity summary'!Z179&lt;&gt;"",$BI60*Z60,0),Z60*$BI60),Z60*$BI60),0)</f>
        <v>0</v>
      </c>
      <c r="CD60" s="319">
        <f>IF($BI60&lt;&gt;"",IF('Capacity summary'!$D$14="Yes",IF(COUNTBLANK('Capacity summary'!$H179:$BG179)&lt;52,IF('Capacity summary'!AA179&lt;&gt;"",$BI60*AA60,0),AA60*$BI60),AA60*$BI60),0)</f>
        <v>0</v>
      </c>
      <c r="CE60" s="319">
        <f>IF($BI60&lt;&gt;"",IF('Capacity summary'!$D$14="Yes",IF(COUNTBLANK('Capacity summary'!$H179:$BG179)&lt;52,IF('Capacity summary'!AB179&lt;&gt;"",$BI60*AB60,0),AB60*$BI60),AB60*$BI60),0)</f>
        <v>0</v>
      </c>
      <c r="CF60" s="319">
        <f>IF($BI60&lt;&gt;"",IF('Capacity summary'!$D$14="Yes",IF(COUNTBLANK('Capacity summary'!$H179:$BG179)&lt;52,IF('Capacity summary'!AC179&lt;&gt;"",$BI60*AC60,0),AC60*$BI60),AC60*$BI60),0)</f>
        <v>0</v>
      </c>
      <c r="CG60" s="319">
        <f>IF($BI60&lt;&gt;"",IF('Capacity summary'!$D$14="Yes",IF(COUNTBLANK('Capacity summary'!$H179:$BG179)&lt;52,IF('Capacity summary'!AD179&lt;&gt;"",$BI60*AD60,0),AD60*$BI60),AD60*$BI60),0)</f>
        <v>0</v>
      </c>
      <c r="CH60" s="319">
        <f>IF($BI60&lt;&gt;"",IF('Capacity summary'!$D$14="Yes",IF(COUNTBLANK('Capacity summary'!$H179:$BG179)&lt;52,IF('Capacity summary'!AE179&lt;&gt;"",$BI60*AE60,0),AE60*$BI60),AE60*$BI60),0)</f>
        <v>0</v>
      </c>
      <c r="CI60" s="319">
        <f>IF($BI60&lt;&gt;"",IF('Capacity summary'!$D$14="Yes",IF(COUNTBLANK('Capacity summary'!$H179:$BG179)&lt;52,IF('Capacity summary'!AF179&lt;&gt;"",$BI60*AF60,0),AF60*$BI60),AF60*$BI60),0)</f>
        <v>0</v>
      </c>
      <c r="CJ60" s="319">
        <f>IF($BI60&lt;&gt;"",IF('Capacity summary'!$D$14="Yes",IF(COUNTBLANK('Capacity summary'!$H179:$BG179)&lt;52,IF('Capacity summary'!AG179&lt;&gt;"",$BI60*AG60,0),AG60*$BI60),AG60*$BI60),0)</f>
        <v>0</v>
      </c>
      <c r="CK60" s="319">
        <f>IF($BI60&lt;&gt;"",IF('Capacity summary'!$D$14="Yes",IF(COUNTBLANK('Capacity summary'!$H179:$BG179)&lt;52,IF('Capacity summary'!AH179&lt;&gt;"",$BI60*AH60,0),AH60*$BI60),AH60*$BI60),0)</f>
        <v>0</v>
      </c>
      <c r="CL60" s="319">
        <f>IF($BI60&lt;&gt;"",IF('Capacity summary'!$D$14="Yes",IF(COUNTBLANK('Capacity summary'!$H179:$BG179)&lt;52,IF('Capacity summary'!AI179&lt;&gt;"",$BI60*AI60,0),AI60*$BI60),AI60*$BI60),0)</f>
        <v>0</v>
      </c>
      <c r="CM60" s="319">
        <f>IF($BI60&lt;&gt;"",IF('Capacity summary'!$D$14="Yes",IF(COUNTBLANK('Capacity summary'!$H179:$BG179)&lt;52,IF('Capacity summary'!AJ179&lt;&gt;"",$BI60*AJ60,0),AJ60*$BI60),AJ60*$BI60),0)</f>
        <v>0</v>
      </c>
      <c r="CN60" s="319">
        <f>IF($BI60&lt;&gt;"",IF('Capacity summary'!$D$14="Yes",IF(COUNTBLANK('Capacity summary'!$H179:$BG179)&lt;52,IF('Capacity summary'!AK179&lt;&gt;"",$BI60*AK60,0),AK60*$BI60),AK60*$BI60),0)</f>
        <v>0</v>
      </c>
      <c r="CO60" s="319">
        <f>IF($BI60&lt;&gt;"",IF('Capacity summary'!$D$14="Yes",IF(COUNTBLANK('Capacity summary'!$H179:$BG179)&lt;52,IF('Capacity summary'!AL179&lt;&gt;"",$BI60*AL60,0),AL60*$BI60),AL60*$BI60),0)</f>
        <v>0</v>
      </c>
      <c r="CP60" s="319">
        <f>IF($BI60&lt;&gt;"",IF('Capacity summary'!$D$14="Yes",IF(COUNTBLANK('Capacity summary'!$H179:$BG179)&lt;52,IF('Capacity summary'!AM179&lt;&gt;"",$BI60*AM60,0),AM60*$BI60),AM60*$BI60),0)</f>
        <v>0</v>
      </c>
      <c r="CQ60" s="319">
        <f>IF($BI60&lt;&gt;"",IF('Capacity summary'!$D$14="Yes",IF(COUNTBLANK('Capacity summary'!$H179:$BG179)&lt;52,IF('Capacity summary'!AN179&lt;&gt;"",$BI60*AN60,0),AN60*$BI60),AN60*$BI60),0)</f>
        <v>0</v>
      </c>
      <c r="CR60" s="319">
        <f>IF($BI60&lt;&gt;"",IF('Capacity summary'!$D$14="Yes",IF(COUNTBLANK('Capacity summary'!$H179:$BG179)&lt;52,IF('Capacity summary'!AO179&lt;&gt;"",$BI60*AO60,0),AO60*$BI60),AO60*$BI60),0)</f>
        <v>0</v>
      </c>
      <c r="CS60" s="319">
        <f>IF($BI60&lt;&gt;"",IF('Capacity summary'!$D$14="Yes",IF(COUNTBLANK('Capacity summary'!$H179:$BG179)&lt;52,IF('Capacity summary'!AP179&lt;&gt;"",$BI60*AP60,0),AP60*$BI60),AP60*$BI60),0)</f>
        <v>0</v>
      </c>
      <c r="CT60" s="319">
        <f>IF($BI60&lt;&gt;"",IF('Capacity summary'!$D$14="Yes",IF(COUNTBLANK('Capacity summary'!$H179:$BG179)&lt;52,IF('Capacity summary'!AQ179&lt;&gt;"",$BI60*AQ60,0),AQ60*$BI60),AQ60*$BI60),0)</f>
        <v>0</v>
      </c>
      <c r="CU60" s="319">
        <f>IF($BI60&lt;&gt;"",IF('Capacity summary'!$D$14="Yes",IF(COUNTBLANK('Capacity summary'!$H179:$BG179)&lt;52,IF('Capacity summary'!AR179&lt;&gt;"",$BI60*AR60,0),AR60*$BI60),AR60*$BI60),0)</f>
        <v>0</v>
      </c>
      <c r="CV60" s="319">
        <f>IF($BI60&lt;&gt;"",IF('Capacity summary'!$D$14="Yes",IF(COUNTBLANK('Capacity summary'!$H179:$BG179)&lt;52,IF('Capacity summary'!AS179&lt;&gt;"",$BI60*AS60,0),AS60*$BI60),AS60*$BI60),0)</f>
        <v>0</v>
      </c>
      <c r="CW60" s="319">
        <f>IF($BI60&lt;&gt;"",IF('Capacity summary'!$D$14="Yes",IF(COUNTBLANK('Capacity summary'!$H179:$BG179)&lt;52,IF('Capacity summary'!AT179&lt;&gt;"",$BI60*AT60,0),AT60*$BI60),AT60*$BI60),0)</f>
        <v>0</v>
      </c>
      <c r="CX60" s="319">
        <f>IF($BI60&lt;&gt;"",IF('Capacity summary'!$D$14="Yes",IF(COUNTBLANK('Capacity summary'!$H179:$BG179)&lt;52,IF('Capacity summary'!AU179&lt;&gt;"",$BI60*AU60,0),AU60*$BI60),AU60*$BI60),0)</f>
        <v>0</v>
      </c>
      <c r="CY60" s="319">
        <f>IF($BI60&lt;&gt;"",IF('Capacity summary'!$D$14="Yes",IF(COUNTBLANK('Capacity summary'!$H179:$BG179)&lt;52,IF('Capacity summary'!AV179&lt;&gt;"",$BI60*AV60,0),AV60*$BI60),AV60*$BI60),0)</f>
        <v>0</v>
      </c>
      <c r="CZ60" s="319">
        <f>IF($BI60&lt;&gt;"",IF('Capacity summary'!$D$14="Yes",IF(COUNTBLANK('Capacity summary'!$H179:$BG179)&lt;52,IF('Capacity summary'!AW179&lt;&gt;"",$BI60*AW60,0),AW60*$BI60),AW60*$BI60),0)</f>
        <v>0</v>
      </c>
      <c r="DA60" s="319">
        <f>IF($BI60&lt;&gt;"",IF('Capacity summary'!$D$14="Yes",IF(COUNTBLANK('Capacity summary'!$H179:$BG179)&lt;52,IF('Capacity summary'!AX179&lt;&gt;"",$BI60*AX60,0),AX60*$BI60),AX60*$BI60),0)</f>
        <v>0</v>
      </c>
      <c r="DB60" s="319">
        <f>IF($BI60&lt;&gt;"",IF('Capacity summary'!$D$14="Yes",IF(COUNTBLANK('Capacity summary'!$H179:$BG179)&lt;52,IF('Capacity summary'!AY179&lt;&gt;"",$BI60*AY60,0),AY60*$BI60),AY60*$BI60),0)</f>
        <v>0</v>
      </c>
      <c r="DC60" s="319">
        <f>IF($BI60&lt;&gt;"",IF('Capacity summary'!$D$14="Yes",IF(COUNTBLANK('Capacity summary'!$H179:$BG179)&lt;52,IF('Capacity summary'!AZ179&lt;&gt;"",$BI60*AZ60,0),AZ60*$BI60),AZ60*$BI60),0)</f>
        <v>0</v>
      </c>
      <c r="DD60" s="319">
        <f>IF($BI60&lt;&gt;"",IF('Capacity summary'!$D$14="Yes",IF(COUNTBLANK('Capacity summary'!$H179:$BG179)&lt;52,IF('Capacity summary'!BA179&lt;&gt;"",$BI60*BA60,0),BA60*$BI60),BA60*$BI60),0)</f>
        <v>0</v>
      </c>
      <c r="DE60" s="319">
        <f>IF($BI60&lt;&gt;"",IF('Capacity summary'!$D$14="Yes",IF(COUNTBLANK('Capacity summary'!$H179:$BG179)&lt;52,IF('Capacity summary'!BB179&lt;&gt;"",$BI60*BB60,0),BB60*$BI60),BB60*$BI60),0)</f>
        <v>0</v>
      </c>
      <c r="DF60" s="319">
        <f>IF($BI60&lt;&gt;"",IF('Capacity summary'!$D$14="Yes",IF(COUNTBLANK('Capacity summary'!$H179:$BG179)&lt;52,IF('Capacity summary'!BC179&lt;&gt;"",$BI60*BC60,0),BC60*$BI60),BC60*$BI60),0)</f>
        <v>0</v>
      </c>
      <c r="DG60" s="319">
        <f>IF($BI60&lt;&gt;"",IF('Capacity summary'!$D$14="Yes",IF(COUNTBLANK('Capacity summary'!$H179:$BG179)&lt;52,IF('Capacity summary'!BD179&lt;&gt;"",$BI60*BD60,0),BD60*$BI60),BD60*$BI60),0)</f>
        <v>0</v>
      </c>
      <c r="DH60" s="319">
        <f>IF($BI60&lt;&gt;"",IF('Capacity summary'!$D$14="Yes",IF(COUNTBLANK('Capacity summary'!$H179:$BG179)&lt;52,IF('Capacity summary'!BE179&lt;&gt;"",$BI60*BE60,0),BE60*$BI60),BE60*$BI60),0)</f>
        <v>0</v>
      </c>
      <c r="DI60" s="319">
        <f>IF($BI60&lt;&gt;"",IF('Capacity summary'!$D$14="Yes",IF(COUNTBLANK('Capacity summary'!$H179:$BG179)&lt;52,IF('Capacity summary'!BF179&lt;&gt;"",$BI60*BF60,0),BF60*$BI60),BF60*$BI60),0)</f>
        <v>0</v>
      </c>
      <c r="DJ60" s="319">
        <f>IF($BI60&lt;&gt;"",IF('Capacity summary'!$D$14="Yes",IF(COUNTBLANK('Capacity summary'!$H179:$BG179)&lt;52,IF('Capacity summary'!BG179&lt;&gt;"",$BI60*BG60,0),BG60*$BI60),BG60*$BI60),0)</f>
        <v>0</v>
      </c>
      <c r="DK60" s="5">
        <f t="shared" si="2"/>
        <v>0</v>
      </c>
      <c r="DL60" s="5" t="str">
        <f>Capacity!H72</f>
        <v/>
      </c>
    </row>
    <row r="61" spans="2:120" x14ac:dyDescent="0.2">
      <c r="B61" s="68"/>
      <c r="C61" s="68" t="str">
        <f>ROW(A57)&amp;". "&amp;Capacity!B73</f>
        <v xml:space="preserve">57. </v>
      </c>
      <c r="D61" s="68">
        <f>'Capacity setup'!C68</f>
        <v>0</v>
      </c>
      <c r="E61" s="68">
        <f>'Capacity setup'!D68</f>
        <v>0</v>
      </c>
      <c r="F61" s="68">
        <f>'Capacity setup'!E68</f>
        <v>0</v>
      </c>
      <c r="H61" s="68">
        <f ca="1">IF(AND(SUMIF(Capacity_Resource,$D61,'Critical resources (hide)'!U$6:U$105)+SUMIF(Capacity_Resource,$E61,'Critical resources (hide)'!U$6:U$105)+SUMIF(Capacity_Resource,$F61,'Critical resources (hide)'!U$6:U$105)&gt;0,$E$1=2),0,1)</f>
        <v>1</v>
      </c>
      <c r="I61" s="68">
        <f ca="1">IF(AND(SUMIF(Capacity_Resource,$D61,'Critical resources (hide)'!V$6:V$105)+SUMIF(Capacity_Resource,$E61,'Critical resources (hide)'!V$6:V$105)+SUMIF(Capacity_Resource,$F61,'Critical resources (hide)'!V$6:V$105)&gt;0,$E$1=2),0,1)</f>
        <v>1</v>
      </c>
      <c r="J61" s="68">
        <f ca="1">IF(AND(SUMIF(Capacity_Resource,$D61,'Critical resources (hide)'!W$6:W$105)+SUMIF(Capacity_Resource,$E61,'Critical resources (hide)'!W$6:W$105)+SUMIF(Capacity_Resource,$F61,'Critical resources (hide)'!W$6:W$105)&gt;0,$E$1=2),0,1)</f>
        <v>1</v>
      </c>
      <c r="K61" s="68">
        <f ca="1">IF(AND(SUMIF(Capacity_Resource,$D61,'Critical resources (hide)'!X$6:X$105)+SUMIF(Capacity_Resource,$E61,'Critical resources (hide)'!X$6:X$105)+SUMIF(Capacity_Resource,$F61,'Critical resources (hide)'!X$6:X$105)&gt;0,$E$1=2),0,1)</f>
        <v>1</v>
      </c>
      <c r="L61" s="68">
        <f ca="1">IF(AND(SUMIF(Capacity_Resource,$D61,'Critical resources (hide)'!Y$6:Y$105)+SUMIF(Capacity_Resource,$E61,'Critical resources (hide)'!Y$6:Y$105)+SUMIF(Capacity_Resource,$F61,'Critical resources (hide)'!Y$6:Y$105)&gt;0,$E$1=2),0,1)</f>
        <v>1</v>
      </c>
      <c r="M61" s="68">
        <f ca="1">IF(AND(SUMIF(Capacity_Resource,$D61,'Critical resources (hide)'!Z$6:Z$105)+SUMIF(Capacity_Resource,$E61,'Critical resources (hide)'!Z$6:Z$105)+SUMIF(Capacity_Resource,$F61,'Critical resources (hide)'!Z$6:Z$105)&gt;0,$E$1=2),0,1)</f>
        <v>1</v>
      </c>
      <c r="N61" s="68">
        <f ca="1">IF(AND(SUMIF(Capacity_Resource,$D61,'Critical resources (hide)'!AA$6:AA$105)+SUMIF(Capacity_Resource,$E61,'Critical resources (hide)'!AA$6:AA$105)+SUMIF(Capacity_Resource,$F61,'Critical resources (hide)'!AA$6:AA$105)&gt;0,$E$1=2),0,1)</f>
        <v>1</v>
      </c>
      <c r="O61" s="68">
        <f ca="1">IF(AND(SUMIF(Capacity_Resource,$D61,'Critical resources (hide)'!AB$6:AB$105)+SUMIF(Capacity_Resource,$E61,'Critical resources (hide)'!AB$6:AB$105)+SUMIF(Capacity_Resource,$F61,'Critical resources (hide)'!AB$6:AB$105)&gt;0,$E$1=2),0,1)</f>
        <v>1</v>
      </c>
      <c r="P61" s="68">
        <f ca="1">IF(AND(SUMIF(Capacity_Resource,$D61,'Critical resources (hide)'!AC$6:AC$105)+SUMIF(Capacity_Resource,$E61,'Critical resources (hide)'!AC$6:AC$105)+SUMIF(Capacity_Resource,$F61,'Critical resources (hide)'!AC$6:AC$105)&gt;0,$E$1=2),0,1)</f>
        <v>1</v>
      </c>
      <c r="Q61" s="68">
        <f ca="1">IF(AND(SUMIF(Capacity_Resource,$D61,'Critical resources (hide)'!AD$6:AD$105)+SUMIF(Capacity_Resource,$E61,'Critical resources (hide)'!AD$6:AD$105)+SUMIF(Capacity_Resource,$F61,'Critical resources (hide)'!AD$6:AD$105)&gt;0,$E$1=2),0,1)</f>
        <v>1</v>
      </c>
      <c r="R61" s="68">
        <f ca="1">IF(AND(SUMIF(Capacity_Resource,$D61,'Critical resources (hide)'!AE$6:AE$105)+SUMIF(Capacity_Resource,$E61,'Critical resources (hide)'!AE$6:AE$105)+SUMIF(Capacity_Resource,$F61,'Critical resources (hide)'!AE$6:AE$105)&gt;0,$E$1=2),0,1)</f>
        <v>1</v>
      </c>
      <c r="S61" s="68">
        <f ca="1">IF(AND(SUMIF(Capacity_Resource,$D61,'Critical resources (hide)'!AF$6:AF$105)+SUMIF(Capacity_Resource,$E61,'Critical resources (hide)'!AF$6:AF$105)+SUMIF(Capacity_Resource,$F61,'Critical resources (hide)'!AF$6:AF$105)&gt;0,$E$1=2),0,1)</f>
        <v>1</v>
      </c>
      <c r="T61" s="68">
        <f ca="1">IF(AND(SUMIF(Capacity_Resource,$D61,'Critical resources (hide)'!AG$6:AG$105)+SUMIF(Capacity_Resource,$E61,'Critical resources (hide)'!AG$6:AG$105)+SUMIF(Capacity_Resource,$F61,'Critical resources (hide)'!AG$6:AG$105)&gt;0,$E$1=2),0,1)</f>
        <v>1</v>
      </c>
      <c r="U61" s="68">
        <f ca="1">IF(AND(SUMIF(Capacity_Resource,$D61,'Critical resources (hide)'!AH$6:AH$105)+SUMIF(Capacity_Resource,$E61,'Critical resources (hide)'!AH$6:AH$105)+SUMIF(Capacity_Resource,$F61,'Critical resources (hide)'!AH$6:AH$105)&gt;0,$E$1=2),0,1)</f>
        <v>1</v>
      </c>
      <c r="V61" s="68">
        <f ca="1">IF(AND(SUMIF(Capacity_Resource,$D61,'Critical resources (hide)'!AI$6:AI$105)+SUMIF(Capacity_Resource,$E61,'Critical resources (hide)'!AI$6:AI$105)+SUMIF(Capacity_Resource,$F61,'Critical resources (hide)'!AI$6:AI$105)&gt;0,$E$1=2),0,1)</f>
        <v>1</v>
      </c>
      <c r="W61" s="68">
        <f ca="1">IF(AND(SUMIF(Capacity_Resource,$D61,'Critical resources (hide)'!AJ$6:AJ$105)+SUMIF(Capacity_Resource,$E61,'Critical resources (hide)'!AJ$6:AJ$105)+SUMIF(Capacity_Resource,$F61,'Critical resources (hide)'!AJ$6:AJ$105)&gt;0,$E$1=2),0,1)</f>
        <v>1</v>
      </c>
      <c r="X61" s="68">
        <f ca="1">IF(AND(SUMIF(Capacity_Resource,$D61,'Critical resources (hide)'!AK$6:AK$105)+SUMIF(Capacity_Resource,$E61,'Critical resources (hide)'!AK$6:AK$105)+SUMIF(Capacity_Resource,$F61,'Critical resources (hide)'!AK$6:AK$105)&gt;0,$E$1=2),0,1)</f>
        <v>1</v>
      </c>
      <c r="Y61" s="68">
        <f ca="1">IF(AND(SUMIF(Capacity_Resource,$D61,'Critical resources (hide)'!AL$6:AL$105)+SUMIF(Capacity_Resource,$E61,'Critical resources (hide)'!AL$6:AL$105)+SUMIF(Capacity_Resource,$F61,'Critical resources (hide)'!AL$6:AL$105)&gt;0,$E$1=2),0,1)</f>
        <v>1</v>
      </c>
      <c r="Z61" s="68">
        <f ca="1">IF(AND(SUMIF(Capacity_Resource,$D61,'Critical resources (hide)'!AM$6:AM$105)+SUMIF(Capacity_Resource,$E61,'Critical resources (hide)'!AM$6:AM$105)+SUMIF(Capacity_Resource,$F61,'Critical resources (hide)'!AM$6:AM$105)&gt;0,$E$1=2),0,1)</f>
        <v>1</v>
      </c>
      <c r="AA61" s="68">
        <f ca="1">IF(AND(SUMIF(Capacity_Resource,$D61,'Critical resources (hide)'!AN$6:AN$105)+SUMIF(Capacity_Resource,$E61,'Critical resources (hide)'!AN$6:AN$105)+SUMIF(Capacity_Resource,$F61,'Critical resources (hide)'!AN$6:AN$105)&gt;0,$E$1=2),0,1)</f>
        <v>1</v>
      </c>
      <c r="AB61" s="68">
        <f ca="1">IF(AND(SUMIF(Capacity_Resource,$D61,'Critical resources (hide)'!AO$6:AO$105)+SUMIF(Capacity_Resource,$E61,'Critical resources (hide)'!AO$6:AO$105)+SUMIF(Capacity_Resource,$F61,'Critical resources (hide)'!AO$6:AO$105)&gt;0,$E$1=2),0,1)</f>
        <v>1</v>
      </c>
      <c r="AC61" s="68">
        <f ca="1">IF(AND(SUMIF(Capacity_Resource,$D61,'Critical resources (hide)'!AP$6:AP$105)+SUMIF(Capacity_Resource,$E61,'Critical resources (hide)'!AP$6:AP$105)+SUMIF(Capacity_Resource,$F61,'Critical resources (hide)'!AP$6:AP$105)&gt;0,$E$1=2),0,1)</f>
        <v>1</v>
      </c>
      <c r="AD61" s="68">
        <f ca="1">IF(AND(SUMIF(Capacity_Resource,$D61,'Critical resources (hide)'!AQ$6:AQ$105)+SUMIF(Capacity_Resource,$E61,'Critical resources (hide)'!AQ$6:AQ$105)+SUMIF(Capacity_Resource,$F61,'Critical resources (hide)'!AQ$6:AQ$105)&gt;0,$E$1=2),0,1)</f>
        <v>1</v>
      </c>
      <c r="AE61" s="68">
        <f ca="1">IF(AND(SUMIF(Capacity_Resource,$D61,'Critical resources (hide)'!AR$6:AR$105)+SUMIF(Capacity_Resource,$E61,'Critical resources (hide)'!AR$6:AR$105)+SUMIF(Capacity_Resource,$F61,'Critical resources (hide)'!AR$6:AR$105)&gt;0,$E$1=2),0,1)</f>
        <v>1</v>
      </c>
      <c r="AF61" s="68">
        <f ca="1">IF(AND(SUMIF(Capacity_Resource,$D61,'Critical resources (hide)'!AS$6:AS$105)+SUMIF(Capacity_Resource,$E61,'Critical resources (hide)'!AS$6:AS$105)+SUMIF(Capacity_Resource,$F61,'Critical resources (hide)'!AS$6:AS$105)&gt;0,$E$1=2),0,1)</f>
        <v>1</v>
      </c>
      <c r="AG61" s="68">
        <f ca="1">IF(AND(SUMIF(Capacity_Resource,$D61,'Critical resources (hide)'!AT$6:AT$105)+SUMIF(Capacity_Resource,$E61,'Critical resources (hide)'!AT$6:AT$105)+SUMIF(Capacity_Resource,$F61,'Critical resources (hide)'!AT$6:AT$105)&gt;0,$E$1=2),0,1)</f>
        <v>1</v>
      </c>
      <c r="AH61" s="68">
        <f ca="1">IF(AND(SUMIF(Capacity_Resource,$D61,'Critical resources (hide)'!AU$6:AU$105)+SUMIF(Capacity_Resource,$E61,'Critical resources (hide)'!AU$6:AU$105)+SUMIF(Capacity_Resource,$F61,'Critical resources (hide)'!AU$6:AU$105)&gt;0,$E$1=2),0,1)</f>
        <v>1</v>
      </c>
      <c r="AI61" s="68">
        <f ca="1">IF(AND(SUMIF(Capacity_Resource,$D61,'Critical resources (hide)'!AV$6:AV$105)+SUMIF(Capacity_Resource,$E61,'Critical resources (hide)'!AV$6:AV$105)+SUMIF(Capacity_Resource,$F61,'Critical resources (hide)'!AV$6:AV$105)&gt;0,$E$1=2),0,1)</f>
        <v>1</v>
      </c>
      <c r="AJ61" s="68">
        <f ca="1">IF(AND(SUMIF(Capacity_Resource,$D61,'Critical resources (hide)'!AW$6:AW$105)+SUMIF(Capacity_Resource,$E61,'Critical resources (hide)'!AW$6:AW$105)+SUMIF(Capacity_Resource,$F61,'Critical resources (hide)'!AW$6:AW$105)&gt;0,$E$1=2),0,1)</f>
        <v>1</v>
      </c>
      <c r="AK61" s="68">
        <f ca="1">IF(AND(SUMIF(Capacity_Resource,$D61,'Critical resources (hide)'!AX$6:AX$105)+SUMIF(Capacity_Resource,$E61,'Critical resources (hide)'!AX$6:AX$105)+SUMIF(Capacity_Resource,$F61,'Critical resources (hide)'!AX$6:AX$105)&gt;0,$E$1=2),0,1)</f>
        <v>1</v>
      </c>
      <c r="AL61" s="68">
        <f ca="1">IF(AND(SUMIF(Capacity_Resource,$D61,'Critical resources (hide)'!AY$6:AY$105)+SUMIF(Capacity_Resource,$E61,'Critical resources (hide)'!AY$6:AY$105)+SUMIF(Capacity_Resource,$F61,'Critical resources (hide)'!AY$6:AY$105)&gt;0,$E$1=2),0,1)</f>
        <v>1</v>
      </c>
      <c r="AM61" s="68">
        <f ca="1">IF(AND(SUMIF(Capacity_Resource,$D61,'Critical resources (hide)'!AZ$6:AZ$105)+SUMIF(Capacity_Resource,$E61,'Critical resources (hide)'!AZ$6:AZ$105)+SUMIF(Capacity_Resource,$F61,'Critical resources (hide)'!AZ$6:AZ$105)&gt;0,$E$1=2),0,1)</f>
        <v>1</v>
      </c>
      <c r="AN61" s="68">
        <f ca="1">IF(AND(SUMIF(Capacity_Resource,$D61,'Critical resources (hide)'!BA$6:BA$105)+SUMIF(Capacity_Resource,$E61,'Critical resources (hide)'!BA$6:BA$105)+SUMIF(Capacity_Resource,$F61,'Critical resources (hide)'!BA$6:BA$105)&gt;0,$E$1=2),0,1)</f>
        <v>1</v>
      </c>
      <c r="AO61" s="68">
        <f ca="1">IF(AND(SUMIF(Capacity_Resource,$D61,'Critical resources (hide)'!BB$6:BB$105)+SUMIF(Capacity_Resource,$E61,'Critical resources (hide)'!BB$6:BB$105)+SUMIF(Capacity_Resource,$F61,'Critical resources (hide)'!BB$6:BB$105)&gt;0,$E$1=2),0,1)</f>
        <v>1</v>
      </c>
      <c r="AP61" s="68">
        <f ca="1">IF(AND(SUMIF(Capacity_Resource,$D61,'Critical resources (hide)'!BC$6:BC$105)+SUMIF(Capacity_Resource,$E61,'Critical resources (hide)'!BC$6:BC$105)+SUMIF(Capacity_Resource,$F61,'Critical resources (hide)'!BC$6:BC$105)&gt;0,$E$1=2),0,1)</f>
        <v>1</v>
      </c>
      <c r="AQ61" s="68">
        <f ca="1">IF(AND(SUMIF(Capacity_Resource,$D61,'Critical resources (hide)'!BD$6:BD$105)+SUMIF(Capacity_Resource,$E61,'Critical resources (hide)'!BD$6:BD$105)+SUMIF(Capacity_Resource,$F61,'Critical resources (hide)'!BD$6:BD$105)&gt;0,$E$1=2),0,1)</f>
        <v>1</v>
      </c>
      <c r="AR61" s="68">
        <f ca="1">IF(AND(SUMIF(Capacity_Resource,$D61,'Critical resources (hide)'!BE$6:BE$105)+SUMIF(Capacity_Resource,$E61,'Critical resources (hide)'!BE$6:BE$105)+SUMIF(Capacity_Resource,$F61,'Critical resources (hide)'!BE$6:BE$105)&gt;0,$E$1=2),0,1)</f>
        <v>1</v>
      </c>
      <c r="AS61" s="68">
        <f ca="1">IF(AND(SUMIF(Capacity_Resource,$D61,'Critical resources (hide)'!BF$6:BF$105)+SUMIF(Capacity_Resource,$E61,'Critical resources (hide)'!BF$6:BF$105)+SUMIF(Capacity_Resource,$F61,'Critical resources (hide)'!BF$6:BF$105)&gt;0,$E$1=2),0,1)</f>
        <v>1</v>
      </c>
      <c r="AT61" s="68">
        <f ca="1">IF(AND(SUMIF(Capacity_Resource,$D61,'Critical resources (hide)'!BG$6:BG$105)+SUMIF(Capacity_Resource,$E61,'Critical resources (hide)'!BG$6:BG$105)+SUMIF(Capacity_Resource,$F61,'Critical resources (hide)'!BG$6:BG$105)&gt;0,$E$1=2),0,1)</f>
        <v>1</v>
      </c>
      <c r="AU61" s="68">
        <f ca="1">IF(AND(SUMIF(Capacity_Resource,$D61,'Critical resources (hide)'!BH$6:BH$105)+SUMIF(Capacity_Resource,$E61,'Critical resources (hide)'!BH$6:BH$105)+SUMIF(Capacity_Resource,$F61,'Critical resources (hide)'!BH$6:BH$105)&gt;0,$E$1=2),0,1)</f>
        <v>1</v>
      </c>
      <c r="AV61" s="68">
        <f ca="1">IF(AND(SUMIF(Capacity_Resource,$D61,'Critical resources (hide)'!BI$6:BI$105)+SUMIF(Capacity_Resource,$E61,'Critical resources (hide)'!BI$6:BI$105)+SUMIF(Capacity_Resource,$F61,'Critical resources (hide)'!BI$6:BI$105)&gt;0,$E$1=2),0,1)</f>
        <v>1</v>
      </c>
      <c r="AW61" s="68">
        <f ca="1">IF(AND(SUMIF(Capacity_Resource,$D61,'Critical resources (hide)'!BJ$6:BJ$105)+SUMIF(Capacity_Resource,$E61,'Critical resources (hide)'!BJ$6:BJ$105)+SUMIF(Capacity_Resource,$F61,'Critical resources (hide)'!BJ$6:BJ$105)&gt;0,$E$1=2),0,1)</f>
        <v>1</v>
      </c>
      <c r="AX61" s="68">
        <f ca="1">IF(AND(SUMIF(Capacity_Resource,$D61,'Critical resources (hide)'!BK$6:BK$105)+SUMIF(Capacity_Resource,$E61,'Critical resources (hide)'!BK$6:BK$105)+SUMIF(Capacity_Resource,$F61,'Critical resources (hide)'!BK$6:BK$105)&gt;0,$E$1=2),0,1)</f>
        <v>1</v>
      </c>
      <c r="AY61" s="68">
        <f ca="1">IF(AND(SUMIF(Capacity_Resource,$D61,'Critical resources (hide)'!BL$6:BL$105)+SUMIF(Capacity_Resource,$E61,'Critical resources (hide)'!BL$6:BL$105)+SUMIF(Capacity_Resource,$F61,'Critical resources (hide)'!BL$6:BL$105)&gt;0,$E$1=2),0,1)</f>
        <v>1</v>
      </c>
      <c r="AZ61" s="68">
        <f ca="1">IF(AND(SUMIF(Capacity_Resource,$D61,'Critical resources (hide)'!BM$6:BM$105)+SUMIF(Capacity_Resource,$E61,'Critical resources (hide)'!BM$6:BM$105)+SUMIF(Capacity_Resource,$F61,'Critical resources (hide)'!BM$6:BM$105)&gt;0,$E$1=2),0,1)</f>
        <v>1</v>
      </c>
      <c r="BA61" s="68">
        <f ca="1">IF(AND(SUMIF(Capacity_Resource,$D61,'Critical resources (hide)'!BN$6:BN$105)+SUMIF(Capacity_Resource,$E61,'Critical resources (hide)'!BN$6:BN$105)+SUMIF(Capacity_Resource,$F61,'Critical resources (hide)'!BN$6:BN$105)&gt;0,$E$1=2),0,1)</f>
        <v>1</v>
      </c>
      <c r="BB61" s="68">
        <f ca="1">IF(AND(SUMIF(Capacity_Resource,$D61,'Critical resources (hide)'!BO$6:BO$105)+SUMIF(Capacity_Resource,$E61,'Critical resources (hide)'!BO$6:BO$105)+SUMIF(Capacity_Resource,$F61,'Critical resources (hide)'!BO$6:BO$105)&gt;0,$E$1=2),0,1)</f>
        <v>1</v>
      </c>
      <c r="BC61" s="68">
        <f ca="1">IF(AND(SUMIF(Capacity_Resource,$D61,'Critical resources (hide)'!BP$6:BP$105)+SUMIF(Capacity_Resource,$E61,'Critical resources (hide)'!BP$6:BP$105)+SUMIF(Capacity_Resource,$F61,'Critical resources (hide)'!BP$6:BP$105)&gt;0,$E$1=2),0,1)</f>
        <v>1</v>
      </c>
      <c r="BD61" s="68">
        <f ca="1">IF(AND(SUMIF(Capacity_Resource,$D61,'Critical resources (hide)'!BQ$6:BQ$105)+SUMIF(Capacity_Resource,$E61,'Critical resources (hide)'!BQ$6:BQ$105)+SUMIF(Capacity_Resource,$F61,'Critical resources (hide)'!BQ$6:BQ$105)&gt;0,$E$1=2),0,1)</f>
        <v>1</v>
      </c>
      <c r="BE61" s="68">
        <f ca="1">IF(AND(SUMIF(Capacity_Resource,$D61,'Critical resources (hide)'!BR$6:BR$105)+SUMIF(Capacity_Resource,$E61,'Critical resources (hide)'!BR$6:BR$105)+SUMIF(Capacity_Resource,$F61,'Critical resources (hide)'!BR$6:BR$105)&gt;0,$E$1=2),0,1)</f>
        <v>1</v>
      </c>
      <c r="BF61" s="68">
        <f ca="1">IF(AND(SUMIF(Capacity_Resource,$D61,'Critical resources (hide)'!BS$6:BS$105)+SUMIF(Capacity_Resource,$E61,'Critical resources (hide)'!BS$6:BS$105)+SUMIF(Capacity_Resource,$F61,'Critical resources (hide)'!BS$6:BS$105)&gt;0,$E$1=2),0,1)</f>
        <v>1</v>
      </c>
      <c r="BG61" s="68">
        <f ca="1">IF(AND(SUMIF(Capacity_Resource,$D61,'Critical resources (hide)'!BT$6:BT$105)+SUMIF(Capacity_Resource,$E61,'Critical resources (hide)'!BT$6:BT$105)+SUMIF(Capacity_Resource,$F61,'Critical resources (hide)'!BT$6:BT$105)&gt;0,$E$1=2),0,1)</f>
        <v>1</v>
      </c>
      <c r="BH61" s="68">
        <f>IF(ROW(C57)&lt;=Capacity!$A$16,IF('Capacity summary'!$D$14="No",SUM(H61:BG61),'Capacity summary'!$E180),0)</f>
        <v>0</v>
      </c>
      <c r="BI61" s="5" t="str">
        <f>IF(BH61&gt;0,IF(BH61&lt;Capacity!E73,Capacity!F73,Capacity!H73/'Capacity calculation (hide)'!BH61),"")</f>
        <v/>
      </c>
      <c r="BK61" s="319">
        <f>IF($BI61&lt;&gt;"",IF('Capacity summary'!$D$14="Yes",IF(COUNTBLANK('Capacity summary'!$H180:$BG180)&lt;52,IF('Capacity summary'!H180&lt;&gt;"",$BI61*H61,0),H61*$BI61),H61*$BI61),0)</f>
        <v>0</v>
      </c>
      <c r="BL61" s="319">
        <f>IF($BI61&lt;&gt;"",IF('Capacity summary'!$D$14="Yes",IF(COUNTBLANK('Capacity summary'!$H180:$BG180)&lt;52,IF('Capacity summary'!I180&lt;&gt;"",$BI61*I61,0),I61*$BI61),I61*$BI61),0)</f>
        <v>0</v>
      </c>
      <c r="BM61" s="319">
        <f>IF($BI61&lt;&gt;"",IF('Capacity summary'!$D$14="Yes",IF(COUNTBLANK('Capacity summary'!$H180:$BG180)&lt;52,IF('Capacity summary'!J180&lt;&gt;"",$BI61*J61,0),J61*$BI61),J61*$BI61),0)</f>
        <v>0</v>
      </c>
      <c r="BN61" s="319">
        <f>IF($BI61&lt;&gt;"",IF('Capacity summary'!$D$14="Yes",IF(COUNTBLANK('Capacity summary'!$H180:$BG180)&lt;52,IF('Capacity summary'!K180&lt;&gt;"",$BI61*K61,0),K61*$BI61),K61*$BI61),0)</f>
        <v>0</v>
      </c>
      <c r="BO61" s="319">
        <f>IF($BI61&lt;&gt;"",IF('Capacity summary'!$D$14="Yes",IF(COUNTBLANK('Capacity summary'!$H180:$BG180)&lt;52,IF('Capacity summary'!L180&lt;&gt;"",$BI61*L61,0),L61*$BI61),L61*$BI61),0)</f>
        <v>0</v>
      </c>
      <c r="BP61" s="319">
        <f>IF($BI61&lt;&gt;"",IF('Capacity summary'!$D$14="Yes",IF(COUNTBLANK('Capacity summary'!$H180:$BG180)&lt;52,IF('Capacity summary'!M180&lt;&gt;"",$BI61*M61,0),M61*$BI61),M61*$BI61),0)</f>
        <v>0</v>
      </c>
      <c r="BQ61" s="319">
        <f>IF($BI61&lt;&gt;"",IF('Capacity summary'!$D$14="Yes",IF(COUNTBLANK('Capacity summary'!$H180:$BG180)&lt;52,IF('Capacity summary'!N180&lt;&gt;"",$BI61*N61,0),N61*$BI61),N61*$BI61),0)</f>
        <v>0</v>
      </c>
      <c r="BR61" s="319">
        <f>IF($BI61&lt;&gt;"",IF('Capacity summary'!$D$14="Yes",IF(COUNTBLANK('Capacity summary'!$H180:$BG180)&lt;52,IF('Capacity summary'!O180&lt;&gt;"",$BI61*O61,0),O61*$BI61),O61*$BI61),0)</f>
        <v>0</v>
      </c>
      <c r="BS61" s="319">
        <f>IF($BI61&lt;&gt;"",IF('Capacity summary'!$D$14="Yes",IF(COUNTBLANK('Capacity summary'!$H180:$BG180)&lt;52,IF('Capacity summary'!P180&lt;&gt;"",$BI61*P61,0),P61*$BI61),P61*$BI61),0)</f>
        <v>0</v>
      </c>
      <c r="BT61" s="319">
        <f>IF($BI61&lt;&gt;"",IF('Capacity summary'!$D$14="Yes",IF(COUNTBLANK('Capacity summary'!$H180:$BG180)&lt;52,IF('Capacity summary'!Q180&lt;&gt;"",$BI61*Q61,0),Q61*$BI61),Q61*$BI61),0)</f>
        <v>0</v>
      </c>
      <c r="BU61" s="319">
        <f>IF($BI61&lt;&gt;"",IF('Capacity summary'!$D$14="Yes",IF(COUNTBLANK('Capacity summary'!$H180:$BG180)&lt;52,IF('Capacity summary'!R180&lt;&gt;"",$BI61*R61,0),R61*$BI61),R61*$BI61),0)</f>
        <v>0</v>
      </c>
      <c r="BV61" s="319">
        <f>IF($BI61&lt;&gt;"",IF('Capacity summary'!$D$14="Yes",IF(COUNTBLANK('Capacity summary'!$H180:$BG180)&lt;52,IF('Capacity summary'!S180&lt;&gt;"",$BI61*S61,0),S61*$BI61),S61*$BI61),0)</f>
        <v>0</v>
      </c>
      <c r="BW61" s="319">
        <f>IF($BI61&lt;&gt;"",IF('Capacity summary'!$D$14="Yes",IF(COUNTBLANK('Capacity summary'!$H180:$BG180)&lt;52,IF('Capacity summary'!T180&lt;&gt;"",$BI61*T61,0),T61*$BI61),T61*$BI61),0)</f>
        <v>0</v>
      </c>
      <c r="BX61" s="319">
        <f>IF($BI61&lt;&gt;"",IF('Capacity summary'!$D$14="Yes",IF(COUNTBLANK('Capacity summary'!$H180:$BG180)&lt;52,IF('Capacity summary'!U180&lt;&gt;"",$BI61*U61,0),U61*$BI61),U61*$BI61),0)</f>
        <v>0</v>
      </c>
      <c r="BY61" s="319">
        <f>IF($BI61&lt;&gt;"",IF('Capacity summary'!$D$14="Yes",IF(COUNTBLANK('Capacity summary'!$H180:$BG180)&lt;52,IF('Capacity summary'!V180&lt;&gt;"",$BI61*V61,0),V61*$BI61),V61*$BI61),0)</f>
        <v>0</v>
      </c>
      <c r="BZ61" s="319">
        <f>IF($BI61&lt;&gt;"",IF('Capacity summary'!$D$14="Yes",IF(COUNTBLANK('Capacity summary'!$H180:$BG180)&lt;52,IF('Capacity summary'!W180&lt;&gt;"",$BI61*W61,0),W61*$BI61),W61*$BI61),0)</f>
        <v>0</v>
      </c>
      <c r="CA61" s="319">
        <f>IF($BI61&lt;&gt;"",IF('Capacity summary'!$D$14="Yes",IF(COUNTBLANK('Capacity summary'!$H180:$BG180)&lt;52,IF('Capacity summary'!X180&lt;&gt;"",$BI61*X61,0),X61*$BI61),X61*$BI61),0)</f>
        <v>0</v>
      </c>
      <c r="CB61" s="319">
        <f>IF($BI61&lt;&gt;"",IF('Capacity summary'!$D$14="Yes",IF(COUNTBLANK('Capacity summary'!$H180:$BG180)&lt;52,IF('Capacity summary'!Y180&lt;&gt;"",$BI61*Y61,0),Y61*$BI61),Y61*$BI61),0)</f>
        <v>0</v>
      </c>
      <c r="CC61" s="319">
        <f>IF($BI61&lt;&gt;"",IF('Capacity summary'!$D$14="Yes",IF(COUNTBLANK('Capacity summary'!$H180:$BG180)&lt;52,IF('Capacity summary'!Z180&lt;&gt;"",$BI61*Z61,0),Z61*$BI61),Z61*$BI61),0)</f>
        <v>0</v>
      </c>
      <c r="CD61" s="319">
        <f>IF($BI61&lt;&gt;"",IF('Capacity summary'!$D$14="Yes",IF(COUNTBLANK('Capacity summary'!$H180:$BG180)&lt;52,IF('Capacity summary'!AA180&lt;&gt;"",$BI61*AA61,0),AA61*$BI61),AA61*$BI61),0)</f>
        <v>0</v>
      </c>
      <c r="CE61" s="319">
        <f>IF($BI61&lt;&gt;"",IF('Capacity summary'!$D$14="Yes",IF(COUNTBLANK('Capacity summary'!$H180:$BG180)&lt;52,IF('Capacity summary'!AB180&lt;&gt;"",$BI61*AB61,0),AB61*$BI61),AB61*$BI61),0)</f>
        <v>0</v>
      </c>
      <c r="CF61" s="319">
        <f>IF($BI61&lt;&gt;"",IF('Capacity summary'!$D$14="Yes",IF(COUNTBLANK('Capacity summary'!$H180:$BG180)&lt;52,IF('Capacity summary'!AC180&lt;&gt;"",$BI61*AC61,0),AC61*$BI61),AC61*$BI61),0)</f>
        <v>0</v>
      </c>
      <c r="CG61" s="319">
        <f>IF($BI61&lt;&gt;"",IF('Capacity summary'!$D$14="Yes",IF(COUNTBLANK('Capacity summary'!$H180:$BG180)&lt;52,IF('Capacity summary'!AD180&lt;&gt;"",$BI61*AD61,0),AD61*$BI61),AD61*$BI61),0)</f>
        <v>0</v>
      </c>
      <c r="CH61" s="319">
        <f>IF($BI61&lt;&gt;"",IF('Capacity summary'!$D$14="Yes",IF(COUNTBLANK('Capacity summary'!$H180:$BG180)&lt;52,IF('Capacity summary'!AE180&lt;&gt;"",$BI61*AE61,0),AE61*$BI61),AE61*$BI61),0)</f>
        <v>0</v>
      </c>
      <c r="CI61" s="319">
        <f>IF($BI61&lt;&gt;"",IF('Capacity summary'!$D$14="Yes",IF(COUNTBLANK('Capacity summary'!$H180:$BG180)&lt;52,IF('Capacity summary'!AF180&lt;&gt;"",$BI61*AF61,0),AF61*$BI61),AF61*$BI61),0)</f>
        <v>0</v>
      </c>
      <c r="CJ61" s="319">
        <f>IF($BI61&lt;&gt;"",IF('Capacity summary'!$D$14="Yes",IF(COUNTBLANK('Capacity summary'!$H180:$BG180)&lt;52,IF('Capacity summary'!AG180&lt;&gt;"",$BI61*AG61,0),AG61*$BI61),AG61*$BI61),0)</f>
        <v>0</v>
      </c>
      <c r="CK61" s="319">
        <f>IF($BI61&lt;&gt;"",IF('Capacity summary'!$D$14="Yes",IF(COUNTBLANK('Capacity summary'!$H180:$BG180)&lt;52,IF('Capacity summary'!AH180&lt;&gt;"",$BI61*AH61,0),AH61*$BI61),AH61*$BI61),0)</f>
        <v>0</v>
      </c>
      <c r="CL61" s="319">
        <f>IF($BI61&lt;&gt;"",IF('Capacity summary'!$D$14="Yes",IF(COUNTBLANK('Capacity summary'!$H180:$BG180)&lt;52,IF('Capacity summary'!AI180&lt;&gt;"",$BI61*AI61,0),AI61*$BI61),AI61*$BI61),0)</f>
        <v>0</v>
      </c>
      <c r="CM61" s="319">
        <f>IF($BI61&lt;&gt;"",IF('Capacity summary'!$D$14="Yes",IF(COUNTBLANK('Capacity summary'!$H180:$BG180)&lt;52,IF('Capacity summary'!AJ180&lt;&gt;"",$BI61*AJ61,0),AJ61*$BI61),AJ61*$BI61),0)</f>
        <v>0</v>
      </c>
      <c r="CN61" s="319">
        <f>IF($BI61&lt;&gt;"",IF('Capacity summary'!$D$14="Yes",IF(COUNTBLANK('Capacity summary'!$H180:$BG180)&lt;52,IF('Capacity summary'!AK180&lt;&gt;"",$BI61*AK61,0),AK61*$BI61),AK61*$BI61),0)</f>
        <v>0</v>
      </c>
      <c r="CO61" s="319">
        <f>IF($BI61&lt;&gt;"",IF('Capacity summary'!$D$14="Yes",IF(COUNTBLANK('Capacity summary'!$H180:$BG180)&lt;52,IF('Capacity summary'!AL180&lt;&gt;"",$BI61*AL61,0),AL61*$BI61),AL61*$BI61),0)</f>
        <v>0</v>
      </c>
      <c r="CP61" s="319">
        <f>IF($BI61&lt;&gt;"",IF('Capacity summary'!$D$14="Yes",IF(COUNTBLANK('Capacity summary'!$H180:$BG180)&lt;52,IF('Capacity summary'!AM180&lt;&gt;"",$BI61*AM61,0),AM61*$BI61),AM61*$BI61),0)</f>
        <v>0</v>
      </c>
      <c r="CQ61" s="319">
        <f>IF($BI61&lt;&gt;"",IF('Capacity summary'!$D$14="Yes",IF(COUNTBLANK('Capacity summary'!$H180:$BG180)&lt;52,IF('Capacity summary'!AN180&lt;&gt;"",$BI61*AN61,0),AN61*$BI61),AN61*$BI61),0)</f>
        <v>0</v>
      </c>
      <c r="CR61" s="319">
        <f>IF($BI61&lt;&gt;"",IF('Capacity summary'!$D$14="Yes",IF(COUNTBLANK('Capacity summary'!$H180:$BG180)&lt;52,IF('Capacity summary'!AO180&lt;&gt;"",$BI61*AO61,0),AO61*$BI61),AO61*$BI61),0)</f>
        <v>0</v>
      </c>
      <c r="CS61" s="319">
        <f>IF($BI61&lt;&gt;"",IF('Capacity summary'!$D$14="Yes",IF(COUNTBLANK('Capacity summary'!$H180:$BG180)&lt;52,IF('Capacity summary'!AP180&lt;&gt;"",$BI61*AP61,0),AP61*$BI61),AP61*$BI61),0)</f>
        <v>0</v>
      </c>
      <c r="CT61" s="319">
        <f>IF($BI61&lt;&gt;"",IF('Capacity summary'!$D$14="Yes",IF(COUNTBLANK('Capacity summary'!$H180:$BG180)&lt;52,IF('Capacity summary'!AQ180&lt;&gt;"",$BI61*AQ61,0),AQ61*$BI61),AQ61*$BI61),0)</f>
        <v>0</v>
      </c>
      <c r="CU61" s="319">
        <f>IF($BI61&lt;&gt;"",IF('Capacity summary'!$D$14="Yes",IF(COUNTBLANK('Capacity summary'!$H180:$BG180)&lt;52,IF('Capacity summary'!AR180&lt;&gt;"",$BI61*AR61,0),AR61*$BI61),AR61*$BI61),0)</f>
        <v>0</v>
      </c>
      <c r="CV61" s="319">
        <f>IF($BI61&lt;&gt;"",IF('Capacity summary'!$D$14="Yes",IF(COUNTBLANK('Capacity summary'!$H180:$BG180)&lt;52,IF('Capacity summary'!AS180&lt;&gt;"",$BI61*AS61,0),AS61*$BI61),AS61*$BI61),0)</f>
        <v>0</v>
      </c>
      <c r="CW61" s="319">
        <f>IF($BI61&lt;&gt;"",IF('Capacity summary'!$D$14="Yes",IF(COUNTBLANK('Capacity summary'!$H180:$BG180)&lt;52,IF('Capacity summary'!AT180&lt;&gt;"",$BI61*AT61,0),AT61*$BI61),AT61*$BI61),0)</f>
        <v>0</v>
      </c>
      <c r="CX61" s="319">
        <f>IF($BI61&lt;&gt;"",IF('Capacity summary'!$D$14="Yes",IF(COUNTBLANK('Capacity summary'!$H180:$BG180)&lt;52,IF('Capacity summary'!AU180&lt;&gt;"",$BI61*AU61,0),AU61*$BI61),AU61*$BI61),0)</f>
        <v>0</v>
      </c>
      <c r="CY61" s="319">
        <f>IF($BI61&lt;&gt;"",IF('Capacity summary'!$D$14="Yes",IF(COUNTBLANK('Capacity summary'!$H180:$BG180)&lt;52,IF('Capacity summary'!AV180&lt;&gt;"",$BI61*AV61,0),AV61*$BI61),AV61*$BI61),0)</f>
        <v>0</v>
      </c>
      <c r="CZ61" s="319">
        <f>IF($BI61&lt;&gt;"",IF('Capacity summary'!$D$14="Yes",IF(COUNTBLANK('Capacity summary'!$H180:$BG180)&lt;52,IF('Capacity summary'!AW180&lt;&gt;"",$BI61*AW61,0),AW61*$BI61),AW61*$BI61),0)</f>
        <v>0</v>
      </c>
      <c r="DA61" s="319">
        <f>IF($BI61&lt;&gt;"",IF('Capacity summary'!$D$14="Yes",IF(COUNTBLANK('Capacity summary'!$H180:$BG180)&lt;52,IF('Capacity summary'!AX180&lt;&gt;"",$BI61*AX61,0),AX61*$BI61),AX61*$BI61),0)</f>
        <v>0</v>
      </c>
      <c r="DB61" s="319">
        <f>IF($BI61&lt;&gt;"",IF('Capacity summary'!$D$14="Yes",IF(COUNTBLANK('Capacity summary'!$H180:$BG180)&lt;52,IF('Capacity summary'!AY180&lt;&gt;"",$BI61*AY61,0),AY61*$BI61),AY61*$BI61),0)</f>
        <v>0</v>
      </c>
      <c r="DC61" s="319">
        <f>IF($BI61&lt;&gt;"",IF('Capacity summary'!$D$14="Yes",IF(COUNTBLANK('Capacity summary'!$H180:$BG180)&lt;52,IF('Capacity summary'!AZ180&lt;&gt;"",$BI61*AZ61,0),AZ61*$BI61),AZ61*$BI61),0)</f>
        <v>0</v>
      </c>
      <c r="DD61" s="319">
        <f>IF($BI61&lt;&gt;"",IF('Capacity summary'!$D$14="Yes",IF(COUNTBLANK('Capacity summary'!$H180:$BG180)&lt;52,IF('Capacity summary'!BA180&lt;&gt;"",$BI61*BA61,0),BA61*$BI61),BA61*$BI61),0)</f>
        <v>0</v>
      </c>
      <c r="DE61" s="319">
        <f>IF($BI61&lt;&gt;"",IF('Capacity summary'!$D$14="Yes",IF(COUNTBLANK('Capacity summary'!$H180:$BG180)&lt;52,IF('Capacity summary'!BB180&lt;&gt;"",$BI61*BB61,0),BB61*$BI61),BB61*$BI61),0)</f>
        <v>0</v>
      </c>
      <c r="DF61" s="319">
        <f>IF($BI61&lt;&gt;"",IF('Capacity summary'!$D$14="Yes",IF(COUNTBLANK('Capacity summary'!$H180:$BG180)&lt;52,IF('Capacity summary'!BC180&lt;&gt;"",$BI61*BC61,0),BC61*$BI61),BC61*$BI61),0)</f>
        <v>0</v>
      </c>
      <c r="DG61" s="319">
        <f>IF($BI61&lt;&gt;"",IF('Capacity summary'!$D$14="Yes",IF(COUNTBLANK('Capacity summary'!$H180:$BG180)&lt;52,IF('Capacity summary'!BD180&lt;&gt;"",$BI61*BD61,0),BD61*$BI61),BD61*$BI61),0)</f>
        <v>0</v>
      </c>
      <c r="DH61" s="319">
        <f>IF($BI61&lt;&gt;"",IF('Capacity summary'!$D$14="Yes",IF(COUNTBLANK('Capacity summary'!$H180:$BG180)&lt;52,IF('Capacity summary'!BE180&lt;&gt;"",$BI61*BE61,0),BE61*$BI61),BE61*$BI61),0)</f>
        <v>0</v>
      </c>
      <c r="DI61" s="319">
        <f>IF($BI61&lt;&gt;"",IF('Capacity summary'!$D$14="Yes",IF(COUNTBLANK('Capacity summary'!$H180:$BG180)&lt;52,IF('Capacity summary'!BF180&lt;&gt;"",$BI61*BF61,0),BF61*$BI61),BF61*$BI61),0)</f>
        <v>0</v>
      </c>
      <c r="DJ61" s="319">
        <f>IF($BI61&lt;&gt;"",IF('Capacity summary'!$D$14="Yes",IF(COUNTBLANK('Capacity summary'!$H180:$BG180)&lt;52,IF('Capacity summary'!BG180&lt;&gt;"",$BI61*BG61,0),BG61*$BI61),BG61*$BI61),0)</f>
        <v>0</v>
      </c>
      <c r="DK61" s="5">
        <f t="shared" si="2"/>
        <v>0</v>
      </c>
      <c r="DL61" s="5" t="str">
        <f>Capacity!H73</f>
        <v/>
      </c>
    </row>
    <row r="62" spans="2:120" x14ac:dyDescent="0.2">
      <c r="B62" s="68"/>
      <c r="C62" s="68" t="str">
        <f>ROW(A58)&amp;". "&amp;Capacity!B74</f>
        <v xml:space="preserve">58. </v>
      </c>
      <c r="D62" s="68">
        <f>'Capacity setup'!C69</f>
        <v>0</v>
      </c>
      <c r="E62" s="68">
        <f>'Capacity setup'!D69</f>
        <v>0</v>
      </c>
      <c r="F62" s="68">
        <f>'Capacity setup'!E69</f>
        <v>0</v>
      </c>
      <c r="H62" s="68">
        <f ca="1">IF(AND(SUMIF(Capacity_Resource,$D62,'Critical resources (hide)'!U$6:U$105)+SUMIF(Capacity_Resource,$E62,'Critical resources (hide)'!U$6:U$105)+SUMIF(Capacity_Resource,$F62,'Critical resources (hide)'!U$6:U$105)&gt;0,$E$1=2),0,1)</f>
        <v>1</v>
      </c>
      <c r="I62" s="68">
        <f ca="1">IF(AND(SUMIF(Capacity_Resource,$D62,'Critical resources (hide)'!V$6:V$105)+SUMIF(Capacity_Resource,$E62,'Critical resources (hide)'!V$6:V$105)+SUMIF(Capacity_Resource,$F62,'Critical resources (hide)'!V$6:V$105)&gt;0,$E$1=2),0,1)</f>
        <v>1</v>
      </c>
      <c r="J62" s="68">
        <f ca="1">IF(AND(SUMIF(Capacity_Resource,$D62,'Critical resources (hide)'!W$6:W$105)+SUMIF(Capacity_Resource,$E62,'Critical resources (hide)'!W$6:W$105)+SUMIF(Capacity_Resource,$F62,'Critical resources (hide)'!W$6:W$105)&gt;0,$E$1=2),0,1)</f>
        <v>1</v>
      </c>
      <c r="K62" s="68">
        <f ca="1">IF(AND(SUMIF(Capacity_Resource,$D62,'Critical resources (hide)'!X$6:X$105)+SUMIF(Capacity_Resource,$E62,'Critical resources (hide)'!X$6:X$105)+SUMIF(Capacity_Resource,$F62,'Critical resources (hide)'!X$6:X$105)&gt;0,$E$1=2),0,1)</f>
        <v>1</v>
      </c>
      <c r="L62" s="68">
        <f ca="1">IF(AND(SUMIF(Capacity_Resource,$D62,'Critical resources (hide)'!Y$6:Y$105)+SUMIF(Capacity_Resource,$E62,'Critical resources (hide)'!Y$6:Y$105)+SUMIF(Capacity_Resource,$F62,'Critical resources (hide)'!Y$6:Y$105)&gt;0,$E$1=2),0,1)</f>
        <v>1</v>
      </c>
      <c r="M62" s="68">
        <f ca="1">IF(AND(SUMIF(Capacity_Resource,$D62,'Critical resources (hide)'!Z$6:Z$105)+SUMIF(Capacity_Resource,$E62,'Critical resources (hide)'!Z$6:Z$105)+SUMIF(Capacity_Resource,$F62,'Critical resources (hide)'!Z$6:Z$105)&gt;0,$E$1=2),0,1)</f>
        <v>1</v>
      </c>
      <c r="N62" s="68">
        <f ca="1">IF(AND(SUMIF(Capacity_Resource,$D62,'Critical resources (hide)'!AA$6:AA$105)+SUMIF(Capacity_Resource,$E62,'Critical resources (hide)'!AA$6:AA$105)+SUMIF(Capacity_Resource,$F62,'Critical resources (hide)'!AA$6:AA$105)&gt;0,$E$1=2),0,1)</f>
        <v>1</v>
      </c>
      <c r="O62" s="68">
        <f ca="1">IF(AND(SUMIF(Capacity_Resource,$D62,'Critical resources (hide)'!AB$6:AB$105)+SUMIF(Capacity_Resource,$E62,'Critical resources (hide)'!AB$6:AB$105)+SUMIF(Capacity_Resource,$F62,'Critical resources (hide)'!AB$6:AB$105)&gt;0,$E$1=2),0,1)</f>
        <v>1</v>
      </c>
      <c r="P62" s="68">
        <f ca="1">IF(AND(SUMIF(Capacity_Resource,$D62,'Critical resources (hide)'!AC$6:AC$105)+SUMIF(Capacity_Resource,$E62,'Critical resources (hide)'!AC$6:AC$105)+SUMIF(Capacity_Resource,$F62,'Critical resources (hide)'!AC$6:AC$105)&gt;0,$E$1=2),0,1)</f>
        <v>1</v>
      </c>
      <c r="Q62" s="68">
        <f ca="1">IF(AND(SUMIF(Capacity_Resource,$D62,'Critical resources (hide)'!AD$6:AD$105)+SUMIF(Capacity_Resource,$E62,'Critical resources (hide)'!AD$6:AD$105)+SUMIF(Capacity_Resource,$F62,'Critical resources (hide)'!AD$6:AD$105)&gt;0,$E$1=2),0,1)</f>
        <v>1</v>
      </c>
      <c r="R62" s="68">
        <f ca="1">IF(AND(SUMIF(Capacity_Resource,$D62,'Critical resources (hide)'!AE$6:AE$105)+SUMIF(Capacity_Resource,$E62,'Critical resources (hide)'!AE$6:AE$105)+SUMIF(Capacity_Resource,$F62,'Critical resources (hide)'!AE$6:AE$105)&gt;0,$E$1=2),0,1)</f>
        <v>1</v>
      </c>
      <c r="S62" s="68">
        <f ca="1">IF(AND(SUMIF(Capacity_Resource,$D62,'Critical resources (hide)'!AF$6:AF$105)+SUMIF(Capacity_Resource,$E62,'Critical resources (hide)'!AF$6:AF$105)+SUMIF(Capacity_Resource,$F62,'Critical resources (hide)'!AF$6:AF$105)&gt;0,$E$1=2),0,1)</f>
        <v>1</v>
      </c>
      <c r="T62" s="68">
        <f ca="1">IF(AND(SUMIF(Capacity_Resource,$D62,'Critical resources (hide)'!AG$6:AG$105)+SUMIF(Capacity_Resource,$E62,'Critical resources (hide)'!AG$6:AG$105)+SUMIF(Capacity_Resource,$F62,'Critical resources (hide)'!AG$6:AG$105)&gt;0,$E$1=2),0,1)</f>
        <v>1</v>
      </c>
      <c r="U62" s="68">
        <f ca="1">IF(AND(SUMIF(Capacity_Resource,$D62,'Critical resources (hide)'!AH$6:AH$105)+SUMIF(Capacity_Resource,$E62,'Critical resources (hide)'!AH$6:AH$105)+SUMIF(Capacity_Resource,$F62,'Critical resources (hide)'!AH$6:AH$105)&gt;0,$E$1=2),0,1)</f>
        <v>1</v>
      </c>
      <c r="V62" s="68">
        <f ca="1">IF(AND(SUMIF(Capacity_Resource,$D62,'Critical resources (hide)'!AI$6:AI$105)+SUMIF(Capacity_Resource,$E62,'Critical resources (hide)'!AI$6:AI$105)+SUMIF(Capacity_Resource,$F62,'Critical resources (hide)'!AI$6:AI$105)&gt;0,$E$1=2),0,1)</f>
        <v>1</v>
      </c>
      <c r="W62" s="68">
        <f ca="1">IF(AND(SUMIF(Capacity_Resource,$D62,'Critical resources (hide)'!AJ$6:AJ$105)+SUMIF(Capacity_Resource,$E62,'Critical resources (hide)'!AJ$6:AJ$105)+SUMIF(Capacity_Resource,$F62,'Critical resources (hide)'!AJ$6:AJ$105)&gt;0,$E$1=2),0,1)</f>
        <v>1</v>
      </c>
      <c r="X62" s="68">
        <f ca="1">IF(AND(SUMIF(Capacity_Resource,$D62,'Critical resources (hide)'!AK$6:AK$105)+SUMIF(Capacity_Resource,$E62,'Critical resources (hide)'!AK$6:AK$105)+SUMIF(Capacity_Resource,$F62,'Critical resources (hide)'!AK$6:AK$105)&gt;0,$E$1=2),0,1)</f>
        <v>1</v>
      </c>
      <c r="Y62" s="68">
        <f ca="1">IF(AND(SUMIF(Capacity_Resource,$D62,'Critical resources (hide)'!AL$6:AL$105)+SUMIF(Capacity_Resource,$E62,'Critical resources (hide)'!AL$6:AL$105)+SUMIF(Capacity_Resource,$F62,'Critical resources (hide)'!AL$6:AL$105)&gt;0,$E$1=2),0,1)</f>
        <v>1</v>
      </c>
      <c r="Z62" s="68">
        <f ca="1">IF(AND(SUMIF(Capacity_Resource,$D62,'Critical resources (hide)'!AM$6:AM$105)+SUMIF(Capacity_Resource,$E62,'Critical resources (hide)'!AM$6:AM$105)+SUMIF(Capacity_Resource,$F62,'Critical resources (hide)'!AM$6:AM$105)&gt;0,$E$1=2),0,1)</f>
        <v>1</v>
      </c>
      <c r="AA62" s="68">
        <f ca="1">IF(AND(SUMIF(Capacity_Resource,$D62,'Critical resources (hide)'!AN$6:AN$105)+SUMIF(Capacity_Resource,$E62,'Critical resources (hide)'!AN$6:AN$105)+SUMIF(Capacity_Resource,$F62,'Critical resources (hide)'!AN$6:AN$105)&gt;0,$E$1=2),0,1)</f>
        <v>1</v>
      </c>
      <c r="AB62" s="68">
        <f ca="1">IF(AND(SUMIF(Capacity_Resource,$D62,'Critical resources (hide)'!AO$6:AO$105)+SUMIF(Capacity_Resource,$E62,'Critical resources (hide)'!AO$6:AO$105)+SUMIF(Capacity_Resource,$F62,'Critical resources (hide)'!AO$6:AO$105)&gt;0,$E$1=2),0,1)</f>
        <v>1</v>
      </c>
      <c r="AC62" s="68">
        <f ca="1">IF(AND(SUMIF(Capacity_Resource,$D62,'Critical resources (hide)'!AP$6:AP$105)+SUMIF(Capacity_Resource,$E62,'Critical resources (hide)'!AP$6:AP$105)+SUMIF(Capacity_Resource,$F62,'Critical resources (hide)'!AP$6:AP$105)&gt;0,$E$1=2),0,1)</f>
        <v>1</v>
      </c>
      <c r="AD62" s="68">
        <f ca="1">IF(AND(SUMIF(Capacity_Resource,$D62,'Critical resources (hide)'!AQ$6:AQ$105)+SUMIF(Capacity_Resource,$E62,'Critical resources (hide)'!AQ$6:AQ$105)+SUMIF(Capacity_Resource,$F62,'Critical resources (hide)'!AQ$6:AQ$105)&gt;0,$E$1=2),0,1)</f>
        <v>1</v>
      </c>
      <c r="AE62" s="68">
        <f ca="1">IF(AND(SUMIF(Capacity_Resource,$D62,'Critical resources (hide)'!AR$6:AR$105)+SUMIF(Capacity_Resource,$E62,'Critical resources (hide)'!AR$6:AR$105)+SUMIF(Capacity_Resource,$F62,'Critical resources (hide)'!AR$6:AR$105)&gt;0,$E$1=2),0,1)</f>
        <v>1</v>
      </c>
      <c r="AF62" s="68">
        <f ca="1">IF(AND(SUMIF(Capacity_Resource,$D62,'Critical resources (hide)'!AS$6:AS$105)+SUMIF(Capacity_Resource,$E62,'Critical resources (hide)'!AS$6:AS$105)+SUMIF(Capacity_Resource,$F62,'Critical resources (hide)'!AS$6:AS$105)&gt;0,$E$1=2),0,1)</f>
        <v>1</v>
      </c>
      <c r="AG62" s="68">
        <f ca="1">IF(AND(SUMIF(Capacity_Resource,$D62,'Critical resources (hide)'!AT$6:AT$105)+SUMIF(Capacity_Resource,$E62,'Critical resources (hide)'!AT$6:AT$105)+SUMIF(Capacity_Resource,$F62,'Critical resources (hide)'!AT$6:AT$105)&gt;0,$E$1=2),0,1)</f>
        <v>1</v>
      </c>
      <c r="AH62" s="68">
        <f ca="1">IF(AND(SUMIF(Capacity_Resource,$D62,'Critical resources (hide)'!AU$6:AU$105)+SUMIF(Capacity_Resource,$E62,'Critical resources (hide)'!AU$6:AU$105)+SUMIF(Capacity_Resource,$F62,'Critical resources (hide)'!AU$6:AU$105)&gt;0,$E$1=2),0,1)</f>
        <v>1</v>
      </c>
      <c r="AI62" s="68">
        <f ca="1">IF(AND(SUMIF(Capacity_Resource,$D62,'Critical resources (hide)'!AV$6:AV$105)+SUMIF(Capacity_Resource,$E62,'Critical resources (hide)'!AV$6:AV$105)+SUMIF(Capacity_Resource,$F62,'Critical resources (hide)'!AV$6:AV$105)&gt;0,$E$1=2),0,1)</f>
        <v>1</v>
      </c>
      <c r="AJ62" s="68">
        <f ca="1">IF(AND(SUMIF(Capacity_Resource,$D62,'Critical resources (hide)'!AW$6:AW$105)+SUMIF(Capacity_Resource,$E62,'Critical resources (hide)'!AW$6:AW$105)+SUMIF(Capacity_Resource,$F62,'Critical resources (hide)'!AW$6:AW$105)&gt;0,$E$1=2),0,1)</f>
        <v>1</v>
      </c>
      <c r="AK62" s="68">
        <f ca="1">IF(AND(SUMIF(Capacity_Resource,$D62,'Critical resources (hide)'!AX$6:AX$105)+SUMIF(Capacity_Resource,$E62,'Critical resources (hide)'!AX$6:AX$105)+SUMIF(Capacity_Resource,$F62,'Critical resources (hide)'!AX$6:AX$105)&gt;0,$E$1=2),0,1)</f>
        <v>1</v>
      </c>
      <c r="AL62" s="68">
        <f ca="1">IF(AND(SUMIF(Capacity_Resource,$D62,'Critical resources (hide)'!AY$6:AY$105)+SUMIF(Capacity_Resource,$E62,'Critical resources (hide)'!AY$6:AY$105)+SUMIF(Capacity_Resource,$F62,'Critical resources (hide)'!AY$6:AY$105)&gt;0,$E$1=2),0,1)</f>
        <v>1</v>
      </c>
      <c r="AM62" s="68">
        <f ca="1">IF(AND(SUMIF(Capacity_Resource,$D62,'Critical resources (hide)'!AZ$6:AZ$105)+SUMIF(Capacity_Resource,$E62,'Critical resources (hide)'!AZ$6:AZ$105)+SUMIF(Capacity_Resource,$F62,'Critical resources (hide)'!AZ$6:AZ$105)&gt;0,$E$1=2),0,1)</f>
        <v>1</v>
      </c>
      <c r="AN62" s="68">
        <f ca="1">IF(AND(SUMIF(Capacity_Resource,$D62,'Critical resources (hide)'!BA$6:BA$105)+SUMIF(Capacity_Resource,$E62,'Critical resources (hide)'!BA$6:BA$105)+SUMIF(Capacity_Resource,$F62,'Critical resources (hide)'!BA$6:BA$105)&gt;0,$E$1=2),0,1)</f>
        <v>1</v>
      </c>
      <c r="AO62" s="68">
        <f ca="1">IF(AND(SUMIF(Capacity_Resource,$D62,'Critical resources (hide)'!BB$6:BB$105)+SUMIF(Capacity_Resource,$E62,'Critical resources (hide)'!BB$6:BB$105)+SUMIF(Capacity_Resource,$F62,'Critical resources (hide)'!BB$6:BB$105)&gt;0,$E$1=2),0,1)</f>
        <v>1</v>
      </c>
      <c r="AP62" s="68">
        <f ca="1">IF(AND(SUMIF(Capacity_Resource,$D62,'Critical resources (hide)'!BC$6:BC$105)+SUMIF(Capacity_Resource,$E62,'Critical resources (hide)'!BC$6:BC$105)+SUMIF(Capacity_Resource,$F62,'Critical resources (hide)'!BC$6:BC$105)&gt;0,$E$1=2),0,1)</f>
        <v>1</v>
      </c>
      <c r="AQ62" s="68">
        <f ca="1">IF(AND(SUMIF(Capacity_Resource,$D62,'Critical resources (hide)'!BD$6:BD$105)+SUMIF(Capacity_Resource,$E62,'Critical resources (hide)'!BD$6:BD$105)+SUMIF(Capacity_Resource,$F62,'Critical resources (hide)'!BD$6:BD$105)&gt;0,$E$1=2),0,1)</f>
        <v>1</v>
      </c>
      <c r="AR62" s="68">
        <f ca="1">IF(AND(SUMIF(Capacity_Resource,$D62,'Critical resources (hide)'!BE$6:BE$105)+SUMIF(Capacity_Resource,$E62,'Critical resources (hide)'!BE$6:BE$105)+SUMIF(Capacity_Resource,$F62,'Critical resources (hide)'!BE$6:BE$105)&gt;0,$E$1=2),0,1)</f>
        <v>1</v>
      </c>
      <c r="AS62" s="68">
        <f ca="1">IF(AND(SUMIF(Capacity_Resource,$D62,'Critical resources (hide)'!BF$6:BF$105)+SUMIF(Capacity_Resource,$E62,'Critical resources (hide)'!BF$6:BF$105)+SUMIF(Capacity_Resource,$F62,'Critical resources (hide)'!BF$6:BF$105)&gt;0,$E$1=2),0,1)</f>
        <v>1</v>
      </c>
      <c r="AT62" s="68">
        <f ca="1">IF(AND(SUMIF(Capacity_Resource,$D62,'Critical resources (hide)'!BG$6:BG$105)+SUMIF(Capacity_Resource,$E62,'Critical resources (hide)'!BG$6:BG$105)+SUMIF(Capacity_Resource,$F62,'Critical resources (hide)'!BG$6:BG$105)&gt;0,$E$1=2),0,1)</f>
        <v>1</v>
      </c>
      <c r="AU62" s="68">
        <f ca="1">IF(AND(SUMIF(Capacity_Resource,$D62,'Critical resources (hide)'!BH$6:BH$105)+SUMIF(Capacity_Resource,$E62,'Critical resources (hide)'!BH$6:BH$105)+SUMIF(Capacity_Resource,$F62,'Critical resources (hide)'!BH$6:BH$105)&gt;0,$E$1=2),0,1)</f>
        <v>1</v>
      </c>
      <c r="AV62" s="68">
        <f ca="1">IF(AND(SUMIF(Capacity_Resource,$D62,'Critical resources (hide)'!BI$6:BI$105)+SUMIF(Capacity_Resource,$E62,'Critical resources (hide)'!BI$6:BI$105)+SUMIF(Capacity_Resource,$F62,'Critical resources (hide)'!BI$6:BI$105)&gt;0,$E$1=2),0,1)</f>
        <v>1</v>
      </c>
      <c r="AW62" s="68">
        <f ca="1">IF(AND(SUMIF(Capacity_Resource,$D62,'Critical resources (hide)'!BJ$6:BJ$105)+SUMIF(Capacity_Resource,$E62,'Critical resources (hide)'!BJ$6:BJ$105)+SUMIF(Capacity_Resource,$F62,'Critical resources (hide)'!BJ$6:BJ$105)&gt;0,$E$1=2),0,1)</f>
        <v>1</v>
      </c>
      <c r="AX62" s="68">
        <f ca="1">IF(AND(SUMIF(Capacity_Resource,$D62,'Critical resources (hide)'!BK$6:BK$105)+SUMIF(Capacity_Resource,$E62,'Critical resources (hide)'!BK$6:BK$105)+SUMIF(Capacity_Resource,$F62,'Critical resources (hide)'!BK$6:BK$105)&gt;0,$E$1=2),0,1)</f>
        <v>1</v>
      </c>
      <c r="AY62" s="68">
        <f ca="1">IF(AND(SUMIF(Capacity_Resource,$D62,'Critical resources (hide)'!BL$6:BL$105)+SUMIF(Capacity_Resource,$E62,'Critical resources (hide)'!BL$6:BL$105)+SUMIF(Capacity_Resource,$F62,'Critical resources (hide)'!BL$6:BL$105)&gt;0,$E$1=2),0,1)</f>
        <v>1</v>
      </c>
      <c r="AZ62" s="68">
        <f ca="1">IF(AND(SUMIF(Capacity_Resource,$D62,'Critical resources (hide)'!BM$6:BM$105)+SUMIF(Capacity_Resource,$E62,'Critical resources (hide)'!BM$6:BM$105)+SUMIF(Capacity_Resource,$F62,'Critical resources (hide)'!BM$6:BM$105)&gt;0,$E$1=2),0,1)</f>
        <v>1</v>
      </c>
      <c r="BA62" s="68">
        <f ca="1">IF(AND(SUMIF(Capacity_Resource,$D62,'Critical resources (hide)'!BN$6:BN$105)+SUMIF(Capacity_Resource,$E62,'Critical resources (hide)'!BN$6:BN$105)+SUMIF(Capacity_Resource,$F62,'Critical resources (hide)'!BN$6:BN$105)&gt;0,$E$1=2),0,1)</f>
        <v>1</v>
      </c>
      <c r="BB62" s="68">
        <f ca="1">IF(AND(SUMIF(Capacity_Resource,$D62,'Critical resources (hide)'!BO$6:BO$105)+SUMIF(Capacity_Resource,$E62,'Critical resources (hide)'!BO$6:BO$105)+SUMIF(Capacity_Resource,$F62,'Critical resources (hide)'!BO$6:BO$105)&gt;0,$E$1=2),0,1)</f>
        <v>1</v>
      </c>
      <c r="BC62" s="68">
        <f ca="1">IF(AND(SUMIF(Capacity_Resource,$D62,'Critical resources (hide)'!BP$6:BP$105)+SUMIF(Capacity_Resource,$E62,'Critical resources (hide)'!BP$6:BP$105)+SUMIF(Capacity_Resource,$F62,'Critical resources (hide)'!BP$6:BP$105)&gt;0,$E$1=2),0,1)</f>
        <v>1</v>
      </c>
      <c r="BD62" s="68">
        <f ca="1">IF(AND(SUMIF(Capacity_Resource,$D62,'Critical resources (hide)'!BQ$6:BQ$105)+SUMIF(Capacity_Resource,$E62,'Critical resources (hide)'!BQ$6:BQ$105)+SUMIF(Capacity_Resource,$F62,'Critical resources (hide)'!BQ$6:BQ$105)&gt;0,$E$1=2),0,1)</f>
        <v>1</v>
      </c>
      <c r="BE62" s="68">
        <f ca="1">IF(AND(SUMIF(Capacity_Resource,$D62,'Critical resources (hide)'!BR$6:BR$105)+SUMIF(Capacity_Resource,$E62,'Critical resources (hide)'!BR$6:BR$105)+SUMIF(Capacity_Resource,$F62,'Critical resources (hide)'!BR$6:BR$105)&gt;0,$E$1=2),0,1)</f>
        <v>1</v>
      </c>
      <c r="BF62" s="68">
        <f ca="1">IF(AND(SUMIF(Capacity_Resource,$D62,'Critical resources (hide)'!BS$6:BS$105)+SUMIF(Capacity_Resource,$E62,'Critical resources (hide)'!BS$6:BS$105)+SUMIF(Capacity_Resource,$F62,'Critical resources (hide)'!BS$6:BS$105)&gt;0,$E$1=2),0,1)</f>
        <v>1</v>
      </c>
      <c r="BG62" s="68">
        <f ca="1">IF(AND(SUMIF(Capacity_Resource,$D62,'Critical resources (hide)'!BT$6:BT$105)+SUMIF(Capacity_Resource,$E62,'Critical resources (hide)'!BT$6:BT$105)+SUMIF(Capacity_Resource,$F62,'Critical resources (hide)'!BT$6:BT$105)&gt;0,$E$1=2),0,1)</f>
        <v>1</v>
      </c>
      <c r="BH62" s="68">
        <f>IF(ROW(C58)&lt;=Capacity!$A$16,IF('Capacity summary'!$D$14="No",SUM(H62:BG62),'Capacity summary'!$E181),0)</f>
        <v>0</v>
      </c>
      <c r="BI62" s="5" t="str">
        <f>IF(BH62&gt;0,IF(BH62&lt;Capacity!E74,Capacity!F74,Capacity!H74/'Capacity calculation (hide)'!BH62),"")</f>
        <v/>
      </c>
      <c r="BK62" s="319">
        <f>IF($BI62&lt;&gt;"",IF('Capacity summary'!$D$14="Yes",IF(COUNTBLANK('Capacity summary'!$H181:$BG181)&lt;52,IF('Capacity summary'!H181&lt;&gt;"",$BI62*H62,0),H62*$BI62),H62*$BI62),0)</f>
        <v>0</v>
      </c>
      <c r="BL62" s="319">
        <f>IF($BI62&lt;&gt;"",IF('Capacity summary'!$D$14="Yes",IF(COUNTBLANK('Capacity summary'!$H181:$BG181)&lt;52,IF('Capacity summary'!I181&lt;&gt;"",$BI62*I62,0),I62*$BI62),I62*$BI62),0)</f>
        <v>0</v>
      </c>
      <c r="BM62" s="319">
        <f>IF($BI62&lt;&gt;"",IF('Capacity summary'!$D$14="Yes",IF(COUNTBLANK('Capacity summary'!$H181:$BG181)&lt;52,IF('Capacity summary'!J181&lt;&gt;"",$BI62*J62,0),J62*$BI62),J62*$BI62),0)</f>
        <v>0</v>
      </c>
      <c r="BN62" s="319">
        <f>IF($BI62&lt;&gt;"",IF('Capacity summary'!$D$14="Yes",IF(COUNTBLANK('Capacity summary'!$H181:$BG181)&lt;52,IF('Capacity summary'!K181&lt;&gt;"",$BI62*K62,0),K62*$BI62),K62*$BI62),0)</f>
        <v>0</v>
      </c>
      <c r="BO62" s="319">
        <f>IF($BI62&lt;&gt;"",IF('Capacity summary'!$D$14="Yes",IF(COUNTBLANK('Capacity summary'!$H181:$BG181)&lt;52,IF('Capacity summary'!L181&lt;&gt;"",$BI62*L62,0),L62*$BI62),L62*$BI62),0)</f>
        <v>0</v>
      </c>
      <c r="BP62" s="319">
        <f>IF($BI62&lt;&gt;"",IF('Capacity summary'!$D$14="Yes",IF(COUNTBLANK('Capacity summary'!$H181:$BG181)&lt;52,IF('Capacity summary'!M181&lt;&gt;"",$BI62*M62,0),M62*$BI62),M62*$BI62),0)</f>
        <v>0</v>
      </c>
      <c r="BQ62" s="319">
        <f>IF($BI62&lt;&gt;"",IF('Capacity summary'!$D$14="Yes",IF(COUNTBLANK('Capacity summary'!$H181:$BG181)&lt;52,IF('Capacity summary'!N181&lt;&gt;"",$BI62*N62,0),N62*$BI62),N62*$BI62),0)</f>
        <v>0</v>
      </c>
      <c r="BR62" s="319">
        <f>IF($BI62&lt;&gt;"",IF('Capacity summary'!$D$14="Yes",IF(COUNTBLANK('Capacity summary'!$H181:$BG181)&lt;52,IF('Capacity summary'!O181&lt;&gt;"",$BI62*O62,0),O62*$BI62),O62*$BI62),0)</f>
        <v>0</v>
      </c>
      <c r="BS62" s="319">
        <f>IF($BI62&lt;&gt;"",IF('Capacity summary'!$D$14="Yes",IF(COUNTBLANK('Capacity summary'!$H181:$BG181)&lt;52,IF('Capacity summary'!P181&lt;&gt;"",$BI62*P62,0),P62*$BI62),P62*$BI62),0)</f>
        <v>0</v>
      </c>
      <c r="BT62" s="319">
        <f>IF($BI62&lt;&gt;"",IF('Capacity summary'!$D$14="Yes",IF(COUNTBLANK('Capacity summary'!$H181:$BG181)&lt;52,IF('Capacity summary'!Q181&lt;&gt;"",$BI62*Q62,0),Q62*$BI62),Q62*$BI62),0)</f>
        <v>0</v>
      </c>
      <c r="BU62" s="319">
        <f>IF($BI62&lt;&gt;"",IF('Capacity summary'!$D$14="Yes",IF(COUNTBLANK('Capacity summary'!$H181:$BG181)&lt;52,IF('Capacity summary'!R181&lt;&gt;"",$BI62*R62,0),R62*$BI62),R62*$BI62),0)</f>
        <v>0</v>
      </c>
      <c r="BV62" s="319">
        <f>IF($BI62&lt;&gt;"",IF('Capacity summary'!$D$14="Yes",IF(COUNTBLANK('Capacity summary'!$H181:$BG181)&lt;52,IF('Capacity summary'!S181&lt;&gt;"",$BI62*S62,0),S62*$BI62),S62*$BI62),0)</f>
        <v>0</v>
      </c>
      <c r="BW62" s="319">
        <f>IF($BI62&lt;&gt;"",IF('Capacity summary'!$D$14="Yes",IF(COUNTBLANK('Capacity summary'!$H181:$BG181)&lt;52,IF('Capacity summary'!T181&lt;&gt;"",$BI62*T62,0),T62*$BI62),T62*$BI62),0)</f>
        <v>0</v>
      </c>
      <c r="BX62" s="319">
        <f>IF($BI62&lt;&gt;"",IF('Capacity summary'!$D$14="Yes",IF(COUNTBLANK('Capacity summary'!$H181:$BG181)&lt;52,IF('Capacity summary'!U181&lt;&gt;"",$BI62*U62,0),U62*$BI62),U62*$BI62),0)</f>
        <v>0</v>
      </c>
      <c r="BY62" s="319">
        <f>IF($BI62&lt;&gt;"",IF('Capacity summary'!$D$14="Yes",IF(COUNTBLANK('Capacity summary'!$H181:$BG181)&lt;52,IF('Capacity summary'!V181&lt;&gt;"",$BI62*V62,0),V62*$BI62),V62*$BI62),0)</f>
        <v>0</v>
      </c>
      <c r="BZ62" s="319">
        <f>IF($BI62&lt;&gt;"",IF('Capacity summary'!$D$14="Yes",IF(COUNTBLANK('Capacity summary'!$H181:$BG181)&lt;52,IF('Capacity summary'!W181&lt;&gt;"",$BI62*W62,0),W62*$BI62),W62*$BI62),0)</f>
        <v>0</v>
      </c>
      <c r="CA62" s="319">
        <f>IF($BI62&lt;&gt;"",IF('Capacity summary'!$D$14="Yes",IF(COUNTBLANK('Capacity summary'!$H181:$BG181)&lt;52,IF('Capacity summary'!X181&lt;&gt;"",$BI62*X62,0),X62*$BI62),X62*$BI62),0)</f>
        <v>0</v>
      </c>
      <c r="CB62" s="319">
        <f>IF($BI62&lt;&gt;"",IF('Capacity summary'!$D$14="Yes",IF(COUNTBLANK('Capacity summary'!$H181:$BG181)&lt;52,IF('Capacity summary'!Y181&lt;&gt;"",$BI62*Y62,0),Y62*$BI62),Y62*$BI62),0)</f>
        <v>0</v>
      </c>
      <c r="CC62" s="319">
        <f>IF($BI62&lt;&gt;"",IF('Capacity summary'!$D$14="Yes",IF(COUNTBLANK('Capacity summary'!$H181:$BG181)&lt;52,IF('Capacity summary'!Z181&lt;&gt;"",$BI62*Z62,0),Z62*$BI62),Z62*$BI62),0)</f>
        <v>0</v>
      </c>
      <c r="CD62" s="319">
        <f>IF($BI62&lt;&gt;"",IF('Capacity summary'!$D$14="Yes",IF(COUNTBLANK('Capacity summary'!$H181:$BG181)&lt;52,IF('Capacity summary'!AA181&lt;&gt;"",$BI62*AA62,0),AA62*$BI62),AA62*$BI62),0)</f>
        <v>0</v>
      </c>
      <c r="CE62" s="319">
        <f>IF($BI62&lt;&gt;"",IF('Capacity summary'!$D$14="Yes",IF(COUNTBLANK('Capacity summary'!$H181:$BG181)&lt;52,IF('Capacity summary'!AB181&lt;&gt;"",$BI62*AB62,0),AB62*$BI62),AB62*$BI62),0)</f>
        <v>0</v>
      </c>
      <c r="CF62" s="319">
        <f>IF($BI62&lt;&gt;"",IF('Capacity summary'!$D$14="Yes",IF(COUNTBLANK('Capacity summary'!$H181:$BG181)&lt;52,IF('Capacity summary'!AC181&lt;&gt;"",$BI62*AC62,0),AC62*$BI62),AC62*$BI62),0)</f>
        <v>0</v>
      </c>
      <c r="CG62" s="319">
        <f>IF($BI62&lt;&gt;"",IF('Capacity summary'!$D$14="Yes",IF(COUNTBLANK('Capacity summary'!$H181:$BG181)&lt;52,IF('Capacity summary'!AD181&lt;&gt;"",$BI62*AD62,0),AD62*$BI62),AD62*$BI62),0)</f>
        <v>0</v>
      </c>
      <c r="CH62" s="319">
        <f>IF($BI62&lt;&gt;"",IF('Capacity summary'!$D$14="Yes",IF(COUNTBLANK('Capacity summary'!$H181:$BG181)&lt;52,IF('Capacity summary'!AE181&lt;&gt;"",$BI62*AE62,0),AE62*$BI62),AE62*$BI62),0)</f>
        <v>0</v>
      </c>
      <c r="CI62" s="319">
        <f>IF($BI62&lt;&gt;"",IF('Capacity summary'!$D$14="Yes",IF(COUNTBLANK('Capacity summary'!$H181:$BG181)&lt;52,IF('Capacity summary'!AF181&lt;&gt;"",$BI62*AF62,0),AF62*$BI62),AF62*$BI62),0)</f>
        <v>0</v>
      </c>
      <c r="CJ62" s="319">
        <f>IF($BI62&lt;&gt;"",IF('Capacity summary'!$D$14="Yes",IF(COUNTBLANK('Capacity summary'!$H181:$BG181)&lt;52,IF('Capacity summary'!AG181&lt;&gt;"",$BI62*AG62,0),AG62*$BI62),AG62*$BI62),0)</f>
        <v>0</v>
      </c>
      <c r="CK62" s="319">
        <f>IF($BI62&lt;&gt;"",IF('Capacity summary'!$D$14="Yes",IF(COUNTBLANK('Capacity summary'!$H181:$BG181)&lt;52,IF('Capacity summary'!AH181&lt;&gt;"",$BI62*AH62,0),AH62*$BI62),AH62*$BI62),0)</f>
        <v>0</v>
      </c>
      <c r="CL62" s="319">
        <f>IF($BI62&lt;&gt;"",IF('Capacity summary'!$D$14="Yes",IF(COUNTBLANK('Capacity summary'!$H181:$BG181)&lt;52,IF('Capacity summary'!AI181&lt;&gt;"",$BI62*AI62,0),AI62*$BI62),AI62*$BI62),0)</f>
        <v>0</v>
      </c>
      <c r="CM62" s="319">
        <f>IF($BI62&lt;&gt;"",IF('Capacity summary'!$D$14="Yes",IF(COUNTBLANK('Capacity summary'!$H181:$BG181)&lt;52,IF('Capacity summary'!AJ181&lt;&gt;"",$BI62*AJ62,0),AJ62*$BI62),AJ62*$BI62),0)</f>
        <v>0</v>
      </c>
      <c r="CN62" s="319">
        <f>IF($BI62&lt;&gt;"",IF('Capacity summary'!$D$14="Yes",IF(COUNTBLANK('Capacity summary'!$H181:$BG181)&lt;52,IF('Capacity summary'!AK181&lt;&gt;"",$BI62*AK62,0),AK62*$BI62),AK62*$BI62),0)</f>
        <v>0</v>
      </c>
      <c r="CO62" s="319">
        <f>IF($BI62&lt;&gt;"",IF('Capacity summary'!$D$14="Yes",IF(COUNTBLANK('Capacity summary'!$H181:$BG181)&lt;52,IF('Capacity summary'!AL181&lt;&gt;"",$BI62*AL62,0),AL62*$BI62),AL62*$BI62),0)</f>
        <v>0</v>
      </c>
      <c r="CP62" s="319">
        <f>IF($BI62&lt;&gt;"",IF('Capacity summary'!$D$14="Yes",IF(COUNTBLANK('Capacity summary'!$H181:$BG181)&lt;52,IF('Capacity summary'!AM181&lt;&gt;"",$BI62*AM62,0),AM62*$BI62),AM62*$BI62),0)</f>
        <v>0</v>
      </c>
      <c r="CQ62" s="319">
        <f>IF($BI62&lt;&gt;"",IF('Capacity summary'!$D$14="Yes",IF(COUNTBLANK('Capacity summary'!$H181:$BG181)&lt;52,IF('Capacity summary'!AN181&lt;&gt;"",$BI62*AN62,0),AN62*$BI62),AN62*$BI62),0)</f>
        <v>0</v>
      </c>
      <c r="CR62" s="319">
        <f>IF($BI62&lt;&gt;"",IF('Capacity summary'!$D$14="Yes",IF(COUNTBLANK('Capacity summary'!$H181:$BG181)&lt;52,IF('Capacity summary'!AO181&lt;&gt;"",$BI62*AO62,0),AO62*$BI62),AO62*$BI62),0)</f>
        <v>0</v>
      </c>
      <c r="CS62" s="319">
        <f>IF($BI62&lt;&gt;"",IF('Capacity summary'!$D$14="Yes",IF(COUNTBLANK('Capacity summary'!$H181:$BG181)&lt;52,IF('Capacity summary'!AP181&lt;&gt;"",$BI62*AP62,0),AP62*$BI62),AP62*$BI62),0)</f>
        <v>0</v>
      </c>
      <c r="CT62" s="319">
        <f>IF($BI62&lt;&gt;"",IF('Capacity summary'!$D$14="Yes",IF(COUNTBLANK('Capacity summary'!$H181:$BG181)&lt;52,IF('Capacity summary'!AQ181&lt;&gt;"",$BI62*AQ62,0),AQ62*$BI62),AQ62*$BI62),0)</f>
        <v>0</v>
      </c>
      <c r="CU62" s="319">
        <f>IF($BI62&lt;&gt;"",IF('Capacity summary'!$D$14="Yes",IF(COUNTBLANK('Capacity summary'!$H181:$BG181)&lt;52,IF('Capacity summary'!AR181&lt;&gt;"",$BI62*AR62,0),AR62*$BI62),AR62*$BI62),0)</f>
        <v>0</v>
      </c>
      <c r="CV62" s="319">
        <f>IF($BI62&lt;&gt;"",IF('Capacity summary'!$D$14="Yes",IF(COUNTBLANK('Capacity summary'!$H181:$BG181)&lt;52,IF('Capacity summary'!AS181&lt;&gt;"",$BI62*AS62,0),AS62*$BI62),AS62*$BI62),0)</f>
        <v>0</v>
      </c>
      <c r="CW62" s="319">
        <f>IF($BI62&lt;&gt;"",IF('Capacity summary'!$D$14="Yes",IF(COUNTBLANK('Capacity summary'!$H181:$BG181)&lt;52,IF('Capacity summary'!AT181&lt;&gt;"",$BI62*AT62,0),AT62*$BI62),AT62*$BI62),0)</f>
        <v>0</v>
      </c>
      <c r="CX62" s="319">
        <f>IF($BI62&lt;&gt;"",IF('Capacity summary'!$D$14="Yes",IF(COUNTBLANK('Capacity summary'!$H181:$BG181)&lt;52,IF('Capacity summary'!AU181&lt;&gt;"",$BI62*AU62,0),AU62*$BI62),AU62*$BI62),0)</f>
        <v>0</v>
      </c>
      <c r="CY62" s="319">
        <f>IF($BI62&lt;&gt;"",IF('Capacity summary'!$D$14="Yes",IF(COUNTBLANK('Capacity summary'!$H181:$BG181)&lt;52,IF('Capacity summary'!AV181&lt;&gt;"",$BI62*AV62,0),AV62*$BI62),AV62*$BI62),0)</f>
        <v>0</v>
      </c>
      <c r="CZ62" s="319">
        <f>IF($BI62&lt;&gt;"",IF('Capacity summary'!$D$14="Yes",IF(COUNTBLANK('Capacity summary'!$H181:$BG181)&lt;52,IF('Capacity summary'!AW181&lt;&gt;"",$BI62*AW62,0),AW62*$BI62),AW62*$BI62),0)</f>
        <v>0</v>
      </c>
      <c r="DA62" s="319">
        <f>IF($BI62&lt;&gt;"",IF('Capacity summary'!$D$14="Yes",IF(COUNTBLANK('Capacity summary'!$H181:$BG181)&lt;52,IF('Capacity summary'!AX181&lt;&gt;"",$BI62*AX62,0),AX62*$BI62),AX62*$BI62),0)</f>
        <v>0</v>
      </c>
      <c r="DB62" s="319">
        <f>IF($BI62&lt;&gt;"",IF('Capacity summary'!$D$14="Yes",IF(COUNTBLANK('Capacity summary'!$H181:$BG181)&lt;52,IF('Capacity summary'!AY181&lt;&gt;"",$BI62*AY62,0),AY62*$BI62),AY62*$BI62),0)</f>
        <v>0</v>
      </c>
      <c r="DC62" s="319">
        <f>IF($BI62&lt;&gt;"",IF('Capacity summary'!$D$14="Yes",IF(COUNTBLANK('Capacity summary'!$H181:$BG181)&lt;52,IF('Capacity summary'!AZ181&lt;&gt;"",$BI62*AZ62,0),AZ62*$BI62),AZ62*$BI62),0)</f>
        <v>0</v>
      </c>
      <c r="DD62" s="319">
        <f>IF($BI62&lt;&gt;"",IF('Capacity summary'!$D$14="Yes",IF(COUNTBLANK('Capacity summary'!$H181:$BG181)&lt;52,IF('Capacity summary'!BA181&lt;&gt;"",$BI62*BA62,0),BA62*$BI62),BA62*$BI62),0)</f>
        <v>0</v>
      </c>
      <c r="DE62" s="319">
        <f>IF($BI62&lt;&gt;"",IF('Capacity summary'!$D$14="Yes",IF(COUNTBLANK('Capacity summary'!$H181:$BG181)&lt;52,IF('Capacity summary'!BB181&lt;&gt;"",$BI62*BB62,0),BB62*$BI62),BB62*$BI62),0)</f>
        <v>0</v>
      </c>
      <c r="DF62" s="319">
        <f>IF($BI62&lt;&gt;"",IF('Capacity summary'!$D$14="Yes",IF(COUNTBLANK('Capacity summary'!$H181:$BG181)&lt;52,IF('Capacity summary'!BC181&lt;&gt;"",$BI62*BC62,0),BC62*$BI62),BC62*$BI62),0)</f>
        <v>0</v>
      </c>
      <c r="DG62" s="319">
        <f>IF($BI62&lt;&gt;"",IF('Capacity summary'!$D$14="Yes",IF(COUNTBLANK('Capacity summary'!$H181:$BG181)&lt;52,IF('Capacity summary'!BD181&lt;&gt;"",$BI62*BD62,0),BD62*$BI62),BD62*$BI62),0)</f>
        <v>0</v>
      </c>
      <c r="DH62" s="319">
        <f>IF($BI62&lt;&gt;"",IF('Capacity summary'!$D$14="Yes",IF(COUNTBLANK('Capacity summary'!$H181:$BG181)&lt;52,IF('Capacity summary'!BE181&lt;&gt;"",$BI62*BE62,0),BE62*$BI62),BE62*$BI62),0)</f>
        <v>0</v>
      </c>
      <c r="DI62" s="319">
        <f>IF($BI62&lt;&gt;"",IF('Capacity summary'!$D$14="Yes",IF(COUNTBLANK('Capacity summary'!$H181:$BG181)&lt;52,IF('Capacity summary'!BF181&lt;&gt;"",$BI62*BF62,0),BF62*$BI62),BF62*$BI62),0)</f>
        <v>0</v>
      </c>
      <c r="DJ62" s="319">
        <f>IF($BI62&lt;&gt;"",IF('Capacity summary'!$D$14="Yes",IF(COUNTBLANK('Capacity summary'!$H181:$BG181)&lt;52,IF('Capacity summary'!BG181&lt;&gt;"",$BI62*BG62,0),BG62*$BI62),BG62*$BI62),0)</f>
        <v>0</v>
      </c>
      <c r="DK62" s="5">
        <f t="shared" si="2"/>
        <v>0</v>
      </c>
      <c r="DL62" s="5" t="str">
        <f>Capacity!H74</f>
        <v/>
      </c>
    </row>
    <row r="63" spans="2:120" x14ac:dyDescent="0.2">
      <c r="B63" s="68"/>
      <c r="C63" s="68" t="str">
        <f>ROW(A59)&amp;". "&amp;Capacity!B75</f>
        <v xml:space="preserve">59. </v>
      </c>
      <c r="D63" s="68">
        <f>'Capacity setup'!C70</f>
        <v>0</v>
      </c>
      <c r="E63" s="68">
        <f>'Capacity setup'!D70</f>
        <v>0</v>
      </c>
      <c r="F63" s="68">
        <f>'Capacity setup'!E70</f>
        <v>0</v>
      </c>
      <c r="H63" s="68">
        <f ca="1">IF(AND(SUMIF(Capacity_Resource,$D63,'Critical resources (hide)'!U$6:U$105)+SUMIF(Capacity_Resource,$E63,'Critical resources (hide)'!U$6:U$105)+SUMIF(Capacity_Resource,$F63,'Critical resources (hide)'!U$6:U$105)&gt;0,$E$1=2),0,1)</f>
        <v>1</v>
      </c>
      <c r="I63" s="68">
        <f ca="1">IF(AND(SUMIF(Capacity_Resource,$D63,'Critical resources (hide)'!V$6:V$105)+SUMIF(Capacity_Resource,$E63,'Critical resources (hide)'!V$6:V$105)+SUMIF(Capacity_Resource,$F63,'Critical resources (hide)'!V$6:V$105)&gt;0,$E$1=2),0,1)</f>
        <v>1</v>
      </c>
      <c r="J63" s="68">
        <f ca="1">IF(AND(SUMIF(Capacity_Resource,$D63,'Critical resources (hide)'!W$6:W$105)+SUMIF(Capacity_Resource,$E63,'Critical resources (hide)'!W$6:W$105)+SUMIF(Capacity_Resource,$F63,'Critical resources (hide)'!W$6:W$105)&gt;0,$E$1=2),0,1)</f>
        <v>1</v>
      </c>
      <c r="K63" s="68">
        <f ca="1">IF(AND(SUMIF(Capacity_Resource,$D63,'Critical resources (hide)'!X$6:X$105)+SUMIF(Capacity_Resource,$E63,'Critical resources (hide)'!X$6:X$105)+SUMIF(Capacity_Resource,$F63,'Critical resources (hide)'!X$6:X$105)&gt;0,$E$1=2),0,1)</f>
        <v>1</v>
      </c>
      <c r="L63" s="68">
        <f ca="1">IF(AND(SUMIF(Capacity_Resource,$D63,'Critical resources (hide)'!Y$6:Y$105)+SUMIF(Capacity_Resource,$E63,'Critical resources (hide)'!Y$6:Y$105)+SUMIF(Capacity_Resource,$F63,'Critical resources (hide)'!Y$6:Y$105)&gt;0,$E$1=2),0,1)</f>
        <v>1</v>
      </c>
      <c r="M63" s="68">
        <f ca="1">IF(AND(SUMIF(Capacity_Resource,$D63,'Critical resources (hide)'!Z$6:Z$105)+SUMIF(Capacity_Resource,$E63,'Critical resources (hide)'!Z$6:Z$105)+SUMIF(Capacity_Resource,$F63,'Critical resources (hide)'!Z$6:Z$105)&gt;0,$E$1=2),0,1)</f>
        <v>1</v>
      </c>
      <c r="N63" s="68">
        <f ca="1">IF(AND(SUMIF(Capacity_Resource,$D63,'Critical resources (hide)'!AA$6:AA$105)+SUMIF(Capacity_Resource,$E63,'Critical resources (hide)'!AA$6:AA$105)+SUMIF(Capacity_Resource,$F63,'Critical resources (hide)'!AA$6:AA$105)&gt;0,$E$1=2),0,1)</f>
        <v>1</v>
      </c>
      <c r="O63" s="68">
        <f ca="1">IF(AND(SUMIF(Capacity_Resource,$D63,'Critical resources (hide)'!AB$6:AB$105)+SUMIF(Capacity_Resource,$E63,'Critical resources (hide)'!AB$6:AB$105)+SUMIF(Capacity_Resource,$F63,'Critical resources (hide)'!AB$6:AB$105)&gt;0,$E$1=2),0,1)</f>
        <v>1</v>
      </c>
      <c r="P63" s="68">
        <f ca="1">IF(AND(SUMIF(Capacity_Resource,$D63,'Critical resources (hide)'!AC$6:AC$105)+SUMIF(Capacity_Resource,$E63,'Critical resources (hide)'!AC$6:AC$105)+SUMIF(Capacity_Resource,$F63,'Critical resources (hide)'!AC$6:AC$105)&gt;0,$E$1=2),0,1)</f>
        <v>1</v>
      </c>
      <c r="Q63" s="68">
        <f ca="1">IF(AND(SUMIF(Capacity_Resource,$D63,'Critical resources (hide)'!AD$6:AD$105)+SUMIF(Capacity_Resource,$E63,'Critical resources (hide)'!AD$6:AD$105)+SUMIF(Capacity_Resource,$F63,'Critical resources (hide)'!AD$6:AD$105)&gt;0,$E$1=2),0,1)</f>
        <v>1</v>
      </c>
      <c r="R63" s="68">
        <f ca="1">IF(AND(SUMIF(Capacity_Resource,$D63,'Critical resources (hide)'!AE$6:AE$105)+SUMIF(Capacity_Resource,$E63,'Critical resources (hide)'!AE$6:AE$105)+SUMIF(Capacity_Resource,$F63,'Critical resources (hide)'!AE$6:AE$105)&gt;0,$E$1=2),0,1)</f>
        <v>1</v>
      </c>
      <c r="S63" s="68">
        <f ca="1">IF(AND(SUMIF(Capacity_Resource,$D63,'Critical resources (hide)'!AF$6:AF$105)+SUMIF(Capacity_Resource,$E63,'Critical resources (hide)'!AF$6:AF$105)+SUMIF(Capacity_Resource,$F63,'Critical resources (hide)'!AF$6:AF$105)&gt;0,$E$1=2),0,1)</f>
        <v>1</v>
      </c>
      <c r="T63" s="68">
        <f ca="1">IF(AND(SUMIF(Capacity_Resource,$D63,'Critical resources (hide)'!AG$6:AG$105)+SUMIF(Capacity_Resource,$E63,'Critical resources (hide)'!AG$6:AG$105)+SUMIF(Capacity_Resource,$F63,'Critical resources (hide)'!AG$6:AG$105)&gt;0,$E$1=2),0,1)</f>
        <v>1</v>
      </c>
      <c r="U63" s="68">
        <f ca="1">IF(AND(SUMIF(Capacity_Resource,$D63,'Critical resources (hide)'!AH$6:AH$105)+SUMIF(Capacity_Resource,$E63,'Critical resources (hide)'!AH$6:AH$105)+SUMIF(Capacity_Resource,$F63,'Critical resources (hide)'!AH$6:AH$105)&gt;0,$E$1=2),0,1)</f>
        <v>1</v>
      </c>
      <c r="V63" s="68">
        <f ca="1">IF(AND(SUMIF(Capacity_Resource,$D63,'Critical resources (hide)'!AI$6:AI$105)+SUMIF(Capacity_Resource,$E63,'Critical resources (hide)'!AI$6:AI$105)+SUMIF(Capacity_Resource,$F63,'Critical resources (hide)'!AI$6:AI$105)&gt;0,$E$1=2),0,1)</f>
        <v>1</v>
      </c>
      <c r="W63" s="68">
        <f ca="1">IF(AND(SUMIF(Capacity_Resource,$D63,'Critical resources (hide)'!AJ$6:AJ$105)+SUMIF(Capacity_Resource,$E63,'Critical resources (hide)'!AJ$6:AJ$105)+SUMIF(Capacity_Resource,$F63,'Critical resources (hide)'!AJ$6:AJ$105)&gt;0,$E$1=2),0,1)</f>
        <v>1</v>
      </c>
      <c r="X63" s="68">
        <f ca="1">IF(AND(SUMIF(Capacity_Resource,$D63,'Critical resources (hide)'!AK$6:AK$105)+SUMIF(Capacity_Resource,$E63,'Critical resources (hide)'!AK$6:AK$105)+SUMIF(Capacity_Resource,$F63,'Critical resources (hide)'!AK$6:AK$105)&gt;0,$E$1=2),0,1)</f>
        <v>1</v>
      </c>
      <c r="Y63" s="68">
        <f ca="1">IF(AND(SUMIF(Capacity_Resource,$D63,'Critical resources (hide)'!AL$6:AL$105)+SUMIF(Capacity_Resource,$E63,'Critical resources (hide)'!AL$6:AL$105)+SUMIF(Capacity_Resource,$F63,'Critical resources (hide)'!AL$6:AL$105)&gt;0,$E$1=2),0,1)</f>
        <v>1</v>
      </c>
      <c r="Z63" s="68">
        <f ca="1">IF(AND(SUMIF(Capacity_Resource,$D63,'Critical resources (hide)'!AM$6:AM$105)+SUMIF(Capacity_Resource,$E63,'Critical resources (hide)'!AM$6:AM$105)+SUMIF(Capacity_Resource,$F63,'Critical resources (hide)'!AM$6:AM$105)&gt;0,$E$1=2),0,1)</f>
        <v>1</v>
      </c>
      <c r="AA63" s="68">
        <f ca="1">IF(AND(SUMIF(Capacity_Resource,$D63,'Critical resources (hide)'!AN$6:AN$105)+SUMIF(Capacity_Resource,$E63,'Critical resources (hide)'!AN$6:AN$105)+SUMIF(Capacity_Resource,$F63,'Critical resources (hide)'!AN$6:AN$105)&gt;0,$E$1=2),0,1)</f>
        <v>1</v>
      </c>
      <c r="AB63" s="68">
        <f ca="1">IF(AND(SUMIF(Capacity_Resource,$D63,'Critical resources (hide)'!AO$6:AO$105)+SUMIF(Capacity_Resource,$E63,'Critical resources (hide)'!AO$6:AO$105)+SUMIF(Capacity_Resource,$F63,'Critical resources (hide)'!AO$6:AO$105)&gt;0,$E$1=2),0,1)</f>
        <v>1</v>
      </c>
      <c r="AC63" s="68">
        <f ca="1">IF(AND(SUMIF(Capacity_Resource,$D63,'Critical resources (hide)'!AP$6:AP$105)+SUMIF(Capacity_Resource,$E63,'Critical resources (hide)'!AP$6:AP$105)+SUMIF(Capacity_Resource,$F63,'Critical resources (hide)'!AP$6:AP$105)&gt;0,$E$1=2),0,1)</f>
        <v>1</v>
      </c>
      <c r="AD63" s="68">
        <f ca="1">IF(AND(SUMIF(Capacity_Resource,$D63,'Critical resources (hide)'!AQ$6:AQ$105)+SUMIF(Capacity_Resource,$E63,'Critical resources (hide)'!AQ$6:AQ$105)+SUMIF(Capacity_Resource,$F63,'Critical resources (hide)'!AQ$6:AQ$105)&gt;0,$E$1=2),0,1)</f>
        <v>1</v>
      </c>
      <c r="AE63" s="68">
        <f ca="1">IF(AND(SUMIF(Capacity_Resource,$D63,'Critical resources (hide)'!AR$6:AR$105)+SUMIF(Capacity_Resource,$E63,'Critical resources (hide)'!AR$6:AR$105)+SUMIF(Capacity_Resource,$F63,'Critical resources (hide)'!AR$6:AR$105)&gt;0,$E$1=2),0,1)</f>
        <v>1</v>
      </c>
      <c r="AF63" s="68">
        <f ca="1">IF(AND(SUMIF(Capacity_Resource,$D63,'Critical resources (hide)'!AS$6:AS$105)+SUMIF(Capacity_Resource,$E63,'Critical resources (hide)'!AS$6:AS$105)+SUMIF(Capacity_Resource,$F63,'Critical resources (hide)'!AS$6:AS$105)&gt;0,$E$1=2),0,1)</f>
        <v>1</v>
      </c>
      <c r="AG63" s="68">
        <f ca="1">IF(AND(SUMIF(Capacity_Resource,$D63,'Critical resources (hide)'!AT$6:AT$105)+SUMIF(Capacity_Resource,$E63,'Critical resources (hide)'!AT$6:AT$105)+SUMIF(Capacity_Resource,$F63,'Critical resources (hide)'!AT$6:AT$105)&gt;0,$E$1=2),0,1)</f>
        <v>1</v>
      </c>
      <c r="AH63" s="68">
        <f ca="1">IF(AND(SUMIF(Capacity_Resource,$D63,'Critical resources (hide)'!AU$6:AU$105)+SUMIF(Capacity_Resource,$E63,'Critical resources (hide)'!AU$6:AU$105)+SUMIF(Capacity_Resource,$F63,'Critical resources (hide)'!AU$6:AU$105)&gt;0,$E$1=2),0,1)</f>
        <v>1</v>
      </c>
      <c r="AI63" s="68">
        <f ca="1">IF(AND(SUMIF(Capacity_Resource,$D63,'Critical resources (hide)'!AV$6:AV$105)+SUMIF(Capacity_Resource,$E63,'Critical resources (hide)'!AV$6:AV$105)+SUMIF(Capacity_Resource,$F63,'Critical resources (hide)'!AV$6:AV$105)&gt;0,$E$1=2),0,1)</f>
        <v>1</v>
      </c>
      <c r="AJ63" s="68">
        <f ca="1">IF(AND(SUMIF(Capacity_Resource,$D63,'Critical resources (hide)'!AW$6:AW$105)+SUMIF(Capacity_Resource,$E63,'Critical resources (hide)'!AW$6:AW$105)+SUMIF(Capacity_Resource,$F63,'Critical resources (hide)'!AW$6:AW$105)&gt;0,$E$1=2),0,1)</f>
        <v>1</v>
      </c>
      <c r="AK63" s="68">
        <f ca="1">IF(AND(SUMIF(Capacity_Resource,$D63,'Critical resources (hide)'!AX$6:AX$105)+SUMIF(Capacity_Resource,$E63,'Critical resources (hide)'!AX$6:AX$105)+SUMIF(Capacity_Resource,$F63,'Critical resources (hide)'!AX$6:AX$105)&gt;0,$E$1=2),0,1)</f>
        <v>1</v>
      </c>
      <c r="AL63" s="68">
        <f ca="1">IF(AND(SUMIF(Capacity_Resource,$D63,'Critical resources (hide)'!AY$6:AY$105)+SUMIF(Capacity_Resource,$E63,'Critical resources (hide)'!AY$6:AY$105)+SUMIF(Capacity_Resource,$F63,'Critical resources (hide)'!AY$6:AY$105)&gt;0,$E$1=2),0,1)</f>
        <v>1</v>
      </c>
      <c r="AM63" s="68">
        <f ca="1">IF(AND(SUMIF(Capacity_Resource,$D63,'Critical resources (hide)'!AZ$6:AZ$105)+SUMIF(Capacity_Resource,$E63,'Critical resources (hide)'!AZ$6:AZ$105)+SUMIF(Capacity_Resource,$F63,'Critical resources (hide)'!AZ$6:AZ$105)&gt;0,$E$1=2),0,1)</f>
        <v>1</v>
      </c>
      <c r="AN63" s="68">
        <f ca="1">IF(AND(SUMIF(Capacity_Resource,$D63,'Critical resources (hide)'!BA$6:BA$105)+SUMIF(Capacity_Resource,$E63,'Critical resources (hide)'!BA$6:BA$105)+SUMIF(Capacity_Resource,$F63,'Critical resources (hide)'!BA$6:BA$105)&gt;0,$E$1=2),0,1)</f>
        <v>1</v>
      </c>
      <c r="AO63" s="68">
        <f ca="1">IF(AND(SUMIF(Capacity_Resource,$D63,'Critical resources (hide)'!BB$6:BB$105)+SUMIF(Capacity_Resource,$E63,'Critical resources (hide)'!BB$6:BB$105)+SUMIF(Capacity_Resource,$F63,'Critical resources (hide)'!BB$6:BB$105)&gt;0,$E$1=2),0,1)</f>
        <v>1</v>
      </c>
      <c r="AP63" s="68">
        <f ca="1">IF(AND(SUMIF(Capacity_Resource,$D63,'Critical resources (hide)'!BC$6:BC$105)+SUMIF(Capacity_Resource,$E63,'Critical resources (hide)'!BC$6:BC$105)+SUMIF(Capacity_Resource,$F63,'Critical resources (hide)'!BC$6:BC$105)&gt;0,$E$1=2),0,1)</f>
        <v>1</v>
      </c>
      <c r="AQ63" s="68">
        <f ca="1">IF(AND(SUMIF(Capacity_Resource,$D63,'Critical resources (hide)'!BD$6:BD$105)+SUMIF(Capacity_Resource,$E63,'Critical resources (hide)'!BD$6:BD$105)+SUMIF(Capacity_Resource,$F63,'Critical resources (hide)'!BD$6:BD$105)&gt;0,$E$1=2),0,1)</f>
        <v>1</v>
      </c>
      <c r="AR63" s="68">
        <f ca="1">IF(AND(SUMIF(Capacity_Resource,$D63,'Critical resources (hide)'!BE$6:BE$105)+SUMIF(Capacity_Resource,$E63,'Critical resources (hide)'!BE$6:BE$105)+SUMIF(Capacity_Resource,$F63,'Critical resources (hide)'!BE$6:BE$105)&gt;0,$E$1=2),0,1)</f>
        <v>1</v>
      </c>
      <c r="AS63" s="68">
        <f ca="1">IF(AND(SUMIF(Capacity_Resource,$D63,'Critical resources (hide)'!BF$6:BF$105)+SUMIF(Capacity_Resource,$E63,'Critical resources (hide)'!BF$6:BF$105)+SUMIF(Capacity_Resource,$F63,'Critical resources (hide)'!BF$6:BF$105)&gt;0,$E$1=2),0,1)</f>
        <v>1</v>
      </c>
      <c r="AT63" s="68">
        <f ca="1">IF(AND(SUMIF(Capacity_Resource,$D63,'Critical resources (hide)'!BG$6:BG$105)+SUMIF(Capacity_Resource,$E63,'Critical resources (hide)'!BG$6:BG$105)+SUMIF(Capacity_Resource,$F63,'Critical resources (hide)'!BG$6:BG$105)&gt;0,$E$1=2),0,1)</f>
        <v>1</v>
      </c>
      <c r="AU63" s="68">
        <f ca="1">IF(AND(SUMIF(Capacity_Resource,$D63,'Critical resources (hide)'!BH$6:BH$105)+SUMIF(Capacity_Resource,$E63,'Critical resources (hide)'!BH$6:BH$105)+SUMIF(Capacity_Resource,$F63,'Critical resources (hide)'!BH$6:BH$105)&gt;0,$E$1=2),0,1)</f>
        <v>1</v>
      </c>
      <c r="AV63" s="68">
        <f ca="1">IF(AND(SUMIF(Capacity_Resource,$D63,'Critical resources (hide)'!BI$6:BI$105)+SUMIF(Capacity_Resource,$E63,'Critical resources (hide)'!BI$6:BI$105)+SUMIF(Capacity_Resource,$F63,'Critical resources (hide)'!BI$6:BI$105)&gt;0,$E$1=2),0,1)</f>
        <v>1</v>
      </c>
      <c r="AW63" s="68">
        <f ca="1">IF(AND(SUMIF(Capacity_Resource,$D63,'Critical resources (hide)'!BJ$6:BJ$105)+SUMIF(Capacity_Resource,$E63,'Critical resources (hide)'!BJ$6:BJ$105)+SUMIF(Capacity_Resource,$F63,'Critical resources (hide)'!BJ$6:BJ$105)&gt;0,$E$1=2),0,1)</f>
        <v>1</v>
      </c>
      <c r="AX63" s="68">
        <f ca="1">IF(AND(SUMIF(Capacity_Resource,$D63,'Critical resources (hide)'!BK$6:BK$105)+SUMIF(Capacity_Resource,$E63,'Critical resources (hide)'!BK$6:BK$105)+SUMIF(Capacity_Resource,$F63,'Critical resources (hide)'!BK$6:BK$105)&gt;0,$E$1=2),0,1)</f>
        <v>1</v>
      </c>
      <c r="AY63" s="68">
        <f ca="1">IF(AND(SUMIF(Capacity_Resource,$D63,'Critical resources (hide)'!BL$6:BL$105)+SUMIF(Capacity_Resource,$E63,'Critical resources (hide)'!BL$6:BL$105)+SUMIF(Capacity_Resource,$F63,'Critical resources (hide)'!BL$6:BL$105)&gt;0,$E$1=2),0,1)</f>
        <v>1</v>
      </c>
      <c r="AZ63" s="68">
        <f ca="1">IF(AND(SUMIF(Capacity_Resource,$D63,'Critical resources (hide)'!BM$6:BM$105)+SUMIF(Capacity_Resource,$E63,'Critical resources (hide)'!BM$6:BM$105)+SUMIF(Capacity_Resource,$F63,'Critical resources (hide)'!BM$6:BM$105)&gt;0,$E$1=2),0,1)</f>
        <v>1</v>
      </c>
      <c r="BA63" s="68">
        <f ca="1">IF(AND(SUMIF(Capacity_Resource,$D63,'Critical resources (hide)'!BN$6:BN$105)+SUMIF(Capacity_Resource,$E63,'Critical resources (hide)'!BN$6:BN$105)+SUMIF(Capacity_Resource,$F63,'Critical resources (hide)'!BN$6:BN$105)&gt;0,$E$1=2),0,1)</f>
        <v>1</v>
      </c>
      <c r="BB63" s="68">
        <f ca="1">IF(AND(SUMIF(Capacity_Resource,$D63,'Critical resources (hide)'!BO$6:BO$105)+SUMIF(Capacity_Resource,$E63,'Critical resources (hide)'!BO$6:BO$105)+SUMIF(Capacity_Resource,$F63,'Critical resources (hide)'!BO$6:BO$105)&gt;0,$E$1=2),0,1)</f>
        <v>1</v>
      </c>
      <c r="BC63" s="68">
        <f ca="1">IF(AND(SUMIF(Capacity_Resource,$D63,'Critical resources (hide)'!BP$6:BP$105)+SUMIF(Capacity_Resource,$E63,'Critical resources (hide)'!BP$6:BP$105)+SUMIF(Capacity_Resource,$F63,'Critical resources (hide)'!BP$6:BP$105)&gt;0,$E$1=2),0,1)</f>
        <v>1</v>
      </c>
      <c r="BD63" s="68">
        <f ca="1">IF(AND(SUMIF(Capacity_Resource,$D63,'Critical resources (hide)'!BQ$6:BQ$105)+SUMIF(Capacity_Resource,$E63,'Critical resources (hide)'!BQ$6:BQ$105)+SUMIF(Capacity_Resource,$F63,'Critical resources (hide)'!BQ$6:BQ$105)&gt;0,$E$1=2),0,1)</f>
        <v>1</v>
      </c>
      <c r="BE63" s="68">
        <f ca="1">IF(AND(SUMIF(Capacity_Resource,$D63,'Critical resources (hide)'!BR$6:BR$105)+SUMIF(Capacity_Resource,$E63,'Critical resources (hide)'!BR$6:BR$105)+SUMIF(Capacity_Resource,$F63,'Critical resources (hide)'!BR$6:BR$105)&gt;0,$E$1=2),0,1)</f>
        <v>1</v>
      </c>
      <c r="BF63" s="68">
        <f ca="1">IF(AND(SUMIF(Capacity_Resource,$D63,'Critical resources (hide)'!BS$6:BS$105)+SUMIF(Capacity_Resource,$E63,'Critical resources (hide)'!BS$6:BS$105)+SUMIF(Capacity_Resource,$F63,'Critical resources (hide)'!BS$6:BS$105)&gt;0,$E$1=2),0,1)</f>
        <v>1</v>
      </c>
      <c r="BG63" s="68">
        <f ca="1">IF(AND(SUMIF(Capacity_Resource,$D63,'Critical resources (hide)'!BT$6:BT$105)+SUMIF(Capacity_Resource,$E63,'Critical resources (hide)'!BT$6:BT$105)+SUMIF(Capacity_Resource,$F63,'Critical resources (hide)'!BT$6:BT$105)&gt;0,$E$1=2),0,1)</f>
        <v>1</v>
      </c>
      <c r="BH63" s="68">
        <f>IF(ROW(C59)&lt;=Capacity!$A$16,IF('Capacity summary'!$D$14="No",SUM(H63:BG63),'Capacity summary'!$E182),0)</f>
        <v>0</v>
      </c>
      <c r="BI63" s="5" t="str">
        <f>IF(BH63&gt;0,IF(BH63&lt;Capacity!E75,Capacity!F75,Capacity!H75/'Capacity calculation (hide)'!BH63),"")</f>
        <v/>
      </c>
      <c r="BK63" s="319">
        <f>IF($BI63&lt;&gt;"",IF('Capacity summary'!$D$14="Yes",IF(COUNTBLANK('Capacity summary'!$H182:$BG182)&lt;52,IF('Capacity summary'!H182&lt;&gt;"",$BI63*H63,0),H63*$BI63),H63*$BI63),0)</f>
        <v>0</v>
      </c>
      <c r="BL63" s="319">
        <f>IF($BI63&lt;&gt;"",IF('Capacity summary'!$D$14="Yes",IF(COUNTBLANK('Capacity summary'!$H182:$BG182)&lt;52,IF('Capacity summary'!I182&lt;&gt;"",$BI63*I63,0),I63*$BI63),I63*$BI63),0)</f>
        <v>0</v>
      </c>
      <c r="BM63" s="319">
        <f>IF($BI63&lt;&gt;"",IF('Capacity summary'!$D$14="Yes",IF(COUNTBLANK('Capacity summary'!$H182:$BG182)&lt;52,IF('Capacity summary'!J182&lt;&gt;"",$BI63*J63,0),J63*$BI63),J63*$BI63),0)</f>
        <v>0</v>
      </c>
      <c r="BN63" s="319">
        <f>IF($BI63&lt;&gt;"",IF('Capacity summary'!$D$14="Yes",IF(COUNTBLANK('Capacity summary'!$H182:$BG182)&lt;52,IF('Capacity summary'!K182&lt;&gt;"",$BI63*K63,0),K63*$BI63),K63*$BI63),0)</f>
        <v>0</v>
      </c>
      <c r="BO63" s="319">
        <f>IF($BI63&lt;&gt;"",IF('Capacity summary'!$D$14="Yes",IF(COUNTBLANK('Capacity summary'!$H182:$BG182)&lt;52,IF('Capacity summary'!L182&lt;&gt;"",$BI63*L63,0),L63*$BI63),L63*$BI63),0)</f>
        <v>0</v>
      </c>
      <c r="BP63" s="319">
        <f>IF($BI63&lt;&gt;"",IF('Capacity summary'!$D$14="Yes",IF(COUNTBLANK('Capacity summary'!$H182:$BG182)&lt;52,IF('Capacity summary'!M182&lt;&gt;"",$BI63*M63,0),M63*$BI63),M63*$BI63),0)</f>
        <v>0</v>
      </c>
      <c r="BQ63" s="319">
        <f>IF($BI63&lt;&gt;"",IF('Capacity summary'!$D$14="Yes",IF(COUNTBLANK('Capacity summary'!$H182:$BG182)&lt;52,IF('Capacity summary'!N182&lt;&gt;"",$BI63*N63,0),N63*$BI63),N63*$BI63),0)</f>
        <v>0</v>
      </c>
      <c r="BR63" s="319">
        <f>IF($BI63&lt;&gt;"",IF('Capacity summary'!$D$14="Yes",IF(COUNTBLANK('Capacity summary'!$H182:$BG182)&lt;52,IF('Capacity summary'!O182&lt;&gt;"",$BI63*O63,0),O63*$BI63),O63*$BI63),0)</f>
        <v>0</v>
      </c>
      <c r="BS63" s="319">
        <f>IF($BI63&lt;&gt;"",IF('Capacity summary'!$D$14="Yes",IF(COUNTBLANK('Capacity summary'!$H182:$BG182)&lt;52,IF('Capacity summary'!P182&lt;&gt;"",$BI63*P63,0),P63*$BI63),P63*$BI63),0)</f>
        <v>0</v>
      </c>
      <c r="BT63" s="319">
        <f>IF($BI63&lt;&gt;"",IF('Capacity summary'!$D$14="Yes",IF(COUNTBLANK('Capacity summary'!$H182:$BG182)&lt;52,IF('Capacity summary'!Q182&lt;&gt;"",$BI63*Q63,0),Q63*$BI63),Q63*$BI63),0)</f>
        <v>0</v>
      </c>
      <c r="BU63" s="319">
        <f>IF($BI63&lt;&gt;"",IF('Capacity summary'!$D$14="Yes",IF(COUNTBLANK('Capacity summary'!$H182:$BG182)&lt;52,IF('Capacity summary'!R182&lt;&gt;"",$BI63*R63,0),R63*$BI63),R63*$BI63),0)</f>
        <v>0</v>
      </c>
      <c r="BV63" s="319">
        <f>IF($BI63&lt;&gt;"",IF('Capacity summary'!$D$14="Yes",IF(COUNTBLANK('Capacity summary'!$H182:$BG182)&lt;52,IF('Capacity summary'!S182&lt;&gt;"",$BI63*S63,0),S63*$BI63),S63*$BI63),0)</f>
        <v>0</v>
      </c>
      <c r="BW63" s="319">
        <f>IF($BI63&lt;&gt;"",IF('Capacity summary'!$D$14="Yes",IF(COUNTBLANK('Capacity summary'!$H182:$BG182)&lt;52,IF('Capacity summary'!T182&lt;&gt;"",$BI63*T63,0),T63*$BI63),T63*$BI63),0)</f>
        <v>0</v>
      </c>
      <c r="BX63" s="319">
        <f>IF($BI63&lt;&gt;"",IF('Capacity summary'!$D$14="Yes",IF(COUNTBLANK('Capacity summary'!$H182:$BG182)&lt;52,IF('Capacity summary'!U182&lt;&gt;"",$BI63*U63,0),U63*$BI63),U63*$BI63),0)</f>
        <v>0</v>
      </c>
      <c r="BY63" s="319">
        <f>IF($BI63&lt;&gt;"",IF('Capacity summary'!$D$14="Yes",IF(COUNTBLANK('Capacity summary'!$H182:$BG182)&lt;52,IF('Capacity summary'!V182&lt;&gt;"",$BI63*V63,0),V63*$BI63),V63*$BI63),0)</f>
        <v>0</v>
      </c>
      <c r="BZ63" s="319">
        <f>IF($BI63&lt;&gt;"",IF('Capacity summary'!$D$14="Yes",IF(COUNTBLANK('Capacity summary'!$H182:$BG182)&lt;52,IF('Capacity summary'!W182&lt;&gt;"",$BI63*W63,0),W63*$BI63),W63*$BI63),0)</f>
        <v>0</v>
      </c>
      <c r="CA63" s="319">
        <f>IF($BI63&lt;&gt;"",IF('Capacity summary'!$D$14="Yes",IF(COUNTBLANK('Capacity summary'!$H182:$BG182)&lt;52,IF('Capacity summary'!X182&lt;&gt;"",$BI63*X63,0),X63*$BI63),X63*$BI63),0)</f>
        <v>0</v>
      </c>
      <c r="CB63" s="319">
        <f>IF($BI63&lt;&gt;"",IF('Capacity summary'!$D$14="Yes",IF(COUNTBLANK('Capacity summary'!$H182:$BG182)&lt;52,IF('Capacity summary'!Y182&lt;&gt;"",$BI63*Y63,0),Y63*$BI63),Y63*$BI63),0)</f>
        <v>0</v>
      </c>
      <c r="CC63" s="319">
        <f>IF($BI63&lt;&gt;"",IF('Capacity summary'!$D$14="Yes",IF(COUNTBLANK('Capacity summary'!$H182:$BG182)&lt;52,IF('Capacity summary'!Z182&lt;&gt;"",$BI63*Z63,0),Z63*$BI63),Z63*$BI63),0)</f>
        <v>0</v>
      </c>
      <c r="CD63" s="319">
        <f>IF($BI63&lt;&gt;"",IF('Capacity summary'!$D$14="Yes",IF(COUNTBLANK('Capacity summary'!$H182:$BG182)&lt;52,IF('Capacity summary'!AA182&lt;&gt;"",$BI63*AA63,0),AA63*$BI63),AA63*$BI63),0)</f>
        <v>0</v>
      </c>
      <c r="CE63" s="319">
        <f>IF($BI63&lt;&gt;"",IF('Capacity summary'!$D$14="Yes",IF(COUNTBLANK('Capacity summary'!$H182:$BG182)&lt;52,IF('Capacity summary'!AB182&lt;&gt;"",$BI63*AB63,0),AB63*$BI63),AB63*$BI63),0)</f>
        <v>0</v>
      </c>
      <c r="CF63" s="319">
        <f>IF($BI63&lt;&gt;"",IF('Capacity summary'!$D$14="Yes",IF(COUNTBLANK('Capacity summary'!$H182:$BG182)&lt;52,IF('Capacity summary'!AC182&lt;&gt;"",$BI63*AC63,0),AC63*$BI63),AC63*$BI63),0)</f>
        <v>0</v>
      </c>
      <c r="CG63" s="319">
        <f>IF($BI63&lt;&gt;"",IF('Capacity summary'!$D$14="Yes",IF(COUNTBLANK('Capacity summary'!$H182:$BG182)&lt;52,IF('Capacity summary'!AD182&lt;&gt;"",$BI63*AD63,0),AD63*$BI63),AD63*$BI63),0)</f>
        <v>0</v>
      </c>
      <c r="CH63" s="319">
        <f>IF($BI63&lt;&gt;"",IF('Capacity summary'!$D$14="Yes",IF(COUNTBLANK('Capacity summary'!$H182:$BG182)&lt;52,IF('Capacity summary'!AE182&lt;&gt;"",$BI63*AE63,0),AE63*$BI63),AE63*$BI63),0)</f>
        <v>0</v>
      </c>
      <c r="CI63" s="319">
        <f>IF($BI63&lt;&gt;"",IF('Capacity summary'!$D$14="Yes",IF(COUNTBLANK('Capacity summary'!$H182:$BG182)&lt;52,IF('Capacity summary'!AF182&lt;&gt;"",$BI63*AF63,0),AF63*$BI63),AF63*$BI63),0)</f>
        <v>0</v>
      </c>
      <c r="CJ63" s="319">
        <f>IF($BI63&lt;&gt;"",IF('Capacity summary'!$D$14="Yes",IF(COUNTBLANK('Capacity summary'!$H182:$BG182)&lt;52,IF('Capacity summary'!AG182&lt;&gt;"",$BI63*AG63,0),AG63*$BI63),AG63*$BI63),0)</f>
        <v>0</v>
      </c>
      <c r="CK63" s="319">
        <f>IF($BI63&lt;&gt;"",IF('Capacity summary'!$D$14="Yes",IF(COUNTBLANK('Capacity summary'!$H182:$BG182)&lt;52,IF('Capacity summary'!AH182&lt;&gt;"",$BI63*AH63,0),AH63*$BI63),AH63*$BI63),0)</f>
        <v>0</v>
      </c>
      <c r="CL63" s="319">
        <f>IF($BI63&lt;&gt;"",IF('Capacity summary'!$D$14="Yes",IF(COUNTBLANK('Capacity summary'!$H182:$BG182)&lt;52,IF('Capacity summary'!AI182&lt;&gt;"",$BI63*AI63,0),AI63*$BI63),AI63*$BI63),0)</f>
        <v>0</v>
      </c>
      <c r="CM63" s="319">
        <f>IF($BI63&lt;&gt;"",IF('Capacity summary'!$D$14="Yes",IF(COUNTBLANK('Capacity summary'!$H182:$BG182)&lt;52,IF('Capacity summary'!AJ182&lt;&gt;"",$BI63*AJ63,0),AJ63*$BI63),AJ63*$BI63),0)</f>
        <v>0</v>
      </c>
      <c r="CN63" s="319">
        <f>IF($BI63&lt;&gt;"",IF('Capacity summary'!$D$14="Yes",IF(COUNTBLANK('Capacity summary'!$H182:$BG182)&lt;52,IF('Capacity summary'!AK182&lt;&gt;"",$BI63*AK63,0),AK63*$BI63),AK63*$BI63),0)</f>
        <v>0</v>
      </c>
      <c r="CO63" s="319">
        <f>IF($BI63&lt;&gt;"",IF('Capacity summary'!$D$14="Yes",IF(COUNTBLANK('Capacity summary'!$H182:$BG182)&lt;52,IF('Capacity summary'!AL182&lt;&gt;"",$BI63*AL63,0),AL63*$BI63),AL63*$BI63),0)</f>
        <v>0</v>
      </c>
      <c r="CP63" s="319">
        <f>IF($BI63&lt;&gt;"",IF('Capacity summary'!$D$14="Yes",IF(COUNTBLANK('Capacity summary'!$H182:$BG182)&lt;52,IF('Capacity summary'!AM182&lt;&gt;"",$BI63*AM63,0),AM63*$BI63),AM63*$BI63),0)</f>
        <v>0</v>
      </c>
      <c r="CQ63" s="319">
        <f>IF($BI63&lt;&gt;"",IF('Capacity summary'!$D$14="Yes",IF(COUNTBLANK('Capacity summary'!$H182:$BG182)&lt;52,IF('Capacity summary'!AN182&lt;&gt;"",$BI63*AN63,0),AN63*$BI63),AN63*$BI63),0)</f>
        <v>0</v>
      </c>
      <c r="CR63" s="319">
        <f>IF($BI63&lt;&gt;"",IF('Capacity summary'!$D$14="Yes",IF(COUNTBLANK('Capacity summary'!$H182:$BG182)&lt;52,IF('Capacity summary'!AO182&lt;&gt;"",$BI63*AO63,0),AO63*$BI63),AO63*$BI63),0)</f>
        <v>0</v>
      </c>
      <c r="CS63" s="319">
        <f>IF($BI63&lt;&gt;"",IF('Capacity summary'!$D$14="Yes",IF(COUNTBLANK('Capacity summary'!$H182:$BG182)&lt;52,IF('Capacity summary'!AP182&lt;&gt;"",$BI63*AP63,0),AP63*$BI63),AP63*$BI63),0)</f>
        <v>0</v>
      </c>
      <c r="CT63" s="319">
        <f>IF($BI63&lt;&gt;"",IF('Capacity summary'!$D$14="Yes",IF(COUNTBLANK('Capacity summary'!$H182:$BG182)&lt;52,IF('Capacity summary'!AQ182&lt;&gt;"",$BI63*AQ63,0),AQ63*$BI63),AQ63*$BI63),0)</f>
        <v>0</v>
      </c>
      <c r="CU63" s="319">
        <f>IF($BI63&lt;&gt;"",IF('Capacity summary'!$D$14="Yes",IF(COUNTBLANK('Capacity summary'!$H182:$BG182)&lt;52,IF('Capacity summary'!AR182&lt;&gt;"",$BI63*AR63,0),AR63*$BI63),AR63*$BI63),0)</f>
        <v>0</v>
      </c>
      <c r="CV63" s="319">
        <f>IF($BI63&lt;&gt;"",IF('Capacity summary'!$D$14="Yes",IF(COUNTBLANK('Capacity summary'!$H182:$BG182)&lt;52,IF('Capacity summary'!AS182&lt;&gt;"",$BI63*AS63,0),AS63*$BI63),AS63*$BI63),0)</f>
        <v>0</v>
      </c>
      <c r="CW63" s="319">
        <f>IF($BI63&lt;&gt;"",IF('Capacity summary'!$D$14="Yes",IF(COUNTBLANK('Capacity summary'!$H182:$BG182)&lt;52,IF('Capacity summary'!AT182&lt;&gt;"",$BI63*AT63,0),AT63*$BI63),AT63*$BI63),0)</f>
        <v>0</v>
      </c>
      <c r="CX63" s="319">
        <f>IF($BI63&lt;&gt;"",IF('Capacity summary'!$D$14="Yes",IF(COUNTBLANK('Capacity summary'!$H182:$BG182)&lt;52,IF('Capacity summary'!AU182&lt;&gt;"",$BI63*AU63,0),AU63*$BI63),AU63*$BI63),0)</f>
        <v>0</v>
      </c>
      <c r="CY63" s="319">
        <f>IF($BI63&lt;&gt;"",IF('Capacity summary'!$D$14="Yes",IF(COUNTBLANK('Capacity summary'!$H182:$BG182)&lt;52,IF('Capacity summary'!AV182&lt;&gt;"",$BI63*AV63,0),AV63*$BI63),AV63*$BI63),0)</f>
        <v>0</v>
      </c>
      <c r="CZ63" s="319">
        <f>IF($BI63&lt;&gt;"",IF('Capacity summary'!$D$14="Yes",IF(COUNTBLANK('Capacity summary'!$H182:$BG182)&lt;52,IF('Capacity summary'!AW182&lt;&gt;"",$BI63*AW63,0),AW63*$BI63),AW63*$BI63),0)</f>
        <v>0</v>
      </c>
      <c r="DA63" s="319">
        <f>IF($BI63&lt;&gt;"",IF('Capacity summary'!$D$14="Yes",IF(COUNTBLANK('Capacity summary'!$H182:$BG182)&lt;52,IF('Capacity summary'!AX182&lt;&gt;"",$BI63*AX63,0),AX63*$BI63),AX63*$BI63),0)</f>
        <v>0</v>
      </c>
      <c r="DB63" s="319">
        <f>IF($BI63&lt;&gt;"",IF('Capacity summary'!$D$14="Yes",IF(COUNTBLANK('Capacity summary'!$H182:$BG182)&lt;52,IF('Capacity summary'!AY182&lt;&gt;"",$BI63*AY63,0),AY63*$BI63),AY63*$BI63),0)</f>
        <v>0</v>
      </c>
      <c r="DC63" s="319">
        <f>IF($BI63&lt;&gt;"",IF('Capacity summary'!$D$14="Yes",IF(COUNTBLANK('Capacity summary'!$H182:$BG182)&lt;52,IF('Capacity summary'!AZ182&lt;&gt;"",$BI63*AZ63,0),AZ63*$BI63),AZ63*$BI63),0)</f>
        <v>0</v>
      </c>
      <c r="DD63" s="319">
        <f>IF($BI63&lt;&gt;"",IF('Capacity summary'!$D$14="Yes",IF(COUNTBLANK('Capacity summary'!$H182:$BG182)&lt;52,IF('Capacity summary'!BA182&lt;&gt;"",$BI63*BA63,0),BA63*$BI63),BA63*$BI63),0)</f>
        <v>0</v>
      </c>
      <c r="DE63" s="319">
        <f>IF($BI63&lt;&gt;"",IF('Capacity summary'!$D$14="Yes",IF(COUNTBLANK('Capacity summary'!$H182:$BG182)&lt;52,IF('Capacity summary'!BB182&lt;&gt;"",$BI63*BB63,0),BB63*$BI63),BB63*$BI63),0)</f>
        <v>0</v>
      </c>
      <c r="DF63" s="319">
        <f>IF($BI63&lt;&gt;"",IF('Capacity summary'!$D$14="Yes",IF(COUNTBLANK('Capacity summary'!$H182:$BG182)&lt;52,IF('Capacity summary'!BC182&lt;&gt;"",$BI63*BC63,0),BC63*$BI63),BC63*$BI63),0)</f>
        <v>0</v>
      </c>
      <c r="DG63" s="319">
        <f>IF($BI63&lt;&gt;"",IF('Capacity summary'!$D$14="Yes",IF(COUNTBLANK('Capacity summary'!$H182:$BG182)&lt;52,IF('Capacity summary'!BD182&lt;&gt;"",$BI63*BD63,0),BD63*$BI63),BD63*$BI63),0)</f>
        <v>0</v>
      </c>
      <c r="DH63" s="319">
        <f>IF($BI63&lt;&gt;"",IF('Capacity summary'!$D$14="Yes",IF(COUNTBLANK('Capacity summary'!$H182:$BG182)&lt;52,IF('Capacity summary'!BE182&lt;&gt;"",$BI63*BE63,0),BE63*$BI63),BE63*$BI63),0)</f>
        <v>0</v>
      </c>
      <c r="DI63" s="319">
        <f>IF($BI63&lt;&gt;"",IF('Capacity summary'!$D$14="Yes",IF(COUNTBLANK('Capacity summary'!$H182:$BG182)&lt;52,IF('Capacity summary'!BF182&lt;&gt;"",$BI63*BF63,0),BF63*$BI63),BF63*$BI63),0)</f>
        <v>0</v>
      </c>
      <c r="DJ63" s="319">
        <f>IF($BI63&lt;&gt;"",IF('Capacity summary'!$D$14="Yes",IF(COUNTBLANK('Capacity summary'!$H182:$BG182)&lt;52,IF('Capacity summary'!BG182&lt;&gt;"",$BI63*BG63,0),BG63*$BI63),BG63*$BI63),0)</f>
        <v>0</v>
      </c>
      <c r="DK63" s="5">
        <f t="shared" si="2"/>
        <v>0</v>
      </c>
      <c r="DL63" s="5" t="str">
        <f>Capacity!H75</f>
        <v/>
      </c>
    </row>
    <row r="64" spans="2:120" x14ac:dyDescent="0.2">
      <c r="B64" s="68"/>
      <c r="C64" s="68" t="str">
        <f>ROW(A60)&amp;". "&amp;Capacity!B76</f>
        <v xml:space="preserve">60. </v>
      </c>
      <c r="D64" s="68">
        <f>'Capacity setup'!C71</f>
        <v>0</v>
      </c>
      <c r="E64" s="68">
        <f>'Capacity setup'!D71</f>
        <v>0</v>
      </c>
      <c r="F64" s="68">
        <f>'Capacity setup'!E71</f>
        <v>0</v>
      </c>
      <c r="H64" s="68">
        <f ca="1">IF(AND(SUMIF(Capacity_Resource,$D64,'Critical resources (hide)'!U$6:U$105)+SUMIF(Capacity_Resource,$E64,'Critical resources (hide)'!U$6:U$105)+SUMIF(Capacity_Resource,$F64,'Critical resources (hide)'!U$6:U$105)&gt;0,$E$1=2),0,1)</f>
        <v>1</v>
      </c>
      <c r="I64" s="68">
        <f ca="1">IF(AND(SUMIF(Capacity_Resource,$D64,'Critical resources (hide)'!V$6:V$105)+SUMIF(Capacity_Resource,$E64,'Critical resources (hide)'!V$6:V$105)+SUMIF(Capacity_Resource,$F64,'Critical resources (hide)'!V$6:V$105)&gt;0,$E$1=2),0,1)</f>
        <v>1</v>
      </c>
      <c r="J64" s="68">
        <f ca="1">IF(AND(SUMIF(Capacity_Resource,$D64,'Critical resources (hide)'!W$6:W$105)+SUMIF(Capacity_Resource,$E64,'Critical resources (hide)'!W$6:W$105)+SUMIF(Capacity_Resource,$F64,'Critical resources (hide)'!W$6:W$105)&gt;0,$E$1=2),0,1)</f>
        <v>1</v>
      </c>
      <c r="K64" s="68">
        <f ca="1">IF(AND(SUMIF(Capacity_Resource,$D64,'Critical resources (hide)'!X$6:X$105)+SUMIF(Capacity_Resource,$E64,'Critical resources (hide)'!X$6:X$105)+SUMIF(Capacity_Resource,$F64,'Critical resources (hide)'!X$6:X$105)&gt;0,$E$1=2),0,1)</f>
        <v>1</v>
      </c>
      <c r="L64" s="68">
        <f ca="1">IF(AND(SUMIF(Capacity_Resource,$D64,'Critical resources (hide)'!Y$6:Y$105)+SUMIF(Capacity_Resource,$E64,'Critical resources (hide)'!Y$6:Y$105)+SUMIF(Capacity_Resource,$F64,'Critical resources (hide)'!Y$6:Y$105)&gt;0,$E$1=2),0,1)</f>
        <v>1</v>
      </c>
      <c r="M64" s="68">
        <f ca="1">IF(AND(SUMIF(Capacity_Resource,$D64,'Critical resources (hide)'!Z$6:Z$105)+SUMIF(Capacity_Resource,$E64,'Critical resources (hide)'!Z$6:Z$105)+SUMIF(Capacity_Resource,$F64,'Critical resources (hide)'!Z$6:Z$105)&gt;0,$E$1=2),0,1)</f>
        <v>1</v>
      </c>
      <c r="N64" s="68">
        <f ca="1">IF(AND(SUMIF(Capacity_Resource,$D64,'Critical resources (hide)'!AA$6:AA$105)+SUMIF(Capacity_Resource,$E64,'Critical resources (hide)'!AA$6:AA$105)+SUMIF(Capacity_Resource,$F64,'Critical resources (hide)'!AA$6:AA$105)&gt;0,$E$1=2),0,1)</f>
        <v>1</v>
      </c>
      <c r="O64" s="68">
        <f ca="1">IF(AND(SUMIF(Capacity_Resource,$D64,'Critical resources (hide)'!AB$6:AB$105)+SUMIF(Capacity_Resource,$E64,'Critical resources (hide)'!AB$6:AB$105)+SUMIF(Capacity_Resource,$F64,'Critical resources (hide)'!AB$6:AB$105)&gt;0,$E$1=2),0,1)</f>
        <v>1</v>
      </c>
      <c r="P64" s="68">
        <f ca="1">IF(AND(SUMIF(Capacity_Resource,$D64,'Critical resources (hide)'!AC$6:AC$105)+SUMIF(Capacity_Resource,$E64,'Critical resources (hide)'!AC$6:AC$105)+SUMIF(Capacity_Resource,$F64,'Critical resources (hide)'!AC$6:AC$105)&gt;0,$E$1=2),0,1)</f>
        <v>1</v>
      </c>
      <c r="Q64" s="68">
        <f ca="1">IF(AND(SUMIF(Capacity_Resource,$D64,'Critical resources (hide)'!AD$6:AD$105)+SUMIF(Capacity_Resource,$E64,'Critical resources (hide)'!AD$6:AD$105)+SUMIF(Capacity_Resource,$F64,'Critical resources (hide)'!AD$6:AD$105)&gt;0,$E$1=2),0,1)</f>
        <v>1</v>
      </c>
      <c r="R64" s="68">
        <f ca="1">IF(AND(SUMIF(Capacity_Resource,$D64,'Critical resources (hide)'!AE$6:AE$105)+SUMIF(Capacity_Resource,$E64,'Critical resources (hide)'!AE$6:AE$105)+SUMIF(Capacity_Resource,$F64,'Critical resources (hide)'!AE$6:AE$105)&gt;0,$E$1=2),0,1)</f>
        <v>1</v>
      </c>
      <c r="S64" s="68">
        <f ca="1">IF(AND(SUMIF(Capacity_Resource,$D64,'Critical resources (hide)'!AF$6:AF$105)+SUMIF(Capacity_Resource,$E64,'Critical resources (hide)'!AF$6:AF$105)+SUMIF(Capacity_Resource,$F64,'Critical resources (hide)'!AF$6:AF$105)&gt;0,$E$1=2),0,1)</f>
        <v>1</v>
      </c>
      <c r="T64" s="68">
        <f ca="1">IF(AND(SUMIF(Capacity_Resource,$D64,'Critical resources (hide)'!AG$6:AG$105)+SUMIF(Capacity_Resource,$E64,'Critical resources (hide)'!AG$6:AG$105)+SUMIF(Capacity_Resource,$F64,'Critical resources (hide)'!AG$6:AG$105)&gt;0,$E$1=2),0,1)</f>
        <v>1</v>
      </c>
      <c r="U64" s="68">
        <f ca="1">IF(AND(SUMIF(Capacity_Resource,$D64,'Critical resources (hide)'!AH$6:AH$105)+SUMIF(Capacity_Resource,$E64,'Critical resources (hide)'!AH$6:AH$105)+SUMIF(Capacity_Resource,$F64,'Critical resources (hide)'!AH$6:AH$105)&gt;0,$E$1=2),0,1)</f>
        <v>1</v>
      </c>
      <c r="V64" s="68">
        <f ca="1">IF(AND(SUMIF(Capacity_Resource,$D64,'Critical resources (hide)'!AI$6:AI$105)+SUMIF(Capacity_Resource,$E64,'Critical resources (hide)'!AI$6:AI$105)+SUMIF(Capacity_Resource,$F64,'Critical resources (hide)'!AI$6:AI$105)&gt;0,$E$1=2),0,1)</f>
        <v>1</v>
      </c>
      <c r="W64" s="68">
        <f ca="1">IF(AND(SUMIF(Capacity_Resource,$D64,'Critical resources (hide)'!AJ$6:AJ$105)+SUMIF(Capacity_Resource,$E64,'Critical resources (hide)'!AJ$6:AJ$105)+SUMIF(Capacity_Resource,$F64,'Critical resources (hide)'!AJ$6:AJ$105)&gt;0,$E$1=2),0,1)</f>
        <v>1</v>
      </c>
      <c r="X64" s="68">
        <f ca="1">IF(AND(SUMIF(Capacity_Resource,$D64,'Critical resources (hide)'!AK$6:AK$105)+SUMIF(Capacity_Resource,$E64,'Critical resources (hide)'!AK$6:AK$105)+SUMIF(Capacity_Resource,$F64,'Critical resources (hide)'!AK$6:AK$105)&gt;0,$E$1=2),0,1)</f>
        <v>1</v>
      </c>
      <c r="Y64" s="68">
        <f ca="1">IF(AND(SUMIF(Capacity_Resource,$D64,'Critical resources (hide)'!AL$6:AL$105)+SUMIF(Capacity_Resource,$E64,'Critical resources (hide)'!AL$6:AL$105)+SUMIF(Capacity_Resource,$F64,'Critical resources (hide)'!AL$6:AL$105)&gt;0,$E$1=2),0,1)</f>
        <v>1</v>
      </c>
      <c r="Z64" s="68">
        <f ca="1">IF(AND(SUMIF(Capacity_Resource,$D64,'Critical resources (hide)'!AM$6:AM$105)+SUMIF(Capacity_Resource,$E64,'Critical resources (hide)'!AM$6:AM$105)+SUMIF(Capacity_Resource,$F64,'Critical resources (hide)'!AM$6:AM$105)&gt;0,$E$1=2),0,1)</f>
        <v>1</v>
      </c>
      <c r="AA64" s="68">
        <f ca="1">IF(AND(SUMIF(Capacity_Resource,$D64,'Critical resources (hide)'!AN$6:AN$105)+SUMIF(Capacity_Resource,$E64,'Critical resources (hide)'!AN$6:AN$105)+SUMIF(Capacity_Resource,$F64,'Critical resources (hide)'!AN$6:AN$105)&gt;0,$E$1=2),0,1)</f>
        <v>1</v>
      </c>
      <c r="AB64" s="68">
        <f ca="1">IF(AND(SUMIF(Capacity_Resource,$D64,'Critical resources (hide)'!AO$6:AO$105)+SUMIF(Capacity_Resource,$E64,'Critical resources (hide)'!AO$6:AO$105)+SUMIF(Capacity_Resource,$F64,'Critical resources (hide)'!AO$6:AO$105)&gt;0,$E$1=2),0,1)</f>
        <v>1</v>
      </c>
      <c r="AC64" s="68">
        <f ca="1">IF(AND(SUMIF(Capacity_Resource,$D64,'Critical resources (hide)'!AP$6:AP$105)+SUMIF(Capacity_Resource,$E64,'Critical resources (hide)'!AP$6:AP$105)+SUMIF(Capacity_Resource,$F64,'Critical resources (hide)'!AP$6:AP$105)&gt;0,$E$1=2),0,1)</f>
        <v>1</v>
      </c>
      <c r="AD64" s="68">
        <f ca="1">IF(AND(SUMIF(Capacity_Resource,$D64,'Critical resources (hide)'!AQ$6:AQ$105)+SUMIF(Capacity_Resource,$E64,'Critical resources (hide)'!AQ$6:AQ$105)+SUMIF(Capacity_Resource,$F64,'Critical resources (hide)'!AQ$6:AQ$105)&gt;0,$E$1=2),0,1)</f>
        <v>1</v>
      </c>
      <c r="AE64" s="68">
        <f ca="1">IF(AND(SUMIF(Capacity_Resource,$D64,'Critical resources (hide)'!AR$6:AR$105)+SUMIF(Capacity_Resource,$E64,'Critical resources (hide)'!AR$6:AR$105)+SUMIF(Capacity_Resource,$F64,'Critical resources (hide)'!AR$6:AR$105)&gt;0,$E$1=2),0,1)</f>
        <v>1</v>
      </c>
      <c r="AF64" s="68">
        <f ca="1">IF(AND(SUMIF(Capacity_Resource,$D64,'Critical resources (hide)'!AS$6:AS$105)+SUMIF(Capacity_Resource,$E64,'Critical resources (hide)'!AS$6:AS$105)+SUMIF(Capacity_Resource,$F64,'Critical resources (hide)'!AS$6:AS$105)&gt;0,$E$1=2),0,1)</f>
        <v>1</v>
      </c>
      <c r="AG64" s="68">
        <f ca="1">IF(AND(SUMIF(Capacity_Resource,$D64,'Critical resources (hide)'!AT$6:AT$105)+SUMIF(Capacity_Resource,$E64,'Critical resources (hide)'!AT$6:AT$105)+SUMIF(Capacity_Resource,$F64,'Critical resources (hide)'!AT$6:AT$105)&gt;0,$E$1=2),0,1)</f>
        <v>1</v>
      </c>
      <c r="AH64" s="68">
        <f ca="1">IF(AND(SUMIF(Capacity_Resource,$D64,'Critical resources (hide)'!AU$6:AU$105)+SUMIF(Capacity_Resource,$E64,'Critical resources (hide)'!AU$6:AU$105)+SUMIF(Capacity_Resource,$F64,'Critical resources (hide)'!AU$6:AU$105)&gt;0,$E$1=2),0,1)</f>
        <v>1</v>
      </c>
      <c r="AI64" s="68">
        <f ca="1">IF(AND(SUMIF(Capacity_Resource,$D64,'Critical resources (hide)'!AV$6:AV$105)+SUMIF(Capacity_Resource,$E64,'Critical resources (hide)'!AV$6:AV$105)+SUMIF(Capacity_Resource,$F64,'Critical resources (hide)'!AV$6:AV$105)&gt;0,$E$1=2),0,1)</f>
        <v>1</v>
      </c>
      <c r="AJ64" s="68">
        <f ca="1">IF(AND(SUMIF(Capacity_Resource,$D64,'Critical resources (hide)'!AW$6:AW$105)+SUMIF(Capacity_Resource,$E64,'Critical resources (hide)'!AW$6:AW$105)+SUMIF(Capacity_Resource,$F64,'Critical resources (hide)'!AW$6:AW$105)&gt;0,$E$1=2),0,1)</f>
        <v>1</v>
      </c>
      <c r="AK64" s="68">
        <f ca="1">IF(AND(SUMIF(Capacity_Resource,$D64,'Critical resources (hide)'!AX$6:AX$105)+SUMIF(Capacity_Resource,$E64,'Critical resources (hide)'!AX$6:AX$105)+SUMIF(Capacity_Resource,$F64,'Critical resources (hide)'!AX$6:AX$105)&gt;0,$E$1=2),0,1)</f>
        <v>1</v>
      </c>
      <c r="AL64" s="68">
        <f ca="1">IF(AND(SUMIF(Capacity_Resource,$D64,'Critical resources (hide)'!AY$6:AY$105)+SUMIF(Capacity_Resource,$E64,'Critical resources (hide)'!AY$6:AY$105)+SUMIF(Capacity_Resource,$F64,'Critical resources (hide)'!AY$6:AY$105)&gt;0,$E$1=2),0,1)</f>
        <v>1</v>
      </c>
      <c r="AM64" s="68">
        <f ca="1">IF(AND(SUMIF(Capacity_Resource,$D64,'Critical resources (hide)'!AZ$6:AZ$105)+SUMIF(Capacity_Resource,$E64,'Critical resources (hide)'!AZ$6:AZ$105)+SUMIF(Capacity_Resource,$F64,'Critical resources (hide)'!AZ$6:AZ$105)&gt;0,$E$1=2),0,1)</f>
        <v>1</v>
      </c>
      <c r="AN64" s="68">
        <f ca="1">IF(AND(SUMIF(Capacity_Resource,$D64,'Critical resources (hide)'!BA$6:BA$105)+SUMIF(Capacity_Resource,$E64,'Critical resources (hide)'!BA$6:BA$105)+SUMIF(Capacity_Resource,$F64,'Critical resources (hide)'!BA$6:BA$105)&gt;0,$E$1=2),0,1)</f>
        <v>1</v>
      </c>
      <c r="AO64" s="68">
        <f ca="1">IF(AND(SUMIF(Capacity_Resource,$D64,'Critical resources (hide)'!BB$6:BB$105)+SUMIF(Capacity_Resource,$E64,'Critical resources (hide)'!BB$6:BB$105)+SUMIF(Capacity_Resource,$F64,'Critical resources (hide)'!BB$6:BB$105)&gt;0,$E$1=2),0,1)</f>
        <v>1</v>
      </c>
      <c r="AP64" s="68">
        <f ca="1">IF(AND(SUMIF(Capacity_Resource,$D64,'Critical resources (hide)'!BC$6:BC$105)+SUMIF(Capacity_Resource,$E64,'Critical resources (hide)'!BC$6:BC$105)+SUMIF(Capacity_Resource,$F64,'Critical resources (hide)'!BC$6:BC$105)&gt;0,$E$1=2),0,1)</f>
        <v>1</v>
      </c>
      <c r="AQ64" s="68">
        <f ca="1">IF(AND(SUMIF(Capacity_Resource,$D64,'Critical resources (hide)'!BD$6:BD$105)+SUMIF(Capacity_Resource,$E64,'Critical resources (hide)'!BD$6:BD$105)+SUMIF(Capacity_Resource,$F64,'Critical resources (hide)'!BD$6:BD$105)&gt;0,$E$1=2),0,1)</f>
        <v>1</v>
      </c>
      <c r="AR64" s="68">
        <f ca="1">IF(AND(SUMIF(Capacity_Resource,$D64,'Critical resources (hide)'!BE$6:BE$105)+SUMIF(Capacity_Resource,$E64,'Critical resources (hide)'!BE$6:BE$105)+SUMIF(Capacity_Resource,$F64,'Critical resources (hide)'!BE$6:BE$105)&gt;0,$E$1=2),0,1)</f>
        <v>1</v>
      </c>
      <c r="AS64" s="68">
        <f ca="1">IF(AND(SUMIF(Capacity_Resource,$D64,'Critical resources (hide)'!BF$6:BF$105)+SUMIF(Capacity_Resource,$E64,'Critical resources (hide)'!BF$6:BF$105)+SUMIF(Capacity_Resource,$F64,'Critical resources (hide)'!BF$6:BF$105)&gt;0,$E$1=2),0,1)</f>
        <v>1</v>
      </c>
      <c r="AT64" s="68">
        <f ca="1">IF(AND(SUMIF(Capacity_Resource,$D64,'Critical resources (hide)'!BG$6:BG$105)+SUMIF(Capacity_Resource,$E64,'Critical resources (hide)'!BG$6:BG$105)+SUMIF(Capacity_Resource,$F64,'Critical resources (hide)'!BG$6:BG$105)&gt;0,$E$1=2),0,1)</f>
        <v>1</v>
      </c>
      <c r="AU64" s="68">
        <f ca="1">IF(AND(SUMIF(Capacity_Resource,$D64,'Critical resources (hide)'!BH$6:BH$105)+SUMIF(Capacity_Resource,$E64,'Critical resources (hide)'!BH$6:BH$105)+SUMIF(Capacity_Resource,$F64,'Critical resources (hide)'!BH$6:BH$105)&gt;0,$E$1=2),0,1)</f>
        <v>1</v>
      </c>
      <c r="AV64" s="68">
        <f ca="1">IF(AND(SUMIF(Capacity_Resource,$D64,'Critical resources (hide)'!BI$6:BI$105)+SUMIF(Capacity_Resource,$E64,'Critical resources (hide)'!BI$6:BI$105)+SUMIF(Capacity_Resource,$F64,'Critical resources (hide)'!BI$6:BI$105)&gt;0,$E$1=2),0,1)</f>
        <v>1</v>
      </c>
      <c r="AW64" s="68">
        <f ca="1">IF(AND(SUMIF(Capacity_Resource,$D64,'Critical resources (hide)'!BJ$6:BJ$105)+SUMIF(Capacity_Resource,$E64,'Critical resources (hide)'!BJ$6:BJ$105)+SUMIF(Capacity_Resource,$F64,'Critical resources (hide)'!BJ$6:BJ$105)&gt;0,$E$1=2),0,1)</f>
        <v>1</v>
      </c>
      <c r="AX64" s="68">
        <f ca="1">IF(AND(SUMIF(Capacity_Resource,$D64,'Critical resources (hide)'!BK$6:BK$105)+SUMIF(Capacity_Resource,$E64,'Critical resources (hide)'!BK$6:BK$105)+SUMIF(Capacity_Resource,$F64,'Critical resources (hide)'!BK$6:BK$105)&gt;0,$E$1=2),0,1)</f>
        <v>1</v>
      </c>
      <c r="AY64" s="68">
        <f ca="1">IF(AND(SUMIF(Capacity_Resource,$D64,'Critical resources (hide)'!BL$6:BL$105)+SUMIF(Capacity_Resource,$E64,'Critical resources (hide)'!BL$6:BL$105)+SUMIF(Capacity_Resource,$F64,'Critical resources (hide)'!BL$6:BL$105)&gt;0,$E$1=2),0,1)</f>
        <v>1</v>
      </c>
      <c r="AZ64" s="68">
        <f ca="1">IF(AND(SUMIF(Capacity_Resource,$D64,'Critical resources (hide)'!BM$6:BM$105)+SUMIF(Capacity_Resource,$E64,'Critical resources (hide)'!BM$6:BM$105)+SUMIF(Capacity_Resource,$F64,'Critical resources (hide)'!BM$6:BM$105)&gt;0,$E$1=2),0,1)</f>
        <v>1</v>
      </c>
      <c r="BA64" s="68">
        <f ca="1">IF(AND(SUMIF(Capacity_Resource,$D64,'Critical resources (hide)'!BN$6:BN$105)+SUMIF(Capacity_Resource,$E64,'Critical resources (hide)'!BN$6:BN$105)+SUMIF(Capacity_Resource,$F64,'Critical resources (hide)'!BN$6:BN$105)&gt;0,$E$1=2),0,1)</f>
        <v>1</v>
      </c>
      <c r="BB64" s="68">
        <f ca="1">IF(AND(SUMIF(Capacity_Resource,$D64,'Critical resources (hide)'!BO$6:BO$105)+SUMIF(Capacity_Resource,$E64,'Critical resources (hide)'!BO$6:BO$105)+SUMIF(Capacity_Resource,$F64,'Critical resources (hide)'!BO$6:BO$105)&gt;0,$E$1=2),0,1)</f>
        <v>1</v>
      </c>
      <c r="BC64" s="68">
        <f ca="1">IF(AND(SUMIF(Capacity_Resource,$D64,'Critical resources (hide)'!BP$6:BP$105)+SUMIF(Capacity_Resource,$E64,'Critical resources (hide)'!BP$6:BP$105)+SUMIF(Capacity_Resource,$F64,'Critical resources (hide)'!BP$6:BP$105)&gt;0,$E$1=2),0,1)</f>
        <v>1</v>
      </c>
      <c r="BD64" s="68">
        <f ca="1">IF(AND(SUMIF(Capacity_Resource,$D64,'Critical resources (hide)'!BQ$6:BQ$105)+SUMIF(Capacity_Resource,$E64,'Critical resources (hide)'!BQ$6:BQ$105)+SUMIF(Capacity_Resource,$F64,'Critical resources (hide)'!BQ$6:BQ$105)&gt;0,$E$1=2),0,1)</f>
        <v>1</v>
      </c>
      <c r="BE64" s="68">
        <f ca="1">IF(AND(SUMIF(Capacity_Resource,$D64,'Critical resources (hide)'!BR$6:BR$105)+SUMIF(Capacity_Resource,$E64,'Critical resources (hide)'!BR$6:BR$105)+SUMIF(Capacity_Resource,$F64,'Critical resources (hide)'!BR$6:BR$105)&gt;0,$E$1=2),0,1)</f>
        <v>1</v>
      </c>
      <c r="BF64" s="68">
        <f ca="1">IF(AND(SUMIF(Capacity_Resource,$D64,'Critical resources (hide)'!BS$6:BS$105)+SUMIF(Capacity_Resource,$E64,'Critical resources (hide)'!BS$6:BS$105)+SUMIF(Capacity_Resource,$F64,'Critical resources (hide)'!BS$6:BS$105)&gt;0,$E$1=2),0,1)</f>
        <v>1</v>
      </c>
      <c r="BG64" s="68">
        <f ca="1">IF(AND(SUMIF(Capacity_Resource,$D64,'Critical resources (hide)'!BT$6:BT$105)+SUMIF(Capacity_Resource,$E64,'Critical resources (hide)'!BT$6:BT$105)+SUMIF(Capacity_Resource,$F64,'Critical resources (hide)'!BT$6:BT$105)&gt;0,$E$1=2),0,1)</f>
        <v>1</v>
      </c>
      <c r="BH64" s="68">
        <f>IF(ROW(C60)&lt;=Capacity!$A$16,IF('Capacity summary'!$D$14="No",SUM(H64:BG64),'Capacity summary'!$E183),0)</f>
        <v>0</v>
      </c>
      <c r="BI64" s="5" t="str">
        <f>IF(BH64&gt;0,IF(BH64&lt;Capacity!E76,Capacity!F76,Capacity!H76/'Capacity calculation (hide)'!BH64),"")</f>
        <v/>
      </c>
      <c r="BK64" s="319">
        <f>IF($BI64&lt;&gt;"",IF('Capacity summary'!$D$14="Yes",IF(COUNTBLANK('Capacity summary'!$H183:$BG183)&lt;52,IF('Capacity summary'!H183&lt;&gt;"",$BI64*H64,0),H64*$BI64),H64*$BI64),0)</f>
        <v>0</v>
      </c>
      <c r="BL64" s="319">
        <f>IF($BI64&lt;&gt;"",IF('Capacity summary'!$D$14="Yes",IF(COUNTBLANK('Capacity summary'!$H183:$BG183)&lt;52,IF('Capacity summary'!I183&lt;&gt;"",$BI64*I64,0),I64*$BI64),I64*$BI64),0)</f>
        <v>0</v>
      </c>
      <c r="BM64" s="319">
        <f>IF($BI64&lt;&gt;"",IF('Capacity summary'!$D$14="Yes",IF(COUNTBLANK('Capacity summary'!$H183:$BG183)&lt;52,IF('Capacity summary'!J183&lt;&gt;"",$BI64*J64,0),J64*$BI64),J64*$BI64),0)</f>
        <v>0</v>
      </c>
      <c r="BN64" s="319">
        <f>IF($BI64&lt;&gt;"",IF('Capacity summary'!$D$14="Yes",IF(COUNTBLANK('Capacity summary'!$H183:$BG183)&lt;52,IF('Capacity summary'!K183&lt;&gt;"",$BI64*K64,0),K64*$BI64),K64*$BI64),0)</f>
        <v>0</v>
      </c>
      <c r="BO64" s="319">
        <f>IF($BI64&lt;&gt;"",IF('Capacity summary'!$D$14="Yes",IF(COUNTBLANK('Capacity summary'!$H183:$BG183)&lt;52,IF('Capacity summary'!L183&lt;&gt;"",$BI64*L64,0),L64*$BI64),L64*$BI64),0)</f>
        <v>0</v>
      </c>
      <c r="BP64" s="319">
        <f>IF($BI64&lt;&gt;"",IF('Capacity summary'!$D$14="Yes",IF(COUNTBLANK('Capacity summary'!$H183:$BG183)&lt;52,IF('Capacity summary'!M183&lt;&gt;"",$BI64*M64,0),M64*$BI64),M64*$BI64),0)</f>
        <v>0</v>
      </c>
      <c r="BQ64" s="319">
        <f>IF($BI64&lt;&gt;"",IF('Capacity summary'!$D$14="Yes",IF(COUNTBLANK('Capacity summary'!$H183:$BG183)&lt;52,IF('Capacity summary'!N183&lt;&gt;"",$BI64*N64,0),N64*$BI64),N64*$BI64),0)</f>
        <v>0</v>
      </c>
      <c r="BR64" s="319">
        <f>IF($BI64&lt;&gt;"",IF('Capacity summary'!$D$14="Yes",IF(COUNTBLANK('Capacity summary'!$H183:$BG183)&lt;52,IF('Capacity summary'!O183&lt;&gt;"",$BI64*O64,0),O64*$BI64),O64*$BI64),0)</f>
        <v>0</v>
      </c>
      <c r="BS64" s="319">
        <f>IF($BI64&lt;&gt;"",IF('Capacity summary'!$D$14="Yes",IF(COUNTBLANK('Capacity summary'!$H183:$BG183)&lt;52,IF('Capacity summary'!P183&lt;&gt;"",$BI64*P64,0),P64*$BI64),P64*$BI64),0)</f>
        <v>0</v>
      </c>
      <c r="BT64" s="319">
        <f>IF($BI64&lt;&gt;"",IF('Capacity summary'!$D$14="Yes",IF(COUNTBLANK('Capacity summary'!$H183:$BG183)&lt;52,IF('Capacity summary'!Q183&lt;&gt;"",$BI64*Q64,0),Q64*$BI64),Q64*$BI64),0)</f>
        <v>0</v>
      </c>
      <c r="BU64" s="319">
        <f>IF($BI64&lt;&gt;"",IF('Capacity summary'!$D$14="Yes",IF(COUNTBLANK('Capacity summary'!$H183:$BG183)&lt;52,IF('Capacity summary'!R183&lt;&gt;"",$BI64*R64,0),R64*$BI64),R64*$BI64),0)</f>
        <v>0</v>
      </c>
      <c r="BV64" s="319">
        <f>IF($BI64&lt;&gt;"",IF('Capacity summary'!$D$14="Yes",IF(COUNTBLANK('Capacity summary'!$H183:$BG183)&lt;52,IF('Capacity summary'!S183&lt;&gt;"",$BI64*S64,0),S64*$BI64),S64*$BI64),0)</f>
        <v>0</v>
      </c>
      <c r="BW64" s="319">
        <f>IF($BI64&lt;&gt;"",IF('Capacity summary'!$D$14="Yes",IF(COUNTBLANK('Capacity summary'!$H183:$BG183)&lt;52,IF('Capacity summary'!T183&lt;&gt;"",$BI64*T64,0),T64*$BI64),T64*$BI64),0)</f>
        <v>0</v>
      </c>
      <c r="BX64" s="319">
        <f>IF($BI64&lt;&gt;"",IF('Capacity summary'!$D$14="Yes",IF(COUNTBLANK('Capacity summary'!$H183:$BG183)&lt;52,IF('Capacity summary'!U183&lt;&gt;"",$BI64*U64,0),U64*$BI64),U64*$BI64),0)</f>
        <v>0</v>
      </c>
      <c r="BY64" s="319">
        <f>IF($BI64&lt;&gt;"",IF('Capacity summary'!$D$14="Yes",IF(COUNTBLANK('Capacity summary'!$H183:$BG183)&lt;52,IF('Capacity summary'!V183&lt;&gt;"",$BI64*V64,0),V64*$BI64),V64*$BI64),0)</f>
        <v>0</v>
      </c>
      <c r="BZ64" s="319">
        <f>IF($BI64&lt;&gt;"",IF('Capacity summary'!$D$14="Yes",IF(COUNTBLANK('Capacity summary'!$H183:$BG183)&lt;52,IF('Capacity summary'!W183&lt;&gt;"",$BI64*W64,0),W64*$BI64),W64*$BI64),0)</f>
        <v>0</v>
      </c>
      <c r="CA64" s="319">
        <f>IF($BI64&lt;&gt;"",IF('Capacity summary'!$D$14="Yes",IF(COUNTBLANK('Capacity summary'!$H183:$BG183)&lt;52,IF('Capacity summary'!X183&lt;&gt;"",$BI64*X64,0),X64*$BI64),X64*$BI64),0)</f>
        <v>0</v>
      </c>
      <c r="CB64" s="319">
        <f>IF($BI64&lt;&gt;"",IF('Capacity summary'!$D$14="Yes",IF(COUNTBLANK('Capacity summary'!$H183:$BG183)&lt;52,IF('Capacity summary'!Y183&lt;&gt;"",$BI64*Y64,0),Y64*$BI64),Y64*$BI64),0)</f>
        <v>0</v>
      </c>
      <c r="CC64" s="319">
        <f>IF($BI64&lt;&gt;"",IF('Capacity summary'!$D$14="Yes",IF(COUNTBLANK('Capacity summary'!$H183:$BG183)&lt;52,IF('Capacity summary'!Z183&lt;&gt;"",$BI64*Z64,0),Z64*$BI64),Z64*$BI64),0)</f>
        <v>0</v>
      </c>
      <c r="CD64" s="319">
        <f>IF($BI64&lt;&gt;"",IF('Capacity summary'!$D$14="Yes",IF(COUNTBLANK('Capacity summary'!$H183:$BG183)&lt;52,IF('Capacity summary'!AA183&lt;&gt;"",$BI64*AA64,0),AA64*$BI64),AA64*$BI64),0)</f>
        <v>0</v>
      </c>
      <c r="CE64" s="319">
        <f>IF($BI64&lt;&gt;"",IF('Capacity summary'!$D$14="Yes",IF(COUNTBLANK('Capacity summary'!$H183:$BG183)&lt;52,IF('Capacity summary'!AB183&lt;&gt;"",$BI64*AB64,0),AB64*$BI64),AB64*$BI64),0)</f>
        <v>0</v>
      </c>
      <c r="CF64" s="319">
        <f>IF($BI64&lt;&gt;"",IF('Capacity summary'!$D$14="Yes",IF(COUNTBLANK('Capacity summary'!$H183:$BG183)&lt;52,IF('Capacity summary'!AC183&lt;&gt;"",$BI64*AC64,0),AC64*$BI64),AC64*$BI64),0)</f>
        <v>0</v>
      </c>
      <c r="CG64" s="319">
        <f>IF($BI64&lt;&gt;"",IF('Capacity summary'!$D$14="Yes",IF(COUNTBLANK('Capacity summary'!$H183:$BG183)&lt;52,IF('Capacity summary'!AD183&lt;&gt;"",$BI64*AD64,0),AD64*$BI64),AD64*$BI64),0)</f>
        <v>0</v>
      </c>
      <c r="CH64" s="319">
        <f>IF($BI64&lt;&gt;"",IF('Capacity summary'!$D$14="Yes",IF(COUNTBLANK('Capacity summary'!$H183:$BG183)&lt;52,IF('Capacity summary'!AE183&lt;&gt;"",$BI64*AE64,0),AE64*$BI64),AE64*$BI64),0)</f>
        <v>0</v>
      </c>
      <c r="CI64" s="319">
        <f>IF($BI64&lt;&gt;"",IF('Capacity summary'!$D$14="Yes",IF(COUNTBLANK('Capacity summary'!$H183:$BG183)&lt;52,IF('Capacity summary'!AF183&lt;&gt;"",$BI64*AF64,0),AF64*$BI64),AF64*$BI64),0)</f>
        <v>0</v>
      </c>
      <c r="CJ64" s="319">
        <f>IF($BI64&lt;&gt;"",IF('Capacity summary'!$D$14="Yes",IF(COUNTBLANK('Capacity summary'!$H183:$BG183)&lt;52,IF('Capacity summary'!AG183&lt;&gt;"",$BI64*AG64,0),AG64*$BI64),AG64*$BI64),0)</f>
        <v>0</v>
      </c>
      <c r="CK64" s="319">
        <f>IF($BI64&lt;&gt;"",IF('Capacity summary'!$D$14="Yes",IF(COUNTBLANK('Capacity summary'!$H183:$BG183)&lt;52,IF('Capacity summary'!AH183&lt;&gt;"",$BI64*AH64,0),AH64*$BI64),AH64*$BI64),0)</f>
        <v>0</v>
      </c>
      <c r="CL64" s="319">
        <f>IF($BI64&lt;&gt;"",IF('Capacity summary'!$D$14="Yes",IF(COUNTBLANK('Capacity summary'!$H183:$BG183)&lt;52,IF('Capacity summary'!AI183&lt;&gt;"",$BI64*AI64,0),AI64*$BI64),AI64*$BI64),0)</f>
        <v>0</v>
      </c>
      <c r="CM64" s="319">
        <f>IF($BI64&lt;&gt;"",IF('Capacity summary'!$D$14="Yes",IF(COUNTBLANK('Capacity summary'!$H183:$BG183)&lt;52,IF('Capacity summary'!AJ183&lt;&gt;"",$BI64*AJ64,0),AJ64*$BI64),AJ64*$BI64),0)</f>
        <v>0</v>
      </c>
      <c r="CN64" s="319">
        <f>IF($BI64&lt;&gt;"",IF('Capacity summary'!$D$14="Yes",IF(COUNTBLANK('Capacity summary'!$H183:$BG183)&lt;52,IF('Capacity summary'!AK183&lt;&gt;"",$BI64*AK64,0),AK64*$BI64),AK64*$BI64),0)</f>
        <v>0</v>
      </c>
      <c r="CO64" s="319">
        <f>IF($BI64&lt;&gt;"",IF('Capacity summary'!$D$14="Yes",IF(COUNTBLANK('Capacity summary'!$H183:$BG183)&lt;52,IF('Capacity summary'!AL183&lt;&gt;"",$BI64*AL64,0),AL64*$BI64),AL64*$BI64),0)</f>
        <v>0</v>
      </c>
      <c r="CP64" s="319">
        <f>IF($BI64&lt;&gt;"",IF('Capacity summary'!$D$14="Yes",IF(COUNTBLANK('Capacity summary'!$H183:$BG183)&lt;52,IF('Capacity summary'!AM183&lt;&gt;"",$BI64*AM64,0),AM64*$BI64),AM64*$BI64),0)</f>
        <v>0</v>
      </c>
      <c r="CQ64" s="319">
        <f>IF($BI64&lt;&gt;"",IF('Capacity summary'!$D$14="Yes",IF(COUNTBLANK('Capacity summary'!$H183:$BG183)&lt;52,IF('Capacity summary'!AN183&lt;&gt;"",$BI64*AN64,0),AN64*$BI64),AN64*$BI64),0)</f>
        <v>0</v>
      </c>
      <c r="CR64" s="319">
        <f>IF($BI64&lt;&gt;"",IF('Capacity summary'!$D$14="Yes",IF(COUNTBLANK('Capacity summary'!$H183:$BG183)&lt;52,IF('Capacity summary'!AO183&lt;&gt;"",$BI64*AO64,0),AO64*$BI64),AO64*$BI64),0)</f>
        <v>0</v>
      </c>
      <c r="CS64" s="319">
        <f>IF($BI64&lt;&gt;"",IF('Capacity summary'!$D$14="Yes",IF(COUNTBLANK('Capacity summary'!$H183:$BG183)&lt;52,IF('Capacity summary'!AP183&lt;&gt;"",$BI64*AP64,0),AP64*$BI64),AP64*$BI64),0)</f>
        <v>0</v>
      </c>
      <c r="CT64" s="319">
        <f>IF($BI64&lt;&gt;"",IF('Capacity summary'!$D$14="Yes",IF(COUNTBLANK('Capacity summary'!$H183:$BG183)&lt;52,IF('Capacity summary'!AQ183&lt;&gt;"",$BI64*AQ64,0),AQ64*$BI64),AQ64*$BI64),0)</f>
        <v>0</v>
      </c>
      <c r="CU64" s="319">
        <f>IF($BI64&lt;&gt;"",IF('Capacity summary'!$D$14="Yes",IF(COUNTBLANK('Capacity summary'!$H183:$BG183)&lt;52,IF('Capacity summary'!AR183&lt;&gt;"",$BI64*AR64,0),AR64*$BI64),AR64*$BI64),0)</f>
        <v>0</v>
      </c>
      <c r="CV64" s="319">
        <f>IF($BI64&lt;&gt;"",IF('Capacity summary'!$D$14="Yes",IF(COUNTBLANK('Capacity summary'!$H183:$BG183)&lt;52,IF('Capacity summary'!AS183&lt;&gt;"",$BI64*AS64,0),AS64*$BI64),AS64*$BI64),0)</f>
        <v>0</v>
      </c>
      <c r="CW64" s="319">
        <f>IF($BI64&lt;&gt;"",IF('Capacity summary'!$D$14="Yes",IF(COUNTBLANK('Capacity summary'!$H183:$BG183)&lt;52,IF('Capacity summary'!AT183&lt;&gt;"",$BI64*AT64,0),AT64*$BI64),AT64*$BI64),0)</f>
        <v>0</v>
      </c>
      <c r="CX64" s="319">
        <f>IF($BI64&lt;&gt;"",IF('Capacity summary'!$D$14="Yes",IF(COUNTBLANK('Capacity summary'!$H183:$BG183)&lt;52,IF('Capacity summary'!AU183&lt;&gt;"",$BI64*AU64,0),AU64*$BI64),AU64*$BI64),0)</f>
        <v>0</v>
      </c>
      <c r="CY64" s="319">
        <f>IF($BI64&lt;&gt;"",IF('Capacity summary'!$D$14="Yes",IF(COUNTBLANK('Capacity summary'!$H183:$BG183)&lt;52,IF('Capacity summary'!AV183&lt;&gt;"",$BI64*AV64,0),AV64*$BI64),AV64*$BI64),0)</f>
        <v>0</v>
      </c>
      <c r="CZ64" s="319">
        <f>IF($BI64&lt;&gt;"",IF('Capacity summary'!$D$14="Yes",IF(COUNTBLANK('Capacity summary'!$H183:$BG183)&lt;52,IF('Capacity summary'!AW183&lt;&gt;"",$BI64*AW64,0),AW64*$BI64),AW64*$BI64),0)</f>
        <v>0</v>
      </c>
      <c r="DA64" s="319">
        <f>IF($BI64&lt;&gt;"",IF('Capacity summary'!$D$14="Yes",IF(COUNTBLANK('Capacity summary'!$H183:$BG183)&lt;52,IF('Capacity summary'!AX183&lt;&gt;"",$BI64*AX64,0),AX64*$BI64),AX64*$BI64),0)</f>
        <v>0</v>
      </c>
      <c r="DB64" s="319">
        <f>IF($BI64&lt;&gt;"",IF('Capacity summary'!$D$14="Yes",IF(COUNTBLANK('Capacity summary'!$H183:$BG183)&lt;52,IF('Capacity summary'!AY183&lt;&gt;"",$BI64*AY64,0),AY64*$BI64),AY64*$BI64),0)</f>
        <v>0</v>
      </c>
      <c r="DC64" s="319">
        <f>IF($BI64&lt;&gt;"",IF('Capacity summary'!$D$14="Yes",IF(COUNTBLANK('Capacity summary'!$H183:$BG183)&lt;52,IF('Capacity summary'!AZ183&lt;&gt;"",$BI64*AZ64,0),AZ64*$BI64),AZ64*$BI64),0)</f>
        <v>0</v>
      </c>
      <c r="DD64" s="319">
        <f>IF($BI64&lt;&gt;"",IF('Capacity summary'!$D$14="Yes",IF(COUNTBLANK('Capacity summary'!$H183:$BG183)&lt;52,IF('Capacity summary'!BA183&lt;&gt;"",$BI64*BA64,0),BA64*$BI64),BA64*$BI64),0)</f>
        <v>0</v>
      </c>
      <c r="DE64" s="319">
        <f>IF($BI64&lt;&gt;"",IF('Capacity summary'!$D$14="Yes",IF(COUNTBLANK('Capacity summary'!$H183:$BG183)&lt;52,IF('Capacity summary'!BB183&lt;&gt;"",$BI64*BB64,0),BB64*$BI64),BB64*$BI64),0)</f>
        <v>0</v>
      </c>
      <c r="DF64" s="319">
        <f>IF($BI64&lt;&gt;"",IF('Capacity summary'!$D$14="Yes",IF(COUNTBLANK('Capacity summary'!$H183:$BG183)&lt;52,IF('Capacity summary'!BC183&lt;&gt;"",$BI64*BC64,0),BC64*$BI64),BC64*$BI64),0)</f>
        <v>0</v>
      </c>
      <c r="DG64" s="319">
        <f>IF($BI64&lt;&gt;"",IF('Capacity summary'!$D$14="Yes",IF(COUNTBLANK('Capacity summary'!$H183:$BG183)&lt;52,IF('Capacity summary'!BD183&lt;&gt;"",$BI64*BD64,0),BD64*$BI64),BD64*$BI64),0)</f>
        <v>0</v>
      </c>
      <c r="DH64" s="319">
        <f>IF($BI64&lt;&gt;"",IF('Capacity summary'!$D$14="Yes",IF(COUNTBLANK('Capacity summary'!$H183:$BG183)&lt;52,IF('Capacity summary'!BE183&lt;&gt;"",$BI64*BE64,0),BE64*$BI64),BE64*$BI64),0)</f>
        <v>0</v>
      </c>
      <c r="DI64" s="319">
        <f>IF($BI64&lt;&gt;"",IF('Capacity summary'!$D$14="Yes",IF(COUNTBLANK('Capacity summary'!$H183:$BG183)&lt;52,IF('Capacity summary'!BF183&lt;&gt;"",$BI64*BF64,0),BF64*$BI64),BF64*$BI64),0)</f>
        <v>0</v>
      </c>
      <c r="DJ64" s="319">
        <f>IF($BI64&lt;&gt;"",IF('Capacity summary'!$D$14="Yes",IF(COUNTBLANK('Capacity summary'!$H183:$BG183)&lt;52,IF('Capacity summary'!BG183&lt;&gt;"",$BI64*BG64,0),BG64*$BI64),BG64*$BI64),0)</f>
        <v>0</v>
      </c>
      <c r="DK64" s="5">
        <f t="shared" si="2"/>
        <v>0</v>
      </c>
      <c r="DL64" s="5" t="str">
        <f>Capacity!H76</f>
        <v/>
      </c>
    </row>
    <row r="65" spans="2:116" x14ac:dyDescent="0.2">
      <c r="B65" s="68"/>
      <c r="C65" s="68" t="str">
        <f>ROW(A61)&amp;". "&amp;Capacity!B77</f>
        <v xml:space="preserve">61. </v>
      </c>
      <c r="D65" s="68">
        <f>'Capacity setup'!C72</f>
        <v>0</v>
      </c>
      <c r="E65" s="68">
        <f>'Capacity setup'!D72</f>
        <v>0</v>
      </c>
      <c r="F65" s="68">
        <f>'Capacity setup'!E72</f>
        <v>0</v>
      </c>
      <c r="H65" s="68">
        <f ca="1">IF(AND(SUMIF(Capacity_Resource,$D65,'Critical resources (hide)'!U$6:U$105)+SUMIF(Capacity_Resource,$E65,'Critical resources (hide)'!U$6:U$105)+SUMIF(Capacity_Resource,$F65,'Critical resources (hide)'!U$6:U$105)&gt;0,$E$1=2),0,1)</f>
        <v>1</v>
      </c>
      <c r="I65" s="68">
        <f ca="1">IF(AND(SUMIF(Capacity_Resource,$D65,'Critical resources (hide)'!V$6:V$105)+SUMIF(Capacity_Resource,$E65,'Critical resources (hide)'!V$6:V$105)+SUMIF(Capacity_Resource,$F65,'Critical resources (hide)'!V$6:V$105)&gt;0,$E$1=2),0,1)</f>
        <v>1</v>
      </c>
      <c r="J65" s="68">
        <f ca="1">IF(AND(SUMIF(Capacity_Resource,$D65,'Critical resources (hide)'!W$6:W$105)+SUMIF(Capacity_Resource,$E65,'Critical resources (hide)'!W$6:W$105)+SUMIF(Capacity_Resource,$F65,'Critical resources (hide)'!W$6:W$105)&gt;0,$E$1=2),0,1)</f>
        <v>1</v>
      </c>
      <c r="K65" s="68">
        <f ca="1">IF(AND(SUMIF(Capacity_Resource,$D65,'Critical resources (hide)'!X$6:X$105)+SUMIF(Capacity_Resource,$E65,'Critical resources (hide)'!X$6:X$105)+SUMIF(Capacity_Resource,$F65,'Critical resources (hide)'!X$6:X$105)&gt;0,$E$1=2),0,1)</f>
        <v>1</v>
      </c>
      <c r="L65" s="68">
        <f ca="1">IF(AND(SUMIF(Capacity_Resource,$D65,'Critical resources (hide)'!Y$6:Y$105)+SUMIF(Capacity_Resource,$E65,'Critical resources (hide)'!Y$6:Y$105)+SUMIF(Capacity_Resource,$F65,'Critical resources (hide)'!Y$6:Y$105)&gt;0,$E$1=2),0,1)</f>
        <v>1</v>
      </c>
      <c r="M65" s="68">
        <f ca="1">IF(AND(SUMIF(Capacity_Resource,$D65,'Critical resources (hide)'!Z$6:Z$105)+SUMIF(Capacity_Resource,$E65,'Critical resources (hide)'!Z$6:Z$105)+SUMIF(Capacity_Resource,$F65,'Critical resources (hide)'!Z$6:Z$105)&gt;0,$E$1=2),0,1)</f>
        <v>1</v>
      </c>
      <c r="N65" s="68">
        <f ca="1">IF(AND(SUMIF(Capacity_Resource,$D65,'Critical resources (hide)'!AA$6:AA$105)+SUMIF(Capacity_Resource,$E65,'Critical resources (hide)'!AA$6:AA$105)+SUMIF(Capacity_Resource,$F65,'Critical resources (hide)'!AA$6:AA$105)&gt;0,$E$1=2),0,1)</f>
        <v>1</v>
      </c>
      <c r="O65" s="68">
        <f ca="1">IF(AND(SUMIF(Capacity_Resource,$D65,'Critical resources (hide)'!AB$6:AB$105)+SUMIF(Capacity_Resource,$E65,'Critical resources (hide)'!AB$6:AB$105)+SUMIF(Capacity_Resource,$F65,'Critical resources (hide)'!AB$6:AB$105)&gt;0,$E$1=2),0,1)</f>
        <v>1</v>
      </c>
      <c r="P65" s="68">
        <f ca="1">IF(AND(SUMIF(Capacity_Resource,$D65,'Critical resources (hide)'!AC$6:AC$105)+SUMIF(Capacity_Resource,$E65,'Critical resources (hide)'!AC$6:AC$105)+SUMIF(Capacity_Resource,$F65,'Critical resources (hide)'!AC$6:AC$105)&gt;0,$E$1=2),0,1)</f>
        <v>1</v>
      </c>
      <c r="Q65" s="68">
        <f ca="1">IF(AND(SUMIF(Capacity_Resource,$D65,'Critical resources (hide)'!AD$6:AD$105)+SUMIF(Capacity_Resource,$E65,'Critical resources (hide)'!AD$6:AD$105)+SUMIF(Capacity_Resource,$F65,'Critical resources (hide)'!AD$6:AD$105)&gt;0,$E$1=2),0,1)</f>
        <v>1</v>
      </c>
      <c r="R65" s="68">
        <f ca="1">IF(AND(SUMIF(Capacity_Resource,$D65,'Critical resources (hide)'!AE$6:AE$105)+SUMIF(Capacity_Resource,$E65,'Critical resources (hide)'!AE$6:AE$105)+SUMIF(Capacity_Resource,$F65,'Critical resources (hide)'!AE$6:AE$105)&gt;0,$E$1=2),0,1)</f>
        <v>1</v>
      </c>
      <c r="S65" s="68">
        <f ca="1">IF(AND(SUMIF(Capacity_Resource,$D65,'Critical resources (hide)'!AF$6:AF$105)+SUMIF(Capacity_Resource,$E65,'Critical resources (hide)'!AF$6:AF$105)+SUMIF(Capacity_Resource,$F65,'Critical resources (hide)'!AF$6:AF$105)&gt;0,$E$1=2),0,1)</f>
        <v>1</v>
      </c>
      <c r="T65" s="68">
        <f ca="1">IF(AND(SUMIF(Capacity_Resource,$D65,'Critical resources (hide)'!AG$6:AG$105)+SUMIF(Capacity_Resource,$E65,'Critical resources (hide)'!AG$6:AG$105)+SUMIF(Capacity_Resource,$F65,'Critical resources (hide)'!AG$6:AG$105)&gt;0,$E$1=2),0,1)</f>
        <v>1</v>
      </c>
      <c r="U65" s="68">
        <f ca="1">IF(AND(SUMIF(Capacity_Resource,$D65,'Critical resources (hide)'!AH$6:AH$105)+SUMIF(Capacity_Resource,$E65,'Critical resources (hide)'!AH$6:AH$105)+SUMIF(Capacity_Resource,$F65,'Critical resources (hide)'!AH$6:AH$105)&gt;0,$E$1=2),0,1)</f>
        <v>1</v>
      </c>
      <c r="V65" s="68">
        <f ca="1">IF(AND(SUMIF(Capacity_Resource,$D65,'Critical resources (hide)'!AI$6:AI$105)+SUMIF(Capacity_Resource,$E65,'Critical resources (hide)'!AI$6:AI$105)+SUMIF(Capacity_Resource,$F65,'Critical resources (hide)'!AI$6:AI$105)&gt;0,$E$1=2),0,1)</f>
        <v>1</v>
      </c>
      <c r="W65" s="68">
        <f ca="1">IF(AND(SUMIF(Capacity_Resource,$D65,'Critical resources (hide)'!AJ$6:AJ$105)+SUMIF(Capacity_Resource,$E65,'Critical resources (hide)'!AJ$6:AJ$105)+SUMIF(Capacity_Resource,$F65,'Critical resources (hide)'!AJ$6:AJ$105)&gt;0,$E$1=2),0,1)</f>
        <v>1</v>
      </c>
      <c r="X65" s="68">
        <f ca="1">IF(AND(SUMIF(Capacity_Resource,$D65,'Critical resources (hide)'!AK$6:AK$105)+SUMIF(Capacity_Resource,$E65,'Critical resources (hide)'!AK$6:AK$105)+SUMIF(Capacity_Resource,$F65,'Critical resources (hide)'!AK$6:AK$105)&gt;0,$E$1=2),0,1)</f>
        <v>1</v>
      </c>
      <c r="Y65" s="68">
        <f ca="1">IF(AND(SUMIF(Capacity_Resource,$D65,'Critical resources (hide)'!AL$6:AL$105)+SUMIF(Capacity_Resource,$E65,'Critical resources (hide)'!AL$6:AL$105)+SUMIF(Capacity_Resource,$F65,'Critical resources (hide)'!AL$6:AL$105)&gt;0,$E$1=2),0,1)</f>
        <v>1</v>
      </c>
      <c r="Z65" s="68">
        <f ca="1">IF(AND(SUMIF(Capacity_Resource,$D65,'Critical resources (hide)'!AM$6:AM$105)+SUMIF(Capacity_Resource,$E65,'Critical resources (hide)'!AM$6:AM$105)+SUMIF(Capacity_Resource,$F65,'Critical resources (hide)'!AM$6:AM$105)&gt;0,$E$1=2),0,1)</f>
        <v>1</v>
      </c>
      <c r="AA65" s="68">
        <f ca="1">IF(AND(SUMIF(Capacity_Resource,$D65,'Critical resources (hide)'!AN$6:AN$105)+SUMIF(Capacity_Resource,$E65,'Critical resources (hide)'!AN$6:AN$105)+SUMIF(Capacity_Resource,$F65,'Critical resources (hide)'!AN$6:AN$105)&gt;0,$E$1=2),0,1)</f>
        <v>1</v>
      </c>
      <c r="AB65" s="68">
        <f ca="1">IF(AND(SUMIF(Capacity_Resource,$D65,'Critical resources (hide)'!AO$6:AO$105)+SUMIF(Capacity_Resource,$E65,'Critical resources (hide)'!AO$6:AO$105)+SUMIF(Capacity_Resource,$F65,'Critical resources (hide)'!AO$6:AO$105)&gt;0,$E$1=2),0,1)</f>
        <v>1</v>
      </c>
      <c r="AC65" s="68">
        <f ca="1">IF(AND(SUMIF(Capacity_Resource,$D65,'Critical resources (hide)'!AP$6:AP$105)+SUMIF(Capacity_Resource,$E65,'Critical resources (hide)'!AP$6:AP$105)+SUMIF(Capacity_Resource,$F65,'Critical resources (hide)'!AP$6:AP$105)&gt;0,$E$1=2),0,1)</f>
        <v>1</v>
      </c>
      <c r="AD65" s="68">
        <f ca="1">IF(AND(SUMIF(Capacity_Resource,$D65,'Critical resources (hide)'!AQ$6:AQ$105)+SUMIF(Capacity_Resource,$E65,'Critical resources (hide)'!AQ$6:AQ$105)+SUMIF(Capacity_Resource,$F65,'Critical resources (hide)'!AQ$6:AQ$105)&gt;0,$E$1=2),0,1)</f>
        <v>1</v>
      </c>
      <c r="AE65" s="68">
        <f ca="1">IF(AND(SUMIF(Capacity_Resource,$D65,'Critical resources (hide)'!AR$6:AR$105)+SUMIF(Capacity_Resource,$E65,'Critical resources (hide)'!AR$6:AR$105)+SUMIF(Capacity_Resource,$F65,'Critical resources (hide)'!AR$6:AR$105)&gt;0,$E$1=2),0,1)</f>
        <v>1</v>
      </c>
      <c r="AF65" s="68">
        <f ca="1">IF(AND(SUMIF(Capacity_Resource,$D65,'Critical resources (hide)'!AS$6:AS$105)+SUMIF(Capacity_Resource,$E65,'Critical resources (hide)'!AS$6:AS$105)+SUMIF(Capacity_Resource,$F65,'Critical resources (hide)'!AS$6:AS$105)&gt;0,$E$1=2),0,1)</f>
        <v>1</v>
      </c>
      <c r="AG65" s="68">
        <f ca="1">IF(AND(SUMIF(Capacity_Resource,$D65,'Critical resources (hide)'!AT$6:AT$105)+SUMIF(Capacity_Resource,$E65,'Critical resources (hide)'!AT$6:AT$105)+SUMIF(Capacity_Resource,$F65,'Critical resources (hide)'!AT$6:AT$105)&gt;0,$E$1=2),0,1)</f>
        <v>1</v>
      </c>
      <c r="AH65" s="68">
        <f ca="1">IF(AND(SUMIF(Capacity_Resource,$D65,'Critical resources (hide)'!AU$6:AU$105)+SUMIF(Capacity_Resource,$E65,'Critical resources (hide)'!AU$6:AU$105)+SUMIF(Capacity_Resource,$F65,'Critical resources (hide)'!AU$6:AU$105)&gt;0,$E$1=2),0,1)</f>
        <v>1</v>
      </c>
      <c r="AI65" s="68">
        <f ca="1">IF(AND(SUMIF(Capacity_Resource,$D65,'Critical resources (hide)'!AV$6:AV$105)+SUMIF(Capacity_Resource,$E65,'Critical resources (hide)'!AV$6:AV$105)+SUMIF(Capacity_Resource,$F65,'Critical resources (hide)'!AV$6:AV$105)&gt;0,$E$1=2),0,1)</f>
        <v>1</v>
      </c>
      <c r="AJ65" s="68">
        <f ca="1">IF(AND(SUMIF(Capacity_Resource,$D65,'Critical resources (hide)'!AW$6:AW$105)+SUMIF(Capacity_Resource,$E65,'Critical resources (hide)'!AW$6:AW$105)+SUMIF(Capacity_Resource,$F65,'Critical resources (hide)'!AW$6:AW$105)&gt;0,$E$1=2),0,1)</f>
        <v>1</v>
      </c>
      <c r="AK65" s="68">
        <f ca="1">IF(AND(SUMIF(Capacity_Resource,$D65,'Critical resources (hide)'!AX$6:AX$105)+SUMIF(Capacity_Resource,$E65,'Critical resources (hide)'!AX$6:AX$105)+SUMIF(Capacity_Resource,$F65,'Critical resources (hide)'!AX$6:AX$105)&gt;0,$E$1=2),0,1)</f>
        <v>1</v>
      </c>
      <c r="AL65" s="68">
        <f ca="1">IF(AND(SUMIF(Capacity_Resource,$D65,'Critical resources (hide)'!AY$6:AY$105)+SUMIF(Capacity_Resource,$E65,'Critical resources (hide)'!AY$6:AY$105)+SUMIF(Capacity_Resource,$F65,'Critical resources (hide)'!AY$6:AY$105)&gt;0,$E$1=2),0,1)</f>
        <v>1</v>
      </c>
      <c r="AM65" s="68">
        <f ca="1">IF(AND(SUMIF(Capacity_Resource,$D65,'Critical resources (hide)'!AZ$6:AZ$105)+SUMIF(Capacity_Resource,$E65,'Critical resources (hide)'!AZ$6:AZ$105)+SUMIF(Capacity_Resource,$F65,'Critical resources (hide)'!AZ$6:AZ$105)&gt;0,$E$1=2),0,1)</f>
        <v>1</v>
      </c>
      <c r="AN65" s="68">
        <f ca="1">IF(AND(SUMIF(Capacity_Resource,$D65,'Critical resources (hide)'!BA$6:BA$105)+SUMIF(Capacity_Resource,$E65,'Critical resources (hide)'!BA$6:BA$105)+SUMIF(Capacity_Resource,$F65,'Critical resources (hide)'!BA$6:BA$105)&gt;0,$E$1=2),0,1)</f>
        <v>1</v>
      </c>
      <c r="AO65" s="68">
        <f ca="1">IF(AND(SUMIF(Capacity_Resource,$D65,'Critical resources (hide)'!BB$6:BB$105)+SUMIF(Capacity_Resource,$E65,'Critical resources (hide)'!BB$6:BB$105)+SUMIF(Capacity_Resource,$F65,'Critical resources (hide)'!BB$6:BB$105)&gt;0,$E$1=2),0,1)</f>
        <v>1</v>
      </c>
      <c r="AP65" s="68">
        <f ca="1">IF(AND(SUMIF(Capacity_Resource,$D65,'Critical resources (hide)'!BC$6:BC$105)+SUMIF(Capacity_Resource,$E65,'Critical resources (hide)'!BC$6:BC$105)+SUMIF(Capacity_Resource,$F65,'Critical resources (hide)'!BC$6:BC$105)&gt;0,$E$1=2),0,1)</f>
        <v>1</v>
      </c>
      <c r="AQ65" s="68">
        <f ca="1">IF(AND(SUMIF(Capacity_Resource,$D65,'Critical resources (hide)'!BD$6:BD$105)+SUMIF(Capacity_Resource,$E65,'Critical resources (hide)'!BD$6:BD$105)+SUMIF(Capacity_Resource,$F65,'Critical resources (hide)'!BD$6:BD$105)&gt;0,$E$1=2),0,1)</f>
        <v>1</v>
      </c>
      <c r="AR65" s="68">
        <f ca="1">IF(AND(SUMIF(Capacity_Resource,$D65,'Critical resources (hide)'!BE$6:BE$105)+SUMIF(Capacity_Resource,$E65,'Critical resources (hide)'!BE$6:BE$105)+SUMIF(Capacity_Resource,$F65,'Critical resources (hide)'!BE$6:BE$105)&gt;0,$E$1=2),0,1)</f>
        <v>1</v>
      </c>
      <c r="AS65" s="68">
        <f ca="1">IF(AND(SUMIF(Capacity_Resource,$D65,'Critical resources (hide)'!BF$6:BF$105)+SUMIF(Capacity_Resource,$E65,'Critical resources (hide)'!BF$6:BF$105)+SUMIF(Capacity_Resource,$F65,'Critical resources (hide)'!BF$6:BF$105)&gt;0,$E$1=2),0,1)</f>
        <v>1</v>
      </c>
      <c r="AT65" s="68">
        <f ca="1">IF(AND(SUMIF(Capacity_Resource,$D65,'Critical resources (hide)'!BG$6:BG$105)+SUMIF(Capacity_Resource,$E65,'Critical resources (hide)'!BG$6:BG$105)+SUMIF(Capacity_Resource,$F65,'Critical resources (hide)'!BG$6:BG$105)&gt;0,$E$1=2),0,1)</f>
        <v>1</v>
      </c>
      <c r="AU65" s="68">
        <f ca="1">IF(AND(SUMIF(Capacity_Resource,$D65,'Critical resources (hide)'!BH$6:BH$105)+SUMIF(Capacity_Resource,$E65,'Critical resources (hide)'!BH$6:BH$105)+SUMIF(Capacity_Resource,$F65,'Critical resources (hide)'!BH$6:BH$105)&gt;0,$E$1=2),0,1)</f>
        <v>1</v>
      </c>
      <c r="AV65" s="68">
        <f ca="1">IF(AND(SUMIF(Capacity_Resource,$D65,'Critical resources (hide)'!BI$6:BI$105)+SUMIF(Capacity_Resource,$E65,'Critical resources (hide)'!BI$6:BI$105)+SUMIF(Capacity_Resource,$F65,'Critical resources (hide)'!BI$6:BI$105)&gt;0,$E$1=2),0,1)</f>
        <v>1</v>
      </c>
      <c r="AW65" s="68">
        <f ca="1">IF(AND(SUMIF(Capacity_Resource,$D65,'Critical resources (hide)'!BJ$6:BJ$105)+SUMIF(Capacity_Resource,$E65,'Critical resources (hide)'!BJ$6:BJ$105)+SUMIF(Capacity_Resource,$F65,'Critical resources (hide)'!BJ$6:BJ$105)&gt;0,$E$1=2),0,1)</f>
        <v>1</v>
      </c>
      <c r="AX65" s="68">
        <f ca="1">IF(AND(SUMIF(Capacity_Resource,$D65,'Critical resources (hide)'!BK$6:BK$105)+SUMIF(Capacity_Resource,$E65,'Critical resources (hide)'!BK$6:BK$105)+SUMIF(Capacity_Resource,$F65,'Critical resources (hide)'!BK$6:BK$105)&gt;0,$E$1=2),0,1)</f>
        <v>1</v>
      </c>
      <c r="AY65" s="68">
        <f ca="1">IF(AND(SUMIF(Capacity_Resource,$D65,'Critical resources (hide)'!BL$6:BL$105)+SUMIF(Capacity_Resource,$E65,'Critical resources (hide)'!BL$6:BL$105)+SUMIF(Capacity_Resource,$F65,'Critical resources (hide)'!BL$6:BL$105)&gt;0,$E$1=2),0,1)</f>
        <v>1</v>
      </c>
      <c r="AZ65" s="68">
        <f ca="1">IF(AND(SUMIF(Capacity_Resource,$D65,'Critical resources (hide)'!BM$6:BM$105)+SUMIF(Capacity_Resource,$E65,'Critical resources (hide)'!BM$6:BM$105)+SUMIF(Capacity_Resource,$F65,'Critical resources (hide)'!BM$6:BM$105)&gt;0,$E$1=2),0,1)</f>
        <v>1</v>
      </c>
      <c r="BA65" s="68">
        <f ca="1">IF(AND(SUMIF(Capacity_Resource,$D65,'Critical resources (hide)'!BN$6:BN$105)+SUMIF(Capacity_Resource,$E65,'Critical resources (hide)'!BN$6:BN$105)+SUMIF(Capacity_Resource,$F65,'Critical resources (hide)'!BN$6:BN$105)&gt;0,$E$1=2),0,1)</f>
        <v>1</v>
      </c>
      <c r="BB65" s="68">
        <f ca="1">IF(AND(SUMIF(Capacity_Resource,$D65,'Critical resources (hide)'!BO$6:BO$105)+SUMIF(Capacity_Resource,$E65,'Critical resources (hide)'!BO$6:BO$105)+SUMIF(Capacity_Resource,$F65,'Critical resources (hide)'!BO$6:BO$105)&gt;0,$E$1=2),0,1)</f>
        <v>1</v>
      </c>
      <c r="BC65" s="68">
        <f ca="1">IF(AND(SUMIF(Capacity_Resource,$D65,'Critical resources (hide)'!BP$6:BP$105)+SUMIF(Capacity_Resource,$E65,'Critical resources (hide)'!BP$6:BP$105)+SUMIF(Capacity_Resource,$F65,'Critical resources (hide)'!BP$6:BP$105)&gt;0,$E$1=2),0,1)</f>
        <v>1</v>
      </c>
      <c r="BD65" s="68">
        <f ca="1">IF(AND(SUMIF(Capacity_Resource,$D65,'Critical resources (hide)'!BQ$6:BQ$105)+SUMIF(Capacity_Resource,$E65,'Critical resources (hide)'!BQ$6:BQ$105)+SUMIF(Capacity_Resource,$F65,'Critical resources (hide)'!BQ$6:BQ$105)&gt;0,$E$1=2),0,1)</f>
        <v>1</v>
      </c>
      <c r="BE65" s="68">
        <f ca="1">IF(AND(SUMIF(Capacity_Resource,$D65,'Critical resources (hide)'!BR$6:BR$105)+SUMIF(Capacity_Resource,$E65,'Critical resources (hide)'!BR$6:BR$105)+SUMIF(Capacity_Resource,$F65,'Critical resources (hide)'!BR$6:BR$105)&gt;0,$E$1=2),0,1)</f>
        <v>1</v>
      </c>
      <c r="BF65" s="68">
        <f ca="1">IF(AND(SUMIF(Capacity_Resource,$D65,'Critical resources (hide)'!BS$6:BS$105)+SUMIF(Capacity_Resource,$E65,'Critical resources (hide)'!BS$6:BS$105)+SUMIF(Capacity_Resource,$F65,'Critical resources (hide)'!BS$6:BS$105)&gt;0,$E$1=2),0,1)</f>
        <v>1</v>
      </c>
      <c r="BG65" s="68">
        <f ca="1">IF(AND(SUMIF(Capacity_Resource,$D65,'Critical resources (hide)'!BT$6:BT$105)+SUMIF(Capacity_Resource,$E65,'Critical resources (hide)'!BT$6:BT$105)+SUMIF(Capacity_Resource,$F65,'Critical resources (hide)'!BT$6:BT$105)&gt;0,$E$1=2),0,1)</f>
        <v>1</v>
      </c>
      <c r="BH65" s="68">
        <f>IF(ROW(C61)&lt;=Capacity!$A$16,IF('Capacity summary'!$D$14="No",SUM(H65:BG65),'Capacity summary'!$E184),0)</f>
        <v>0</v>
      </c>
      <c r="BI65" s="5" t="str">
        <f>IF(BH65&gt;0,IF(BH65&lt;Capacity!E77,Capacity!F77,Capacity!H77/'Capacity calculation (hide)'!BH65),"")</f>
        <v/>
      </c>
      <c r="BK65" s="319">
        <f>IF($BI65&lt;&gt;"",IF('Capacity summary'!$D$14="Yes",IF(COUNTBLANK('Capacity summary'!$H184:$BG184)&lt;52,IF('Capacity summary'!H184&lt;&gt;"",$BI65*H65,0),H65*$BI65),H65*$BI65),0)</f>
        <v>0</v>
      </c>
      <c r="BL65" s="319">
        <f>IF($BI65&lt;&gt;"",IF('Capacity summary'!$D$14="Yes",IF(COUNTBLANK('Capacity summary'!$H184:$BG184)&lt;52,IF('Capacity summary'!I184&lt;&gt;"",$BI65*I65,0),I65*$BI65),I65*$BI65),0)</f>
        <v>0</v>
      </c>
      <c r="BM65" s="319">
        <f>IF($BI65&lt;&gt;"",IF('Capacity summary'!$D$14="Yes",IF(COUNTBLANK('Capacity summary'!$H184:$BG184)&lt;52,IF('Capacity summary'!J184&lt;&gt;"",$BI65*J65,0),J65*$BI65),J65*$BI65),0)</f>
        <v>0</v>
      </c>
      <c r="BN65" s="319">
        <f>IF($BI65&lt;&gt;"",IF('Capacity summary'!$D$14="Yes",IF(COUNTBLANK('Capacity summary'!$H184:$BG184)&lt;52,IF('Capacity summary'!K184&lt;&gt;"",$BI65*K65,0),K65*$BI65),K65*$BI65),0)</f>
        <v>0</v>
      </c>
      <c r="BO65" s="319">
        <f>IF($BI65&lt;&gt;"",IF('Capacity summary'!$D$14="Yes",IF(COUNTBLANK('Capacity summary'!$H184:$BG184)&lt;52,IF('Capacity summary'!L184&lt;&gt;"",$BI65*L65,0),L65*$BI65),L65*$BI65),0)</f>
        <v>0</v>
      </c>
      <c r="BP65" s="319">
        <f>IF($BI65&lt;&gt;"",IF('Capacity summary'!$D$14="Yes",IF(COUNTBLANK('Capacity summary'!$H184:$BG184)&lt;52,IF('Capacity summary'!M184&lt;&gt;"",$BI65*M65,0),M65*$BI65),M65*$BI65),0)</f>
        <v>0</v>
      </c>
      <c r="BQ65" s="319">
        <f>IF($BI65&lt;&gt;"",IF('Capacity summary'!$D$14="Yes",IF(COUNTBLANK('Capacity summary'!$H184:$BG184)&lt;52,IF('Capacity summary'!N184&lt;&gt;"",$BI65*N65,0),N65*$BI65),N65*$BI65),0)</f>
        <v>0</v>
      </c>
      <c r="BR65" s="319">
        <f>IF($BI65&lt;&gt;"",IF('Capacity summary'!$D$14="Yes",IF(COUNTBLANK('Capacity summary'!$H184:$BG184)&lt;52,IF('Capacity summary'!O184&lt;&gt;"",$BI65*O65,0),O65*$BI65),O65*$BI65),0)</f>
        <v>0</v>
      </c>
      <c r="BS65" s="319">
        <f>IF($BI65&lt;&gt;"",IF('Capacity summary'!$D$14="Yes",IF(COUNTBLANK('Capacity summary'!$H184:$BG184)&lt;52,IF('Capacity summary'!P184&lt;&gt;"",$BI65*P65,0),P65*$BI65),P65*$BI65),0)</f>
        <v>0</v>
      </c>
      <c r="BT65" s="319">
        <f>IF($BI65&lt;&gt;"",IF('Capacity summary'!$D$14="Yes",IF(COUNTBLANK('Capacity summary'!$H184:$BG184)&lt;52,IF('Capacity summary'!Q184&lt;&gt;"",$BI65*Q65,0),Q65*$BI65),Q65*$BI65),0)</f>
        <v>0</v>
      </c>
      <c r="BU65" s="319">
        <f>IF($BI65&lt;&gt;"",IF('Capacity summary'!$D$14="Yes",IF(COUNTBLANK('Capacity summary'!$H184:$BG184)&lt;52,IF('Capacity summary'!R184&lt;&gt;"",$BI65*R65,0),R65*$BI65),R65*$BI65),0)</f>
        <v>0</v>
      </c>
      <c r="BV65" s="319">
        <f>IF($BI65&lt;&gt;"",IF('Capacity summary'!$D$14="Yes",IF(COUNTBLANK('Capacity summary'!$H184:$BG184)&lt;52,IF('Capacity summary'!S184&lt;&gt;"",$BI65*S65,0),S65*$BI65),S65*$BI65),0)</f>
        <v>0</v>
      </c>
      <c r="BW65" s="319">
        <f>IF($BI65&lt;&gt;"",IF('Capacity summary'!$D$14="Yes",IF(COUNTBLANK('Capacity summary'!$H184:$BG184)&lt;52,IF('Capacity summary'!T184&lt;&gt;"",$BI65*T65,0),T65*$BI65),T65*$BI65),0)</f>
        <v>0</v>
      </c>
      <c r="BX65" s="319">
        <f>IF($BI65&lt;&gt;"",IF('Capacity summary'!$D$14="Yes",IF(COUNTBLANK('Capacity summary'!$H184:$BG184)&lt;52,IF('Capacity summary'!U184&lt;&gt;"",$BI65*U65,0),U65*$BI65),U65*$BI65),0)</f>
        <v>0</v>
      </c>
      <c r="BY65" s="319">
        <f>IF($BI65&lt;&gt;"",IF('Capacity summary'!$D$14="Yes",IF(COUNTBLANK('Capacity summary'!$H184:$BG184)&lt;52,IF('Capacity summary'!V184&lt;&gt;"",$BI65*V65,0),V65*$BI65),V65*$BI65),0)</f>
        <v>0</v>
      </c>
      <c r="BZ65" s="319">
        <f>IF($BI65&lt;&gt;"",IF('Capacity summary'!$D$14="Yes",IF(COUNTBLANK('Capacity summary'!$H184:$BG184)&lt;52,IF('Capacity summary'!W184&lt;&gt;"",$BI65*W65,0),W65*$BI65),W65*$BI65),0)</f>
        <v>0</v>
      </c>
      <c r="CA65" s="319">
        <f>IF($BI65&lt;&gt;"",IF('Capacity summary'!$D$14="Yes",IF(COUNTBLANK('Capacity summary'!$H184:$BG184)&lt;52,IF('Capacity summary'!X184&lt;&gt;"",$BI65*X65,0),X65*$BI65),X65*$BI65),0)</f>
        <v>0</v>
      </c>
      <c r="CB65" s="319">
        <f>IF($BI65&lt;&gt;"",IF('Capacity summary'!$D$14="Yes",IF(COUNTBLANK('Capacity summary'!$H184:$BG184)&lt;52,IF('Capacity summary'!Y184&lt;&gt;"",$BI65*Y65,0),Y65*$BI65),Y65*$BI65),0)</f>
        <v>0</v>
      </c>
      <c r="CC65" s="319">
        <f>IF($BI65&lt;&gt;"",IF('Capacity summary'!$D$14="Yes",IF(COUNTBLANK('Capacity summary'!$H184:$BG184)&lt;52,IF('Capacity summary'!Z184&lt;&gt;"",$BI65*Z65,0),Z65*$BI65),Z65*$BI65),0)</f>
        <v>0</v>
      </c>
      <c r="CD65" s="319">
        <f>IF($BI65&lt;&gt;"",IF('Capacity summary'!$D$14="Yes",IF(COUNTBLANK('Capacity summary'!$H184:$BG184)&lt;52,IF('Capacity summary'!AA184&lt;&gt;"",$BI65*AA65,0),AA65*$BI65),AA65*$BI65),0)</f>
        <v>0</v>
      </c>
      <c r="CE65" s="319">
        <f>IF($BI65&lt;&gt;"",IF('Capacity summary'!$D$14="Yes",IF(COUNTBLANK('Capacity summary'!$H184:$BG184)&lt;52,IF('Capacity summary'!AB184&lt;&gt;"",$BI65*AB65,0),AB65*$BI65),AB65*$BI65),0)</f>
        <v>0</v>
      </c>
      <c r="CF65" s="319">
        <f>IF($BI65&lt;&gt;"",IF('Capacity summary'!$D$14="Yes",IF(COUNTBLANK('Capacity summary'!$H184:$BG184)&lt;52,IF('Capacity summary'!AC184&lt;&gt;"",$BI65*AC65,0),AC65*$BI65),AC65*$BI65),0)</f>
        <v>0</v>
      </c>
      <c r="CG65" s="319">
        <f>IF($BI65&lt;&gt;"",IF('Capacity summary'!$D$14="Yes",IF(COUNTBLANK('Capacity summary'!$H184:$BG184)&lt;52,IF('Capacity summary'!AD184&lt;&gt;"",$BI65*AD65,0),AD65*$BI65),AD65*$BI65),0)</f>
        <v>0</v>
      </c>
      <c r="CH65" s="319">
        <f>IF($BI65&lt;&gt;"",IF('Capacity summary'!$D$14="Yes",IF(COUNTBLANK('Capacity summary'!$H184:$BG184)&lt;52,IF('Capacity summary'!AE184&lt;&gt;"",$BI65*AE65,0),AE65*$BI65),AE65*$BI65),0)</f>
        <v>0</v>
      </c>
      <c r="CI65" s="319">
        <f>IF($BI65&lt;&gt;"",IF('Capacity summary'!$D$14="Yes",IF(COUNTBLANK('Capacity summary'!$H184:$BG184)&lt;52,IF('Capacity summary'!AF184&lt;&gt;"",$BI65*AF65,0),AF65*$BI65),AF65*$BI65),0)</f>
        <v>0</v>
      </c>
      <c r="CJ65" s="319">
        <f>IF($BI65&lt;&gt;"",IF('Capacity summary'!$D$14="Yes",IF(COUNTBLANK('Capacity summary'!$H184:$BG184)&lt;52,IF('Capacity summary'!AG184&lt;&gt;"",$BI65*AG65,0),AG65*$BI65),AG65*$BI65),0)</f>
        <v>0</v>
      </c>
      <c r="CK65" s="319">
        <f>IF($BI65&lt;&gt;"",IF('Capacity summary'!$D$14="Yes",IF(COUNTBLANK('Capacity summary'!$H184:$BG184)&lt;52,IF('Capacity summary'!AH184&lt;&gt;"",$BI65*AH65,0),AH65*$BI65),AH65*$BI65),0)</f>
        <v>0</v>
      </c>
      <c r="CL65" s="319">
        <f>IF($BI65&lt;&gt;"",IF('Capacity summary'!$D$14="Yes",IF(COUNTBLANK('Capacity summary'!$H184:$BG184)&lt;52,IF('Capacity summary'!AI184&lt;&gt;"",$BI65*AI65,0),AI65*$BI65),AI65*$BI65),0)</f>
        <v>0</v>
      </c>
      <c r="CM65" s="319">
        <f>IF($BI65&lt;&gt;"",IF('Capacity summary'!$D$14="Yes",IF(COUNTBLANK('Capacity summary'!$H184:$BG184)&lt;52,IF('Capacity summary'!AJ184&lt;&gt;"",$BI65*AJ65,0),AJ65*$BI65),AJ65*$BI65),0)</f>
        <v>0</v>
      </c>
      <c r="CN65" s="319">
        <f>IF($BI65&lt;&gt;"",IF('Capacity summary'!$D$14="Yes",IF(COUNTBLANK('Capacity summary'!$H184:$BG184)&lt;52,IF('Capacity summary'!AK184&lt;&gt;"",$BI65*AK65,0),AK65*$BI65),AK65*$BI65),0)</f>
        <v>0</v>
      </c>
      <c r="CO65" s="319">
        <f>IF($BI65&lt;&gt;"",IF('Capacity summary'!$D$14="Yes",IF(COUNTBLANK('Capacity summary'!$H184:$BG184)&lt;52,IF('Capacity summary'!AL184&lt;&gt;"",$BI65*AL65,0),AL65*$BI65),AL65*$BI65),0)</f>
        <v>0</v>
      </c>
      <c r="CP65" s="319">
        <f>IF($BI65&lt;&gt;"",IF('Capacity summary'!$D$14="Yes",IF(COUNTBLANK('Capacity summary'!$H184:$BG184)&lt;52,IF('Capacity summary'!AM184&lt;&gt;"",$BI65*AM65,0),AM65*$BI65),AM65*$BI65),0)</f>
        <v>0</v>
      </c>
      <c r="CQ65" s="319">
        <f>IF($BI65&lt;&gt;"",IF('Capacity summary'!$D$14="Yes",IF(COUNTBLANK('Capacity summary'!$H184:$BG184)&lt;52,IF('Capacity summary'!AN184&lt;&gt;"",$BI65*AN65,0),AN65*$BI65),AN65*$BI65),0)</f>
        <v>0</v>
      </c>
      <c r="CR65" s="319">
        <f>IF($BI65&lt;&gt;"",IF('Capacity summary'!$D$14="Yes",IF(COUNTBLANK('Capacity summary'!$H184:$BG184)&lt;52,IF('Capacity summary'!AO184&lt;&gt;"",$BI65*AO65,0),AO65*$BI65),AO65*$BI65),0)</f>
        <v>0</v>
      </c>
      <c r="CS65" s="319">
        <f>IF($BI65&lt;&gt;"",IF('Capacity summary'!$D$14="Yes",IF(COUNTBLANK('Capacity summary'!$H184:$BG184)&lt;52,IF('Capacity summary'!AP184&lt;&gt;"",$BI65*AP65,0),AP65*$BI65),AP65*$BI65),0)</f>
        <v>0</v>
      </c>
      <c r="CT65" s="319">
        <f>IF($BI65&lt;&gt;"",IF('Capacity summary'!$D$14="Yes",IF(COUNTBLANK('Capacity summary'!$H184:$BG184)&lt;52,IF('Capacity summary'!AQ184&lt;&gt;"",$BI65*AQ65,0),AQ65*$BI65),AQ65*$BI65),0)</f>
        <v>0</v>
      </c>
      <c r="CU65" s="319">
        <f>IF($BI65&lt;&gt;"",IF('Capacity summary'!$D$14="Yes",IF(COUNTBLANK('Capacity summary'!$H184:$BG184)&lt;52,IF('Capacity summary'!AR184&lt;&gt;"",$BI65*AR65,0),AR65*$BI65),AR65*$BI65),0)</f>
        <v>0</v>
      </c>
      <c r="CV65" s="319">
        <f>IF($BI65&lt;&gt;"",IF('Capacity summary'!$D$14="Yes",IF(COUNTBLANK('Capacity summary'!$H184:$BG184)&lt;52,IF('Capacity summary'!AS184&lt;&gt;"",$BI65*AS65,0),AS65*$BI65),AS65*$BI65),0)</f>
        <v>0</v>
      </c>
      <c r="CW65" s="319">
        <f>IF($BI65&lt;&gt;"",IF('Capacity summary'!$D$14="Yes",IF(COUNTBLANK('Capacity summary'!$H184:$BG184)&lt;52,IF('Capacity summary'!AT184&lt;&gt;"",$BI65*AT65,0),AT65*$BI65),AT65*$BI65),0)</f>
        <v>0</v>
      </c>
      <c r="CX65" s="319">
        <f>IF($BI65&lt;&gt;"",IF('Capacity summary'!$D$14="Yes",IF(COUNTBLANK('Capacity summary'!$H184:$BG184)&lt;52,IF('Capacity summary'!AU184&lt;&gt;"",$BI65*AU65,0),AU65*$BI65),AU65*$BI65),0)</f>
        <v>0</v>
      </c>
      <c r="CY65" s="319">
        <f>IF($BI65&lt;&gt;"",IF('Capacity summary'!$D$14="Yes",IF(COUNTBLANK('Capacity summary'!$H184:$BG184)&lt;52,IF('Capacity summary'!AV184&lt;&gt;"",$BI65*AV65,0),AV65*$BI65),AV65*$BI65),0)</f>
        <v>0</v>
      </c>
      <c r="CZ65" s="319">
        <f>IF($BI65&lt;&gt;"",IF('Capacity summary'!$D$14="Yes",IF(COUNTBLANK('Capacity summary'!$H184:$BG184)&lt;52,IF('Capacity summary'!AW184&lt;&gt;"",$BI65*AW65,0),AW65*$BI65),AW65*$BI65),0)</f>
        <v>0</v>
      </c>
      <c r="DA65" s="319">
        <f>IF($BI65&lt;&gt;"",IF('Capacity summary'!$D$14="Yes",IF(COUNTBLANK('Capacity summary'!$H184:$BG184)&lt;52,IF('Capacity summary'!AX184&lt;&gt;"",$BI65*AX65,0),AX65*$BI65),AX65*$BI65),0)</f>
        <v>0</v>
      </c>
      <c r="DB65" s="319">
        <f>IF($BI65&lt;&gt;"",IF('Capacity summary'!$D$14="Yes",IF(COUNTBLANK('Capacity summary'!$H184:$BG184)&lt;52,IF('Capacity summary'!AY184&lt;&gt;"",$BI65*AY65,0),AY65*$BI65),AY65*$BI65),0)</f>
        <v>0</v>
      </c>
      <c r="DC65" s="319">
        <f>IF($BI65&lt;&gt;"",IF('Capacity summary'!$D$14="Yes",IF(COUNTBLANK('Capacity summary'!$H184:$BG184)&lt;52,IF('Capacity summary'!AZ184&lt;&gt;"",$BI65*AZ65,0),AZ65*$BI65),AZ65*$BI65),0)</f>
        <v>0</v>
      </c>
      <c r="DD65" s="319">
        <f>IF($BI65&lt;&gt;"",IF('Capacity summary'!$D$14="Yes",IF(COUNTBLANK('Capacity summary'!$H184:$BG184)&lt;52,IF('Capacity summary'!BA184&lt;&gt;"",$BI65*BA65,0),BA65*$BI65),BA65*$BI65),0)</f>
        <v>0</v>
      </c>
      <c r="DE65" s="319">
        <f>IF($BI65&lt;&gt;"",IF('Capacity summary'!$D$14="Yes",IF(COUNTBLANK('Capacity summary'!$H184:$BG184)&lt;52,IF('Capacity summary'!BB184&lt;&gt;"",$BI65*BB65,0),BB65*$BI65),BB65*$BI65),0)</f>
        <v>0</v>
      </c>
      <c r="DF65" s="319">
        <f>IF($BI65&lt;&gt;"",IF('Capacity summary'!$D$14="Yes",IF(COUNTBLANK('Capacity summary'!$H184:$BG184)&lt;52,IF('Capacity summary'!BC184&lt;&gt;"",$BI65*BC65,0),BC65*$BI65),BC65*$BI65),0)</f>
        <v>0</v>
      </c>
      <c r="DG65" s="319">
        <f>IF($BI65&lt;&gt;"",IF('Capacity summary'!$D$14="Yes",IF(COUNTBLANK('Capacity summary'!$H184:$BG184)&lt;52,IF('Capacity summary'!BD184&lt;&gt;"",$BI65*BD65,0),BD65*$BI65),BD65*$BI65),0)</f>
        <v>0</v>
      </c>
      <c r="DH65" s="319">
        <f>IF($BI65&lt;&gt;"",IF('Capacity summary'!$D$14="Yes",IF(COUNTBLANK('Capacity summary'!$H184:$BG184)&lt;52,IF('Capacity summary'!BE184&lt;&gt;"",$BI65*BE65,0),BE65*$BI65),BE65*$BI65),0)</f>
        <v>0</v>
      </c>
      <c r="DI65" s="319">
        <f>IF($BI65&lt;&gt;"",IF('Capacity summary'!$D$14="Yes",IF(COUNTBLANK('Capacity summary'!$H184:$BG184)&lt;52,IF('Capacity summary'!BF184&lt;&gt;"",$BI65*BF65,0),BF65*$BI65),BF65*$BI65),0)</f>
        <v>0</v>
      </c>
      <c r="DJ65" s="319">
        <f>IF($BI65&lt;&gt;"",IF('Capacity summary'!$D$14="Yes",IF(COUNTBLANK('Capacity summary'!$H184:$BG184)&lt;52,IF('Capacity summary'!BG184&lt;&gt;"",$BI65*BG65,0),BG65*$BI65),BG65*$BI65),0)</f>
        <v>0</v>
      </c>
      <c r="DK65" s="5">
        <f t="shared" si="2"/>
        <v>0</v>
      </c>
      <c r="DL65" s="5" t="str">
        <f>Capacity!H77</f>
        <v/>
      </c>
    </row>
    <row r="66" spans="2:116" x14ac:dyDescent="0.2">
      <c r="B66" s="68"/>
      <c r="C66" s="68" t="str">
        <f>ROW(A62)&amp;". "&amp;Capacity!B78</f>
        <v xml:space="preserve">62. </v>
      </c>
      <c r="D66" s="68">
        <f>'Capacity setup'!C73</f>
        <v>0</v>
      </c>
      <c r="E66" s="68">
        <f>'Capacity setup'!D73</f>
        <v>0</v>
      </c>
      <c r="F66" s="68">
        <f>'Capacity setup'!E73</f>
        <v>0</v>
      </c>
      <c r="H66" s="68">
        <f ca="1">IF(AND(SUMIF(Capacity_Resource,$D66,'Critical resources (hide)'!U$6:U$105)+SUMIF(Capacity_Resource,$E66,'Critical resources (hide)'!U$6:U$105)+SUMIF(Capacity_Resource,$F66,'Critical resources (hide)'!U$6:U$105)&gt;0,$E$1=2),0,1)</f>
        <v>1</v>
      </c>
      <c r="I66" s="68">
        <f ca="1">IF(AND(SUMIF(Capacity_Resource,$D66,'Critical resources (hide)'!V$6:V$105)+SUMIF(Capacity_Resource,$E66,'Critical resources (hide)'!V$6:V$105)+SUMIF(Capacity_Resource,$F66,'Critical resources (hide)'!V$6:V$105)&gt;0,$E$1=2),0,1)</f>
        <v>1</v>
      </c>
      <c r="J66" s="68">
        <f ca="1">IF(AND(SUMIF(Capacity_Resource,$D66,'Critical resources (hide)'!W$6:W$105)+SUMIF(Capacity_Resource,$E66,'Critical resources (hide)'!W$6:W$105)+SUMIF(Capacity_Resource,$F66,'Critical resources (hide)'!W$6:W$105)&gt;0,$E$1=2),0,1)</f>
        <v>1</v>
      </c>
      <c r="K66" s="68">
        <f ca="1">IF(AND(SUMIF(Capacity_Resource,$D66,'Critical resources (hide)'!X$6:X$105)+SUMIF(Capacity_Resource,$E66,'Critical resources (hide)'!X$6:X$105)+SUMIF(Capacity_Resource,$F66,'Critical resources (hide)'!X$6:X$105)&gt;0,$E$1=2),0,1)</f>
        <v>1</v>
      </c>
      <c r="L66" s="68">
        <f ca="1">IF(AND(SUMIF(Capacity_Resource,$D66,'Critical resources (hide)'!Y$6:Y$105)+SUMIF(Capacity_Resource,$E66,'Critical resources (hide)'!Y$6:Y$105)+SUMIF(Capacity_Resource,$F66,'Critical resources (hide)'!Y$6:Y$105)&gt;0,$E$1=2),0,1)</f>
        <v>1</v>
      </c>
      <c r="M66" s="68">
        <f ca="1">IF(AND(SUMIF(Capacity_Resource,$D66,'Critical resources (hide)'!Z$6:Z$105)+SUMIF(Capacity_Resource,$E66,'Critical resources (hide)'!Z$6:Z$105)+SUMIF(Capacity_Resource,$F66,'Critical resources (hide)'!Z$6:Z$105)&gt;0,$E$1=2),0,1)</f>
        <v>1</v>
      </c>
      <c r="N66" s="68">
        <f ca="1">IF(AND(SUMIF(Capacity_Resource,$D66,'Critical resources (hide)'!AA$6:AA$105)+SUMIF(Capacity_Resource,$E66,'Critical resources (hide)'!AA$6:AA$105)+SUMIF(Capacity_Resource,$F66,'Critical resources (hide)'!AA$6:AA$105)&gt;0,$E$1=2),0,1)</f>
        <v>1</v>
      </c>
      <c r="O66" s="68">
        <f ca="1">IF(AND(SUMIF(Capacity_Resource,$D66,'Critical resources (hide)'!AB$6:AB$105)+SUMIF(Capacity_Resource,$E66,'Critical resources (hide)'!AB$6:AB$105)+SUMIF(Capacity_Resource,$F66,'Critical resources (hide)'!AB$6:AB$105)&gt;0,$E$1=2),0,1)</f>
        <v>1</v>
      </c>
      <c r="P66" s="68">
        <f ca="1">IF(AND(SUMIF(Capacity_Resource,$D66,'Critical resources (hide)'!AC$6:AC$105)+SUMIF(Capacity_Resource,$E66,'Critical resources (hide)'!AC$6:AC$105)+SUMIF(Capacity_Resource,$F66,'Critical resources (hide)'!AC$6:AC$105)&gt;0,$E$1=2),0,1)</f>
        <v>1</v>
      </c>
      <c r="Q66" s="68">
        <f ca="1">IF(AND(SUMIF(Capacity_Resource,$D66,'Critical resources (hide)'!AD$6:AD$105)+SUMIF(Capacity_Resource,$E66,'Critical resources (hide)'!AD$6:AD$105)+SUMIF(Capacity_Resource,$F66,'Critical resources (hide)'!AD$6:AD$105)&gt;0,$E$1=2),0,1)</f>
        <v>1</v>
      </c>
      <c r="R66" s="68">
        <f ca="1">IF(AND(SUMIF(Capacity_Resource,$D66,'Critical resources (hide)'!AE$6:AE$105)+SUMIF(Capacity_Resource,$E66,'Critical resources (hide)'!AE$6:AE$105)+SUMIF(Capacity_Resource,$F66,'Critical resources (hide)'!AE$6:AE$105)&gt;0,$E$1=2),0,1)</f>
        <v>1</v>
      </c>
      <c r="S66" s="68">
        <f ca="1">IF(AND(SUMIF(Capacity_Resource,$D66,'Critical resources (hide)'!AF$6:AF$105)+SUMIF(Capacity_Resource,$E66,'Critical resources (hide)'!AF$6:AF$105)+SUMIF(Capacity_Resource,$F66,'Critical resources (hide)'!AF$6:AF$105)&gt;0,$E$1=2),0,1)</f>
        <v>1</v>
      </c>
      <c r="T66" s="68">
        <f ca="1">IF(AND(SUMIF(Capacity_Resource,$D66,'Critical resources (hide)'!AG$6:AG$105)+SUMIF(Capacity_Resource,$E66,'Critical resources (hide)'!AG$6:AG$105)+SUMIF(Capacity_Resource,$F66,'Critical resources (hide)'!AG$6:AG$105)&gt;0,$E$1=2),0,1)</f>
        <v>1</v>
      </c>
      <c r="U66" s="68">
        <f ca="1">IF(AND(SUMIF(Capacity_Resource,$D66,'Critical resources (hide)'!AH$6:AH$105)+SUMIF(Capacity_Resource,$E66,'Critical resources (hide)'!AH$6:AH$105)+SUMIF(Capacity_Resource,$F66,'Critical resources (hide)'!AH$6:AH$105)&gt;0,$E$1=2),0,1)</f>
        <v>1</v>
      </c>
      <c r="V66" s="68">
        <f ca="1">IF(AND(SUMIF(Capacity_Resource,$D66,'Critical resources (hide)'!AI$6:AI$105)+SUMIF(Capacity_Resource,$E66,'Critical resources (hide)'!AI$6:AI$105)+SUMIF(Capacity_Resource,$F66,'Critical resources (hide)'!AI$6:AI$105)&gt;0,$E$1=2),0,1)</f>
        <v>1</v>
      </c>
      <c r="W66" s="68">
        <f ca="1">IF(AND(SUMIF(Capacity_Resource,$D66,'Critical resources (hide)'!AJ$6:AJ$105)+SUMIF(Capacity_Resource,$E66,'Critical resources (hide)'!AJ$6:AJ$105)+SUMIF(Capacity_Resource,$F66,'Critical resources (hide)'!AJ$6:AJ$105)&gt;0,$E$1=2),0,1)</f>
        <v>1</v>
      </c>
      <c r="X66" s="68">
        <f ca="1">IF(AND(SUMIF(Capacity_Resource,$D66,'Critical resources (hide)'!AK$6:AK$105)+SUMIF(Capacity_Resource,$E66,'Critical resources (hide)'!AK$6:AK$105)+SUMIF(Capacity_Resource,$F66,'Critical resources (hide)'!AK$6:AK$105)&gt;0,$E$1=2),0,1)</f>
        <v>1</v>
      </c>
      <c r="Y66" s="68">
        <f ca="1">IF(AND(SUMIF(Capacity_Resource,$D66,'Critical resources (hide)'!AL$6:AL$105)+SUMIF(Capacity_Resource,$E66,'Critical resources (hide)'!AL$6:AL$105)+SUMIF(Capacity_Resource,$F66,'Critical resources (hide)'!AL$6:AL$105)&gt;0,$E$1=2),0,1)</f>
        <v>1</v>
      </c>
      <c r="Z66" s="68">
        <f ca="1">IF(AND(SUMIF(Capacity_Resource,$D66,'Critical resources (hide)'!AM$6:AM$105)+SUMIF(Capacity_Resource,$E66,'Critical resources (hide)'!AM$6:AM$105)+SUMIF(Capacity_Resource,$F66,'Critical resources (hide)'!AM$6:AM$105)&gt;0,$E$1=2),0,1)</f>
        <v>1</v>
      </c>
      <c r="AA66" s="68">
        <f ca="1">IF(AND(SUMIF(Capacity_Resource,$D66,'Critical resources (hide)'!AN$6:AN$105)+SUMIF(Capacity_Resource,$E66,'Critical resources (hide)'!AN$6:AN$105)+SUMIF(Capacity_Resource,$F66,'Critical resources (hide)'!AN$6:AN$105)&gt;0,$E$1=2),0,1)</f>
        <v>1</v>
      </c>
      <c r="AB66" s="68">
        <f ca="1">IF(AND(SUMIF(Capacity_Resource,$D66,'Critical resources (hide)'!AO$6:AO$105)+SUMIF(Capacity_Resource,$E66,'Critical resources (hide)'!AO$6:AO$105)+SUMIF(Capacity_Resource,$F66,'Critical resources (hide)'!AO$6:AO$105)&gt;0,$E$1=2),0,1)</f>
        <v>1</v>
      </c>
      <c r="AC66" s="68">
        <f ca="1">IF(AND(SUMIF(Capacity_Resource,$D66,'Critical resources (hide)'!AP$6:AP$105)+SUMIF(Capacity_Resource,$E66,'Critical resources (hide)'!AP$6:AP$105)+SUMIF(Capacity_Resource,$F66,'Critical resources (hide)'!AP$6:AP$105)&gt;0,$E$1=2),0,1)</f>
        <v>1</v>
      </c>
      <c r="AD66" s="68">
        <f ca="1">IF(AND(SUMIF(Capacity_Resource,$D66,'Critical resources (hide)'!AQ$6:AQ$105)+SUMIF(Capacity_Resource,$E66,'Critical resources (hide)'!AQ$6:AQ$105)+SUMIF(Capacity_Resource,$F66,'Critical resources (hide)'!AQ$6:AQ$105)&gt;0,$E$1=2),0,1)</f>
        <v>1</v>
      </c>
      <c r="AE66" s="68">
        <f ca="1">IF(AND(SUMIF(Capacity_Resource,$D66,'Critical resources (hide)'!AR$6:AR$105)+SUMIF(Capacity_Resource,$E66,'Critical resources (hide)'!AR$6:AR$105)+SUMIF(Capacity_Resource,$F66,'Critical resources (hide)'!AR$6:AR$105)&gt;0,$E$1=2),0,1)</f>
        <v>1</v>
      </c>
      <c r="AF66" s="68">
        <f ca="1">IF(AND(SUMIF(Capacity_Resource,$D66,'Critical resources (hide)'!AS$6:AS$105)+SUMIF(Capacity_Resource,$E66,'Critical resources (hide)'!AS$6:AS$105)+SUMIF(Capacity_Resource,$F66,'Critical resources (hide)'!AS$6:AS$105)&gt;0,$E$1=2),0,1)</f>
        <v>1</v>
      </c>
      <c r="AG66" s="68">
        <f ca="1">IF(AND(SUMIF(Capacity_Resource,$D66,'Critical resources (hide)'!AT$6:AT$105)+SUMIF(Capacity_Resource,$E66,'Critical resources (hide)'!AT$6:AT$105)+SUMIF(Capacity_Resource,$F66,'Critical resources (hide)'!AT$6:AT$105)&gt;0,$E$1=2),0,1)</f>
        <v>1</v>
      </c>
      <c r="AH66" s="68">
        <f ca="1">IF(AND(SUMIF(Capacity_Resource,$D66,'Critical resources (hide)'!AU$6:AU$105)+SUMIF(Capacity_Resource,$E66,'Critical resources (hide)'!AU$6:AU$105)+SUMIF(Capacity_Resource,$F66,'Critical resources (hide)'!AU$6:AU$105)&gt;0,$E$1=2),0,1)</f>
        <v>1</v>
      </c>
      <c r="AI66" s="68">
        <f ca="1">IF(AND(SUMIF(Capacity_Resource,$D66,'Critical resources (hide)'!AV$6:AV$105)+SUMIF(Capacity_Resource,$E66,'Critical resources (hide)'!AV$6:AV$105)+SUMIF(Capacity_Resource,$F66,'Critical resources (hide)'!AV$6:AV$105)&gt;0,$E$1=2),0,1)</f>
        <v>1</v>
      </c>
      <c r="AJ66" s="68">
        <f ca="1">IF(AND(SUMIF(Capacity_Resource,$D66,'Critical resources (hide)'!AW$6:AW$105)+SUMIF(Capacity_Resource,$E66,'Critical resources (hide)'!AW$6:AW$105)+SUMIF(Capacity_Resource,$F66,'Critical resources (hide)'!AW$6:AW$105)&gt;0,$E$1=2),0,1)</f>
        <v>1</v>
      </c>
      <c r="AK66" s="68">
        <f ca="1">IF(AND(SUMIF(Capacity_Resource,$D66,'Critical resources (hide)'!AX$6:AX$105)+SUMIF(Capacity_Resource,$E66,'Critical resources (hide)'!AX$6:AX$105)+SUMIF(Capacity_Resource,$F66,'Critical resources (hide)'!AX$6:AX$105)&gt;0,$E$1=2),0,1)</f>
        <v>1</v>
      </c>
      <c r="AL66" s="68">
        <f ca="1">IF(AND(SUMIF(Capacity_Resource,$D66,'Critical resources (hide)'!AY$6:AY$105)+SUMIF(Capacity_Resource,$E66,'Critical resources (hide)'!AY$6:AY$105)+SUMIF(Capacity_Resource,$F66,'Critical resources (hide)'!AY$6:AY$105)&gt;0,$E$1=2),0,1)</f>
        <v>1</v>
      </c>
      <c r="AM66" s="68">
        <f ca="1">IF(AND(SUMIF(Capacity_Resource,$D66,'Critical resources (hide)'!AZ$6:AZ$105)+SUMIF(Capacity_Resource,$E66,'Critical resources (hide)'!AZ$6:AZ$105)+SUMIF(Capacity_Resource,$F66,'Critical resources (hide)'!AZ$6:AZ$105)&gt;0,$E$1=2),0,1)</f>
        <v>1</v>
      </c>
      <c r="AN66" s="68">
        <f ca="1">IF(AND(SUMIF(Capacity_Resource,$D66,'Critical resources (hide)'!BA$6:BA$105)+SUMIF(Capacity_Resource,$E66,'Critical resources (hide)'!BA$6:BA$105)+SUMIF(Capacity_Resource,$F66,'Critical resources (hide)'!BA$6:BA$105)&gt;0,$E$1=2),0,1)</f>
        <v>1</v>
      </c>
      <c r="AO66" s="68">
        <f ca="1">IF(AND(SUMIF(Capacity_Resource,$D66,'Critical resources (hide)'!BB$6:BB$105)+SUMIF(Capacity_Resource,$E66,'Critical resources (hide)'!BB$6:BB$105)+SUMIF(Capacity_Resource,$F66,'Critical resources (hide)'!BB$6:BB$105)&gt;0,$E$1=2),0,1)</f>
        <v>1</v>
      </c>
      <c r="AP66" s="68">
        <f ca="1">IF(AND(SUMIF(Capacity_Resource,$D66,'Critical resources (hide)'!BC$6:BC$105)+SUMIF(Capacity_Resource,$E66,'Critical resources (hide)'!BC$6:BC$105)+SUMIF(Capacity_Resource,$F66,'Critical resources (hide)'!BC$6:BC$105)&gt;0,$E$1=2),0,1)</f>
        <v>1</v>
      </c>
      <c r="AQ66" s="68">
        <f ca="1">IF(AND(SUMIF(Capacity_Resource,$D66,'Critical resources (hide)'!BD$6:BD$105)+SUMIF(Capacity_Resource,$E66,'Critical resources (hide)'!BD$6:BD$105)+SUMIF(Capacity_Resource,$F66,'Critical resources (hide)'!BD$6:BD$105)&gt;0,$E$1=2),0,1)</f>
        <v>1</v>
      </c>
      <c r="AR66" s="68">
        <f ca="1">IF(AND(SUMIF(Capacity_Resource,$D66,'Critical resources (hide)'!BE$6:BE$105)+SUMIF(Capacity_Resource,$E66,'Critical resources (hide)'!BE$6:BE$105)+SUMIF(Capacity_Resource,$F66,'Critical resources (hide)'!BE$6:BE$105)&gt;0,$E$1=2),0,1)</f>
        <v>1</v>
      </c>
      <c r="AS66" s="68">
        <f ca="1">IF(AND(SUMIF(Capacity_Resource,$D66,'Critical resources (hide)'!BF$6:BF$105)+SUMIF(Capacity_Resource,$E66,'Critical resources (hide)'!BF$6:BF$105)+SUMIF(Capacity_Resource,$F66,'Critical resources (hide)'!BF$6:BF$105)&gt;0,$E$1=2),0,1)</f>
        <v>1</v>
      </c>
      <c r="AT66" s="68">
        <f ca="1">IF(AND(SUMIF(Capacity_Resource,$D66,'Critical resources (hide)'!BG$6:BG$105)+SUMIF(Capacity_Resource,$E66,'Critical resources (hide)'!BG$6:BG$105)+SUMIF(Capacity_Resource,$F66,'Critical resources (hide)'!BG$6:BG$105)&gt;0,$E$1=2),0,1)</f>
        <v>1</v>
      </c>
      <c r="AU66" s="68">
        <f ca="1">IF(AND(SUMIF(Capacity_Resource,$D66,'Critical resources (hide)'!BH$6:BH$105)+SUMIF(Capacity_Resource,$E66,'Critical resources (hide)'!BH$6:BH$105)+SUMIF(Capacity_Resource,$F66,'Critical resources (hide)'!BH$6:BH$105)&gt;0,$E$1=2),0,1)</f>
        <v>1</v>
      </c>
      <c r="AV66" s="68">
        <f ca="1">IF(AND(SUMIF(Capacity_Resource,$D66,'Critical resources (hide)'!BI$6:BI$105)+SUMIF(Capacity_Resource,$E66,'Critical resources (hide)'!BI$6:BI$105)+SUMIF(Capacity_Resource,$F66,'Critical resources (hide)'!BI$6:BI$105)&gt;0,$E$1=2),0,1)</f>
        <v>1</v>
      </c>
      <c r="AW66" s="68">
        <f ca="1">IF(AND(SUMIF(Capacity_Resource,$D66,'Critical resources (hide)'!BJ$6:BJ$105)+SUMIF(Capacity_Resource,$E66,'Critical resources (hide)'!BJ$6:BJ$105)+SUMIF(Capacity_Resource,$F66,'Critical resources (hide)'!BJ$6:BJ$105)&gt;0,$E$1=2),0,1)</f>
        <v>1</v>
      </c>
      <c r="AX66" s="68">
        <f ca="1">IF(AND(SUMIF(Capacity_Resource,$D66,'Critical resources (hide)'!BK$6:BK$105)+SUMIF(Capacity_Resource,$E66,'Critical resources (hide)'!BK$6:BK$105)+SUMIF(Capacity_Resource,$F66,'Critical resources (hide)'!BK$6:BK$105)&gt;0,$E$1=2),0,1)</f>
        <v>1</v>
      </c>
      <c r="AY66" s="68">
        <f ca="1">IF(AND(SUMIF(Capacity_Resource,$D66,'Critical resources (hide)'!BL$6:BL$105)+SUMIF(Capacity_Resource,$E66,'Critical resources (hide)'!BL$6:BL$105)+SUMIF(Capacity_Resource,$F66,'Critical resources (hide)'!BL$6:BL$105)&gt;0,$E$1=2),0,1)</f>
        <v>1</v>
      </c>
      <c r="AZ66" s="68">
        <f ca="1">IF(AND(SUMIF(Capacity_Resource,$D66,'Critical resources (hide)'!BM$6:BM$105)+SUMIF(Capacity_Resource,$E66,'Critical resources (hide)'!BM$6:BM$105)+SUMIF(Capacity_Resource,$F66,'Critical resources (hide)'!BM$6:BM$105)&gt;0,$E$1=2),0,1)</f>
        <v>1</v>
      </c>
      <c r="BA66" s="68">
        <f ca="1">IF(AND(SUMIF(Capacity_Resource,$D66,'Critical resources (hide)'!BN$6:BN$105)+SUMIF(Capacity_Resource,$E66,'Critical resources (hide)'!BN$6:BN$105)+SUMIF(Capacity_Resource,$F66,'Critical resources (hide)'!BN$6:BN$105)&gt;0,$E$1=2),0,1)</f>
        <v>1</v>
      </c>
      <c r="BB66" s="68">
        <f ca="1">IF(AND(SUMIF(Capacity_Resource,$D66,'Critical resources (hide)'!BO$6:BO$105)+SUMIF(Capacity_Resource,$E66,'Critical resources (hide)'!BO$6:BO$105)+SUMIF(Capacity_Resource,$F66,'Critical resources (hide)'!BO$6:BO$105)&gt;0,$E$1=2),0,1)</f>
        <v>1</v>
      </c>
      <c r="BC66" s="68">
        <f ca="1">IF(AND(SUMIF(Capacity_Resource,$D66,'Critical resources (hide)'!BP$6:BP$105)+SUMIF(Capacity_Resource,$E66,'Critical resources (hide)'!BP$6:BP$105)+SUMIF(Capacity_Resource,$F66,'Critical resources (hide)'!BP$6:BP$105)&gt;0,$E$1=2),0,1)</f>
        <v>1</v>
      </c>
      <c r="BD66" s="68">
        <f ca="1">IF(AND(SUMIF(Capacity_Resource,$D66,'Critical resources (hide)'!BQ$6:BQ$105)+SUMIF(Capacity_Resource,$E66,'Critical resources (hide)'!BQ$6:BQ$105)+SUMIF(Capacity_Resource,$F66,'Critical resources (hide)'!BQ$6:BQ$105)&gt;0,$E$1=2),0,1)</f>
        <v>1</v>
      </c>
      <c r="BE66" s="68">
        <f ca="1">IF(AND(SUMIF(Capacity_Resource,$D66,'Critical resources (hide)'!BR$6:BR$105)+SUMIF(Capacity_Resource,$E66,'Critical resources (hide)'!BR$6:BR$105)+SUMIF(Capacity_Resource,$F66,'Critical resources (hide)'!BR$6:BR$105)&gt;0,$E$1=2),0,1)</f>
        <v>1</v>
      </c>
      <c r="BF66" s="68">
        <f ca="1">IF(AND(SUMIF(Capacity_Resource,$D66,'Critical resources (hide)'!BS$6:BS$105)+SUMIF(Capacity_Resource,$E66,'Critical resources (hide)'!BS$6:BS$105)+SUMIF(Capacity_Resource,$F66,'Critical resources (hide)'!BS$6:BS$105)&gt;0,$E$1=2),0,1)</f>
        <v>1</v>
      </c>
      <c r="BG66" s="68">
        <f ca="1">IF(AND(SUMIF(Capacity_Resource,$D66,'Critical resources (hide)'!BT$6:BT$105)+SUMIF(Capacity_Resource,$E66,'Critical resources (hide)'!BT$6:BT$105)+SUMIF(Capacity_Resource,$F66,'Critical resources (hide)'!BT$6:BT$105)&gt;0,$E$1=2),0,1)</f>
        <v>1</v>
      </c>
      <c r="BH66" s="68">
        <f>IF(ROW(C62)&lt;=Capacity!$A$16,IF('Capacity summary'!$D$14="No",SUM(H66:BG66),'Capacity summary'!$E185),0)</f>
        <v>0</v>
      </c>
      <c r="BI66" s="5" t="str">
        <f>IF(BH66&gt;0,IF(BH66&lt;Capacity!E78,Capacity!F78,Capacity!H78/'Capacity calculation (hide)'!BH66),"")</f>
        <v/>
      </c>
      <c r="BK66" s="319">
        <f>IF($BI66&lt;&gt;"",IF('Capacity summary'!$D$14="Yes",IF(COUNTBLANK('Capacity summary'!$H185:$BG185)&lt;52,IF('Capacity summary'!H185&lt;&gt;"",$BI66*H66,0),H66*$BI66),H66*$BI66),0)</f>
        <v>0</v>
      </c>
      <c r="BL66" s="319">
        <f>IF($BI66&lt;&gt;"",IF('Capacity summary'!$D$14="Yes",IF(COUNTBLANK('Capacity summary'!$H185:$BG185)&lt;52,IF('Capacity summary'!I185&lt;&gt;"",$BI66*I66,0),I66*$BI66),I66*$BI66),0)</f>
        <v>0</v>
      </c>
      <c r="BM66" s="319">
        <f>IF($BI66&lt;&gt;"",IF('Capacity summary'!$D$14="Yes",IF(COUNTBLANK('Capacity summary'!$H185:$BG185)&lt;52,IF('Capacity summary'!J185&lt;&gt;"",$BI66*J66,0),J66*$BI66),J66*$BI66),0)</f>
        <v>0</v>
      </c>
      <c r="BN66" s="319">
        <f>IF($BI66&lt;&gt;"",IF('Capacity summary'!$D$14="Yes",IF(COUNTBLANK('Capacity summary'!$H185:$BG185)&lt;52,IF('Capacity summary'!K185&lt;&gt;"",$BI66*K66,0),K66*$BI66),K66*$BI66),0)</f>
        <v>0</v>
      </c>
      <c r="BO66" s="319">
        <f>IF($BI66&lt;&gt;"",IF('Capacity summary'!$D$14="Yes",IF(COUNTBLANK('Capacity summary'!$H185:$BG185)&lt;52,IF('Capacity summary'!L185&lt;&gt;"",$BI66*L66,0),L66*$BI66),L66*$BI66),0)</f>
        <v>0</v>
      </c>
      <c r="BP66" s="319">
        <f>IF($BI66&lt;&gt;"",IF('Capacity summary'!$D$14="Yes",IF(COUNTBLANK('Capacity summary'!$H185:$BG185)&lt;52,IF('Capacity summary'!M185&lt;&gt;"",$BI66*M66,0),M66*$BI66),M66*$BI66),0)</f>
        <v>0</v>
      </c>
      <c r="BQ66" s="319">
        <f>IF($BI66&lt;&gt;"",IF('Capacity summary'!$D$14="Yes",IF(COUNTBLANK('Capacity summary'!$H185:$BG185)&lt;52,IF('Capacity summary'!N185&lt;&gt;"",$BI66*N66,0),N66*$BI66),N66*$BI66),0)</f>
        <v>0</v>
      </c>
      <c r="BR66" s="319">
        <f>IF($BI66&lt;&gt;"",IF('Capacity summary'!$D$14="Yes",IF(COUNTBLANK('Capacity summary'!$H185:$BG185)&lt;52,IF('Capacity summary'!O185&lt;&gt;"",$BI66*O66,0),O66*$BI66),O66*$BI66),0)</f>
        <v>0</v>
      </c>
      <c r="BS66" s="319">
        <f>IF($BI66&lt;&gt;"",IF('Capacity summary'!$D$14="Yes",IF(COUNTBLANK('Capacity summary'!$H185:$BG185)&lt;52,IF('Capacity summary'!P185&lt;&gt;"",$BI66*P66,0),P66*$BI66),P66*$BI66),0)</f>
        <v>0</v>
      </c>
      <c r="BT66" s="319">
        <f>IF($BI66&lt;&gt;"",IF('Capacity summary'!$D$14="Yes",IF(COUNTBLANK('Capacity summary'!$H185:$BG185)&lt;52,IF('Capacity summary'!Q185&lt;&gt;"",$BI66*Q66,0),Q66*$BI66),Q66*$BI66),0)</f>
        <v>0</v>
      </c>
      <c r="BU66" s="319">
        <f>IF($BI66&lt;&gt;"",IF('Capacity summary'!$D$14="Yes",IF(COUNTBLANK('Capacity summary'!$H185:$BG185)&lt;52,IF('Capacity summary'!R185&lt;&gt;"",$BI66*R66,0),R66*$BI66),R66*$BI66),0)</f>
        <v>0</v>
      </c>
      <c r="BV66" s="319">
        <f>IF($BI66&lt;&gt;"",IF('Capacity summary'!$D$14="Yes",IF(COUNTBLANK('Capacity summary'!$H185:$BG185)&lt;52,IF('Capacity summary'!S185&lt;&gt;"",$BI66*S66,0),S66*$BI66),S66*$BI66),0)</f>
        <v>0</v>
      </c>
      <c r="BW66" s="319">
        <f>IF($BI66&lt;&gt;"",IF('Capacity summary'!$D$14="Yes",IF(COUNTBLANK('Capacity summary'!$H185:$BG185)&lt;52,IF('Capacity summary'!T185&lt;&gt;"",$BI66*T66,0),T66*$BI66),T66*$BI66),0)</f>
        <v>0</v>
      </c>
      <c r="BX66" s="319">
        <f>IF($BI66&lt;&gt;"",IF('Capacity summary'!$D$14="Yes",IF(COUNTBLANK('Capacity summary'!$H185:$BG185)&lt;52,IF('Capacity summary'!U185&lt;&gt;"",$BI66*U66,0),U66*$BI66),U66*$BI66),0)</f>
        <v>0</v>
      </c>
      <c r="BY66" s="319">
        <f>IF($BI66&lt;&gt;"",IF('Capacity summary'!$D$14="Yes",IF(COUNTBLANK('Capacity summary'!$H185:$BG185)&lt;52,IF('Capacity summary'!V185&lt;&gt;"",$BI66*V66,0),V66*$BI66),V66*$BI66),0)</f>
        <v>0</v>
      </c>
      <c r="BZ66" s="319">
        <f>IF($BI66&lt;&gt;"",IF('Capacity summary'!$D$14="Yes",IF(COUNTBLANK('Capacity summary'!$H185:$BG185)&lt;52,IF('Capacity summary'!W185&lt;&gt;"",$BI66*W66,0),W66*$BI66),W66*$BI66),0)</f>
        <v>0</v>
      </c>
      <c r="CA66" s="319">
        <f>IF($BI66&lt;&gt;"",IF('Capacity summary'!$D$14="Yes",IF(COUNTBLANK('Capacity summary'!$H185:$BG185)&lt;52,IF('Capacity summary'!X185&lt;&gt;"",$BI66*X66,0),X66*$BI66),X66*$BI66),0)</f>
        <v>0</v>
      </c>
      <c r="CB66" s="319">
        <f>IF($BI66&lt;&gt;"",IF('Capacity summary'!$D$14="Yes",IF(COUNTBLANK('Capacity summary'!$H185:$BG185)&lt;52,IF('Capacity summary'!Y185&lt;&gt;"",$BI66*Y66,0),Y66*$BI66),Y66*$BI66),0)</f>
        <v>0</v>
      </c>
      <c r="CC66" s="319">
        <f>IF($BI66&lt;&gt;"",IF('Capacity summary'!$D$14="Yes",IF(COUNTBLANK('Capacity summary'!$H185:$BG185)&lt;52,IF('Capacity summary'!Z185&lt;&gt;"",$BI66*Z66,0),Z66*$BI66),Z66*$BI66),0)</f>
        <v>0</v>
      </c>
      <c r="CD66" s="319">
        <f>IF($BI66&lt;&gt;"",IF('Capacity summary'!$D$14="Yes",IF(COUNTBLANK('Capacity summary'!$H185:$BG185)&lt;52,IF('Capacity summary'!AA185&lt;&gt;"",$BI66*AA66,0),AA66*$BI66),AA66*$BI66),0)</f>
        <v>0</v>
      </c>
      <c r="CE66" s="319">
        <f>IF($BI66&lt;&gt;"",IF('Capacity summary'!$D$14="Yes",IF(COUNTBLANK('Capacity summary'!$H185:$BG185)&lt;52,IF('Capacity summary'!AB185&lt;&gt;"",$BI66*AB66,0),AB66*$BI66),AB66*$BI66),0)</f>
        <v>0</v>
      </c>
      <c r="CF66" s="319">
        <f>IF($BI66&lt;&gt;"",IF('Capacity summary'!$D$14="Yes",IF(COUNTBLANK('Capacity summary'!$H185:$BG185)&lt;52,IF('Capacity summary'!AC185&lt;&gt;"",$BI66*AC66,0),AC66*$BI66),AC66*$BI66),0)</f>
        <v>0</v>
      </c>
      <c r="CG66" s="319">
        <f>IF($BI66&lt;&gt;"",IF('Capacity summary'!$D$14="Yes",IF(COUNTBLANK('Capacity summary'!$H185:$BG185)&lt;52,IF('Capacity summary'!AD185&lt;&gt;"",$BI66*AD66,0),AD66*$BI66),AD66*$BI66),0)</f>
        <v>0</v>
      </c>
      <c r="CH66" s="319">
        <f>IF($BI66&lt;&gt;"",IF('Capacity summary'!$D$14="Yes",IF(COUNTBLANK('Capacity summary'!$H185:$BG185)&lt;52,IF('Capacity summary'!AE185&lt;&gt;"",$BI66*AE66,0),AE66*$BI66),AE66*$BI66),0)</f>
        <v>0</v>
      </c>
      <c r="CI66" s="319">
        <f>IF($BI66&lt;&gt;"",IF('Capacity summary'!$D$14="Yes",IF(COUNTBLANK('Capacity summary'!$H185:$BG185)&lt;52,IF('Capacity summary'!AF185&lt;&gt;"",$BI66*AF66,0),AF66*$BI66),AF66*$BI66),0)</f>
        <v>0</v>
      </c>
      <c r="CJ66" s="319">
        <f>IF($BI66&lt;&gt;"",IF('Capacity summary'!$D$14="Yes",IF(COUNTBLANK('Capacity summary'!$H185:$BG185)&lt;52,IF('Capacity summary'!AG185&lt;&gt;"",$BI66*AG66,0),AG66*$BI66),AG66*$BI66),0)</f>
        <v>0</v>
      </c>
      <c r="CK66" s="319">
        <f>IF($BI66&lt;&gt;"",IF('Capacity summary'!$D$14="Yes",IF(COUNTBLANK('Capacity summary'!$H185:$BG185)&lt;52,IF('Capacity summary'!AH185&lt;&gt;"",$BI66*AH66,0),AH66*$BI66),AH66*$BI66),0)</f>
        <v>0</v>
      </c>
      <c r="CL66" s="319">
        <f>IF($BI66&lt;&gt;"",IF('Capacity summary'!$D$14="Yes",IF(COUNTBLANK('Capacity summary'!$H185:$BG185)&lt;52,IF('Capacity summary'!AI185&lt;&gt;"",$BI66*AI66,0),AI66*$BI66),AI66*$BI66),0)</f>
        <v>0</v>
      </c>
      <c r="CM66" s="319">
        <f>IF($BI66&lt;&gt;"",IF('Capacity summary'!$D$14="Yes",IF(COUNTBLANK('Capacity summary'!$H185:$BG185)&lt;52,IF('Capacity summary'!AJ185&lt;&gt;"",$BI66*AJ66,0),AJ66*$BI66),AJ66*$BI66),0)</f>
        <v>0</v>
      </c>
      <c r="CN66" s="319">
        <f>IF($BI66&lt;&gt;"",IF('Capacity summary'!$D$14="Yes",IF(COUNTBLANK('Capacity summary'!$H185:$BG185)&lt;52,IF('Capacity summary'!AK185&lt;&gt;"",$BI66*AK66,0),AK66*$BI66),AK66*$BI66),0)</f>
        <v>0</v>
      </c>
      <c r="CO66" s="319">
        <f>IF($BI66&lt;&gt;"",IF('Capacity summary'!$D$14="Yes",IF(COUNTBLANK('Capacity summary'!$H185:$BG185)&lt;52,IF('Capacity summary'!AL185&lt;&gt;"",$BI66*AL66,0),AL66*$BI66),AL66*$BI66),0)</f>
        <v>0</v>
      </c>
      <c r="CP66" s="319">
        <f>IF($BI66&lt;&gt;"",IF('Capacity summary'!$D$14="Yes",IF(COUNTBLANK('Capacity summary'!$H185:$BG185)&lt;52,IF('Capacity summary'!AM185&lt;&gt;"",$BI66*AM66,0),AM66*$BI66),AM66*$BI66),0)</f>
        <v>0</v>
      </c>
      <c r="CQ66" s="319">
        <f>IF($BI66&lt;&gt;"",IF('Capacity summary'!$D$14="Yes",IF(COUNTBLANK('Capacity summary'!$H185:$BG185)&lt;52,IF('Capacity summary'!AN185&lt;&gt;"",$BI66*AN66,0),AN66*$BI66),AN66*$BI66),0)</f>
        <v>0</v>
      </c>
      <c r="CR66" s="319">
        <f>IF($BI66&lt;&gt;"",IF('Capacity summary'!$D$14="Yes",IF(COUNTBLANK('Capacity summary'!$H185:$BG185)&lt;52,IF('Capacity summary'!AO185&lt;&gt;"",$BI66*AO66,0),AO66*$BI66),AO66*$BI66),0)</f>
        <v>0</v>
      </c>
      <c r="CS66" s="319">
        <f>IF($BI66&lt;&gt;"",IF('Capacity summary'!$D$14="Yes",IF(COUNTBLANK('Capacity summary'!$H185:$BG185)&lt;52,IF('Capacity summary'!AP185&lt;&gt;"",$BI66*AP66,0),AP66*$BI66),AP66*$BI66),0)</f>
        <v>0</v>
      </c>
      <c r="CT66" s="319">
        <f>IF($BI66&lt;&gt;"",IF('Capacity summary'!$D$14="Yes",IF(COUNTBLANK('Capacity summary'!$H185:$BG185)&lt;52,IF('Capacity summary'!AQ185&lt;&gt;"",$BI66*AQ66,0),AQ66*$BI66),AQ66*$BI66),0)</f>
        <v>0</v>
      </c>
      <c r="CU66" s="319">
        <f>IF($BI66&lt;&gt;"",IF('Capacity summary'!$D$14="Yes",IF(COUNTBLANK('Capacity summary'!$H185:$BG185)&lt;52,IF('Capacity summary'!AR185&lt;&gt;"",$BI66*AR66,0),AR66*$BI66),AR66*$BI66),0)</f>
        <v>0</v>
      </c>
      <c r="CV66" s="319">
        <f>IF($BI66&lt;&gt;"",IF('Capacity summary'!$D$14="Yes",IF(COUNTBLANK('Capacity summary'!$H185:$BG185)&lt;52,IF('Capacity summary'!AS185&lt;&gt;"",$BI66*AS66,0),AS66*$BI66),AS66*$BI66),0)</f>
        <v>0</v>
      </c>
      <c r="CW66" s="319">
        <f>IF($BI66&lt;&gt;"",IF('Capacity summary'!$D$14="Yes",IF(COUNTBLANK('Capacity summary'!$H185:$BG185)&lt;52,IF('Capacity summary'!AT185&lt;&gt;"",$BI66*AT66,0),AT66*$BI66),AT66*$BI66),0)</f>
        <v>0</v>
      </c>
      <c r="CX66" s="319">
        <f>IF($BI66&lt;&gt;"",IF('Capacity summary'!$D$14="Yes",IF(COUNTBLANK('Capacity summary'!$H185:$BG185)&lt;52,IF('Capacity summary'!AU185&lt;&gt;"",$BI66*AU66,0),AU66*$BI66),AU66*$BI66),0)</f>
        <v>0</v>
      </c>
      <c r="CY66" s="319">
        <f>IF($BI66&lt;&gt;"",IF('Capacity summary'!$D$14="Yes",IF(COUNTBLANK('Capacity summary'!$H185:$BG185)&lt;52,IF('Capacity summary'!AV185&lt;&gt;"",$BI66*AV66,0),AV66*$BI66),AV66*$BI66),0)</f>
        <v>0</v>
      </c>
      <c r="CZ66" s="319">
        <f>IF($BI66&lt;&gt;"",IF('Capacity summary'!$D$14="Yes",IF(COUNTBLANK('Capacity summary'!$H185:$BG185)&lt;52,IF('Capacity summary'!AW185&lt;&gt;"",$BI66*AW66,0),AW66*$BI66),AW66*$BI66),0)</f>
        <v>0</v>
      </c>
      <c r="DA66" s="319">
        <f>IF($BI66&lt;&gt;"",IF('Capacity summary'!$D$14="Yes",IF(COUNTBLANK('Capacity summary'!$H185:$BG185)&lt;52,IF('Capacity summary'!AX185&lt;&gt;"",$BI66*AX66,0),AX66*$BI66),AX66*$BI66),0)</f>
        <v>0</v>
      </c>
      <c r="DB66" s="319">
        <f>IF($BI66&lt;&gt;"",IF('Capacity summary'!$D$14="Yes",IF(COUNTBLANK('Capacity summary'!$H185:$BG185)&lt;52,IF('Capacity summary'!AY185&lt;&gt;"",$BI66*AY66,0),AY66*$BI66),AY66*$BI66),0)</f>
        <v>0</v>
      </c>
      <c r="DC66" s="319">
        <f>IF($BI66&lt;&gt;"",IF('Capacity summary'!$D$14="Yes",IF(COUNTBLANK('Capacity summary'!$H185:$BG185)&lt;52,IF('Capacity summary'!AZ185&lt;&gt;"",$BI66*AZ66,0),AZ66*$BI66),AZ66*$BI66),0)</f>
        <v>0</v>
      </c>
      <c r="DD66" s="319">
        <f>IF($BI66&lt;&gt;"",IF('Capacity summary'!$D$14="Yes",IF(COUNTBLANK('Capacity summary'!$H185:$BG185)&lt;52,IF('Capacity summary'!BA185&lt;&gt;"",$BI66*BA66,0),BA66*$BI66),BA66*$BI66),0)</f>
        <v>0</v>
      </c>
      <c r="DE66" s="319">
        <f>IF($BI66&lt;&gt;"",IF('Capacity summary'!$D$14="Yes",IF(COUNTBLANK('Capacity summary'!$H185:$BG185)&lt;52,IF('Capacity summary'!BB185&lt;&gt;"",$BI66*BB66,0),BB66*$BI66),BB66*$BI66),0)</f>
        <v>0</v>
      </c>
      <c r="DF66" s="319">
        <f>IF($BI66&lt;&gt;"",IF('Capacity summary'!$D$14="Yes",IF(COUNTBLANK('Capacity summary'!$H185:$BG185)&lt;52,IF('Capacity summary'!BC185&lt;&gt;"",$BI66*BC66,0),BC66*$BI66),BC66*$BI66),0)</f>
        <v>0</v>
      </c>
      <c r="DG66" s="319">
        <f>IF($BI66&lt;&gt;"",IF('Capacity summary'!$D$14="Yes",IF(COUNTBLANK('Capacity summary'!$H185:$BG185)&lt;52,IF('Capacity summary'!BD185&lt;&gt;"",$BI66*BD66,0),BD66*$BI66),BD66*$BI66),0)</f>
        <v>0</v>
      </c>
      <c r="DH66" s="319">
        <f>IF($BI66&lt;&gt;"",IF('Capacity summary'!$D$14="Yes",IF(COUNTBLANK('Capacity summary'!$H185:$BG185)&lt;52,IF('Capacity summary'!BE185&lt;&gt;"",$BI66*BE66,0),BE66*$BI66),BE66*$BI66),0)</f>
        <v>0</v>
      </c>
      <c r="DI66" s="319">
        <f>IF($BI66&lt;&gt;"",IF('Capacity summary'!$D$14="Yes",IF(COUNTBLANK('Capacity summary'!$H185:$BG185)&lt;52,IF('Capacity summary'!BF185&lt;&gt;"",$BI66*BF66,0),BF66*$BI66),BF66*$BI66),0)</f>
        <v>0</v>
      </c>
      <c r="DJ66" s="319">
        <f>IF($BI66&lt;&gt;"",IF('Capacity summary'!$D$14="Yes",IF(COUNTBLANK('Capacity summary'!$H185:$BG185)&lt;52,IF('Capacity summary'!BG185&lt;&gt;"",$BI66*BG66,0),BG66*$BI66),BG66*$BI66),0)</f>
        <v>0</v>
      </c>
      <c r="DK66" s="5">
        <f t="shared" si="2"/>
        <v>0</v>
      </c>
      <c r="DL66" s="5" t="str">
        <f>Capacity!H78</f>
        <v/>
      </c>
    </row>
    <row r="67" spans="2:116" x14ac:dyDescent="0.2">
      <c r="B67" s="68"/>
      <c r="C67" s="68" t="str">
        <f>ROW(A63)&amp;". "&amp;Capacity!B79</f>
        <v xml:space="preserve">63. </v>
      </c>
      <c r="D67" s="68">
        <f>'Capacity setup'!C74</f>
        <v>0</v>
      </c>
      <c r="E67" s="68">
        <f>'Capacity setup'!D74</f>
        <v>0</v>
      </c>
      <c r="F67" s="68">
        <f>'Capacity setup'!E74</f>
        <v>0</v>
      </c>
      <c r="H67" s="68">
        <f ca="1">IF(AND(SUMIF(Capacity_Resource,$D67,'Critical resources (hide)'!U$6:U$105)+SUMIF(Capacity_Resource,$E67,'Critical resources (hide)'!U$6:U$105)+SUMIF(Capacity_Resource,$F67,'Critical resources (hide)'!U$6:U$105)&gt;0,$E$1=2),0,1)</f>
        <v>1</v>
      </c>
      <c r="I67" s="68">
        <f ca="1">IF(AND(SUMIF(Capacity_Resource,$D67,'Critical resources (hide)'!V$6:V$105)+SUMIF(Capacity_Resource,$E67,'Critical resources (hide)'!V$6:V$105)+SUMIF(Capacity_Resource,$F67,'Critical resources (hide)'!V$6:V$105)&gt;0,$E$1=2),0,1)</f>
        <v>1</v>
      </c>
      <c r="J67" s="68">
        <f ca="1">IF(AND(SUMIF(Capacity_Resource,$D67,'Critical resources (hide)'!W$6:W$105)+SUMIF(Capacity_Resource,$E67,'Critical resources (hide)'!W$6:W$105)+SUMIF(Capacity_Resource,$F67,'Critical resources (hide)'!W$6:W$105)&gt;0,$E$1=2),0,1)</f>
        <v>1</v>
      </c>
      <c r="K67" s="68">
        <f ca="1">IF(AND(SUMIF(Capacity_Resource,$D67,'Critical resources (hide)'!X$6:X$105)+SUMIF(Capacity_Resource,$E67,'Critical resources (hide)'!X$6:X$105)+SUMIF(Capacity_Resource,$F67,'Critical resources (hide)'!X$6:X$105)&gt;0,$E$1=2),0,1)</f>
        <v>1</v>
      </c>
      <c r="L67" s="68">
        <f ca="1">IF(AND(SUMIF(Capacity_Resource,$D67,'Critical resources (hide)'!Y$6:Y$105)+SUMIF(Capacity_Resource,$E67,'Critical resources (hide)'!Y$6:Y$105)+SUMIF(Capacity_Resource,$F67,'Critical resources (hide)'!Y$6:Y$105)&gt;0,$E$1=2),0,1)</f>
        <v>1</v>
      </c>
      <c r="M67" s="68">
        <f ca="1">IF(AND(SUMIF(Capacity_Resource,$D67,'Critical resources (hide)'!Z$6:Z$105)+SUMIF(Capacity_Resource,$E67,'Critical resources (hide)'!Z$6:Z$105)+SUMIF(Capacity_Resource,$F67,'Critical resources (hide)'!Z$6:Z$105)&gt;0,$E$1=2),0,1)</f>
        <v>1</v>
      </c>
      <c r="N67" s="68">
        <f ca="1">IF(AND(SUMIF(Capacity_Resource,$D67,'Critical resources (hide)'!AA$6:AA$105)+SUMIF(Capacity_Resource,$E67,'Critical resources (hide)'!AA$6:AA$105)+SUMIF(Capacity_Resource,$F67,'Critical resources (hide)'!AA$6:AA$105)&gt;0,$E$1=2),0,1)</f>
        <v>1</v>
      </c>
      <c r="O67" s="68">
        <f ca="1">IF(AND(SUMIF(Capacity_Resource,$D67,'Critical resources (hide)'!AB$6:AB$105)+SUMIF(Capacity_Resource,$E67,'Critical resources (hide)'!AB$6:AB$105)+SUMIF(Capacity_Resource,$F67,'Critical resources (hide)'!AB$6:AB$105)&gt;0,$E$1=2),0,1)</f>
        <v>1</v>
      </c>
      <c r="P67" s="68">
        <f ca="1">IF(AND(SUMIF(Capacity_Resource,$D67,'Critical resources (hide)'!AC$6:AC$105)+SUMIF(Capacity_Resource,$E67,'Critical resources (hide)'!AC$6:AC$105)+SUMIF(Capacity_Resource,$F67,'Critical resources (hide)'!AC$6:AC$105)&gt;0,$E$1=2),0,1)</f>
        <v>1</v>
      </c>
      <c r="Q67" s="68">
        <f ca="1">IF(AND(SUMIF(Capacity_Resource,$D67,'Critical resources (hide)'!AD$6:AD$105)+SUMIF(Capacity_Resource,$E67,'Critical resources (hide)'!AD$6:AD$105)+SUMIF(Capacity_Resource,$F67,'Critical resources (hide)'!AD$6:AD$105)&gt;0,$E$1=2),0,1)</f>
        <v>1</v>
      </c>
      <c r="R67" s="68">
        <f ca="1">IF(AND(SUMIF(Capacity_Resource,$D67,'Critical resources (hide)'!AE$6:AE$105)+SUMIF(Capacity_Resource,$E67,'Critical resources (hide)'!AE$6:AE$105)+SUMIF(Capacity_Resource,$F67,'Critical resources (hide)'!AE$6:AE$105)&gt;0,$E$1=2),0,1)</f>
        <v>1</v>
      </c>
      <c r="S67" s="68">
        <f ca="1">IF(AND(SUMIF(Capacity_Resource,$D67,'Critical resources (hide)'!AF$6:AF$105)+SUMIF(Capacity_Resource,$E67,'Critical resources (hide)'!AF$6:AF$105)+SUMIF(Capacity_Resource,$F67,'Critical resources (hide)'!AF$6:AF$105)&gt;0,$E$1=2),0,1)</f>
        <v>1</v>
      </c>
      <c r="T67" s="68">
        <f ca="1">IF(AND(SUMIF(Capacity_Resource,$D67,'Critical resources (hide)'!AG$6:AG$105)+SUMIF(Capacity_Resource,$E67,'Critical resources (hide)'!AG$6:AG$105)+SUMIF(Capacity_Resource,$F67,'Critical resources (hide)'!AG$6:AG$105)&gt;0,$E$1=2),0,1)</f>
        <v>1</v>
      </c>
      <c r="U67" s="68">
        <f ca="1">IF(AND(SUMIF(Capacity_Resource,$D67,'Critical resources (hide)'!AH$6:AH$105)+SUMIF(Capacity_Resource,$E67,'Critical resources (hide)'!AH$6:AH$105)+SUMIF(Capacity_Resource,$F67,'Critical resources (hide)'!AH$6:AH$105)&gt;0,$E$1=2),0,1)</f>
        <v>1</v>
      </c>
      <c r="V67" s="68">
        <f ca="1">IF(AND(SUMIF(Capacity_Resource,$D67,'Critical resources (hide)'!AI$6:AI$105)+SUMIF(Capacity_Resource,$E67,'Critical resources (hide)'!AI$6:AI$105)+SUMIF(Capacity_Resource,$F67,'Critical resources (hide)'!AI$6:AI$105)&gt;0,$E$1=2),0,1)</f>
        <v>1</v>
      </c>
      <c r="W67" s="68">
        <f ca="1">IF(AND(SUMIF(Capacity_Resource,$D67,'Critical resources (hide)'!AJ$6:AJ$105)+SUMIF(Capacity_Resource,$E67,'Critical resources (hide)'!AJ$6:AJ$105)+SUMIF(Capacity_Resource,$F67,'Critical resources (hide)'!AJ$6:AJ$105)&gt;0,$E$1=2),0,1)</f>
        <v>1</v>
      </c>
      <c r="X67" s="68">
        <f ca="1">IF(AND(SUMIF(Capacity_Resource,$D67,'Critical resources (hide)'!AK$6:AK$105)+SUMIF(Capacity_Resource,$E67,'Critical resources (hide)'!AK$6:AK$105)+SUMIF(Capacity_Resource,$F67,'Critical resources (hide)'!AK$6:AK$105)&gt;0,$E$1=2),0,1)</f>
        <v>1</v>
      </c>
      <c r="Y67" s="68">
        <f ca="1">IF(AND(SUMIF(Capacity_Resource,$D67,'Critical resources (hide)'!AL$6:AL$105)+SUMIF(Capacity_Resource,$E67,'Critical resources (hide)'!AL$6:AL$105)+SUMIF(Capacity_Resource,$F67,'Critical resources (hide)'!AL$6:AL$105)&gt;0,$E$1=2),0,1)</f>
        <v>1</v>
      </c>
      <c r="Z67" s="68">
        <f ca="1">IF(AND(SUMIF(Capacity_Resource,$D67,'Critical resources (hide)'!AM$6:AM$105)+SUMIF(Capacity_Resource,$E67,'Critical resources (hide)'!AM$6:AM$105)+SUMIF(Capacity_Resource,$F67,'Critical resources (hide)'!AM$6:AM$105)&gt;0,$E$1=2),0,1)</f>
        <v>1</v>
      </c>
      <c r="AA67" s="68">
        <f ca="1">IF(AND(SUMIF(Capacity_Resource,$D67,'Critical resources (hide)'!AN$6:AN$105)+SUMIF(Capacity_Resource,$E67,'Critical resources (hide)'!AN$6:AN$105)+SUMIF(Capacity_Resource,$F67,'Critical resources (hide)'!AN$6:AN$105)&gt;0,$E$1=2),0,1)</f>
        <v>1</v>
      </c>
      <c r="AB67" s="68">
        <f ca="1">IF(AND(SUMIF(Capacity_Resource,$D67,'Critical resources (hide)'!AO$6:AO$105)+SUMIF(Capacity_Resource,$E67,'Critical resources (hide)'!AO$6:AO$105)+SUMIF(Capacity_Resource,$F67,'Critical resources (hide)'!AO$6:AO$105)&gt;0,$E$1=2),0,1)</f>
        <v>1</v>
      </c>
      <c r="AC67" s="68">
        <f ca="1">IF(AND(SUMIF(Capacity_Resource,$D67,'Critical resources (hide)'!AP$6:AP$105)+SUMIF(Capacity_Resource,$E67,'Critical resources (hide)'!AP$6:AP$105)+SUMIF(Capacity_Resource,$F67,'Critical resources (hide)'!AP$6:AP$105)&gt;0,$E$1=2),0,1)</f>
        <v>1</v>
      </c>
      <c r="AD67" s="68">
        <f ca="1">IF(AND(SUMIF(Capacity_Resource,$D67,'Critical resources (hide)'!AQ$6:AQ$105)+SUMIF(Capacity_Resource,$E67,'Critical resources (hide)'!AQ$6:AQ$105)+SUMIF(Capacity_Resource,$F67,'Critical resources (hide)'!AQ$6:AQ$105)&gt;0,$E$1=2),0,1)</f>
        <v>1</v>
      </c>
      <c r="AE67" s="68">
        <f ca="1">IF(AND(SUMIF(Capacity_Resource,$D67,'Critical resources (hide)'!AR$6:AR$105)+SUMIF(Capacity_Resource,$E67,'Critical resources (hide)'!AR$6:AR$105)+SUMIF(Capacity_Resource,$F67,'Critical resources (hide)'!AR$6:AR$105)&gt;0,$E$1=2),0,1)</f>
        <v>1</v>
      </c>
      <c r="AF67" s="68">
        <f ca="1">IF(AND(SUMIF(Capacity_Resource,$D67,'Critical resources (hide)'!AS$6:AS$105)+SUMIF(Capacity_Resource,$E67,'Critical resources (hide)'!AS$6:AS$105)+SUMIF(Capacity_Resource,$F67,'Critical resources (hide)'!AS$6:AS$105)&gt;0,$E$1=2),0,1)</f>
        <v>1</v>
      </c>
      <c r="AG67" s="68">
        <f ca="1">IF(AND(SUMIF(Capacity_Resource,$D67,'Critical resources (hide)'!AT$6:AT$105)+SUMIF(Capacity_Resource,$E67,'Critical resources (hide)'!AT$6:AT$105)+SUMIF(Capacity_Resource,$F67,'Critical resources (hide)'!AT$6:AT$105)&gt;0,$E$1=2),0,1)</f>
        <v>1</v>
      </c>
      <c r="AH67" s="68">
        <f ca="1">IF(AND(SUMIF(Capacity_Resource,$D67,'Critical resources (hide)'!AU$6:AU$105)+SUMIF(Capacity_Resource,$E67,'Critical resources (hide)'!AU$6:AU$105)+SUMIF(Capacity_Resource,$F67,'Critical resources (hide)'!AU$6:AU$105)&gt;0,$E$1=2),0,1)</f>
        <v>1</v>
      </c>
      <c r="AI67" s="68">
        <f ca="1">IF(AND(SUMIF(Capacity_Resource,$D67,'Critical resources (hide)'!AV$6:AV$105)+SUMIF(Capacity_Resource,$E67,'Critical resources (hide)'!AV$6:AV$105)+SUMIF(Capacity_Resource,$F67,'Critical resources (hide)'!AV$6:AV$105)&gt;0,$E$1=2),0,1)</f>
        <v>1</v>
      </c>
      <c r="AJ67" s="68">
        <f ca="1">IF(AND(SUMIF(Capacity_Resource,$D67,'Critical resources (hide)'!AW$6:AW$105)+SUMIF(Capacity_Resource,$E67,'Critical resources (hide)'!AW$6:AW$105)+SUMIF(Capacity_Resource,$F67,'Critical resources (hide)'!AW$6:AW$105)&gt;0,$E$1=2),0,1)</f>
        <v>1</v>
      </c>
      <c r="AK67" s="68">
        <f ca="1">IF(AND(SUMIF(Capacity_Resource,$D67,'Critical resources (hide)'!AX$6:AX$105)+SUMIF(Capacity_Resource,$E67,'Critical resources (hide)'!AX$6:AX$105)+SUMIF(Capacity_Resource,$F67,'Critical resources (hide)'!AX$6:AX$105)&gt;0,$E$1=2),0,1)</f>
        <v>1</v>
      </c>
      <c r="AL67" s="68">
        <f ca="1">IF(AND(SUMIF(Capacity_Resource,$D67,'Critical resources (hide)'!AY$6:AY$105)+SUMIF(Capacity_Resource,$E67,'Critical resources (hide)'!AY$6:AY$105)+SUMIF(Capacity_Resource,$F67,'Critical resources (hide)'!AY$6:AY$105)&gt;0,$E$1=2),0,1)</f>
        <v>1</v>
      </c>
      <c r="AM67" s="68">
        <f ca="1">IF(AND(SUMIF(Capacity_Resource,$D67,'Critical resources (hide)'!AZ$6:AZ$105)+SUMIF(Capacity_Resource,$E67,'Critical resources (hide)'!AZ$6:AZ$105)+SUMIF(Capacity_Resource,$F67,'Critical resources (hide)'!AZ$6:AZ$105)&gt;0,$E$1=2),0,1)</f>
        <v>1</v>
      </c>
      <c r="AN67" s="68">
        <f ca="1">IF(AND(SUMIF(Capacity_Resource,$D67,'Critical resources (hide)'!BA$6:BA$105)+SUMIF(Capacity_Resource,$E67,'Critical resources (hide)'!BA$6:BA$105)+SUMIF(Capacity_Resource,$F67,'Critical resources (hide)'!BA$6:BA$105)&gt;0,$E$1=2),0,1)</f>
        <v>1</v>
      </c>
      <c r="AO67" s="68">
        <f ca="1">IF(AND(SUMIF(Capacity_Resource,$D67,'Critical resources (hide)'!BB$6:BB$105)+SUMIF(Capacity_Resource,$E67,'Critical resources (hide)'!BB$6:BB$105)+SUMIF(Capacity_Resource,$F67,'Critical resources (hide)'!BB$6:BB$105)&gt;0,$E$1=2),0,1)</f>
        <v>1</v>
      </c>
      <c r="AP67" s="68">
        <f ca="1">IF(AND(SUMIF(Capacity_Resource,$D67,'Critical resources (hide)'!BC$6:BC$105)+SUMIF(Capacity_Resource,$E67,'Critical resources (hide)'!BC$6:BC$105)+SUMIF(Capacity_Resource,$F67,'Critical resources (hide)'!BC$6:BC$105)&gt;0,$E$1=2),0,1)</f>
        <v>1</v>
      </c>
      <c r="AQ67" s="68">
        <f ca="1">IF(AND(SUMIF(Capacity_Resource,$D67,'Critical resources (hide)'!BD$6:BD$105)+SUMIF(Capacity_Resource,$E67,'Critical resources (hide)'!BD$6:BD$105)+SUMIF(Capacity_Resource,$F67,'Critical resources (hide)'!BD$6:BD$105)&gt;0,$E$1=2),0,1)</f>
        <v>1</v>
      </c>
      <c r="AR67" s="68">
        <f ca="1">IF(AND(SUMIF(Capacity_Resource,$D67,'Critical resources (hide)'!BE$6:BE$105)+SUMIF(Capacity_Resource,$E67,'Critical resources (hide)'!BE$6:BE$105)+SUMIF(Capacity_Resource,$F67,'Critical resources (hide)'!BE$6:BE$105)&gt;0,$E$1=2),0,1)</f>
        <v>1</v>
      </c>
      <c r="AS67" s="68">
        <f ca="1">IF(AND(SUMIF(Capacity_Resource,$D67,'Critical resources (hide)'!BF$6:BF$105)+SUMIF(Capacity_Resource,$E67,'Critical resources (hide)'!BF$6:BF$105)+SUMIF(Capacity_Resource,$F67,'Critical resources (hide)'!BF$6:BF$105)&gt;0,$E$1=2),0,1)</f>
        <v>1</v>
      </c>
      <c r="AT67" s="68">
        <f ca="1">IF(AND(SUMIF(Capacity_Resource,$D67,'Critical resources (hide)'!BG$6:BG$105)+SUMIF(Capacity_Resource,$E67,'Critical resources (hide)'!BG$6:BG$105)+SUMIF(Capacity_Resource,$F67,'Critical resources (hide)'!BG$6:BG$105)&gt;0,$E$1=2),0,1)</f>
        <v>1</v>
      </c>
      <c r="AU67" s="68">
        <f ca="1">IF(AND(SUMIF(Capacity_Resource,$D67,'Critical resources (hide)'!BH$6:BH$105)+SUMIF(Capacity_Resource,$E67,'Critical resources (hide)'!BH$6:BH$105)+SUMIF(Capacity_Resource,$F67,'Critical resources (hide)'!BH$6:BH$105)&gt;0,$E$1=2),0,1)</f>
        <v>1</v>
      </c>
      <c r="AV67" s="68">
        <f ca="1">IF(AND(SUMIF(Capacity_Resource,$D67,'Critical resources (hide)'!BI$6:BI$105)+SUMIF(Capacity_Resource,$E67,'Critical resources (hide)'!BI$6:BI$105)+SUMIF(Capacity_Resource,$F67,'Critical resources (hide)'!BI$6:BI$105)&gt;0,$E$1=2),0,1)</f>
        <v>1</v>
      </c>
      <c r="AW67" s="68">
        <f ca="1">IF(AND(SUMIF(Capacity_Resource,$D67,'Critical resources (hide)'!BJ$6:BJ$105)+SUMIF(Capacity_Resource,$E67,'Critical resources (hide)'!BJ$6:BJ$105)+SUMIF(Capacity_Resource,$F67,'Critical resources (hide)'!BJ$6:BJ$105)&gt;0,$E$1=2),0,1)</f>
        <v>1</v>
      </c>
      <c r="AX67" s="68">
        <f ca="1">IF(AND(SUMIF(Capacity_Resource,$D67,'Critical resources (hide)'!BK$6:BK$105)+SUMIF(Capacity_Resource,$E67,'Critical resources (hide)'!BK$6:BK$105)+SUMIF(Capacity_Resource,$F67,'Critical resources (hide)'!BK$6:BK$105)&gt;0,$E$1=2),0,1)</f>
        <v>1</v>
      </c>
      <c r="AY67" s="68">
        <f ca="1">IF(AND(SUMIF(Capacity_Resource,$D67,'Critical resources (hide)'!BL$6:BL$105)+SUMIF(Capacity_Resource,$E67,'Critical resources (hide)'!BL$6:BL$105)+SUMIF(Capacity_Resource,$F67,'Critical resources (hide)'!BL$6:BL$105)&gt;0,$E$1=2),0,1)</f>
        <v>1</v>
      </c>
      <c r="AZ67" s="68">
        <f ca="1">IF(AND(SUMIF(Capacity_Resource,$D67,'Critical resources (hide)'!BM$6:BM$105)+SUMIF(Capacity_Resource,$E67,'Critical resources (hide)'!BM$6:BM$105)+SUMIF(Capacity_Resource,$F67,'Critical resources (hide)'!BM$6:BM$105)&gt;0,$E$1=2),0,1)</f>
        <v>1</v>
      </c>
      <c r="BA67" s="68">
        <f ca="1">IF(AND(SUMIF(Capacity_Resource,$D67,'Critical resources (hide)'!BN$6:BN$105)+SUMIF(Capacity_Resource,$E67,'Critical resources (hide)'!BN$6:BN$105)+SUMIF(Capacity_Resource,$F67,'Critical resources (hide)'!BN$6:BN$105)&gt;0,$E$1=2),0,1)</f>
        <v>1</v>
      </c>
      <c r="BB67" s="68">
        <f ca="1">IF(AND(SUMIF(Capacity_Resource,$D67,'Critical resources (hide)'!BO$6:BO$105)+SUMIF(Capacity_Resource,$E67,'Critical resources (hide)'!BO$6:BO$105)+SUMIF(Capacity_Resource,$F67,'Critical resources (hide)'!BO$6:BO$105)&gt;0,$E$1=2),0,1)</f>
        <v>1</v>
      </c>
      <c r="BC67" s="68">
        <f ca="1">IF(AND(SUMIF(Capacity_Resource,$D67,'Critical resources (hide)'!BP$6:BP$105)+SUMIF(Capacity_Resource,$E67,'Critical resources (hide)'!BP$6:BP$105)+SUMIF(Capacity_Resource,$F67,'Critical resources (hide)'!BP$6:BP$105)&gt;0,$E$1=2),0,1)</f>
        <v>1</v>
      </c>
      <c r="BD67" s="68">
        <f ca="1">IF(AND(SUMIF(Capacity_Resource,$D67,'Critical resources (hide)'!BQ$6:BQ$105)+SUMIF(Capacity_Resource,$E67,'Critical resources (hide)'!BQ$6:BQ$105)+SUMIF(Capacity_Resource,$F67,'Critical resources (hide)'!BQ$6:BQ$105)&gt;0,$E$1=2),0,1)</f>
        <v>1</v>
      </c>
      <c r="BE67" s="68">
        <f ca="1">IF(AND(SUMIF(Capacity_Resource,$D67,'Critical resources (hide)'!BR$6:BR$105)+SUMIF(Capacity_Resource,$E67,'Critical resources (hide)'!BR$6:BR$105)+SUMIF(Capacity_Resource,$F67,'Critical resources (hide)'!BR$6:BR$105)&gt;0,$E$1=2),0,1)</f>
        <v>1</v>
      </c>
      <c r="BF67" s="68">
        <f ca="1">IF(AND(SUMIF(Capacity_Resource,$D67,'Critical resources (hide)'!BS$6:BS$105)+SUMIF(Capacity_Resource,$E67,'Critical resources (hide)'!BS$6:BS$105)+SUMIF(Capacity_Resource,$F67,'Critical resources (hide)'!BS$6:BS$105)&gt;0,$E$1=2),0,1)</f>
        <v>1</v>
      </c>
      <c r="BG67" s="68">
        <f ca="1">IF(AND(SUMIF(Capacity_Resource,$D67,'Critical resources (hide)'!BT$6:BT$105)+SUMIF(Capacity_Resource,$E67,'Critical resources (hide)'!BT$6:BT$105)+SUMIF(Capacity_Resource,$F67,'Critical resources (hide)'!BT$6:BT$105)&gt;0,$E$1=2),0,1)</f>
        <v>1</v>
      </c>
      <c r="BH67" s="68">
        <f>IF(ROW(C63)&lt;=Capacity!$A$16,IF('Capacity summary'!$D$14="No",SUM(H67:BG67),'Capacity summary'!$E186),0)</f>
        <v>0</v>
      </c>
      <c r="BI67" s="5" t="str">
        <f>IF(BH67&gt;0,IF(BH67&lt;Capacity!E79,Capacity!F79,Capacity!H79/'Capacity calculation (hide)'!BH67),"")</f>
        <v/>
      </c>
      <c r="BK67" s="319">
        <f>IF($BI67&lt;&gt;"",IF('Capacity summary'!$D$14="Yes",IF(COUNTBLANK('Capacity summary'!$H186:$BG186)&lt;52,IF('Capacity summary'!H186&lt;&gt;"",$BI67*H67,0),H67*$BI67),H67*$BI67),0)</f>
        <v>0</v>
      </c>
      <c r="BL67" s="319">
        <f>IF($BI67&lt;&gt;"",IF('Capacity summary'!$D$14="Yes",IF(COUNTBLANK('Capacity summary'!$H186:$BG186)&lt;52,IF('Capacity summary'!I186&lt;&gt;"",$BI67*I67,0),I67*$BI67),I67*$BI67),0)</f>
        <v>0</v>
      </c>
      <c r="BM67" s="319">
        <f>IF($BI67&lt;&gt;"",IF('Capacity summary'!$D$14="Yes",IF(COUNTBLANK('Capacity summary'!$H186:$BG186)&lt;52,IF('Capacity summary'!J186&lt;&gt;"",$BI67*J67,0),J67*$BI67),J67*$BI67),0)</f>
        <v>0</v>
      </c>
      <c r="BN67" s="319">
        <f>IF($BI67&lt;&gt;"",IF('Capacity summary'!$D$14="Yes",IF(COUNTBLANK('Capacity summary'!$H186:$BG186)&lt;52,IF('Capacity summary'!K186&lt;&gt;"",$BI67*K67,0),K67*$BI67),K67*$BI67),0)</f>
        <v>0</v>
      </c>
      <c r="BO67" s="319">
        <f>IF($BI67&lt;&gt;"",IF('Capacity summary'!$D$14="Yes",IF(COUNTBLANK('Capacity summary'!$H186:$BG186)&lt;52,IF('Capacity summary'!L186&lt;&gt;"",$BI67*L67,0),L67*$BI67),L67*$BI67),0)</f>
        <v>0</v>
      </c>
      <c r="BP67" s="319">
        <f>IF($BI67&lt;&gt;"",IF('Capacity summary'!$D$14="Yes",IF(COUNTBLANK('Capacity summary'!$H186:$BG186)&lt;52,IF('Capacity summary'!M186&lt;&gt;"",$BI67*M67,0),M67*$BI67),M67*$BI67),0)</f>
        <v>0</v>
      </c>
      <c r="BQ67" s="319">
        <f>IF($BI67&lt;&gt;"",IF('Capacity summary'!$D$14="Yes",IF(COUNTBLANK('Capacity summary'!$H186:$BG186)&lt;52,IF('Capacity summary'!N186&lt;&gt;"",$BI67*N67,0),N67*$BI67),N67*$BI67),0)</f>
        <v>0</v>
      </c>
      <c r="BR67" s="319">
        <f>IF($BI67&lt;&gt;"",IF('Capacity summary'!$D$14="Yes",IF(COUNTBLANK('Capacity summary'!$H186:$BG186)&lt;52,IF('Capacity summary'!O186&lt;&gt;"",$BI67*O67,0),O67*$BI67),O67*$BI67),0)</f>
        <v>0</v>
      </c>
      <c r="BS67" s="319">
        <f>IF($BI67&lt;&gt;"",IF('Capacity summary'!$D$14="Yes",IF(COUNTBLANK('Capacity summary'!$H186:$BG186)&lt;52,IF('Capacity summary'!P186&lt;&gt;"",$BI67*P67,0),P67*$BI67),P67*$BI67),0)</f>
        <v>0</v>
      </c>
      <c r="BT67" s="319">
        <f>IF($BI67&lt;&gt;"",IF('Capacity summary'!$D$14="Yes",IF(COUNTBLANK('Capacity summary'!$H186:$BG186)&lt;52,IF('Capacity summary'!Q186&lt;&gt;"",$BI67*Q67,0),Q67*$BI67),Q67*$BI67),0)</f>
        <v>0</v>
      </c>
      <c r="BU67" s="319">
        <f>IF($BI67&lt;&gt;"",IF('Capacity summary'!$D$14="Yes",IF(COUNTBLANK('Capacity summary'!$H186:$BG186)&lt;52,IF('Capacity summary'!R186&lt;&gt;"",$BI67*R67,0),R67*$BI67),R67*$BI67),0)</f>
        <v>0</v>
      </c>
      <c r="BV67" s="319">
        <f>IF($BI67&lt;&gt;"",IF('Capacity summary'!$D$14="Yes",IF(COUNTBLANK('Capacity summary'!$H186:$BG186)&lt;52,IF('Capacity summary'!S186&lt;&gt;"",$BI67*S67,0),S67*$BI67),S67*$BI67),0)</f>
        <v>0</v>
      </c>
      <c r="BW67" s="319">
        <f>IF($BI67&lt;&gt;"",IF('Capacity summary'!$D$14="Yes",IF(COUNTBLANK('Capacity summary'!$H186:$BG186)&lt;52,IF('Capacity summary'!T186&lt;&gt;"",$BI67*T67,0),T67*$BI67),T67*$BI67),0)</f>
        <v>0</v>
      </c>
      <c r="BX67" s="319">
        <f>IF($BI67&lt;&gt;"",IF('Capacity summary'!$D$14="Yes",IF(COUNTBLANK('Capacity summary'!$H186:$BG186)&lt;52,IF('Capacity summary'!U186&lt;&gt;"",$BI67*U67,0),U67*$BI67),U67*$BI67),0)</f>
        <v>0</v>
      </c>
      <c r="BY67" s="319">
        <f>IF($BI67&lt;&gt;"",IF('Capacity summary'!$D$14="Yes",IF(COUNTBLANK('Capacity summary'!$H186:$BG186)&lt;52,IF('Capacity summary'!V186&lt;&gt;"",$BI67*V67,0),V67*$BI67),V67*$BI67),0)</f>
        <v>0</v>
      </c>
      <c r="BZ67" s="319">
        <f>IF($BI67&lt;&gt;"",IF('Capacity summary'!$D$14="Yes",IF(COUNTBLANK('Capacity summary'!$H186:$BG186)&lt;52,IF('Capacity summary'!W186&lt;&gt;"",$BI67*W67,0),W67*$BI67),W67*$BI67),0)</f>
        <v>0</v>
      </c>
      <c r="CA67" s="319">
        <f>IF($BI67&lt;&gt;"",IF('Capacity summary'!$D$14="Yes",IF(COUNTBLANK('Capacity summary'!$H186:$BG186)&lt;52,IF('Capacity summary'!X186&lt;&gt;"",$BI67*X67,0),X67*$BI67),X67*$BI67),0)</f>
        <v>0</v>
      </c>
      <c r="CB67" s="319">
        <f>IF($BI67&lt;&gt;"",IF('Capacity summary'!$D$14="Yes",IF(COUNTBLANK('Capacity summary'!$H186:$BG186)&lt;52,IF('Capacity summary'!Y186&lt;&gt;"",$BI67*Y67,0),Y67*$BI67),Y67*$BI67),0)</f>
        <v>0</v>
      </c>
      <c r="CC67" s="319">
        <f>IF($BI67&lt;&gt;"",IF('Capacity summary'!$D$14="Yes",IF(COUNTBLANK('Capacity summary'!$H186:$BG186)&lt;52,IF('Capacity summary'!Z186&lt;&gt;"",$BI67*Z67,0),Z67*$BI67),Z67*$BI67),0)</f>
        <v>0</v>
      </c>
      <c r="CD67" s="319">
        <f>IF($BI67&lt;&gt;"",IF('Capacity summary'!$D$14="Yes",IF(COUNTBLANK('Capacity summary'!$H186:$BG186)&lt;52,IF('Capacity summary'!AA186&lt;&gt;"",$BI67*AA67,0),AA67*$BI67),AA67*$BI67),0)</f>
        <v>0</v>
      </c>
      <c r="CE67" s="319">
        <f>IF($BI67&lt;&gt;"",IF('Capacity summary'!$D$14="Yes",IF(COUNTBLANK('Capacity summary'!$H186:$BG186)&lt;52,IF('Capacity summary'!AB186&lt;&gt;"",$BI67*AB67,0),AB67*$BI67),AB67*$BI67),0)</f>
        <v>0</v>
      </c>
      <c r="CF67" s="319">
        <f>IF($BI67&lt;&gt;"",IF('Capacity summary'!$D$14="Yes",IF(COUNTBLANK('Capacity summary'!$H186:$BG186)&lt;52,IF('Capacity summary'!AC186&lt;&gt;"",$BI67*AC67,0),AC67*$BI67),AC67*$BI67),0)</f>
        <v>0</v>
      </c>
      <c r="CG67" s="319">
        <f>IF($BI67&lt;&gt;"",IF('Capacity summary'!$D$14="Yes",IF(COUNTBLANK('Capacity summary'!$H186:$BG186)&lt;52,IF('Capacity summary'!AD186&lt;&gt;"",$BI67*AD67,0),AD67*$BI67),AD67*$BI67),0)</f>
        <v>0</v>
      </c>
      <c r="CH67" s="319">
        <f>IF($BI67&lt;&gt;"",IF('Capacity summary'!$D$14="Yes",IF(COUNTBLANK('Capacity summary'!$H186:$BG186)&lt;52,IF('Capacity summary'!AE186&lt;&gt;"",$BI67*AE67,0),AE67*$BI67),AE67*$BI67),0)</f>
        <v>0</v>
      </c>
      <c r="CI67" s="319">
        <f>IF($BI67&lt;&gt;"",IF('Capacity summary'!$D$14="Yes",IF(COUNTBLANK('Capacity summary'!$H186:$BG186)&lt;52,IF('Capacity summary'!AF186&lt;&gt;"",$BI67*AF67,0),AF67*$BI67),AF67*$BI67),0)</f>
        <v>0</v>
      </c>
      <c r="CJ67" s="319">
        <f>IF($BI67&lt;&gt;"",IF('Capacity summary'!$D$14="Yes",IF(COUNTBLANK('Capacity summary'!$H186:$BG186)&lt;52,IF('Capacity summary'!AG186&lt;&gt;"",$BI67*AG67,0),AG67*$BI67),AG67*$BI67),0)</f>
        <v>0</v>
      </c>
      <c r="CK67" s="319">
        <f>IF($BI67&lt;&gt;"",IF('Capacity summary'!$D$14="Yes",IF(COUNTBLANK('Capacity summary'!$H186:$BG186)&lt;52,IF('Capacity summary'!AH186&lt;&gt;"",$BI67*AH67,0),AH67*$BI67),AH67*$BI67),0)</f>
        <v>0</v>
      </c>
      <c r="CL67" s="319">
        <f>IF($BI67&lt;&gt;"",IF('Capacity summary'!$D$14="Yes",IF(COUNTBLANK('Capacity summary'!$H186:$BG186)&lt;52,IF('Capacity summary'!AI186&lt;&gt;"",$BI67*AI67,0),AI67*$BI67),AI67*$BI67),0)</f>
        <v>0</v>
      </c>
      <c r="CM67" s="319">
        <f>IF($BI67&lt;&gt;"",IF('Capacity summary'!$D$14="Yes",IF(COUNTBLANK('Capacity summary'!$H186:$BG186)&lt;52,IF('Capacity summary'!AJ186&lt;&gt;"",$BI67*AJ67,0),AJ67*$BI67),AJ67*$BI67),0)</f>
        <v>0</v>
      </c>
      <c r="CN67" s="319">
        <f>IF($BI67&lt;&gt;"",IF('Capacity summary'!$D$14="Yes",IF(COUNTBLANK('Capacity summary'!$H186:$BG186)&lt;52,IF('Capacity summary'!AK186&lt;&gt;"",$BI67*AK67,0),AK67*$BI67),AK67*$BI67),0)</f>
        <v>0</v>
      </c>
      <c r="CO67" s="319">
        <f>IF($BI67&lt;&gt;"",IF('Capacity summary'!$D$14="Yes",IF(COUNTBLANK('Capacity summary'!$H186:$BG186)&lt;52,IF('Capacity summary'!AL186&lt;&gt;"",$BI67*AL67,0),AL67*$BI67),AL67*$BI67),0)</f>
        <v>0</v>
      </c>
      <c r="CP67" s="319">
        <f>IF($BI67&lt;&gt;"",IF('Capacity summary'!$D$14="Yes",IF(COUNTBLANK('Capacity summary'!$H186:$BG186)&lt;52,IF('Capacity summary'!AM186&lt;&gt;"",$BI67*AM67,0),AM67*$BI67),AM67*$BI67),0)</f>
        <v>0</v>
      </c>
      <c r="CQ67" s="319">
        <f>IF($BI67&lt;&gt;"",IF('Capacity summary'!$D$14="Yes",IF(COUNTBLANK('Capacity summary'!$H186:$BG186)&lt;52,IF('Capacity summary'!AN186&lt;&gt;"",$BI67*AN67,0),AN67*$BI67),AN67*$BI67),0)</f>
        <v>0</v>
      </c>
      <c r="CR67" s="319">
        <f>IF($BI67&lt;&gt;"",IF('Capacity summary'!$D$14="Yes",IF(COUNTBLANK('Capacity summary'!$H186:$BG186)&lt;52,IF('Capacity summary'!AO186&lt;&gt;"",$BI67*AO67,0),AO67*$BI67),AO67*$BI67),0)</f>
        <v>0</v>
      </c>
      <c r="CS67" s="319">
        <f>IF($BI67&lt;&gt;"",IF('Capacity summary'!$D$14="Yes",IF(COUNTBLANK('Capacity summary'!$H186:$BG186)&lt;52,IF('Capacity summary'!AP186&lt;&gt;"",$BI67*AP67,0),AP67*$BI67),AP67*$BI67),0)</f>
        <v>0</v>
      </c>
      <c r="CT67" s="319">
        <f>IF($BI67&lt;&gt;"",IF('Capacity summary'!$D$14="Yes",IF(COUNTBLANK('Capacity summary'!$H186:$BG186)&lt;52,IF('Capacity summary'!AQ186&lt;&gt;"",$BI67*AQ67,0),AQ67*$BI67),AQ67*$BI67),0)</f>
        <v>0</v>
      </c>
      <c r="CU67" s="319">
        <f>IF($BI67&lt;&gt;"",IF('Capacity summary'!$D$14="Yes",IF(COUNTBLANK('Capacity summary'!$H186:$BG186)&lt;52,IF('Capacity summary'!AR186&lt;&gt;"",$BI67*AR67,0),AR67*$BI67),AR67*$BI67),0)</f>
        <v>0</v>
      </c>
      <c r="CV67" s="319">
        <f>IF($BI67&lt;&gt;"",IF('Capacity summary'!$D$14="Yes",IF(COUNTBLANK('Capacity summary'!$H186:$BG186)&lt;52,IF('Capacity summary'!AS186&lt;&gt;"",$BI67*AS67,0),AS67*$BI67),AS67*$BI67),0)</f>
        <v>0</v>
      </c>
      <c r="CW67" s="319">
        <f>IF($BI67&lt;&gt;"",IF('Capacity summary'!$D$14="Yes",IF(COUNTBLANK('Capacity summary'!$H186:$BG186)&lt;52,IF('Capacity summary'!AT186&lt;&gt;"",$BI67*AT67,0),AT67*$BI67),AT67*$BI67),0)</f>
        <v>0</v>
      </c>
      <c r="CX67" s="319">
        <f>IF($BI67&lt;&gt;"",IF('Capacity summary'!$D$14="Yes",IF(COUNTBLANK('Capacity summary'!$H186:$BG186)&lt;52,IF('Capacity summary'!AU186&lt;&gt;"",$BI67*AU67,0),AU67*$BI67),AU67*$BI67),0)</f>
        <v>0</v>
      </c>
      <c r="CY67" s="319">
        <f>IF($BI67&lt;&gt;"",IF('Capacity summary'!$D$14="Yes",IF(COUNTBLANK('Capacity summary'!$H186:$BG186)&lt;52,IF('Capacity summary'!AV186&lt;&gt;"",$BI67*AV67,0),AV67*$BI67),AV67*$BI67),0)</f>
        <v>0</v>
      </c>
      <c r="CZ67" s="319">
        <f>IF($BI67&lt;&gt;"",IF('Capacity summary'!$D$14="Yes",IF(COUNTBLANK('Capacity summary'!$H186:$BG186)&lt;52,IF('Capacity summary'!AW186&lt;&gt;"",$BI67*AW67,0),AW67*$BI67),AW67*$BI67),0)</f>
        <v>0</v>
      </c>
      <c r="DA67" s="319">
        <f>IF($BI67&lt;&gt;"",IF('Capacity summary'!$D$14="Yes",IF(COUNTBLANK('Capacity summary'!$H186:$BG186)&lt;52,IF('Capacity summary'!AX186&lt;&gt;"",$BI67*AX67,0),AX67*$BI67),AX67*$BI67),0)</f>
        <v>0</v>
      </c>
      <c r="DB67" s="319">
        <f>IF($BI67&lt;&gt;"",IF('Capacity summary'!$D$14="Yes",IF(COUNTBLANK('Capacity summary'!$H186:$BG186)&lt;52,IF('Capacity summary'!AY186&lt;&gt;"",$BI67*AY67,0),AY67*$BI67),AY67*$BI67),0)</f>
        <v>0</v>
      </c>
      <c r="DC67" s="319">
        <f>IF($BI67&lt;&gt;"",IF('Capacity summary'!$D$14="Yes",IF(COUNTBLANK('Capacity summary'!$H186:$BG186)&lt;52,IF('Capacity summary'!AZ186&lt;&gt;"",$BI67*AZ67,0),AZ67*$BI67),AZ67*$BI67),0)</f>
        <v>0</v>
      </c>
      <c r="DD67" s="319">
        <f>IF($BI67&lt;&gt;"",IF('Capacity summary'!$D$14="Yes",IF(COUNTBLANK('Capacity summary'!$H186:$BG186)&lt;52,IF('Capacity summary'!BA186&lt;&gt;"",$BI67*BA67,0),BA67*$BI67),BA67*$BI67),0)</f>
        <v>0</v>
      </c>
      <c r="DE67" s="319">
        <f>IF($BI67&lt;&gt;"",IF('Capacity summary'!$D$14="Yes",IF(COUNTBLANK('Capacity summary'!$H186:$BG186)&lt;52,IF('Capacity summary'!BB186&lt;&gt;"",$BI67*BB67,0),BB67*$BI67),BB67*$BI67),0)</f>
        <v>0</v>
      </c>
      <c r="DF67" s="319">
        <f>IF($BI67&lt;&gt;"",IF('Capacity summary'!$D$14="Yes",IF(COUNTBLANK('Capacity summary'!$H186:$BG186)&lt;52,IF('Capacity summary'!BC186&lt;&gt;"",$BI67*BC67,0),BC67*$BI67),BC67*$BI67),0)</f>
        <v>0</v>
      </c>
      <c r="DG67" s="319">
        <f>IF($BI67&lt;&gt;"",IF('Capacity summary'!$D$14="Yes",IF(COUNTBLANK('Capacity summary'!$H186:$BG186)&lt;52,IF('Capacity summary'!BD186&lt;&gt;"",$BI67*BD67,0),BD67*$BI67),BD67*$BI67),0)</f>
        <v>0</v>
      </c>
      <c r="DH67" s="319">
        <f>IF($BI67&lt;&gt;"",IF('Capacity summary'!$D$14="Yes",IF(COUNTBLANK('Capacity summary'!$H186:$BG186)&lt;52,IF('Capacity summary'!BE186&lt;&gt;"",$BI67*BE67,0),BE67*$BI67),BE67*$BI67),0)</f>
        <v>0</v>
      </c>
      <c r="DI67" s="319">
        <f>IF($BI67&lt;&gt;"",IF('Capacity summary'!$D$14="Yes",IF(COUNTBLANK('Capacity summary'!$H186:$BG186)&lt;52,IF('Capacity summary'!BF186&lt;&gt;"",$BI67*BF67,0),BF67*$BI67),BF67*$BI67),0)</f>
        <v>0</v>
      </c>
      <c r="DJ67" s="319">
        <f>IF($BI67&lt;&gt;"",IF('Capacity summary'!$D$14="Yes",IF(COUNTBLANK('Capacity summary'!$H186:$BG186)&lt;52,IF('Capacity summary'!BG186&lt;&gt;"",$BI67*BG67,0),BG67*$BI67),BG67*$BI67),0)</f>
        <v>0</v>
      </c>
      <c r="DK67" s="5">
        <f t="shared" si="2"/>
        <v>0</v>
      </c>
      <c r="DL67" s="5" t="str">
        <f>Capacity!H79</f>
        <v/>
      </c>
    </row>
    <row r="68" spans="2:116" x14ac:dyDescent="0.2">
      <c r="B68" s="68"/>
      <c r="C68" s="68" t="str">
        <f>ROW(A64)&amp;". "&amp;Capacity!B80</f>
        <v xml:space="preserve">64. </v>
      </c>
      <c r="D68" s="68">
        <f>'Capacity setup'!C75</f>
        <v>0</v>
      </c>
      <c r="E68" s="68">
        <f>'Capacity setup'!D75</f>
        <v>0</v>
      </c>
      <c r="F68" s="68">
        <f>'Capacity setup'!E75</f>
        <v>0</v>
      </c>
      <c r="H68" s="68">
        <f ca="1">IF(AND(SUMIF(Capacity_Resource,$D68,'Critical resources (hide)'!U$6:U$105)+SUMIF(Capacity_Resource,$E68,'Critical resources (hide)'!U$6:U$105)+SUMIF(Capacity_Resource,$F68,'Critical resources (hide)'!U$6:U$105)&gt;0,$E$1=2),0,1)</f>
        <v>1</v>
      </c>
      <c r="I68" s="68">
        <f ca="1">IF(AND(SUMIF(Capacity_Resource,$D68,'Critical resources (hide)'!V$6:V$105)+SUMIF(Capacity_Resource,$E68,'Critical resources (hide)'!V$6:V$105)+SUMIF(Capacity_Resource,$F68,'Critical resources (hide)'!V$6:V$105)&gt;0,$E$1=2),0,1)</f>
        <v>1</v>
      </c>
      <c r="J68" s="68">
        <f ca="1">IF(AND(SUMIF(Capacity_Resource,$D68,'Critical resources (hide)'!W$6:W$105)+SUMIF(Capacity_Resource,$E68,'Critical resources (hide)'!W$6:W$105)+SUMIF(Capacity_Resource,$F68,'Critical resources (hide)'!W$6:W$105)&gt;0,$E$1=2),0,1)</f>
        <v>1</v>
      </c>
      <c r="K68" s="68">
        <f ca="1">IF(AND(SUMIF(Capacity_Resource,$D68,'Critical resources (hide)'!X$6:X$105)+SUMIF(Capacity_Resource,$E68,'Critical resources (hide)'!X$6:X$105)+SUMIF(Capacity_Resource,$F68,'Critical resources (hide)'!X$6:X$105)&gt;0,$E$1=2),0,1)</f>
        <v>1</v>
      </c>
      <c r="L68" s="68">
        <f ca="1">IF(AND(SUMIF(Capacity_Resource,$D68,'Critical resources (hide)'!Y$6:Y$105)+SUMIF(Capacity_Resource,$E68,'Critical resources (hide)'!Y$6:Y$105)+SUMIF(Capacity_Resource,$F68,'Critical resources (hide)'!Y$6:Y$105)&gt;0,$E$1=2),0,1)</f>
        <v>1</v>
      </c>
      <c r="M68" s="68">
        <f ca="1">IF(AND(SUMIF(Capacity_Resource,$D68,'Critical resources (hide)'!Z$6:Z$105)+SUMIF(Capacity_Resource,$E68,'Critical resources (hide)'!Z$6:Z$105)+SUMIF(Capacity_Resource,$F68,'Critical resources (hide)'!Z$6:Z$105)&gt;0,$E$1=2),0,1)</f>
        <v>1</v>
      </c>
      <c r="N68" s="68">
        <f ca="1">IF(AND(SUMIF(Capacity_Resource,$D68,'Critical resources (hide)'!AA$6:AA$105)+SUMIF(Capacity_Resource,$E68,'Critical resources (hide)'!AA$6:AA$105)+SUMIF(Capacity_Resource,$F68,'Critical resources (hide)'!AA$6:AA$105)&gt;0,$E$1=2),0,1)</f>
        <v>1</v>
      </c>
      <c r="O68" s="68">
        <f ca="1">IF(AND(SUMIF(Capacity_Resource,$D68,'Critical resources (hide)'!AB$6:AB$105)+SUMIF(Capacity_Resource,$E68,'Critical resources (hide)'!AB$6:AB$105)+SUMIF(Capacity_Resource,$F68,'Critical resources (hide)'!AB$6:AB$105)&gt;0,$E$1=2),0,1)</f>
        <v>1</v>
      </c>
      <c r="P68" s="68">
        <f ca="1">IF(AND(SUMIF(Capacity_Resource,$D68,'Critical resources (hide)'!AC$6:AC$105)+SUMIF(Capacity_Resource,$E68,'Critical resources (hide)'!AC$6:AC$105)+SUMIF(Capacity_Resource,$F68,'Critical resources (hide)'!AC$6:AC$105)&gt;0,$E$1=2),0,1)</f>
        <v>1</v>
      </c>
      <c r="Q68" s="68">
        <f ca="1">IF(AND(SUMIF(Capacity_Resource,$D68,'Critical resources (hide)'!AD$6:AD$105)+SUMIF(Capacity_Resource,$E68,'Critical resources (hide)'!AD$6:AD$105)+SUMIF(Capacity_Resource,$F68,'Critical resources (hide)'!AD$6:AD$105)&gt;0,$E$1=2),0,1)</f>
        <v>1</v>
      </c>
      <c r="R68" s="68">
        <f ca="1">IF(AND(SUMIF(Capacity_Resource,$D68,'Critical resources (hide)'!AE$6:AE$105)+SUMIF(Capacity_Resource,$E68,'Critical resources (hide)'!AE$6:AE$105)+SUMIF(Capacity_Resource,$F68,'Critical resources (hide)'!AE$6:AE$105)&gt;0,$E$1=2),0,1)</f>
        <v>1</v>
      </c>
      <c r="S68" s="68">
        <f ca="1">IF(AND(SUMIF(Capacity_Resource,$D68,'Critical resources (hide)'!AF$6:AF$105)+SUMIF(Capacity_Resource,$E68,'Critical resources (hide)'!AF$6:AF$105)+SUMIF(Capacity_Resource,$F68,'Critical resources (hide)'!AF$6:AF$105)&gt;0,$E$1=2),0,1)</f>
        <v>1</v>
      </c>
      <c r="T68" s="68">
        <f ca="1">IF(AND(SUMIF(Capacity_Resource,$D68,'Critical resources (hide)'!AG$6:AG$105)+SUMIF(Capacity_Resource,$E68,'Critical resources (hide)'!AG$6:AG$105)+SUMIF(Capacity_Resource,$F68,'Critical resources (hide)'!AG$6:AG$105)&gt;0,$E$1=2),0,1)</f>
        <v>1</v>
      </c>
      <c r="U68" s="68">
        <f ca="1">IF(AND(SUMIF(Capacity_Resource,$D68,'Critical resources (hide)'!AH$6:AH$105)+SUMIF(Capacity_Resource,$E68,'Critical resources (hide)'!AH$6:AH$105)+SUMIF(Capacity_Resource,$F68,'Critical resources (hide)'!AH$6:AH$105)&gt;0,$E$1=2),0,1)</f>
        <v>1</v>
      </c>
      <c r="V68" s="68">
        <f ca="1">IF(AND(SUMIF(Capacity_Resource,$D68,'Critical resources (hide)'!AI$6:AI$105)+SUMIF(Capacity_Resource,$E68,'Critical resources (hide)'!AI$6:AI$105)+SUMIF(Capacity_Resource,$F68,'Critical resources (hide)'!AI$6:AI$105)&gt;0,$E$1=2),0,1)</f>
        <v>1</v>
      </c>
      <c r="W68" s="68">
        <f ca="1">IF(AND(SUMIF(Capacity_Resource,$D68,'Critical resources (hide)'!AJ$6:AJ$105)+SUMIF(Capacity_Resource,$E68,'Critical resources (hide)'!AJ$6:AJ$105)+SUMIF(Capacity_Resource,$F68,'Critical resources (hide)'!AJ$6:AJ$105)&gt;0,$E$1=2),0,1)</f>
        <v>1</v>
      </c>
      <c r="X68" s="68">
        <f ca="1">IF(AND(SUMIF(Capacity_Resource,$D68,'Critical resources (hide)'!AK$6:AK$105)+SUMIF(Capacity_Resource,$E68,'Critical resources (hide)'!AK$6:AK$105)+SUMIF(Capacity_Resource,$F68,'Critical resources (hide)'!AK$6:AK$105)&gt;0,$E$1=2),0,1)</f>
        <v>1</v>
      </c>
      <c r="Y68" s="68">
        <f ca="1">IF(AND(SUMIF(Capacity_Resource,$D68,'Critical resources (hide)'!AL$6:AL$105)+SUMIF(Capacity_Resource,$E68,'Critical resources (hide)'!AL$6:AL$105)+SUMIF(Capacity_Resource,$F68,'Critical resources (hide)'!AL$6:AL$105)&gt;0,$E$1=2),0,1)</f>
        <v>1</v>
      </c>
      <c r="Z68" s="68">
        <f ca="1">IF(AND(SUMIF(Capacity_Resource,$D68,'Critical resources (hide)'!AM$6:AM$105)+SUMIF(Capacity_Resource,$E68,'Critical resources (hide)'!AM$6:AM$105)+SUMIF(Capacity_Resource,$F68,'Critical resources (hide)'!AM$6:AM$105)&gt;0,$E$1=2),0,1)</f>
        <v>1</v>
      </c>
      <c r="AA68" s="68">
        <f ca="1">IF(AND(SUMIF(Capacity_Resource,$D68,'Critical resources (hide)'!AN$6:AN$105)+SUMIF(Capacity_Resource,$E68,'Critical resources (hide)'!AN$6:AN$105)+SUMIF(Capacity_Resource,$F68,'Critical resources (hide)'!AN$6:AN$105)&gt;0,$E$1=2),0,1)</f>
        <v>1</v>
      </c>
      <c r="AB68" s="68">
        <f ca="1">IF(AND(SUMIF(Capacity_Resource,$D68,'Critical resources (hide)'!AO$6:AO$105)+SUMIF(Capacity_Resource,$E68,'Critical resources (hide)'!AO$6:AO$105)+SUMIF(Capacity_Resource,$F68,'Critical resources (hide)'!AO$6:AO$105)&gt;0,$E$1=2),0,1)</f>
        <v>1</v>
      </c>
      <c r="AC68" s="68">
        <f ca="1">IF(AND(SUMIF(Capacity_Resource,$D68,'Critical resources (hide)'!AP$6:AP$105)+SUMIF(Capacity_Resource,$E68,'Critical resources (hide)'!AP$6:AP$105)+SUMIF(Capacity_Resource,$F68,'Critical resources (hide)'!AP$6:AP$105)&gt;0,$E$1=2),0,1)</f>
        <v>1</v>
      </c>
      <c r="AD68" s="68">
        <f ca="1">IF(AND(SUMIF(Capacity_Resource,$D68,'Critical resources (hide)'!AQ$6:AQ$105)+SUMIF(Capacity_Resource,$E68,'Critical resources (hide)'!AQ$6:AQ$105)+SUMIF(Capacity_Resource,$F68,'Critical resources (hide)'!AQ$6:AQ$105)&gt;0,$E$1=2),0,1)</f>
        <v>1</v>
      </c>
      <c r="AE68" s="68">
        <f ca="1">IF(AND(SUMIF(Capacity_Resource,$D68,'Critical resources (hide)'!AR$6:AR$105)+SUMIF(Capacity_Resource,$E68,'Critical resources (hide)'!AR$6:AR$105)+SUMIF(Capacity_Resource,$F68,'Critical resources (hide)'!AR$6:AR$105)&gt;0,$E$1=2),0,1)</f>
        <v>1</v>
      </c>
      <c r="AF68" s="68">
        <f ca="1">IF(AND(SUMIF(Capacity_Resource,$D68,'Critical resources (hide)'!AS$6:AS$105)+SUMIF(Capacity_Resource,$E68,'Critical resources (hide)'!AS$6:AS$105)+SUMIF(Capacity_Resource,$F68,'Critical resources (hide)'!AS$6:AS$105)&gt;0,$E$1=2),0,1)</f>
        <v>1</v>
      </c>
      <c r="AG68" s="68">
        <f ca="1">IF(AND(SUMIF(Capacity_Resource,$D68,'Critical resources (hide)'!AT$6:AT$105)+SUMIF(Capacity_Resource,$E68,'Critical resources (hide)'!AT$6:AT$105)+SUMIF(Capacity_Resource,$F68,'Critical resources (hide)'!AT$6:AT$105)&gt;0,$E$1=2),0,1)</f>
        <v>1</v>
      </c>
      <c r="AH68" s="68">
        <f ca="1">IF(AND(SUMIF(Capacity_Resource,$D68,'Critical resources (hide)'!AU$6:AU$105)+SUMIF(Capacity_Resource,$E68,'Critical resources (hide)'!AU$6:AU$105)+SUMIF(Capacity_Resource,$F68,'Critical resources (hide)'!AU$6:AU$105)&gt;0,$E$1=2),0,1)</f>
        <v>1</v>
      </c>
      <c r="AI68" s="68">
        <f ca="1">IF(AND(SUMIF(Capacity_Resource,$D68,'Critical resources (hide)'!AV$6:AV$105)+SUMIF(Capacity_Resource,$E68,'Critical resources (hide)'!AV$6:AV$105)+SUMIF(Capacity_Resource,$F68,'Critical resources (hide)'!AV$6:AV$105)&gt;0,$E$1=2),0,1)</f>
        <v>1</v>
      </c>
      <c r="AJ68" s="68">
        <f ca="1">IF(AND(SUMIF(Capacity_Resource,$D68,'Critical resources (hide)'!AW$6:AW$105)+SUMIF(Capacity_Resource,$E68,'Critical resources (hide)'!AW$6:AW$105)+SUMIF(Capacity_Resource,$F68,'Critical resources (hide)'!AW$6:AW$105)&gt;0,$E$1=2),0,1)</f>
        <v>1</v>
      </c>
      <c r="AK68" s="68">
        <f ca="1">IF(AND(SUMIF(Capacity_Resource,$D68,'Critical resources (hide)'!AX$6:AX$105)+SUMIF(Capacity_Resource,$E68,'Critical resources (hide)'!AX$6:AX$105)+SUMIF(Capacity_Resource,$F68,'Critical resources (hide)'!AX$6:AX$105)&gt;0,$E$1=2),0,1)</f>
        <v>1</v>
      </c>
      <c r="AL68" s="68">
        <f ca="1">IF(AND(SUMIF(Capacity_Resource,$D68,'Critical resources (hide)'!AY$6:AY$105)+SUMIF(Capacity_Resource,$E68,'Critical resources (hide)'!AY$6:AY$105)+SUMIF(Capacity_Resource,$F68,'Critical resources (hide)'!AY$6:AY$105)&gt;0,$E$1=2),0,1)</f>
        <v>1</v>
      </c>
      <c r="AM68" s="68">
        <f ca="1">IF(AND(SUMIF(Capacity_Resource,$D68,'Critical resources (hide)'!AZ$6:AZ$105)+SUMIF(Capacity_Resource,$E68,'Critical resources (hide)'!AZ$6:AZ$105)+SUMIF(Capacity_Resource,$F68,'Critical resources (hide)'!AZ$6:AZ$105)&gt;0,$E$1=2),0,1)</f>
        <v>1</v>
      </c>
      <c r="AN68" s="68">
        <f ca="1">IF(AND(SUMIF(Capacity_Resource,$D68,'Critical resources (hide)'!BA$6:BA$105)+SUMIF(Capacity_Resource,$E68,'Critical resources (hide)'!BA$6:BA$105)+SUMIF(Capacity_Resource,$F68,'Critical resources (hide)'!BA$6:BA$105)&gt;0,$E$1=2),0,1)</f>
        <v>1</v>
      </c>
      <c r="AO68" s="68">
        <f ca="1">IF(AND(SUMIF(Capacity_Resource,$D68,'Critical resources (hide)'!BB$6:BB$105)+SUMIF(Capacity_Resource,$E68,'Critical resources (hide)'!BB$6:BB$105)+SUMIF(Capacity_Resource,$F68,'Critical resources (hide)'!BB$6:BB$105)&gt;0,$E$1=2),0,1)</f>
        <v>1</v>
      </c>
      <c r="AP68" s="68">
        <f ca="1">IF(AND(SUMIF(Capacity_Resource,$D68,'Critical resources (hide)'!BC$6:BC$105)+SUMIF(Capacity_Resource,$E68,'Critical resources (hide)'!BC$6:BC$105)+SUMIF(Capacity_Resource,$F68,'Critical resources (hide)'!BC$6:BC$105)&gt;0,$E$1=2),0,1)</f>
        <v>1</v>
      </c>
      <c r="AQ68" s="68">
        <f ca="1">IF(AND(SUMIF(Capacity_Resource,$D68,'Critical resources (hide)'!BD$6:BD$105)+SUMIF(Capacity_Resource,$E68,'Critical resources (hide)'!BD$6:BD$105)+SUMIF(Capacity_Resource,$F68,'Critical resources (hide)'!BD$6:BD$105)&gt;0,$E$1=2),0,1)</f>
        <v>1</v>
      </c>
      <c r="AR68" s="68">
        <f ca="1">IF(AND(SUMIF(Capacity_Resource,$D68,'Critical resources (hide)'!BE$6:BE$105)+SUMIF(Capacity_Resource,$E68,'Critical resources (hide)'!BE$6:BE$105)+SUMIF(Capacity_Resource,$F68,'Critical resources (hide)'!BE$6:BE$105)&gt;0,$E$1=2),0,1)</f>
        <v>1</v>
      </c>
      <c r="AS68" s="68">
        <f ca="1">IF(AND(SUMIF(Capacity_Resource,$D68,'Critical resources (hide)'!BF$6:BF$105)+SUMIF(Capacity_Resource,$E68,'Critical resources (hide)'!BF$6:BF$105)+SUMIF(Capacity_Resource,$F68,'Critical resources (hide)'!BF$6:BF$105)&gt;0,$E$1=2),0,1)</f>
        <v>1</v>
      </c>
      <c r="AT68" s="68">
        <f ca="1">IF(AND(SUMIF(Capacity_Resource,$D68,'Critical resources (hide)'!BG$6:BG$105)+SUMIF(Capacity_Resource,$E68,'Critical resources (hide)'!BG$6:BG$105)+SUMIF(Capacity_Resource,$F68,'Critical resources (hide)'!BG$6:BG$105)&gt;0,$E$1=2),0,1)</f>
        <v>1</v>
      </c>
      <c r="AU68" s="68">
        <f ca="1">IF(AND(SUMIF(Capacity_Resource,$D68,'Critical resources (hide)'!BH$6:BH$105)+SUMIF(Capacity_Resource,$E68,'Critical resources (hide)'!BH$6:BH$105)+SUMIF(Capacity_Resource,$F68,'Critical resources (hide)'!BH$6:BH$105)&gt;0,$E$1=2),0,1)</f>
        <v>1</v>
      </c>
      <c r="AV68" s="68">
        <f ca="1">IF(AND(SUMIF(Capacity_Resource,$D68,'Critical resources (hide)'!BI$6:BI$105)+SUMIF(Capacity_Resource,$E68,'Critical resources (hide)'!BI$6:BI$105)+SUMIF(Capacity_Resource,$F68,'Critical resources (hide)'!BI$6:BI$105)&gt;0,$E$1=2),0,1)</f>
        <v>1</v>
      </c>
      <c r="AW68" s="68">
        <f ca="1">IF(AND(SUMIF(Capacity_Resource,$D68,'Critical resources (hide)'!BJ$6:BJ$105)+SUMIF(Capacity_Resource,$E68,'Critical resources (hide)'!BJ$6:BJ$105)+SUMIF(Capacity_Resource,$F68,'Critical resources (hide)'!BJ$6:BJ$105)&gt;0,$E$1=2),0,1)</f>
        <v>1</v>
      </c>
      <c r="AX68" s="68">
        <f ca="1">IF(AND(SUMIF(Capacity_Resource,$D68,'Critical resources (hide)'!BK$6:BK$105)+SUMIF(Capacity_Resource,$E68,'Critical resources (hide)'!BK$6:BK$105)+SUMIF(Capacity_Resource,$F68,'Critical resources (hide)'!BK$6:BK$105)&gt;0,$E$1=2),0,1)</f>
        <v>1</v>
      </c>
      <c r="AY68" s="68">
        <f ca="1">IF(AND(SUMIF(Capacity_Resource,$D68,'Critical resources (hide)'!BL$6:BL$105)+SUMIF(Capacity_Resource,$E68,'Critical resources (hide)'!BL$6:BL$105)+SUMIF(Capacity_Resource,$F68,'Critical resources (hide)'!BL$6:BL$105)&gt;0,$E$1=2),0,1)</f>
        <v>1</v>
      </c>
      <c r="AZ68" s="68">
        <f ca="1">IF(AND(SUMIF(Capacity_Resource,$D68,'Critical resources (hide)'!BM$6:BM$105)+SUMIF(Capacity_Resource,$E68,'Critical resources (hide)'!BM$6:BM$105)+SUMIF(Capacity_Resource,$F68,'Critical resources (hide)'!BM$6:BM$105)&gt;0,$E$1=2),0,1)</f>
        <v>1</v>
      </c>
      <c r="BA68" s="68">
        <f ca="1">IF(AND(SUMIF(Capacity_Resource,$D68,'Critical resources (hide)'!BN$6:BN$105)+SUMIF(Capacity_Resource,$E68,'Critical resources (hide)'!BN$6:BN$105)+SUMIF(Capacity_Resource,$F68,'Critical resources (hide)'!BN$6:BN$105)&gt;0,$E$1=2),0,1)</f>
        <v>1</v>
      </c>
      <c r="BB68" s="68">
        <f ca="1">IF(AND(SUMIF(Capacity_Resource,$D68,'Critical resources (hide)'!BO$6:BO$105)+SUMIF(Capacity_Resource,$E68,'Critical resources (hide)'!BO$6:BO$105)+SUMIF(Capacity_Resource,$F68,'Critical resources (hide)'!BO$6:BO$105)&gt;0,$E$1=2),0,1)</f>
        <v>1</v>
      </c>
      <c r="BC68" s="68">
        <f ca="1">IF(AND(SUMIF(Capacity_Resource,$D68,'Critical resources (hide)'!BP$6:BP$105)+SUMIF(Capacity_Resource,$E68,'Critical resources (hide)'!BP$6:BP$105)+SUMIF(Capacity_Resource,$F68,'Critical resources (hide)'!BP$6:BP$105)&gt;0,$E$1=2),0,1)</f>
        <v>1</v>
      </c>
      <c r="BD68" s="68">
        <f ca="1">IF(AND(SUMIF(Capacity_Resource,$D68,'Critical resources (hide)'!BQ$6:BQ$105)+SUMIF(Capacity_Resource,$E68,'Critical resources (hide)'!BQ$6:BQ$105)+SUMIF(Capacity_Resource,$F68,'Critical resources (hide)'!BQ$6:BQ$105)&gt;0,$E$1=2),0,1)</f>
        <v>1</v>
      </c>
      <c r="BE68" s="68">
        <f ca="1">IF(AND(SUMIF(Capacity_Resource,$D68,'Critical resources (hide)'!BR$6:BR$105)+SUMIF(Capacity_Resource,$E68,'Critical resources (hide)'!BR$6:BR$105)+SUMIF(Capacity_Resource,$F68,'Critical resources (hide)'!BR$6:BR$105)&gt;0,$E$1=2),0,1)</f>
        <v>1</v>
      </c>
      <c r="BF68" s="68">
        <f ca="1">IF(AND(SUMIF(Capacity_Resource,$D68,'Critical resources (hide)'!BS$6:BS$105)+SUMIF(Capacity_Resource,$E68,'Critical resources (hide)'!BS$6:BS$105)+SUMIF(Capacity_Resource,$F68,'Critical resources (hide)'!BS$6:BS$105)&gt;0,$E$1=2),0,1)</f>
        <v>1</v>
      </c>
      <c r="BG68" s="68">
        <f ca="1">IF(AND(SUMIF(Capacity_Resource,$D68,'Critical resources (hide)'!BT$6:BT$105)+SUMIF(Capacity_Resource,$E68,'Critical resources (hide)'!BT$6:BT$105)+SUMIF(Capacity_Resource,$F68,'Critical resources (hide)'!BT$6:BT$105)&gt;0,$E$1=2),0,1)</f>
        <v>1</v>
      </c>
      <c r="BH68" s="68">
        <f>IF(ROW(C64)&lt;=Capacity!$A$16,IF('Capacity summary'!$D$14="No",SUM(H68:BG68),'Capacity summary'!$E187),0)</f>
        <v>0</v>
      </c>
      <c r="BI68" s="5" t="str">
        <f>IF(BH68&gt;0,IF(BH68&lt;Capacity!E80,Capacity!F80,Capacity!H80/'Capacity calculation (hide)'!BH68),"")</f>
        <v/>
      </c>
      <c r="BK68" s="319">
        <f>IF($BI68&lt;&gt;"",IF('Capacity summary'!$D$14="Yes",IF(COUNTBLANK('Capacity summary'!$H187:$BG187)&lt;52,IF('Capacity summary'!H187&lt;&gt;"",$BI68*H68,0),H68*$BI68),H68*$BI68),0)</f>
        <v>0</v>
      </c>
      <c r="BL68" s="319">
        <f>IF($BI68&lt;&gt;"",IF('Capacity summary'!$D$14="Yes",IF(COUNTBLANK('Capacity summary'!$H187:$BG187)&lt;52,IF('Capacity summary'!I187&lt;&gt;"",$BI68*I68,0),I68*$BI68),I68*$BI68),0)</f>
        <v>0</v>
      </c>
      <c r="BM68" s="319">
        <f>IF($BI68&lt;&gt;"",IF('Capacity summary'!$D$14="Yes",IF(COUNTBLANK('Capacity summary'!$H187:$BG187)&lt;52,IF('Capacity summary'!J187&lt;&gt;"",$BI68*J68,0),J68*$BI68),J68*$BI68),0)</f>
        <v>0</v>
      </c>
      <c r="BN68" s="319">
        <f>IF($BI68&lt;&gt;"",IF('Capacity summary'!$D$14="Yes",IF(COUNTBLANK('Capacity summary'!$H187:$BG187)&lt;52,IF('Capacity summary'!K187&lt;&gt;"",$BI68*K68,0),K68*$BI68),K68*$BI68),0)</f>
        <v>0</v>
      </c>
      <c r="BO68" s="319">
        <f>IF($BI68&lt;&gt;"",IF('Capacity summary'!$D$14="Yes",IF(COUNTBLANK('Capacity summary'!$H187:$BG187)&lt;52,IF('Capacity summary'!L187&lt;&gt;"",$BI68*L68,0),L68*$BI68),L68*$BI68),0)</f>
        <v>0</v>
      </c>
      <c r="BP68" s="319">
        <f>IF($BI68&lt;&gt;"",IF('Capacity summary'!$D$14="Yes",IF(COUNTBLANK('Capacity summary'!$H187:$BG187)&lt;52,IF('Capacity summary'!M187&lt;&gt;"",$BI68*M68,0),M68*$BI68),M68*$BI68),0)</f>
        <v>0</v>
      </c>
      <c r="BQ68" s="319">
        <f>IF($BI68&lt;&gt;"",IF('Capacity summary'!$D$14="Yes",IF(COUNTBLANK('Capacity summary'!$H187:$BG187)&lt;52,IF('Capacity summary'!N187&lt;&gt;"",$BI68*N68,0),N68*$BI68),N68*$BI68),0)</f>
        <v>0</v>
      </c>
      <c r="BR68" s="319">
        <f>IF($BI68&lt;&gt;"",IF('Capacity summary'!$D$14="Yes",IF(COUNTBLANK('Capacity summary'!$H187:$BG187)&lt;52,IF('Capacity summary'!O187&lt;&gt;"",$BI68*O68,0),O68*$BI68),O68*$BI68),0)</f>
        <v>0</v>
      </c>
      <c r="BS68" s="319">
        <f>IF($BI68&lt;&gt;"",IF('Capacity summary'!$D$14="Yes",IF(COUNTBLANK('Capacity summary'!$H187:$BG187)&lt;52,IF('Capacity summary'!P187&lt;&gt;"",$BI68*P68,0),P68*$BI68),P68*$BI68),0)</f>
        <v>0</v>
      </c>
      <c r="BT68" s="319">
        <f>IF($BI68&lt;&gt;"",IF('Capacity summary'!$D$14="Yes",IF(COUNTBLANK('Capacity summary'!$H187:$BG187)&lt;52,IF('Capacity summary'!Q187&lt;&gt;"",$BI68*Q68,0),Q68*$BI68),Q68*$BI68),0)</f>
        <v>0</v>
      </c>
      <c r="BU68" s="319">
        <f>IF($BI68&lt;&gt;"",IF('Capacity summary'!$D$14="Yes",IF(COUNTBLANK('Capacity summary'!$H187:$BG187)&lt;52,IF('Capacity summary'!R187&lt;&gt;"",$BI68*R68,0),R68*$BI68),R68*$BI68),0)</f>
        <v>0</v>
      </c>
      <c r="BV68" s="319">
        <f>IF($BI68&lt;&gt;"",IF('Capacity summary'!$D$14="Yes",IF(COUNTBLANK('Capacity summary'!$H187:$BG187)&lt;52,IF('Capacity summary'!S187&lt;&gt;"",$BI68*S68,0),S68*$BI68),S68*$BI68),0)</f>
        <v>0</v>
      </c>
      <c r="BW68" s="319">
        <f>IF($BI68&lt;&gt;"",IF('Capacity summary'!$D$14="Yes",IF(COUNTBLANK('Capacity summary'!$H187:$BG187)&lt;52,IF('Capacity summary'!T187&lt;&gt;"",$BI68*T68,0),T68*$BI68),T68*$BI68),0)</f>
        <v>0</v>
      </c>
      <c r="BX68" s="319">
        <f>IF($BI68&lt;&gt;"",IF('Capacity summary'!$D$14="Yes",IF(COUNTBLANK('Capacity summary'!$H187:$BG187)&lt;52,IF('Capacity summary'!U187&lt;&gt;"",$BI68*U68,0),U68*$BI68),U68*$BI68),0)</f>
        <v>0</v>
      </c>
      <c r="BY68" s="319">
        <f>IF($BI68&lt;&gt;"",IF('Capacity summary'!$D$14="Yes",IF(COUNTBLANK('Capacity summary'!$H187:$BG187)&lt;52,IF('Capacity summary'!V187&lt;&gt;"",$BI68*V68,0),V68*$BI68),V68*$BI68),0)</f>
        <v>0</v>
      </c>
      <c r="BZ68" s="319">
        <f>IF($BI68&lt;&gt;"",IF('Capacity summary'!$D$14="Yes",IF(COUNTBLANK('Capacity summary'!$H187:$BG187)&lt;52,IF('Capacity summary'!W187&lt;&gt;"",$BI68*W68,0),W68*$BI68),W68*$BI68),0)</f>
        <v>0</v>
      </c>
      <c r="CA68" s="319">
        <f>IF($BI68&lt;&gt;"",IF('Capacity summary'!$D$14="Yes",IF(COUNTBLANK('Capacity summary'!$H187:$BG187)&lt;52,IF('Capacity summary'!X187&lt;&gt;"",$BI68*X68,0),X68*$BI68),X68*$BI68),0)</f>
        <v>0</v>
      </c>
      <c r="CB68" s="319">
        <f>IF($BI68&lt;&gt;"",IF('Capacity summary'!$D$14="Yes",IF(COUNTBLANK('Capacity summary'!$H187:$BG187)&lt;52,IF('Capacity summary'!Y187&lt;&gt;"",$BI68*Y68,0),Y68*$BI68),Y68*$BI68),0)</f>
        <v>0</v>
      </c>
      <c r="CC68" s="319">
        <f>IF($BI68&lt;&gt;"",IF('Capacity summary'!$D$14="Yes",IF(COUNTBLANK('Capacity summary'!$H187:$BG187)&lt;52,IF('Capacity summary'!Z187&lt;&gt;"",$BI68*Z68,0),Z68*$BI68),Z68*$BI68),0)</f>
        <v>0</v>
      </c>
      <c r="CD68" s="319">
        <f>IF($BI68&lt;&gt;"",IF('Capacity summary'!$D$14="Yes",IF(COUNTBLANK('Capacity summary'!$H187:$BG187)&lt;52,IF('Capacity summary'!AA187&lt;&gt;"",$BI68*AA68,0),AA68*$BI68),AA68*$BI68),0)</f>
        <v>0</v>
      </c>
      <c r="CE68" s="319">
        <f>IF($BI68&lt;&gt;"",IF('Capacity summary'!$D$14="Yes",IF(COUNTBLANK('Capacity summary'!$H187:$BG187)&lt;52,IF('Capacity summary'!AB187&lt;&gt;"",$BI68*AB68,0),AB68*$BI68),AB68*$BI68),0)</f>
        <v>0</v>
      </c>
      <c r="CF68" s="319">
        <f>IF($BI68&lt;&gt;"",IF('Capacity summary'!$D$14="Yes",IF(COUNTBLANK('Capacity summary'!$H187:$BG187)&lt;52,IF('Capacity summary'!AC187&lt;&gt;"",$BI68*AC68,0),AC68*$BI68),AC68*$BI68),0)</f>
        <v>0</v>
      </c>
      <c r="CG68" s="319">
        <f>IF($BI68&lt;&gt;"",IF('Capacity summary'!$D$14="Yes",IF(COUNTBLANK('Capacity summary'!$H187:$BG187)&lt;52,IF('Capacity summary'!AD187&lt;&gt;"",$BI68*AD68,0),AD68*$BI68),AD68*$BI68),0)</f>
        <v>0</v>
      </c>
      <c r="CH68" s="319">
        <f>IF($BI68&lt;&gt;"",IF('Capacity summary'!$D$14="Yes",IF(COUNTBLANK('Capacity summary'!$H187:$BG187)&lt;52,IF('Capacity summary'!AE187&lt;&gt;"",$BI68*AE68,0),AE68*$BI68),AE68*$BI68),0)</f>
        <v>0</v>
      </c>
      <c r="CI68" s="319">
        <f>IF($BI68&lt;&gt;"",IF('Capacity summary'!$D$14="Yes",IF(COUNTBLANK('Capacity summary'!$H187:$BG187)&lt;52,IF('Capacity summary'!AF187&lt;&gt;"",$BI68*AF68,0),AF68*$BI68),AF68*$BI68),0)</f>
        <v>0</v>
      </c>
      <c r="CJ68" s="319">
        <f>IF($BI68&lt;&gt;"",IF('Capacity summary'!$D$14="Yes",IF(COUNTBLANK('Capacity summary'!$H187:$BG187)&lt;52,IF('Capacity summary'!AG187&lt;&gt;"",$BI68*AG68,0),AG68*$BI68),AG68*$BI68),0)</f>
        <v>0</v>
      </c>
      <c r="CK68" s="319">
        <f>IF($BI68&lt;&gt;"",IF('Capacity summary'!$D$14="Yes",IF(COUNTBLANK('Capacity summary'!$H187:$BG187)&lt;52,IF('Capacity summary'!AH187&lt;&gt;"",$BI68*AH68,0),AH68*$BI68),AH68*$BI68),0)</f>
        <v>0</v>
      </c>
      <c r="CL68" s="319">
        <f>IF($BI68&lt;&gt;"",IF('Capacity summary'!$D$14="Yes",IF(COUNTBLANK('Capacity summary'!$H187:$BG187)&lt;52,IF('Capacity summary'!AI187&lt;&gt;"",$BI68*AI68,0),AI68*$BI68),AI68*$BI68),0)</f>
        <v>0</v>
      </c>
      <c r="CM68" s="319">
        <f>IF($BI68&lt;&gt;"",IF('Capacity summary'!$D$14="Yes",IF(COUNTBLANK('Capacity summary'!$H187:$BG187)&lt;52,IF('Capacity summary'!AJ187&lt;&gt;"",$BI68*AJ68,0),AJ68*$BI68),AJ68*$BI68),0)</f>
        <v>0</v>
      </c>
      <c r="CN68" s="319">
        <f>IF($BI68&lt;&gt;"",IF('Capacity summary'!$D$14="Yes",IF(COUNTBLANK('Capacity summary'!$H187:$BG187)&lt;52,IF('Capacity summary'!AK187&lt;&gt;"",$BI68*AK68,0),AK68*$BI68),AK68*$BI68),0)</f>
        <v>0</v>
      </c>
      <c r="CO68" s="319">
        <f>IF($BI68&lt;&gt;"",IF('Capacity summary'!$D$14="Yes",IF(COUNTBLANK('Capacity summary'!$H187:$BG187)&lt;52,IF('Capacity summary'!AL187&lt;&gt;"",$BI68*AL68,0),AL68*$BI68),AL68*$BI68),0)</f>
        <v>0</v>
      </c>
      <c r="CP68" s="319">
        <f>IF($BI68&lt;&gt;"",IF('Capacity summary'!$D$14="Yes",IF(COUNTBLANK('Capacity summary'!$H187:$BG187)&lt;52,IF('Capacity summary'!AM187&lt;&gt;"",$BI68*AM68,0),AM68*$BI68),AM68*$BI68),0)</f>
        <v>0</v>
      </c>
      <c r="CQ68" s="319">
        <f>IF($BI68&lt;&gt;"",IF('Capacity summary'!$D$14="Yes",IF(COUNTBLANK('Capacity summary'!$H187:$BG187)&lt;52,IF('Capacity summary'!AN187&lt;&gt;"",$BI68*AN68,0),AN68*$BI68),AN68*$BI68),0)</f>
        <v>0</v>
      </c>
      <c r="CR68" s="319">
        <f>IF($BI68&lt;&gt;"",IF('Capacity summary'!$D$14="Yes",IF(COUNTBLANK('Capacity summary'!$H187:$BG187)&lt;52,IF('Capacity summary'!AO187&lt;&gt;"",$BI68*AO68,0),AO68*$BI68),AO68*$BI68),0)</f>
        <v>0</v>
      </c>
      <c r="CS68" s="319">
        <f>IF($BI68&lt;&gt;"",IF('Capacity summary'!$D$14="Yes",IF(COUNTBLANK('Capacity summary'!$H187:$BG187)&lt;52,IF('Capacity summary'!AP187&lt;&gt;"",$BI68*AP68,0),AP68*$BI68),AP68*$BI68),0)</f>
        <v>0</v>
      </c>
      <c r="CT68" s="319">
        <f>IF($BI68&lt;&gt;"",IF('Capacity summary'!$D$14="Yes",IF(COUNTBLANK('Capacity summary'!$H187:$BG187)&lt;52,IF('Capacity summary'!AQ187&lt;&gt;"",$BI68*AQ68,0),AQ68*$BI68),AQ68*$BI68),0)</f>
        <v>0</v>
      </c>
      <c r="CU68" s="319">
        <f>IF($BI68&lt;&gt;"",IF('Capacity summary'!$D$14="Yes",IF(COUNTBLANK('Capacity summary'!$H187:$BG187)&lt;52,IF('Capacity summary'!AR187&lt;&gt;"",$BI68*AR68,0),AR68*$BI68),AR68*$BI68),0)</f>
        <v>0</v>
      </c>
      <c r="CV68" s="319">
        <f>IF($BI68&lt;&gt;"",IF('Capacity summary'!$D$14="Yes",IF(COUNTBLANK('Capacity summary'!$H187:$BG187)&lt;52,IF('Capacity summary'!AS187&lt;&gt;"",$BI68*AS68,0),AS68*$BI68),AS68*$BI68),0)</f>
        <v>0</v>
      </c>
      <c r="CW68" s="319">
        <f>IF($BI68&lt;&gt;"",IF('Capacity summary'!$D$14="Yes",IF(COUNTBLANK('Capacity summary'!$H187:$BG187)&lt;52,IF('Capacity summary'!AT187&lt;&gt;"",$BI68*AT68,0),AT68*$BI68),AT68*$BI68),0)</f>
        <v>0</v>
      </c>
      <c r="CX68" s="319">
        <f>IF($BI68&lt;&gt;"",IF('Capacity summary'!$D$14="Yes",IF(COUNTBLANK('Capacity summary'!$H187:$BG187)&lt;52,IF('Capacity summary'!AU187&lt;&gt;"",$BI68*AU68,0),AU68*$BI68),AU68*$BI68),0)</f>
        <v>0</v>
      </c>
      <c r="CY68" s="319">
        <f>IF($BI68&lt;&gt;"",IF('Capacity summary'!$D$14="Yes",IF(COUNTBLANK('Capacity summary'!$H187:$BG187)&lt;52,IF('Capacity summary'!AV187&lt;&gt;"",$BI68*AV68,0),AV68*$BI68),AV68*$BI68),0)</f>
        <v>0</v>
      </c>
      <c r="CZ68" s="319">
        <f>IF($BI68&lt;&gt;"",IF('Capacity summary'!$D$14="Yes",IF(COUNTBLANK('Capacity summary'!$H187:$BG187)&lt;52,IF('Capacity summary'!AW187&lt;&gt;"",$BI68*AW68,0),AW68*$BI68),AW68*$BI68),0)</f>
        <v>0</v>
      </c>
      <c r="DA68" s="319">
        <f>IF($BI68&lt;&gt;"",IF('Capacity summary'!$D$14="Yes",IF(COUNTBLANK('Capacity summary'!$H187:$BG187)&lt;52,IF('Capacity summary'!AX187&lt;&gt;"",$BI68*AX68,0),AX68*$BI68),AX68*$BI68),0)</f>
        <v>0</v>
      </c>
      <c r="DB68" s="319">
        <f>IF($BI68&lt;&gt;"",IF('Capacity summary'!$D$14="Yes",IF(COUNTBLANK('Capacity summary'!$H187:$BG187)&lt;52,IF('Capacity summary'!AY187&lt;&gt;"",$BI68*AY68,0),AY68*$BI68),AY68*$BI68),0)</f>
        <v>0</v>
      </c>
      <c r="DC68" s="319">
        <f>IF($BI68&lt;&gt;"",IF('Capacity summary'!$D$14="Yes",IF(COUNTBLANK('Capacity summary'!$H187:$BG187)&lt;52,IF('Capacity summary'!AZ187&lt;&gt;"",$BI68*AZ68,0),AZ68*$BI68),AZ68*$BI68),0)</f>
        <v>0</v>
      </c>
      <c r="DD68" s="319">
        <f>IF($BI68&lt;&gt;"",IF('Capacity summary'!$D$14="Yes",IF(COUNTBLANK('Capacity summary'!$H187:$BG187)&lt;52,IF('Capacity summary'!BA187&lt;&gt;"",$BI68*BA68,0),BA68*$BI68),BA68*$BI68),0)</f>
        <v>0</v>
      </c>
      <c r="DE68" s="319">
        <f>IF($BI68&lt;&gt;"",IF('Capacity summary'!$D$14="Yes",IF(COUNTBLANK('Capacity summary'!$H187:$BG187)&lt;52,IF('Capacity summary'!BB187&lt;&gt;"",$BI68*BB68,0),BB68*$BI68),BB68*$BI68),0)</f>
        <v>0</v>
      </c>
      <c r="DF68" s="319">
        <f>IF($BI68&lt;&gt;"",IF('Capacity summary'!$D$14="Yes",IF(COUNTBLANK('Capacity summary'!$H187:$BG187)&lt;52,IF('Capacity summary'!BC187&lt;&gt;"",$BI68*BC68,0),BC68*$BI68),BC68*$BI68),0)</f>
        <v>0</v>
      </c>
      <c r="DG68" s="319">
        <f>IF($BI68&lt;&gt;"",IF('Capacity summary'!$D$14="Yes",IF(COUNTBLANK('Capacity summary'!$H187:$BG187)&lt;52,IF('Capacity summary'!BD187&lt;&gt;"",$BI68*BD68,0),BD68*$BI68),BD68*$BI68),0)</f>
        <v>0</v>
      </c>
      <c r="DH68" s="319">
        <f>IF($BI68&lt;&gt;"",IF('Capacity summary'!$D$14="Yes",IF(COUNTBLANK('Capacity summary'!$H187:$BG187)&lt;52,IF('Capacity summary'!BE187&lt;&gt;"",$BI68*BE68,0),BE68*$BI68),BE68*$BI68),0)</f>
        <v>0</v>
      </c>
      <c r="DI68" s="319">
        <f>IF($BI68&lt;&gt;"",IF('Capacity summary'!$D$14="Yes",IF(COUNTBLANK('Capacity summary'!$H187:$BG187)&lt;52,IF('Capacity summary'!BF187&lt;&gt;"",$BI68*BF68,0),BF68*$BI68),BF68*$BI68),0)</f>
        <v>0</v>
      </c>
      <c r="DJ68" s="319">
        <f>IF($BI68&lt;&gt;"",IF('Capacity summary'!$D$14="Yes",IF(COUNTBLANK('Capacity summary'!$H187:$BG187)&lt;52,IF('Capacity summary'!BG187&lt;&gt;"",$BI68*BG68,0),BG68*$BI68),BG68*$BI68),0)</f>
        <v>0</v>
      </c>
      <c r="DK68" s="5">
        <f t="shared" si="2"/>
        <v>0</v>
      </c>
      <c r="DL68" s="5" t="str">
        <f>Capacity!H80</f>
        <v/>
      </c>
    </row>
    <row r="69" spans="2:116" x14ac:dyDescent="0.2">
      <c r="B69" s="68"/>
      <c r="C69" s="68" t="str">
        <f>ROW(A65)&amp;". "&amp;Capacity!B81</f>
        <v xml:space="preserve">65. </v>
      </c>
      <c r="D69" s="68">
        <f>'Capacity setup'!C76</f>
        <v>0</v>
      </c>
      <c r="E69" s="68">
        <f>'Capacity setup'!D76</f>
        <v>0</v>
      </c>
      <c r="F69" s="68">
        <f>'Capacity setup'!E76</f>
        <v>0</v>
      </c>
      <c r="H69" s="68">
        <f ca="1">IF(AND(SUMIF(Capacity_Resource,$D69,'Critical resources (hide)'!U$6:U$105)+SUMIF(Capacity_Resource,$E69,'Critical resources (hide)'!U$6:U$105)+SUMIF(Capacity_Resource,$F69,'Critical resources (hide)'!U$6:U$105)&gt;0,$E$1=2),0,1)</f>
        <v>1</v>
      </c>
      <c r="I69" s="68">
        <f ca="1">IF(AND(SUMIF(Capacity_Resource,$D69,'Critical resources (hide)'!V$6:V$105)+SUMIF(Capacity_Resource,$E69,'Critical resources (hide)'!V$6:V$105)+SUMIF(Capacity_Resource,$F69,'Critical resources (hide)'!V$6:V$105)&gt;0,$E$1=2),0,1)</f>
        <v>1</v>
      </c>
      <c r="J69" s="68">
        <f ca="1">IF(AND(SUMIF(Capacity_Resource,$D69,'Critical resources (hide)'!W$6:W$105)+SUMIF(Capacity_Resource,$E69,'Critical resources (hide)'!W$6:W$105)+SUMIF(Capacity_Resource,$F69,'Critical resources (hide)'!W$6:W$105)&gt;0,$E$1=2),0,1)</f>
        <v>1</v>
      </c>
      <c r="K69" s="68">
        <f ca="1">IF(AND(SUMIF(Capacity_Resource,$D69,'Critical resources (hide)'!X$6:X$105)+SUMIF(Capacity_Resource,$E69,'Critical resources (hide)'!X$6:X$105)+SUMIF(Capacity_Resource,$F69,'Critical resources (hide)'!X$6:X$105)&gt;0,$E$1=2),0,1)</f>
        <v>1</v>
      </c>
      <c r="L69" s="68">
        <f ca="1">IF(AND(SUMIF(Capacity_Resource,$D69,'Critical resources (hide)'!Y$6:Y$105)+SUMIF(Capacity_Resource,$E69,'Critical resources (hide)'!Y$6:Y$105)+SUMIF(Capacity_Resource,$F69,'Critical resources (hide)'!Y$6:Y$105)&gt;0,$E$1=2),0,1)</f>
        <v>1</v>
      </c>
      <c r="M69" s="68">
        <f ca="1">IF(AND(SUMIF(Capacity_Resource,$D69,'Critical resources (hide)'!Z$6:Z$105)+SUMIF(Capacity_Resource,$E69,'Critical resources (hide)'!Z$6:Z$105)+SUMIF(Capacity_Resource,$F69,'Critical resources (hide)'!Z$6:Z$105)&gt;0,$E$1=2),0,1)</f>
        <v>1</v>
      </c>
      <c r="N69" s="68">
        <f ca="1">IF(AND(SUMIF(Capacity_Resource,$D69,'Critical resources (hide)'!AA$6:AA$105)+SUMIF(Capacity_Resource,$E69,'Critical resources (hide)'!AA$6:AA$105)+SUMIF(Capacity_Resource,$F69,'Critical resources (hide)'!AA$6:AA$105)&gt;0,$E$1=2),0,1)</f>
        <v>1</v>
      </c>
      <c r="O69" s="68">
        <f ca="1">IF(AND(SUMIF(Capacity_Resource,$D69,'Critical resources (hide)'!AB$6:AB$105)+SUMIF(Capacity_Resource,$E69,'Critical resources (hide)'!AB$6:AB$105)+SUMIF(Capacity_Resource,$F69,'Critical resources (hide)'!AB$6:AB$105)&gt;0,$E$1=2),0,1)</f>
        <v>1</v>
      </c>
      <c r="P69" s="68">
        <f ca="1">IF(AND(SUMIF(Capacity_Resource,$D69,'Critical resources (hide)'!AC$6:AC$105)+SUMIF(Capacity_Resource,$E69,'Critical resources (hide)'!AC$6:AC$105)+SUMIF(Capacity_Resource,$F69,'Critical resources (hide)'!AC$6:AC$105)&gt;0,$E$1=2),0,1)</f>
        <v>1</v>
      </c>
      <c r="Q69" s="68">
        <f ca="1">IF(AND(SUMIF(Capacity_Resource,$D69,'Critical resources (hide)'!AD$6:AD$105)+SUMIF(Capacity_Resource,$E69,'Critical resources (hide)'!AD$6:AD$105)+SUMIF(Capacity_Resource,$F69,'Critical resources (hide)'!AD$6:AD$105)&gt;0,$E$1=2),0,1)</f>
        <v>1</v>
      </c>
      <c r="R69" s="68">
        <f ca="1">IF(AND(SUMIF(Capacity_Resource,$D69,'Critical resources (hide)'!AE$6:AE$105)+SUMIF(Capacity_Resource,$E69,'Critical resources (hide)'!AE$6:AE$105)+SUMIF(Capacity_Resource,$F69,'Critical resources (hide)'!AE$6:AE$105)&gt;0,$E$1=2),0,1)</f>
        <v>1</v>
      </c>
      <c r="S69" s="68">
        <f ca="1">IF(AND(SUMIF(Capacity_Resource,$D69,'Critical resources (hide)'!AF$6:AF$105)+SUMIF(Capacity_Resource,$E69,'Critical resources (hide)'!AF$6:AF$105)+SUMIF(Capacity_Resource,$F69,'Critical resources (hide)'!AF$6:AF$105)&gt;0,$E$1=2),0,1)</f>
        <v>1</v>
      </c>
      <c r="T69" s="68">
        <f ca="1">IF(AND(SUMIF(Capacity_Resource,$D69,'Critical resources (hide)'!AG$6:AG$105)+SUMIF(Capacity_Resource,$E69,'Critical resources (hide)'!AG$6:AG$105)+SUMIF(Capacity_Resource,$F69,'Critical resources (hide)'!AG$6:AG$105)&gt;0,$E$1=2),0,1)</f>
        <v>1</v>
      </c>
      <c r="U69" s="68">
        <f ca="1">IF(AND(SUMIF(Capacity_Resource,$D69,'Critical resources (hide)'!AH$6:AH$105)+SUMIF(Capacity_Resource,$E69,'Critical resources (hide)'!AH$6:AH$105)+SUMIF(Capacity_Resource,$F69,'Critical resources (hide)'!AH$6:AH$105)&gt;0,$E$1=2),0,1)</f>
        <v>1</v>
      </c>
      <c r="V69" s="68">
        <f ca="1">IF(AND(SUMIF(Capacity_Resource,$D69,'Critical resources (hide)'!AI$6:AI$105)+SUMIF(Capacity_Resource,$E69,'Critical resources (hide)'!AI$6:AI$105)+SUMIF(Capacity_Resource,$F69,'Critical resources (hide)'!AI$6:AI$105)&gt;0,$E$1=2),0,1)</f>
        <v>1</v>
      </c>
      <c r="W69" s="68">
        <f ca="1">IF(AND(SUMIF(Capacity_Resource,$D69,'Critical resources (hide)'!AJ$6:AJ$105)+SUMIF(Capacity_Resource,$E69,'Critical resources (hide)'!AJ$6:AJ$105)+SUMIF(Capacity_Resource,$F69,'Critical resources (hide)'!AJ$6:AJ$105)&gt;0,$E$1=2),0,1)</f>
        <v>1</v>
      </c>
      <c r="X69" s="68">
        <f ca="1">IF(AND(SUMIF(Capacity_Resource,$D69,'Critical resources (hide)'!AK$6:AK$105)+SUMIF(Capacity_Resource,$E69,'Critical resources (hide)'!AK$6:AK$105)+SUMIF(Capacity_Resource,$F69,'Critical resources (hide)'!AK$6:AK$105)&gt;0,$E$1=2),0,1)</f>
        <v>1</v>
      </c>
      <c r="Y69" s="68">
        <f ca="1">IF(AND(SUMIF(Capacity_Resource,$D69,'Critical resources (hide)'!AL$6:AL$105)+SUMIF(Capacity_Resource,$E69,'Critical resources (hide)'!AL$6:AL$105)+SUMIF(Capacity_Resource,$F69,'Critical resources (hide)'!AL$6:AL$105)&gt;0,$E$1=2),0,1)</f>
        <v>1</v>
      </c>
      <c r="Z69" s="68">
        <f ca="1">IF(AND(SUMIF(Capacity_Resource,$D69,'Critical resources (hide)'!AM$6:AM$105)+SUMIF(Capacity_Resource,$E69,'Critical resources (hide)'!AM$6:AM$105)+SUMIF(Capacity_Resource,$F69,'Critical resources (hide)'!AM$6:AM$105)&gt;0,$E$1=2),0,1)</f>
        <v>1</v>
      </c>
      <c r="AA69" s="68">
        <f ca="1">IF(AND(SUMIF(Capacity_Resource,$D69,'Critical resources (hide)'!AN$6:AN$105)+SUMIF(Capacity_Resource,$E69,'Critical resources (hide)'!AN$6:AN$105)+SUMIF(Capacity_Resource,$F69,'Critical resources (hide)'!AN$6:AN$105)&gt;0,$E$1=2),0,1)</f>
        <v>1</v>
      </c>
      <c r="AB69" s="68">
        <f ca="1">IF(AND(SUMIF(Capacity_Resource,$D69,'Critical resources (hide)'!AO$6:AO$105)+SUMIF(Capacity_Resource,$E69,'Critical resources (hide)'!AO$6:AO$105)+SUMIF(Capacity_Resource,$F69,'Critical resources (hide)'!AO$6:AO$105)&gt;0,$E$1=2),0,1)</f>
        <v>1</v>
      </c>
      <c r="AC69" s="68">
        <f ca="1">IF(AND(SUMIF(Capacity_Resource,$D69,'Critical resources (hide)'!AP$6:AP$105)+SUMIF(Capacity_Resource,$E69,'Critical resources (hide)'!AP$6:AP$105)+SUMIF(Capacity_Resource,$F69,'Critical resources (hide)'!AP$6:AP$105)&gt;0,$E$1=2),0,1)</f>
        <v>1</v>
      </c>
      <c r="AD69" s="68">
        <f ca="1">IF(AND(SUMIF(Capacity_Resource,$D69,'Critical resources (hide)'!AQ$6:AQ$105)+SUMIF(Capacity_Resource,$E69,'Critical resources (hide)'!AQ$6:AQ$105)+SUMIF(Capacity_Resource,$F69,'Critical resources (hide)'!AQ$6:AQ$105)&gt;0,$E$1=2),0,1)</f>
        <v>1</v>
      </c>
      <c r="AE69" s="68">
        <f ca="1">IF(AND(SUMIF(Capacity_Resource,$D69,'Critical resources (hide)'!AR$6:AR$105)+SUMIF(Capacity_Resource,$E69,'Critical resources (hide)'!AR$6:AR$105)+SUMIF(Capacity_Resource,$F69,'Critical resources (hide)'!AR$6:AR$105)&gt;0,$E$1=2),0,1)</f>
        <v>1</v>
      </c>
      <c r="AF69" s="68">
        <f ca="1">IF(AND(SUMIF(Capacity_Resource,$D69,'Critical resources (hide)'!AS$6:AS$105)+SUMIF(Capacity_Resource,$E69,'Critical resources (hide)'!AS$6:AS$105)+SUMIF(Capacity_Resource,$F69,'Critical resources (hide)'!AS$6:AS$105)&gt;0,$E$1=2),0,1)</f>
        <v>1</v>
      </c>
      <c r="AG69" s="68">
        <f ca="1">IF(AND(SUMIF(Capacity_Resource,$D69,'Critical resources (hide)'!AT$6:AT$105)+SUMIF(Capacity_Resource,$E69,'Critical resources (hide)'!AT$6:AT$105)+SUMIF(Capacity_Resource,$F69,'Critical resources (hide)'!AT$6:AT$105)&gt;0,$E$1=2),0,1)</f>
        <v>1</v>
      </c>
      <c r="AH69" s="68">
        <f ca="1">IF(AND(SUMIF(Capacity_Resource,$D69,'Critical resources (hide)'!AU$6:AU$105)+SUMIF(Capacity_Resource,$E69,'Critical resources (hide)'!AU$6:AU$105)+SUMIF(Capacity_Resource,$F69,'Critical resources (hide)'!AU$6:AU$105)&gt;0,$E$1=2),0,1)</f>
        <v>1</v>
      </c>
      <c r="AI69" s="68">
        <f ca="1">IF(AND(SUMIF(Capacity_Resource,$D69,'Critical resources (hide)'!AV$6:AV$105)+SUMIF(Capacity_Resource,$E69,'Critical resources (hide)'!AV$6:AV$105)+SUMIF(Capacity_Resource,$F69,'Critical resources (hide)'!AV$6:AV$105)&gt;0,$E$1=2),0,1)</f>
        <v>1</v>
      </c>
      <c r="AJ69" s="68">
        <f ca="1">IF(AND(SUMIF(Capacity_Resource,$D69,'Critical resources (hide)'!AW$6:AW$105)+SUMIF(Capacity_Resource,$E69,'Critical resources (hide)'!AW$6:AW$105)+SUMIF(Capacity_Resource,$F69,'Critical resources (hide)'!AW$6:AW$105)&gt;0,$E$1=2),0,1)</f>
        <v>1</v>
      </c>
      <c r="AK69" s="68">
        <f ca="1">IF(AND(SUMIF(Capacity_Resource,$D69,'Critical resources (hide)'!AX$6:AX$105)+SUMIF(Capacity_Resource,$E69,'Critical resources (hide)'!AX$6:AX$105)+SUMIF(Capacity_Resource,$F69,'Critical resources (hide)'!AX$6:AX$105)&gt;0,$E$1=2),0,1)</f>
        <v>1</v>
      </c>
      <c r="AL69" s="68">
        <f ca="1">IF(AND(SUMIF(Capacity_Resource,$D69,'Critical resources (hide)'!AY$6:AY$105)+SUMIF(Capacity_Resource,$E69,'Critical resources (hide)'!AY$6:AY$105)+SUMIF(Capacity_Resource,$F69,'Critical resources (hide)'!AY$6:AY$105)&gt;0,$E$1=2),0,1)</f>
        <v>1</v>
      </c>
      <c r="AM69" s="68">
        <f ca="1">IF(AND(SUMIF(Capacity_Resource,$D69,'Critical resources (hide)'!AZ$6:AZ$105)+SUMIF(Capacity_Resource,$E69,'Critical resources (hide)'!AZ$6:AZ$105)+SUMIF(Capacity_Resource,$F69,'Critical resources (hide)'!AZ$6:AZ$105)&gt;0,$E$1=2),0,1)</f>
        <v>1</v>
      </c>
      <c r="AN69" s="68">
        <f ca="1">IF(AND(SUMIF(Capacity_Resource,$D69,'Critical resources (hide)'!BA$6:BA$105)+SUMIF(Capacity_Resource,$E69,'Critical resources (hide)'!BA$6:BA$105)+SUMIF(Capacity_Resource,$F69,'Critical resources (hide)'!BA$6:BA$105)&gt;0,$E$1=2),0,1)</f>
        <v>1</v>
      </c>
      <c r="AO69" s="68">
        <f ca="1">IF(AND(SUMIF(Capacity_Resource,$D69,'Critical resources (hide)'!BB$6:BB$105)+SUMIF(Capacity_Resource,$E69,'Critical resources (hide)'!BB$6:BB$105)+SUMIF(Capacity_Resource,$F69,'Critical resources (hide)'!BB$6:BB$105)&gt;0,$E$1=2),0,1)</f>
        <v>1</v>
      </c>
      <c r="AP69" s="68">
        <f ca="1">IF(AND(SUMIF(Capacity_Resource,$D69,'Critical resources (hide)'!BC$6:BC$105)+SUMIF(Capacity_Resource,$E69,'Critical resources (hide)'!BC$6:BC$105)+SUMIF(Capacity_Resource,$F69,'Critical resources (hide)'!BC$6:BC$105)&gt;0,$E$1=2),0,1)</f>
        <v>1</v>
      </c>
      <c r="AQ69" s="68">
        <f ca="1">IF(AND(SUMIF(Capacity_Resource,$D69,'Critical resources (hide)'!BD$6:BD$105)+SUMIF(Capacity_Resource,$E69,'Critical resources (hide)'!BD$6:BD$105)+SUMIF(Capacity_Resource,$F69,'Critical resources (hide)'!BD$6:BD$105)&gt;0,$E$1=2),0,1)</f>
        <v>1</v>
      </c>
      <c r="AR69" s="68">
        <f ca="1">IF(AND(SUMIF(Capacity_Resource,$D69,'Critical resources (hide)'!BE$6:BE$105)+SUMIF(Capacity_Resource,$E69,'Critical resources (hide)'!BE$6:BE$105)+SUMIF(Capacity_Resource,$F69,'Critical resources (hide)'!BE$6:BE$105)&gt;0,$E$1=2),0,1)</f>
        <v>1</v>
      </c>
      <c r="AS69" s="68">
        <f ca="1">IF(AND(SUMIF(Capacity_Resource,$D69,'Critical resources (hide)'!BF$6:BF$105)+SUMIF(Capacity_Resource,$E69,'Critical resources (hide)'!BF$6:BF$105)+SUMIF(Capacity_Resource,$F69,'Critical resources (hide)'!BF$6:BF$105)&gt;0,$E$1=2),0,1)</f>
        <v>1</v>
      </c>
      <c r="AT69" s="68">
        <f ca="1">IF(AND(SUMIF(Capacity_Resource,$D69,'Critical resources (hide)'!BG$6:BG$105)+SUMIF(Capacity_Resource,$E69,'Critical resources (hide)'!BG$6:BG$105)+SUMIF(Capacity_Resource,$F69,'Critical resources (hide)'!BG$6:BG$105)&gt;0,$E$1=2),0,1)</f>
        <v>1</v>
      </c>
      <c r="AU69" s="68">
        <f ca="1">IF(AND(SUMIF(Capacity_Resource,$D69,'Critical resources (hide)'!BH$6:BH$105)+SUMIF(Capacity_Resource,$E69,'Critical resources (hide)'!BH$6:BH$105)+SUMIF(Capacity_Resource,$F69,'Critical resources (hide)'!BH$6:BH$105)&gt;0,$E$1=2),0,1)</f>
        <v>1</v>
      </c>
      <c r="AV69" s="68">
        <f ca="1">IF(AND(SUMIF(Capacity_Resource,$D69,'Critical resources (hide)'!BI$6:BI$105)+SUMIF(Capacity_Resource,$E69,'Critical resources (hide)'!BI$6:BI$105)+SUMIF(Capacity_Resource,$F69,'Critical resources (hide)'!BI$6:BI$105)&gt;0,$E$1=2),0,1)</f>
        <v>1</v>
      </c>
      <c r="AW69" s="68">
        <f ca="1">IF(AND(SUMIF(Capacity_Resource,$D69,'Critical resources (hide)'!BJ$6:BJ$105)+SUMIF(Capacity_Resource,$E69,'Critical resources (hide)'!BJ$6:BJ$105)+SUMIF(Capacity_Resource,$F69,'Critical resources (hide)'!BJ$6:BJ$105)&gt;0,$E$1=2),0,1)</f>
        <v>1</v>
      </c>
      <c r="AX69" s="68">
        <f ca="1">IF(AND(SUMIF(Capacity_Resource,$D69,'Critical resources (hide)'!BK$6:BK$105)+SUMIF(Capacity_Resource,$E69,'Critical resources (hide)'!BK$6:BK$105)+SUMIF(Capacity_Resource,$F69,'Critical resources (hide)'!BK$6:BK$105)&gt;0,$E$1=2),0,1)</f>
        <v>1</v>
      </c>
      <c r="AY69" s="68">
        <f ca="1">IF(AND(SUMIF(Capacity_Resource,$D69,'Critical resources (hide)'!BL$6:BL$105)+SUMIF(Capacity_Resource,$E69,'Critical resources (hide)'!BL$6:BL$105)+SUMIF(Capacity_Resource,$F69,'Critical resources (hide)'!BL$6:BL$105)&gt;0,$E$1=2),0,1)</f>
        <v>1</v>
      </c>
      <c r="AZ69" s="68">
        <f ca="1">IF(AND(SUMIF(Capacity_Resource,$D69,'Critical resources (hide)'!BM$6:BM$105)+SUMIF(Capacity_Resource,$E69,'Critical resources (hide)'!BM$6:BM$105)+SUMIF(Capacity_Resource,$F69,'Critical resources (hide)'!BM$6:BM$105)&gt;0,$E$1=2),0,1)</f>
        <v>1</v>
      </c>
      <c r="BA69" s="68">
        <f ca="1">IF(AND(SUMIF(Capacity_Resource,$D69,'Critical resources (hide)'!BN$6:BN$105)+SUMIF(Capacity_Resource,$E69,'Critical resources (hide)'!BN$6:BN$105)+SUMIF(Capacity_Resource,$F69,'Critical resources (hide)'!BN$6:BN$105)&gt;0,$E$1=2),0,1)</f>
        <v>1</v>
      </c>
      <c r="BB69" s="68">
        <f ca="1">IF(AND(SUMIF(Capacity_Resource,$D69,'Critical resources (hide)'!BO$6:BO$105)+SUMIF(Capacity_Resource,$E69,'Critical resources (hide)'!BO$6:BO$105)+SUMIF(Capacity_Resource,$F69,'Critical resources (hide)'!BO$6:BO$105)&gt;0,$E$1=2),0,1)</f>
        <v>1</v>
      </c>
      <c r="BC69" s="68">
        <f ca="1">IF(AND(SUMIF(Capacity_Resource,$D69,'Critical resources (hide)'!BP$6:BP$105)+SUMIF(Capacity_Resource,$E69,'Critical resources (hide)'!BP$6:BP$105)+SUMIF(Capacity_Resource,$F69,'Critical resources (hide)'!BP$6:BP$105)&gt;0,$E$1=2),0,1)</f>
        <v>1</v>
      </c>
      <c r="BD69" s="68">
        <f ca="1">IF(AND(SUMIF(Capacity_Resource,$D69,'Critical resources (hide)'!BQ$6:BQ$105)+SUMIF(Capacity_Resource,$E69,'Critical resources (hide)'!BQ$6:BQ$105)+SUMIF(Capacity_Resource,$F69,'Critical resources (hide)'!BQ$6:BQ$105)&gt;0,$E$1=2),0,1)</f>
        <v>1</v>
      </c>
      <c r="BE69" s="68">
        <f ca="1">IF(AND(SUMIF(Capacity_Resource,$D69,'Critical resources (hide)'!BR$6:BR$105)+SUMIF(Capacity_Resource,$E69,'Critical resources (hide)'!BR$6:BR$105)+SUMIF(Capacity_Resource,$F69,'Critical resources (hide)'!BR$6:BR$105)&gt;0,$E$1=2),0,1)</f>
        <v>1</v>
      </c>
      <c r="BF69" s="68">
        <f ca="1">IF(AND(SUMIF(Capacity_Resource,$D69,'Critical resources (hide)'!BS$6:BS$105)+SUMIF(Capacity_Resource,$E69,'Critical resources (hide)'!BS$6:BS$105)+SUMIF(Capacity_Resource,$F69,'Critical resources (hide)'!BS$6:BS$105)&gt;0,$E$1=2),0,1)</f>
        <v>1</v>
      </c>
      <c r="BG69" s="68">
        <f ca="1">IF(AND(SUMIF(Capacity_Resource,$D69,'Critical resources (hide)'!BT$6:BT$105)+SUMIF(Capacity_Resource,$E69,'Critical resources (hide)'!BT$6:BT$105)+SUMIF(Capacity_Resource,$F69,'Critical resources (hide)'!BT$6:BT$105)&gt;0,$E$1=2),0,1)</f>
        <v>1</v>
      </c>
      <c r="BH69" s="68">
        <f>IF(ROW(C65)&lt;=Capacity!$A$16,IF('Capacity summary'!$D$14="No",SUM(H69:BG69),'Capacity summary'!$E188),0)</f>
        <v>0</v>
      </c>
      <c r="BI69" s="5" t="str">
        <f>IF(BH69&gt;0,IF(BH69&lt;Capacity!E81,Capacity!F81,Capacity!H81/'Capacity calculation (hide)'!BH69),"")</f>
        <v/>
      </c>
      <c r="BK69" s="319">
        <f>IF($BI69&lt;&gt;"",IF('Capacity summary'!$D$14="Yes",IF(COUNTBLANK('Capacity summary'!$H188:$BG188)&lt;52,IF('Capacity summary'!H188&lt;&gt;"",$BI69*H69,0),H69*$BI69),H69*$BI69),0)</f>
        <v>0</v>
      </c>
      <c r="BL69" s="319">
        <f>IF($BI69&lt;&gt;"",IF('Capacity summary'!$D$14="Yes",IF(COUNTBLANK('Capacity summary'!$H188:$BG188)&lt;52,IF('Capacity summary'!I188&lt;&gt;"",$BI69*I69,0),I69*$BI69),I69*$BI69),0)</f>
        <v>0</v>
      </c>
      <c r="BM69" s="319">
        <f>IF($BI69&lt;&gt;"",IF('Capacity summary'!$D$14="Yes",IF(COUNTBLANK('Capacity summary'!$H188:$BG188)&lt;52,IF('Capacity summary'!J188&lt;&gt;"",$BI69*J69,0),J69*$BI69),J69*$BI69),0)</f>
        <v>0</v>
      </c>
      <c r="BN69" s="319">
        <f>IF($BI69&lt;&gt;"",IF('Capacity summary'!$D$14="Yes",IF(COUNTBLANK('Capacity summary'!$H188:$BG188)&lt;52,IF('Capacity summary'!K188&lt;&gt;"",$BI69*K69,0),K69*$BI69),K69*$BI69),0)</f>
        <v>0</v>
      </c>
      <c r="BO69" s="319">
        <f>IF($BI69&lt;&gt;"",IF('Capacity summary'!$D$14="Yes",IF(COUNTBLANK('Capacity summary'!$H188:$BG188)&lt;52,IF('Capacity summary'!L188&lt;&gt;"",$BI69*L69,0),L69*$BI69),L69*$BI69),0)</f>
        <v>0</v>
      </c>
      <c r="BP69" s="319">
        <f>IF($BI69&lt;&gt;"",IF('Capacity summary'!$D$14="Yes",IF(COUNTBLANK('Capacity summary'!$H188:$BG188)&lt;52,IF('Capacity summary'!M188&lt;&gt;"",$BI69*M69,0),M69*$BI69),M69*$BI69),0)</f>
        <v>0</v>
      </c>
      <c r="BQ69" s="319">
        <f>IF($BI69&lt;&gt;"",IF('Capacity summary'!$D$14="Yes",IF(COUNTBLANK('Capacity summary'!$H188:$BG188)&lt;52,IF('Capacity summary'!N188&lt;&gt;"",$BI69*N69,0),N69*$BI69),N69*$BI69),0)</f>
        <v>0</v>
      </c>
      <c r="BR69" s="319">
        <f>IF($BI69&lt;&gt;"",IF('Capacity summary'!$D$14="Yes",IF(COUNTBLANK('Capacity summary'!$H188:$BG188)&lt;52,IF('Capacity summary'!O188&lt;&gt;"",$BI69*O69,0),O69*$BI69),O69*$BI69),0)</f>
        <v>0</v>
      </c>
      <c r="BS69" s="319">
        <f>IF($BI69&lt;&gt;"",IF('Capacity summary'!$D$14="Yes",IF(COUNTBLANK('Capacity summary'!$H188:$BG188)&lt;52,IF('Capacity summary'!P188&lt;&gt;"",$BI69*P69,0),P69*$BI69),P69*$BI69),0)</f>
        <v>0</v>
      </c>
      <c r="BT69" s="319">
        <f>IF($BI69&lt;&gt;"",IF('Capacity summary'!$D$14="Yes",IF(COUNTBLANK('Capacity summary'!$H188:$BG188)&lt;52,IF('Capacity summary'!Q188&lt;&gt;"",$BI69*Q69,0),Q69*$BI69),Q69*$BI69),0)</f>
        <v>0</v>
      </c>
      <c r="BU69" s="319">
        <f>IF($BI69&lt;&gt;"",IF('Capacity summary'!$D$14="Yes",IF(COUNTBLANK('Capacity summary'!$H188:$BG188)&lt;52,IF('Capacity summary'!R188&lt;&gt;"",$BI69*R69,0),R69*$BI69),R69*$BI69),0)</f>
        <v>0</v>
      </c>
      <c r="BV69" s="319">
        <f>IF($BI69&lt;&gt;"",IF('Capacity summary'!$D$14="Yes",IF(COUNTBLANK('Capacity summary'!$H188:$BG188)&lt;52,IF('Capacity summary'!S188&lt;&gt;"",$BI69*S69,0),S69*$BI69),S69*$BI69),0)</f>
        <v>0</v>
      </c>
      <c r="BW69" s="319">
        <f>IF($BI69&lt;&gt;"",IF('Capacity summary'!$D$14="Yes",IF(COUNTBLANK('Capacity summary'!$H188:$BG188)&lt;52,IF('Capacity summary'!T188&lt;&gt;"",$BI69*T69,0),T69*$BI69),T69*$BI69),0)</f>
        <v>0</v>
      </c>
      <c r="BX69" s="319">
        <f>IF($BI69&lt;&gt;"",IF('Capacity summary'!$D$14="Yes",IF(COUNTBLANK('Capacity summary'!$H188:$BG188)&lt;52,IF('Capacity summary'!U188&lt;&gt;"",$BI69*U69,0),U69*$BI69),U69*$BI69),0)</f>
        <v>0</v>
      </c>
      <c r="BY69" s="319">
        <f>IF($BI69&lt;&gt;"",IF('Capacity summary'!$D$14="Yes",IF(COUNTBLANK('Capacity summary'!$H188:$BG188)&lt;52,IF('Capacity summary'!V188&lt;&gt;"",$BI69*V69,0),V69*$BI69),V69*$BI69),0)</f>
        <v>0</v>
      </c>
      <c r="BZ69" s="319">
        <f>IF($BI69&lt;&gt;"",IF('Capacity summary'!$D$14="Yes",IF(COUNTBLANK('Capacity summary'!$H188:$BG188)&lt;52,IF('Capacity summary'!W188&lt;&gt;"",$BI69*W69,0),W69*$BI69),W69*$BI69),0)</f>
        <v>0</v>
      </c>
      <c r="CA69" s="319">
        <f>IF($BI69&lt;&gt;"",IF('Capacity summary'!$D$14="Yes",IF(COUNTBLANK('Capacity summary'!$H188:$BG188)&lt;52,IF('Capacity summary'!X188&lt;&gt;"",$BI69*X69,0),X69*$BI69),X69*$BI69),0)</f>
        <v>0</v>
      </c>
      <c r="CB69" s="319">
        <f>IF($BI69&lt;&gt;"",IF('Capacity summary'!$D$14="Yes",IF(COUNTBLANK('Capacity summary'!$H188:$BG188)&lt;52,IF('Capacity summary'!Y188&lt;&gt;"",$BI69*Y69,0),Y69*$BI69),Y69*$BI69),0)</f>
        <v>0</v>
      </c>
      <c r="CC69" s="319">
        <f>IF($BI69&lt;&gt;"",IF('Capacity summary'!$D$14="Yes",IF(COUNTBLANK('Capacity summary'!$H188:$BG188)&lt;52,IF('Capacity summary'!Z188&lt;&gt;"",$BI69*Z69,0),Z69*$BI69),Z69*$BI69),0)</f>
        <v>0</v>
      </c>
      <c r="CD69" s="319">
        <f>IF($BI69&lt;&gt;"",IF('Capacity summary'!$D$14="Yes",IF(COUNTBLANK('Capacity summary'!$H188:$BG188)&lt;52,IF('Capacity summary'!AA188&lt;&gt;"",$BI69*AA69,0),AA69*$BI69),AA69*$BI69),0)</f>
        <v>0</v>
      </c>
      <c r="CE69" s="319">
        <f>IF($BI69&lt;&gt;"",IF('Capacity summary'!$D$14="Yes",IF(COUNTBLANK('Capacity summary'!$H188:$BG188)&lt;52,IF('Capacity summary'!AB188&lt;&gt;"",$BI69*AB69,0),AB69*$BI69),AB69*$BI69),0)</f>
        <v>0</v>
      </c>
      <c r="CF69" s="319">
        <f>IF($BI69&lt;&gt;"",IF('Capacity summary'!$D$14="Yes",IF(COUNTBLANK('Capacity summary'!$H188:$BG188)&lt;52,IF('Capacity summary'!AC188&lt;&gt;"",$BI69*AC69,0),AC69*$BI69),AC69*$BI69),0)</f>
        <v>0</v>
      </c>
      <c r="CG69" s="319">
        <f>IF($BI69&lt;&gt;"",IF('Capacity summary'!$D$14="Yes",IF(COUNTBLANK('Capacity summary'!$H188:$BG188)&lt;52,IF('Capacity summary'!AD188&lt;&gt;"",$BI69*AD69,0),AD69*$BI69),AD69*$BI69),0)</f>
        <v>0</v>
      </c>
      <c r="CH69" s="319">
        <f>IF($BI69&lt;&gt;"",IF('Capacity summary'!$D$14="Yes",IF(COUNTBLANK('Capacity summary'!$H188:$BG188)&lt;52,IF('Capacity summary'!AE188&lt;&gt;"",$BI69*AE69,0),AE69*$BI69),AE69*$BI69),0)</f>
        <v>0</v>
      </c>
      <c r="CI69" s="319">
        <f>IF($BI69&lt;&gt;"",IF('Capacity summary'!$D$14="Yes",IF(COUNTBLANK('Capacity summary'!$H188:$BG188)&lt;52,IF('Capacity summary'!AF188&lt;&gt;"",$BI69*AF69,0),AF69*$BI69),AF69*$BI69),0)</f>
        <v>0</v>
      </c>
      <c r="CJ69" s="319">
        <f>IF($BI69&lt;&gt;"",IF('Capacity summary'!$D$14="Yes",IF(COUNTBLANK('Capacity summary'!$H188:$BG188)&lt;52,IF('Capacity summary'!AG188&lt;&gt;"",$BI69*AG69,0),AG69*$BI69),AG69*$BI69),0)</f>
        <v>0</v>
      </c>
      <c r="CK69" s="319">
        <f>IF($BI69&lt;&gt;"",IF('Capacity summary'!$D$14="Yes",IF(COUNTBLANK('Capacity summary'!$H188:$BG188)&lt;52,IF('Capacity summary'!AH188&lt;&gt;"",$BI69*AH69,0),AH69*$BI69),AH69*$BI69),0)</f>
        <v>0</v>
      </c>
      <c r="CL69" s="319">
        <f>IF($BI69&lt;&gt;"",IF('Capacity summary'!$D$14="Yes",IF(COUNTBLANK('Capacity summary'!$H188:$BG188)&lt;52,IF('Capacity summary'!AI188&lt;&gt;"",$BI69*AI69,0),AI69*$BI69),AI69*$BI69),0)</f>
        <v>0</v>
      </c>
      <c r="CM69" s="319">
        <f>IF($BI69&lt;&gt;"",IF('Capacity summary'!$D$14="Yes",IF(COUNTBLANK('Capacity summary'!$H188:$BG188)&lt;52,IF('Capacity summary'!AJ188&lt;&gt;"",$BI69*AJ69,0),AJ69*$BI69),AJ69*$BI69),0)</f>
        <v>0</v>
      </c>
      <c r="CN69" s="319">
        <f>IF($BI69&lt;&gt;"",IF('Capacity summary'!$D$14="Yes",IF(COUNTBLANK('Capacity summary'!$H188:$BG188)&lt;52,IF('Capacity summary'!AK188&lt;&gt;"",$BI69*AK69,0),AK69*$BI69),AK69*$BI69),0)</f>
        <v>0</v>
      </c>
      <c r="CO69" s="319">
        <f>IF($BI69&lt;&gt;"",IF('Capacity summary'!$D$14="Yes",IF(COUNTBLANK('Capacity summary'!$H188:$BG188)&lt;52,IF('Capacity summary'!AL188&lt;&gt;"",$BI69*AL69,0),AL69*$BI69),AL69*$BI69),0)</f>
        <v>0</v>
      </c>
      <c r="CP69" s="319">
        <f>IF($BI69&lt;&gt;"",IF('Capacity summary'!$D$14="Yes",IF(COUNTBLANK('Capacity summary'!$H188:$BG188)&lt;52,IF('Capacity summary'!AM188&lt;&gt;"",$BI69*AM69,0),AM69*$BI69),AM69*$BI69),0)</f>
        <v>0</v>
      </c>
      <c r="CQ69" s="319">
        <f>IF($BI69&lt;&gt;"",IF('Capacity summary'!$D$14="Yes",IF(COUNTBLANK('Capacity summary'!$H188:$BG188)&lt;52,IF('Capacity summary'!AN188&lt;&gt;"",$BI69*AN69,0),AN69*$BI69),AN69*$BI69),0)</f>
        <v>0</v>
      </c>
      <c r="CR69" s="319">
        <f>IF($BI69&lt;&gt;"",IF('Capacity summary'!$D$14="Yes",IF(COUNTBLANK('Capacity summary'!$H188:$BG188)&lt;52,IF('Capacity summary'!AO188&lt;&gt;"",$BI69*AO69,0),AO69*$BI69),AO69*$BI69),0)</f>
        <v>0</v>
      </c>
      <c r="CS69" s="319">
        <f>IF($BI69&lt;&gt;"",IF('Capacity summary'!$D$14="Yes",IF(COUNTBLANK('Capacity summary'!$H188:$BG188)&lt;52,IF('Capacity summary'!AP188&lt;&gt;"",$BI69*AP69,0),AP69*$BI69),AP69*$BI69),0)</f>
        <v>0</v>
      </c>
      <c r="CT69" s="319">
        <f>IF($BI69&lt;&gt;"",IF('Capacity summary'!$D$14="Yes",IF(COUNTBLANK('Capacity summary'!$H188:$BG188)&lt;52,IF('Capacity summary'!AQ188&lt;&gt;"",$BI69*AQ69,0),AQ69*$BI69),AQ69*$BI69),0)</f>
        <v>0</v>
      </c>
      <c r="CU69" s="319">
        <f>IF($BI69&lt;&gt;"",IF('Capacity summary'!$D$14="Yes",IF(COUNTBLANK('Capacity summary'!$H188:$BG188)&lt;52,IF('Capacity summary'!AR188&lt;&gt;"",$BI69*AR69,0),AR69*$BI69),AR69*$BI69),0)</f>
        <v>0</v>
      </c>
      <c r="CV69" s="319">
        <f>IF($BI69&lt;&gt;"",IF('Capacity summary'!$D$14="Yes",IF(COUNTBLANK('Capacity summary'!$H188:$BG188)&lt;52,IF('Capacity summary'!AS188&lt;&gt;"",$BI69*AS69,0),AS69*$BI69),AS69*$BI69),0)</f>
        <v>0</v>
      </c>
      <c r="CW69" s="319">
        <f>IF($BI69&lt;&gt;"",IF('Capacity summary'!$D$14="Yes",IF(COUNTBLANK('Capacity summary'!$H188:$BG188)&lt;52,IF('Capacity summary'!AT188&lt;&gt;"",$BI69*AT69,0),AT69*$BI69),AT69*$BI69),0)</f>
        <v>0</v>
      </c>
      <c r="CX69" s="319">
        <f>IF($BI69&lt;&gt;"",IF('Capacity summary'!$D$14="Yes",IF(COUNTBLANK('Capacity summary'!$H188:$BG188)&lt;52,IF('Capacity summary'!AU188&lt;&gt;"",$BI69*AU69,0),AU69*$BI69),AU69*$BI69),0)</f>
        <v>0</v>
      </c>
      <c r="CY69" s="319">
        <f>IF($BI69&lt;&gt;"",IF('Capacity summary'!$D$14="Yes",IF(COUNTBLANK('Capacity summary'!$H188:$BG188)&lt;52,IF('Capacity summary'!AV188&lt;&gt;"",$BI69*AV69,0),AV69*$BI69),AV69*$BI69),0)</f>
        <v>0</v>
      </c>
      <c r="CZ69" s="319">
        <f>IF($BI69&lt;&gt;"",IF('Capacity summary'!$D$14="Yes",IF(COUNTBLANK('Capacity summary'!$H188:$BG188)&lt;52,IF('Capacity summary'!AW188&lt;&gt;"",$BI69*AW69,0),AW69*$BI69),AW69*$BI69),0)</f>
        <v>0</v>
      </c>
      <c r="DA69" s="319">
        <f>IF($BI69&lt;&gt;"",IF('Capacity summary'!$D$14="Yes",IF(COUNTBLANK('Capacity summary'!$H188:$BG188)&lt;52,IF('Capacity summary'!AX188&lt;&gt;"",$BI69*AX69,0),AX69*$BI69),AX69*$BI69),0)</f>
        <v>0</v>
      </c>
      <c r="DB69" s="319">
        <f>IF($BI69&lt;&gt;"",IF('Capacity summary'!$D$14="Yes",IF(COUNTBLANK('Capacity summary'!$H188:$BG188)&lt;52,IF('Capacity summary'!AY188&lt;&gt;"",$BI69*AY69,0),AY69*$BI69),AY69*$BI69),0)</f>
        <v>0</v>
      </c>
      <c r="DC69" s="319">
        <f>IF($BI69&lt;&gt;"",IF('Capacity summary'!$D$14="Yes",IF(COUNTBLANK('Capacity summary'!$H188:$BG188)&lt;52,IF('Capacity summary'!AZ188&lt;&gt;"",$BI69*AZ69,0),AZ69*$BI69),AZ69*$BI69),0)</f>
        <v>0</v>
      </c>
      <c r="DD69" s="319">
        <f>IF($BI69&lt;&gt;"",IF('Capacity summary'!$D$14="Yes",IF(COUNTBLANK('Capacity summary'!$H188:$BG188)&lt;52,IF('Capacity summary'!BA188&lt;&gt;"",$BI69*BA69,0),BA69*$BI69),BA69*$BI69),0)</f>
        <v>0</v>
      </c>
      <c r="DE69" s="319">
        <f>IF($BI69&lt;&gt;"",IF('Capacity summary'!$D$14="Yes",IF(COUNTBLANK('Capacity summary'!$H188:$BG188)&lt;52,IF('Capacity summary'!BB188&lt;&gt;"",$BI69*BB69,0),BB69*$BI69),BB69*$BI69),0)</f>
        <v>0</v>
      </c>
      <c r="DF69" s="319">
        <f>IF($BI69&lt;&gt;"",IF('Capacity summary'!$D$14="Yes",IF(COUNTBLANK('Capacity summary'!$H188:$BG188)&lt;52,IF('Capacity summary'!BC188&lt;&gt;"",$BI69*BC69,0),BC69*$BI69),BC69*$BI69),0)</f>
        <v>0</v>
      </c>
      <c r="DG69" s="319">
        <f>IF($BI69&lt;&gt;"",IF('Capacity summary'!$D$14="Yes",IF(COUNTBLANK('Capacity summary'!$H188:$BG188)&lt;52,IF('Capacity summary'!BD188&lt;&gt;"",$BI69*BD69,0),BD69*$BI69),BD69*$BI69),0)</f>
        <v>0</v>
      </c>
      <c r="DH69" s="319">
        <f>IF($BI69&lt;&gt;"",IF('Capacity summary'!$D$14="Yes",IF(COUNTBLANK('Capacity summary'!$H188:$BG188)&lt;52,IF('Capacity summary'!BE188&lt;&gt;"",$BI69*BE69,0),BE69*$BI69),BE69*$BI69),0)</f>
        <v>0</v>
      </c>
      <c r="DI69" s="319">
        <f>IF($BI69&lt;&gt;"",IF('Capacity summary'!$D$14="Yes",IF(COUNTBLANK('Capacity summary'!$H188:$BG188)&lt;52,IF('Capacity summary'!BF188&lt;&gt;"",$BI69*BF69,0),BF69*$BI69),BF69*$BI69),0)</f>
        <v>0</v>
      </c>
      <c r="DJ69" s="319">
        <f>IF($BI69&lt;&gt;"",IF('Capacity summary'!$D$14="Yes",IF(COUNTBLANK('Capacity summary'!$H188:$BG188)&lt;52,IF('Capacity summary'!BG188&lt;&gt;"",$BI69*BG69,0),BG69*$BI69),BG69*$BI69),0)</f>
        <v>0</v>
      </c>
      <c r="DK69" s="5">
        <f t="shared" si="2"/>
        <v>0</v>
      </c>
      <c r="DL69" s="5" t="str">
        <f>Capacity!H81</f>
        <v/>
      </c>
    </row>
    <row r="70" spans="2:116" x14ac:dyDescent="0.2">
      <c r="B70" s="68"/>
      <c r="C70" s="68" t="str">
        <f>ROW(A66)&amp;". "&amp;Capacity!B82</f>
        <v xml:space="preserve">66. </v>
      </c>
      <c r="D70" s="68">
        <f>'Capacity setup'!C77</f>
        <v>0</v>
      </c>
      <c r="E70" s="68">
        <f>'Capacity setup'!D77</f>
        <v>0</v>
      </c>
      <c r="F70" s="68">
        <f>'Capacity setup'!E77</f>
        <v>0</v>
      </c>
      <c r="H70" s="68">
        <f ca="1">IF(AND(SUMIF(Capacity_Resource,$D70,'Critical resources (hide)'!U$6:U$105)+SUMIF(Capacity_Resource,$E70,'Critical resources (hide)'!U$6:U$105)+SUMIF(Capacity_Resource,$F70,'Critical resources (hide)'!U$6:U$105)&gt;0,$E$1=2),0,1)</f>
        <v>1</v>
      </c>
      <c r="I70" s="68">
        <f ca="1">IF(AND(SUMIF(Capacity_Resource,$D70,'Critical resources (hide)'!V$6:V$105)+SUMIF(Capacity_Resource,$E70,'Critical resources (hide)'!V$6:V$105)+SUMIF(Capacity_Resource,$F70,'Critical resources (hide)'!V$6:V$105)&gt;0,$E$1=2),0,1)</f>
        <v>1</v>
      </c>
      <c r="J70" s="68">
        <f ca="1">IF(AND(SUMIF(Capacity_Resource,$D70,'Critical resources (hide)'!W$6:W$105)+SUMIF(Capacity_Resource,$E70,'Critical resources (hide)'!W$6:W$105)+SUMIF(Capacity_Resource,$F70,'Critical resources (hide)'!W$6:W$105)&gt;0,$E$1=2),0,1)</f>
        <v>1</v>
      </c>
      <c r="K70" s="68">
        <f ca="1">IF(AND(SUMIF(Capacity_Resource,$D70,'Critical resources (hide)'!X$6:X$105)+SUMIF(Capacity_Resource,$E70,'Critical resources (hide)'!X$6:X$105)+SUMIF(Capacity_Resource,$F70,'Critical resources (hide)'!X$6:X$105)&gt;0,$E$1=2),0,1)</f>
        <v>1</v>
      </c>
      <c r="L70" s="68">
        <f ca="1">IF(AND(SUMIF(Capacity_Resource,$D70,'Critical resources (hide)'!Y$6:Y$105)+SUMIF(Capacity_Resource,$E70,'Critical resources (hide)'!Y$6:Y$105)+SUMIF(Capacity_Resource,$F70,'Critical resources (hide)'!Y$6:Y$105)&gt;0,$E$1=2),0,1)</f>
        <v>1</v>
      </c>
      <c r="M70" s="68">
        <f ca="1">IF(AND(SUMIF(Capacity_Resource,$D70,'Critical resources (hide)'!Z$6:Z$105)+SUMIF(Capacity_Resource,$E70,'Critical resources (hide)'!Z$6:Z$105)+SUMIF(Capacity_Resource,$F70,'Critical resources (hide)'!Z$6:Z$105)&gt;0,$E$1=2),0,1)</f>
        <v>1</v>
      </c>
      <c r="N70" s="68">
        <f ca="1">IF(AND(SUMIF(Capacity_Resource,$D70,'Critical resources (hide)'!AA$6:AA$105)+SUMIF(Capacity_Resource,$E70,'Critical resources (hide)'!AA$6:AA$105)+SUMIF(Capacity_Resource,$F70,'Critical resources (hide)'!AA$6:AA$105)&gt;0,$E$1=2),0,1)</f>
        <v>1</v>
      </c>
      <c r="O70" s="68">
        <f ca="1">IF(AND(SUMIF(Capacity_Resource,$D70,'Critical resources (hide)'!AB$6:AB$105)+SUMIF(Capacity_Resource,$E70,'Critical resources (hide)'!AB$6:AB$105)+SUMIF(Capacity_Resource,$F70,'Critical resources (hide)'!AB$6:AB$105)&gt;0,$E$1=2),0,1)</f>
        <v>1</v>
      </c>
      <c r="P70" s="68">
        <f ca="1">IF(AND(SUMIF(Capacity_Resource,$D70,'Critical resources (hide)'!AC$6:AC$105)+SUMIF(Capacity_Resource,$E70,'Critical resources (hide)'!AC$6:AC$105)+SUMIF(Capacity_Resource,$F70,'Critical resources (hide)'!AC$6:AC$105)&gt;0,$E$1=2),0,1)</f>
        <v>1</v>
      </c>
      <c r="Q70" s="68">
        <f ca="1">IF(AND(SUMIF(Capacity_Resource,$D70,'Critical resources (hide)'!AD$6:AD$105)+SUMIF(Capacity_Resource,$E70,'Critical resources (hide)'!AD$6:AD$105)+SUMIF(Capacity_Resource,$F70,'Critical resources (hide)'!AD$6:AD$105)&gt;0,$E$1=2),0,1)</f>
        <v>1</v>
      </c>
      <c r="R70" s="68">
        <f ca="1">IF(AND(SUMIF(Capacity_Resource,$D70,'Critical resources (hide)'!AE$6:AE$105)+SUMIF(Capacity_Resource,$E70,'Critical resources (hide)'!AE$6:AE$105)+SUMIF(Capacity_Resource,$F70,'Critical resources (hide)'!AE$6:AE$105)&gt;0,$E$1=2),0,1)</f>
        <v>1</v>
      </c>
      <c r="S70" s="68">
        <f ca="1">IF(AND(SUMIF(Capacity_Resource,$D70,'Critical resources (hide)'!AF$6:AF$105)+SUMIF(Capacity_Resource,$E70,'Critical resources (hide)'!AF$6:AF$105)+SUMIF(Capacity_Resource,$F70,'Critical resources (hide)'!AF$6:AF$105)&gt;0,$E$1=2),0,1)</f>
        <v>1</v>
      </c>
      <c r="T70" s="68">
        <f ca="1">IF(AND(SUMIF(Capacity_Resource,$D70,'Critical resources (hide)'!AG$6:AG$105)+SUMIF(Capacity_Resource,$E70,'Critical resources (hide)'!AG$6:AG$105)+SUMIF(Capacity_Resource,$F70,'Critical resources (hide)'!AG$6:AG$105)&gt;0,$E$1=2),0,1)</f>
        <v>1</v>
      </c>
      <c r="U70" s="68">
        <f ca="1">IF(AND(SUMIF(Capacity_Resource,$D70,'Critical resources (hide)'!AH$6:AH$105)+SUMIF(Capacity_Resource,$E70,'Critical resources (hide)'!AH$6:AH$105)+SUMIF(Capacity_Resource,$F70,'Critical resources (hide)'!AH$6:AH$105)&gt;0,$E$1=2),0,1)</f>
        <v>1</v>
      </c>
      <c r="V70" s="68">
        <f ca="1">IF(AND(SUMIF(Capacity_Resource,$D70,'Critical resources (hide)'!AI$6:AI$105)+SUMIF(Capacity_Resource,$E70,'Critical resources (hide)'!AI$6:AI$105)+SUMIF(Capacity_Resource,$F70,'Critical resources (hide)'!AI$6:AI$105)&gt;0,$E$1=2),0,1)</f>
        <v>1</v>
      </c>
      <c r="W70" s="68">
        <f ca="1">IF(AND(SUMIF(Capacity_Resource,$D70,'Critical resources (hide)'!AJ$6:AJ$105)+SUMIF(Capacity_Resource,$E70,'Critical resources (hide)'!AJ$6:AJ$105)+SUMIF(Capacity_Resource,$F70,'Critical resources (hide)'!AJ$6:AJ$105)&gt;0,$E$1=2),0,1)</f>
        <v>1</v>
      </c>
      <c r="X70" s="68">
        <f ca="1">IF(AND(SUMIF(Capacity_Resource,$D70,'Critical resources (hide)'!AK$6:AK$105)+SUMIF(Capacity_Resource,$E70,'Critical resources (hide)'!AK$6:AK$105)+SUMIF(Capacity_Resource,$F70,'Critical resources (hide)'!AK$6:AK$105)&gt;0,$E$1=2),0,1)</f>
        <v>1</v>
      </c>
      <c r="Y70" s="68">
        <f ca="1">IF(AND(SUMIF(Capacity_Resource,$D70,'Critical resources (hide)'!AL$6:AL$105)+SUMIF(Capacity_Resource,$E70,'Critical resources (hide)'!AL$6:AL$105)+SUMIF(Capacity_Resource,$F70,'Critical resources (hide)'!AL$6:AL$105)&gt;0,$E$1=2),0,1)</f>
        <v>1</v>
      </c>
      <c r="Z70" s="68">
        <f ca="1">IF(AND(SUMIF(Capacity_Resource,$D70,'Critical resources (hide)'!AM$6:AM$105)+SUMIF(Capacity_Resource,$E70,'Critical resources (hide)'!AM$6:AM$105)+SUMIF(Capacity_Resource,$F70,'Critical resources (hide)'!AM$6:AM$105)&gt;0,$E$1=2),0,1)</f>
        <v>1</v>
      </c>
      <c r="AA70" s="68">
        <f ca="1">IF(AND(SUMIF(Capacity_Resource,$D70,'Critical resources (hide)'!AN$6:AN$105)+SUMIF(Capacity_Resource,$E70,'Critical resources (hide)'!AN$6:AN$105)+SUMIF(Capacity_Resource,$F70,'Critical resources (hide)'!AN$6:AN$105)&gt;0,$E$1=2),0,1)</f>
        <v>1</v>
      </c>
      <c r="AB70" s="68">
        <f ca="1">IF(AND(SUMIF(Capacity_Resource,$D70,'Critical resources (hide)'!AO$6:AO$105)+SUMIF(Capacity_Resource,$E70,'Critical resources (hide)'!AO$6:AO$105)+SUMIF(Capacity_Resource,$F70,'Critical resources (hide)'!AO$6:AO$105)&gt;0,$E$1=2),0,1)</f>
        <v>1</v>
      </c>
      <c r="AC70" s="68">
        <f ca="1">IF(AND(SUMIF(Capacity_Resource,$D70,'Critical resources (hide)'!AP$6:AP$105)+SUMIF(Capacity_Resource,$E70,'Critical resources (hide)'!AP$6:AP$105)+SUMIF(Capacity_Resource,$F70,'Critical resources (hide)'!AP$6:AP$105)&gt;0,$E$1=2),0,1)</f>
        <v>1</v>
      </c>
      <c r="AD70" s="68">
        <f ca="1">IF(AND(SUMIF(Capacity_Resource,$D70,'Critical resources (hide)'!AQ$6:AQ$105)+SUMIF(Capacity_Resource,$E70,'Critical resources (hide)'!AQ$6:AQ$105)+SUMIF(Capacity_Resource,$F70,'Critical resources (hide)'!AQ$6:AQ$105)&gt;0,$E$1=2),0,1)</f>
        <v>1</v>
      </c>
      <c r="AE70" s="68">
        <f ca="1">IF(AND(SUMIF(Capacity_Resource,$D70,'Critical resources (hide)'!AR$6:AR$105)+SUMIF(Capacity_Resource,$E70,'Critical resources (hide)'!AR$6:AR$105)+SUMIF(Capacity_Resource,$F70,'Critical resources (hide)'!AR$6:AR$105)&gt;0,$E$1=2),0,1)</f>
        <v>1</v>
      </c>
      <c r="AF70" s="68">
        <f ca="1">IF(AND(SUMIF(Capacity_Resource,$D70,'Critical resources (hide)'!AS$6:AS$105)+SUMIF(Capacity_Resource,$E70,'Critical resources (hide)'!AS$6:AS$105)+SUMIF(Capacity_Resource,$F70,'Critical resources (hide)'!AS$6:AS$105)&gt;0,$E$1=2),0,1)</f>
        <v>1</v>
      </c>
      <c r="AG70" s="68">
        <f ca="1">IF(AND(SUMIF(Capacity_Resource,$D70,'Critical resources (hide)'!AT$6:AT$105)+SUMIF(Capacity_Resource,$E70,'Critical resources (hide)'!AT$6:AT$105)+SUMIF(Capacity_Resource,$F70,'Critical resources (hide)'!AT$6:AT$105)&gt;0,$E$1=2),0,1)</f>
        <v>1</v>
      </c>
      <c r="AH70" s="68">
        <f ca="1">IF(AND(SUMIF(Capacity_Resource,$D70,'Critical resources (hide)'!AU$6:AU$105)+SUMIF(Capacity_Resource,$E70,'Critical resources (hide)'!AU$6:AU$105)+SUMIF(Capacity_Resource,$F70,'Critical resources (hide)'!AU$6:AU$105)&gt;0,$E$1=2),0,1)</f>
        <v>1</v>
      </c>
      <c r="AI70" s="68">
        <f ca="1">IF(AND(SUMIF(Capacity_Resource,$D70,'Critical resources (hide)'!AV$6:AV$105)+SUMIF(Capacity_Resource,$E70,'Critical resources (hide)'!AV$6:AV$105)+SUMIF(Capacity_Resource,$F70,'Critical resources (hide)'!AV$6:AV$105)&gt;0,$E$1=2),0,1)</f>
        <v>1</v>
      </c>
      <c r="AJ70" s="68">
        <f ca="1">IF(AND(SUMIF(Capacity_Resource,$D70,'Critical resources (hide)'!AW$6:AW$105)+SUMIF(Capacity_Resource,$E70,'Critical resources (hide)'!AW$6:AW$105)+SUMIF(Capacity_Resource,$F70,'Critical resources (hide)'!AW$6:AW$105)&gt;0,$E$1=2),0,1)</f>
        <v>1</v>
      </c>
      <c r="AK70" s="68">
        <f ca="1">IF(AND(SUMIF(Capacity_Resource,$D70,'Critical resources (hide)'!AX$6:AX$105)+SUMIF(Capacity_Resource,$E70,'Critical resources (hide)'!AX$6:AX$105)+SUMIF(Capacity_Resource,$F70,'Critical resources (hide)'!AX$6:AX$105)&gt;0,$E$1=2),0,1)</f>
        <v>1</v>
      </c>
      <c r="AL70" s="68">
        <f ca="1">IF(AND(SUMIF(Capacity_Resource,$D70,'Critical resources (hide)'!AY$6:AY$105)+SUMIF(Capacity_Resource,$E70,'Critical resources (hide)'!AY$6:AY$105)+SUMIF(Capacity_Resource,$F70,'Critical resources (hide)'!AY$6:AY$105)&gt;0,$E$1=2),0,1)</f>
        <v>1</v>
      </c>
      <c r="AM70" s="68">
        <f ca="1">IF(AND(SUMIF(Capacity_Resource,$D70,'Critical resources (hide)'!AZ$6:AZ$105)+SUMIF(Capacity_Resource,$E70,'Critical resources (hide)'!AZ$6:AZ$105)+SUMIF(Capacity_Resource,$F70,'Critical resources (hide)'!AZ$6:AZ$105)&gt;0,$E$1=2),0,1)</f>
        <v>1</v>
      </c>
      <c r="AN70" s="68">
        <f ca="1">IF(AND(SUMIF(Capacity_Resource,$D70,'Critical resources (hide)'!BA$6:BA$105)+SUMIF(Capacity_Resource,$E70,'Critical resources (hide)'!BA$6:BA$105)+SUMIF(Capacity_Resource,$F70,'Critical resources (hide)'!BA$6:BA$105)&gt;0,$E$1=2),0,1)</f>
        <v>1</v>
      </c>
      <c r="AO70" s="68">
        <f ca="1">IF(AND(SUMIF(Capacity_Resource,$D70,'Critical resources (hide)'!BB$6:BB$105)+SUMIF(Capacity_Resource,$E70,'Critical resources (hide)'!BB$6:BB$105)+SUMIF(Capacity_Resource,$F70,'Critical resources (hide)'!BB$6:BB$105)&gt;0,$E$1=2),0,1)</f>
        <v>1</v>
      </c>
      <c r="AP70" s="68">
        <f ca="1">IF(AND(SUMIF(Capacity_Resource,$D70,'Critical resources (hide)'!BC$6:BC$105)+SUMIF(Capacity_Resource,$E70,'Critical resources (hide)'!BC$6:BC$105)+SUMIF(Capacity_Resource,$F70,'Critical resources (hide)'!BC$6:BC$105)&gt;0,$E$1=2),0,1)</f>
        <v>1</v>
      </c>
      <c r="AQ70" s="68">
        <f ca="1">IF(AND(SUMIF(Capacity_Resource,$D70,'Critical resources (hide)'!BD$6:BD$105)+SUMIF(Capacity_Resource,$E70,'Critical resources (hide)'!BD$6:BD$105)+SUMIF(Capacity_Resource,$F70,'Critical resources (hide)'!BD$6:BD$105)&gt;0,$E$1=2),0,1)</f>
        <v>1</v>
      </c>
      <c r="AR70" s="68">
        <f ca="1">IF(AND(SUMIF(Capacity_Resource,$D70,'Critical resources (hide)'!BE$6:BE$105)+SUMIF(Capacity_Resource,$E70,'Critical resources (hide)'!BE$6:BE$105)+SUMIF(Capacity_Resource,$F70,'Critical resources (hide)'!BE$6:BE$105)&gt;0,$E$1=2),0,1)</f>
        <v>1</v>
      </c>
      <c r="AS70" s="68">
        <f ca="1">IF(AND(SUMIF(Capacity_Resource,$D70,'Critical resources (hide)'!BF$6:BF$105)+SUMIF(Capacity_Resource,$E70,'Critical resources (hide)'!BF$6:BF$105)+SUMIF(Capacity_Resource,$F70,'Critical resources (hide)'!BF$6:BF$105)&gt;0,$E$1=2),0,1)</f>
        <v>1</v>
      </c>
      <c r="AT70" s="68">
        <f ca="1">IF(AND(SUMIF(Capacity_Resource,$D70,'Critical resources (hide)'!BG$6:BG$105)+SUMIF(Capacity_Resource,$E70,'Critical resources (hide)'!BG$6:BG$105)+SUMIF(Capacity_Resource,$F70,'Critical resources (hide)'!BG$6:BG$105)&gt;0,$E$1=2),0,1)</f>
        <v>1</v>
      </c>
      <c r="AU70" s="68">
        <f ca="1">IF(AND(SUMIF(Capacity_Resource,$D70,'Critical resources (hide)'!BH$6:BH$105)+SUMIF(Capacity_Resource,$E70,'Critical resources (hide)'!BH$6:BH$105)+SUMIF(Capacity_Resource,$F70,'Critical resources (hide)'!BH$6:BH$105)&gt;0,$E$1=2),0,1)</f>
        <v>1</v>
      </c>
      <c r="AV70" s="68">
        <f ca="1">IF(AND(SUMIF(Capacity_Resource,$D70,'Critical resources (hide)'!BI$6:BI$105)+SUMIF(Capacity_Resource,$E70,'Critical resources (hide)'!BI$6:BI$105)+SUMIF(Capacity_Resource,$F70,'Critical resources (hide)'!BI$6:BI$105)&gt;0,$E$1=2),0,1)</f>
        <v>1</v>
      </c>
      <c r="AW70" s="68">
        <f ca="1">IF(AND(SUMIF(Capacity_Resource,$D70,'Critical resources (hide)'!BJ$6:BJ$105)+SUMIF(Capacity_Resource,$E70,'Critical resources (hide)'!BJ$6:BJ$105)+SUMIF(Capacity_Resource,$F70,'Critical resources (hide)'!BJ$6:BJ$105)&gt;0,$E$1=2),0,1)</f>
        <v>1</v>
      </c>
      <c r="AX70" s="68">
        <f ca="1">IF(AND(SUMIF(Capacity_Resource,$D70,'Critical resources (hide)'!BK$6:BK$105)+SUMIF(Capacity_Resource,$E70,'Critical resources (hide)'!BK$6:BK$105)+SUMIF(Capacity_Resource,$F70,'Critical resources (hide)'!BK$6:BK$105)&gt;0,$E$1=2),0,1)</f>
        <v>1</v>
      </c>
      <c r="AY70" s="68">
        <f ca="1">IF(AND(SUMIF(Capacity_Resource,$D70,'Critical resources (hide)'!BL$6:BL$105)+SUMIF(Capacity_Resource,$E70,'Critical resources (hide)'!BL$6:BL$105)+SUMIF(Capacity_Resource,$F70,'Critical resources (hide)'!BL$6:BL$105)&gt;0,$E$1=2),0,1)</f>
        <v>1</v>
      </c>
      <c r="AZ70" s="68">
        <f ca="1">IF(AND(SUMIF(Capacity_Resource,$D70,'Critical resources (hide)'!BM$6:BM$105)+SUMIF(Capacity_Resource,$E70,'Critical resources (hide)'!BM$6:BM$105)+SUMIF(Capacity_Resource,$F70,'Critical resources (hide)'!BM$6:BM$105)&gt;0,$E$1=2),0,1)</f>
        <v>1</v>
      </c>
      <c r="BA70" s="68">
        <f ca="1">IF(AND(SUMIF(Capacity_Resource,$D70,'Critical resources (hide)'!BN$6:BN$105)+SUMIF(Capacity_Resource,$E70,'Critical resources (hide)'!BN$6:BN$105)+SUMIF(Capacity_Resource,$F70,'Critical resources (hide)'!BN$6:BN$105)&gt;0,$E$1=2),0,1)</f>
        <v>1</v>
      </c>
      <c r="BB70" s="68">
        <f ca="1">IF(AND(SUMIF(Capacity_Resource,$D70,'Critical resources (hide)'!BO$6:BO$105)+SUMIF(Capacity_Resource,$E70,'Critical resources (hide)'!BO$6:BO$105)+SUMIF(Capacity_Resource,$F70,'Critical resources (hide)'!BO$6:BO$105)&gt;0,$E$1=2),0,1)</f>
        <v>1</v>
      </c>
      <c r="BC70" s="68">
        <f ca="1">IF(AND(SUMIF(Capacity_Resource,$D70,'Critical resources (hide)'!BP$6:BP$105)+SUMIF(Capacity_Resource,$E70,'Critical resources (hide)'!BP$6:BP$105)+SUMIF(Capacity_Resource,$F70,'Critical resources (hide)'!BP$6:BP$105)&gt;0,$E$1=2),0,1)</f>
        <v>1</v>
      </c>
      <c r="BD70" s="68">
        <f ca="1">IF(AND(SUMIF(Capacity_Resource,$D70,'Critical resources (hide)'!BQ$6:BQ$105)+SUMIF(Capacity_Resource,$E70,'Critical resources (hide)'!BQ$6:BQ$105)+SUMIF(Capacity_Resource,$F70,'Critical resources (hide)'!BQ$6:BQ$105)&gt;0,$E$1=2),0,1)</f>
        <v>1</v>
      </c>
      <c r="BE70" s="68">
        <f ca="1">IF(AND(SUMIF(Capacity_Resource,$D70,'Critical resources (hide)'!BR$6:BR$105)+SUMIF(Capacity_Resource,$E70,'Critical resources (hide)'!BR$6:BR$105)+SUMIF(Capacity_Resource,$F70,'Critical resources (hide)'!BR$6:BR$105)&gt;0,$E$1=2),0,1)</f>
        <v>1</v>
      </c>
      <c r="BF70" s="68">
        <f ca="1">IF(AND(SUMIF(Capacity_Resource,$D70,'Critical resources (hide)'!BS$6:BS$105)+SUMIF(Capacity_Resource,$E70,'Critical resources (hide)'!BS$6:BS$105)+SUMIF(Capacity_Resource,$F70,'Critical resources (hide)'!BS$6:BS$105)&gt;0,$E$1=2),0,1)</f>
        <v>1</v>
      </c>
      <c r="BG70" s="68">
        <f ca="1">IF(AND(SUMIF(Capacity_Resource,$D70,'Critical resources (hide)'!BT$6:BT$105)+SUMIF(Capacity_Resource,$E70,'Critical resources (hide)'!BT$6:BT$105)+SUMIF(Capacity_Resource,$F70,'Critical resources (hide)'!BT$6:BT$105)&gt;0,$E$1=2),0,1)</f>
        <v>1</v>
      </c>
      <c r="BH70" s="68">
        <f>IF(ROW(C66)&lt;=Capacity!$A$16,IF('Capacity summary'!$D$14="No",SUM(H70:BG70),'Capacity summary'!$E189),0)</f>
        <v>0</v>
      </c>
      <c r="BI70" s="5" t="str">
        <f>IF(BH70&gt;0,IF(BH70&lt;Capacity!E82,Capacity!F82,Capacity!H82/'Capacity calculation (hide)'!BH70),"")</f>
        <v/>
      </c>
      <c r="BK70" s="319">
        <f>IF($BI70&lt;&gt;"",IF('Capacity summary'!$D$14="Yes",IF(COUNTBLANK('Capacity summary'!$H189:$BG189)&lt;52,IF('Capacity summary'!H189&lt;&gt;"",$BI70*H70,0),H70*$BI70),H70*$BI70),0)</f>
        <v>0</v>
      </c>
      <c r="BL70" s="319">
        <f>IF($BI70&lt;&gt;"",IF('Capacity summary'!$D$14="Yes",IF(COUNTBLANK('Capacity summary'!$H189:$BG189)&lt;52,IF('Capacity summary'!I189&lt;&gt;"",$BI70*I70,0),I70*$BI70),I70*$BI70),0)</f>
        <v>0</v>
      </c>
      <c r="BM70" s="319">
        <f>IF($BI70&lt;&gt;"",IF('Capacity summary'!$D$14="Yes",IF(COUNTBLANK('Capacity summary'!$H189:$BG189)&lt;52,IF('Capacity summary'!J189&lt;&gt;"",$BI70*J70,0),J70*$BI70),J70*$BI70),0)</f>
        <v>0</v>
      </c>
      <c r="BN70" s="319">
        <f>IF($BI70&lt;&gt;"",IF('Capacity summary'!$D$14="Yes",IF(COUNTBLANK('Capacity summary'!$H189:$BG189)&lt;52,IF('Capacity summary'!K189&lt;&gt;"",$BI70*K70,0),K70*$BI70),K70*$BI70),0)</f>
        <v>0</v>
      </c>
      <c r="BO70" s="319">
        <f>IF($BI70&lt;&gt;"",IF('Capacity summary'!$D$14="Yes",IF(COUNTBLANK('Capacity summary'!$H189:$BG189)&lt;52,IF('Capacity summary'!L189&lt;&gt;"",$BI70*L70,0),L70*$BI70),L70*$BI70),0)</f>
        <v>0</v>
      </c>
      <c r="BP70" s="319">
        <f>IF($BI70&lt;&gt;"",IF('Capacity summary'!$D$14="Yes",IF(COUNTBLANK('Capacity summary'!$H189:$BG189)&lt;52,IF('Capacity summary'!M189&lt;&gt;"",$BI70*M70,0),M70*$BI70),M70*$BI70),0)</f>
        <v>0</v>
      </c>
      <c r="BQ70" s="319">
        <f>IF($BI70&lt;&gt;"",IF('Capacity summary'!$D$14="Yes",IF(COUNTBLANK('Capacity summary'!$H189:$BG189)&lt;52,IF('Capacity summary'!N189&lt;&gt;"",$BI70*N70,0),N70*$BI70),N70*$BI70),0)</f>
        <v>0</v>
      </c>
      <c r="BR70" s="319">
        <f>IF($BI70&lt;&gt;"",IF('Capacity summary'!$D$14="Yes",IF(COUNTBLANK('Capacity summary'!$H189:$BG189)&lt;52,IF('Capacity summary'!O189&lt;&gt;"",$BI70*O70,0),O70*$BI70),O70*$BI70),0)</f>
        <v>0</v>
      </c>
      <c r="BS70" s="319">
        <f>IF($BI70&lt;&gt;"",IF('Capacity summary'!$D$14="Yes",IF(COUNTBLANK('Capacity summary'!$H189:$BG189)&lt;52,IF('Capacity summary'!P189&lt;&gt;"",$BI70*P70,0),P70*$BI70),P70*$BI70),0)</f>
        <v>0</v>
      </c>
      <c r="BT70" s="319">
        <f>IF($BI70&lt;&gt;"",IF('Capacity summary'!$D$14="Yes",IF(COUNTBLANK('Capacity summary'!$H189:$BG189)&lt;52,IF('Capacity summary'!Q189&lt;&gt;"",$BI70*Q70,0),Q70*$BI70),Q70*$BI70),0)</f>
        <v>0</v>
      </c>
      <c r="BU70" s="319">
        <f>IF($BI70&lt;&gt;"",IF('Capacity summary'!$D$14="Yes",IF(COUNTBLANK('Capacity summary'!$H189:$BG189)&lt;52,IF('Capacity summary'!R189&lt;&gt;"",$BI70*R70,0),R70*$BI70),R70*$BI70),0)</f>
        <v>0</v>
      </c>
      <c r="BV70" s="319">
        <f>IF($BI70&lt;&gt;"",IF('Capacity summary'!$D$14="Yes",IF(COUNTBLANK('Capacity summary'!$H189:$BG189)&lt;52,IF('Capacity summary'!S189&lt;&gt;"",$BI70*S70,0),S70*$BI70),S70*$BI70),0)</f>
        <v>0</v>
      </c>
      <c r="BW70" s="319">
        <f>IF($BI70&lt;&gt;"",IF('Capacity summary'!$D$14="Yes",IF(COUNTBLANK('Capacity summary'!$H189:$BG189)&lt;52,IF('Capacity summary'!T189&lt;&gt;"",$BI70*T70,0),T70*$BI70),T70*$BI70),0)</f>
        <v>0</v>
      </c>
      <c r="BX70" s="319">
        <f>IF($BI70&lt;&gt;"",IF('Capacity summary'!$D$14="Yes",IF(COUNTBLANK('Capacity summary'!$H189:$BG189)&lt;52,IF('Capacity summary'!U189&lt;&gt;"",$BI70*U70,0),U70*$BI70),U70*$BI70),0)</f>
        <v>0</v>
      </c>
      <c r="BY70" s="319">
        <f>IF($BI70&lt;&gt;"",IF('Capacity summary'!$D$14="Yes",IF(COUNTBLANK('Capacity summary'!$H189:$BG189)&lt;52,IF('Capacity summary'!V189&lt;&gt;"",$BI70*V70,0),V70*$BI70),V70*$BI70),0)</f>
        <v>0</v>
      </c>
      <c r="BZ70" s="319">
        <f>IF($BI70&lt;&gt;"",IF('Capacity summary'!$D$14="Yes",IF(COUNTBLANK('Capacity summary'!$H189:$BG189)&lt;52,IF('Capacity summary'!W189&lt;&gt;"",$BI70*W70,0),W70*$BI70),W70*$BI70),0)</f>
        <v>0</v>
      </c>
      <c r="CA70" s="319">
        <f>IF($BI70&lt;&gt;"",IF('Capacity summary'!$D$14="Yes",IF(COUNTBLANK('Capacity summary'!$H189:$BG189)&lt;52,IF('Capacity summary'!X189&lt;&gt;"",$BI70*X70,0),X70*$BI70),X70*$BI70),0)</f>
        <v>0</v>
      </c>
      <c r="CB70" s="319">
        <f>IF($BI70&lt;&gt;"",IF('Capacity summary'!$D$14="Yes",IF(COUNTBLANK('Capacity summary'!$H189:$BG189)&lt;52,IF('Capacity summary'!Y189&lt;&gt;"",$BI70*Y70,0),Y70*$BI70),Y70*$BI70),0)</f>
        <v>0</v>
      </c>
      <c r="CC70" s="319">
        <f>IF($BI70&lt;&gt;"",IF('Capacity summary'!$D$14="Yes",IF(COUNTBLANK('Capacity summary'!$H189:$BG189)&lt;52,IF('Capacity summary'!Z189&lt;&gt;"",$BI70*Z70,0),Z70*$BI70),Z70*$BI70),0)</f>
        <v>0</v>
      </c>
      <c r="CD70" s="319">
        <f>IF($BI70&lt;&gt;"",IF('Capacity summary'!$D$14="Yes",IF(COUNTBLANK('Capacity summary'!$H189:$BG189)&lt;52,IF('Capacity summary'!AA189&lt;&gt;"",$BI70*AA70,0),AA70*$BI70),AA70*$BI70),0)</f>
        <v>0</v>
      </c>
      <c r="CE70" s="319">
        <f>IF($BI70&lt;&gt;"",IF('Capacity summary'!$D$14="Yes",IF(COUNTBLANK('Capacity summary'!$H189:$BG189)&lt;52,IF('Capacity summary'!AB189&lt;&gt;"",$BI70*AB70,0),AB70*$BI70),AB70*$BI70),0)</f>
        <v>0</v>
      </c>
      <c r="CF70" s="319">
        <f>IF($BI70&lt;&gt;"",IF('Capacity summary'!$D$14="Yes",IF(COUNTBLANK('Capacity summary'!$H189:$BG189)&lt;52,IF('Capacity summary'!AC189&lt;&gt;"",$BI70*AC70,0),AC70*$BI70),AC70*$BI70),0)</f>
        <v>0</v>
      </c>
      <c r="CG70" s="319">
        <f>IF($BI70&lt;&gt;"",IF('Capacity summary'!$D$14="Yes",IF(COUNTBLANK('Capacity summary'!$H189:$BG189)&lt;52,IF('Capacity summary'!AD189&lt;&gt;"",$BI70*AD70,0),AD70*$BI70),AD70*$BI70),0)</f>
        <v>0</v>
      </c>
      <c r="CH70" s="319">
        <f>IF($BI70&lt;&gt;"",IF('Capacity summary'!$D$14="Yes",IF(COUNTBLANK('Capacity summary'!$H189:$BG189)&lt;52,IF('Capacity summary'!AE189&lt;&gt;"",$BI70*AE70,0),AE70*$BI70),AE70*$BI70),0)</f>
        <v>0</v>
      </c>
      <c r="CI70" s="319">
        <f>IF($BI70&lt;&gt;"",IF('Capacity summary'!$D$14="Yes",IF(COUNTBLANK('Capacity summary'!$H189:$BG189)&lt;52,IF('Capacity summary'!AF189&lt;&gt;"",$BI70*AF70,0),AF70*$BI70),AF70*$BI70),0)</f>
        <v>0</v>
      </c>
      <c r="CJ70" s="319">
        <f>IF($BI70&lt;&gt;"",IF('Capacity summary'!$D$14="Yes",IF(COUNTBLANK('Capacity summary'!$H189:$BG189)&lt;52,IF('Capacity summary'!AG189&lt;&gt;"",$BI70*AG70,0),AG70*$BI70),AG70*$BI70),0)</f>
        <v>0</v>
      </c>
      <c r="CK70" s="319">
        <f>IF($BI70&lt;&gt;"",IF('Capacity summary'!$D$14="Yes",IF(COUNTBLANK('Capacity summary'!$H189:$BG189)&lt;52,IF('Capacity summary'!AH189&lt;&gt;"",$BI70*AH70,0),AH70*$BI70),AH70*$BI70),0)</f>
        <v>0</v>
      </c>
      <c r="CL70" s="319">
        <f>IF($BI70&lt;&gt;"",IF('Capacity summary'!$D$14="Yes",IF(COUNTBLANK('Capacity summary'!$H189:$BG189)&lt;52,IF('Capacity summary'!AI189&lt;&gt;"",$BI70*AI70,0),AI70*$BI70),AI70*$BI70),0)</f>
        <v>0</v>
      </c>
      <c r="CM70" s="319">
        <f>IF($BI70&lt;&gt;"",IF('Capacity summary'!$D$14="Yes",IF(COUNTBLANK('Capacity summary'!$H189:$BG189)&lt;52,IF('Capacity summary'!AJ189&lt;&gt;"",$BI70*AJ70,0),AJ70*$BI70),AJ70*$BI70),0)</f>
        <v>0</v>
      </c>
      <c r="CN70" s="319">
        <f>IF($BI70&lt;&gt;"",IF('Capacity summary'!$D$14="Yes",IF(COUNTBLANK('Capacity summary'!$H189:$BG189)&lt;52,IF('Capacity summary'!AK189&lt;&gt;"",$BI70*AK70,0),AK70*$BI70),AK70*$BI70),0)</f>
        <v>0</v>
      </c>
      <c r="CO70" s="319">
        <f>IF($BI70&lt;&gt;"",IF('Capacity summary'!$D$14="Yes",IF(COUNTBLANK('Capacity summary'!$H189:$BG189)&lt;52,IF('Capacity summary'!AL189&lt;&gt;"",$BI70*AL70,0),AL70*$BI70),AL70*$BI70),0)</f>
        <v>0</v>
      </c>
      <c r="CP70" s="319">
        <f>IF($BI70&lt;&gt;"",IF('Capacity summary'!$D$14="Yes",IF(COUNTBLANK('Capacity summary'!$H189:$BG189)&lt;52,IF('Capacity summary'!AM189&lt;&gt;"",$BI70*AM70,0),AM70*$BI70),AM70*$BI70),0)</f>
        <v>0</v>
      </c>
      <c r="CQ70" s="319">
        <f>IF($BI70&lt;&gt;"",IF('Capacity summary'!$D$14="Yes",IF(COUNTBLANK('Capacity summary'!$H189:$BG189)&lt;52,IF('Capacity summary'!AN189&lt;&gt;"",$BI70*AN70,0),AN70*$BI70),AN70*$BI70),0)</f>
        <v>0</v>
      </c>
      <c r="CR70" s="319">
        <f>IF($BI70&lt;&gt;"",IF('Capacity summary'!$D$14="Yes",IF(COUNTBLANK('Capacity summary'!$H189:$BG189)&lt;52,IF('Capacity summary'!AO189&lt;&gt;"",$BI70*AO70,0),AO70*$BI70),AO70*$BI70),0)</f>
        <v>0</v>
      </c>
      <c r="CS70" s="319">
        <f>IF($BI70&lt;&gt;"",IF('Capacity summary'!$D$14="Yes",IF(COUNTBLANK('Capacity summary'!$H189:$BG189)&lt;52,IF('Capacity summary'!AP189&lt;&gt;"",$BI70*AP70,0),AP70*$BI70),AP70*$BI70),0)</f>
        <v>0</v>
      </c>
      <c r="CT70" s="319">
        <f>IF($BI70&lt;&gt;"",IF('Capacity summary'!$D$14="Yes",IF(COUNTBLANK('Capacity summary'!$H189:$BG189)&lt;52,IF('Capacity summary'!AQ189&lt;&gt;"",$BI70*AQ70,0),AQ70*$BI70),AQ70*$BI70),0)</f>
        <v>0</v>
      </c>
      <c r="CU70" s="319">
        <f>IF($BI70&lt;&gt;"",IF('Capacity summary'!$D$14="Yes",IF(COUNTBLANK('Capacity summary'!$H189:$BG189)&lt;52,IF('Capacity summary'!AR189&lt;&gt;"",$BI70*AR70,0),AR70*$BI70),AR70*$BI70),0)</f>
        <v>0</v>
      </c>
      <c r="CV70" s="319">
        <f>IF($BI70&lt;&gt;"",IF('Capacity summary'!$D$14="Yes",IF(COUNTBLANK('Capacity summary'!$H189:$BG189)&lt;52,IF('Capacity summary'!AS189&lt;&gt;"",$BI70*AS70,0),AS70*$BI70),AS70*$BI70),0)</f>
        <v>0</v>
      </c>
      <c r="CW70" s="319">
        <f>IF($BI70&lt;&gt;"",IF('Capacity summary'!$D$14="Yes",IF(COUNTBLANK('Capacity summary'!$H189:$BG189)&lt;52,IF('Capacity summary'!AT189&lt;&gt;"",$BI70*AT70,0),AT70*$BI70),AT70*$BI70),0)</f>
        <v>0</v>
      </c>
      <c r="CX70" s="319">
        <f>IF($BI70&lt;&gt;"",IF('Capacity summary'!$D$14="Yes",IF(COUNTBLANK('Capacity summary'!$H189:$BG189)&lt;52,IF('Capacity summary'!AU189&lt;&gt;"",$BI70*AU70,0),AU70*$BI70),AU70*$BI70),0)</f>
        <v>0</v>
      </c>
      <c r="CY70" s="319">
        <f>IF($BI70&lt;&gt;"",IF('Capacity summary'!$D$14="Yes",IF(COUNTBLANK('Capacity summary'!$H189:$BG189)&lt;52,IF('Capacity summary'!AV189&lt;&gt;"",$BI70*AV70,0),AV70*$BI70),AV70*$BI70),0)</f>
        <v>0</v>
      </c>
      <c r="CZ70" s="319">
        <f>IF($BI70&lt;&gt;"",IF('Capacity summary'!$D$14="Yes",IF(COUNTBLANK('Capacity summary'!$H189:$BG189)&lt;52,IF('Capacity summary'!AW189&lt;&gt;"",$BI70*AW70,0),AW70*$BI70),AW70*$BI70),0)</f>
        <v>0</v>
      </c>
      <c r="DA70" s="319">
        <f>IF($BI70&lt;&gt;"",IF('Capacity summary'!$D$14="Yes",IF(COUNTBLANK('Capacity summary'!$H189:$BG189)&lt;52,IF('Capacity summary'!AX189&lt;&gt;"",$BI70*AX70,0),AX70*$BI70),AX70*$BI70),0)</f>
        <v>0</v>
      </c>
      <c r="DB70" s="319">
        <f>IF($BI70&lt;&gt;"",IF('Capacity summary'!$D$14="Yes",IF(COUNTBLANK('Capacity summary'!$H189:$BG189)&lt;52,IF('Capacity summary'!AY189&lt;&gt;"",$BI70*AY70,0),AY70*$BI70),AY70*$BI70),0)</f>
        <v>0</v>
      </c>
      <c r="DC70" s="319">
        <f>IF($BI70&lt;&gt;"",IF('Capacity summary'!$D$14="Yes",IF(COUNTBLANK('Capacity summary'!$H189:$BG189)&lt;52,IF('Capacity summary'!AZ189&lt;&gt;"",$BI70*AZ70,0),AZ70*$BI70),AZ70*$BI70),0)</f>
        <v>0</v>
      </c>
      <c r="DD70" s="319">
        <f>IF($BI70&lt;&gt;"",IF('Capacity summary'!$D$14="Yes",IF(COUNTBLANK('Capacity summary'!$H189:$BG189)&lt;52,IF('Capacity summary'!BA189&lt;&gt;"",$BI70*BA70,0),BA70*$BI70),BA70*$BI70),0)</f>
        <v>0</v>
      </c>
      <c r="DE70" s="319">
        <f>IF($BI70&lt;&gt;"",IF('Capacity summary'!$D$14="Yes",IF(COUNTBLANK('Capacity summary'!$H189:$BG189)&lt;52,IF('Capacity summary'!BB189&lt;&gt;"",$BI70*BB70,0),BB70*$BI70),BB70*$BI70),0)</f>
        <v>0</v>
      </c>
      <c r="DF70" s="319">
        <f>IF($BI70&lt;&gt;"",IF('Capacity summary'!$D$14="Yes",IF(COUNTBLANK('Capacity summary'!$H189:$BG189)&lt;52,IF('Capacity summary'!BC189&lt;&gt;"",$BI70*BC70,0),BC70*$BI70),BC70*$BI70),0)</f>
        <v>0</v>
      </c>
      <c r="DG70" s="319">
        <f>IF($BI70&lt;&gt;"",IF('Capacity summary'!$D$14="Yes",IF(COUNTBLANK('Capacity summary'!$H189:$BG189)&lt;52,IF('Capacity summary'!BD189&lt;&gt;"",$BI70*BD70,0),BD70*$BI70),BD70*$BI70),0)</f>
        <v>0</v>
      </c>
      <c r="DH70" s="319">
        <f>IF($BI70&lt;&gt;"",IF('Capacity summary'!$D$14="Yes",IF(COUNTBLANK('Capacity summary'!$H189:$BG189)&lt;52,IF('Capacity summary'!BE189&lt;&gt;"",$BI70*BE70,0),BE70*$BI70),BE70*$BI70),0)</f>
        <v>0</v>
      </c>
      <c r="DI70" s="319">
        <f>IF($BI70&lt;&gt;"",IF('Capacity summary'!$D$14="Yes",IF(COUNTBLANK('Capacity summary'!$H189:$BG189)&lt;52,IF('Capacity summary'!BF189&lt;&gt;"",$BI70*BF70,0),BF70*$BI70),BF70*$BI70),0)</f>
        <v>0</v>
      </c>
      <c r="DJ70" s="319">
        <f>IF($BI70&lt;&gt;"",IF('Capacity summary'!$D$14="Yes",IF(COUNTBLANK('Capacity summary'!$H189:$BG189)&lt;52,IF('Capacity summary'!BG189&lt;&gt;"",$BI70*BG70,0),BG70*$BI70),BG70*$BI70),0)</f>
        <v>0</v>
      </c>
      <c r="DK70" s="5">
        <f t="shared" ref="DK70:DK104" si="3">SUM(BK70:DJ70)</f>
        <v>0</v>
      </c>
      <c r="DL70" s="5" t="str">
        <f>Capacity!H82</f>
        <v/>
      </c>
    </row>
    <row r="71" spans="2:116" x14ac:dyDescent="0.2">
      <c r="B71" s="68"/>
      <c r="C71" s="68" t="str">
        <f>ROW(A67)&amp;". "&amp;Capacity!B83</f>
        <v xml:space="preserve">67. </v>
      </c>
      <c r="D71" s="68">
        <f>'Capacity setup'!C78</f>
        <v>0</v>
      </c>
      <c r="E71" s="68">
        <f>'Capacity setup'!D78</f>
        <v>0</v>
      </c>
      <c r="F71" s="68">
        <f>'Capacity setup'!E78</f>
        <v>0</v>
      </c>
      <c r="H71" s="68">
        <f ca="1">IF(AND(SUMIF(Capacity_Resource,$D71,'Critical resources (hide)'!U$6:U$105)+SUMIF(Capacity_Resource,$E71,'Critical resources (hide)'!U$6:U$105)+SUMIF(Capacity_Resource,$F71,'Critical resources (hide)'!U$6:U$105)&gt;0,$E$1=2),0,1)</f>
        <v>1</v>
      </c>
      <c r="I71" s="68">
        <f ca="1">IF(AND(SUMIF(Capacity_Resource,$D71,'Critical resources (hide)'!V$6:V$105)+SUMIF(Capacity_Resource,$E71,'Critical resources (hide)'!V$6:V$105)+SUMIF(Capacity_Resource,$F71,'Critical resources (hide)'!V$6:V$105)&gt;0,$E$1=2),0,1)</f>
        <v>1</v>
      </c>
      <c r="J71" s="68">
        <f ca="1">IF(AND(SUMIF(Capacity_Resource,$D71,'Critical resources (hide)'!W$6:W$105)+SUMIF(Capacity_Resource,$E71,'Critical resources (hide)'!W$6:W$105)+SUMIF(Capacity_Resource,$F71,'Critical resources (hide)'!W$6:W$105)&gt;0,$E$1=2),0,1)</f>
        <v>1</v>
      </c>
      <c r="K71" s="68">
        <f ca="1">IF(AND(SUMIF(Capacity_Resource,$D71,'Critical resources (hide)'!X$6:X$105)+SUMIF(Capacity_Resource,$E71,'Critical resources (hide)'!X$6:X$105)+SUMIF(Capacity_Resource,$F71,'Critical resources (hide)'!X$6:X$105)&gt;0,$E$1=2),0,1)</f>
        <v>1</v>
      </c>
      <c r="L71" s="68">
        <f ca="1">IF(AND(SUMIF(Capacity_Resource,$D71,'Critical resources (hide)'!Y$6:Y$105)+SUMIF(Capacity_Resource,$E71,'Critical resources (hide)'!Y$6:Y$105)+SUMIF(Capacity_Resource,$F71,'Critical resources (hide)'!Y$6:Y$105)&gt;0,$E$1=2),0,1)</f>
        <v>1</v>
      </c>
      <c r="M71" s="68">
        <f ca="1">IF(AND(SUMIF(Capacity_Resource,$D71,'Critical resources (hide)'!Z$6:Z$105)+SUMIF(Capacity_Resource,$E71,'Critical resources (hide)'!Z$6:Z$105)+SUMIF(Capacity_Resource,$F71,'Critical resources (hide)'!Z$6:Z$105)&gt;0,$E$1=2),0,1)</f>
        <v>1</v>
      </c>
      <c r="N71" s="68">
        <f ca="1">IF(AND(SUMIF(Capacity_Resource,$D71,'Critical resources (hide)'!AA$6:AA$105)+SUMIF(Capacity_Resource,$E71,'Critical resources (hide)'!AA$6:AA$105)+SUMIF(Capacity_Resource,$F71,'Critical resources (hide)'!AA$6:AA$105)&gt;0,$E$1=2),0,1)</f>
        <v>1</v>
      </c>
      <c r="O71" s="68">
        <f ca="1">IF(AND(SUMIF(Capacity_Resource,$D71,'Critical resources (hide)'!AB$6:AB$105)+SUMIF(Capacity_Resource,$E71,'Critical resources (hide)'!AB$6:AB$105)+SUMIF(Capacity_Resource,$F71,'Critical resources (hide)'!AB$6:AB$105)&gt;0,$E$1=2),0,1)</f>
        <v>1</v>
      </c>
      <c r="P71" s="68">
        <f ca="1">IF(AND(SUMIF(Capacity_Resource,$D71,'Critical resources (hide)'!AC$6:AC$105)+SUMIF(Capacity_Resource,$E71,'Critical resources (hide)'!AC$6:AC$105)+SUMIF(Capacity_Resource,$F71,'Critical resources (hide)'!AC$6:AC$105)&gt;0,$E$1=2),0,1)</f>
        <v>1</v>
      </c>
      <c r="Q71" s="68">
        <f ca="1">IF(AND(SUMIF(Capacity_Resource,$D71,'Critical resources (hide)'!AD$6:AD$105)+SUMIF(Capacity_Resource,$E71,'Critical resources (hide)'!AD$6:AD$105)+SUMIF(Capacity_Resource,$F71,'Critical resources (hide)'!AD$6:AD$105)&gt;0,$E$1=2),0,1)</f>
        <v>1</v>
      </c>
      <c r="R71" s="68">
        <f ca="1">IF(AND(SUMIF(Capacity_Resource,$D71,'Critical resources (hide)'!AE$6:AE$105)+SUMIF(Capacity_Resource,$E71,'Critical resources (hide)'!AE$6:AE$105)+SUMIF(Capacity_Resource,$F71,'Critical resources (hide)'!AE$6:AE$105)&gt;0,$E$1=2),0,1)</f>
        <v>1</v>
      </c>
      <c r="S71" s="68">
        <f ca="1">IF(AND(SUMIF(Capacity_Resource,$D71,'Critical resources (hide)'!AF$6:AF$105)+SUMIF(Capacity_Resource,$E71,'Critical resources (hide)'!AF$6:AF$105)+SUMIF(Capacity_Resource,$F71,'Critical resources (hide)'!AF$6:AF$105)&gt;0,$E$1=2),0,1)</f>
        <v>1</v>
      </c>
      <c r="T71" s="68">
        <f ca="1">IF(AND(SUMIF(Capacity_Resource,$D71,'Critical resources (hide)'!AG$6:AG$105)+SUMIF(Capacity_Resource,$E71,'Critical resources (hide)'!AG$6:AG$105)+SUMIF(Capacity_Resource,$F71,'Critical resources (hide)'!AG$6:AG$105)&gt;0,$E$1=2),0,1)</f>
        <v>1</v>
      </c>
      <c r="U71" s="68">
        <f ca="1">IF(AND(SUMIF(Capacity_Resource,$D71,'Critical resources (hide)'!AH$6:AH$105)+SUMIF(Capacity_Resource,$E71,'Critical resources (hide)'!AH$6:AH$105)+SUMIF(Capacity_Resource,$F71,'Critical resources (hide)'!AH$6:AH$105)&gt;0,$E$1=2),0,1)</f>
        <v>1</v>
      </c>
      <c r="V71" s="68">
        <f ca="1">IF(AND(SUMIF(Capacity_Resource,$D71,'Critical resources (hide)'!AI$6:AI$105)+SUMIF(Capacity_Resource,$E71,'Critical resources (hide)'!AI$6:AI$105)+SUMIF(Capacity_Resource,$F71,'Critical resources (hide)'!AI$6:AI$105)&gt;0,$E$1=2),0,1)</f>
        <v>1</v>
      </c>
      <c r="W71" s="68">
        <f ca="1">IF(AND(SUMIF(Capacity_Resource,$D71,'Critical resources (hide)'!AJ$6:AJ$105)+SUMIF(Capacity_Resource,$E71,'Critical resources (hide)'!AJ$6:AJ$105)+SUMIF(Capacity_Resource,$F71,'Critical resources (hide)'!AJ$6:AJ$105)&gt;0,$E$1=2),0,1)</f>
        <v>1</v>
      </c>
      <c r="X71" s="68">
        <f ca="1">IF(AND(SUMIF(Capacity_Resource,$D71,'Critical resources (hide)'!AK$6:AK$105)+SUMIF(Capacity_Resource,$E71,'Critical resources (hide)'!AK$6:AK$105)+SUMIF(Capacity_Resource,$F71,'Critical resources (hide)'!AK$6:AK$105)&gt;0,$E$1=2),0,1)</f>
        <v>1</v>
      </c>
      <c r="Y71" s="68">
        <f ca="1">IF(AND(SUMIF(Capacity_Resource,$D71,'Critical resources (hide)'!AL$6:AL$105)+SUMIF(Capacity_Resource,$E71,'Critical resources (hide)'!AL$6:AL$105)+SUMIF(Capacity_Resource,$F71,'Critical resources (hide)'!AL$6:AL$105)&gt;0,$E$1=2),0,1)</f>
        <v>1</v>
      </c>
      <c r="Z71" s="68">
        <f ca="1">IF(AND(SUMIF(Capacity_Resource,$D71,'Critical resources (hide)'!AM$6:AM$105)+SUMIF(Capacity_Resource,$E71,'Critical resources (hide)'!AM$6:AM$105)+SUMIF(Capacity_Resource,$F71,'Critical resources (hide)'!AM$6:AM$105)&gt;0,$E$1=2),0,1)</f>
        <v>1</v>
      </c>
      <c r="AA71" s="68">
        <f ca="1">IF(AND(SUMIF(Capacity_Resource,$D71,'Critical resources (hide)'!AN$6:AN$105)+SUMIF(Capacity_Resource,$E71,'Critical resources (hide)'!AN$6:AN$105)+SUMIF(Capacity_Resource,$F71,'Critical resources (hide)'!AN$6:AN$105)&gt;0,$E$1=2),0,1)</f>
        <v>1</v>
      </c>
      <c r="AB71" s="68">
        <f ca="1">IF(AND(SUMIF(Capacity_Resource,$D71,'Critical resources (hide)'!AO$6:AO$105)+SUMIF(Capacity_Resource,$E71,'Critical resources (hide)'!AO$6:AO$105)+SUMIF(Capacity_Resource,$F71,'Critical resources (hide)'!AO$6:AO$105)&gt;0,$E$1=2),0,1)</f>
        <v>1</v>
      </c>
      <c r="AC71" s="68">
        <f ca="1">IF(AND(SUMIF(Capacity_Resource,$D71,'Critical resources (hide)'!AP$6:AP$105)+SUMIF(Capacity_Resource,$E71,'Critical resources (hide)'!AP$6:AP$105)+SUMIF(Capacity_Resource,$F71,'Critical resources (hide)'!AP$6:AP$105)&gt;0,$E$1=2),0,1)</f>
        <v>1</v>
      </c>
      <c r="AD71" s="68">
        <f ca="1">IF(AND(SUMIF(Capacity_Resource,$D71,'Critical resources (hide)'!AQ$6:AQ$105)+SUMIF(Capacity_Resource,$E71,'Critical resources (hide)'!AQ$6:AQ$105)+SUMIF(Capacity_Resource,$F71,'Critical resources (hide)'!AQ$6:AQ$105)&gt;0,$E$1=2),0,1)</f>
        <v>1</v>
      </c>
      <c r="AE71" s="68">
        <f ca="1">IF(AND(SUMIF(Capacity_Resource,$D71,'Critical resources (hide)'!AR$6:AR$105)+SUMIF(Capacity_Resource,$E71,'Critical resources (hide)'!AR$6:AR$105)+SUMIF(Capacity_Resource,$F71,'Critical resources (hide)'!AR$6:AR$105)&gt;0,$E$1=2),0,1)</f>
        <v>1</v>
      </c>
      <c r="AF71" s="68">
        <f ca="1">IF(AND(SUMIF(Capacity_Resource,$D71,'Critical resources (hide)'!AS$6:AS$105)+SUMIF(Capacity_Resource,$E71,'Critical resources (hide)'!AS$6:AS$105)+SUMIF(Capacity_Resource,$F71,'Critical resources (hide)'!AS$6:AS$105)&gt;0,$E$1=2),0,1)</f>
        <v>1</v>
      </c>
      <c r="AG71" s="68">
        <f ca="1">IF(AND(SUMIF(Capacity_Resource,$D71,'Critical resources (hide)'!AT$6:AT$105)+SUMIF(Capacity_Resource,$E71,'Critical resources (hide)'!AT$6:AT$105)+SUMIF(Capacity_Resource,$F71,'Critical resources (hide)'!AT$6:AT$105)&gt;0,$E$1=2),0,1)</f>
        <v>1</v>
      </c>
      <c r="AH71" s="68">
        <f ca="1">IF(AND(SUMIF(Capacity_Resource,$D71,'Critical resources (hide)'!AU$6:AU$105)+SUMIF(Capacity_Resource,$E71,'Critical resources (hide)'!AU$6:AU$105)+SUMIF(Capacity_Resource,$F71,'Critical resources (hide)'!AU$6:AU$105)&gt;0,$E$1=2),0,1)</f>
        <v>1</v>
      </c>
      <c r="AI71" s="68">
        <f ca="1">IF(AND(SUMIF(Capacity_Resource,$D71,'Critical resources (hide)'!AV$6:AV$105)+SUMIF(Capacity_Resource,$E71,'Critical resources (hide)'!AV$6:AV$105)+SUMIF(Capacity_Resource,$F71,'Critical resources (hide)'!AV$6:AV$105)&gt;0,$E$1=2),0,1)</f>
        <v>1</v>
      </c>
      <c r="AJ71" s="68">
        <f ca="1">IF(AND(SUMIF(Capacity_Resource,$D71,'Critical resources (hide)'!AW$6:AW$105)+SUMIF(Capacity_Resource,$E71,'Critical resources (hide)'!AW$6:AW$105)+SUMIF(Capacity_Resource,$F71,'Critical resources (hide)'!AW$6:AW$105)&gt;0,$E$1=2),0,1)</f>
        <v>1</v>
      </c>
      <c r="AK71" s="68">
        <f ca="1">IF(AND(SUMIF(Capacity_Resource,$D71,'Critical resources (hide)'!AX$6:AX$105)+SUMIF(Capacity_Resource,$E71,'Critical resources (hide)'!AX$6:AX$105)+SUMIF(Capacity_Resource,$F71,'Critical resources (hide)'!AX$6:AX$105)&gt;0,$E$1=2),0,1)</f>
        <v>1</v>
      </c>
      <c r="AL71" s="68">
        <f ca="1">IF(AND(SUMIF(Capacity_Resource,$D71,'Critical resources (hide)'!AY$6:AY$105)+SUMIF(Capacity_Resource,$E71,'Critical resources (hide)'!AY$6:AY$105)+SUMIF(Capacity_Resource,$F71,'Critical resources (hide)'!AY$6:AY$105)&gt;0,$E$1=2),0,1)</f>
        <v>1</v>
      </c>
      <c r="AM71" s="68">
        <f ca="1">IF(AND(SUMIF(Capacity_Resource,$D71,'Critical resources (hide)'!AZ$6:AZ$105)+SUMIF(Capacity_Resource,$E71,'Critical resources (hide)'!AZ$6:AZ$105)+SUMIF(Capacity_Resource,$F71,'Critical resources (hide)'!AZ$6:AZ$105)&gt;0,$E$1=2),0,1)</f>
        <v>1</v>
      </c>
      <c r="AN71" s="68">
        <f ca="1">IF(AND(SUMIF(Capacity_Resource,$D71,'Critical resources (hide)'!BA$6:BA$105)+SUMIF(Capacity_Resource,$E71,'Critical resources (hide)'!BA$6:BA$105)+SUMIF(Capacity_Resource,$F71,'Critical resources (hide)'!BA$6:BA$105)&gt;0,$E$1=2),0,1)</f>
        <v>1</v>
      </c>
      <c r="AO71" s="68">
        <f ca="1">IF(AND(SUMIF(Capacity_Resource,$D71,'Critical resources (hide)'!BB$6:BB$105)+SUMIF(Capacity_Resource,$E71,'Critical resources (hide)'!BB$6:BB$105)+SUMIF(Capacity_Resource,$F71,'Critical resources (hide)'!BB$6:BB$105)&gt;0,$E$1=2),0,1)</f>
        <v>1</v>
      </c>
      <c r="AP71" s="68">
        <f ca="1">IF(AND(SUMIF(Capacity_Resource,$D71,'Critical resources (hide)'!BC$6:BC$105)+SUMIF(Capacity_Resource,$E71,'Critical resources (hide)'!BC$6:BC$105)+SUMIF(Capacity_Resource,$F71,'Critical resources (hide)'!BC$6:BC$105)&gt;0,$E$1=2),0,1)</f>
        <v>1</v>
      </c>
      <c r="AQ71" s="68">
        <f ca="1">IF(AND(SUMIF(Capacity_Resource,$D71,'Critical resources (hide)'!BD$6:BD$105)+SUMIF(Capacity_Resource,$E71,'Critical resources (hide)'!BD$6:BD$105)+SUMIF(Capacity_Resource,$F71,'Critical resources (hide)'!BD$6:BD$105)&gt;0,$E$1=2),0,1)</f>
        <v>1</v>
      </c>
      <c r="AR71" s="68">
        <f ca="1">IF(AND(SUMIF(Capacity_Resource,$D71,'Critical resources (hide)'!BE$6:BE$105)+SUMIF(Capacity_Resource,$E71,'Critical resources (hide)'!BE$6:BE$105)+SUMIF(Capacity_Resource,$F71,'Critical resources (hide)'!BE$6:BE$105)&gt;0,$E$1=2),0,1)</f>
        <v>1</v>
      </c>
      <c r="AS71" s="68">
        <f ca="1">IF(AND(SUMIF(Capacity_Resource,$D71,'Critical resources (hide)'!BF$6:BF$105)+SUMIF(Capacity_Resource,$E71,'Critical resources (hide)'!BF$6:BF$105)+SUMIF(Capacity_Resource,$F71,'Critical resources (hide)'!BF$6:BF$105)&gt;0,$E$1=2),0,1)</f>
        <v>1</v>
      </c>
      <c r="AT71" s="68">
        <f ca="1">IF(AND(SUMIF(Capacity_Resource,$D71,'Critical resources (hide)'!BG$6:BG$105)+SUMIF(Capacity_Resource,$E71,'Critical resources (hide)'!BG$6:BG$105)+SUMIF(Capacity_Resource,$F71,'Critical resources (hide)'!BG$6:BG$105)&gt;0,$E$1=2),0,1)</f>
        <v>1</v>
      </c>
      <c r="AU71" s="68">
        <f ca="1">IF(AND(SUMIF(Capacity_Resource,$D71,'Critical resources (hide)'!BH$6:BH$105)+SUMIF(Capacity_Resource,$E71,'Critical resources (hide)'!BH$6:BH$105)+SUMIF(Capacity_Resource,$F71,'Critical resources (hide)'!BH$6:BH$105)&gt;0,$E$1=2),0,1)</f>
        <v>1</v>
      </c>
      <c r="AV71" s="68">
        <f ca="1">IF(AND(SUMIF(Capacity_Resource,$D71,'Critical resources (hide)'!BI$6:BI$105)+SUMIF(Capacity_Resource,$E71,'Critical resources (hide)'!BI$6:BI$105)+SUMIF(Capacity_Resource,$F71,'Critical resources (hide)'!BI$6:BI$105)&gt;0,$E$1=2),0,1)</f>
        <v>1</v>
      </c>
      <c r="AW71" s="68">
        <f ca="1">IF(AND(SUMIF(Capacity_Resource,$D71,'Critical resources (hide)'!BJ$6:BJ$105)+SUMIF(Capacity_Resource,$E71,'Critical resources (hide)'!BJ$6:BJ$105)+SUMIF(Capacity_Resource,$F71,'Critical resources (hide)'!BJ$6:BJ$105)&gt;0,$E$1=2),0,1)</f>
        <v>1</v>
      </c>
      <c r="AX71" s="68">
        <f ca="1">IF(AND(SUMIF(Capacity_Resource,$D71,'Critical resources (hide)'!BK$6:BK$105)+SUMIF(Capacity_Resource,$E71,'Critical resources (hide)'!BK$6:BK$105)+SUMIF(Capacity_Resource,$F71,'Critical resources (hide)'!BK$6:BK$105)&gt;0,$E$1=2),0,1)</f>
        <v>1</v>
      </c>
      <c r="AY71" s="68">
        <f ca="1">IF(AND(SUMIF(Capacity_Resource,$D71,'Critical resources (hide)'!BL$6:BL$105)+SUMIF(Capacity_Resource,$E71,'Critical resources (hide)'!BL$6:BL$105)+SUMIF(Capacity_Resource,$F71,'Critical resources (hide)'!BL$6:BL$105)&gt;0,$E$1=2),0,1)</f>
        <v>1</v>
      </c>
      <c r="AZ71" s="68">
        <f ca="1">IF(AND(SUMIF(Capacity_Resource,$D71,'Critical resources (hide)'!BM$6:BM$105)+SUMIF(Capacity_Resource,$E71,'Critical resources (hide)'!BM$6:BM$105)+SUMIF(Capacity_Resource,$F71,'Critical resources (hide)'!BM$6:BM$105)&gt;0,$E$1=2),0,1)</f>
        <v>1</v>
      </c>
      <c r="BA71" s="68">
        <f ca="1">IF(AND(SUMIF(Capacity_Resource,$D71,'Critical resources (hide)'!BN$6:BN$105)+SUMIF(Capacity_Resource,$E71,'Critical resources (hide)'!BN$6:BN$105)+SUMIF(Capacity_Resource,$F71,'Critical resources (hide)'!BN$6:BN$105)&gt;0,$E$1=2),0,1)</f>
        <v>1</v>
      </c>
      <c r="BB71" s="68">
        <f ca="1">IF(AND(SUMIF(Capacity_Resource,$D71,'Critical resources (hide)'!BO$6:BO$105)+SUMIF(Capacity_Resource,$E71,'Critical resources (hide)'!BO$6:BO$105)+SUMIF(Capacity_Resource,$F71,'Critical resources (hide)'!BO$6:BO$105)&gt;0,$E$1=2),0,1)</f>
        <v>1</v>
      </c>
      <c r="BC71" s="68">
        <f ca="1">IF(AND(SUMIF(Capacity_Resource,$D71,'Critical resources (hide)'!BP$6:BP$105)+SUMIF(Capacity_Resource,$E71,'Critical resources (hide)'!BP$6:BP$105)+SUMIF(Capacity_Resource,$F71,'Critical resources (hide)'!BP$6:BP$105)&gt;0,$E$1=2),0,1)</f>
        <v>1</v>
      </c>
      <c r="BD71" s="68">
        <f ca="1">IF(AND(SUMIF(Capacity_Resource,$D71,'Critical resources (hide)'!BQ$6:BQ$105)+SUMIF(Capacity_Resource,$E71,'Critical resources (hide)'!BQ$6:BQ$105)+SUMIF(Capacity_Resource,$F71,'Critical resources (hide)'!BQ$6:BQ$105)&gt;0,$E$1=2),0,1)</f>
        <v>1</v>
      </c>
      <c r="BE71" s="68">
        <f ca="1">IF(AND(SUMIF(Capacity_Resource,$D71,'Critical resources (hide)'!BR$6:BR$105)+SUMIF(Capacity_Resource,$E71,'Critical resources (hide)'!BR$6:BR$105)+SUMIF(Capacity_Resource,$F71,'Critical resources (hide)'!BR$6:BR$105)&gt;0,$E$1=2),0,1)</f>
        <v>1</v>
      </c>
      <c r="BF71" s="68">
        <f ca="1">IF(AND(SUMIF(Capacity_Resource,$D71,'Critical resources (hide)'!BS$6:BS$105)+SUMIF(Capacity_Resource,$E71,'Critical resources (hide)'!BS$6:BS$105)+SUMIF(Capacity_Resource,$F71,'Critical resources (hide)'!BS$6:BS$105)&gt;0,$E$1=2),0,1)</f>
        <v>1</v>
      </c>
      <c r="BG71" s="68">
        <f ca="1">IF(AND(SUMIF(Capacity_Resource,$D71,'Critical resources (hide)'!BT$6:BT$105)+SUMIF(Capacity_Resource,$E71,'Critical resources (hide)'!BT$6:BT$105)+SUMIF(Capacity_Resource,$F71,'Critical resources (hide)'!BT$6:BT$105)&gt;0,$E$1=2),0,1)</f>
        <v>1</v>
      </c>
      <c r="BH71" s="68">
        <f>IF(ROW(C67)&lt;=Capacity!$A$16,IF('Capacity summary'!$D$14="No",SUM(H71:BG71),'Capacity summary'!$E190),0)</f>
        <v>0</v>
      </c>
      <c r="BI71" s="5" t="str">
        <f>IF(BH71&gt;0,IF(BH71&lt;Capacity!E83,Capacity!F83,Capacity!H83/'Capacity calculation (hide)'!BH71),"")</f>
        <v/>
      </c>
      <c r="BK71" s="319">
        <f>IF($BI71&lt;&gt;"",IF('Capacity summary'!$D$14="Yes",IF(COUNTBLANK('Capacity summary'!$H190:$BG190)&lt;52,IF('Capacity summary'!H190&lt;&gt;"",$BI71*H71,0),H71*$BI71),H71*$BI71),0)</f>
        <v>0</v>
      </c>
      <c r="BL71" s="319">
        <f>IF($BI71&lt;&gt;"",IF('Capacity summary'!$D$14="Yes",IF(COUNTBLANK('Capacity summary'!$H190:$BG190)&lt;52,IF('Capacity summary'!I190&lt;&gt;"",$BI71*I71,0),I71*$BI71),I71*$BI71),0)</f>
        <v>0</v>
      </c>
      <c r="BM71" s="319">
        <f>IF($BI71&lt;&gt;"",IF('Capacity summary'!$D$14="Yes",IF(COUNTBLANK('Capacity summary'!$H190:$BG190)&lt;52,IF('Capacity summary'!J190&lt;&gt;"",$BI71*J71,0),J71*$BI71),J71*$BI71),0)</f>
        <v>0</v>
      </c>
      <c r="BN71" s="319">
        <f>IF($BI71&lt;&gt;"",IF('Capacity summary'!$D$14="Yes",IF(COUNTBLANK('Capacity summary'!$H190:$BG190)&lt;52,IF('Capacity summary'!K190&lt;&gt;"",$BI71*K71,0),K71*$BI71),K71*$BI71),0)</f>
        <v>0</v>
      </c>
      <c r="BO71" s="319">
        <f>IF($BI71&lt;&gt;"",IF('Capacity summary'!$D$14="Yes",IF(COUNTBLANK('Capacity summary'!$H190:$BG190)&lt;52,IF('Capacity summary'!L190&lt;&gt;"",$BI71*L71,0),L71*$BI71),L71*$BI71),0)</f>
        <v>0</v>
      </c>
      <c r="BP71" s="319">
        <f>IF($BI71&lt;&gt;"",IF('Capacity summary'!$D$14="Yes",IF(COUNTBLANK('Capacity summary'!$H190:$BG190)&lt;52,IF('Capacity summary'!M190&lt;&gt;"",$BI71*M71,0),M71*$BI71),M71*$BI71),0)</f>
        <v>0</v>
      </c>
      <c r="BQ71" s="319">
        <f>IF($BI71&lt;&gt;"",IF('Capacity summary'!$D$14="Yes",IF(COUNTBLANK('Capacity summary'!$H190:$BG190)&lt;52,IF('Capacity summary'!N190&lt;&gt;"",$BI71*N71,0),N71*$BI71),N71*$BI71),0)</f>
        <v>0</v>
      </c>
      <c r="BR71" s="319">
        <f>IF($BI71&lt;&gt;"",IF('Capacity summary'!$D$14="Yes",IF(COUNTBLANK('Capacity summary'!$H190:$BG190)&lt;52,IF('Capacity summary'!O190&lt;&gt;"",$BI71*O71,0),O71*$BI71),O71*$BI71),0)</f>
        <v>0</v>
      </c>
      <c r="BS71" s="319">
        <f>IF($BI71&lt;&gt;"",IF('Capacity summary'!$D$14="Yes",IF(COUNTBLANK('Capacity summary'!$H190:$BG190)&lt;52,IF('Capacity summary'!P190&lt;&gt;"",$BI71*P71,0),P71*$BI71),P71*$BI71),0)</f>
        <v>0</v>
      </c>
      <c r="BT71" s="319">
        <f>IF($BI71&lt;&gt;"",IF('Capacity summary'!$D$14="Yes",IF(COUNTBLANK('Capacity summary'!$H190:$BG190)&lt;52,IF('Capacity summary'!Q190&lt;&gt;"",$BI71*Q71,0),Q71*$BI71),Q71*$BI71),0)</f>
        <v>0</v>
      </c>
      <c r="BU71" s="319">
        <f>IF($BI71&lt;&gt;"",IF('Capacity summary'!$D$14="Yes",IF(COUNTBLANK('Capacity summary'!$H190:$BG190)&lt;52,IF('Capacity summary'!R190&lt;&gt;"",$BI71*R71,0),R71*$BI71),R71*$BI71),0)</f>
        <v>0</v>
      </c>
      <c r="BV71" s="319">
        <f>IF($BI71&lt;&gt;"",IF('Capacity summary'!$D$14="Yes",IF(COUNTBLANK('Capacity summary'!$H190:$BG190)&lt;52,IF('Capacity summary'!S190&lt;&gt;"",$BI71*S71,0),S71*$BI71),S71*$BI71),0)</f>
        <v>0</v>
      </c>
      <c r="BW71" s="319">
        <f>IF($BI71&lt;&gt;"",IF('Capacity summary'!$D$14="Yes",IF(COUNTBLANK('Capacity summary'!$H190:$BG190)&lt;52,IF('Capacity summary'!T190&lt;&gt;"",$BI71*T71,0),T71*$BI71),T71*$BI71),0)</f>
        <v>0</v>
      </c>
      <c r="BX71" s="319">
        <f>IF($BI71&lt;&gt;"",IF('Capacity summary'!$D$14="Yes",IF(COUNTBLANK('Capacity summary'!$H190:$BG190)&lt;52,IF('Capacity summary'!U190&lt;&gt;"",$BI71*U71,0),U71*$BI71),U71*$BI71),0)</f>
        <v>0</v>
      </c>
      <c r="BY71" s="319">
        <f>IF($BI71&lt;&gt;"",IF('Capacity summary'!$D$14="Yes",IF(COUNTBLANK('Capacity summary'!$H190:$BG190)&lt;52,IF('Capacity summary'!V190&lt;&gt;"",$BI71*V71,0),V71*$BI71),V71*$BI71),0)</f>
        <v>0</v>
      </c>
      <c r="BZ71" s="319">
        <f>IF($BI71&lt;&gt;"",IF('Capacity summary'!$D$14="Yes",IF(COUNTBLANK('Capacity summary'!$H190:$BG190)&lt;52,IF('Capacity summary'!W190&lt;&gt;"",$BI71*W71,0),W71*$BI71),W71*$BI71),0)</f>
        <v>0</v>
      </c>
      <c r="CA71" s="319">
        <f>IF($BI71&lt;&gt;"",IF('Capacity summary'!$D$14="Yes",IF(COUNTBLANK('Capacity summary'!$H190:$BG190)&lt;52,IF('Capacity summary'!X190&lt;&gt;"",$BI71*X71,0),X71*$BI71),X71*$BI71),0)</f>
        <v>0</v>
      </c>
      <c r="CB71" s="319">
        <f>IF($BI71&lt;&gt;"",IF('Capacity summary'!$D$14="Yes",IF(COUNTBLANK('Capacity summary'!$H190:$BG190)&lt;52,IF('Capacity summary'!Y190&lt;&gt;"",$BI71*Y71,0),Y71*$BI71),Y71*$BI71),0)</f>
        <v>0</v>
      </c>
      <c r="CC71" s="319">
        <f>IF($BI71&lt;&gt;"",IF('Capacity summary'!$D$14="Yes",IF(COUNTBLANK('Capacity summary'!$H190:$BG190)&lt;52,IF('Capacity summary'!Z190&lt;&gt;"",$BI71*Z71,0),Z71*$BI71),Z71*$BI71),0)</f>
        <v>0</v>
      </c>
      <c r="CD71" s="319">
        <f>IF($BI71&lt;&gt;"",IF('Capacity summary'!$D$14="Yes",IF(COUNTBLANK('Capacity summary'!$H190:$BG190)&lt;52,IF('Capacity summary'!AA190&lt;&gt;"",$BI71*AA71,0),AA71*$BI71),AA71*$BI71),0)</f>
        <v>0</v>
      </c>
      <c r="CE71" s="319">
        <f>IF($BI71&lt;&gt;"",IF('Capacity summary'!$D$14="Yes",IF(COUNTBLANK('Capacity summary'!$H190:$BG190)&lt;52,IF('Capacity summary'!AB190&lt;&gt;"",$BI71*AB71,0),AB71*$BI71),AB71*$BI71),0)</f>
        <v>0</v>
      </c>
      <c r="CF71" s="319">
        <f>IF($BI71&lt;&gt;"",IF('Capacity summary'!$D$14="Yes",IF(COUNTBLANK('Capacity summary'!$H190:$BG190)&lt;52,IF('Capacity summary'!AC190&lt;&gt;"",$BI71*AC71,0),AC71*$BI71),AC71*$BI71),0)</f>
        <v>0</v>
      </c>
      <c r="CG71" s="319">
        <f>IF($BI71&lt;&gt;"",IF('Capacity summary'!$D$14="Yes",IF(COUNTBLANK('Capacity summary'!$H190:$BG190)&lt;52,IF('Capacity summary'!AD190&lt;&gt;"",$BI71*AD71,0),AD71*$BI71),AD71*$BI71),0)</f>
        <v>0</v>
      </c>
      <c r="CH71" s="319">
        <f>IF($BI71&lt;&gt;"",IF('Capacity summary'!$D$14="Yes",IF(COUNTBLANK('Capacity summary'!$H190:$BG190)&lt;52,IF('Capacity summary'!AE190&lt;&gt;"",$BI71*AE71,0),AE71*$BI71),AE71*$BI71),0)</f>
        <v>0</v>
      </c>
      <c r="CI71" s="319">
        <f>IF($BI71&lt;&gt;"",IF('Capacity summary'!$D$14="Yes",IF(COUNTBLANK('Capacity summary'!$H190:$BG190)&lt;52,IF('Capacity summary'!AF190&lt;&gt;"",$BI71*AF71,0),AF71*$BI71),AF71*$BI71),0)</f>
        <v>0</v>
      </c>
      <c r="CJ71" s="319">
        <f>IF($BI71&lt;&gt;"",IF('Capacity summary'!$D$14="Yes",IF(COUNTBLANK('Capacity summary'!$H190:$BG190)&lt;52,IF('Capacity summary'!AG190&lt;&gt;"",$BI71*AG71,0),AG71*$BI71),AG71*$BI71),0)</f>
        <v>0</v>
      </c>
      <c r="CK71" s="319">
        <f>IF($BI71&lt;&gt;"",IF('Capacity summary'!$D$14="Yes",IF(COUNTBLANK('Capacity summary'!$H190:$BG190)&lt;52,IF('Capacity summary'!AH190&lt;&gt;"",$BI71*AH71,0),AH71*$BI71),AH71*$BI71),0)</f>
        <v>0</v>
      </c>
      <c r="CL71" s="319">
        <f>IF($BI71&lt;&gt;"",IF('Capacity summary'!$D$14="Yes",IF(COUNTBLANK('Capacity summary'!$H190:$BG190)&lt;52,IF('Capacity summary'!AI190&lt;&gt;"",$BI71*AI71,0),AI71*$BI71),AI71*$BI71),0)</f>
        <v>0</v>
      </c>
      <c r="CM71" s="319">
        <f>IF($BI71&lt;&gt;"",IF('Capacity summary'!$D$14="Yes",IF(COUNTBLANK('Capacity summary'!$H190:$BG190)&lt;52,IF('Capacity summary'!AJ190&lt;&gt;"",$BI71*AJ71,0),AJ71*$BI71),AJ71*$BI71),0)</f>
        <v>0</v>
      </c>
      <c r="CN71" s="319">
        <f>IF($BI71&lt;&gt;"",IF('Capacity summary'!$D$14="Yes",IF(COUNTBLANK('Capacity summary'!$H190:$BG190)&lt;52,IF('Capacity summary'!AK190&lt;&gt;"",$BI71*AK71,0),AK71*$BI71),AK71*$BI71),0)</f>
        <v>0</v>
      </c>
      <c r="CO71" s="319">
        <f>IF($BI71&lt;&gt;"",IF('Capacity summary'!$D$14="Yes",IF(COUNTBLANK('Capacity summary'!$H190:$BG190)&lt;52,IF('Capacity summary'!AL190&lt;&gt;"",$BI71*AL71,0),AL71*$BI71),AL71*$BI71),0)</f>
        <v>0</v>
      </c>
      <c r="CP71" s="319">
        <f>IF($BI71&lt;&gt;"",IF('Capacity summary'!$D$14="Yes",IF(COUNTBLANK('Capacity summary'!$H190:$BG190)&lt;52,IF('Capacity summary'!AM190&lt;&gt;"",$BI71*AM71,0),AM71*$BI71),AM71*$BI71),0)</f>
        <v>0</v>
      </c>
      <c r="CQ71" s="319">
        <f>IF($BI71&lt;&gt;"",IF('Capacity summary'!$D$14="Yes",IF(COUNTBLANK('Capacity summary'!$H190:$BG190)&lt;52,IF('Capacity summary'!AN190&lt;&gt;"",$BI71*AN71,0),AN71*$BI71),AN71*$BI71),0)</f>
        <v>0</v>
      </c>
      <c r="CR71" s="319">
        <f>IF($BI71&lt;&gt;"",IF('Capacity summary'!$D$14="Yes",IF(COUNTBLANK('Capacity summary'!$H190:$BG190)&lt;52,IF('Capacity summary'!AO190&lt;&gt;"",$BI71*AO71,0),AO71*$BI71),AO71*$BI71),0)</f>
        <v>0</v>
      </c>
      <c r="CS71" s="319">
        <f>IF($BI71&lt;&gt;"",IF('Capacity summary'!$D$14="Yes",IF(COUNTBLANK('Capacity summary'!$H190:$BG190)&lt;52,IF('Capacity summary'!AP190&lt;&gt;"",$BI71*AP71,0),AP71*$BI71),AP71*$BI71),0)</f>
        <v>0</v>
      </c>
      <c r="CT71" s="319">
        <f>IF($BI71&lt;&gt;"",IF('Capacity summary'!$D$14="Yes",IF(COUNTBLANK('Capacity summary'!$H190:$BG190)&lt;52,IF('Capacity summary'!AQ190&lt;&gt;"",$BI71*AQ71,0),AQ71*$BI71),AQ71*$BI71),0)</f>
        <v>0</v>
      </c>
      <c r="CU71" s="319">
        <f>IF($BI71&lt;&gt;"",IF('Capacity summary'!$D$14="Yes",IF(COUNTBLANK('Capacity summary'!$H190:$BG190)&lt;52,IF('Capacity summary'!AR190&lt;&gt;"",$BI71*AR71,0),AR71*$BI71),AR71*$BI71),0)</f>
        <v>0</v>
      </c>
      <c r="CV71" s="319">
        <f>IF($BI71&lt;&gt;"",IF('Capacity summary'!$D$14="Yes",IF(COUNTBLANK('Capacity summary'!$H190:$BG190)&lt;52,IF('Capacity summary'!AS190&lt;&gt;"",$BI71*AS71,0),AS71*$BI71),AS71*$BI71),0)</f>
        <v>0</v>
      </c>
      <c r="CW71" s="319">
        <f>IF($BI71&lt;&gt;"",IF('Capacity summary'!$D$14="Yes",IF(COUNTBLANK('Capacity summary'!$H190:$BG190)&lt;52,IF('Capacity summary'!AT190&lt;&gt;"",$BI71*AT71,0),AT71*$BI71),AT71*$BI71),0)</f>
        <v>0</v>
      </c>
      <c r="CX71" s="319">
        <f>IF($BI71&lt;&gt;"",IF('Capacity summary'!$D$14="Yes",IF(COUNTBLANK('Capacity summary'!$H190:$BG190)&lt;52,IF('Capacity summary'!AU190&lt;&gt;"",$BI71*AU71,0),AU71*$BI71),AU71*$BI71),0)</f>
        <v>0</v>
      </c>
      <c r="CY71" s="319">
        <f>IF($BI71&lt;&gt;"",IF('Capacity summary'!$D$14="Yes",IF(COUNTBLANK('Capacity summary'!$H190:$BG190)&lt;52,IF('Capacity summary'!AV190&lt;&gt;"",$BI71*AV71,0),AV71*$BI71),AV71*$BI71),0)</f>
        <v>0</v>
      </c>
      <c r="CZ71" s="319">
        <f>IF($BI71&lt;&gt;"",IF('Capacity summary'!$D$14="Yes",IF(COUNTBLANK('Capacity summary'!$H190:$BG190)&lt;52,IF('Capacity summary'!AW190&lt;&gt;"",$BI71*AW71,0),AW71*$BI71),AW71*$BI71),0)</f>
        <v>0</v>
      </c>
      <c r="DA71" s="319">
        <f>IF($BI71&lt;&gt;"",IF('Capacity summary'!$D$14="Yes",IF(COUNTBLANK('Capacity summary'!$H190:$BG190)&lt;52,IF('Capacity summary'!AX190&lt;&gt;"",$BI71*AX71,0),AX71*$BI71),AX71*$BI71),0)</f>
        <v>0</v>
      </c>
      <c r="DB71" s="319">
        <f>IF($BI71&lt;&gt;"",IF('Capacity summary'!$D$14="Yes",IF(COUNTBLANK('Capacity summary'!$H190:$BG190)&lt;52,IF('Capacity summary'!AY190&lt;&gt;"",$BI71*AY71,0),AY71*$BI71),AY71*$BI71),0)</f>
        <v>0</v>
      </c>
      <c r="DC71" s="319">
        <f>IF($BI71&lt;&gt;"",IF('Capacity summary'!$D$14="Yes",IF(COUNTBLANK('Capacity summary'!$H190:$BG190)&lt;52,IF('Capacity summary'!AZ190&lt;&gt;"",$BI71*AZ71,0),AZ71*$BI71),AZ71*$BI71),0)</f>
        <v>0</v>
      </c>
      <c r="DD71" s="319">
        <f>IF($BI71&lt;&gt;"",IF('Capacity summary'!$D$14="Yes",IF(COUNTBLANK('Capacity summary'!$H190:$BG190)&lt;52,IF('Capacity summary'!BA190&lt;&gt;"",$BI71*BA71,0),BA71*$BI71),BA71*$BI71),0)</f>
        <v>0</v>
      </c>
      <c r="DE71" s="319">
        <f>IF($BI71&lt;&gt;"",IF('Capacity summary'!$D$14="Yes",IF(COUNTBLANK('Capacity summary'!$H190:$BG190)&lt;52,IF('Capacity summary'!BB190&lt;&gt;"",$BI71*BB71,0),BB71*$BI71),BB71*$BI71),0)</f>
        <v>0</v>
      </c>
      <c r="DF71" s="319">
        <f>IF($BI71&lt;&gt;"",IF('Capacity summary'!$D$14="Yes",IF(COUNTBLANK('Capacity summary'!$H190:$BG190)&lt;52,IF('Capacity summary'!BC190&lt;&gt;"",$BI71*BC71,0),BC71*$BI71),BC71*$BI71),0)</f>
        <v>0</v>
      </c>
      <c r="DG71" s="319">
        <f>IF($BI71&lt;&gt;"",IF('Capacity summary'!$D$14="Yes",IF(COUNTBLANK('Capacity summary'!$H190:$BG190)&lt;52,IF('Capacity summary'!BD190&lt;&gt;"",$BI71*BD71,0),BD71*$BI71),BD71*$BI71),0)</f>
        <v>0</v>
      </c>
      <c r="DH71" s="319">
        <f>IF($BI71&lt;&gt;"",IF('Capacity summary'!$D$14="Yes",IF(COUNTBLANK('Capacity summary'!$H190:$BG190)&lt;52,IF('Capacity summary'!BE190&lt;&gt;"",$BI71*BE71,0),BE71*$BI71),BE71*$BI71),0)</f>
        <v>0</v>
      </c>
      <c r="DI71" s="319">
        <f>IF($BI71&lt;&gt;"",IF('Capacity summary'!$D$14="Yes",IF(COUNTBLANK('Capacity summary'!$H190:$BG190)&lt;52,IF('Capacity summary'!BF190&lt;&gt;"",$BI71*BF71,0),BF71*$BI71),BF71*$BI71),0)</f>
        <v>0</v>
      </c>
      <c r="DJ71" s="319">
        <f>IF($BI71&lt;&gt;"",IF('Capacity summary'!$D$14="Yes",IF(COUNTBLANK('Capacity summary'!$H190:$BG190)&lt;52,IF('Capacity summary'!BG190&lt;&gt;"",$BI71*BG71,0),BG71*$BI71),BG71*$BI71),0)</f>
        <v>0</v>
      </c>
      <c r="DK71" s="5">
        <f t="shared" si="3"/>
        <v>0</v>
      </c>
      <c r="DL71" s="5" t="str">
        <f>Capacity!H83</f>
        <v/>
      </c>
    </row>
    <row r="72" spans="2:116" x14ac:dyDescent="0.2">
      <c r="B72" s="68"/>
      <c r="C72" s="68" t="str">
        <f>ROW(A68)&amp;". "&amp;Capacity!B84</f>
        <v xml:space="preserve">68. </v>
      </c>
      <c r="D72" s="68">
        <f>'Capacity setup'!C79</f>
        <v>0</v>
      </c>
      <c r="E72" s="68">
        <f>'Capacity setup'!D79</f>
        <v>0</v>
      </c>
      <c r="F72" s="68">
        <f>'Capacity setup'!E79</f>
        <v>0</v>
      </c>
      <c r="H72" s="68">
        <f ca="1">IF(AND(SUMIF(Capacity_Resource,$D72,'Critical resources (hide)'!U$6:U$105)+SUMIF(Capacity_Resource,$E72,'Critical resources (hide)'!U$6:U$105)+SUMIF(Capacity_Resource,$F72,'Critical resources (hide)'!U$6:U$105)&gt;0,$E$1=2),0,1)</f>
        <v>1</v>
      </c>
      <c r="I72" s="68">
        <f ca="1">IF(AND(SUMIF(Capacity_Resource,$D72,'Critical resources (hide)'!V$6:V$105)+SUMIF(Capacity_Resource,$E72,'Critical resources (hide)'!V$6:V$105)+SUMIF(Capacity_Resource,$F72,'Critical resources (hide)'!V$6:V$105)&gt;0,$E$1=2),0,1)</f>
        <v>1</v>
      </c>
      <c r="J72" s="68">
        <f ca="1">IF(AND(SUMIF(Capacity_Resource,$D72,'Critical resources (hide)'!W$6:W$105)+SUMIF(Capacity_Resource,$E72,'Critical resources (hide)'!W$6:W$105)+SUMIF(Capacity_Resource,$F72,'Critical resources (hide)'!W$6:W$105)&gt;0,$E$1=2),0,1)</f>
        <v>1</v>
      </c>
      <c r="K72" s="68">
        <f ca="1">IF(AND(SUMIF(Capacity_Resource,$D72,'Critical resources (hide)'!X$6:X$105)+SUMIF(Capacity_Resource,$E72,'Critical resources (hide)'!X$6:X$105)+SUMIF(Capacity_Resource,$F72,'Critical resources (hide)'!X$6:X$105)&gt;0,$E$1=2),0,1)</f>
        <v>1</v>
      </c>
      <c r="L72" s="68">
        <f ca="1">IF(AND(SUMIF(Capacity_Resource,$D72,'Critical resources (hide)'!Y$6:Y$105)+SUMIF(Capacity_Resource,$E72,'Critical resources (hide)'!Y$6:Y$105)+SUMIF(Capacity_Resource,$F72,'Critical resources (hide)'!Y$6:Y$105)&gt;0,$E$1=2),0,1)</f>
        <v>1</v>
      </c>
      <c r="M72" s="68">
        <f ca="1">IF(AND(SUMIF(Capacity_Resource,$D72,'Critical resources (hide)'!Z$6:Z$105)+SUMIF(Capacity_Resource,$E72,'Critical resources (hide)'!Z$6:Z$105)+SUMIF(Capacity_Resource,$F72,'Critical resources (hide)'!Z$6:Z$105)&gt;0,$E$1=2),0,1)</f>
        <v>1</v>
      </c>
      <c r="N72" s="68">
        <f ca="1">IF(AND(SUMIF(Capacity_Resource,$D72,'Critical resources (hide)'!AA$6:AA$105)+SUMIF(Capacity_Resource,$E72,'Critical resources (hide)'!AA$6:AA$105)+SUMIF(Capacity_Resource,$F72,'Critical resources (hide)'!AA$6:AA$105)&gt;0,$E$1=2),0,1)</f>
        <v>1</v>
      </c>
      <c r="O72" s="68">
        <f ca="1">IF(AND(SUMIF(Capacity_Resource,$D72,'Critical resources (hide)'!AB$6:AB$105)+SUMIF(Capacity_Resource,$E72,'Critical resources (hide)'!AB$6:AB$105)+SUMIF(Capacity_Resource,$F72,'Critical resources (hide)'!AB$6:AB$105)&gt;0,$E$1=2),0,1)</f>
        <v>1</v>
      </c>
      <c r="P72" s="68">
        <f ca="1">IF(AND(SUMIF(Capacity_Resource,$D72,'Critical resources (hide)'!AC$6:AC$105)+SUMIF(Capacity_Resource,$E72,'Critical resources (hide)'!AC$6:AC$105)+SUMIF(Capacity_Resource,$F72,'Critical resources (hide)'!AC$6:AC$105)&gt;0,$E$1=2),0,1)</f>
        <v>1</v>
      </c>
      <c r="Q72" s="68">
        <f ca="1">IF(AND(SUMIF(Capacity_Resource,$D72,'Critical resources (hide)'!AD$6:AD$105)+SUMIF(Capacity_Resource,$E72,'Critical resources (hide)'!AD$6:AD$105)+SUMIF(Capacity_Resource,$F72,'Critical resources (hide)'!AD$6:AD$105)&gt;0,$E$1=2),0,1)</f>
        <v>1</v>
      </c>
      <c r="R72" s="68">
        <f ca="1">IF(AND(SUMIF(Capacity_Resource,$D72,'Critical resources (hide)'!AE$6:AE$105)+SUMIF(Capacity_Resource,$E72,'Critical resources (hide)'!AE$6:AE$105)+SUMIF(Capacity_Resource,$F72,'Critical resources (hide)'!AE$6:AE$105)&gt;0,$E$1=2),0,1)</f>
        <v>1</v>
      </c>
      <c r="S72" s="68">
        <f ca="1">IF(AND(SUMIF(Capacity_Resource,$D72,'Critical resources (hide)'!AF$6:AF$105)+SUMIF(Capacity_Resource,$E72,'Critical resources (hide)'!AF$6:AF$105)+SUMIF(Capacity_Resource,$F72,'Critical resources (hide)'!AF$6:AF$105)&gt;0,$E$1=2),0,1)</f>
        <v>1</v>
      </c>
      <c r="T72" s="68">
        <f ca="1">IF(AND(SUMIF(Capacity_Resource,$D72,'Critical resources (hide)'!AG$6:AG$105)+SUMIF(Capacity_Resource,$E72,'Critical resources (hide)'!AG$6:AG$105)+SUMIF(Capacity_Resource,$F72,'Critical resources (hide)'!AG$6:AG$105)&gt;0,$E$1=2),0,1)</f>
        <v>1</v>
      </c>
      <c r="U72" s="68">
        <f ca="1">IF(AND(SUMIF(Capacity_Resource,$D72,'Critical resources (hide)'!AH$6:AH$105)+SUMIF(Capacity_Resource,$E72,'Critical resources (hide)'!AH$6:AH$105)+SUMIF(Capacity_Resource,$F72,'Critical resources (hide)'!AH$6:AH$105)&gt;0,$E$1=2),0,1)</f>
        <v>1</v>
      </c>
      <c r="V72" s="68">
        <f ca="1">IF(AND(SUMIF(Capacity_Resource,$D72,'Critical resources (hide)'!AI$6:AI$105)+SUMIF(Capacity_Resource,$E72,'Critical resources (hide)'!AI$6:AI$105)+SUMIF(Capacity_Resource,$F72,'Critical resources (hide)'!AI$6:AI$105)&gt;0,$E$1=2),0,1)</f>
        <v>1</v>
      </c>
      <c r="W72" s="68">
        <f ca="1">IF(AND(SUMIF(Capacity_Resource,$D72,'Critical resources (hide)'!AJ$6:AJ$105)+SUMIF(Capacity_Resource,$E72,'Critical resources (hide)'!AJ$6:AJ$105)+SUMIF(Capacity_Resource,$F72,'Critical resources (hide)'!AJ$6:AJ$105)&gt;0,$E$1=2),0,1)</f>
        <v>1</v>
      </c>
      <c r="X72" s="68">
        <f ca="1">IF(AND(SUMIF(Capacity_Resource,$D72,'Critical resources (hide)'!AK$6:AK$105)+SUMIF(Capacity_Resource,$E72,'Critical resources (hide)'!AK$6:AK$105)+SUMIF(Capacity_Resource,$F72,'Critical resources (hide)'!AK$6:AK$105)&gt;0,$E$1=2),0,1)</f>
        <v>1</v>
      </c>
      <c r="Y72" s="68">
        <f ca="1">IF(AND(SUMIF(Capacity_Resource,$D72,'Critical resources (hide)'!AL$6:AL$105)+SUMIF(Capacity_Resource,$E72,'Critical resources (hide)'!AL$6:AL$105)+SUMIF(Capacity_Resource,$F72,'Critical resources (hide)'!AL$6:AL$105)&gt;0,$E$1=2),0,1)</f>
        <v>1</v>
      </c>
      <c r="Z72" s="68">
        <f ca="1">IF(AND(SUMIF(Capacity_Resource,$D72,'Critical resources (hide)'!AM$6:AM$105)+SUMIF(Capacity_Resource,$E72,'Critical resources (hide)'!AM$6:AM$105)+SUMIF(Capacity_Resource,$F72,'Critical resources (hide)'!AM$6:AM$105)&gt;0,$E$1=2),0,1)</f>
        <v>1</v>
      </c>
      <c r="AA72" s="68">
        <f ca="1">IF(AND(SUMIF(Capacity_Resource,$D72,'Critical resources (hide)'!AN$6:AN$105)+SUMIF(Capacity_Resource,$E72,'Critical resources (hide)'!AN$6:AN$105)+SUMIF(Capacity_Resource,$F72,'Critical resources (hide)'!AN$6:AN$105)&gt;0,$E$1=2),0,1)</f>
        <v>1</v>
      </c>
      <c r="AB72" s="68">
        <f ca="1">IF(AND(SUMIF(Capacity_Resource,$D72,'Critical resources (hide)'!AO$6:AO$105)+SUMIF(Capacity_Resource,$E72,'Critical resources (hide)'!AO$6:AO$105)+SUMIF(Capacity_Resource,$F72,'Critical resources (hide)'!AO$6:AO$105)&gt;0,$E$1=2),0,1)</f>
        <v>1</v>
      </c>
      <c r="AC72" s="68">
        <f ca="1">IF(AND(SUMIF(Capacity_Resource,$D72,'Critical resources (hide)'!AP$6:AP$105)+SUMIF(Capacity_Resource,$E72,'Critical resources (hide)'!AP$6:AP$105)+SUMIF(Capacity_Resource,$F72,'Critical resources (hide)'!AP$6:AP$105)&gt;0,$E$1=2),0,1)</f>
        <v>1</v>
      </c>
      <c r="AD72" s="68">
        <f ca="1">IF(AND(SUMIF(Capacity_Resource,$D72,'Critical resources (hide)'!AQ$6:AQ$105)+SUMIF(Capacity_Resource,$E72,'Critical resources (hide)'!AQ$6:AQ$105)+SUMIF(Capacity_Resource,$F72,'Critical resources (hide)'!AQ$6:AQ$105)&gt;0,$E$1=2),0,1)</f>
        <v>1</v>
      </c>
      <c r="AE72" s="68">
        <f ca="1">IF(AND(SUMIF(Capacity_Resource,$D72,'Critical resources (hide)'!AR$6:AR$105)+SUMIF(Capacity_Resource,$E72,'Critical resources (hide)'!AR$6:AR$105)+SUMIF(Capacity_Resource,$F72,'Critical resources (hide)'!AR$6:AR$105)&gt;0,$E$1=2),0,1)</f>
        <v>1</v>
      </c>
      <c r="AF72" s="68">
        <f ca="1">IF(AND(SUMIF(Capacity_Resource,$D72,'Critical resources (hide)'!AS$6:AS$105)+SUMIF(Capacity_Resource,$E72,'Critical resources (hide)'!AS$6:AS$105)+SUMIF(Capacity_Resource,$F72,'Critical resources (hide)'!AS$6:AS$105)&gt;0,$E$1=2),0,1)</f>
        <v>1</v>
      </c>
      <c r="AG72" s="68">
        <f ca="1">IF(AND(SUMIF(Capacity_Resource,$D72,'Critical resources (hide)'!AT$6:AT$105)+SUMIF(Capacity_Resource,$E72,'Critical resources (hide)'!AT$6:AT$105)+SUMIF(Capacity_Resource,$F72,'Critical resources (hide)'!AT$6:AT$105)&gt;0,$E$1=2),0,1)</f>
        <v>1</v>
      </c>
      <c r="AH72" s="68">
        <f ca="1">IF(AND(SUMIF(Capacity_Resource,$D72,'Critical resources (hide)'!AU$6:AU$105)+SUMIF(Capacity_Resource,$E72,'Critical resources (hide)'!AU$6:AU$105)+SUMIF(Capacity_Resource,$F72,'Critical resources (hide)'!AU$6:AU$105)&gt;0,$E$1=2),0,1)</f>
        <v>1</v>
      </c>
      <c r="AI72" s="68">
        <f ca="1">IF(AND(SUMIF(Capacity_Resource,$D72,'Critical resources (hide)'!AV$6:AV$105)+SUMIF(Capacity_Resource,$E72,'Critical resources (hide)'!AV$6:AV$105)+SUMIF(Capacity_Resource,$F72,'Critical resources (hide)'!AV$6:AV$105)&gt;0,$E$1=2),0,1)</f>
        <v>1</v>
      </c>
      <c r="AJ72" s="68">
        <f ca="1">IF(AND(SUMIF(Capacity_Resource,$D72,'Critical resources (hide)'!AW$6:AW$105)+SUMIF(Capacity_Resource,$E72,'Critical resources (hide)'!AW$6:AW$105)+SUMIF(Capacity_Resource,$F72,'Critical resources (hide)'!AW$6:AW$105)&gt;0,$E$1=2),0,1)</f>
        <v>1</v>
      </c>
      <c r="AK72" s="68">
        <f ca="1">IF(AND(SUMIF(Capacity_Resource,$D72,'Critical resources (hide)'!AX$6:AX$105)+SUMIF(Capacity_Resource,$E72,'Critical resources (hide)'!AX$6:AX$105)+SUMIF(Capacity_Resource,$F72,'Critical resources (hide)'!AX$6:AX$105)&gt;0,$E$1=2),0,1)</f>
        <v>1</v>
      </c>
      <c r="AL72" s="68">
        <f ca="1">IF(AND(SUMIF(Capacity_Resource,$D72,'Critical resources (hide)'!AY$6:AY$105)+SUMIF(Capacity_Resource,$E72,'Critical resources (hide)'!AY$6:AY$105)+SUMIF(Capacity_Resource,$F72,'Critical resources (hide)'!AY$6:AY$105)&gt;0,$E$1=2),0,1)</f>
        <v>1</v>
      </c>
      <c r="AM72" s="68">
        <f ca="1">IF(AND(SUMIF(Capacity_Resource,$D72,'Critical resources (hide)'!AZ$6:AZ$105)+SUMIF(Capacity_Resource,$E72,'Critical resources (hide)'!AZ$6:AZ$105)+SUMIF(Capacity_Resource,$F72,'Critical resources (hide)'!AZ$6:AZ$105)&gt;0,$E$1=2),0,1)</f>
        <v>1</v>
      </c>
      <c r="AN72" s="68">
        <f ca="1">IF(AND(SUMIF(Capacity_Resource,$D72,'Critical resources (hide)'!BA$6:BA$105)+SUMIF(Capacity_Resource,$E72,'Critical resources (hide)'!BA$6:BA$105)+SUMIF(Capacity_Resource,$F72,'Critical resources (hide)'!BA$6:BA$105)&gt;0,$E$1=2),0,1)</f>
        <v>1</v>
      </c>
      <c r="AO72" s="68">
        <f ca="1">IF(AND(SUMIF(Capacity_Resource,$D72,'Critical resources (hide)'!BB$6:BB$105)+SUMIF(Capacity_Resource,$E72,'Critical resources (hide)'!BB$6:BB$105)+SUMIF(Capacity_Resource,$F72,'Critical resources (hide)'!BB$6:BB$105)&gt;0,$E$1=2),0,1)</f>
        <v>1</v>
      </c>
      <c r="AP72" s="68">
        <f ca="1">IF(AND(SUMIF(Capacity_Resource,$D72,'Critical resources (hide)'!BC$6:BC$105)+SUMIF(Capacity_Resource,$E72,'Critical resources (hide)'!BC$6:BC$105)+SUMIF(Capacity_Resource,$F72,'Critical resources (hide)'!BC$6:BC$105)&gt;0,$E$1=2),0,1)</f>
        <v>1</v>
      </c>
      <c r="AQ72" s="68">
        <f ca="1">IF(AND(SUMIF(Capacity_Resource,$D72,'Critical resources (hide)'!BD$6:BD$105)+SUMIF(Capacity_Resource,$E72,'Critical resources (hide)'!BD$6:BD$105)+SUMIF(Capacity_Resource,$F72,'Critical resources (hide)'!BD$6:BD$105)&gt;0,$E$1=2),0,1)</f>
        <v>1</v>
      </c>
      <c r="AR72" s="68">
        <f ca="1">IF(AND(SUMIF(Capacity_Resource,$D72,'Critical resources (hide)'!BE$6:BE$105)+SUMIF(Capacity_Resource,$E72,'Critical resources (hide)'!BE$6:BE$105)+SUMIF(Capacity_Resource,$F72,'Critical resources (hide)'!BE$6:BE$105)&gt;0,$E$1=2),0,1)</f>
        <v>1</v>
      </c>
      <c r="AS72" s="68">
        <f ca="1">IF(AND(SUMIF(Capacity_Resource,$D72,'Critical resources (hide)'!BF$6:BF$105)+SUMIF(Capacity_Resource,$E72,'Critical resources (hide)'!BF$6:BF$105)+SUMIF(Capacity_Resource,$F72,'Critical resources (hide)'!BF$6:BF$105)&gt;0,$E$1=2),0,1)</f>
        <v>1</v>
      </c>
      <c r="AT72" s="68">
        <f ca="1">IF(AND(SUMIF(Capacity_Resource,$D72,'Critical resources (hide)'!BG$6:BG$105)+SUMIF(Capacity_Resource,$E72,'Critical resources (hide)'!BG$6:BG$105)+SUMIF(Capacity_Resource,$F72,'Critical resources (hide)'!BG$6:BG$105)&gt;0,$E$1=2),0,1)</f>
        <v>1</v>
      </c>
      <c r="AU72" s="68">
        <f ca="1">IF(AND(SUMIF(Capacity_Resource,$D72,'Critical resources (hide)'!BH$6:BH$105)+SUMIF(Capacity_Resource,$E72,'Critical resources (hide)'!BH$6:BH$105)+SUMIF(Capacity_Resource,$F72,'Critical resources (hide)'!BH$6:BH$105)&gt;0,$E$1=2),0,1)</f>
        <v>1</v>
      </c>
      <c r="AV72" s="68">
        <f ca="1">IF(AND(SUMIF(Capacity_Resource,$D72,'Critical resources (hide)'!BI$6:BI$105)+SUMIF(Capacity_Resource,$E72,'Critical resources (hide)'!BI$6:BI$105)+SUMIF(Capacity_Resource,$F72,'Critical resources (hide)'!BI$6:BI$105)&gt;0,$E$1=2),0,1)</f>
        <v>1</v>
      </c>
      <c r="AW72" s="68">
        <f ca="1">IF(AND(SUMIF(Capacity_Resource,$D72,'Critical resources (hide)'!BJ$6:BJ$105)+SUMIF(Capacity_Resource,$E72,'Critical resources (hide)'!BJ$6:BJ$105)+SUMIF(Capacity_Resource,$F72,'Critical resources (hide)'!BJ$6:BJ$105)&gt;0,$E$1=2),0,1)</f>
        <v>1</v>
      </c>
      <c r="AX72" s="68">
        <f ca="1">IF(AND(SUMIF(Capacity_Resource,$D72,'Critical resources (hide)'!BK$6:BK$105)+SUMIF(Capacity_Resource,$E72,'Critical resources (hide)'!BK$6:BK$105)+SUMIF(Capacity_Resource,$F72,'Critical resources (hide)'!BK$6:BK$105)&gt;0,$E$1=2),0,1)</f>
        <v>1</v>
      </c>
      <c r="AY72" s="68">
        <f ca="1">IF(AND(SUMIF(Capacity_Resource,$D72,'Critical resources (hide)'!BL$6:BL$105)+SUMIF(Capacity_Resource,$E72,'Critical resources (hide)'!BL$6:BL$105)+SUMIF(Capacity_Resource,$F72,'Critical resources (hide)'!BL$6:BL$105)&gt;0,$E$1=2),0,1)</f>
        <v>1</v>
      </c>
      <c r="AZ72" s="68">
        <f ca="1">IF(AND(SUMIF(Capacity_Resource,$D72,'Critical resources (hide)'!BM$6:BM$105)+SUMIF(Capacity_Resource,$E72,'Critical resources (hide)'!BM$6:BM$105)+SUMIF(Capacity_Resource,$F72,'Critical resources (hide)'!BM$6:BM$105)&gt;0,$E$1=2),0,1)</f>
        <v>1</v>
      </c>
      <c r="BA72" s="68">
        <f ca="1">IF(AND(SUMIF(Capacity_Resource,$D72,'Critical resources (hide)'!BN$6:BN$105)+SUMIF(Capacity_Resource,$E72,'Critical resources (hide)'!BN$6:BN$105)+SUMIF(Capacity_Resource,$F72,'Critical resources (hide)'!BN$6:BN$105)&gt;0,$E$1=2),0,1)</f>
        <v>1</v>
      </c>
      <c r="BB72" s="68">
        <f ca="1">IF(AND(SUMIF(Capacity_Resource,$D72,'Critical resources (hide)'!BO$6:BO$105)+SUMIF(Capacity_Resource,$E72,'Critical resources (hide)'!BO$6:BO$105)+SUMIF(Capacity_Resource,$F72,'Critical resources (hide)'!BO$6:BO$105)&gt;0,$E$1=2),0,1)</f>
        <v>1</v>
      </c>
      <c r="BC72" s="68">
        <f ca="1">IF(AND(SUMIF(Capacity_Resource,$D72,'Critical resources (hide)'!BP$6:BP$105)+SUMIF(Capacity_Resource,$E72,'Critical resources (hide)'!BP$6:BP$105)+SUMIF(Capacity_Resource,$F72,'Critical resources (hide)'!BP$6:BP$105)&gt;0,$E$1=2),0,1)</f>
        <v>1</v>
      </c>
      <c r="BD72" s="68">
        <f ca="1">IF(AND(SUMIF(Capacity_Resource,$D72,'Critical resources (hide)'!BQ$6:BQ$105)+SUMIF(Capacity_Resource,$E72,'Critical resources (hide)'!BQ$6:BQ$105)+SUMIF(Capacity_Resource,$F72,'Critical resources (hide)'!BQ$6:BQ$105)&gt;0,$E$1=2),0,1)</f>
        <v>1</v>
      </c>
      <c r="BE72" s="68">
        <f ca="1">IF(AND(SUMIF(Capacity_Resource,$D72,'Critical resources (hide)'!BR$6:BR$105)+SUMIF(Capacity_Resource,$E72,'Critical resources (hide)'!BR$6:BR$105)+SUMIF(Capacity_Resource,$F72,'Critical resources (hide)'!BR$6:BR$105)&gt;0,$E$1=2),0,1)</f>
        <v>1</v>
      </c>
      <c r="BF72" s="68">
        <f ca="1">IF(AND(SUMIF(Capacity_Resource,$D72,'Critical resources (hide)'!BS$6:BS$105)+SUMIF(Capacity_Resource,$E72,'Critical resources (hide)'!BS$6:BS$105)+SUMIF(Capacity_Resource,$F72,'Critical resources (hide)'!BS$6:BS$105)&gt;0,$E$1=2),0,1)</f>
        <v>1</v>
      </c>
      <c r="BG72" s="68">
        <f ca="1">IF(AND(SUMIF(Capacity_Resource,$D72,'Critical resources (hide)'!BT$6:BT$105)+SUMIF(Capacity_Resource,$E72,'Critical resources (hide)'!BT$6:BT$105)+SUMIF(Capacity_Resource,$F72,'Critical resources (hide)'!BT$6:BT$105)&gt;0,$E$1=2),0,1)</f>
        <v>1</v>
      </c>
      <c r="BH72" s="68">
        <f>IF(ROW(C68)&lt;=Capacity!$A$16,IF('Capacity summary'!$D$14="No",SUM(H72:BG72),'Capacity summary'!$E191),0)</f>
        <v>0</v>
      </c>
      <c r="BI72" s="5" t="str">
        <f>IF(BH72&gt;0,IF(BH72&lt;Capacity!E84,Capacity!F84,Capacity!H84/'Capacity calculation (hide)'!BH72),"")</f>
        <v/>
      </c>
      <c r="BK72" s="319">
        <f>IF($BI72&lt;&gt;"",IF('Capacity summary'!$D$14="Yes",IF(COUNTBLANK('Capacity summary'!$H191:$BG191)&lt;52,IF('Capacity summary'!H191&lt;&gt;"",$BI72*H72,0),H72*$BI72),H72*$BI72),0)</f>
        <v>0</v>
      </c>
      <c r="BL72" s="319">
        <f>IF($BI72&lt;&gt;"",IF('Capacity summary'!$D$14="Yes",IF(COUNTBLANK('Capacity summary'!$H191:$BG191)&lt;52,IF('Capacity summary'!I191&lt;&gt;"",$BI72*I72,0),I72*$BI72),I72*$BI72),0)</f>
        <v>0</v>
      </c>
      <c r="BM72" s="319">
        <f>IF($BI72&lt;&gt;"",IF('Capacity summary'!$D$14="Yes",IF(COUNTBLANK('Capacity summary'!$H191:$BG191)&lt;52,IF('Capacity summary'!J191&lt;&gt;"",$BI72*J72,0),J72*$BI72),J72*$BI72),0)</f>
        <v>0</v>
      </c>
      <c r="BN72" s="319">
        <f>IF($BI72&lt;&gt;"",IF('Capacity summary'!$D$14="Yes",IF(COUNTBLANK('Capacity summary'!$H191:$BG191)&lt;52,IF('Capacity summary'!K191&lt;&gt;"",$BI72*K72,0),K72*$BI72),K72*$BI72),0)</f>
        <v>0</v>
      </c>
      <c r="BO72" s="319">
        <f>IF($BI72&lt;&gt;"",IF('Capacity summary'!$D$14="Yes",IF(COUNTBLANK('Capacity summary'!$H191:$BG191)&lt;52,IF('Capacity summary'!L191&lt;&gt;"",$BI72*L72,0),L72*$BI72),L72*$BI72),0)</f>
        <v>0</v>
      </c>
      <c r="BP72" s="319">
        <f>IF($BI72&lt;&gt;"",IF('Capacity summary'!$D$14="Yes",IF(COUNTBLANK('Capacity summary'!$H191:$BG191)&lt;52,IF('Capacity summary'!M191&lt;&gt;"",$BI72*M72,0),M72*$BI72),M72*$BI72),0)</f>
        <v>0</v>
      </c>
      <c r="BQ72" s="319">
        <f>IF($BI72&lt;&gt;"",IF('Capacity summary'!$D$14="Yes",IF(COUNTBLANK('Capacity summary'!$H191:$BG191)&lt;52,IF('Capacity summary'!N191&lt;&gt;"",$BI72*N72,0),N72*$BI72),N72*$BI72),0)</f>
        <v>0</v>
      </c>
      <c r="BR72" s="319">
        <f>IF($BI72&lt;&gt;"",IF('Capacity summary'!$D$14="Yes",IF(COUNTBLANK('Capacity summary'!$H191:$BG191)&lt;52,IF('Capacity summary'!O191&lt;&gt;"",$BI72*O72,0),O72*$BI72),O72*$BI72),0)</f>
        <v>0</v>
      </c>
      <c r="BS72" s="319">
        <f>IF($BI72&lt;&gt;"",IF('Capacity summary'!$D$14="Yes",IF(COUNTBLANK('Capacity summary'!$H191:$BG191)&lt;52,IF('Capacity summary'!P191&lt;&gt;"",$BI72*P72,0),P72*$BI72),P72*$BI72),0)</f>
        <v>0</v>
      </c>
      <c r="BT72" s="319">
        <f>IF($BI72&lt;&gt;"",IF('Capacity summary'!$D$14="Yes",IF(COUNTBLANK('Capacity summary'!$H191:$BG191)&lt;52,IF('Capacity summary'!Q191&lt;&gt;"",$BI72*Q72,0),Q72*$BI72),Q72*$BI72),0)</f>
        <v>0</v>
      </c>
      <c r="BU72" s="319">
        <f>IF($BI72&lt;&gt;"",IF('Capacity summary'!$D$14="Yes",IF(COUNTBLANK('Capacity summary'!$H191:$BG191)&lt;52,IF('Capacity summary'!R191&lt;&gt;"",$BI72*R72,0),R72*$BI72),R72*$BI72),0)</f>
        <v>0</v>
      </c>
      <c r="BV72" s="319">
        <f>IF($BI72&lt;&gt;"",IF('Capacity summary'!$D$14="Yes",IF(COUNTBLANK('Capacity summary'!$H191:$BG191)&lt;52,IF('Capacity summary'!S191&lt;&gt;"",$BI72*S72,0),S72*$BI72),S72*$BI72),0)</f>
        <v>0</v>
      </c>
      <c r="BW72" s="319">
        <f>IF($BI72&lt;&gt;"",IF('Capacity summary'!$D$14="Yes",IF(COUNTBLANK('Capacity summary'!$H191:$BG191)&lt;52,IF('Capacity summary'!T191&lt;&gt;"",$BI72*T72,0),T72*$BI72),T72*$BI72),0)</f>
        <v>0</v>
      </c>
      <c r="BX72" s="319">
        <f>IF($BI72&lt;&gt;"",IF('Capacity summary'!$D$14="Yes",IF(COUNTBLANK('Capacity summary'!$H191:$BG191)&lt;52,IF('Capacity summary'!U191&lt;&gt;"",$BI72*U72,0),U72*$BI72),U72*$BI72),0)</f>
        <v>0</v>
      </c>
      <c r="BY72" s="319">
        <f>IF($BI72&lt;&gt;"",IF('Capacity summary'!$D$14="Yes",IF(COUNTBLANK('Capacity summary'!$H191:$BG191)&lt;52,IF('Capacity summary'!V191&lt;&gt;"",$BI72*V72,0),V72*$BI72),V72*$BI72),0)</f>
        <v>0</v>
      </c>
      <c r="BZ72" s="319">
        <f>IF($BI72&lt;&gt;"",IF('Capacity summary'!$D$14="Yes",IF(COUNTBLANK('Capacity summary'!$H191:$BG191)&lt;52,IF('Capacity summary'!W191&lt;&gt;"",$BI72*W72,0),W72*$BI72),W72*$BI72),0)</f>
        <v>0</v>
      </c>
      <c r="CA72" s="319">
        <f>IF($BI72&lt;&gt;"",IF('Capacity summary'!$D$14="Yes",IF(COUNTBLANK('Capacity summary'!$H191:$BG191)&lt;52,IF('Capacity summary'!X191&lt;&gt;"",$BI72*X72,0),X72*$BI72),X72*$BI72),0)</f>
        <v>0</v>
      </c>
      <c r="CB72" s="319">
        <f>IF($BI72&lt;&gt;"",IF('Capacity summary'!$D$14="Yes",IF(COUNTBLANK('Capacity summary'!$H191:$BG191)&lt;52,IF('Capacity summary'!Y191&lt;&gt;"",$BI72*Y72,0),Y72*$BI72),Y72*$BI72),0)</f>
        <v>0</v>
      </c>
      <c r="CC72" s="319">
        <f>IF($BI72&lt;&gt;"",IF('Capacity summary'!$D$14="Yes",IF(COUNTBLANK('Capacity summary'!$H191:$BG191)&lt;52,IF('Capacity summary'!Z191&lt;&gt;"",$BI72*Z72,0),Z72*$BI72),Z72*$BI72),0)</f>
        <v>0</v>
      </c>
      <c r="CD72" s="319">
        <f>IF($BI72&lt;&gt;"",IF('Capacity summary'!$D$14="Yes",IF(COUNTBLANK('Capacity summary'!$H191:$BG191)&lt;52,IF('Capacity summary'!AA191&lt;&gt;"",$BI72*AA72,0),AA72*$BI72),AA72*$BI72),0)</f>
        <v>0</v>
      </c>
      <c r="CE72" s="319">
        <f>IF($BI72&lt;&gt;"",IF('Capacity summary'!$D$14="Yes",IF(COUNTBLANK('Capacity summary'!$H191:$BG191)&lt;52,IF('Capacity summary'!AB191&lt;&gt;"",$BI72*AB72,0),AB72*$BI72),AB72*$BI72),0)</f>
        <v>0</v>
      </c>
      <c r="CF72" s="319">
        <f>IF($BI72&lt;&gt;"",IF('Capacity summary'!$D$14="Yes",IF(COUNTBLANK('Capacity summary'!$H191:$BG191)&lt;52,IF('Capacity summary'!AC191&lt;&gt;"",$BI72*AC72,0),AC72*$BI72),AC72*$BI72),0)</f>
        <v>0</v>
      </c>
      <c r="CG72" s="319">
        <f>IF($BI72&lt;&gt;"",IF('Capacity summary'!$D$14="Yes",IF(COUNTBLANK('Capacity summary'!$H191:$BG191)&lt;52,IF('Capacity summary'!AD191&lt;&gt;"",$BI72*AD72,0),AD72*$BI72),AD72*$BI72),0)</f>
        <v>0</v>
      </c>
      <c r="CH72" s="319">
        <f>IF($BI72&lt;&gt;"",IF('Capacity summary'!$D$14="Yes",IF(COUNTBLANK('Capacity summary'!$H191:$BG191)&lt;52,IF('Capacity summary'!AE191&lt;&gt;"",$BI72*AE72,0),AE72*$BI72),AE72*$BI72),0)</f>
        <v>0</v>
      </c>
      <c r="CI72" s="319">
        <f>IF($BI72&lt;&gt;"",IF('Capacity summary'!$D$14="Yes",IF(COUNTBLANK('Capacity summary'!$H191:$BG191)&lt;52,IF('Capacity summary'!AF191&lt;&gt;"",$BI72*AF72,0),AF72*$BI72),AF72*$BI72),0)</f>
        <v>0</v>
      </c>
      <c r="CJ72" s="319">
        <f>IF($BI72&lt;&gt;"",IF('Capacity summary'!$D$14="Yes",IF(COUNTBLANK('Capacity summary'!$H191:$BG191)&lt;52,IF('Capacity summary'!AG191&lt;&gt;"",$BI72*AG72,0),AG72*$BI72),AG72*$BI72),0)</f>
        <v>0</v>
      </c>
      <c r="CK72" s="319">
        <f>IF($BI72&lt;&gt;"",IF('Capacity summary'!$D$14="Yes",IF(COUNTBLANK('Capacity summary'!$H191:$BG191)&lt;52,IF('Capacity summary'!AH191&lt;&gt;"",$BI72*AH72,0),AH72*$BI72),AH72*$BI72),0)</f>
        <v>0</v>
      </c>
      <c r="CL72" s="319">
        <f>IF($BI72&lt;&gt;"",IF('Capacity summary'!$D$14="Yes",IF(COUNTBLANK('Capacity summary'!$H191:$BG191)&lt;52,IF('Capacity summary'!AI191&lt;&gt;"",$BI72*AI72,0),AI72*$BI72),AI72*$BI72),0)</f>
        <v>0</v>
      </c>
      <c r="CM72" s="319">
        <f>IF($BI72&lt;&gt;"",IF('Capacity summary'!$D$14="Yes",IF(COUNTBLANK('Capacity summary'!$H191:$BG191)&lt;52,IF('Capacity summary'!AJ191&lt;&gt;"",$BI72*AJ72,0),AJ72*$BI72),AJ72*$BI72),0)</f>
        <v>0</v>
      </c>
      <c r="CN72" s="319">
        <f>IF($BI72&lt;&gt;"",IF('Capacity summary'!$D$14="Yes",IF(COUNTBLANK('Capacity summary'!$H191:$BG191)&lt;52,IF('Capacity summary'!AK191&lt;&gt;"",$BI72*AK72,0),AK72*$BI72),AK72*$BI72),0)</f>
        <v>0</v>
      </c>
      <c r="CO72" s="319">
        <f>IF($BI72&lt;&gt;"",IF('Capacity summary'!$D$14="Yes",IF(COUNTBLANK('Capacity summary'!$H191:$BG191)&lt;52,IF('Capacity summary'!AL191&lt;&gt;"",$BI72*AL72,0),AL72*$BI72),AL72*$BI72),0)</f>
        <v>0</v>
      </c>
      <c r="CP72" s="319">
        <f>IF($BI72&lt;&gt;"",IF('Capacity summary'!$D$14="Yes",IF(COUNTBLANK('Capacity summary'!$H191:$BG191)&lt;52,IF('Capacity summary'!AM191&lt;&gt;"",$BI72*AM72,0),AM72*$BI72),AM72*$BI72),0)</f>
        <v>0</v>
      </c>
      <c r="CQ72" s="319">
        <f>IF($BI72&lt;&gt;"",IF('Capacity summary'!$D$14="Yes",IF(COUNTBLANK('Capacity summary'!$H191:$BG191)&lt;52,IF('Capacity summary'!AN191&lt;&gt;"",$BI72*AN72,0),AN72*$BI72),AN72*$BI72),0)</f>
        <v>0</v>
      </c>
      <c r="CR72" s="319">
        <f>IF($BI72&lt;&gt;"",IF('Capacity summary'!$D$14="Yes",IF(COUNTBLANK('Capacity summary'!$H191:$BG191)&lt;52,IF('Capacity summary'!AO191&lt;&gt;"",$BI72*AO72,0),AO72*$BI72),AO72*$BI72),0)</f>
        <v>0</v>
      </c>
      <c r="CS72" s="319">
        <f>IF($BI72&lt;&gt;"",IF('Capacity summary'!$D$14="Yes",IF(COUNTBLANK('Capacity summary'!$H191:$BG191)&lt;52,IF('Capacity summary'!AP191&lt;&gt;"",$BI72*AP72,0),AP72*$BI72),AP72*$BI72),0)</f>
        <v>0</v>
      </c>
      <c r="CT72" s="319">
        <f>IF($BI72&lt;&gt;"",IF('Capacity summary'!$D$14="Yes",IF(COUNTBLANK('Capacity summary'!$H191:$BG191)&lt;52,IF('Capacity summary'!AQ191&lt;&gt;"",$BI72*AQ72,0),AQ72*$BI72),AQ72*$BI72),0)</f>
        <v>0</v>
      </c>
      <c r="CU72" s="319">
        <f>IF($BI72&lt;&gt;"",IF('Capacity summary'!$D$14="Yes",IF(COUNTBLANK('Capacity summary'!$H191:$BG191)&lt;52,IF('Capacity summary'!AR191&lt;&gt;"",$BI72*AR72,0),AR72*$BI72),AR72*$BI72),0)</f>
        <v>0</v>
      </c>
      <c r="CV72" s="319">
        <f>IF($BI72&lt;&gt;"",IF('Capacity summary'!$D$14="Yes",IF(COUNTBLANK('Capacity summary'!$H191:$BG191)&lt;52,IF('Capacity summary'!AS191&lt;&gt;"",$BI72*AS72,0),AS72*$BI72),AS72*$BI72),0)</f>
        <v>0</v>
      </c>
      <c r="CW72" s="319">
        <f>IF($BI72&lt;&gt;"",IF('Capacity summary'!$D$14="Yes",IF(COUNTBLANK('Capacity summary'!$H191:$BG191)&lt;52,IF('Capacity summary'!AT191&lt;&gt;"",$BI72*AT72,0),AT72*$BI72),AT72*$BI72),0)</f>
        <v>0</v>
      </c>
      <c r="CX72" s="319">
        <f>IF($BI72&lt;&gt;"",IF('Capacity summary'!$D$14="Yes",IF(COUNTBLANK('Capacity summary'!$H191:$BG191)&lt;52,IF('Capacity summary'!AU191&lt;&gt;"",$BI72*AU72,0),AU72*$BI72),AU72*$BI72),0)</f>
        <v>0</v>
      </c>
      <c r="CY72" s="319">
        <f>IF($BI72&lt;&gt;"",IF('Capacity summary'!$D$14="Yes",IF(COUNTBLANK('Capacity summary'!$H191:$BG191)&lt;52,IF('Capacity summary'!AV191&lt;&gt;"",$BI72*AV72,0),AV72*$BI72),AV72*$BI72),0)</f>
        <v>0</v>
      </c>
      <c r="CZ72" s="319">
        <f>IF($BI72&lt;&gt;"",IF('Capacity summary'!$D$14="Yes",IF(COUNTBLANK('Capacity summary'!$H191:$BG191)&lt;52,IF('Capacity summary'!AW191&lt;&gt;"",$BI72*AW72,0),AW72*$BI72),AW72*$BI72),0)</f>
        <v>0</v>
      </c>
      <c r="DA72" s="319">
        <f>IF($BI72&lt;&gt;"",IF('Capacity summary'!$D$14="Yes",IF(COUNTBLANK('Capacity summary'!$H191:$BG191)&lt;52,IF('Capacity summary'!AX191&lt;&gt;"",$BI72*AX72,0),AX72*$BI72),AX72*$BI72),0)</f>
        <v>0</v>
      </c>
      <c r="DB72" s="319">
        <f>IF($BI72&lt;&gt;"",IF('Capacity summary'!$D$14="Yes",IF(COUNTBLANK('Capacity summary'!$H191:$BG191)&lt;52,IF('Capacity summary'!AY191&lt;&gt;"",$BI72*AY72,0),AY72*$BI72),AY72*$BI72),0)</f>
        <v>0</v>
      </c>
      <c r="DC72" s="319">
        <f>IF($BI72&lt;&gt;"",IF('Capacity summary'!$D$14="Yes",IF(COUNTBLANK('Capacity summary'!$H191:$BG191)&lt;52,IF('Capacity summary'!AZ191&lt;&gt;"",$BI72*AZ72,0),AZ72*$BI72),AZ72*$BI72),0)</f>
        <v>0</v>
      </c>
      <c r="DD72" s="319">
        <f>IF($BI72&lt;&gt;"",IF('Capacity summary'!$D$14="Yes",IF(COUNTBLANK('Capacity summary'!$H191:$BG191)&lt;52,IF('Capacity summary'!BA191&lt;&gt;"",$BI72*BA72,0),BA72*$BI72),BA72*$BI72),0)</f>
        <v>0</v>
      </c>
      <c r="DE72" s="319">
        <f>IF($BI72&lt;&gt;"",IF('Capacity summary'!$D$14="Yes",IF(COUNTBLANK('Capacity summary'!$H191:$BG191)&lt;52,IF('Capacity summary'!BB191&lt;&gt;"",$BI72*BB72,0),BB72*$BI72),BB72*$BI72),0)</f>
        <v>0</v>
      </c>
      <c r="DF72" s="319">
        <f>IF($BI72&lt;&gt;"",IF('Capacity summary'!$D$14="Yes",IF(COUNTBLANK('Capacity summary'!$H191:$BG191)&lt;52,IF('Capacity summary'!BC191&lt;&gt;"",$BI72*BC72,0),BC72*$BI72),BC72*$BI72),0)</f>
        <v>0</v>
      </c>
      <c r="DG72" s="319">
        <f>IF($BI72&lt;&gt;"",IF('Capacity summary'!$D$14="Yes",IF(COUNTBLANK('Capacity summary'!$H191:$BG191)&lt;52,IF('Capacity summary'!BD191&lt;&gt;"",$BI72*BD72,0),BD72*$BI72),BD72*$BI72),0)</f>
        <v>0</v>
      </c>
      <c r="DH72" s="319">
        <f>IF($BI72&lt;&gt;"",IF('Capacity summary'!$D$14="Yes",IF(COUNTBLANK('Capacity summary'!$H191:$BG191)&lt;52,IF('Capacity summary'!BE191&lt;&gt;"",$BI72*BE72,0),BE72*$BI72),BE72*$BI72),0)</f>
        <v>0</v>
      </c>
      <c r="DI72" s="319">
        <f>IF($BI72&lt;&gt;"",IF('Capacity summary'!$D$14="Yes",IF(COUNTBLANK('Capacity summary'!$H191:$BG191)&lt;52,IF('Capacity summary'!BF191&lt;&gt;"",$BI72*BF72,0),BF72*$BI72),BF72*$BI72),0)</f>
        <v>0</v>
      </c>
      <c r="DJ72" s="319">
        <f>IF($BI72&lt;&gt;"",IF('Capacity summary'!$D$14="Yes",IF(COUNTBLANK('Capacity summary'!$H191:$BG191)&lt;52,IF('Capacity summary'!BG191&lt;&gt;"",$BI72*BG72,0),BG72*$BI72),BG72*$BI72),0)</f>
        <v>0</v>
      </c>
      <c r="DK72" s="5">
        <f t="shared" si="3"/>
        <v>0</v>
      </c>
      <c r="DL72" s="5" t="str">
        <f>Capacity!H84</f>
        <v/>
      </c>
    </row>
    <row r="73" spans="2:116" x14ac:dyDescent="0.2">
      <c r="B73" s="68"/>
      <c r="C73" s="68" t="str">
        <f>ROW(A69)&amp;". "&amp;Capacity!B85</f>
        <v xml:space="preserve">69. </v>
      </c>
      <c r="D73" s="68">
        <f>'Capacity setup'!C80</f>
        <v>0</v>
      </c>
      <c r="E73" s="68">
        <f>'Capacity setup'!D80</f>
        <v>0</v>
      </c>
      <c r="F73" s="68">
        <f>'Capacity setup'!E80</f>
        <v>0</v>
      </c>
      <c r="H73" s="68">
        <f ca="1">IF(AND(SUMIF(Capacity_Resource,$D73,'Critical resources (hide)'!U$6:U$105)+SUMIF(Capacity_Resource,$E73,'Critical resources (hide)'!U$6:U$105)+SUMIF(Capacity_Resource,$F73,'Critical resources (hide)'!U$6:U$105)&gt;0,$E$1=2),0,1)</f>
        <v>1</v>
      </c>
      <c r="I73" s="68">
        <f ca="1">IF(AND(SUMIF(Capacity_Resource,$D73,'Critical resources (hide)'!V$6:V$105)+SUMIF(Capacity_Resource,$E73,'Critical resources (hide)'!V$6:V$105)+SUMIF(Capacity_Resource,$F73,'Critical resources (hide)'!V$6:V$105)&gt;0,$E$1=2),0,1)</f>
        <v>1</v>
      </c>
      <c r="J73" s="68">
        <f ca="1">IF(AND(SUMIF(Capacity_Resource,$D73,'Critical resources (hide)'!W$6:W$105)+SUMIF(Capacity_Resource,$E73,'Critical resources (hide)'!W$6:W$105)+SUMIF(Capacity_Resource,$F73,'Critical resources (hide)'!W$6:W$105)&gt;0,$E$1=2),0,1)</f>
        <v>1</v>
      </c>
      <c r="K73" s="68">
        <f ca="1">IF(AND(SUMIF(Capacity_Resource,$D73,'Critical resources (hide)'!X$6:X$105)+SUMIF(Capacity_Resource,$E73,'Critical resources (hide)'!X$6:X$105)+SUMIF(Capacity_Resource,$F73,'Critical resources (hide)'!X$6:X$105)&gt;0,$E$1=2),0,1)</f>
        <v>1</v>
      </c>
      <c r="L73" s="68">
        <f ca="1">IF(AND(SUMIF(Capacity_Resource,$D73,'Critical resources (hide)'!Y$6:Y$105)+SUMIF(Capacity_Resource,$E73,'Critical resources (hide)'!Y$6:Y$105)+SUMIF(Capacity_Resource,$F73,'Critical resources (hide)'!Y$6:Y$105)&gt;0,$E$1=2),0,1)</f>
        <v>1</v>
      </c>
      <c r="M73" s="68">
        <f ca="1">IF(AND(SUMIF(Capacity_Resource,$D73,'Critical resources (hide)'!Z$6:Z$105)+SUMIF(Capacity_Resource,$E73,'Critical resources (hide)'!Z$6:Z$105)+SUMIF(Capacity_Resource,$F73,'Critical resources (hide)'!Z$6:Z$105)&gt;0,$E$1=2),0,1)</f>
        <v>1</v>
      </c>
      <c r="N73" s="68">
        <f ca="1">IF(AND(SUMIF(Capacity_Resource,$D73,'Critical resources (hide)'!AA$6:AA$105)+SUMIF(Capacity_Resource,$E73,'Critical resources (hide)'!AA$6:AA$105)+SUMIF(Capacity_Resource,$F73,'Critical resources (hide)'!AA$6:AA$105)&gt;0,$E$1=2),0,1)</f>
        <v>1</v>
      </c>
      <c r="O73" s="68">
        <f ca="1">IF(AND(SUMIF(Capacity_Resource,$D73,'Critical resources (hide)'!AB$6:AB$105)+SUMIF(Capacity_Resource,$E73,'Critical resources (hide)'!AB$6:AB$105)+SUMIF(Capacity_Resource,$F73,'Critical resources (hide)'!AB$6:AB$105)&gt;0,$E$1=2),0,1)</f>
        <v>1</v>
      </c>
      <c r="P73" s="68">
        <f ca="1">IF(AND(SUMIF(Capacity_Resource,$D73,'Critical resources (hide)'!AC$6:AC$105)+SUMIF(Capacity_Resource,$E73,'Critical resources (hide)'!AC$6:AC$105)+SUMIF(Capacity_Resource,$F73,'Critical resources (hide)'!AC$6:AC$105)&gt;0,$E$1=2),0,1)</f>
        <v>1</v>
      </c>
      <c r="Q73" s="68">
        <f ca="1">IF(AND(SUMIF(Capacity_Resource,$D73,'Critical resources (hide)'!AD$6:AD$105)+SUMIF(Capacity_Resource,$E73,'Critical resources (hide)'!AD$6:AD$105)+SUMIF(Capacity_Resource,$F73,'Critical resources (hide)'!AD$6:AD$105)&gt;0,$E$1=2),0,1)</f>
        <v>1</v>
      </c>
      <c r="R73" s="68">
        <f ca="1">IF(AND(SUMIF(Capacity_Resource,$D73,'Critical resources (hide)'!AE$6:AE$105)+SUMIF(Capacity_Resource,$E73,'Critical resources (hide)'!AE$6:AE$105)+SUMIF(Capacity_Resource,$F73,'Critical resources (hide)'!AE$6:AE$105)&gt;0,$E$1=2),0,1)</f>
        <v>1</v>
      </c>
      <c r="S73" s="68">
        <f ca="1">IF(AND(SUMIF(Capacity_Resource,$D73,'Critical resources (hide)'!AF$6:AF$105)+SUMIF(Capacity_Resource,$E73,'Critical resources (hide)'!AF$6:AF$105)+SUMIF(Capacity_Resource,$F73,'Critical resources (hide)'!AF$6:AF$105)&gt;0,$E$1=2),0,1)</f>
        <v>1</v>
      </c>
      <c r="T73" s="68">
        <f ca="1">IF(AND(SUMIF(Capacity_Resource,$D73,'Critical resources (hide)'!AG$6:AG$105)+SUMIF(Capacity_Resource,$E73,'Critical resources (hide)'!AG$6:AG$105)+SUMIF(Capacity_Resource,$F73,'Critical resources (hide)'!AG$6:AG$105)&gt;0,$E$1=2),0,1)</f>
        <v>1</v>
      </c>
      <c r="U73" s="68">
        <f ca="1">IF(AND(SUMIF(Capacity_Resource,$D73,'Critical resources (hide)'!AH$6:AH$105)+SUMIF(Capacity_Resource,$E73,'Critical resources (hide)'!AH$6:AH$105)+SUMIF(Capacity_Resource,$F73,'Critical resources (hide)'!AH$6:AH$105)&gt;0,$E$1=2),0,1)</f>
        <v>1</v>
      </c>
      <c r="V73" s="68">
        <f ca="1">IF(AND(SUMIF(Capacity_Resource,$D73,'Critical resources (hide)'!AI$6:AI$105)+SUMIF(Capacity_Resource,$E73,'Critical resources (hide)'!AI$6:AI$105)+SUMIF(Capacity_Resource,$F73,'Critical resources (hide)'!AI$6:AI$105)&gt;0,$E$1=2),0,1)</f>
        <v>1</v>
      </c>
      <c r="W73" s="68">
        <f ca="1">IF(AND(SUMIF(Capacity_Resource,$D73,'Critical resources (hide)'!AJ$6:AJ$105)+SUMIF(Capacity_Resource,$E73,'Critical resources (hide)'!AJ$6:AJ$105)+SUMIF(Capacity_Resource,$F73,'Critical resources (hide)'!AJ$6:AJ$105)&gt;0,$E$1=2),0,1)</f>
        <v>1</v>
      </c>
      <c r="X73" s="68">
        <f ca="1">IF(AND(SUMIF(Capacity_Resource,$D73,'Critical resources (hide)'!AK$6:AK$105)+SUMIF(Capacity_Resource,$E73,'Critical resources (hide)'!AK$6:AK$105)+SUMIF(Capacity_Resource,$F73,'Critical resources (hide)'!AK$6:AK$105)&gt;0,$E$1=2),0,1)</f>
        <v>1</v>
      </c>
      <c r="Y73" s="68">
        <f ca="1">IF(AND(SUMIF(Capacity_Resource,$D73,'Critical resources (hide)'!AL$6:AL$105)+SUMIF(Capacity_Resource,$E73,'Critical resources (hide)'!AL$6:AL$105)+SUMIF(Capacity_Resource,$F73,'Critical resources (hide)'!AL$6:AL$105)&gt;0,$E$1=2),0,1)</f>
        <v>1</v>
      </c>
      <c r="Z73" s="68">
        <f ca="1">IF(AND(SUMIF(Capacity_Resource,$D73,'Critical resources (hide)'!AM$6:AM$105)+SUMIF(Capacity_Resource,$E73,'Critical resources (hide)'!AM$6:AM$105)+SUMIF(Capacity_Resource,$F73,'Critical resources (hide)'!AM$6:AM$105)&gt;0,$E$1=2),0,1)</f>
        <v>1</v>
      </c>
      <c r="AA73" s="68">
        <f ca="1">IF(AND(SUMIF(Capacity_Resource,$D73,'Critical resources (hide)'!AN$6:AN$105)+SUMIF(Capacity_Resource,$E73,'Critical resources (hide)'!AN$6:AN$105)+SUMIF(Capacity_Resource,$F73,'Critical resources (hide)'!AN$6:AN$105)&gt;0,$E$1=2),0,1)</f>
        <v>1</v>
      </c>
      <c r="AB73" s="68">
        <f ca="1">IF(AND(SUMIF(Capacity_Resource,$D73,'Critical resources (hide)'!AO$6:AO$105)+SUMIF(Capacity_Resource,$E73,'Critical resources (hide)'!AO$6:AO$105)+SUMIF(Capacity_Resource,$F73,'Critical resources (hide)'!AO$6:AO$105)&gt;0,$E$1=2),0,1)</f>
        <v>1</v>
      </c>
      <c r="AC73" s="68">
        <f ca="1">IF(AND(SUMIF(Capacity_Resource,$D73,'Critical resources (hide)'!AP$6:AP$105)+SUMIF(Capacity_Resource,$E73,'Critical resources (hide)'!AP$6:AP$105)+SUMIF(Capacity_Resource,$F73,'Critical resources (hide)'!AP$6:AP$105)&gt;0,$E$1=2),0,1)</f>
        <v>1</v>
      </c>
      <c r="AD73" s="68">
        <f ca="1">IF(AND(SUMIF(Capacity_Resource,$D73,'Critical resources (hide)'!AQ$6:AQ$105)+SUMIF(Capacity_Resource,$E73,'Critical resources (hide)'!AQ$6:AQ$105)+SUMIF(Capacity_Resource,$F73,'Critical resources (hide)'!AQ$6:AQ$105)&gt;0,$E$1=2),0,1)</f>
        <v>1</v>
      </c>
      <c r="AE73" s="68">
        <f ca="1">IF(AND(SUMIF(Capacity_Resource,$D73,'Critical resources (hide)'!AR$6:AR$105)+SUMIF(Capacity_Resource,$E73,'Critical resources (hide)'!AR$6:AR$105)+SUMIF(Capacity_Resource,$F73,'Critical resources (hide)'!AR$6:AR$105)&gt;0,$E$1=2),0,1)</f>
        <v>1</v>
      </c>
      <c r="AF73" s="68">
        <f ca="1">IF(AND(SUMIF(Capacity_Resource,$D73,'Critical resources (hide)'!AS$6:AS$105)+SUMIF(Capacity_Resource,$E73,'Critical resources (hide)'!AS$6:AS$105)+SUMIF(Capacity_Resource,$F73,'Critical resources (hide)'!AS$6:AS$105)&gt;0,$E$1=2),0,1)</f>
        <v>1</v>
      </c>
      <c r="AG73" s="68">
        <f ca="1">IF(AND(SUMIF(Capacity_Resource,$D73,'Critical resources (hide)'!AT$6:AT$105)+SUMIF(Capacity_Resource,$E73,'Critical resources (hide)'!AT$6:AT$105)+SUMIF(Capacity_Resource,$F73,'Critical resources (hide)'!AT$6:AT$105)&gt;0,$E$1=2),0,1)</f>
        <v>1</v>
      </c>
      <c r="AH73" s="68">
        <f ca="1">IF(AND(SUMIF(Capacity_Resource,$D73,'Critical resources (hide)'!AU$6:AU$105)+SUMIF(Capacity_Resource,$E73,'Critical resources (hide)'!AU$6:AU$105)+SUMIF(Capacity_Resource,$F73,'Critical resources (hide)'!AU$6:AU$105)&gt;0,$E$1=2),0,1)</f>
        <v>1</v>
      </c>
      <c r="AI73" s="68">
        <f ca="1">IF(AND(SUMIF(Capacity_Resource,$D73,'Critical resources (hide)'!AV$6:AV$105)+SUMIF(Capacity_Resource,$E73,'Critical resources (hide)'!AV$6:AV$105)+SUMIF(Capacity_Resource,$F73,'Critical resources (hide)'!AV$6:AV$105)&gt;0,$E$1=2),0,1)</f>
        <v>1</v>
      </c>
      <c r="AJ73" s="68">
        <f ca="1">IF(AND(SUMIF(Capacity_Resource,$D73,'Critical resources (hide)'!AW$6:AW$105)+SUMIF(Capacity_Resource,$E73,'Critical resources (hide)'!AW$6:AW$105)+SUMIF(Capacity_Resource,$F73,'Critical resources (hide)'!AW$6:AW$105)&gt;0,$E$1=2),0,1)</f>
        <v>1</v>
      </c>
      <c r="AK73" s="68">
        <f ca="1">IF(AND(SUMIF(Capacity_Resource,$D73,'Critical resources (hide)'!AX$6:AX$105)+SUMIF(Capacity_Resource,$E73,'Critical resources (hide)'!AX$6:AX$105)+SUMIF(Capacity_Resource,$F73,'Critical resources (hide)'!AX$6:AX$105)&gt;0,$E$1=2),0,1)</f>
        <v>1</v>
      </c>
      <c r="AL73" s="68">
        <f ca="1">IF(AND(SUMIF(Capacity_Resource,$D73,'Critical resources (hide)'!AY$6:AY$105)+SUMIF(Capacity_Resource,$E73,'Critical resources (hide)'!AY$6:AY$105)+SUMIF(Capacity_Resource,$F73,'Critical resources (hide)'!AY$6:AY$105)&gt;0,$E$1=2),0,1)</f>
        <v>1</v>
      </c>
      <c r="AM73" s="68">
        <f ca="1">IF(AND(SUMIF(Capacity_Resource,$D73,'Critical resources (hide)'!AZ$6:AZ$105)+SUMIF(Capacity_Resource,$E73,'Critical resources (hide)'!AZ$6:AZ$105)+SUMIF(Capacity_Resource,$F73,'Critical resources (hide)'!AZ$6:AZ$105)&gt;0,$E$1=2),0,1)</f>
        <v>1</v>
      </c>
      <c r="AN73" s="68">
        <f ca="1">IF(AND(SUMIF(Capacity_Resource,$D73,'Critical resources (hide)'!BA$6:BA$105)+SUMIF(Capacity_Resource,$E73,'Critical resources (hide)'!BA$6:BA$105)+SUMIF(Capacity_Resource,$F73,'Critical resources (hide)'!BA$6:BA$105)&gt;0,$E$1=2),0,1)</f>
        <v>1</v>
      </c>
      <c r="AO73" s="68">
        <f ca="1">IF(AND(SUMIF(Capacity_Resource,$D73,'Critical resources (hide)'!BB$6:BB$105)+SUMIF(Capacity_Resource,$E73,'Critical resources (hide)'!BB$6:BB$105)+SUMIF(Capacity_Resource,$F73,'Critical resources (hide)'!BB$6:BB$105)&gt;0,$E$1=2),0,1)</f>
        <v>1</v>
      </c>
      <c r="AP73" s="68">
        <f ca="1">IF(AND(SUMIF(Capacity_Resource,$D73,'Critical resources (hide)'!BC$6:BC$105)+SUMIF(Capacity_Resource,$E73,'Critical resources (hide)'!BC$6:BC$105)+SUMIF(Capacity_Resource,$F73,'Critical resources (hide)'!BC$6:BC$105)&gt;0,$E$1=2),0,1)</f>
        <v>1</v>
      </c>
      <c r="AQ73" s="68">
        <f ca="1">IF(AND(SUMIF(Capacity_Resource,$D73,'Critical resources (hide)'!BD$6:BD$105)+SUMIF(Capacity_Resource,$E73,'Critical resources (hide)'!BD$6:BD$105)+SUMIF(Capacity_Resource,$F73,'Critical resources (hide)'!BD$6:BD$105)&gt;0,$E$1=2),0,1)</f>
        <v>1</v>
      </c>
      <c r="AR73" s="68">
        <f ca="1">IF(AND(SUMIF(Capacity_Resource,$D73,'Critical resources (hide)'!BE$6:BE$105)+SUMIF(Capacity_Resource,$E73,'Critical resources (hide)'!BE$6:BE$105)+SUMIF(Capacity_Resource,$F73,'Critical resources (hide)'!BE$6:BE$105)&gt;0,$E$1=2),0,1)</f>
        <v>1</v>
      </c>
      <c r="AS73" s="68">
        <f ca="1">IF(AND(SUMIF(Capacity_Resource,$D73,'Critical resources (hide)'!BF$6:BF$105)+SUMIF(Capacity_Resource,$E73,'Critical resources (hide)'!BF$6:BF$105)+SUMIF(Capacity_Resource,$F73,'Critical resources (hide)'!BF$6:BF$105)&gt;0,$E$1=2),0,1)</f>
        <v>1</v>
      </c>
      <c r="AT73" s="68">
        <f ca="1">IF(AND(SUMIF(Capacity_Resource,$D73,'Critical resources (hide)'!BG$6:BG$105)+SUMIF(Capacity_Resource,$E73,'Critical resources (hide)'!BG$6:BG$105)+SUMIF(Capacity_Resource,$F73,'Critical resources (hide)'!BG$6:BG$105)&gt;0,$E$1=2),0,1)</f>
        <v>1</v>
      </c>
      <c r="AU73" s="68">
        <f ca="1">IF(AND(SUMIF(Capacity_Resource,$D73,'Critical resources (hide)'!BH$6:BH$105)+SUMIF(Capacity_Resource,$E73,'Critical resources (hide)'!BH$6:BH$105)+SUMIF(Capacity_Resource,$F73,'Critical resources (hide)'!BH$6:BH$105)&gt;0,$E$1=2),0,1)</f>
        <v>1</v>
      </c>
      <c r="AV73" s="68">
        <f ca="1">IF(AND(SUMIF(Capacity_Resource,$D73,'Critical resources (hide)'!BI$6:BI$105)+SUMIF(Capacity_Resource,$E73,'Critical resources (hide)'!BI$6:BI$105)+SUMIF(Capacity_Resource,$F73,'Critical resources (hide)'!BI$6:BI$105)&gt;0,$E$1=2),0,1)</f>
        <v>1</v>
      </c>
      <c r="AW73" s="68">
        <f ca="1">IF(AND(SUMIF(Capacity_Resource,$D73,'Critical resources (hide)'!BJ$6:BJ$105)+SUMIF(Capacity_Resource,$E73,'Critical resources (hide)'!BJ$6:BJ$105)+SUMIF(Capacity_Resource,$F73,'Critical resources (hide)'!BJ$6:BJ$105)&gt;0,$E$1=2),0,1)</f>
        <v>1</v>
      </c>
      <c r="AX73" s="68">
        <f ca="1">IF(AND(SUMIF(Capacity_Resource,$D73,'Critical resources (hide)'!BK$6:BK$105)+SUMIF(Capacity_Resource,$E73,'Critical resources (hide)'!BK$6:BK$105)+SUMIF(Capacity_Resource,$F73,'Critical resources (hide)'!BK$6:BK$105)&gt;0,$E$1=2),0,1)</f>
        <v>1</v>
      </c>
      <c r="AY73" s="68">
        <f ca="1">IF(AND(SUMIF(Capacity_Resource,$D73,'Critical resources (hide)'!BL$6:BL$105)+SUMIF(Capacity_Resource,$E73,'Critical resources (hide)'!BL$6:BL$105)+SUMIF(Capacity_Resource,$F73,'Critical resources (hide)'!BL$6:BL$105)&gt;0,$E$1=2),0,1)</f>
        <v>1</v>
      </c>
      <c r="AZ73" s="68">
        <f ca="1">IF(AND(SUMIF(Capacity_Resource,$D73,'Critical resources (hide)'!BM$6:BM$105)+SUMIF(Capacity_Resource,$E73,'Critical resources (hide)'!BM$6:BM$105)+SUMIF(Capacity_Resource,$F73,'Critical resources (hide)'!BM$6:BM$105)&gt;0,$E$1=2),0,1)</f>
        <v>1</v>
      </c>
      <c r="BA73" s="68">
        <f ca="1">IF(AND(SUMIF(Capacity_Resource,$D73,'Critical resources (hide)'!BN$6:BN$105)+SUMIF(Capacity_Resource,$E73,'Critical resources (hide)'!BN$6:BN$105)+SUMIF(Capacity_Resource,$F73,'Critical resources (hide)'!BN$6:BN$105)&gt;0,$E$1=2),0,1)</f>
        <v>1</v>
      </c>
      <c r="BB73" s="68">
        <f ca="1">IF(AND(SUMIF(Capacity_Resource,$D73,'Critical resources (hide)'!BO$6:BO$105)+SUMIF(Capacity_Resource,$E73,'Critical resources (hide)'!BO$6:BO$105)+SUMIF(Capacity_Resource,$F73,'Critical resources (hide)'!BO$6:BO$105)&gt;0,$E$1=2),0,1)</f>
        <v>1</v>
      </c>
      <c r="BC73" s="68">
        <f ca="1">IF(AND(SUMIF(Capacity_Resource,$D73,'Critical resources (hide)'!BP$6:BP$105)+SUMIF(Capacity_Resource,$E73,'Critical resources (hide)'!BP$6:BP$105)+SUMIF(Capacity_Resource,$F73,'Critical resources (hide)'!BP$6:BP$105)&gt;0,$E$1=2),0,1)</f>
        <v>1</v>
      </c>
      <c r="BD73" s="68">
        <f ca="1">IF(AND(SUMIF(Capacity_Resource,$D73,'Critical resources (hide)'!BQ$6:BQ$105)+SUMIF(Capacity_Resource,$E73,'Critical resources (hide)'!BQ$6:BQ$105)+SUMIF(Capacity_Resource,$F73,'Critical resources (hide)'!BQ$6:BQ$105)&gt;0,$E$1=2),0,1)</f>
        <v>1</v>
      </c>
      <c r="BE73" s="68">
        <f ca="1">IF(AND(SUMIF(Capacity_Resource,$D73,'Critical resources (hide)'!BR$6:BR$105)+SUMIF(Capacity_Resource,$E73,'Critical resources (hide)'!BR$6:BR$105)+SUMIF(Capacity_Resource,$F73,'Critical resources (hide)'!BR$6:BR$105)&gt;0,$E$1=2),0,1)</f>
        <v>1</v>
      </c>
      <c r="BF73" s="68">
        <f ca="1">IF(AND(SUMIF(Capacity_Resource,$D73,'Critical resources (hide)'!BS$6:BS$105)+SUMIF(Capacity_Resource,$E73,'Critical resources (hide)'!BS$6:BS$105)+SUMIF(Capacity_Resource,$F73,'Critical resources (hide)'!BS$6:BS$105)&gt;0,$E$1=2),0,1)</f>
        <v>1</v>
      </c>
      <c r="BG73" s="68">
        <f ca="1">IF(AND(SUMIF(Capacity_Resource,$D73,'Critical resources (hide)'!BT$6:BT$105)+SUMIF(Capacity_Resource,$E73,'Critical resources (hide)'!BT$6:BT$105)+SUMIF(Capacity_Resource,$F73,'Critical resources (hide)'!BT$6:BT$105)&gt;0,$E$1=2),0,1)</f>
        <v>1</v>
      </c>
      <c r="BH73" s="68">
        <f>IF(ROW(C69)&lt;=Capacity!$A$16,IF('Capacity summary'!$D$14="No",SUM(H73:BG73),'Capacity summary'!$E192),0)</f>
        <v>0</v>
      </c>
      <c r="BI73" s="5" t="str">
        <f>IF(BH73&gt;0,IF(BH73&lt;Capacity!E85,Capacity!F85,Capacity!H85/'Capacity calculation (hide)'!BH73),"")</f>
        <v/>
      </c>
      <c r="BK73" s="319">
        <f>IF($BI73&lt;&gt;"",IF('Capacity summary'!$D$14="Yes",IF(COUNTBLANK('Capacity summary'!$H192:$BG192)&lt;52,IF('Capacity summary'!H192&lt;&gt;"",$BI73*H73,0),H73*$BI73),H73*$BI73),0)</f>
        <v>0</v>
      </c>
      <c r="BL73" s="319">
        <f>IF($BI73&lt;&gt;"",IF('Capacity summary'!$D$14="Yes",IF(COUNTBLANK('Capacity summary'!$H192:$BG192)&lt;52,IF('Capacity summary'!I192&lt;&gt;"",$BI73*I73,0),I73*$BI73),I73*$BI73),0)</f>
        <v>0</v>
      </c>
      <c r="BM73" s="319">
        <f>IF($BI73&lt;&gt;"",IF('Capacity summary'!$D$14="Yes",IF(COUNTBLANK('Capacity summary'!$H192:$BG192)&lt;52,IF('Capacity summary'!J192&lt;&gt;"",$BI73*J73,0),J73*$BI73),J73*$BI73),0)</f>
        <v>0</v>
      </c>
      <c r="BN73" s="319">
        <f>IF($BI73&lt;&gt;"",IF('Capacity summary'!$D$14="Yes",IF(COUNTBLANK('Capacity summary'!$H192:$BG192)&lt;52,IF('Capacity summary'!K192&lt;&gt;"",$BI73*K73,0),K73*$BI73),K73*$BI73),0)</f>
        <v>0</v>
      </c>
      <c r="BO73" s="319">
        <f>IF($BI73&lt;&gt;"",IF('Capacity summary'!$D$14="Yes",IF(COUNTBLANK('Capacity summary'!$H192:$BG192)&lt;52,IF('Capacity summary'!L192&lt;&gt;"",$BI73*L73,0),L73*$BI73),L73*$BI73),0)</f>
        <v>0</v>
      </c>
      <c r="BP73" s="319">
        <f>IF($BI73&lt;&gt;"",IF('Capacity summary'!$D$14="Yes",IF(COUNTBLANK('Capacity summary'!$H192:$BG192)&lt;52,IF('Capacity summary'!M192&lt;&gt;"",$BI73*M73,0),M73*$BI73),M73*$BI73),0)</f>
        <v>0</v>
      </c>
      <c r="BQ73" s="319">
        <f>IF($BI73&lt;&gt;"",IF('Capacity summary'!$D$14="Yes",IF(COUNTBLANK('Capacity summary'!$H192:$BG192)&lt;52,IF('Capacity summary'!N192&lt;&gt;"",$BI73*N73,0),N73*$BI73),N73*$BI73),0)</f>
        <v>0</v>
      </c>
      <c r="BR73" s="319">
        <f>IF($BI73&lt;&gt;"",IF('Capacity summary'!$D$14="Yes",IF(COUNTBLANK('Capacity summary'!$H192:$BG192)&lt;52,IF('Capacity summary'!O192&lt;&gt;"",$BI73*O73,0),O73*$BI73),O73*$BI73),0)</f>
        <v>0</v>
      </c>
      <c r="BS73" s="319">
        <f>IF($BI73&lt;&gt;"",IF('Capacity summary'!$D$14="Yes",IF(COUNTBLANK('Capacity summary'!$H192:$BG192)&lt;52,IF('Capacity summary'!P192&lt;&gt;"",$BI73*P73,0),P73*$BI73),P73*$BI73),0)</f>
        <v>0</v>
      </c>
      <c r="BT73" s="319">
        <f>IF($BI73&lt;&gt;"",IF('Capacity summary'!$D$14="Yes",IF(COUNTBLANK('Capacity summary'!$H192:$BG192)&lt;52,IF('Capacity summary'!Q192&lt;&gt;"",$BI73*Q73,0),Q73*$BI73),Q73*$BI73),0)</f>
        <v>0</v>
      </c>
      <c r="BU73" s="319">
        <f>IF($BI73&lt;&gt;"",IF('Capacity summary'!$D$14="Yes",IF(COUNTBLANK('Capacity summary'!$H192:$BG192)&lt;52,IF('Capacity summary'!R192&lt;&gt;"",$BI73*R73,0),R73*$BI73),R73*$BI73),0)</f>
        <v>0</v>
      </c>
      <c r="BV73" s="319">
        <f>IF($BI73&lt;&gt;"",IF('Capacity summary'!$D$14="Yes",IF(COUNTBLANK('Capacity summary'!$H192:$BG192)&lt;52,IF('Capacity summary'!S192&lt;&gt;"",$BI73*S73,0),S73*$BI73),S73*$BI73),0)</f>
        <v>0</v>
      </c>
      <c r="BW73" s="319">
        <f>IF($BI73&lt;&gt;"",IF('Capacity summary'!$D$14="Yes",IF(COUNTBLANK('Capacity summary'!$H192:$BG192)&lt;52,IF('Capacity summary'!T192&lt;&gt;"",$BI73*T73,0),T73*$BI73),T73*$BI73),0)</f>
        <v>0</v>
      </c>
      <c r="BX73" s="319">
        <f>IF($BI73&lt;&gt;"",IF('Capacity summary'!$D$14="Yes",IF(COUNTBLANK('Capacity summary'!$H192:$BG192)&lt;52,IF('Capacity summary'!U192&lt;&gt;"",$BI73*U73,0),U73*$BI73),U73*$BI73),0)</f>
        <v>0</v>
      </c>
      <c r="BY73" s="319">
        <f>IF($BI73&lt;&gt;"",IF('Capacity summary'!$D$14="Yes",IF(COUNTBLANK('Capacity summary'!$H192:$BG192)&lt;52,IF('Capacity summary'!V192&lt;&gt;"",$BI73*V73,0),V73*$BI73),V73*$BI73),0)</f>
        <v>0</v>
      </c>
      <c r="BZ73" s="319">
        <f>IF($BI73&lt;&gt;"",IF('Capacity summary'!$D$14="Yes",IF(COUNTBLANK('Capacity summary'!$H192:$BG192)&lt;52,IF('Capacity summary'!W192&lt;&gt;"",$BI73*W73,0),W73*$BI73),W73*$BI73),0)</f>
        <v>0</v>
      </c>
      <c r="CA73" s="319">
        <f>IF($BI73&lt;&gt;"",IF('Capacity summary'!$D$14="Yes",IF(COUNTBLANK('Capacity summary'!$H192:$BG192)&lt;52,IF('Capacity summary'!X192&lt;&gt;"",$BI73*X73,0),X73*$BI73),X73*$BI73),0)</f>
        <v>0</v>
      </c>
      <c r="CB73" s="319">
        <f>IF($BI73&lt;&gt;"",IF('Capacity summary'!$D$14="Yes",IF(COUNTBLANK('Capacity summary'!$H192:$BG192)&lt;52,IF('Capacity summary'!Y192&lt;&gt;"",$BI73*Y73,0),Y73*$BI73),Y73*$BI73),0)</f>
        <v>0</v>
      </c>
      <c r="CC73" s="319">
        <f>IF($BI73&lt;&gt;"",IF('Capacity summary'!$D$14="Yes",IF(COUNTBLANK('Capacity summary'!$H192:$BG192)&lt;52,IF('Capacity summary'!Z192&lt;&gt;"",$BI73*Z73,0),Z73*$BI73),Z73*$BI73),0)</f>
        <v>0</v>
      </c>
      <c r="CD73" s="319">
        <f>IF($BI73&lt;&gt;"",IF('Capacity summary'!$D$14="Yes",IF(COUNTBLANK('Capacity summary'!$H192:$BG192)&lt;52,IF('Capacity summary'!AA192&lt;&gt;"",$BI73*AA73,0),AA73*$BI73),AA73*$BI73),0)</f>
        <v>0</v>
      </c>
      <c r="CE73" s="319">
        <f>IF($BI73&lt;&gt;"",IF('Capacity summary'!$D$14="Yes",IF(COUNTBLANK('Capacity summary'!$H192:$BG192)&lt;52,IF('Capacity summary'!AB192&lt;&gt;"",$BI73*AB73,0),AB73*$BI73),AB73*$BI73),0)</f>
        <v>0</v>
      </c>
      <c r="CF73" s="319">
        <f>IF($BI73&lt;&gt;"",IF('Capacity summary'!$D$14="Yes",IF(COUNTBLANK('Capacity summary'!$H192:$BG192)&lt;52,IF('Capacity summary'!AC192&lt;&gt;"",$BI73*AC73,0),AC73*$BI73),AC73*$BI73),0)</f>
        <v>0</v>
      </c>
      <c r="CG73" s="319">
        <f>IF($BI73&lt;&gt;"",IF('Capacity summary'!$D$14="Yes",IF(COUNTBLANK('Capacity summary'!$H192:$BG192)&lt;52,IF('Capacity summary'!AD192&lt;&gt;"",$BI73*AD73,0),AD73*$BI73),AD73*$BI73),0)</f>
        <v>0</v>
      </c>
      <c r="CH73" s="319">
        <f>IF($BI73&lt;&gt;"",IF('Capacity summary'!$D$14="Yes",IF(COUNTBLANK('Capacity summary'!$H192:$BG192)&lt;52,IF('Capacity summary'!AE192&lt;&gt;"",$BI73*AE73,0),AE73*$BI73),AE73*$BI73),0)</f>
        <v>0</v>
      </c>
      <c r="CI73" s="319">
        <f>IF($BI73&lt;&gt;"",IF('Capacity summary'!$D$14="Yes",IF(COUNTBLANK('Capacity summary'!$H192:$BG192)&lt;52,IF('Capacity summary'!AF192&lt;&gt;"",$BI73*AF73,0),AF73*$BI73),AF73*$BI73),0)</f>
        <v>0</v>
      </c>
      <c r="CJ73" s="319">
        <f>IF($BI73&lt;&gt;"",IF('Capacity summary'!$D$14="Yes",IF(COUNTBLANK('Capacity summary'!$H192:$BG192)&lt;52,IF('Capacity summary'!AG192&lt;&gt;"",$BI73*AG73,0),AG73*$BI73),AG73*$BI73),0)</f>
        <v>0</v>
      </c>
      <c r="CK73" s="319">
        <f>IF($BI73&lt;&gt;"",IF('Capacity summary'!$D$14="Yes",IF(COUNTBLANK('Capacity summary'!$H192:$BG192)&lt;52,IF('Capacity summary'!AH192&lt;&gt;"",$BI73*AH73,0),AH73*$BI73),AH73*$BI73),0)</f>
        <v>0</v>
      </c>
      <c r="CL73" s="319">
        <f>IF($BI73&lt;&gt;"",IF('Capacity summary'!$D$14="Yes",IF(COUNTBLANK('Capacity summary'!$H192:$BG192)&lt;52,IF('Capacity summary'!AI192&lt;&gt;"",$BI73*AI73,0),AI73*$BI73),AI73*$BI73),0)</f>
        <v>0</v>
      </c>
      <c r="CM73" s="319">
        <f>IF($BI73&lt;&gt;"",IF('Capacity summary'!$D$14="Yes",IF(COUNTBLANK('Capacity summary'!$H192:$BG192)&lt;52,IF('Capacity summary'!AJ192&lt;&gt;"",$BI73*AJ73,0),AJ73*$BI73),AJ73*$BI73),0)</f>
        <v>0</v>
      </c>
      <c r="CN73" s="319">
        <f>IF($BI73&lt;&gt;"",IF('Capacity summary'!$D$14="Yes",IF(COUNTBLANK('Capacity summary'!$H192:$BG192)&lt;52,IF('Capacity summary'!AK192&lt;&gt;"",$BI73*AK73,0),AK73*$BI73),AK73*$BI73),0)</f>
        <v>0</v>
      </c>
      <c r="CO73" s="319">
        <f>IF($BI73&lt;&gt;"",IF('Capacity summary'!$D$14="Yes",IF(COUNTBLANK('Capacity summary'!$H192:$BG192)&lt;52,IF('Capacity summary'!AL192&lt;&gt;"",$BI73*AL73,0),AL73*$BI73),AL73*$BI73),0)</f>
        <v>0</v>
      </c>
      <c r="CP73" s="319">
        <f>IF($BI73&lt;&gt;"",IF('Capacity summary'!$D$14="Yes",IF(COUNTBLANK('Capacity summary'!$H192:$BG192)&lt;52,IF('Capacity summary'!AM192&lt;&gt;"",$BI73*AM73,0),AM73*$BI73),AM73*$BI73),0)</f>
        <v>0</v>
      </c>
      <c r="CQ73" s="319">
        <f>IF($BI73&lt;&gt;"",IF('Capacity summary'!$D$14="Yes",IF(COUNTBLANK('Capacity summary'!$H192:$BG192)&lt;52,IF('Capacity summary'!AN192&lt;&gt;"",$BI73*AN73,0),AN73*$BI73),AN73*$BI73),0)</f>
        <v>0</v>
      </c>
      <c r="CR73" s="319">
        <f>IF($BI73&lt;&gt;"",IF('Capacity summary'!$D$14="Yes",IF(COUNTBLANK('Capacity summary'!$H192:$BG192)&lt;52,IF('Capacity summary'!AO192&lt;&gt;"",$BI73*AO73,0),AO73*$BI73),AO73*$BI73),0)</f>
        <v>0</v>
      </c>
      <c r="CS73" s="319">
        <f>IF($BI73&lt;&gt;"",IF('Capacity summary'!$D$14="Yes",IF(COUNTBLANK('Capacity summary'!$H192:$BG192)&lt;52,IF('Capacity summary'!AP192&lt;&gt;"",$BI73*AP73,0),AP73*$BI73),AP73*$BI73),0)</f>
        <v>0</v>
      </c>
      <c r="CT73" s="319">
        <f>IF($BI73&lt;&gt;"",IF('Capacity summary'!$D$14="Yes",IF(COUNTBLANK('Capacity summary'!$H192:$BG192)&lt;52,IF('Capacity summary'!AQ192&lt;&gt;"",$BI73*AQ73,0),AQ73*$BI73),AQ73*$BI73),0)</f>
        <v>0</v>
      </c>
      <c r="CU73" s="319">
        <f>IF($BI73&lt;&gt;"",IF('Capacity summary'!$D$14="Yes",IF(COUNTBLANK('Capacity summary'!$H192:$BG192)&lt;52,IF('Capacity summary'!AR192&lt;&gt;"",$BI73*AR73,0),AR73*$BI73),AR73*$BI73),0)</f>
        <v>0</v>
      </c>
      <c r="CV73" s="319">
        <f>IF($BI73&lt;&gt;"",IF('Capacity summary'!$D$14="Yes",IF(COUNTBLANK('Capacity summary'!$H192:$BG192)&lt;52,IF('Capacity summary'!AS192&lt;&gt;"",$BI73*AS73,0),AS73*$BI73),AS73*$BI73),0)</f>
        <v>0</v>
      </c>
      <c r="CW73" s="319">
        <f>IF($BI73&lt;&gt;"",IF('Capacity summary'!$D$14="Yes",IF(COUNTBLANK('Capacity summary'!$H192:$BG192)&lt;52,IF('Capacity summary'!AT192&lt;&gt;"",$BI73*AT73,0),AT73*$BI73),AT73*$BI73),0)</f>
        <v>0</v>
      </c>
      <c r="CX73" s="319">
        <f>IF($BI73&lt;&gt;"",IF('Capacity summary'!$D$14="Yes",IF(COUNTBLANK('Capacity summary'!$H192:$BG192)&lt;52,IF('Capacity summary'!AU192&lt;&gt;"",$BI73*AU73,0),AU73*$BI73),AU73*$BI73),0)</f>
        <v>0</v>
      </c>
      <c r="CY73" s="319">
        <f>IF($BI73&lt;&gt;"",IF('Capacity summary'!$D$14="Yes",IF(COUNTBLANK('Capacity summary'!$H192:$BG192)&lt;52,IF('Capacity summary'!AV192&lt;&gt;"",$BI73*AV73,0),AV73*$BI73),AV73*$BI73),0)</f>
        <v>0</v>
      </c>
      <c r="CZ73" s="319">
        <f>IF($BI73&lt;&gt;"",IF('Capacity summary'!$D$14="Yes",IF(COUNTBLANK('Capacity summary'!$H192:$BG192)&lt;52,IF('Capacity summary'!AW192&lt;&gt;"",$BI73*AW73,0),AW73*$BI73),AW73*$BI73),0)</f>
        <v>0</v>
      </c>
      <c r="DA73" s="319">
        <f>IF($BI73&lt;&gt;"",IF('Capacity summary'!$D$14="Yes",IF(COUNTBLANK('Capacity summary'!$H192:$BG192)&lt;52,IF('Capacity summary'!AX192&lt;&gt;"",$BI73*AX73,0),AX73*$BI73),AX73*$BI73),0)</f>
        <v>0</v>
      </c>
      <c r="DB73" s="319">
        <f>IF($BI73&lt;&gt;"",IF('Capacity summary'!$D$14="Yes",IF(COUNTBLANK('Capacity summary'!$H192:$BG192)&lt;52,IF('Capacity summary'!AY192&lt;&gt;"",$BI73*AY73,0),AY73*$BI73),AY73*$BI73),0)</f>
        <v>0</v>
      </c>
      <c r="DC73" s="319">
        <f>IF($BI73&lt;&gt;"",IF('Capacity summary'!$D$14="Yes",IF(COUNTBLANK('Capacity summary'!$H192:$BG192)&lt;52,IF('Capacity summary'!AZ192&lt;&gt;"",$BI73*AZ73,0),AZ73*$BI73),AZ73*$BI73),0)</f>
        <v>0</v>
      </c>
      <c r="DD73" s="319">
        <f>IF($BI73&lt;&gt;"",IF('Capacity summary'!$D$14="Yes",IF(COUNTBLANK('Capacity summary'!$H192:$BG192)&lt;52,IF('Capacity summary'!BA192&lt;&gt;"",$BI73*BA73,0),BA73*$BI73),BA73*$BI73),0)</f>
        <v>0</v>
      </c>
      <c r="DE73" s="319">
        <f>IF($BI73&lt;&gt;"",IF('Capacity summary'!$D$14="Yes",IF(COUNTBLANK('Capacity summary'!$H192:$BG192)&lt;52,IF('Capacity summary'!BB192&lt;&gt;"",$BI73*BB73,0),BB73*$BI73),BB73*$BI73),0)</f>
        <v>0</v>
      </c>
      <c r="DF73" s="319">
        <f>IF($BI73&lt;&gt;"",IF('Capacity summary'!$D$14="Yes",IF(COUNTBLANK('Capacity summary'!$H192:$BG192)&lt;52,IF('Capacity summary'!BC192&lt;&gt;"",$BI73*BC73,0),BC73*$BI73),BC73*$BI73),0)</f>
        <v>0</v>
      </c>
      <c r="DG73" s="319">
        <f>IF($BI73&lt;&gt;"",IF('Capacity summary'!$D$14="Yes",IF(COUNTBLANK('Capacity summary'!$H192:$BG192)&lt;52,IF('Capacity summary'!BD192&lt;&gt;"",$BI73*BD73,0),BD73*$BI73),BD73*$BI73),0)</f>
        <v>0</v>
      </c>
      <c r="DH73" s="319">
        <f>IF($BI73&lt;&gt;"",IF('Capacity summary'!$D$14="Yes",IF(COUNTBLANK('Capacity summary'!$H192:$BG192)&lt;52,IF('Capacity summary'!BE192&lt;&gt;"",$BI73*BE73,0),BE73*$BI73),BE73*$BI73),0)</f>
        <v>0</v>
      </c>
      <c r="DI73" s="319">
        <f>IF($BI73&lt;&gt;"",IF('Capacity summary'!$D$14="Yes",IF(COUNTBLANK('Capacity summary'!$H192:$BG192)&lt;52,IF('Capacity summary'!BF192&lt;&gt;"",$BI73*BF73,0),BF73*$BI73),BF73*$BI73),0)</f>
        <v>0</v>
      </c>
      <c r="DJ73" s="319">
        <f>IF($BI73&lt;&gt;"",IF('Capacity summary'!$D$14="Yes",IF(COUNTBLANK('Capacity summary'!$H192:$BG192)&lt;52,IF('Capacity summary'!BG192&lt;&gt;"",$BI73*BG73,0),BG73*$BI73),BG73*$BI73),0)</f>
        <v>0</v>
      </c>
      <c r="DK73" s="5">
        <f t="shared" si="3"/>
        <v>0</v>
      </c>
      <c r="DL73" s="5" t="str">
        <f>Capacity!H85</f>
        <v/>
      </c>
    </row>
    <row r="74" spans="2:116" x14ac:dyDescent="0.2">
      <c r="B74" s="68"/>
      <c r="C74" s="68" t="str">
        <f>ROW(A70)&amp;". "&amp;Capacity!B86</f>
        <v xml:space="preserve">70. </v>
      </c>
      <c r="D74" s="68">
        <f>'Capacity setup'!C81</f>
        <v>0</v>
      </c>
      <c r="E74" s="68">
        <f>'Capacity setup'!D81</f>
        <v>0</v>
      </c>
      <c r="F74" s="68">
        <f>'Capacity setup'!E81</f>
        <v>0</v>
      </c>
      <c r="H74" s="68">
        <f ca="1">IF(AND(SUMIF(Capacity_Resource,$D74,'Critical resources (hide)'!U$6:U$105)+SUMIF(Capacity_Resource,$E74,'Critical resources (hide)'!U$6:U$105)+SUMIF(Capacity_Resource,$F74,'Critical resources (hide)'!U$6:U$105)&gt;0,$E$1=2),0,1)</f>
        <v>1</v>
      </c>
      <c r="I74" s="68">
        <f ca="1">IF(AND(SUMIF(Capacity_Resource,$D74,'Critical resources (hide)'!V$6:V$105)+SUMIF(Capacity_Resource,$E74,'Critical resources (hide)'!V$6:V$105)+SUMIF(Capacity_Resource,$F74,'Critical resources (hide)'!V$6:V$105)&gt;0,$E$1=2),0,1)</f>
        <v>1</v>
      </c>
      <c r="J74" s="68">
        <f ca="1">IF(AND(SUMIF(Capacity_Resource,$D74,'Critical resources (hide)'!W$6:W$105)+SUMIF(Capacity_Resource,$E74,'Critical resources (hide)'!W$6:W$105)+SUMIF(Capacity_Resource,$F74,'Critical resources (hide)'!W$6:W$105)&gt;0,$E$1=2),0,1)</f>
        <v>1</v>
      </c>
      <c r="K74" s="68">
        <f ca="1">IF(AND(SUMIF(Capacity_Resource,$D74,'Critical resources (hide)'!X$6:X$105)+SUMIF(Capacity_Resource,$E74,'Critical resources (hide)'!X$6:X$105)+SUMIF(Capacity_Resource,$F74,'Critical resources (hide)'!X$6:X$105)&gt;0,$E$1=2),0,1)</f>
        <v>1</v>
      </c>
      <c r="L74" s="68">
        <f ca="1">IF(AND(SUMIF(Capacity_Resource,$D74,'Critical resources (hide)'!Y$6:Y$105)+SUMIF(Capacity_Resource,$E74,'Critical resources (hide)'!Y$6:Y$105)+SUMIF(Capacity_Resource,$F74,'Critical resources (hide)'!Y$6:Y$105)&gt;0,$E$1=2),0,1)</f>
        <v>1</v>
      </c>
      <c r="M74" s="68">
        <f ca="1">IF(AND(SUMIF(Capacity_Resource,$D74,'Critical resources (hide)'!Z$6:Z$105)+SUMIF(Capacity_Resource,$E74,'Critical resources (hide)'!Z$6:Z$105)+SUMIF(Capacity_Resource,$F74,'Critical resources (hide)'!Z$6:Z$105)&gt;0,$E$1=2),0,1)</f>
        <v>1</v>
      </c>
      <c r="N74" s="68">
        <f ca="1">IF(AND(SUMIF(Capacity_Resource,$D74,'Critical resources (hide)'!AA$6:AA$105)+SUMIF(Capacity_Resource,$E74,'Critical resources (hide)'!AA$6:AA$105)+SUMIF(Capacity_Resource,$F74,'Critical resources (hide)'!AA$6:AA$105)&gt;0,$E$1=2),0,1)</f>
        <v>1</v>
      </c>
      <c r="O74" s="68">
        <f ca="1">IF(AND(SUMIF(Capacity_Resource,$D74,'Critical resources (hide)'!AB$6:AB$105)+SUMIF(Capacity_Resource,$E74,'Critical resources (hide)'!AB$6:AB$105)+SUMIF(Capacity_Resource,$F74,'Critical resources (hide)'!AB$6:AB$105)&gt;0,$E$1=2),0,1)</f>
        <v>1</v>
      </c>
      <c r="P74" s="68">
        <f ca="1">IF(AND(SUMIF(Capacity_Resource,$D74,'Critical resources (hide)'!AC$6:AC$105)+SUMIF(Capacity_Resource,$E74,'Critical resources (hide)'!AC$6:AC$105)+SUMIF(Capacity_Resource,$F74,'Critical resources (hide)'!AC$6:AC$105)&gt;0,$E$1=2),0,1)</f>
        <v>1</v>
      </c>
      <c r="Q74" s="68">
        <f ca="1">IF(AND(SUMIF(Capacity_Resource,$D74,'Critical resources (hide)'!AD$6:AD$105)+SUMIF(Capacity_Resource,$E74,'Critical resources (hide)'!AD$6:AD$105)+SUMIF(Capacity_Resource,$F74,'Critical resources (hide)'!AD$6:AD$105)&gt;0,$E$1=2),0,1)</f>
        <v>1</v>
      </c>
      <c r="R74" s="68">
        <f ca="1">IF(AND(SUMIF(Capacity_Resource,$D74,'Critical resources (hide)'!AE$6:AE$105)+SUMIF(Capacity_Resource,$E74,'Critical resources (hide)'!AE$6:AE$105)+SUMIF(Capacity_Resource,$F74,'Critical resources (hide)'!AE$6:AE$105)&gt;0,$E$1=2),0,1)</f>
        <v>1</v>
      </c>
      <c r="S74" s="68">
        <f ca="1">IF(AND(SUMIF(Capacity_Resource,$D74,'Critical resources (hide)'!AF$6:AF$105)+SUMIF(Capacity_Resource,$E74,'Critical resources (hide)'!AF$6:AF$105)+SUMIF(Capacity_Resource,$F74,'Critical resources (hide)'!AF$6:AF$105)&gt;0,$E$1=2),0,1)</f>
        <v>1</v>
      </c>
      <c r="T74" s="68">
        <f ca="1">IF(AND(SUMIF(Capacity_Resource,$D74,'Critical resources (hide)'!AG$6:AG$105)+SUMIF(Capacity_Resource,$E74,'Critical resources (hide)'!AG$6:AG$105)+SUMIF(Capacity_Resource,$F74,'Critical resources (hide)'!AG$6:AG$105)&gt;0,$E$1=2),0,1)</f>
        <v>1</v>
      </c>
      <c r="U74" s="68">
        <f ca="1">IF(AND(SUMIF(Capacity_Resource,$D74,'Critical resources (hide)'!AH$6:AH$105)+SUMIF(Capacity_Resource,$E74,'Critical resources (hide)'!AH$6:AH$105)+SUMIF(Capacity_Resource,$F74,'Critical resources (hide)'!AH$6:AH$105)&gt;0,$E$1=2),0,1)</f>
        <v>1</v>
      </c>
      <c r="V74" s="68">
        <f ca="1">IF(AND(SUMIF(Capacity_Resource,$D74,'Critical resources (hide)'!AI$6:AI$105)+SUMIF(Capacity_Resource,$E74,'Critical resources (hide)'!AI$6:AI$105)+SUMIF(Capacity_Resource,$F74,'Critical resources (hide)'!AI$6:AI$105)&gt;0,$E$1=2),0,1)</f>
        <v>1</v>
      </c>
      <c r="W74" s="68">
        <f ca="1">IF(AND(SUMIF(Capacity_Resource,$D74,'Critical resources (hide)'!AJ$6:AJ$105)+SUMIF(Capacity_Resource,$E74,'Critical resources (hide)'!AJ$6:AJ$105)+SUMIF(Capacity_Resource,$F74,'Critical resources (hide)'!AJ$6:AJ$105)&gt;0,$E$1=2),0,1)</f>
        <v>1</v>
      </c>
      <c r="X74" s="68">
        <f ca="1">IF(AND(SUMIF(Capacity_Resource,$D74,'Critical resources (hide)'!AK$6:AK$105)+SUMIF(Capacity_Resource,$E74,'Critical resources (hide)'!AK$6:AK$105)+SUMIF(Capacity_Resource,$F74,'Critical resources (hide)'!AK$6:AK$105)&gt;0,$E$1=2),0,1)</f>
        <v>1</v>
      </c>
      <c r="Y74" s="68">
        <f ca="1">IF(AND(SUMIF(Capacity_Resource,$D74,'Critical resources (hide)'!AL$6:AL$105)+SUMIF(Capacity_Resource,$E74,'Critical resources (hide)'!AL$6:AL$105)+SUMIF(Capacity_Resource,$F74,'Critical resources (hide)'!AL$6:AL$105)&gt;0,$E$1=2),0,1)</f>
        <v>1</v>
      </c>
      <c r="Z74" s="68">
        <f ca="1">IF(AND(SUMIF(Capacity_Resource,$D74,'Critical resources (hide)'!AM$6:AM$105)+SUMIF(Capacity_Resource,$E74,'Critical resources (hide)'!AM$6:AM$105)+SUMIF(Capacity_Resource,$F74,'Critical resources (hide)'!AM$6:AM$105)&gt;0,$E$1=2),0,1)</f>
        <v>1</v>
      </c>
      <c r="AA74" s="68">
        <f ca="1">IF(AND(SUMIF(Capacity_Resource,$D74,'Critical resources (hide)'!AN$6:AN$105)+SUMIF(Capacity_Resource,$E74,'Critical resources (hide)'!AN$6:AN$105)+SUMIF(Capacity_Resource,$F74,'Critical resources (hide)'!AN$6:AN$105)&gt;0,$E$1=2),0,1)</f>
        <v>1</v>
      </c>
      <c r="AB74" s="68">
        <f ca="1">IF(AND(SUMIF(Capacity_Resource,$D74,'Critical resources (hide)'!AO$6:AO$105)+SUMIF(Capacity_Resource,$E74,'Critical resources (hide)'!AO$6:AO$105)+SUMIF(Capacity_Resource,$F74,'Critical resources (hide)'!AO$6:AO$105)&gt;0,$E$1=2),0,1)</f>
        <v>1</v>
      </c>
      <c r="AC74" s="68">
        <f ca="1">IF(AND(SUMIF(Capacity_Resource,$D74,'Critical resources (hide)'!AP$6:AP$105)+SUMIF(Capacity_Resource,$E74,'Critical resources (hide)'!AP$6:AP$105)+SUMIF(Capacity_Resource,$F74,'Critical resources (hide)'!AP$6:AP$105)&gt;0,$E$1=2),0,1)</f>
        <v>1</v>
      </c>
      <c r="AD74" s="68">
        <f ca="1">IF(AND(SUMIF(Capacity_Resource,$D74,'Critical resources (hide)'!AQ$6:AQ$105)+SUMIF(Capacity_Resource,$E74,'Critical resources (hide)'!AQ$6:AQ$105)+SUMIF(Capacity_Resource,$F74,'Critical resources (hide)'!AQ$6:AQ$105)&gt;0,$E$1=2),0,1)</f>
        <v>1</v>
      </c>
      <c r="AE74" s="68">
        <f ca="1">IF(AND(SUMIF(Capacity_Resource,$D74,'Critical resources (hide)'!AR$6:AR$105)+SUMIF(Capacity_Resource,$E74,'Critical resources (hide)'!AR$6:AR$105)+SUMIF(Capacity_Resource,$F74,'Critical resources (hide)'!AR$6:AR$105)&gt;0,$E$1=2),0,1)</f>
        <v>1</v>
      </c>
      <c r="AF74" s="68">
        <f ca="1">IF(AND(SUMIF(Capacity_Resource,$D74,'Critical resources (hide)'!AS$6:AS$105)+SUMIF(Capacity_Resource,$E74,'Critical resources (hide)'!AS$6:AS$105)+SUMIF(Capacity_Resource,$F74,'Critical resources (hide)'!AS$6:AS$105)&gt;0,$E$1=2),0,1)</f>
        <v>1</v>
      </c>
      <c r="AG74" s="68">
        <f ca="1">IF(AND(SUMIF(Capacity_Resource,$D74,'Critical resources (hide)'!AT$6:AT$105)+SUMIF(Capacity_Resource,$E74,'Critical resources (hide)'!AT$6:AT$105)+SUMIF(Capacity_Resource,$F74,'Critical resources (hide)'!AT$6:AT$105)&gt;0,$E$1=2),0,1)</f>
        <v>1</v>
      </c>
      <c r="AH74" s="68">
        <f ca="1">IF(AND(SUMIF(Capacity_Resource,$D74,'Critical resources (hide)'!AU$6:AU$105)+SUMIF(Capacity_Resource,$E74,'Critical resources (hide)'!AU$6:AU$105)+SUMIF(Capacity_Resource,$F74,'Critical resources (hide)'!AU$6:AU$105)&gt;0,$E$1=2),0,1)</f>
        <v>1</v>
      </c>
      <c r="AI74" s="68">
        <f ca="1">IF(AND(SUMIF(Capacity_Resource,$D74,'Critical resources (hide)'!AV$6:AV$105)+SUMIF(Capacity_Resource,$E74,'Critical resources (hide)'!AV$6:AV$105)+SUMIF(Capacity_Resource,$F74,'Critical resources (hide)'!AV$6:AV$105)&gt;0,$E$1=2),0,1)</f>
        <v>1</v>
      </c>
      <c r="AJ74" s="68">
        <f ca="1">IF(AND(SUMIF(Capacity_Resource,$D74,'Critical resources (hide)'!AW$6:AW$105)+SUMIF(Capacity_Resource,$E74,'Critical resources (hide)'!AW$6:AW$105)+SUMIF(Capacity_Resource,$F74,'Critical resources (hide)'!AW$6:AW$105)&gt;0,$E$1=2),0,1)</f>
        <v>1</v>
      </c>
      <c r="AK74" s="68">
        <f ca="1">IF(AND(SUMIF(Capacity_Resource,$D74,'Critical resources (hide)'!AX$6:AX$105)+SUMIF(Capacity_Resource,$E74,'Critical resources (hide)'!AX$6:AX$105)+SUMIF(Capacity_Resource,$F74,'Critical resources (hide)'!AX$6:AX$105)&gt;0,$E$1=2),0,1)</f>
        <v>1</v>
      </c>
      <c r="AL74" s="68">
        <f ca="1">IF(AND(SUMIF(Capacity_Resource,$D74,'Critical resources (hide)'!AY$6:AY$105)+SUMIF(Capacity_Resource,$E74,'Critical resources (hide)'!AY$6:AY$105)+SUMIF(Capacity_Resource,$F74,'Critical resources (hide)'!AY$6:AY$105)&gt;0,$E$1=2),0,1)</f>
        <v>1</v>
      </c>
      <c r="AM74" s="68">
        <f ca="1">IF(AND(SUMIF(Capacity_Resource,$D74,'Critical resources (hide)'!AZ$6:AZ$105)+SUMIF(Capacity_Resource,$E74,'Critical resources (hide)'!AZ$6:AZ$105)+SUMIF(Capacity_Resource,$F74,'Critical resources (hide)'!AZ$6:AZ$105)&gt;0,$E$1=2),0,1)</f>
        <v>1</v>
      </c>
      <c r="AN74" s="68">
        <f ca="1">IF(AND(SUMIF(Capacity_Resource,$D74,'Critical resources (hide)'!BA$6:BA$105)+SUMIF(Capacity_Resource,$E74,'Critical resources (hide)'!BA$6:BA$105)+SUMIF(Capacity_Resource,$F74,'Critical resources (hide)'!BA$6:BA$105)&gt;0,$E$1=2),0,1)</f>
        <v>1</v>
      </c>
      <c r="AO74" s="68">
        <f ca="1">IF(AND(SUMIF(Capacity_Resource,$D74,'Critical resources (hide)'!BB$6:BB$105)+SUMIF(Capacity_Resource,$E74,'Critical resources (hide)'!BB$6:BB$105)+SUMIF(Capacity_Resource,$F74,'Critical resources (hide)'!BB$6:BB$105)&gt;0,$E$1=2),0,1)</f>
        <v>1</v>
      </c>
      <c r="AP74" s="68">
        <f ca="1">IF(AND(SUMIF(Capacity_Resource,$D74,'Critical resources (hide)'!BC$6:BC$105)+SUMIF(Capacity_Resource,$E74,'Critical resources (hide)'!BC$6:BC$105)+SUMIF(Capacity_Resource,$F74,'Critical resources (hide)'!BC$6:BC$105)&gt;0,$E$1=2),0,1)</f>
        <v>1</v>
      </c>
      <c r="AQ74" s="68">
        <f ca="1">IF(AND(SUMIF(Capacity_Resource,$D74,'Critical resources (hide)'!BD$6:BD$105)+SUMIF(Capacity_Resource,$E74,'Critical resources (hide)'!BD$6:BD$105)+SUMIF(Capacity_Resource,$F74,'Critical resources (hide)'!BD$6:BD$105)&gt;0,$E$1=2),0,1)</f>
        <v>1</v>
      </c>
      <c r="AR74" s="68">
        <f ca="1">IF(AND(SUMIF(Capacity_Resource,$D74,'Critical resources (hide)'!BE$6:BE$105)+SUMIF(Capacity_Resource,$E74,'Critical resources (hide)'!BE$6:BE$105)+SUMIF(Capacity_Resource,$F74,'Critical resources (hide)'!BE$6:BE$105)&gt;0,$E$1=2),0,1)</f>
        <v>1</v>
      </c>
      <c r="AS74" s="68">
        <f ca="1">IF(AND(SUMIF(Capacity_Resource,$D74,'Critical resources (hide)'!BF$6:BF$105)+SUMIF(Capacity_Resource,$E74,'Critical resources (hide)'!BF$6:BF$105)+SUMIF(Capacity_Resource,$F74,'Critical resources (hide)'!BF$6:BF$105)&gt;0,$E$1=2),0,1)</f>
        <v>1</v>
      </c>
      <c r="AT74" s="68">
        <f ca="1">IF(AND(SUMIF(Capacity_Resource,$D74,'Critical resources (hide)'!BG$6:BG$105)+SUMIF(Capacity_Resource,$E74,'Critical resources (hide)'!BG$6:BG$105)+SUMIF(Capacity_Resource,$F74,'Critical resources (hide)'!BG$6:BG$105)&gt;0,$E$1=2),0,1)</f>
        <v>1</v>
      </c>
      <c r="AU74" s="68">
        <f ca="1">IF(AND(SUMIF(Capacity_Resource,$D74,'Critical resources (hide)'!BH$6:BH$105)+SUMIF(Capacity_Resource,$E74,'Critical resources (hide)'!BH$6:BH$105)+SUMIF(Capacity_Resource,$F74,'Critical resources (hide)'!BH$6:BH$105)&gt;0,$E$1=2),0,1)</f>
        <v>1</v>
      </c>
      <c r="AV74" s="68">
        <f ca="1">IF(AND(SUMIF(Capacity_Resource,$D74,'Critical resources (hide)'!BI$6:BI$105)+SUMIF(Capacity_Resource,$E74,'Critical resources (hide)'!BI$6:BI$105)+SUMIF(Capacity_Resource,$F74,'Critical resources (hide)'!BI$6:BI$105)&gt;0,$E$1=2),0,1)</f>
        <v>1</v>
      </c>
      <c r="AW74" s="68">
        <f ca="1">IF(AND(SUMIF(Capacity_Resource,$D74,'Critical resources (hide)'!BJ$6:BJ$105)+SUMIF(Capacity_Resource,$E74,'Critical resources (hide)'!BJ$6:BJ$105)+SUMIF(Capacity_Resource,$F74,'Critical resources (hide)'!BJ$6:BJ$105)&gt;0,$E$1=2),0,1)</f>
        <v>1</v>
      </c>
      <c r="AX74" s="68">
        <f ca="1">IF(AND(SUMIF(Capacity_Resource,$D74,'Critical resources (hide)'!BK$6:BK$105)+SUMIF(Capacity_Resource,$E74,'Critical resources (hide)'!BK$6:BK$105)+SUMIF(Capacity_Resource,$F74,'Critical resources (hide)'!BK$6:BK$105)&gt;0,$E$1=2),0,1)</f>
        <v>1</v>
      </c>
      <c r="AY74" s="68">
        <f ca="1">IF(AND(SUMIF(Capacity_Resource,$D74,'Critical resources (hide)'!BL$6:BL$105)+SUMIF(Capacity_Resource,$E74,'Critical resources (hide)'!BL$6:BL$105)+SUMIF(Capacity_Resource,$F74,'Critical resources (hide)'!BL$6:BL$105)&gt;0,$E$1=2),0,1)</f>
        <v>1</v>
      </c>
      <c r="AZ74" s="68">
        <f ca="1">IF(AND(SUMIF(Capacity_Resource,$D74,'Critical resources (hide)'!BM$6:BM$105)+SUMIF(Capacity_Resource,$E74,'Critical resources (hide)'!BM$6:BM$105)+SUMIF(Capacity_Resource,$F74,'Critical resources (hide)'!BM$6:BM$105)&gt;0,$E$1=2),0,1)</f>
        <v>1</v>
      </c>
      <c r="BA74" s="68">
        <f ca="1">IF(AND(SUMIF(Capacity_Resource,$D74,'Critical resources (hide)'!BN$6:BN$105)+SUMIF(Capacity_Resource,$E74,'Critical resources (hide)'!BN$6:BN$105)+SUMIF(Capacity_Resource,$F74,'Critical resources (hide)'!BN$6:BN$105)&gt;0,$E$1=2),0,1)</f>
        <v>1</v>
      </c>
      <c r="BB74" s="68">
        <f ca="1">IF(AND(SUMIF(Capacity_Resource,$D74,'Critical resources (hide)'!BO$6:BO$105)+SUMIF(Capacity_Resource,$E74,'Critical resources (hide)'!BO$6:BO$105)+SUMIF(Capacity_Resource,$F74,'Critical resources (hide)'!BO$6:BO$105)&gt;0,$E$1=2),0,1)</f>
        <v>1</v>
      </c>
      <c r="BC74" s="68">
        <f ca="1">IF(AND(SUMIF(Capacity_Resource,$D74,'Critical resources (hide)'!BP$6:BP$105)+SUMIF(Capacity_Resource,$E74,'Critical resources (hide)'!BP$6:BP$105)+SUMIF(Capacity_Resource,$F74,'Critical resources (hide)'!BP$6:BP$105)&gt;0,$E$1=2),0,1)</f>
        <v>1</v>
      </c>
      <c r="BD74" s="68">
        <f ca="1">IF(AND(SUMIF(Capacity_Resource,$D74,'Critical resources (hide)'!BQ$6:BQ$105)+SUMIF(Capacity_Resource,$E74,'Critical resources (hide)'!BQ$6:BQ$105)+SUMIF(Capacity_Resource,$F74,'Critical resources (hide)'!BQ$6:BQ$105)&gt;0,$E$1=2),0,1)</f>
        <v>1</v>
      </c>
      <c r="BE74" s="68">
        <f ca="1">IF(AND(SUMIF(Capacity_Resource,$D74,'Critical resources (hide)'!BR$6:BR$105)+SUMIF(Capacity_Resource,$E74,'Critical resources (hide)'!BR$6:BR$105)+SUMIF(Capacity_Resource,$F74,'Critical resources (hide)'!BR$6:BR$105)&gt;0,$E$1=2),0,1)</f>
        <v>1</v>
      </c>
      <c r="BF74" s="68">
        <f ca="1">IF(AND(SUMIF(Capacity_Resource,$D74,'Critical resources (hide)'!BS$6:BS$105)+SUMIF(Capacity_Resource,$E74,'Critical resources (hide)'!BS$6:BS$105)+SUMIF(Capacity_Resource,$F74,'Critical resources (hide)'!BS$6:BS$105)&gt;0,$E$1=2),0,1)</f>
        <v>1</v>
      </c>
      <c r="BG74" s="68">
        <f ca="1">IF(AND(SUMIF(Capacity_Resource,$D74,'Critical resources (hide)'!BT$6:BT$105)+SUMIF(Capacity_Resource,$E74,'Critical resources (hide)'!BT$6:BT$105)+SUMIF(Capacity_Resource,$F74,'Critical resources (hide)'!BT$6:BT$105)&gt;0,$E$1=2),0,1)</f>
        <v>1</v>
      </c>
      <c r="BH74" s="68">
        <f>IF(ROW(C70)&lt;=Capacity!$A$16,IF('Capacity summary'!$D$14="No",SUM(H74:BG74),'Capacity summary'!$E193),0)</f>
        <v>0</v>
      </c>
      <c r="BI74" s="5" t="str">
        <f>IF(BH74&gt;0,IF(BH74&lt;Capacity!E86,Capacity!F86,Capacity!H86/'Capacity calculation (hide)'!BH74),"")</f>
        <v/>
      </c>
      <c r="BK74" s="319">
        <f>IF($BI74&lt;&gt;"",IF('Capacity summary'!$D$14="Yes",IF(COUNTBLANK('Capacity summary'!$H193:$BG193)&lt;52,IF('Capacity summary'!H193&lt;&gt;"",$BI74*H74,0),H74*$BI74),H74*$BI74),0)</f>
        <v>0</v>
      </c>
      <c r="BL74" s="319">
        <f>IF($BI74&lt;&gt;"",IF('Capacity summary'!$D$14="Yes",IF(COUNTBLANK('Capacity summary'!$H193:$BG193)&lt;52,IF('Capacity summary'!I193&lt;&gt;"",$BI74*I74,0),I74*$BI74),I74*$BI74),0)</f>
        <v>0</v>
      </c>
      <c r="BM74" s="319">
        <f>IF($BI74&lt;&gt;"",IF('Capacity summary'!$D$14="Yes",IF(COUNTBLANK('Capacity summary'!$H193:$BG193)&lt;52,IF('Capacity summary'!J193&lt;&gt;"",$BI74*J74,0),J74*$BI74),J74*$BI74),0)</f>
        <v>0</v>
      </c>
      <c r="BN74" s="319">
        <f>IF($BI74&lt;&gt;"",IF('Capacity summary'!$D$14="Yes",IF(COUNTBLANK('Capacity summary'!$H193:$BG193)&lt;52,IF('Capacity summary'!K193&lt;&gt;"",$BI74*K74,0),K74*$BI74),K74*$BI74),0)</f>
        <v>0</v>
      </c>
      <c r="BO74" s="319">
        <f>IF($BI74&lt;&gt;"",IF('Capacity summary'!$D$14="Yes",IF(COUNTBLANK('Capacity summary'!$H193:$BG193)&lt;52,IF('Capacity summary'!L193&lt;&gt;"",$BI74*L74,0),L74*$BI74),L74*$BI74),0)</f>
        <v>0</v>
      </c>
      <c r="BP74" s="319">
        <f>IF($BI74&lt;&gt;"",IF('Capacity summary'!$D$14="Yes",IF(COUNTBLANK('Capacity summary'!$H193:$BG193)&lt;52,IF('Capacity summary'!M193&lt;&gt;"",$BI74*M74,0),M74*$BI74),M74*$BI74),0)</f>
        <v>0</v>
      </c>
      <c r="BQ74" s="319">
        <f>IF($BI74&lt;&gt;"",IF('Capacity summary'!$D$14="Yes",IF(COUNTBLANK('Capacity summary'!$H193:$BG193)&lt;52,IF('Capacity summary'!N193&lt;&gt;"",$BI74*N74,0),N74*$BI74),N74*$BI74),0)</f>
        <v>0</v>
      </c>
      <c r="BR74" s="319">
        <f>IF($BI74&lt;&gt;"",IF('Capacity summary'!$D$14="Yes",IF(COUNTBLANK('Capacity summary'!$H193:$BG193)&lt;52,IF('Capacity summary'!O193&lt;&gt;"",$BI74*O74,0),O74*$BI74),O74*$BI74),0)</f>
        <v>0</v>
      </c>
      <c r="BS74" s="319">
        <f>IF($BI74&lt;&gt;"",IF('Capacity summary'!$D$14="Yes",IF(COUNTBLANK('Capacity summary'!$H193:$BG193)&lt;52,IF('Capacity summary'!P193&lt;&gt;"",$BI74*P74,0),P74*$BI74),P74*$BI74),0)</f>
        <v>0</v>
      </c>
      <c r="BT74" s="319">
        <f>IF($BI74&lt;&gt;"",IF('Capacity summary'!$D$14="Yes",IF(COUNTBLANK('Capacity summary'!$H193:$BG193)&lt;52,IF('Capacity summary'!Q193&lt;&gt;"",$BI74*Q74,0),Q74*$BI74),Q74*$BI74),0)</f>
        <v>0</v>
      </c>
      <c r="BU74" s="319">
        <f>IF($BI74&lt;&gt;"",IF('Capacity summary'!$D$14="Yes",IF(COUNTBLANK('Capacity summary'!$H193:$BG193)&lt;52,IF('Capacity summary'!R193&lt;&gt;"",$BI74*R74,0),R74*$BI74),R74*$BI74),0)</f>
        <v>0</v>
      </c>
      <c r="BV74" s="319">
        <f>IF($BI74&lt;&gt;"",IF('Capacity summary'!$D$14="Yes",IF(COUNTBLANK('Capacity summary'!$H193:$BG193)&lt;52,IF('Capacity summary'!S193&lt;&gt;"",$BI74*S74,0),S74*$BI74),S74*$BI74),0)</f>
        <v>0</v>
      </c>
      <c r="BW74" s="319">
        <f>IF($BI74&lt;&gt;"",IF('Capacity summary'!$D$14="Yes",IF(COUNTBLANK('Capacity summary'!$H193:$BG193)&lt;52,IF('Capacity summary'!T193&lt;&gt;"",$BI74*T74,0),T74*$BI74),T74*$BI74),0)</f>
        <v>0</v>
      </c>
      <c r="BX74" s="319">
        <f>IF($BI74&lt;&gt;"",IF('Capacity summary'!$D$14="Yes",IF(COUNTBLANK('Capacity summary'!$H193:$BG193)&lt;52,IF('Capacity summary'!U193&lt;&gt;"",$BI74*U74,0),U74*$BI74),U74*$BI74),0)</f>
        <v>0</v>
      </c>
      <c r="BY74" s="319">
        <f>IF($BI74&lt;&gt;"",IF('Capacity summary'!$D$14="Yes",IF(COUNTBLANK('Capacity summary'!$H193:$BG193)&lt;52,IF('Capacity summary'!V193&lt;&gt;"",$BI74*V74,0),V74*$BI74),V74*$BI74),0)</f>
        <v>0</v>
      </c>
      <c r="BZ74" s="319">
        <f>IF($BI74&lt;&gt;"",IF('Capacity summary'!$D$14="Yes",IF(COUNTBLANK('Capacity summary'!$H193:$BG193)&lt;52,IF('Capacity summary'!W193&lt;&gt;"",$BI74*W74,0),W74*$BI74),W74*$BI74),0)</f>
        <v>0</v>
      </c>
      <c r="CA74" s="319">
        <f>IF($BI74&lt;&gt;"",IF('Capacity summary'!$D$14="Yes",IF(COUNTBLANK('Capacity summary'!$H193:$BG193)&lt;52,IF('Capacity summary'!X193&lt;&gt;"",$BI74*X74,0),X74*$BI74),X74*$BI74),0)</f>
        <v>0</v>
      </c>
      <c r="CB74" s="319">
        <f>IF($BI74&lt;&gt;"",IF('Capacity summary'!$D$14="Yes",IF(COUNTBLANK('Capacity summary'!$H193:$BG193)&lt;52,IF('Capacity summary'!Y193&lt;&gt;"",$BI74*Y74,0),Y74*$BI74),Y74*$BI74),0)</f>
        <v>0</v>
      </c>
      <c r="CC74" s="319">
        <f>IF($BI74&lt;&gt;"",IF('Capacity summary'!$D$14="Yes",IF(COUNTBLANK('Capacity summary'!$H193:$BG193)&lt;52,IF('Capacity summary'!Z193&lt;&gt;"",$BI74*Z74,0),Z74*$BI74),Z74*$BI74),0)</f>
        <v>0</v>
      </c>
      <c r="CD74" s="319">
        <f>IF($BI74&lt;&gt;"",IF('Capacity summary'!$D$14="Yes",IF(COUNTBLANK('Capacity summary'!$H193:$BG193)&lt;52,IF('Capacity summary'!AA193&lt;&gt;"",$BI74*AA74,0),AA74*$BI74),AA74*$BI74),0)</f>
        <v>0</v>
      </c>
      <c r="CE74" s="319">
        <f>IF($BI74&lt;&gt;"",IF('Capacity summary'!$D$14="Yes",IF(COUNTBLANK('Capacity summary'!$H193:$BG193)&lt;52,IF('Capacity summary'!AB193&lt;&gt;"",$BI74*AB74,0),AB74*$BI74),AB74*$BI74),0)</f>
        <v>0</v>
      </c>
      <c r="CF74" s="319">
        <f>IF($BI74&lt;&gt;"",IF('Capacity summary'!$D$14="Yes",IF(COUNTBLANK('Capacity summary'!$H193:$BG193)&lt;52,IF('Capacity summary'!AC193&lt;&gt;"",$BI74*AC74,0),AC74*$BI74),AC74*$BI74),0)</f>
        <v>0</v>
      </c>
      <c r="CG74" s="319">
        <f>IF($BI74&lt;&gt;"",IF('Capacity summary'!$D$14="Yes",IF(COUNTBLANK('Capacity summary'!$H193:$BG193)&lt;52,IF('Capacity summary'!AD193&lt;&gt;"",$BI74*AD74,0),AD74*$BI74),AD74*$BI74),0)</f>
        <v>0</v>
      </c>
      <c r="CH74" s="319">
        <f>IF($BI74&lt;&gt;"",IF('Capacity summary'!$D$14="Yes",IF(COUNTBLANK('Capacity summary'!$H193:$BG193)&lt;52,IF('Capacity summary'!AE193&lt;&gt;"",$BI74*AE74,0),AE74*$BI74),AE74*$BI74),0)</f>
        <v>0</v>
      </c>
      <c r="CI74" s="319">
        <f>IF($BI74&lt;&gt;"",IF('Capacity summary'!$D$14="Yes",IF(COUNTBLANK('Capacity summary'!$H193:$BG193)&lt;52,IF('Capacity summary'!AF193&lt;&gt;"",$BI74*AF74,0),AF74*$BI74),AF74*$BI74),0)</f>
        <v>0</v>
      </c>
      <c r="CJ74" s="319">
        <f>IF($BI74&lt;&gt;"",IF('Capacity summary'!$D$14="Yes",IF(COUNTBLANK('Capacity summary'!$H193:$BG193)&lt;52,IF('Capacity summary'!AG193&lt;&gt;"",$BI74*AG74,0),AG74*$BI74),AG74*$BI74),0)</f>
        <v>0</v>
      </c>
      <c r="CK74" s="319">
        <f>IF($BI74&lt;&gt;"",IF('Capacity summary'!$D$14="Yes",IF(COUNTBLANK('Capacity summary'!$H193:$BG193)&lt;52,IF('Capacity summary'!AH193&lt;&gt;"",$BI74*AH74,0),AH74*$BI74),AH74*$BI74),0)</f>
        <v>0</v>
      </c>
      <c r="CL74" s="319">
        <f>IF($BI74&lt;&gt;"",IF('Capacity summary'!$D$14="Yes",IF(COUNTBLANK('Capacity summary'!$H193:$BG193)&lt;52,IF('Capacity summary'!AI193&lt;&gt;"",$BI74*AI74,0),AI74*$BI74),AI74*$BI74),0)</f>
        <v>0</v>
      </c>
      <c r="CM74" s="319">
        <f>IF($BI74&lt;&gt;"",IF('Capacity summary'!$D$14="Yes",IF(COUNTBLANK('Capacity summary'!$H193:$BG193)&lt;52,IF('Capacity summary'!AJ193&lt;&gt;"",$BI74*AJ74,0),AJ74*$BI74),AJ74*$BI74),0)</f>
        <v>0</v>
      </c>
      <c r="CN74" s="319">
        <f>IF($BI74&lt;&gt;"",IF('Capacity summary'!$D$14="Yes",IF(COUNTBLANK('Capacity summary'!$H193:$BG193)&lt;52,IF('Capacity summary'!AK193&lt;&gt;"",$BI74*AK74,0),AK74*$BI74),AK74*$BI74),0)</f>
        <v>0</v>
      </c>
      <c r="CO74" s="319">
        <f>IF($BI74&lt;&gt;"",IF('Capacity summary'!$D$14="Yes",IF(COUNTBLANK('Capacity summary'!$H193:$BG193)&lt;52,IF('Capacity summary'!AL193&lt;&gt;"",$BI74*AL74,0),AL74*$BI74),AL74*$BI74),0)</f>
        <v>0</v>
      </c>
      <c r="CP74" s="319">
        <f>IF($BI74&lt;&gt;"",IF('Capacity summary'!$D$14="Yes",IF(COUNTBLANK('Capacity summary'!$H193:$BG193)&lt;52,IF('Capacity summary'!AM193&lt;&gt;"",$BI74*AM74,0),AM74*$BI74),AM74*$BI74),0)</f>
        <v>0</v>
      </c>
      <c r="CQ74" s="319">
        <f>IF($BI74&lt;&gt;"",IF('Capacity summary'!$D$14="Yes",IF(COUNTBLANK('Capacity summary'!$H193:$BG193)&lt;52,IF('Capacity summary'!AN193&lt;&gt;"",$BI74*AN74,0),AN74*$BI74),AN74*$BI74),0)</f>
        <v>0</v>
      </c>
      <c r="CR74" s="319">
        <f>IF($BI74&lt;&gt;"",IF('Capacity summary'!$D$14="Yes",IF(COUNTBLANK('Capacity summary'!$H193:$BG193)&lt;52,IF('Capacity summary'!AO193&lt;&gt;"",$BI74*AO74,0),AO74*$BI74),AO74*$BI74),0)</f>
        <v>0</v>
      </c>
      <c r="CS74" s="319">
        <f>IF($BI74&lt;&gt;"",IF('Capacity summary'!$D$14="Yes",IF(COUNTBLANK('Capacity summary'!$H193:$BG193)&lt;52,IF('Capacity summary'!AP193&lt;&gt;"",$BI74*AP74,0),AP74*$BI74),AP74*$BI74),0)</f>
        <v>0</v>
      </c>
      <c r="CT74" s="319">
        <f>IF($BI74&lt;&gt;"",IF('Capacity summary'!$D$14="Yes",IF(COUNTBLANK('Capacity summary'!$H193:$BG193)&lt;52,IF('Capacity summary'!AQ193&lt;&gt;"",$BI74*AQ74,0),AQ74*$BI74),AQ74*$BI74),0)</f>
        <v>0</v>
      </c>
      <c r="CU74" s="319">
        <f>IF($BI74&lt;&gt;"",IF('Capacity summary'!$D$14="Yes",IF(COUNTBLANK('Capacity summary'!$H193:$BG193)&lt;52,IF('Capacity summary'!AR193&lt;&gt;"",$BI74*AR74,0),AR74*$BI74),AR74*$BI74),0)</f>
        <v>0</v>
      </c>
      <c r="CV74" s="319">
        <f>IF($BI74&lt;&gt;"",IF('Capacity summary'!$D$14="Yes",IF(COUNTBLANK('Capacity summary'!$H193:$BG193)&lt;52,IF('Capacity summary'!AS193&lt;&gt;"",$BI74*AS74,0),AS74*$BI74),AS74*$BI74),0)</f>
        <v>0</v>
      </c>
      <c r="CW74" s="319">
        <f>IF($BI74&lt;&gt;"",IF('Capacity summary'!$D$14="Yes",IF(COUNTBLANK('Capacity summary'!$H193:$BG193)&lt;52,IF('Capacity summary'!AT193&lt;&gt;"",$BI74*AT74,0),AT74*$BI74),AT74*$BI74),0)</f>
        <v>0</v>
      </c>
      <c r="CX74" s="319">
        <f>IF($BI74&lt;&gt;"",IF('Capacity summary'!$D$14="Yes",IF(COUNTBLANK('Capacity summary'!$H193:$BG193)&lt;52,IF('Capacity summary'!AU193&lt;&gt;"",$BI74*AU74,0),AU74*$BI74),AU74*$BI74),0)</f>
        <v>0</v>
      </c>
      <c r="CY74" s="319">
        <f>IF($BI74&lt;&gt;"",IF('Capacity summary'!$D$14="Yes",IF(COUNTBLANK('Capacity summary'!$H193:$BG193)&lt;52,IF('Capacity summary'!AV193&lt;&gt;"",$BI74*AV74,0),AV74*$BI74),AV74*$BI74),0)</f>
        <v>0</v>
      </c>
      <c r="CZ74" s="319">
        <f>IF($BI74&lt;&gt;"",IF('Capacity summary'!$D$14="Yes",IF(COUNTBLANK('Capacity summary'!$H193:$BG193)&lt;52,IF('Capacity summary'!AW193&lt;&gt;"",$BI74*AW74,0),AW74*$BI74),AW74*$BI74),0)</f>
        <v>0</v>
      </c>
      <c r="DA74" s="319">
        <f>IF($BI74&lt;&gt;"",IF('Capacity summary'!$D$14="Yes",IF(COUNTBLANK('Capacity summary'!$H193:$BG193)&lt;52,IF('Capacity summary'!AX193&lt;&gt;"",$BI74*AX74,0),AX74*$BI74),AX74*$BI74),0)</f>
        <v>0</v>
      </c>
      <c r="DB74" s="319">
        <f>IF($BI74&lt;&gt;"",IF('Capacity summary'!$D$14="Yes",IF(COUNTBLANK('Capacity summary'!$H193:$BG193)&lt;52,IF('Capacity summary'!AY193&lt;&gt;"",$BI74*AY74,0),AY74*$BI74),AY74*$BI74),0)</f>
        <v>0</v>
      </c>
      <c r="DC74" s="319">
        <f>IF($BI74&lt;&gt;"",IF('Capacity summary'!$D$14="Yes",IF(COUNTBLANK('Capacity summary'!$H193:$BG193)&lt;52,IF('Capacity summary'!AZ193&lt;&gt;"",$BI74*AZ74,0),AZ74*$BI74),AZ74*$BI74),0)</f>
        <v>0</v>
      </c>
      <c r="DD74" s="319">
        <f>IF($BI74&lt;&gt;"",IF('Capacity summary'!$D$14="Yes",IF(COUNTBLANK('Capacity summary'!$H193:$BG193)&lt;52,IF('Capacity summary'!BA193&lt;&gt;"",$BI74*BA74,0),BA74*$BI74),BA74*$BI74),0)</f>
        <v>0</v>
      </c>
      <c r="DE74" s="319">
        <f>IF($BI74&lt;&gt;"",IF('Capacity summary'!$D$14="Yes",IF(COUNTBLANK('Capacity summary'!$H193:$BG193)&lt;52,IF('Capacity summary'!BB193&lt;&gt;"",$BI74*BB74,0),BB74*$BI74),BB74*$BI74),0)</f>
        <v>0</v>
      </c>
      <c r="DF74" s="319">
        <f>IF($BI74&lt;&gt;"",IF('Capacity summary'!$D$14="Yes",IF(COUNTBLANK('Capacity summary'!$H193:$BG193)&lt;52,IF('Capacity summary'!BC193&lt;&gt;"",$BI74*BC74,0),BC74*$BI74),BC74*$BI74),0)</f>
        <v>0</v>
      </c>
      <c r="DG74" s="319">
        <f>IF($BI74&lt;&gt;"",IF('Capacity summary'!$D$14="Yes",IF(COUNTBLANK('Capacity summary'!$H193:$BG193)&lt;52,IF('Capacity summary'!BD193&lt;&gt;"",$BI74*BD74,0),BD74*$BI74),BD74*$BI74),0)</f>
        <v>0</v>
      </c>
      <c r="DH74" s="319">
        <f>IF($BI74&lt;&gt;"",IF('Capacity summary'!$D$14="Yes",IF(COUNTBLANK('Capacity summary'!$H193:$BG193)&lt;52,IF('Capacity summary'!BE193&lt;&gt;"",$BI74*BE74,0),BE74*$BI74),BE74*$BI74),0)</f>
        <v>0</v>
      </c>
      <c r="DI74" s="319">
        <f>IF($BI74&lt;&gt;"",IF('Capacity summary'!$D$14="Yes",IF(COUNTBLANK('Capacity summary'!$H193:$BG193)&lt;52,IF('Capacity summary'!BF193&lt;&gt;"",$BI74*BF74,0),BF74*$BI74),BF74*$BI74),0)</f>
        <v>0</v>
      </c>
      <c r="DJ74" s="319">
        <f>IF($BI74&lt;&gt;"",IF('Capacity summary'!$D$14="Yes",IF(COUNTBLANK('Capacity summary'!$H193:$BG193)&lt;52,IF('Capacity summary'!BG193&lt;&gt;"",$BI74*BG74,0),BG74*$BI74),BG74*$BI74),0)</f>
        <v>0</v>
      </c>
      <c r="DK74" s="5">
        <f t="shared" si="3"/>
        <v>0</v>
      </c>
      <c r="DL74" s="5" t="str">
        <f>Capacity!H86</f>
        <v/>
      </c>
    </row>
    <row r="75" spans="2:116" x14ac:dyDescent="0.2">
      <c r="B75" s="68"/>
      <c r="C75" s="68" t="str">
        <f>ROW(A71)&amp;". "&amp;Capacity!B87</f>
        <v xml:space="preserve">71. </v>
      </c>
      <c r="D75" s="68">
        <f>'Capacity setup'!C82</f>
        <v>0</v>
      </c>
      <c r="E75" s="68">
        <f>'Capacity setup'!D82</f>
        <v>0</v>
      </c>
      <c r="F75" s="68">
        <f>'Capacity setup'!E82</f>
        <v>0</v>
      </c>
      <c r="H75" s="68">
        <f ca="1">IF(AND(SUMIF(Capacity_Resource,$D75,'Critical resources (hide)'!U$6:U$105)+SUMIF(Capacity_Resource,$E75,'Critical resources (hide)'!U$6:U$105)+SUMIF(Capacity_Resource,$F75,'Critical resources (hide)'!U$6:U$105)&gt;0,$E$1=2),0,1)</f>
        <v>1</v>
      </c>
      <c r="I75" s="68">
        <f ca="1">IF(AND(SUMIF(Capacity_Resource,$D75,'Critical resources (hide)'!V$6:V$105)+SUMIF(Capacity_Resource,$E75,'Critical resources (hide)'!V$6:V$105)+SUMIF(Capacity_Resource,$F75,'Critical resources (hide)'!V$6:V$105)&gt;0,$E$1=2),0,1)</f>
        <v>1</v>
      </c>
      <c r="J75" s="68">
        <f ca="1">IF(AND(SUMIF(Capacity_Resource,$D75,'Critical resources (hide)'!W$6:W$105)+SUMIF(Capacity_Resource,$E75,'Critical resources (hide)'!W$6:W$105)+SUMIF(Capacity_Resource,$F75,'Critical resources (hide)'!W$6:W$105)&gt;0,$E$1=2),0,1)</f>
        <v>1</v>
      </c>
      <c r="K75" s="68">
        <f ca="1">IF(AND(SUMIF(Capacity_Resource,$D75,'Critical resources (hide)'!X$6:X$105)+SUMIF(Capacity_Resource,$E75,'Critical resources (hide)'!X$6:X$105)+SUMIF(Capacity_Resource,$F75,'Critical resources (hide)'!X$6:X$105)&gt;0,$E$1=2),0,1)</f>
        <v>1</v>
      </c>
      <c r="L75" s="68">
        <f ca="1">IF(AND(SUMIF(Capacity_Resource,$D75,'Critical resources (hide)'!Y$6:Y$105)+SUMIF(Capacity_Resource,$E75,'Critical resources (hide)'!Y$6:Y$105)+SUMIF(Capacity_Resource,$F75,'Critical resources (hide)'!Y$6:Y$105)&gt;0,$E$1=2),0,1)</f>
        <v>1</v>
      </c>
      <c r="M75" s="68">
        <f ca="1">IF(AND(SUMIF(Capacity_Resource,$D75,'Critical resources (hide)'!Z$6:Z$105)+SUMIF(Capacity_Resource,$E75,'Critical resources (hide)'!Z$6:Z$105)+SUMIF(Capacity_Resource,$F75,'Critical resources (hide)'!Z$6:Z$105)&gt;0,$E$1=2),0,1)</f>
        <v>1</v>
      </c>
      <c r="N75" s="68">
        <f ca="1">IF(AND(SUMIF(Capacity_Resource,$D75,'Critical resources (hide)'!AA$6:AA$105)+SUMIF(Capacity_Resource,$E75,'Critical resources (hide)'!AA$6:AA$105)+SUMIF(Capacity_Resource,$F75,'Critical resources (hide)'!AA$6:AA$105)&gt;0,$E$1=2),0,1)</f>
        <v>1</v>
      </c>
      <c r="O75" s="68">
        <f ca="1">IF(AND(SUMIF(Capacity_Resource,$D75,'Critical resources (hide)'!AB$6:AB$105)+SUMIF(Capacity_Resource,$E75,'Critical resources (hide)'!AB$6:AB$105)+SUMIF(Capacity_Resource,$F75,'Critical resources (hide)'!AB$6:AB$105)&gt;0,$E$1=2),0,1)</f>
        <v>1</v>
      </c>
      <c r="P75" s="68">
        <f ca="1">IF(AND(SUMIF(Capacity_Resource,$D75,'Critical resources (hide)'!AC$6:AC$105)+SUMIF(Capacity_Resource,$E75,'Critical resources (hide)'!AC$6:AC$105)+SUMIF(Capacity_Resource,$F75,'Critical resources (hide)'!AC$6:AC$105)&gt;0,$E$1=2),0,1)</f>
        <v>1</v>
      </c>
      <c r="Q75" s="68">
        <f ca="1">IF(AND(SUMIF(Capacity_Resource,$D75,'Critical resources (hide)'!AD$6:AD$105)+SUMIF(Capacity_Resource,$E75,'Critical resources (hide)'!AD$6:AD$105)+SUMIF(Capacity_Resource,$F75,'Critical resources (hide)'!AD$6:AD$105)&gt;0,$E$1=2),0,1)</f>
        <v>1</v>
      </c>
      <c r="R75" s="68">
        <f ca="1">IF(AND(SUMIF(Capacity_Resource,$D75,'Critical resources (hide)'!AE$6:AE$105)+SUMIF(Capacity_Resource,$E75,'Critical resources (hide)'!AE$6:AE$105)+SUMIF(Capacity_Resource,$F75,'Critical resources (hide)'!AE$6:AE$105)&gt;0,$E$1=2),0,1)</f>
        <v>1</v>
      </c>
      <c r="S75" s="68">
        <f ca="1">IF(AND(SUMIF(Capacity_Resource,$D75,'Critical resources (hide)'!AF$6:AF$105)+SUMIF(Capacity_Resource,$E75,'Critical resources (hide)'!AF$6:AF$105)+SUMIF(Capacity_Resource,$F75,'Critical resources (hide)'!AF$6:AF$105)&gt;0,$E$1=2),0,1)</f>
        <v>1</v>
      </c>
      <c r="T75" s="68">
        <f ca="1">IF(AND(SUMIF(Capacity_Resource,$D75,'Critical resources (hide)'!AG$6:AG$105)+SUMIF(Capacity_Resource,$E75,'Critical resources (hide)'!AG$6:AG$105)+SUMIF(Capacity_Resource,$F75,'Critical resources (hide)'!AG$6:AG$105)&gt;0,$E$1=2),0,1)</f>
        <v>1</v>
      </c>
      <c r="U75" s="68">
        <f ca="1">IF(AND(SUMIF(Capacity_Resource,$D75,'Critical resources (hide)'!AH$6:AH$105)+SUMIF(Capacity_Resource,$E75,'Critical resources (hide)'!AH$6:AH$105)+SUMIF(Capacity_Resource,$F75,'Critical resources (hide)'!AH$6:AH$105)&gt;0,$E$1=2),0,1)</f>
        <v>1</v>
      </c>
      <c r="V75" s="68">
        <f ca="1">IF(AND(SUMIF(Capacity_Resource,$D75,'Critical resources (hide)'!AI$6:AI$105)+SUMIF(Capacity_Resource,$E75,'Critical resources (hide)'!AI$6:AI$105)+SUMIF(Capacity_Resource,$F75,'Critical resources (hide)'!AI$6:AI$105)&gt;0,$E$1=2),0,1)</f>
        <v>1</v>
      </c>
      <c r="W75" s="68">
        <f ca="1">IF(AND(SUMIF(Capacity_Resource,$D75,'Critical resources (hide)'!AJ$6:AJ$105)+SUMIF(Capacity_Resource,$E75,'Critical resources (hide)'!AJ$6:AJ$105)+SUMIF(Capacity_Resource,$F75,'Critical resources (hide)'!AJ$6:AJ$105)&gt;0,$E$1=2),0,1)</f>
        <v>1</v>
      </c>
      <c r="X75" s="68">
        <f ca="1">IF(AND(SUMIF(Capacity_Resource,$D75,'Critical resources (hide)'!AK$6:AK$105)+SUMIF(Capacity_Resource,$E75,'Critical resources (hide)'!AK$6:AK$105)+SUMIF(Capacity_Resource,$F75,'Critical resources (hide)'!AK$6:AK$105)&gt;0,$E$1=2),0,1)</f>
        <v>1</v>
      </c>
      <c r="Y75" s="68">
        <f ca="1">IF(AND(SUMIF(Capacity_Resource,$D75,'Critical resources (hide)'!AL$6:AL$105)+SUMIF(Capacity_Resource,$E75,'Critical resources (hide)'!AL$6:AL$105)+SUMIF(Capacity_Resource,$F75,'Critical resources (hide)'!AL$6:AL$105)&gt;0,$E$1=2),0,1)</f>
        <v>1</v>
      </c>
      <c r="Z75" s="68">
        <f ca="1">IF(AND(SUMIF(Capacity_Resource,$D75,'Critical resources (hide)'!AM$6:AM$105)+SUMIF(Capacity_Resource,$E75,'Critical resources (hide)'!AM$6:AM$105)+SUMIF(Capacity_Resource,$F75,'Critical resources (hide)'!AM$6:AM$105)&gt;0,$E$1=2),0,1)</f>
        <v>1</v>
      </c>
      <c r="AA75" s="68">
        <f ca="1">IF(AND(SUMIF(Capacity_Resource,$D75,'Critical resources (hide)'!AN$6:AN$105)+SUMIF(Capacity_Resource,$E75,'Critical resources (hide)'!AN$6:AN$105)+SUMIF(Capacity_Resource,$F75,'Critical resources (hide)'!AN$6:AN$105)&gt;0,$E$1=2),0,1)</f>
        <v>1</v>
      </c>
      <c r="AB75" s="68">
        <f ca="1">IF(AND(SUMIF(Capacity_Resource,$D75,'Critical resources (hide)'!AO$6:AO$105)+SUMIF(Capacity_Resource,$E75,'Critical resources (hide)'!AO$6:AO$105)+SUMIF(Capacity_Resource,$F75,'Critical resources (hide)'!AO$6:AO$105)&gt;0,$E$1=2),0,1)</f>
        <v>1</v>
      </c>
      <c r="AC75" s="68">
        <f ca="1">IF(AND(SUMIF(Capacity_Resource,$D75,'Critical resources (hide)'!AP$6:AP$105)+SUMIF(Capacity_Resource,$E75,'Critical resources (hide)'!AP$6:AP$105)+SUMIF(Capacity_Resource,$F75,'Critical resources (hide)'!AP$6:AP$105)&gt;0,$E$1=2),0,1)</f>
        <v>1</v>
      </c>
      <c r="AD75" s="68">
        <f ca="1">IF(AND(SUMIF(Capacity_Resource,$D75,'Critical resources (hide)'!AQ$6:AQ$105)+SUMIF(Capacity_Resource,$E75,'Critical resources (hide)'!AQ$6:AQ$105)+SUMIF(Capacity_Resource,$F75,'Critical resources (hide)'!AQ$6:AQ$105)&gt;0,$E$1=2),0,1)</f>
        <v>1</v>
      </c>
      <c r="AE75" s="68">
        <f ca="1">IF(AND(SUMIF(Capacity_Resource,$D75,'Critical resources (hide)'!AR$6:AR$105)+SUMIF(Capacity_Resource,$E75,'Critical resources (hide)'!AR$6:AR$105)+SUMIF(Capacity_Resource,$F75,'Critical resources (hide)'!AR$6:AR$105)&gt;0,$E$1=2),0,1)</f>
        <v>1</v>
      </c>
      <c r="AF75" s="68">
        <f ca="1">IF(AND(SUMIF(Capacity_Resource,$D75,'Critical resources (hide)'!AS$6:AS$105)+SUMIF(Capacity_Resource,$E75,'Critical resources (hide)'!AS$6:AS$105)+SUMIF(Capacity_Resource,$F75,'Critical resources (hide)'!AS$6:AS$105)&gt;0,$E$1=2),0,1)</f>
        <v>1</v>
      </c>
      <c r="AG75" s="68">
        <f ca="1">IF(AND(SUMIF(Capacity_Resource,$D75,'Critical resources (hide)'!AT$6:AT$105)+SUMIF(Capacity_Resource,$E75,'Critical resources (hide)'!AT$6:AT$105)+SUMIF(Capacity_Resource,$F75,'Critical resources (hide)'!AT$6:AT$105)&gt;0,$E$1=2),0,1)</f>
        <v>1</v>
      </c>
      <c r="AH75" s="68">
        <f ca="1">IF(AND(SUMIF(Capacity_Resource,$D75,'Critical resources (hide)'!AU$6:AU$105)+SUMIF(Capacity_Resource,$E75,'Critical resources (hide)'!AU$6:AU$105)+SUMIF(Capacity_Resource,$F75,'Critical resources (hide)'!AU$6:AU$105)&gt;0,$E$1=2),0,1)</f>
        <v>1</v>
      </c>
      <c r="AI75" s="68">
        <f ca="1">IF(AND(SUMIF(Capacity_Resource,$D75,'Critical resources (hide)'!AV$6:AV$105)+SUMIF(Capacity_Resource,$E75,'Critical resources (hide)'!AV$6:AV$105)+SUMIF(Capacity_Resource,$F75,'Critical resources (hide)'!AV$6:AV$105)&gt;0,$E$1=2),0,1)</f>
        <v>1</v>
      </c>
      <c r="AJ75" s="68">
        <f ca="1">IF(AND(SUMIF(Capacity_Resource,$D75,'Critical resources (hide)'!AW$6:AW$105)+SUMIF(Capacity_Resource,$E75,'Critical resources (hide)'!AW$6:AW$105)+SUMIF(Capacity_Resource,$F75,'Critical resources (hide)'!AW$6:AW$105)&gt;0,$E$1=2),0,1)</f>
        <v>1</v>
      </c>
      <c r="AK75" s="68">
        <f ca="1">IF(AND(SUMIF(Capacity_Resource,$D75,'Critical resources (hide)'!AX$6:AX$105)+SUMIF(Capacity_Resource,$E75,'Critical resources (hide)'!AX$6:AX$105)+SUMIF(Capacity_Resource,$F75,'Critical resources (hide)'!AX$6:AX$105)&gt;0,$E$1=2),0,1)</f>
        <v>1</v>
      </c>
      <c r="AL75" s="68">
        <f ca="1">IF(AND(SUMIF(Capacity_Resource,$D75,'Critical resources (hide)'!AY$6:AY$105)+SUMIF(Capacity_Resource,$E75,'Critical resources (hide)'!AY$6:AY$105)+SUMIF(Capacity_Resource,$F75,'Critical resources (hide)'!AY$6:AY$105)&gt;0,$E$1=2),0,1)</f>
        <v>1</v>
      </c>
      <c r="AM75" s="68">
        <f ca="1">IF(AND(SUMIF(Capacity_Resource,$D75,'Critical resources (hide)'!AZ$6:AZ$105)+SUMIF(Capacity_Resource,$E75,'Critical resources (hide)'!AZ$6:AZ$105)+SUMIF(Capacity_Resource,$F75,'Critical resources (hide)'!AZ$6:AZ$105)&gt;0,$E$1=2),0,1)</f>
        <v>1</v>
      </c>
      <c r="AN75" s="68">
        <f ca="1">IF(AND(SUMIF(Capacity_Resource,$D75,'Critical resources (hide)'!BA$6:BA$105)+SUMIF(Capacity_Resource,$E75,'Critical resources (hide)'!BA$6:BA$105)+SUMIF(Capacity_Resource,$F75,'Critical resources (hide)'!BA$6:BA$105)&gt;0,$E$1=2),0,1)</f>
        <v>1</v>
      </c>
      <c r="AO75" s="68">
        <f ca="1">IF(AND(SUMIF(Capacity_Resource,$D75,'Critical resources (hide)'!BB$6:BB$105)+SUMIF(Capacity_Resource,$E75,'Critical resources (hide)'!BB$6:BB$105)+SUMIF(Capacity_Resource,$F75,'Critical resources (hide)'!BB$6:BB$105)&gt;0,$E$1=2),0,1)</f>
        <v>1</v>
      </c>
      <c r="AP75" s="68">
        <f ca="1">IF(AND(SUMIF(Capacity_Resource,$D75,'Critical resources (hide)'!BC$6:BC$105)+SUMIF(Capacity_Resource,$E75,'Critical resources (hide)'!BC$6:BC$105)+SUMIF(Capacity_Resource,$F75,'Critical resources (hide)'!BC$6:BC$105)&gt;0,$E$1=2),0,1)</f>
        <v>1</v>
      </c>
      <c r="AQ75" s="68">
        <f ca="1">IF(AND(SUMIF(Capacity_Resource,$D75,'Critical resources (hide)'!BD$6:BD$105)+SUMIF(Capacity_Resource,$E75,'Critical resources (hide)'!BD$6:BD$105)+SUMIF(Capacity_Resource,$F75,'Critical resources (hide)'!BD$6:BD$105)&gt;0,$E$1=2),0,1)</f>
        <v>1</v>
      </c>
      <c r="AR75" s="68">
        <f ca="1">IF(AND(SUMIF(Capacity_Resource,$D75,'Critical resources (hide)'!BE$6:BE$105)+SUMIF(Capacity_Resource,$E75,'Critical resources (hide)'!BE$6:BE$105)+SUMIF(Capacity_Resource,$F75,'Critical resources (hide)'!BE$6:BE$105)&gt;0,$E$1=2),0,1)</f>
        <v>1</v>
      </c>
      <c r="AS75" s="68">
        <f ca="1">IF(AND(SUMIF(Capacity_Resource,$D75,'Critical resources (hide)'!BF$6:BF$105)+SUMIF(Capacity_Resource,$E75,'Critical resources (hide)'!BF$6:BF$105)+SUMIF(Capacity_Resource,$F75,'Critical resources (hide)'!BF$6:BF$105)&gt;0,$E$1=2),0,1)</f>
        <v>1</v>
      </c>
      <c r="AT75" s="68">
        <f ca="1">IF(AND(SUMIF(Capacity_Resource,$D75,'Critical resources (hide)'!BG$6:BG$105)+SUMIF(Capacity_Resource,$E75,'Critical resources (hide)'!BG$6:BG$105)+SUMIF(Capacity_Resource,$F75,'Critical resources (hide)'!BG$6:BG$105)&gt;0,$E$1=2),0,1)</f>
        <v>1</v>
      </c>
      <c r="AU75" s="68">
        <f ca="1">IF(AND(SUMIF(Capacity_Resource,$D75,'Critical resources (hide)'!BH$6:BH$105)+SUMIF(Capacity_Resource,$E75,'Critical resources (hide)'!BH$6:BH$105)+SUMIF(Capacity_Resource,$F75,'Critical resources (hide)'!BH$6:BH$105)&gt;0,$E$1=2),0,1)</f>
        <v>1</v>
      </c>
      <c r="AV75" s="68">
        <f ca="1">IF(AND(SUMIF(Capacity_Resource,$D75,'Critical resources (hide)'!BI$6:BI$105)+SUMIF(Capacity_Resource,$E75,'Critical resources (hide)'!BI$6:BI$105)+SUMIF(Capacity_Resource,$F75,'Critical resources (hide)'!BI$6:BI$105)&gt;0,$E$1=2),0,1)</f>
        <v>1</v>
      </c>
      <c r="AW75" s="68">
        <f ca="1">IF(AND(SUMIF(Capacity_Resource,$D75,'Critical resources (hide)'!BJ$6:BJ$105)+SUMIF(Capacity_Resource,$E75,'Critical resources (hide)'!BJ$6:BJ$105)+SUMIF(Capacity_Resource,$F75,'Critical resources (hide)'!BJ$6:BJ$105)&gt;0,$E$1=2),0,1)</f>
        <v>1</v>
      </c>
      <c r="AX75" s="68">
        <f ca="1">IF(AND(SUMIF(Capacity_Resource,$D75,'Critical resources (hide)'!BK$6:BK$105)+SUMIF(Capacity_Resource,$E75,'Critical resources (hide)'!BK$6:BK$105)+SUMIF(Capacity_Resource,$F75,'Critical resources (hide)'!BK$6:BK$105)&gt;0,$E$1=2),0,1)</f>
        <v>1</v>
      </c>
      <c r="AY75" s="68">
        <f ca="1">IF(AND(SUMIF(Capacity_Resource,$D75,'Critical resources (hide)'!BL$6:BL$105)+SUMIF(Capacity_Resource,$E75,'Critical resources (hide)'!BL$6:BL$105)+SUMIF(Capacity_Resource,$F75,'Critical resources (hide)'!BL$6:BL$105)&gt;0,$E$1=2),0,1)</f>
        <v>1</v>
      </c>
      <c r="AZ75" s="68">
        <f ca="1">IF(AND(SUMIF(Capacity_Resource,$D75,'Critical resources (hide)'!BM$6:BM$105)+SUMIF(Capacity_Resource,$E75,'Critical resources (hide)'!BM$6:BM$105)+SUMIF(Capacity_Resource,$F75,'Critical resources (hide)'!BM$6:BM$105)&gt;0,$E$1=2),0,1)</f>
        <v>1</v>
      </c>
      <c r="BA75" s="68">
        <f ca="1">IF(AND(SUMIF(Capacity_Resource,$D75,'Critical resources (hide)'!BN$6:BN$105)+SUMIF(Capacity_Resource,$E75,'Critical resources (hide)'!BN$6:BN$105)+SUMIF(Capacity_Resource,$F75,'Critical resources (hide)'!BN$6:BN$105)&gt;0,$E$1=2),0,1)</f>
        <v>1</v>
      </c>
      <c r="BB75" s="68">
        <f ca="1">IF(AND(SUMIF(Capacity_Resource,$D75,'Critical resources (hide)'!BO$6:BO$105)+SUMIF(Capacity_Resource,$E75,'Critical resources (hide)'!BO$6:BO$105)+SUMIF(Capacity_Resource,$F75,'Critical resources (hide)'!BO$6:BO$105)&gt;0,$E$1=2),0,1)</f>
        <v>1</v>
      </c>
      <c r="BC75" s="68">
        <f ca="1">IF(AND(SUMIF(Capacity_Resource,$D75,'Critical resources (hide)'!BP$6:BP$105)+SUMIF(Capacity_Resource,$E75,'Critical resources (hide)'!BP$6:BP$105)+SUMIF(Capacity_Resource,$F75,'Critical resources (hide)'!BP$6:BP$105)&gt;0,$E$1=2),0,1)</f>
        <v>1</v>
      </c>
      <c r="BD75" s="68">
        <f ca="1">IF(AND(SUMIF(Capacity_Resource,$D75,'Critical resources (hide)'!BQ$6:BQ$105)+SUMIF(Capacity_Resource,$E75,'Critical resources (hide)'!BQ$6:BQ$105)+SUMIF(Capacity_Resource,$F75,'Critical resources (hide)'!BQ$6:BQ$105)&gt;0,$E$1=2),0,1)</f>
        <v>1</v>
      </c>
      <c r="BE75" s="68">
        <f ca="1">IF(AND(SUMIF(Capacity_Resource,$D75,'Critical resources (hide)'!BR$6:BR$105)+SUMIF(Capacity_Resource,$E75,'Critical resources (hide)'!BR$6:BR$105)+SUMIF(Capacity_Resource,$F75,'Critical resources (hide)'!BR$6:BR$105)&gt;0,$E$1=2),0,1)</f>
        <v>1</v>
      </c>
      <c r="BF75" s="68">
        <f ca="1">IF(AND(SUMIF(Capacity_Resource,$D75,'Critical resources (hide)'!BS$6:BS$105)+SUMIF(Capacity_Resource,$E75,'Critical resources (hide)'!BS$6:BS$105)+SUMIF(Capacity_Resource,$F75,'Critical resources (hide)'!BS$6:BS$105)&gt;0,$E$1=2),0,1)</f>
        <v>1</v>
      </c>
      <c r="BG75" s="68">
        <f ca="1">IF(AND(SUMIF(Capacity_Resource,$D75,'Critical resources (hide)'!BT$6:BT$105)+SUMIF(Capacity_Resource,$E75,'Critical resources (hide)'!BT$6:BT$105)+SUMIF(Capacity_Resource,$F75,'Critical resources (hide)'!BT$6:BT$105)&gt;0,$E$1=2),0,1)</f>
        <v>1</v>
      </c>
      <c r="BH75" s="68">
        <f>IF(ROW(C71)&lt;=Capacity!$A$16,IF('Capacity summary'!$D$14="No",SUM(H75:BG75),'Capacity summary'!$E194),0)</f>
        <v>0</v>
      </c>
      <c r="BI75" s="5" t="str">
        <f>IF(BH75&gt;0,IF(BH75&lt;Capacity!E87,Capacity!F87,Capacity!H87/'Capacity calculation (hide)'!BH75),"")</f>
        <v/>
      </c>
      <c r="BK75" s="319">
        <f>IF($BI75&lt;&gt;"",IF('Capacity summary'!$D$14="Yes",IF(COUNTBLANK('Capacity summary'!$H194:$BG194)&lt;52,IF('Capacity summary'!H194&lt;&gt;"",$BI75*H75,0),H75*$BI75),H75*$BI75),0)</f>
        <v>0</v>
      </c>
      <c r="BL75" s="319">
        <f>IF($BI75&lt;&gt;"",IF('Capacity summary'!$D$14="Yes",IF(COUNTBLANK('Capacity summary'!$H194:$BG194)&lt;52,IF('Capacity summary'!I194&lt;&gt;"",$BI75*I75,0),I75*$BI75),I75*$BI75),0)</f>
        <v>0</v>
      </c>
      <c r="BM75" s="319">
        <f>IF($BI75&lt;&gt;"",IF('Capacity summary'!$D$14="Yes",IF(COUNTBLANK('Capacity summary'!$H194:$BG194)&lt;52,IF('Capacity summary'!J194&lt;&gt;"",$BI75*J75,0),J75*$BI75),J75*$BI75),0)</f>
        <v>0</v>
      </c>
      <c r="BN75" s="319">
        <f>IF($BI75&lt;&gt;"",IF('Capacity summary'!$D$14="Yes",IF(COUNTBLANK('Capacity summary'!$H194:$BG194)&lt;52,IF('Capacity summary'!K194&lt;&gt;"",$BI75*K75,0),K75*$BI75),K75*$BI75),0)</f>
        <v>0</v>
      </c>
      <c r="BO75" s="319">
        <f>IF($BI75&lt;&gt;"",IF('Capacity summary'!$D$14="Yes",IF(COUNTBLANK('Capacity summary'!$H194:$BG194)&lt;52,IF('Capacity summary'!L194&lt;&gt;"",$BI75*L75,0),L75*$BI75),L75*$BI75),0)</f>
        <v>0</v>
      </c>
      <c r="BP75" s="319">
        <f>IF($BI75&lt;&gt;"",IF('Capacity summary'!$D$14="Yes",IF(COUNTBLANK('Capacity summary'!$H194:$BG194)&lt;52,IF('Capacity summary'!M194&lt;&gt;"",$BI75*M75,0),M75*$BI75),M75*$BI75),0)</f>
        <v>0</v>
      </c>
      <c r="BQ75" s="319">
        <f>IF($BI75&lt;&gt;"",IF('Capacity summary'!$D$14="Yes",IF(COUNTBLANK('Capacity summary'!$H194:$BG194)&lt;52,IF('Capacity summary'!N194&lt;&gt;"",$BI75*N75,0),N75*$BI75),N75*$BI75),0)</f>
        <v>0</v>
      </c>
      <c r="BR75" s="319">
        <f>IF($BI75&lt;&gt;"",IF('Capacity summary'!$D$14="Yes",IF(COUNTBLANK('Capacity summary'!$H194:$BG194)&lt;52,IF('Capacity summary'!O194&lt;&gt;"",$BI75*O75,0),O75*$BI75),O75*$BI75),0)</f>
        <v>0</v>
      </c>
      <c r="BS75" s="319">
        <f>IF($BI75&lt;&gt;"",IF('Capacity summary'!$D$14="Yes",IF(COUNTBLANK('Capacity summary'!$H194:$BG194)&lt;52,IF('Capacity summary'!P194&lt;&gt;"",$BI75*P75,0),P75*$BI75),P75*$BI75),0)</f>
        <v>0</v>
      </c>
      <c r="BT75" s="319">
        <f>IF($BI75&lt;&gt;"",IF('Capacity summary'!$D$14="Yes",IF(COUNTBLANK('Capacity summary'!$H194:$BG194)&lt;52,IF('Capacity summary'!Q194&lt;&gt;"",$BI75*Q75,0),Q75*$BI75),Q75*$BI75),0)</f>
        <v>0</v>
      </c>
      <c r="BU75" s="319">
        <f>IF($BI75&lt;&gt;"",IF('Capacity summary'!$D$14="Yes",IF(COUNTBLANK('Capacity summary'!$H194:$BG194)&lt;52,IF('Capacity summary'!R194&lt;&gt;"",$BI75*R75,0),R75*$BI75),R75*$BI75),0)</f>
        <v>0</v>
      </c>
      <c r="BV75" s="319">
        <f>IF($BI75&lt;&gt;"",IF('Capacity summary'!$D$14="Yes",IF(COUNTBLANK('Capacity summary'!$H194:$BG194)&lt;52,IF('Capacity summary'!S194&lt;&gt;"",$BI75*S75,0),S75*$BI75),S75*$BI75),0)</f>
        <v>0</v>
      </c>
      <c r="BW75" s="319">
        <f>IF($BI75&lt;&gt;"",IF('Capacity summary'!$D$14="Yes",IF(COUNTBLANK('Capacity summary'!$H194:$BG194)&lt;52,IF('Capacity summary'!T194&lt;&gt;"",$BI75*T75,0),T75*$BI75),T75*$BI75),0)</f>
        <v>0</v>
      </c>
      <c r="BX75" s="319">
        <f>IF($BI75&lt;&gt;"",IF('Capacity summary'!$D$14="Yes",IF(COUNTBLANK('Capacity summary'!$H194:$BG194)&lt;52,IF('Capacity summary'!U194&lt;&gt;"",$BI75*U75,0),U75*$BI75),U75*$BI75),0)</f>
        <v>0</v>
      </c>
      <c r="BY75" s="319">
        <f>IF($BI75&lt;&gt;"",IF('Capacity summary'!$D$14="Yes",IF(COUNTBLANK('Capacity summary'!$H194:$BG194)&lt;52,IF('Capacity summary'!V194&lt;&gt;"",$BI75*V75,0),V75*$BI75),V75*$BI75),0)</f>
        <v>0</v>
      </c>
      <c r="BZ75" s="319">
        <f>IF($BI75&lt;&gt;"",IF('Capacity summary'!$D$14="Yes",IF(COUNTBLANK('Capacity summary'!$H194:$BG194)&lt;52,IF('Capacity summary'!W194&lt;&gt;"",$BI75*W75,0),W75*$BI75),W75*$BI75),0)</f>
        <v>0</v>
      </c>
      <c r="CA75" s="319">
        <f>IF($BI75&lt;&gt;"",IF('Capacity summary'!$D$14="Yes",IF(COUNTBLANK('Capacity summary'!$H194:$BG194)&lt;52,IF('Capacity summary'!X194&lt;&gt;"",$BI75*X75,0),X75*$BI75),X75*$BI75),0)</f>
        <v>0</v>
      </c>
      <c r="CB75" s="319">
        <f>IF($BI75&lt;&gt;"",IF('Capacity summary'!$D$14="Yes",IF(COUNTBLANK('Capacity summary'!$H194:$BG194)&lt;52,IF('Capacity summary'!Y194&lt;&gt;"",$BI75*Y75,0),Y75*$BI75),Y75*$BI75),0)</f>
        <v>0</v>
      </c>
      <c r="CC75" s="319">
        <f>IF($BI75&lt;&gt;"",IF('Capacity summary'!$D$14="Yes",IF(COUNTBLANK('Capacity summary'!$H194:$BG194)&lt;52,IF('Capacity summary'!Z194&lt;&gt;"",$BI75*Z75,0),Z75*$BI75),Z75*$BI75),0)</f>
        <v>0</v>
      </c>
      <c r="CD75" s="319">
        <f>IF($BI75&lt;&gt;"",IF('Capacity summary'!$D$14="Yes",IF(COUNTBLANK('Capacity summary'!$H194:$BG194)&lt;52,IF('Capacity summary'!AA194&lt;&gt;"",$BI75*AA75,0),AA75*$BI75),AA75*$BI75),0)</f>
        <v>0</v>
      </c>
      <c r="CE75" s="319">
        <f>IF($BI75&lt;&gt;"",IF('Capacity summary'!$D$14="Yes",IF(COUNTBLANK('Capacity summary'!$H194:$BG194)&lt;52,IF('Capacity summary'!AB194&lt;&gt;"",$BI75*AB75,0),AB75*$BI75),AB75*$BI75),0)</f>
        <v>0</v>
      </c>
      <c r="CF75" s="319">
        <f>IF($BI75&lt;&gt;"",IF('Capacity summary'!$D$14="Yes",IF(COUNTBLANK('Capacity summary'!$H194:$BG194)&lt;52,IF('Capacity summary'!AC194&lt;&gt;"",$BI75*AC75,0),AC75*$BI75),AC75*$BI75),0)</f>
        <v>0</v>
      </c>
      <c r="CG75" s="319">
        <f>IF($BI75&lt;&gt;"",IF('Capacity summary'!$D$14="Yes",IF(COUNTBLANK('Capacity summary'!$H194:$BG194)&lt;52,IF('Capacity summary'!AD194&lt;&gt;"",$BI75*AD75,0),AD75*$BI75),AD75*$BI75),0)</f>
        <v>0</v>
      </c>
      <c r="CH75" s="319">
        <f>IF($BI75&lt;&gt;"",IF('Capacity summary'!$D$14="Yes",IF(COUNTBLANK('Capacity summary'!$H194:$BG194)&lt;52,IF('Capacity summary'!AE194&lt;&gt;"",$BI75*AE75,0),AE75*$BI75),AE75*$BI75),0)</f>
        <v>0</v>
      </c>
      <c r="CI75" s="319">
        <f>IF($BI75&lt;&gt;"",IF('Capacity summary'!$D$14="Yes",IF(COUNTBLANK('Capacity summary'!$H194:$BG194)&lt;52,IF('Capacity summary'!AF194&lt;&gt;"",$BI75*AF75,0),AF75*$BI75),AF75*$BI75),0)</f>
        <v>0</v>
      </c>
      <c r="CJ75" s="319">
        <f>IF($BI75&lt;&gt;"",IF('Capacity summary'!$D$14="Yes",IF(COUNTBLANK('Capacity summary'!$H194:$BG194)&lt;52,IF('Capacity summary'!AG194&lt;&gt;"",$BI75*AG75,0),AG75*$BI75),AG75*$BI75),0)</f>
        <v>0</v>
      </c>
      <c r="CK75" s="319">
        <f>IF($BI75&lt;&gt;"",IF('Capacity summary'!$D$14="Yes",IF(COUNTBLANK('Capacity summary'!$H194:$BG194)&lt;52,IF('Capacity summary'!AH194&lt;&gt;"",$BI75*AH75,0),AH75*$BI75),AH75*$BI75),0)</f>
        <v>0</v>
      </c>
      <c r="CL75" s="319">
        <f>IF($BI75&lt;&gt;"",IF('Capacity summary'!$D$14="Yes",IF(COUNTBLANK('Capacity summary'!$H194:$BG194)&lt;52,IF('Capacity summary'!AI194&lt;&gt;"",$BI75*AI75,0),AI75*$BI75),AI75*$BI75),0)</f>
        <v>0</v>
      </c>
      <c r="CM75" s="319">
        <f>IF($BI75&lt;&gt;"",IF('Capacity summary'!$D$14="Yes",IF(COUNTBLANK('Capacity summary'!$H194:$BG194)&lt;52,IF('Capacity summary'!AJ194&lt;&gt;"",$BI75*AJ75,0),AJ75*$BI75),AJ75*$BI75),0)</f>
        <v>0</v>
      </c>
      <c r="CN75" s="319">
        <f>IF($BI75&lt;&gt;"",IF('Capacity summary'!$D$14="Yes",IF(COUNTBLANK('Capacity summary'!$H194:$BG194)&lt;52,IF('Capacity summary'!AK194&lt;&gt;"",$BI75*AK75,0),AK75*$BI75),AK75*$BI75),0)</f>
        <v>0</v>
      </c>
      <c r="CO75" s="319">
        <f>IF($BI75&lt;&gt;"",IF('Capacity summary'!$D$14="Yes",IF(COUNTBLANK('Capacity summary'!$H194:$BG194)&lt;52,IF('Capacity summary'!AL194&lt;&gt;"",$BI75*AL75,0),AL75*$BI75),AL75*$BI75),0)</f>
        <v>0</v>
      </c>
      <c r="CP75" s="319">
        <f>IF($BI75&lt;&gt;"",IF('Capacity summary'!$D$14="Yes",IF(COUNTBLANK('Capacity summary'!$H194:$BG194)&lt;52,IF('Capacity summary'!AM194&lt;&gt;"",$BI75*AM75,0),AM75*$BI75),AM75*$BI75),0)</f>
        <v>0</v>
      </c>
      <c r="CQ75" s="319">
        <f>IF($BI75&lt;&gt;"",IF('Capacity summary'!$D$14="Yes",IF(COUNTBLANK('Capacity summary'!$H194:$BG194)&lt;52,IF('Capacity summary'!AN194&lt;&gt;"",$BI75*AN75,0),AN75*$BI75),AN75*$BI75),0)</f>
        <v>0</v>
      </c>
      <c r="CR75" s="319">
        <f>IF($BI75&lt;&gt;"",IF('Capacity summary'!$D$14="Yes",IF(COUNTBLANK('Capacity summary'!$H194:$BG194)&lt;52,IF('Capacity summary'!AO194&lt;&gt;"",$BI75*AO75,0),AO75*$BI75),AO75*$BI75),0)</f>
        <v>0</v>
      </c>
      <c r="CS75" s="319">
        <f>IF($BI75&lt;&gt;"",IF('Capacity summary'!$D$14="Yes",IF(COUNTBLANK('Capacity summary'!$H194:$BG194)&lt;52,IF('Capacity summary'!AP194&lt;&gt;"",$BI75*AP75,0),AP75*$BI75),AP75*$BI75),0)</f>
        <v>0</v>
      </c>
      <c r="CT75" s="319">
        <f>IF($BI75&lt;&gt;"",IF('Capacity summary'!$D$14="Yes",IF(COUNTBLANK('Capacity summary'!$H194:$BG194)&lt;52,IF('Capacity summary'!AQ194&lt;&gt;"",$BI75*AQ75,0),AQ75*$BI75),AQ75*$BI75),0)</f>
        <v>0</v>
      </c>
      <c r="CU75" s="319">
        <f>IF($BI75&lt;&gt;"",IF('Capacity summary'!$D$14="Yes",IF(COUNTBLANK('Capacity summary'!$H194:$BG194)&lt;52,IF('Capacity summary'!AR194&lt;&gt;"",$BI75*AR75,0),AR75*$BI75),AR75*$BI75),0)</f>
        <v>0</v>
      </c>
      <c r="CV75" s="319">
        <f>IF($BI75&lt;&gt;"",IF('Capacity summary'!$D$14="Yes",IF(COUNTBLANK('Capacity summary'!$H194:$BG194)&lt;52,IF('Capacity summary'!AS194&lt;&gt;"",$BI75*AS75,0),AS75*$BI75),AS75*$BI75),0)</f>
        <v>0</v>
      </c>
      <c r="CW75" s="319">
        <f>IF($BI75&lt;&gt;"",IF('Capacity summary'!$D$14="Yes",IF(COUNTBLANK('Capacity summary'!$H194:$BG194)&lt;52,IF('Capacity summary'!AT194&lt;&gt;"",$BI75*AT75,0),AT75*$BI75),AT75*$BI75),0)</f>
        <v>0</v>
      </c>
      <c r="CX75" s="319">
        <f>IF($BI75&lt;&gt;"",IF('Capacity summary'!$D$14="Yes",IF(COUNTBLANK('Capacity summary'!$H194:$BG194)&lt;52,IF('Capacity summary'!AU194&lt;&gt;"",$BI75*AU75,0),AU75*$BI75),AU75*$BI75),0)</f>
        <v>0</v>
      </c>
      <c r="CY75" s="319">
        <f>IF($BI75&lt;&gt;"",IF('Capacity summary'!$D$14="Yes",IF(COUNTBLANK('Capacity summary'!$H194:$BG194)&lt;52,IF('Capacity summary'!AV194&lt;&gt;"",$BI75*AV75,0),AV75*$BI75),AV75*$BI75),0)</f>
        <v>0</v>
      </c>
      <c r="CZ75" s="319">
        <f>IF($BI75&lt;&gt;"",IF('Capacity summary'!$D$14="Yes",IF(COUNTBLANK('Capacity summary'!$H194:$BG194)&lt;52,IF('Capacity summary'!AW194&lt;&gt;"",$BI75*AW75,0),AW75*$BI75),AW75*$BI75),0)</f>
        <v>0</v>
      </c>
      <c r="DA75" s="319">
        <f>IF($BI75&lt;&gt;"",IF('Capacity summary'!$D$14="Yes",IF(COUNTBLANK('Capacity summary'!$H194:$BG194)&lt;52,IF('Capacity summary'!AX194&lt;&gt;"",$BI75*AX75,0),AX75*$BI75),AX75*$BI75),0)</f>
        <v>0</v>
      </c>
      <c r="DB75" s="319">
        <f>IF($BI75&lt;&gt;"",IF('Capacity summary'!$D$14="Yes",IF(COUNTBLANK('Capacity summary'!$H194:$BG194)&lt;52,IF('Capacity summary'!AY194&lt;&gt;"",$BI75*AY75,0),AY75*$BI75),AY75*$BI75),0)</f>
        <v>0</v>
      </c>
      <c r="DC75" s="319">
        <f>IF($BI75&lt;&gt;"",IF('Capacity summary'!$D$14="Yes",IF(COUNTBLANK('Capacity summary'!$H194:$BG194)&lt;52,IF('Capacity summary'!AZ194&lt;&gt;"",$BI75*AZ75,0),AZ75*$BI75),AZ75*$BI75),0)</f>
        <v>0</v>
      </c>
      <c r="DD75" s="319">
        <f>IF($BI75&lt;&gt;"",IF('Capacity summary'!$D$14="Yes",IF(COUNTBLANK('Capacity summary'!$H194:$BG194)&lt;52,IF('Capacity summary'!BA194&lt;&gt;"",$BI75*BA75,0),BA75*$BI75),BA75*$BI75),0)</f>
        <v>0</v>
      </c>
      <c r="DE75" s="319">
        <f>IF($BI75&lt;&gt;"",IF('Capacity summary'!$D$14="Yes",IF(COUNTBLANK('Capacity summary'!$H194:$BG194)&lt;52,IF('Capacity summary'!BB194&lt;&gt;"",$BI75*BB75,0),BB75*$BI75),BB75*$BI75),0)</f>
        <v>0</v>
      </c>
      <c r="DF75" s="319">
        <f>IF($BI75&lt;&gt;"",IF('Capacity summary'!$D$14="Yes",IF(COUNTBLANK('Capacity summary'!$H194:$BG194)&lt;52,IF('Capacity summary'!BC194&lt;&gt;"",$BI75*BC75,0),BC75*$BI75),BC75*$BI75),0)</f>
        <v>0</v>
      </c>
      <c r="DG75" s="319">
        <f>IF($BI75&lt;&gt;"",IF('Capacity summary'!$D$14="Yes",IF(COUNTBLANK('Capacity summary'!$H194:$BG194)&lt;52,IF('Capacity summary'!BD194&lt;&gt;"",$BI75*BD75,0),BD75*$BI75),BD75*$BI75),0)</f>
        <v>0</v>
      </c>
      <c r="DH75" s="319">
        <f>IF($BI75&lt;&gt;"",IF('Capacity summary'!$D$14="Yes",IF(COUNTBLANK('Capacity summary'!$H194:$BG194)&lt;52,IF('Capacity summary'!BE194&lt;&gt;"",$BI75*BE75,0),BE75*$BI75),BE75*$BI75),0)</f>
        <v>0</v>
      </c>
      <c r="DI75" s="319">
        <f>IF($BI75&lt;&gt;"",IF('Capacity summary'!$D$14="Yes",IF(COUNTBLANK('Capacity summary'!$H194:$BG194)&lt;52,IF('Capacity summary'!BF194&lt;&gt;"",$BI75*BF75,0),BF75*$BI75),BF75*$BI75),0)</f>
        <v>0</v>
      </c>
      <c r="DJ75" s="319">
        <f>IF($BI75&lt;&gt;"",IF('Capacity summary'!$D$14="Yes",IF(COUNTBLANK('Capacity summary'!$H194:$BG194)&lt;52,IF('Capacity summary'!BG194&lt;&gt;"",$BI75*BG75,0),BG75*$BI75),BG75*$BI75),0)</f>
        <v>0</v>
      </c>
      <c r="DK75" s="5">
        <f t="shared" si="3"/>
        <v>0</v>
      </c>
      <c r="DL75" s="5" t="str">
        <f>Capacity!H87</f>
        <v/>
      </c>
    </row>
    <row r="76" spans="2:116" x14ac:dyDescent="0.2">
      <c r="B76" s="68"/>
      <c r="C76" s="68" t="str">
        <f>ROW(A72)&amp;". "&amp;Capacity!B88</f>
        <v xml:space="preserve">72. </v>
      </c>
      <c r="D76" s="68">
        <f>'Capacity setup'!C83</f>
        <v>0</v>
      </c>
      <c r="E76" s="68">
        <f>'Capacity setup'!D83</f>
        <v>0</v>
      </c>
      <c r="F76" s="68">
        <f>'Capacity setup'!E83</f>
        <v>0</v>
      </c>
      <c r="H76" s="68">
        <f ca="1">IF(AND(SUMIF(Capacity_Resource,$D76,'Critical resources (hide)'!U$6:U$105)+SUMIF(Capacity_Resource,$E76,'Critical resources (hide)'!U$6:U$105)+SUMIF(Capacity_Resource,$F76,'Critical resources (hide)'!U$6:U$105)&gt;0,$E$1=2),0,1)</f>
        <v>1</v>
      </c>
      <c r="I76" s="68">
        <f ca="1">IF(AND(SUMIF(Capacity_Resource,$D76,'Critical resources (hide)'!V$6:V$105)+SUMIF(Capacity_Resource,$E76,'Critical resources (hide)'!V$6:V$105)+SUMIF(Capacity_Resource,$F76,'Critical resources (hide)'!V$6:V$105)&gt;0,$E$1=2),0,1)</f>
        <v>1</v>
      </c>
      <c r="J76" s="68">
        <f ca="1">IF(AND(SUMIF(Capacity_Resource,$D76,'Critical resources (hide)'!W$6:W$105)+SUMIF(Capacity_Resource,$E76,'Critical resources (hide)'!W$6:W$105)+SUMIF(Capacity_Resource,$F76,'Critical resources (hide)'!W$6:W$105)&gt;0,$E$1=2),0,1)</f>
        <v>1</v>
      </c>
      <c r="K76" s="68">
        <f ca="1">IF(AND(SUMIF(Capacity_Resource,$D76,'Critical resources (hide)'!X$6:X$105)+SUMIF(Capacity_Resource,$E76,'Critical resources (hide)'!X$6:X$105)+SUMIF(Capacity_Resource,$F76,'Critical resources (hide)'!X$6:X$105)&gt;0,$E$1=2),0,1)</f>
        <v>1</v>
      </c>
      <c r="L76" s="68">
        <f ca="1">IF(AND(SUMIF(Capacity_Resource,$D76,'Critical resources (hide)'!Y$6:Y$105)+SUMIF(Capacity_Resource,$E76,'Critical resources (hide)'!Y$6:Y$105)+SUMIF(Capacity_Resource,$F76,'Critical resources (hide)'!Y$6:Y$105)&gt;0,$E$1=2),0,1)</f>
        <v>1</v>
      </c>
      <c r="M76" s="68">
        <f ca="1">IF(AND(SUMIF(Capacity_Resource,$D76,'Critical resources (hide)'!Z$6:Z$105)+SUMIF(Capacity_Resource,$E76,'Critical resources (hide)'!Z$6:Z$105)+SUMIF(Capacity_Resource,$F76,'Critical resources (hide)'!Z$6:Z$105)&gt;0,$E$1=2),0,1)</f>
        <v>1</v>
      </c>
      <c r="N76" s="68">
        <f ca="1">IF(AND(SUMIF(Capacity_Resource,$D76,'Critical resources (hide)'!AA$6:AA$105)+SUMIF(Capacity_Resource,$E76,'Critical resources (hide)'!AA$6:AA$105)+SUMIF(Capacity_Resource,$F76,'Critical resources (hide)'!AA$6:AA$105)&gt;0,$E$1=2),0,1)</f>
        <v>1</v>
      </c>
      <c r="O76" s="68">
        <f ca="1">IF(AND(SUMIF(Capacity_Resource,$D76,'Critical resources (hide)'!AB$6:AB$105)+SUMIF(Capacity_Resource,$E76,'Critical resources (hide)'!AB$6:AB$105)+SUMIF(Capacity_Resource,$F76,'Critical resources (hide)'!AB$6:AB$105)&gt;0,$E$1=2),0,1)</f>
        <v>1</v>
      </c>
      <c r="P76" s="68">
        <f ca="1">IF(AND(SUMIF(Capacity_Resource,$D76,'Critical resources (hide)'!AC$6:AC$105)+SUMIF(Capacity_Resource,$E76,'Critical resources (hide)'!AC$6:AC$105)+SUMIF(Capacity_Resource,$F76,'Critical resources (hide)'!AC$6:AC$105)&gt;0,$E$1=2),0,1)</f>
        <v>1</v>
      </c>
      <c r="Q76" s="68">
        <f ca="1">IF(AND(SUMIF(Capacity_Resource,$D76,'Critical resources (hide)'!AD$6:AD$105)+SUMIF(Capacity_Resource,$E76,'Critical resources (hide)'!AD$6:AD$105)+SUMIF(Capacity_Resource,$F76,'Critical resources (hide)'!AD$6:AD$105)&gt;0,$E$1=2),0,1)</f>
        <v>1</v>
      </c>
      <c r="R76" s="68">
        <f ca="1">IF(AND(SUMIF(Capacity_Resource,$D76,'Critical resources (hide)'!AE$6:AE$105)+SUMIF(Capacity_Resource,$E76,'Critical resources (hide)'!AE$6:AE$105)+SUMIF(Capacity_Resource,$F76,'Critical resources (hide)'!AE$6:AE$105)&gt;0,$E$1=2),0,1)</f>
        <v>1</v>
      </c>
      <c r="S76" s="68">
        <f ca="1">IF(AND(SUMIF(Capacity_Resource,$D76,'Critical resources (hide)'!AF$6:AF$105)+SUMIF(Capacity_Resource,$E76,'Critical resources (hide)'!AF$6:AF$105)+SUMIF(Capacity_Resource,$F76,'Critical resources (hide)'!AF$6:AF$105)&gt;0,$E$1=2),0,1)</f>
        <v>1</v>
      </c>
      <c r="T76" s="68">
        <f ca="1">IF(AND(SUMIF(Capacity_Resource,$D76,'Critical resources (hide)'!AG$6:AG$105)+SUMIF(Capacity_Resource,$E76,'Critical resources (hide)'!AG$6:AG$105)+SUMIF(Capacity_Resource,$F76,'Critical resources (hide)'!AG$6:AG$105)&gt;0,$E$1=2),0,1)</f>
        <v>1</v>
      </c>
      <c r="U76" s="68">
        <f ca="1">IF(AND(SUMIF(Capacity_Resource,$D76,'Critical resources (hide)'!AH$6:AH$105)+SUMIF(Capacity_Resource,$E76,'Critical resources (hide)'!AH$6:AH$105)+SUMIF(Capacity_Resource,$F76,'Critical resources (hide)'!AH$6:AH$105)&gt;0,$E$1=2),0,1)</f>
        <v>1</v>
      </c>
      <c r="V76" s="68">
        <f ca="1">IF(AND(SUMIF(Capacity_Resource,$D76,'Critical resources (hide)'!AI$6:AI$105)+SUMIF(Capacity_Resource,$E76,'Critical resources (hide)'!AI$6:AI$105)+SUMIF(Capacity_Resource,$F76,'Critical resources (hide)'!AI$6:AI$105)&gt;0,$E$1=2),0,1)</f>
        <v>1</v>
      </c>
      <c r="W76" s="68">
        <f ca="1">IF(AND(SUMIF(Capacity_Resource,$D76,'Critical resources (hide)'!AJ$6:AJ$105)+SUMIF(Capacity_Resource,$E76,'Critical resources (hide)'!AJ$6:AJ$105)+SUMIF(Capacity_Resource,$F76,'Critical resources (hide)'!AJ$6:AJ$105)&gt;0,$E$1=2),0,1)</f>
        <v>1</v>
      </c>
      <c r="X76" s="68">
        <f ca="1">IF(AND(SUMIF(Capacity_Resource,$D76,'Critical resources (hide)'!AK$6:AK$105)+SUMIF(Capacity_Resource,$E76,'Critical resources (hide)'!AK$6:AK$105)+SUMIF(Capacity_Resource,$F76,'Critical resources (hide)'!AK$6:AK$105)&gt;0,$E$1=2),0,1)</f>
        <v>1</v>
      </c>
      <c r="Y76" s="68">
        <f ca="1">IF(AND(SUMIF(Capacity_Resource,$D76,'Critical resources (hide)'!AL$6:AL$105)+SUMIF(Capacity_Resource,$E76,'Critical resources (hide)'!AL$6:AL$105)+SUMIF(Capacity_Resource,$F76,'Critical resources (hide)'!AL$6:AL$105)&gt;0,$E$1=2),0,1)</f>
        <v>1</v>
      </c>
      <c r="Z76" s="68">
        <f ca="1">IF(AND(SUMIF(Capacity_Resource,$D76,'Critical resources (hide)'!AM$6:AM$105)+SUMIF(Capacity_Resource,$E76,'Critical resources (hide)'!AM$6:AM$105)+SUMIF(Capacity_Resource,$F76,'Critical resources (hide)'!AM$6:AM$105)&gt;0,$E$1=2),0,1)</f>
        <v>1</v>
      </c>
      <c r="AA76" s="68">
        <f ca="1">IF(AND(SUMIF(Capacity_Resource,$D76,'Critical resources (hide)'!AN$6:AN$105)+SUMIF(Capacity_Resource,$E76,'Critical resources (hide)'!AN$6:AN$105)+SUMIF(Capacity_Resource,$F76,'Critical resources (hide)'!AN$6:AN$105)&gt;0,$E$1=2),0,1)</f>
        <v>1</v>
      </c>
      <c r="AB76" s="68">
        <f ca="1">IF(AND(SUMIF(Capacity_Resource,$D76,'Critical resources (hide)'!AO$6:AO$105)+SUMIF(Capacity_Resource,$E76,'Critical resources (hide)'!AO$6:AO$105)+SUMIF(Capacity_Resource,$F76,'Critical resources (hide)'!AO$6:AO$105)&gt;0,$E$1=2),0,1)</f>
        <v>1</v>
      </c>
      <c r="AC76" s="68">
        <f ca="1">IF(AND(SUMIF(Capacity_Resource,$D76,'Critical resources (hide)'!AP$6:AP$105)+SUMIF(Capacity_Resource,$E76,'Critical resources (hide)'!AP$6:AP$105)+SUMIF(Capacity_Resource,$F76,'Critical resources (hide)'!AP$6:AP$105)&gt;0,$E$1=2),0,1)</f>
        <v>1</v>
      </c>
      <c r="AD76" s="68">
        <f ca="1">IF(AND(SUMIF(Capacity_Resource,$D76,'Critical resources (hide)'!AQ$6:AQ$105)+SUMIF(Capacity_Resource,$E76,'Critical resources (hide)'!AQ$6:AQ$105)+SUMIF(Capacity_Resource,$F76,'Critical resources (hide)'!AQ$6:AQ$105)&gt;0,$E$1=2),0,1)</f>
        <v>1</v>
      </c>
      <c r="AE76" s="68">
        <f ca="1">IF(AND(SUMIF(Capacity_Resource,$D76,'Critical resources (hide)'!AR$6:AR$105)+SUMIF(Capacity_Resource,$E76,'Critical resources (hide)'!AR$6:AR$105)+SUMIF(Capacity_Resource,$F76,'Critical resources (hide)'!AR$6:AR$105)&gt;0,$E$1=2),0,1)</f>
        <v>1</v>
      </c>
      <c r="AF76" s="68">
        <f ca="1">IF(AND(SUMIF(Capacity_Resource,$D76,'Critical resources (hide)'!AS$6:AS$105)+SUMIF(Capacity_Resource,$E76,'Critical resources (hide)'!AS$6:AS$105)+SUMIF(Capacity_Resource,$F76,'Critical resources (hide)'!AS$6:AS$105)&gt;0,$E$1=2),0,1)</f>
        <v>1</v>
      </c>
      <c r="AG76" s="68">
        <f ca="1">IF(AND(SUMIF(Capacity_Resource,$D76,'Critical resources (hide)'!AT$6:AT$105)+SUMIF(Capacity_Resource,$E76,'Critical resources (hide)'!AT$6:AT$105)+SUMIF(Capacity_Resource,$F76,'Critical resources (hide)'!AT$6:AT$105)&gt;0,$E$1=2),0,1)</f>
        <v>1</v>
      </c>
      <c r="AH76" s="68">
        <f ca="1">IF(AND(SUMIF(Capacity_Resource,$D76,'Critical resources (hide)'!AU$6:AU$105)+SUMIF(Capacity_Resource,$E76,'Critical resources (hide)'!AU$6:AU$105)+SUMIF(Capacity_Resource,$F76,'Critical resources (hide)'!AU$6:AU$105)&gt;0,$E$1=2),0,1)</f>
        <v>1</v>
      </c>
      <c r="AI76" s="68">
        <f ca="1">IF(AND(SUMIF(Capacity_Resource,$D76,'Critical resources (hide)'!AV$6:AV$105)+SUMIF(Capacity_Resource,$E76,'Critical resources (hide)'!AV$6:AV$105)+SUMIF(Capacity_Resource,$F76,'Critical resources (hide)'!AV$6:AV$105)&gt;0,$E$1=2),0,1)</f>
        <v>1</v>
      </c>
      <c r="AJ76" s="68">
        <f ca="1">IF(AND(SUMIF(Capacity_Resource,$D76,'Critical resources (hide)'!AW$6:AW$105)+SUMIF(Capacity_Resource,$E76,'Critical resources (hide)'!AW$6:AW$105)+SUMIF(Capacity_Resource,$F76,'Critical resources (hide)'!AW$6:AW$105)&gt;0,$E$1=2),0,1)</f>
        <v>1</v>
      </c>
      <c r="AK76" s="68">
        <f ca="1">IF(AND(SUMIF(Capacity_Resource,$D76,'Critical resources (hide)'!AX$6:AX$105)+SUMIF(Capacity_Resource,$E76,'Critical resources (hide)'!AX$6:AX$105)+SUMIF(Capacity_Resource,$F76,'Critical resources (hide)'!AX$6:AX$105)&gt;0,$E$1=2),0,1)</f>
        <v>1</v>
      </c>
      <c r="AL76" s="68">
        <f ca="1">IF(AND(SUMIF(Capacity_Resource,$D76,'Critical resources (hide)'!AY$6:AY$105)+SUMIF(Capacity_Resource,$E76,'Critical resources (hide)'!AY$6:AY$105)+SUMIF(Capacity_Resource,$F76,'Critical resources (hide)'!AY$6:AY$105)&gt;0,$E$1=2),0,1)</f>
        <v>1</v>
      </c>
      <c r="AM76" s="68">
        <f ca="1">IF(AND(SUMIF(Capacity_Resource,$D76,'Critical resources (hide)'!AZ$6:AZ$105)+SUMIF(Capacity_Resource,$E76,'Critical resources (hide)'!AZ$6:AZ$105)+SUMIF(Capacity_Resource,$F76,'Critical resources (hide)'!AZ$6:AZ$105)&gt;0,$E$1=2),0,1)</f>
        <v>1</v>
      </c>
      <c r="AN76" s="68">
        <f ca="1">IF(AND(SUMIF(Capacity_Resource,$D76,'Critical resources (hide)'!BA$6:BA$105)+SUMIF(Capacity_Resource,$E76,'Critical resources (hide)'!BA$6:BA$105)+SUMIF(Capacity_Resource,$F76,'Critical resources (hide)'!BA$6:BA$105)&gt;0,$E$1=2),0,1)</f>
        <v>1</v>
      </c>
      <c r="AO76" s="68">
        <f ca="1">IF(AND(SUMIF(Capacity_Resource,$D76,'Critical resources (hide)'!BB$6:BB$105)+SUMIF(Capacity_Resource,$E76,'Critical resources (hide)'!BB$6:BB$105)+SUMIF(Capacity_Resource,$F76,'Critical resources (hide)'!BB$6:BB$105)&gt;0,$E$1=2),0,1)</f>
        <v>1</v>
      </c>
      <c r="AP76" s="68">
        <f ca="1">IF(AND(SUMIF(Capacity_Resource,$D76,'Critical resources (hide)'!BC$6:BC$105)+SUMIF(Capacity_Resource,$E76,'Critical resources (hide)'!BC$6:BC$105)+SUMIF(Capacity_Resource,$F76,'Critical resources (hide)'!BC$6:BC$105)&gt;0,$E$1=2),0,1)</f>
        <v>1</v>
      </c>
      <c r="AQ76" s="68">
        <f ca="1">IF(AND(SUMIF(Capacity_Resource,$D76,'Critical resources (hide)'!BD$6:BD$105)+SUMIF(Capacity_Resource,$E76,'Critical resources (hide)'!BD$6:BD$105)+SUMIF(Capacity_Resource,$F76,'Critical resources (hide)'!BD$6:BD$105)&gt;0,$E$1=2),0,1)</f>
        <v>1</v>
      </c>
      <c r="AR76" s="68">
        <f ca="1">IF(AND(SUMIF(Capacity_Resource,$D76,'Critical resources (hide)'!BE$6:BE$105)+SUMIF(Capacity_Resource,$E76,'Critical resources (hide)'!BE$6:BE$105)+SUMIF(Capacity_Resource,$F76,'Critical resources (hide)'!BE$6:BE$105)&gt;0,$E$1=2),0,1)</f>
        <v>1</v>
      </c>
      <c r="AS76" s="68">
        <f ca="1">IF(AND(SUMIF(Capacity_Resource,$D76,'Critical resources (hide)'!BF$6:BF$105)+SUMIF(Capacity_Resource,$E76,'Critical resources (hide)'!BF$6:BF$105)+SUMIF(Capacity_Resource,$F76,'Critical resources (hide)'!BF$6:BF$105)&gt;0,$E$1=2),0,1)</f>
        <v>1</v>
      </c>
      <c r="AT76" s="68">
        <f ca="1">IF(AND(SUMIF(Capacity_Resource,$D76,'Critical resources (hide)'!BG$6:BG$105)+SUMIF(Capacity_Resource,$E76,'Critical resources (hide)'!BG$6:BG$105)+SUMIF(Capacity_Resource,$F76,'Critical resources (hide)'!BG$6:BG$105)&gt;0,$E$1=2),0,1)</f>
        <v>1</v>
      </c>
      <c r="AU76" s="68">
        <f ca="1">IF(AND(SUMIF(Capacity_Resource,$D76,'Critical resources (hide)'!BH$6:BH$105)+SUMIF(Capacity_Resource,$E76,'Critical resources (hide)'!BH$6:BH$105)+SUMIF(Capacity_Resource,$F76,'Critical resources (hide)'!BH$6:BH$105)&gt;0,$E$1=2),0,1)</f>
        <v>1</v>
      </c>
      <c r="AV76" s="68">
        <f ca="1">IF(AND(SUMIF(Capacity_Resource,$D76,'Critical resources (hide)'!BI$6:BI$105)+SUMIF(Capacity_Resource,$E76,'Critical resources (hide)'!BI$6:BI$105)+SUMIF(Capacity_Resource,$F76,'Critical resources (hide)'!BI$6:BI$105)&gt;0,$E$1=2),0,1)</f>
        <v>1</v>
      </c>
      <c r="AW76" s="68">
        <f ca="1">IF(AND(SUMIF(Capacity_Resource,$D76,'Critical resources (hide)'!BJ$6:BJ$105)+SUMIF(Capacity_Resource,$E76,'Critical resources (hide)'!BJ$6:BJ$105)+SUMIF(Capacity_Resource,$F76,'Critical resources (hide)'!BJ$6:BJ$105)&gt;0,$E$1=2),0,1)</f>
        <v>1</v>
      </c>
      <c r="AX76" s="68">
        <f ca="1">IF(AND(SUMIF(Capacity_Resource,$D76,'Critical resources (hide)'!BK$6:BK$105)+SUMIF(Capacity_Resource,$E76,'Critical resources (hide)'!BK$6:BK$105)+SUMIF(Capacity_Resource,$F76,'Critical resources (hide)'!BK$6:BK$105)&gt;0,$E$1=2),0,1)</f>
        <v>1</v>
      </c>
      <c r="AY76" s="68">
        <f ca="1">IF(AND(SUMIF(Capacity_Resource,$D76,'Critical resources (hide)'!BL$6:BL$105)+SUMIF(Capacity_Resource,$E76,'Critical resources (hide)'!BL$6:BL$105)+SUMIF(Capacity_Resource,$F76,'Critical resources (hide)'!BL$6:BL$105)&gt;0,$E$1=2),0,1)</f>
        <v>1</v>
      </c>
      <c r="AZ76" s="68">
        <f ca="1">IF(AND(SUMIF(Capacity_Resource,$D76,'Critical resources (hide)'!BM$6:BM$105)+SUMIF(Capacity_Resource,$E76,'Critical resources (hide)'!BM$6:BM$105)+SUMIF(Capacity_Resource,$F76,'Critical resources (hide)'!BM$6:BM$105)&gt;0,$E$1=2),0,1)</f>
        <v>1</v>
      </c>
      <c r="BA76" s="68">
        <f ca="1">IF(AND(SUMIF(Capacity_Resource,$D76,'Critical resources (hide)'!BN$6:BN$105)+SUMIF(Capacity_Resource,$E76,'Critical resources (hide)'!BN$6:BN$105)+SUMIF(Capacity_Resource,$F76,'Critical resources (hide)'!BN$6:BN$105)&gt;0,$E$1=2),0,1)</f>
        <v>1</v>
      </c>
      <c r="BB76" s="68">
        <f ca="1">IF(AND(SUMIF(Capacity_Resource,$D76,'Critical resources (hide)'!BO$6:BO$105)+SUMIF(Capacity_Resource,$E76,'Critical resources (hide)'!BO$6:BO$105)+SUMIF(Capacity_Resource,$F76,'Critical resources (hide)'!BO$6:BO$105)&gt;0,$E$1=2),0,1)</f>
        <v>1</v>
      </c>
      <c r="BC76" s="68">
        <f ca="1">IF(AND(SUMIF(Capacity_Resource,$D76,'Critical resources (hide)'!BP$6:BP$105)+SUMIF(Capacity_Resource,$E76,'Critical resources (hide)'!BP$6:BP$105)+SUMIF(Capacity_Resource,$F76,'Critical resources (hide)'!BP$6:BP$105)&gt;0,$E$1=2),0,1)</f>
        <v>1</v>
      </c>
      <c r="BD76" s="68">
        <f ca="1">IF(AND(SUMIF(Capacity_Resource,$D76,'Critical resources (hide)'!BQ$6:BQ$105)+SUMIF(Capacity_Resource,$E76,'Critical resources (hide)'!BQ$6:BQ$105)+SUMIF(Capacity_Resource,$F76,'Critical resources (hide)'!BQ$6:BQ$105)&gt;0,$E$1=2),0,1)</f>
        <v>1</v>
      </c>
      <c r="BE76" s="68">
        <f ca="1">IF(AND(SUMIF(Capacity_Resource,$D76,'Critical resources (hide)'!BR$6:BR$105)+SUMIF(Capacity_Resource,$E76,'Critical resources (hide)'!BR$6:BR$105)+SUMIF(Capacity_Resource,$F76,'Critical resources (hide)'!BR$6:BR$105)&gt;0,$E$1=2),0,1)</f>
        <v>1</v>
      </c>
      <c r="BF76" s="68">
        <f ca="1">IF(AND(SUMIF(Capacity_Resource,$D76,'Critical resources (hide)'!BS$6:BS$105)+SUMIF(Capacity_Resource,$E76,'Critical resources (hide)'!BS$6:BS$105)+SUMIF(Capacity_Resource,$F76,'Critical resources (hide)'!BS$6:BS$105)&gt;0,$E$1=2),0,1)</f>
        <v>1</v>
      </c>
      <c r="BG76" s="68">
        <f ca="1">IF(AND(SUMIF(Capacity_Resource,$D76,'Critical resources (hide)'!BT$6:BT$105)+SUMIF(Capacity_Resource,$E76,'Critical resources (hide)'!BT$6:BT$105)+SUMIF(Capacity_Resource,$F76,'Critical resources (hide)'!BT$6:BT$105)&gt;0,$E$1=2),0,1)</f>
        <v>1</v>
      </c>
      <c r="BH76" s="68">
        <f>IF(ROW(C72)&lt;=Capacity!$A$16,IF('Capacity summary'!$D$14="No",SUM(H76:BG76),'Capacity summary'!$E195),0)</f>
        <v>0</v>
      </c>
      <c r="BI76" s="5" t="str">
        <f>IF(BH76&gt;0,IF(BH76&lt;Capacity!E88,Capacity!F88,Capacity!H88/'Capacity calculation (hide)'!BH76),"")</f>
        <v/>
      </c>
      <c r="BK76" s="319">
        <f>IF($BI76&lt;&gt;"",IF('Capacity summary'!$D$14="Yes",IF(COUNTBLANK('Capacity summary'!$H195:$BG195)&lt;52,IF('Capacity summary'!H195&lt;&gt;"",$BI76*H76,0),H76*$BI76),H76*$BI76),0)</f>
        <v>0</v>
      </c>
      <c r="BL76" s="319">
        <f>IF($BI76&lt;&gt;"",IF('Capacity summary'!$D$14="Yes",IF(COUNTBLANK('Capacity summary'!$H195:$BG195)&lt;52,IF('Capacity summary'!I195&lt;&gt;"",$BI76*I76,0),I76*$BI76),I76*$BI76),0)</f>
        <v>0</v>
      </c>
      <c r="BM76" s="319">
        <f>IF($BI76&lt;&gt;"",IF('Capacity summary'!$D$14="Yes",IF(COUNTBLANK('Capacity summary'!$H195:$BG195)&lt;52,IF('Capacity summary'!J195&lt;&gt;"",$BI76*J76,0),J76*$BI76),J76*$BI76),0)</f>
        <v>0</v>
      </c>
      <c r="BN76" s="319">
        <f>IF($BI76&lt;&gt;"",IF('Capacity summary'!$D$14="Yes",IF(COUNTBLANK('Capacity summary'!$H195:$BG195)&lt;52,IF('Capacity summary'!K195&lt;&gt;"",$BI76*K76,0),K76*$BI76),K76*$BI76),0)</f>
        <v>0</v>
      </c>
      <c r="BO76" s="319">
        <f>IF($BI76&lt;&gt;"",IF('Capacity summary'!$D$14="Yes",IF(COUNTBLANK('Capacity summary'!$H195:$BG195)&lt;52,IF('Capacity summary'!L195&lt;&gt;"",$BI76*L76,0),L76*$BI76),L76*$BI76),0)</f>
        <v>0</v>
      </c>
      <c r="BP76" s="319">
        <f>IF($BI76&lt;&gt;"",IF('Capacity summary'!$D$14="Yes",IF(COUNTBLANK('Capacity summary'!$H195:$BG195)&lt;52,IF('Capacity summary'!M195&lt;&gt;"",$BI76*M76,0),M76*$BI76),M76*$BI76),0)</f>
        <v>0</v>
      </c>
      <c r="BQ76" s="319">
        <f>IF($BI76&lt;&gt;"",IF('Capacity summary'!$D$14="Yes",IF(COUNTBLANK('Capacity summary'!$H195:$BG195)&lt;52,IF('Capacity summary'!N195&lt;&gt;"",$BI76*N76,0),N76*$BI76),N76*$BI76),0)</f>
        <v>0</v>
      </c>
      <c r="BR76" s="319">
        <f>IF($BI76&lt;&gt;"",IF('Capacity summary'!$D$14="Yes",IF(COUNTBLANK('Capacity summary'!$H195:$BG195)&lt;52,IF('Capacity summary'!O195&lt;&gt;"",$BI76*O76,0),O76*$BI76),O76*$BI76),0)</f>
        <v>0</v>
      </c>
      <c r="BS76" s="319">
        <f>IF($BI76&lt;&gt;"",IF('Capacity summary'!$D$14="Yes",IF(COUNTBLANK('Capacity summary'!$H195:$BG195)&lt;52,IF('Capacity summary'!P195&lt;&gt;"",$BI76*P76,0),P76*$BI76),P76*$BI76),0)</f>
        <v>0</v>
      </c>
      <c r="BT76" s="319">
        <f>IF($BI76&lt;&gt;"",IF('Capacity summary'!$D$14="Yes",IF(COUNTBLANK('Capacity summary'!$H195:$BG195)&lt;52,IF('Capacity summary'!Q195&lt;&gt;"",$BI76*Q76,0),Q76*$BI76),Q76*$BI76),0)</f>
        <v>0</v>
      </c>
      <c r="BU76" s="319">
        <f>IF($BI76&lt;&gt;"",IF('Capacity summary'!$D$14="Yes",IF(COUNTBLANK('Capacity summary'!$H195:$BG195)&lt;52,IF('Capacity summary'!R195&lt;&gt;"",$BI76*R76,0),R76*$BI76),R76*$BI76),0)</f>
        <v>0</v>
      </c>
      <c r="BV76" s="319">
        <f>IF($BI76&lt;&gt;"",IF('Capacity summary'!$D$14="Yes",IF(COUNTBLANK('Capacity summary'!$H195:$BG195)&lt;52,IF('Capacity summary'!S195&lt;&gt;"",$BI76*S76,0),S76*$BI76),S76*$BI76),0)</f>
        <v>0</v>
      </c>
      <c r="BW76" s="319">
        <f>IF($BI76&lt;&gt;"",IF('Capacity summary'!$D$14="Yes",IF(COUNTBLANK('Capacity summary'!$H195:$BG195)&lt;52,IF('Capacity summary'!T195&lt;&gt;"",$BI76*T76,0),T76*$BI76),T76*$BI76),0)</f>
        <v>0</v>
      </c>
      <c r="BX76" s="319">
        <f>IF($BI76&lt;&gt;"",IF('Capacity summary'!$D$14="Yes",IF(COUNTBLANK('Capacity summary'!$H195:$BG195)&lt;52,IF('Capacity summary'!U195&lt;&gt;"",$BI76*U76,0),U76*$BI76),U76*$BI76),0)</f>
        <v>0</v>
      </c>
      <c r="BY76" s="319">
        <f>IF($BI76&lt;&gt;"",IF('Capacity summary'!$D$14="Yes",IF(COUNTBLANK('Capacity summary'!$H195:$BG195)&lt;52,IF('Capacity summary'!V195&lt;&gt;"",$BI76*V76,0),V76*$BI76),V76*$BI76),0)</f>
        <v>0</v>
      </c>
      <c r="BZ76" s="319">
        <f>IF($BI76&lt;&gt;"",IF('Capacity summary'!$D$14="Yes",IF(COUNTBLANK('Capacity summary'!$H195:$BG195)&lt;52,IF('Capacity summary'!W195&lt;&gt;"",$BI76*W76,0),W76*$BI76),W76*$BI76),0)</f>
        <v>0</v>
      </c>
      <c r="CA76" s="319">
        <f>IF($BI76&lt;&gt;"",IF('Capacity summary'!$D$14="Yes",IF(COUNTBLANK('Capacity summary'!$H195:$BG195)&lt;52,IF('Capacity summary'!X195&lt;&gt;"",$BI76*X76,0),X76*$BI76),X76*$BI76),0)</f>
        <v>0</v>
      </c>
      <c r="CB76" s="319">
        <f>IF($BI76&lt;&gt;"",IF('Capacity summary'!$D$14="Yes",IF(COUNTBLANK('Capacity summary'!$H195:$BG195)&lt;52,IF('Capacity summary'!Y195&lt;&gt;"",$BI76*Y76,0),Y76*$BI76),Y76*$BI76),0)</f>
        <v>0</v>
      </c>
      <c r="CC76" s="319">
        <f>IF($BI76&lt;&gt;"",IF('Capacity summary'!$D$14="Yes",IF(COUNTBLANK('Capacity summary'!$H195:$BG195)&lt;52,IF('Capacity summary'!Z195&lt;&gt;"",$BI76*Z76,0),Z76*$BI76),Z76*$BI76),0)</f>
        <v>0</v>
      </c>
      <c r="CD76" s="319">
        <f>IF($BI76&lt;&gt;"",IF('Capacity summary'!$D$14="Yes",IF(COUNTBLANK('Capacity summary'!$H195:$BG195)&lt;52,IF('Capacity summary'!AA195&lt;&gt;"",$BI76*AA76,0),AA76*$BI76),AA76*$BI76),0)</f>
        <v>0</v>
      </c>
      <c r="CE76" s="319">
        <f>IF($BI76&lt;&gt;"",IF('Capacity summary'!$D$14="Yes",IF(COUNTBLANK('Capacity summary'!$H195:$BG195)&lt;52,IF('Capacity summary'!AB195&lt;&gt;"",$BI76*AB76,0),AB76*$BI76),AB76*$BI76),0)</f>
        <v>0</v>
      </c>
      <c r="CF76" s="319">
        <f>IF($BI76&lt;&gt;"",IF('Capacity summary'!$D$14="Yes",IF(COUNTBLANK('Capacity summary'!$H195:$BG195)&lt;52,IF('Capacity summary'!AC195&lt;&gt;"",$BI76*AC76,0),AC76*$BI76),AC76*$BI76),0)</f>
        <v>0</v>
      </c>
      <c r="CG76" s="319">
        <f>IF($BI76&lt;&gt;"",IF('Capacity summary'!$D$14="Yes",IF(COUNTBLANK('Capacity summary'!$H195:$BG195)&lt;52,IF('Capacity summary'!AD195&lt;&gt;"",$BI76*AD76,0),AD76*$BI76),AD76*$BI76),0)</f>
        <v>0</v>
      </c>
      <c r="CH76" s="319">
        <f>IF($BI76&lt;&gt;"",IF('Capacity summary'!$D$14="Yes",IF(COUNTBLANK('Capacity summary'!$H195:$BG195)&lt;52,IF('Capacity summary'!AE195&lt;&gt;"",$BI76*AE76,0),AE76*$BI76),AE76*$BI76),0)</f>
        <v>0</v>
      </c>
      <c r="CI76" s="319">
        <f>IF($BI76&lt;&gt;"",IF('Capacity summary'!$D$14="Yes",IF(COUNTBLANK('Capacity summary'!$H195:$BG195)&lt;52,IF('Capacity summary'!AF195&lt;&gt;"",$BI76*AF76,0),AF76*$BI76),AF76*$BI76),0)</f>
        <v>0</v>
      </c>
      <c r="CJ76" s="319">
        <f>IF($BI76&lt;&gt;"",IF('Capacity summary'!$D$14="Yes",IF(COUNTBLANK('Capacity summary'!$H195:$BG195)&lt;52,IF('Capacity summary'!AG195&lt;&gt;"",$BI76*AG76,0),AG76*$BI76),AG76*$BI76),0)</f>
        <v>0</v>
      </c>
      <c r="CK76" s="319">
        <f>IF($BI76&lt;&gt;"",IF('Capacity summary'!$D$14="Yes",IF(COUNTBLANK('Capacity summary'!$H195:$BG195)&lt;52,IF('Capacity summary'!AH195&lt;&gt;"",$BI76*AH76,0),AH76*$BI76),AH76*$BI76),0)</f>
        <v>0</v>
      </c>
      <c r="CL76" s="319">
        <f>IF($BI76&lt;&gt;"",IF('Capacity summary'!$D$14="Yes",IF(COUNTBLANK('Capacity summary'!$H195:$BG195)&lt;52,IF('Capacity summary'!AI195&lt;&gt;"",$BI76*AI76,0),AI76*$BI76),AI76*$BI76),0)</f>
        <v>0</v>
      </c>
      <c r="CM76" s="319">
        <f>IF($BI76&lt;&gt;"",IF('Capacity summary'!$D$14="Yes",IF(COUNTBLANK('Capacity summary'!$H195:$BG195)&lt;52,IF('Capacity summary'!AJ195&lt;&gt;"",$BI76*AJ76,0),AJ76*$BI76),AJ76*$BI76),0)</f>
        <v>0</v>
      </c>
      <c r="CN76" s="319">
        <f>IF($BI76&lt;&gt;"",IF('Capacity summary'!$D$14="Yes",IF(COUNTBLANK('Capacity summary'!$H195:$BG195)&lt;52,IF('Capacity summary'!AK195&lt;&gt;"",$BI76*AK76,0),AK76*$BI76),AK76*$BI76),0)</f>
        <v>0</v>
      </c>
      <c r="CO76" s="319">
        <f>IF($BI76&lt;&gt;"",IF('Capacity summary'!$D$14="Yes",IF(COUNTBLANK('Capacity summary'!$H195:$BG195)&lt;52,IF('Capacity summary'!AL195&lt;&gt;"",$BI76*AL76,0),AL76*$BI76),AL76*$BI76),0)</f>
        <v>0</v>
      </c>
      <c r="CP76" s="319">
        <f>IF($BI76&lt;&gt;"",IF('Capacity summary'!$D$14="Yes",IF(COUNTBLANK('Capacity summary'!$H195:$BG195)&lt;52,IF('Capacity summary'!AM195&lt;&gt;"",$BI76*AM76,0),AM76*$BI76),AM76*$BI76),0)</f>
        <v>0</v>
      </c>
      <c r="CQ76" s="319">
        <f>IF($BI76&lt;&gt;"",IF('Capacity summary'!$D$14="Yes",IF(COUNTBLANK('Capacity summary'!$H195:$BG195)&lt;52,IF('Capacity summary'!AN195&lt;&gt;"",$BI76*AN76,0),AN76*$BI76),AN76*$BI76),0)</f>
        <v>0</v>
      </c>
      <c r="CR76" s="319">
        <f>IF($BI76&lt;&gt;"",IF('Capacity summary'!$D$14="Yes",IF(COUNTBLANK('Capacity summary'!$H195:$BG195)&lt;52,IF('Capacity summary'!AO195&lt;&gt;"",$BI76*AO76,0),AO76*$BI76),AO76*$BI76),0)</f>
        <v>0</v>
      </c>
      <c r="CS76" s="319">
        <f>IF($BI76&lt;&gt;"",IF('Capacity summary'!$D$14="Yes",IF(COUNTBLANK('Capacity summary'!$H195:$BG195)&lt;52,IF('Capacity summary'!AP195&lt;&gt;"",$BI76*AP76,0),AP76*$BI76),AP76*$BI76),0)</f>
        <v>0</v>
      </c>
      <c r="CT76" s="319">
        <f>IF($BI76&lt;&gt;"",IF('Capacity summary'!$D$14="Yes",IF(COUNTBLANK('Capacity summary'!$H195:$BG195)&lt;52,IF('Capacity summary'!AQ195&lt;&gt;"",$BI76*AQ76,0),AQ76*$BI76),AQ76*$BI76),0)</f>
        <v>0</v>
      </c>
      <c r="CU76" s="319">
        <f>IF($BI76&lt;&gt;"",IF('Capacity summary'!$D$14="Yes",IF(COUNTBLANK('Capacity summary'!$H195:$BG195)&lt;52,IF('Capacity summary'!AR195&lt;&gt;"",$BI76*AR76,0),AR76*$BI76),AR76*$BI76),0)</f>
        <v>0</v>
      </c>
      <c r="CV76" s="319">
        <f>IF($BI76&lt;&gt;"",IF('Capacity summary'!$D$14="Yes",IF(COUNTBLANK('Capacity summary'!$H195:$BG195)&lt;52,IF('Capacity summary'!AS195&lt;&gt;"",$BI76*AS76,0),AS76*$BI76),AS76*$BI76),0)</f>
        <v>0</v>
      </c>
      <c r="CW76" s="319">
        <f>IF($BI76&lt;&gt;"",IF('Capacity summary'!$D$14="Yes",IF(COUNTBLANK('Capacity summary'!$H195:$BG195)&lt;52,IF('Capacity summary'!AT195&lt;&gt;"",$BI76*AT76,0),AT76*$BI76),AT76*$BI76),0)</f>
        <v>0</v>
      </c>
      <c r="CX76" s="319">
        <f>IF($BI76&lt;&gt;"",IF('Capacity summary'!$D$14="Yes",IF(COUNTBLANK('Capacity summary'!$H195:$BG195)&lt;52,IF('Capacity summary'!AU195&lt;&gt;"",$BI76*AU76,0),AU76*$BI76),AU76*$BI76),0)</f>
        <v>0</v>
      </c>
      <c r="CY76" s="319">
        <f>IF($BI76&lt;&gt;"",IF('Capacity summary'!$D$14="Yes",IF(COUNTBLANK('Capacity summary'!$H195:$BG195)&lt;52,IF('Capacity summary'!AV195&lt;&gt;"",$BI76*AV76,0),AV76*$BI76),AV76*$BI76),0)</f>
        <v>0</v>
      </c>
      <c r="CZ76" s="319">
        <f>IF($BI76&lt;&gt;"",IF('Capacity summary'!$D$14="Yes",IF(COUNTBLANK('Capacity summary'!$H195:$BG195)&lt;52,IF('Capacity summary'!AW195&lt;&gt;"",$BI76*AW76,0),AW76*$BI76),AW76*$BI76),0)</f>
        <v>0</v>
      </c>
      <c r="DA76" s="319">
        <f>IF($BI76&lt;&gt;"",IF('Capacity summary'!$D$14="Yes",IF(COUNTBLANK('Capacity summary'!$H195:$BG195)&lt;52,IF('Capacity summary'!AX195&lt;&gt;"",$BI76*AX76,0),AX76*$BI76),AX76*$BI76),0)</f>
        <v>0</v>
      </c>
      <c r="DB76" s="319">
        <f>IF($BI76&lt;&gt;"",IF('Capacity summary'!$D$14="Yes",IF(COUNTBLANK('Capacity summary'!$H195:$BG195)&lt;52,IF('Capacity summary'!AY195&lt;&gt;"",$BI76*AY76,0),AY76*$BI76),AY76*$BI76),0)</f>
        <v>0</v>
      </c>
      <c r="DC76" s="319">
        <f>IF($BI76&lt;&gt;"",IF('Capacity summary'!$D$14="Yes",IF(COUNTBLANK('Capacity summary'!$H195:$BG195)&lt;52,IF('Capacity summary'!AZ195&lt;&gt;"",$BI76*AZ76,0),AZ76*$BI76),AZ76*$BI76),0)</f>
        <v>0</v>
      </c>
      <c r="DD76" s="319">
        <f>IF($BI76&lt;&gt;"",IF('Capacity summary'!$D$14="Yes",IF(COUNTBLANK('Capacity summary'!$H195:$BG195)&lt;52,IF('Capacity summary'!BA195&lt;&gt;"",$BI76*BA76,0),BA76*$BI76),BA76*$BI76),0)</f>
        <v>0</v>
      </c>
      <c r="DE76" s="319">
        <f>IF($BI76&lt;&gt;"",IF('Capacity summary'!$D$14="Yes",IF(COUNTBLANK('Capacity summary'!$H195:$BG195)&lt;52,IF('Capacity summary'!BB195&lt;&gt;"",$BI76*BB76,0),BB76*$BI76),BB76*$BI76),0)</f>
        <v>0</v>
      </c>
      <c r="DF76" s="319">
        <f>IF($BI76&lt;&gt;"",IF('Capacity summary'!$D$14="Yes",IF(COUNTBLANK('Capacity summary'!$H195:$BG195)&lt;52,IF('Capacity summary'!BC195&lt;&gt;"",$BI76*BC76,0),BC76*$BI76),BC76*$BI76),0)</f>
        <v>0</v>
      </c>
      <c r="DG76" s="319">
        <f>IF($BI76&lt;&gt;"",IF('Capacity summary'!$D$14="Yes",IF(COUNTBLANK('Capacity summary'!$H195:$BG195)&lt;52,IF('Capacity summary'!BD195&lt;&gt;"",$BI76*BD76,0),BD76*$BI76),BD76*$BI76),0)</f>
        <v>0</v>
      </c>
      <c r="DH76" s="319">
        <f>IF($BI76&lt;&gt;"",IF('Capacity summary'!$D$14="Yes",IF(COUNTBLANK('Capacity summary'!$H195:$BG195)&lt;52,IF('Capacity summary'!BE195&lt;&gt;"",$BI76*BE76,0),BE76*$BI76),BE76*$BI76),0)</f>
        <v>0</v>
      </c>
      <c r="DI76" s="319">
        <f>IF($BI76&lt;&gt;"",IF('Capacity summary'!$D$14="Yes",IF(COUNTBLANK('Capacity summary'!$H195:$BG195)&lt;52,IF('Capacity summary'!BF195&lt;&gt;"",$BI76*BF76,0),BF76*$BI76),BF76*$BI76),0)</f>
        <v>0</v>
      </c>
      <c r="DJ76" s="319">
        <f>IF($BI76&lt;&gt;"",IF('Capacity summary'!$D$14="Yes",IF(COUNTBLANK('Capacity summary'!$H195:$BG195)&lt;52,IF('Capacity summary'!BG195&lt;&gt;"",$BI76*BG76,0),BG76*$BI76),BG76*$BI76),0)</f>
        <v>0</v>
      </c>
      <c r="DK76" s="5">
        <f t="shared" si="3"/>
        <v>0</v>
      </c>
      <c r="DL76" s="5" t="str">
        <f>Capacity!H88</f>
        <v/>
      </c>
    </row>
    <row r="77" spans="2:116" x14ac:dyDescent="0.2">
      <c r="B77" s="68"/>
      <c r="C77" s="68" t="str">
        <f>ROW(A73)&amp;". "&amp;Capacity!B89</f>
        <v xml:space="preserve">73. </v>
      </c>
      <c r="D77" s="68">
        <f>'Capacity setup'!C84</f>
        <v>0</v>
      </c>
      <c r="E77" s="68">
        <f>'Capacity setup'!D84</f>
        <v>0</v>
      </c>
      <c r="F77" s="68">
        <f>'Capacity setup'!E84</f>
        <v>0</v>
      </c>
      <c r="H77" s="68">
        <f ca="1">IF(AND(SUMIF(Capacity_Resource,$D77,'Critical resources (hide)'!U$6:U$105)+SUMIF(Capacity_Resource,$E77,'Critical resources (hide)'!U$6:U$105)+SUMIF(Capacity_Resource,$F77,'Critical resources (hide)'!U$6:U$105)&gt;0,$E$1=2),0,1)</f>
        <v>1</v>
      </c>
      <c r="I77" s="68">
        <f ca="1">IF(AND(SUMIF(Capacity_Resource,$D77,'Critical resources (hide)'!V$6:V$105)+SUMIF(Capacity_Resource,$E77,'Critical resources (hide)'!V$6:V$105)+SUMIF(Capacity_Resource,$F77,'Critical resources (hide)'!V$6:V$105)&gt;0,$E$1=2),0,1)</f>
        <v>1</v>
      </c>
      <c r="J77" s="68">
        <f ca="1">IF(AND(SUMIF(Capacity_Resource,$D77,'Critical resources (hide)'!W$6:W$105)+SUMIF(Capacity_Resource,$E77,'Critical resources (hide)'!W$6:W$105)+SUMIF(Capacity_Resource,$F77,'Critical resources (hide)'!W$6:W$105)&gt;0,$E$1=2),0,1)</f>
        <v>1</v>
      </c>
      <c r="K77" s="68">
        <f ca="1">IF(AND(SUMIF(Capacity_Resource,$D77,'Critical resources (hide)'!X$6:X$105)+SUMIF(Capacity_Resource,$E77,'Critical resources (hide)'!X$6:X$105)+SUMIF(Capacity_Resource,$F77,'Critical resources (hide)'!X$6:X$105)&gt;0,$E$1=2),0,1)</f>
        <v>1</v>
      </c>
      <c r="L77" s="68">
        <f ca="1">IF(AND(SUMIF(Capacity_Resource,$D77,'Critical resources (hide)'!Y$6:Y$105)+SUMIF(Capacity_Resource,$E77,'Critical resources (hide)'!Y$6:Y$105)+SUMIF(Capacity_Resource,$F77,'Critical resources (hide)'!Y$6:Y$105)&gt;0,$E$1=2),0,1)</f>
        <v>1</v>
      </c>
      <c r="M77" s="68">
        <f ca="1">IF(AND(SUMIF(Capacity_Resource,$D77,'Critical resources (hide)'!Z$6:Z$105)+SUMIF(Capacity_Resource,$E77,'Critical resources (hide)'!Z$6:Z$105)+SUMIF(Capacity_Resource,$F77,'Critical resources (hide)'!Z$6:Z$105)&gt;0,$E$1=2),0,1)</f>
        <v>1</v>
      </c>
      <c r="N77" s="68">
        <f ca="1">IF(AND(SUMIF(Capacity_Resource,$D77,'Critical resources (hide)'!AA$6:AA$105)+SUMIF(Capacity_Resource,$E77,'Critical resources (hide)'!AA$6:AA$105)+SUMIF(Capacity_Resource,$F77,'Critical resources (hide)'!AA$6:AA$105)&gt;0,$E$1=2),0,1)</f>
        <v>1</v>
      </c>
      <c r="O77" s="68">
        <f ca="1">IF(AND(SUMIF(Capacity_Resource,$D77,'Critical resources (hide)'!AB$6:AB$105)+SUMIF(Capacity_Resource,$E77,'Critical resources (hide)'!AB$6:AB$105)+SUMIF(Capacity_Resource,$F77,'Critical resources (hide)'!AB$6:AB$105)&gt;0,$E$1=2),0,1)</f>
        <v>1</v>
      </c>
      <c r="P77" s="68">
        <f ca="1">IF(AND(SUMIF(Capacity_Resource,$D77,'Critical resources (hide)'!AC$6:AC$105)+SUMIF(Capacity_Resource,$E77,'Critical resources (hide)'!AC$6:AC$105)+SUMIF(Capacity_Resource,$F77,'Critical resources (hide)'!AC$6:AC$105)&gt;0,$E$1=2),0,1)</f>
        <v>1</v>
      </c>
      <c r="Q77" s="68">
        <f ca="1">IF(AND(SUMIF(Capacity_Resource,$D77,'Critical resources (hide)'!AD$6:AD$105)+SUMIF(Capacity_Resource,$E77,'Critical resources (hide)'!AD$6:AD$105)+SUMIF(Capacity_Resource,$F77,'Critical resources (hide)'!AD$6:AD$105)&gt;0,$E$1=2),0,1)</f>
        <v>1</v>
      </c>
      <c r="R77" s="68">
        <f ca="1">IF(AND(SUMIF(Capacity_Resource,$D77,'Critical resources (hide)'!AE$6:AE$105)+SUMIF(Capacity_Resource,$E77,'Critical resources (hide)'!AE$6:AE$105)+SUMIF(Capacity_Resource,$F77,'Critical resources (hide)'!AE$6:AE$105)&gt;0,$E$1=2),0,1)</f>
        <v>1</v>
      </c>
      <c r="S77" s="68">
        <f ca="1">IF(AND(SUMIF(Capacity_Resource,$D77,'Critical resources (hide)'!AF$6:AF$105)+SUMIF(Capacity_Resource,$E77,'Critical resources (hide)'!AF$6:AF$105)+SUMIF(Capacity_Resource,$F77,'Critical resources (hide)'!AF$6:AF$105)&gt;0,$E$1=2),0,1)</f>
        <v>1</v>
      </c>
      <c r="T77" s="68">
        <f ca="1">IF(AND(SUMIF(Capacity_Resource,$D77,'Critical resources (hide)'!AG$6:AG$105)+SUMIF(Capacity_Resource,$E77,'Critical resources (hide)'!AG$6:AG$105)+SUMIF(Capacity_Resource,$F77,'Critical resources (hide)'!AG$6:AG$105)&gt;0,$E$1=2),0,1)</f>
        <v>1</v>
      </c>
      <c r="U77" s="68">
        <f ca="1">IF(AND(SUMIF(Capacity_Resource,$D77,'Critical resources (hide)'!AH$6:AH$105)+SUMIF(Capacity_Resource,$E77,'Critical resources (hide)'!AH$6:AH$105)+SUMIF(Capacity_Resource,$F77,'Critical resources (hide)'!AH$6:AH$105)&gt;0,$E$1=2),0,1)</f>
        <v>1</v>
      </c>
      <c r="V77" s="68">
        <f ca="1">IF(AND(SUMIF(Capacity_Resource,$D77,'Critical resources (hide)'!AI$6:AI$105)+SUMIF(Capacity_Resource,$E77,'Critical resources (hide)'!AI$6:AI$105)+SUMIF(Capacity_Resource,$F77,'Critical resources (hide)'!AI$6:AI$105)&gt;0,$E$1=2),0,1)</f>
        <v>1</v>
      </c>
      <c r="W77" s="68">
        <f ca="1">IF(AND(SUMIF(Capacity_Resource,$D77,'Critical resources (hide)'!AJ$6:AJ$105)+SUMIF(Capacity_Resource,$E77,'Critical resources (hide)'!AJ$6:AJ$105)+SUMIF(Capacity_Resource,$F77,'Critical resources (hide)'!AJ$6:AJ$105)&gt;0,$E$1=2),0,1)</f>
        <v>1</v>
      </c>
      <c r="X77" s="68">
        <f ca="1">IF(AND(SUMIF(Capacity_Resource,$D77,'Critical resources (hide)'!AK$6:AK$105)+SUMIF(Capacity_Resource,$E77,'Critical resources (hide)'!AK$6:AK$105)+SUMIF(Capacity_Resource,$F77,'Critical resources (hide)'!AK$6:AK$105)&gt;0,$E$1=2),0,1)</f>
        <v>1</v>
      </c>
      <c r="Y77" s="68">
        <f ca="1">IF(AND(SUMIF(Capacity_Resource,$D77,'Critical resources (hide)'!AL$6:AL$105)+SUMIF(Capacity_Resource,$E77,'Critical resources (hide)'!AL$6:AL$105)+SUMIF(Capacity_Resource,$F77,'Critical resources (hide)'!AL$6:AL$105)&gt;0,$E$1=2),0,1)</f>
        <v>1</v>
      </c>
      <c r="Z77" s="68">
        <f ca="1">IF(AND(SUMIF(Capacity_Resource,$D77,'Critical resources (hide)'!AM$6:AM$105)+SUMIF(Capacity_Resource,$E77,'Critical resources (hide)'!AM$6:AM$105)+SUMIF(Capacity_Resource,$F77,'Critical resources (hide)'!AM$6:AM$105)&gt;0,$E$1=2),0,1)</f>
        <v>1</v>
      </c>
      <c r="AA77" s="68">
        <f ca="1">IF(AND(SUMIF(Capacity_Resource,$D77,'Critical resources (hide)'!AN$6:AN$105)+SUMIF(Capacity_Resource,$E77,'Critical resources (hide)'!AN$6:AN$105)+SUMIF(Capacity_Resource,$F77,'Critical resources (hide)'!AN$6:AN$105)&gt;0,$E$1=2),0,1)</f>
        <v>1</v>
      </c>
      <c r="AB77" s="68">
        <f ca="1">IF(AND(SUMIF(Capacity_Resource,$D77,'Critical resources (hide)'!AO$6:AO$105)+SUMIF(Capacity_Resource,$E77,'Critical resources (hide)'!AO$6:AO$105)+SUMIF(Capacity_Resource,$F77,'Critical resources (hide)'!AO$6:AO$105)&gt;0,$E$1=2),0,1)</f>
        <v>1</v>
      </c>
      <c r="AC77" s="68">
        <f ca="1">IF(AND(SUMIF(Capacity_Resource,$D77,'Critical resources (hide)'!AP$6:AP$105)+SUMIF(Capacity_Resource,$E77,'Critical resources (hide)'!AP$6:AP$105)+SUMIF(Capacity_Resource,$F77,'Critical resources (hide)'!AP$6:AP$105)&gt;0,$E$1=2),0,1)</f>
        <v>1</v>
      </c>
      <c r="AD77" s="68">
        <f ca="1">IF(AND(SUMIF(Capacity_Resource,$D77,'Critical resources (hide)'!AQ$6:AQ$105)+SUMIF(Capacity_Resource,$E77,'Critical resources (hide)'!AQ$6:AQ$105)+SUMIF(Capacity_Resource,$F77,'Critical resources (hide)'!AQ$6:AQ$105)&gt;0,$E$1=2),0,1)</f>
        <v>1</v>
      </c>
      <c r="AE77" s="68">
        <f ca="1">IF(AND(SUMIF(Capacity_Resource,$D77,'Critical resources (hide)'!AR$6:AR$105)+SUMIF(Capacity_Resource,$E77,'Critical resources (hide)'!AR$6:AR$105)+SUMIF(Capacity_Resource,$F77,'Critical resources (hide)'!AR$6:AR$105)&gt;0,$E$1=2),0,1)</f>
        <v>1</v>
      </c>
      <c r="AF77" s="68">
        <f ca="1">IF(AND(SUMIF(Capacity_Resource,$D77,'Critical resources (hide)'!AS$6:AS$105)+SUMIF(Capacity_Resource,$E77,'Critical resources (hide)'!AS$6:AS$105)+SUMIF(Capacity_Resource,$F77,'Critical resources (hide)'!AS$6:AS$105)&gt;0,$E$1=2),0,1)</f>
        <v>1</v>
      </c>
      <c r="AG77" s="68">
        <f ca="1">IF(AND(SUMIF(Capacity_Resource,$D77,'Critical resources (hide)'!AT$6:AT$105)+SUMIF(Capacity_Resource,$E77,'Critical resources (hide)'!AT$6:AT$105)+SUMIF(Capacity_Resource,$F77,'Critical resources (hide)'!AT$6:AT$105)&gt;0,$E$1=2),0,1)</f>
        <v>1</v>
      </c>
      <c r="AH77" s="68">
        <f ca="1">IF(AND(SUMIF(Capacity_Resource,$D77,'Critical resources (hide)'!AU$6:AU$105)+SUMIF(Capacity_Resource,$E77,'Critical resources (hide)'!AU$6:AU$105)+SUMIF(Capacity_Resource,$F77,'Critical resources (hide)'!AU$6:AU$105)&gt;0,$E$1=2),0,1)</f>
        <v>1</v>
      </c>
      <c r="AI77" s="68">
        <f ca="1">IF(AND(SUMIF(Capacity_Resource,$D77,'Critical resources (hide)'!AV$6:AV$105)+SUMIF(Capacity_Resource,$E77,'Critical resources (hide)'!AV$6:AV$105)+SUMIF(Capacity_Resource,$F77,'Critical resources (hide)'!AV$6:AV$105)&gt;0,$E$1=2),0,1)</f>
        <v>1</v>
      </c>
      <c r="AJ77" s="68">
        <f ca="1">IF(AND(SUMIF(Capacity_Resource,$D77,'Critical resources (hide)'!AW$6:AW$105)+SUMIF(Capacity_Resource,$E77,'Critical resources (hide)'!AW$6:AW$105)+SUMIF(Capacity_Resource,$F77,'Critical resources (hide)'!AW$6:AW$105)&gt;0,$E$1=2),0,1)</f>
        <v>1</v>
      </c>
      <c r="AK77" s="68">
        <f ca="1">IF(AND(SUMIF(Capacity_Resource,$D77,'Critical resources (hide)'!AX$6:AX$105)+SUMIF(Capacity_Resource,$E77,'Critical resources (hide)'!AX$6:AX$105)+SUMIF(Capacity_Resource,$F77,'Critical resources (hide)'!AX$6:AX$105)&gt;0,$E$1=2),0,1)</f>
        <v>1</v>
      </c>
      <c r="AL77" s="68">
        <f ca="1">IF(AND(SUMIF(Capacity_Resource,$D77,'Critical resources (hide)'!AY$6:AY$105)+SUMIF(Capacity_Resource,$E77,'Critical resources (hide)'!AY$6:AY$105)+SUMIF(Capacity_Resource,$F77,'Critical resources (hide)'!AY$6:AY$105)&gt;0,$E$1=2),0,1)</f>
        <v>1</v>
      </c>
      <c r="AM77" s="68">
        <f ca="1">IF(AND(SUMIF(Capacity_Resource,$D77,'Critical resources (hide)'!AZ$6:AZ$105)+SUMIF(Capacity_Resource,$E77,'Critical resources (hide)'!AZ$6:AZ$105)+SUMIF(Capacity_Resource,$F77,'Critical resources (hide)'!AZ$6:AZ$105)&gt;0,$E$1=2),0,1)</f>
        <v>1</v>
      </c>
      <c r="AN77" s="68">
        <f ca="1">IF(AND(SUMIF(Capacity_Resource,$D77,'Critical resources (hide)'!BA$6:BA$105)+SUMIF(Capacity_Resource,$E77,'Critical resources (hide)'!BA$6:BA$105)+SUMIF(Capacity_Resource,$F77,'Critical resources (hide)'!BA$6:BA$105)&gt;0,$E$1=2),0,1)</f>
        <v>1</v>
      </c>
      <c r="AO77" s="68">
        <f ca="1">IF(AND(SUMIF(Capacity_Resource,$D77,'Critical resources (hide)'!BB$6:BB$105)+SUMIF(Capacity_Resource,$E77,'Critical resources (hide)'!BB$6:BB$105)+SUMIF(Capacity_Resource,$F77,'Critical resources (hide)'!BB$6:BB$105)&gt;0,$E$1=2),0,1)</f>
        <v>1</v>
      </c>
      <c r="AP77" s="68">
        <f ca="1">IF(AND(SUMIF(Capacity_Resource,$D77,'Critical resources (hide)'!BC$6:BC$105)+SUMIF(Capacity_Resource,$E77,'Critical resources (hide)'!BC$6:BC$105)+SUMIF(Capacity_Resource,$F77,'Critical resources (hide)'!BC$6:BC$105)&gt;0,$E$1=2),0,1)</f>
        <v>1</v>
      </c>
      <c r="AQ77" s="68">
        <f ca="1">IF(AND(SUMIF(Capacity_Resource,$D77,'Critical resources (hide)'!BD$6:BD$105)+SUMIF(Capacity_Resource,$E77,'Critical resources (hide)'!BD$6:BD$105)+SUMIF(Capacity_Resource,$F77,'Critical resources (hide)'!BD$6:BD$105)&gt;0,$E$1=2),0,1)</f>
        <v>1</v>
      </c>
      <c r="AR77" s="68">
        <f ca="1">IF(AND(SUMIF(Capacity_Resource,$D77,'Critical resources (hide)'!BE$6:BE$105)+SUMIF(Capacity_Resource,$E77,'Critical resources (hide)'!BE$6:BE$105)+SUMIF(Capacity_Resource,$F77,'Critical resources (hide)'!BE$6:BE$105)&gt;0,$E$1=2),0,1)</f>
        <v>1</v>
      </c>
      <c r="AS77" s="68">
        <f ca="1">IF(AND(SUMIF(Capacity_Resource,$D77,'Critical resources (hide)'!BF$6:BF$105)+SUMIF(Capacity_Resource,$E77,'Critical resources (hide)'!BF$6:BF$105)+SUMIF(Capacity_Resource,$F77,'Critical resources (hide)'!BF$6:BF$105)&gt;0,$E$1=2),0,1)</f>
        <v>1</v>
      </c>
      <c r="AT77" s="68">
        <f ca="1">IF(AND(SUMIF(Capacity_Resource,$D77,'Critical resources (hide)'!BG$6:BG$105)+SUMIF(Capacity_Resource,$E77,'Critical resources (hide)'!BG$6:BG$105)+SUMIF(Capacity_Resource,$F77,'Critical resources (hide)'!BG$6:BG$105)&gt;0,$E$1=2),0,1)</f>
        <v>1</v>
      </c>
      <c r="AU77" s="68">
        <f ca="1">IF(AND(SUMIF(Capacity_Resource,$D77,'Critical resources (hide)'!BH$6:BH$105)+SUMIF(Capacity_Resource,$E77,'Critical resources (hide)'!BH$6:BH$105)+SUMIF(Capacity_Resource,$F77,'Critical resources (hide)'!BH$6:BH$105)&gt;0,$E$1=2),0,1)</f>
        <v>1</v>
      </c>
      <c r="AV77" s="68">
        <f ca="1">IF(AND(SUMIF(Capacity_Resource,$D77,'Critical resources (hide)'!BI$6:BI$105)+SUMIF(Capacity_Resource,$E77,'Critical resources (hide)'!BI$6:BI$105)+SUMIF(Capacity_Resource,$F77,'Critical resources (hide)'!BI$6:BI$105)&gt;0,$E$1=2),0,1)</f>
        <v>1</v>
      </c>
      <c r="AW77" s="68">
        <f ca="1">IF(AND(SUMIF(Capacity_Resource,$D77,'Critical resources (hide)'!BJ$6:BJ$105)+SUMIF(Capacity_Resource,$E77,'Critical resources (hide)'!BJ$6:BJ$105)+SUMIF(Capacity_Resource,$F77,'Critical resources (hide)'!BJ$6:BJ$105)&gt;0,$E$1=2),0,1)</f>
        <v>1</v>
      </c>
      <c r="AX77" s="68">
        <f ca="1">IF(AND(SUMIF(Capacity_Resource,$D77,'Critical resources (hide)'!BK$6:BK$105)+SUMIF(Capacity_Resource,$E77,'Critical resources (hide)'!BK$6:BK$105)+SUMIF(Capacity_Resource,$F77,'Critical resources (hide)'!BK$6:BK$105)&gt;0,$E$1=2),0,1)</f>
        <v>1</v>
      </c>
      <c r="AY77" s="68">
        <f ca="1">IF(AND(SUMIF(Capacity_Resource,$D77,'Critical resources (hide)'!BL$6:BL$105)+SUMIF(Capacity_Resource,$E77,'Critical resources (hide)'!BL$6:BL$105)+SUMIF(Capacity_Resource,$F77,'Critical resources (hide)'!BL$6:BL$105)&gt;0,$E$1=2),0,1)</f>
        <v>1</v>
      </c>
      <c r="AZ77" s="68">
        <f ca="1">IF(AND(SUMIF(Capacity_Resource,$D77,'Critical resources (hide)'!BM$6:BM$105)+SUMIF(Capacity_Resource,$E77,'Critical resources (hide)'!BM$6:BM$105)+SUMIF(Capacity_Resource,$F77,'Critical resources (hide)'!BM$6:BM$105)&gt;0,$E$1=2),0,1)</f>
        <v>1</v>
      </c>
      <c r="BA77" s="68">
        <f ca="1">IF(AND(SUMIF(Capacity_Resource,$D77,'Critical resources (hide)'!BN$6:BN$105)+SUMIF(Capacity_Resource,$E77,'Critical resources (hide)'!BN$6:BN$105)+SUMIF(Capacity_Resource,$F77,'Critical resources (hide)'!BN$6:BN$105)&gt;0,$E$1=2),0,1)</f>
        <v>1</v>
      </c>
      <c r="BB77" s="68">
        <f ca="1">IF(AND(SUMIF(Capacity_Resource,$D77,'Critical resources (hide)'!BO$6:BO$105)+SUMIF(Capacity_Resource,$E77,'Critical resources (hide)'!BO$6:BO$105)+SUMIF(Capacity_Resource,$F77,'Critical resources (hide)'!BO$6:BO$105)&gt;0,$E$1=2),0,1)</f>
        <v>1</v>
      </c>
      <c r="BC77" s="68">
        <f ca="1">IF(AND(SUMIF(Capacity_Resource,$D77,'Critical resources (hide)'!BP$6:BP$105)+SUMIF(Capacity_Resource,$E77,'Critical resources (hide)'!BP$6:BP$105)+SUMIF(Capacity_Resource,$F77,'Critical resources (hide)'!BP$6:BP$105)&gt;0,$E$1=2),0,1)</f>
        <v>1</v>
      </c>
      <c r="BD77" s="68">
        <f ca="1">IF(AND(SUMIF(Capacity_Resource,$D77,'Critical resources (hide)'!BQ$6:BQ$105)+SUMIF(Capacity_Resource,$E77,'Critical resources (hide)'!BQ$6:BQ$105)+SUMIF(Capacity_Resource,$F77,'Critical resources (hide)'!BQ$6:BQ$105)&gt;0,$E$1=2),0,1)</f>
        <v>1</v>
      </c>
      <c r="BE77" s="68">
        <f ca="1">IF(AND(SUMIF(Capacity_Resource,$D77,'Critical resources (hide)'!BR$6:BR$105)+SUMIF(Capacity_Resource,$E77,'Critical resources (hide)'!BR$6:BR$105)+SUMIF(Capacity_Resource,$F77,'Critical resources (hide)'!BR$6:BR$105)&gt;0,$E$1=2),0,1)</f>
        <v>1</v>
      </c>
      <c r="BF77" s="68">
        <f ca="1">IF(AND(SUMIF(Capacity_Resource,$D77,'Critical resources (hide)'!BS$6:BS$105)+SUMIF(Capacity_Resource,$E77,'Critical resources (hide)'!BS$6:BS$105)+SUMIF(Capacity_Resource,$F77,'Critical resources (hide)'!BS$6:BS$105)&gt;0,$E$1=2),0,1)</f>
        <v>1</v>
      </c>
      <c r="BG77" s="68">
        <f ca="1">IF(AND(SUMIF(Capacity_Resource,$D77,'Critical resources (hide)'!BT$6:BT$105)+SUMIF(Capacity_Resource,$E77,'Critical resources (hide)'!BT$6:BT$105)+SUMIF(Capacity_Resource,$F77,'Critical resources (hide)'!BT$6:BT$105)&gt;0,$E$1=2),0,1)</f>
        <v>1</v>
      </c>
      <c r="BH77" s="68">
        <f>IF(ROW(C73)&lt;=Capacity!$A$16,IF('Capacity summary'!$D$14="No",SUM(H77:BG77),'Capacity summary'!$E196),0)</f>
        <v>0</v>
      </c>
      <c r="BI77" s="5" t="str">
        <f>IF(BH77&gt;0,IF(BH77&lt;Capacity!E89,Capacity!F89,Capacity!H89/'Capacity calculation (hide)'!BH77),"")</f>
        <v/>
      </c>
      <c r="BK77" s="319">
        <f>IF($BI77&lt;&gt;"",IF('Capacity summary'!$D$14="Yes",IF(COUNTBLANK('Capacity summary'!$H196:$BG196)&lt;52,IF('Capacity summary'!H196&lt;&gt;"",$BI77*H77,0),H77*$BI77),H77*$BI77),0)</f>
        <v>0</v>
      </c>
      <c r="BL77" s="319">
        <f>IF($BI77&lt;&gt;"",IF('Capacity summary'!$D$14="Yes",IF(COUNTBLANK('Capacity summary'!$H196:$BG196)&lt;52,IF('Capacity summary'!I196&lt;&gt;"",$BI77*I77,0),I77*$BI77),I77*$BI77),0)</f>
        <v>0</v>
      </c>
      <c r="BM77" s="319">
        <f>IF($BI77&lt;&gt;"",IF('Capacity summary'!$D$14="Yes",IF(COUNTBLANK('Capacity summary'!$H196:$BG196)&lt;52,IF('Capacity summary'!J196&lt;&gt;"",$BI77*J77,0),J77*$BI77),J77*$BI77),0)</f>
        <v>0</v>
      </c>
      <c r="BN77" s="319">
        <f>IF($BI77&lt;&gt;"",IF('Capacity summary'!$D$14="Yes",IF(COUNTBLANK('Capacity summary'!$H196:$BG196)&lt;52,IF('Capacity summary'!K196&lt;&gt;"",$BI77*K77,0),K77*$BI77),K77*$BI77),0)</f>
        <v>0</v>
      </c>
      <c r="BO77" s="319">
        <f>IF($BI77&lt;&gt;"",IF('Capacity summary'!$D$14="Yes",IF(COUNTBLANK('Capacity summary'!$H196:$BG196)&lt;52,IF('Capacity summary'!L196&lt;&gt;"",$BI77*L77,0),L77*$BI77),L77*$BI77),0)</f>
        <v>0</v>
      </c>
      <c r="BP77" s="319">
        <f>IF($BI77&lt;&gt;"",IF('Capacity summary'!$D$14="Yes",IF(COUNTBLANK('Capacity summary'!$H196:$BG196)&lt;52,IF('Capacity summary'!M196&lt;&gt;"",$BI77*M77,0),M77*$BI77),M77*$BI77),0)</f>
        <v>0</v>
      </c>
      <c r="BQ77" s="319">
        <f>IF($BI77&lt;&gt;"",IF('Capacity summary'!$D$14="Yes",IF(COUNTBLANK('Capacity summary'!$H196:$BG196)&lt;52,IF('Capacity summary'!N196&lt;&gt;"",$BI77*N77,0),N77*$BI77),N77*$BI77),0)</f>
        <v>0</v>
      </c>
      <c r="BR77" s="319">
        <f>IF($BI77&lt;&gt;"",IF('Capacity summary'!$D$14="Yes",IF(COUNTBLANK('Capacity summary'!$H196:$BG196)&lt;52,IF('Capacity summary'!O196&lt;&gt;"",$BI77*O77,0),O77*$BI77),O77*$BI77),0)</f>
        <v>0</v>
      </c>
      <c r="BS77" s="319">
        <f>IF($BI77&lt;&gt;"",IF('Capacity summary'!$D$14="Yes",IF(COUNTBLANK('Capacity summary'!$H196:$BG196)&lt;52,IF('Capacity summary'!P196&lt;&gt;"",$BI77*P77,0),P77*$BI77),P77*$BI77),0)</f>
        <v>0</v>
      </c>
      <c r="BT77" s="319">
        <f>IF($BI77&lt;&gt;"",IF('Capacity summary'!$D$14="Yes",IF(COUNTBLANK('Capacity summary'!$H196:$BG196)&lt;52,IF('Capacity summary'!Q196&lt;&gt;"",$BI77*Q77,0),Q77*$BI77),Q77*$BI77),0)</f>
        <v>0</v>
      </c>
      <c r="BU77" s="319">
        <f>IF($BI77&lt;&gt;"",IF('Capacity summary'!$D$14="Yes",IF(COUNTBLANK('Capacity summary'!$H196:$BG196)&lt;52,IF('Capacity summary'!R196&lt;&gt;"",$BI77*R77,0),R77*$BI77),R77*$BI77),0)</f>
        <v>0</v>
      </c>
      <c r="BV77" s="319">
        <f>IF($BI77&lt;&gt;"",IF('Capacity summary'!$D$14="Yes",IF(COUNTBLANK('Capacity summary'!$H196:$BG196)&lt;52,IF('Capacity summary'!S196&lt;&gt;"",$BI77*S77,0),S77*$BI77),S77*$BI77),0)</f>
        <v>0</v>
      </c>
      <c r="BW77" s="319">
        <f>IF($BI77&lt;&gt;"",IF('Capacity summary'!$D$14="Yes",IF(COUNTBLANK('Capacity summary'!$H196:$BG196)&lt;52,IF('Capacity summary'!T196&lt;&gt;"",$BI77*T77,0),T77*$BI77),T77*$BI77),0)</f>
        <v>0</v>
      </c>
      <c r="BX77" s="319">
        <f>IF($BI77&lt;&gt;"",IF('Capacity summary'!$D$14="Yes",IF(COUNTBLANK('Capacity summary'!$H196:$BG196)&lt;52,IF('Capacity summary'!U196&lt;&gt;"",$BI77*U77,0),U77*$BI77),U77*$BI77),0)</f>
        <v>0</v>
      </c>
      <c r="BY77" s="319">
        <f>IF($BI77&lt;&gt;"",IF('Capacity summary'!$D$14="Yes",IF(COUNTBLANK('Capacity summary'!$H196:$BG196)&lt;52,IF('Capacity summary'!V196&lt;&gt;"",$BI77*V77,0),V77*$BI77),V77*$BI77),0)</f>
        <v>0</v>
      </c>
      <c r="BZ77" s="319">
        <f>IF($BI77&lt;&gt;"",IF('Capacity summary'!$D$14="Yes",IF(COUNTBLANK('Capacity summary'!$H196:$BG196)&lt;52,IF('Capacity summary'!W196&lt;&gt;"",$BI77*W77,0),W77*$BI77),W77*$BI77),0)</f>
        <v>0</v>
      </c>
      <c r="CA77" s="319">
        <f>IF($BI77&lt;&gt;"",IF('Capacity summary'!$D$14="Yes",IF(COUNTBLANK('Capacity summary'!$H196:$BG196)&lt;52,IF('Capacity summary'!X196&lt;&gt;"",$BI77*X77,0),X77*$BI77),X77*$BI77),0)</f>
        <v>0</v>
      </c>
      <c r="CB77" s="319">
        <f>IF($BI77&lt;&gt;"",IF('Capacity summary'!$D$14="Yes",IF(COUNTBLANK('Capacity summary'!$H196:$BG196)&lt;52,IF('Capacity summary'!Y196&lt;&gt;"",$BI77*Y77,0),Y77*$BI77),Y77*$BI77),0)</f>
        <v>0</v>
      </c>
      <c r="CC77" s="319">
        <f>IF($BI77&lt;&gt;"",IF('Capacity summary'!$D$14="Yes",IF(COUNTBLANK('Capacity summary'!$H196:$BG196)&lt;52,IF('Capacity summary'!Z196&lt;&gt;"",$BI77*Z77,0),Z77*$BI77),Z77*$BI77),0)</f>
        <v>0</v>
      </c>
      <c r="CD77" s="319">
        <f>IF($BI77&lt;&gt;"",IF('Capacity summary'!$D$14="Yes",IF(COUNTBLANK('Capacity summary'!$H196:$BG196)&lt;52,IF('Capacity summary'!AA196&lt;&gt;"",$BI77*AA77,0),AA77*$BI77),AA77*$BI77),0)</f>
        <v>0</v>
      </c>
      <c r="CE77" s="319">
        <f>IF($BI77&lt;&gt;"",IF('Capacity summary'!$D$14="Yes",IF(COUNTBLANK('Capacity summary'!$H196:$BG196)&lt;52,IF('Capacity summary'!AB196&lt;&gt;"",$BI77*AB77,0),AB77*$BI77),AB77*$BI77),0)</f>
        <v>0</v>
      </c>
      <c r="CF77" s="319">
        <f>IF($BI77&lt;&gt;"",IF('Capacity summary'!$D$14="Yes",IF(COUNTBLANK('Capacity summary'!$H196:$BG196)&lt;52,IF('Capacity summary'!AC196&lt;&gt;"",$BI77*AC77,0),AC77*$BI77),AC77*$BI77),0)</f>
        <v>0</v>
      </c>
      <c r="CG77" s="319">
        <f>IF($BI77&lt;&gt;"",IF('Capacity summary'!$D$14="Yes",IF(COUNTBLANK('Capacity summary'!$H196:$BG196)&lt;52,IF('Capacity summary'!AD196&lt;&gt;"",$BI77*AD77,0),AD77*$BI77),AD77*$BI77),0)</f>
        <v>0</v>
      </c>
      <c r="CH77" s="319">
        <f>IF($BI77&lt;&gt;"",IF('Capacity summary'!$D$14="Yes",IF(COUNTBLANK('Capacity summary'!$H196:$BG196)&lt;52,IF('Capacity summary'!AE196&lt;&gt;"",$BI77*AE77,0),AE77*$BI77),AE77*$BI77),0)</f>
        <v>0</v>
      </c>
      <c r="CI77" s="319">
        <f>IF($BI77&lt;&gt;"",IF('Capacity summary'!$D$14="Yes",IF(COUNTBLANK('Capacity summary'!$H196:$BG196)&lt;52,IF('Capacity summary'!AF196&lt;&gt;"",$BI77*AF77,0),AF77*$BI77),AF77*$BI77),0)</f>
        <v>0</v>
      </c>
      <c r="CJ77" s="319">
        <f>IF($BI77&lt;&gt;"",IF('Capacity summary'!$D$14="Yes",IF(COUNTBLANK('Capacity summary'!$H196:$BG196)&lt;52,IF('Capacity summary'!AG196&lt;&gt;"",$BI77*AG77,0),AG77*$BI77),AG77*$BI77),0)</f>
        <v>0</v>
      </c>
      <c r="CK77" s="319">
        <f>IF($BI77&lt;&gt;"",IF('Capacity summary'!$D$14="Yes",IF(COUNTBLANK('Capacity summary'!$H196:$BG196)&lt;52,IF('Capacity summary'!AH196&lt;&gt;"",$BI77*AH77,0),AH77*$BI77),AH77*$BI77),0)</f>
        <v>0</v>
      </c>
      <c r="CL77" s="319">
        <f>IF($BI77&lt;&gt;"",IF('Capacity summary'!$D$14="Yes",IF(COUNTBLANK('Capacity summary'!$H196:$BG196)&lt;52,IF('Capacity summary'!AI196&lt;&gt;"",$BI77*AI77,0),AI77*$BI77),AI77*$BI77),0)</f>
        <v>0</v>
      </c>
      <c r="CM77" s="319">
        <f>IF($BI77&lt;&gt;"",IF('Capacity summary'!$D$14="Yes",IF(COUNTBLANK('Capacity summary'!$H196:$BG196)&lt;52,IF('Capacity summary'!AJ196&lt;&gt;"",$BI77*AJ77,0),AJ77*$BI77),AJ77*$BI77),0)</f>
        <v>0</v>
      </c>
      <c r="CN77" s="319">
        <f>IF($BI77&lt;&gt;"",IF('Capacity summary'!$D$14="Yes",IF(COUNTBLANK('Capacity summary'!$H196:$BG196)&lt;52,IF('Capacity summary'!AK196&lt;&gt;"",$BI77*AK77,0),AK77*$BI77),AK77*$BI77),0)</f>
        <v>0</v>
      </c>
      <c r="CO77" s="319">
        <f>IF($BI77&lt;&gt;"",IF('Capacity summary'!$D$14="Yes",IF(COUNTBLANK('Capacity summary'!$H196:$BG196)&lt;52,IF('Capacity summary'!AL196&lt;&gt;"",$BI77*AL77,0),AL77*$BI77),AL77*$BI77),0)</f>
        <v>0</v>
      </c>
      <c r="CP77" s="319">
        <f>IF($BI77&lt;&gt;"",IF('Capacity summary'!$D$14="Yes",IF(COUNTBLANK('Capacity summary'!$H196:$BG196)&lt;52,IF('Capacity summary'!AM196&lt;&gt;"",$BI77*AM77,0),AM77*$BI77),AM77*$BI77),0)</f>
        <v>0</v>
      </c>
      <c r="CQ77" s="319">
        <f>IF($BI77&lt;&gt;"",IF('Capacity summary'!$D$14="Yes",IF(COUNTBLANK('Capacity summary'!$H196:$BG196)&lt;52,IF('Capacity summary'!AN196&lt;&gt;"",$BI77*AN77,0),AN77*$BI77),AN77*$BI77),0)</f>
        <v>0</v>
      </c>
      <c r="CR77" s="319">
        <f>IF($BI77&lt;&gt;"",IF('Capacity summary'!$D$14="Yes",IF(COUNTBLANK('Capacity summary'!$H196:$BG196)&lt;52,IF('Capacity summary'!AO196&lt;&gt;"",$BI77*AO77,0),AO77*$BI77),AO77*$BI77),0)</f>
        <v>0</v>
      </c>
      <c r="CS77" s="319">
        <f>IF($BI77&lt;&gt;"",IF('Capacity summary'!$D$14="Yes",IF(COUNTBLANK('Capacity summary'!$H196:$BG196)&lt;52,IF('Capacity summary'!AP196&lt;&gt;"",$BI77*AP77,0),AP77*$BI77),AP77*$BI77),0)</f>
        <v>0</v>
      </c>
      <c r="CT77" s="319">
        <f>IF($BI77&lt;&gt;"",IF('Capacity summary'!$D$14="Yes",IF(COUNTBLANK('Capacity summary'!$H196:$BG196)&lt;52,IF('Capacity summary'!AQ196&lt;&gt;"",$BI77*AQ77,0),AQ77*$BI77),AQ77*$BI77),0)</f>
        <v>0</v>
      </c>
      <c r="CU77" s="319">
        <f>IF($BI77&lt;&gt;"",IF('Capacity summary'!$D$14="Yes",IF(COUNTBLANK('Capacity summary'!$H196:$BG196)&lt;52,IF('Capacity summary'!AR196&lt;&gt;"",$BI77*AR77,0),AR77*$BI77),AR77*$BI77),0)</f>
        <v>0</v>
      </c>
      <c r="CV77" s="319">
        <f>IF($BI77&lt;&gt;"",IF('Capacity summary'!$D$14="Yes",IF(COUNTBLANK('Capacity summary'!$H196:$BG196)&lt;52,IF('Capacity summary'!AS196&lt;&gt;"",$BI77*AS77,0),AS77*$BI77),AS77*$BI77),0)</f>
        <v>0</v>
      </c>
      <c r="CW77" s="319">
        <f>IF($BI77&lt;&gt;"",IF('Capacity summary'!$D$14="Yes",IF(COUNTBLANK('Capacity summary'!$H196:$BG196)&lt;52,IF('Capacity summary'!AT196&lt;&gt;"",$BI77*AT77,0),AT77*$BI77),AT77*$BI77),0)</f>
        <v>0</v>
      </c>
      <c r="CX77" s="319">
        <f>IF($BI77&lt;&gt;"",IF('Capacity summary'!$D$14="Yes",IF(COUNTBLANK('Capacity summary'!$H196:$BG196)&lt;52,IF('Capacity summary'!AU196&lt;&gt;"",$BI77*AU77,0),AU77*$BI77),AU77*$BI77),0)</f>
        <v>0</v>
      </c>
      <c r="CY77" s="319">
        <f>IF($BI77&lt;&gt;"",IF('Capacity summary'!$D$14="Yes",IF(COUNTBLANK('Capacity summary'!$H196:$BG196)&lt;52,IF('Capacity summary'!AV196&lt;&gt;"",$BI77*AV77,0),AV77*$BI77),AV77*$BI77),0)</f>
        <v>0</v>
      </c>
      <c r="CZ77" s="319">
        <f>IF($BI77&lt;&gt;"",IF('Capacity summary'!$D$14="Yes",IF(COUNTBLANK('Capacity summary'!$H196:$BG196)&lt;52,IF('Capacity summary'!AW196&lt;&gt;"",$BI77*AW77,0),AW77*$BI77),AW77*$BI77),0)</f>
        <v>0</v>
      </c>
      <c r="DA77" s="319">
        <f>IF($BI77&lt;&gt;"",IF('Capacity summary'!$D$14="Yes",IF(COUNTBLANK('Capacity summary'!$H196:$BG196)&lt;52,IF('Capacity summary'!AX196&lt;&gt;"",$BI77*AX77,0),AX77*$BI77),AX77*$BI77),0)</f>
        <v>0</v>
      </c>
      <c r="DB77" s="319">
        <f>IF($BI77&lt;&gt;"",IF('Capacity summary'!$D$14="Yes",IF(COUNTBLANK('Capacity summary'!$H196:$BG196)&lt;52,IF('Capacity summary'!AY196&lt;&gt;"",$BI77*AY77,0),AY77*$BI77),AY77*$BI77),0)</f>
        <v>0</v>
      </c>
      <c r="DC77" s="319">
        <f>IF($BI77&lt;&gt;"",IF('Capacity summary'!$D$14="Yes",IF(COUNTBLANK('Capacity summary'!$H196:$BG196)&lt;52,IF('Capacity summary'!AZ196&lt;&gt;"",$BI77*AZ77,0),AZ77*$BI77),AZ77*$BI77),0)</f>
        <v>0</v>
      </c>
      <c r="DD77" s="319">
        <f>IF($BI77&lt;&gt;"",IF('Capacity summary'!$D$14="Yes",IF(COUNTBLANK('Capacity summary'!$H196:$BG196)&lt;52,IF('Capacity summary'!BA196&lt;&gt;"",$BI77*BA77,0),BA77*$BI77),BA77*$BI77),0)</f>
        <v>0</v>
      </c>
      <c r="DE77" s="319">
        <f>IF($BI77&lt;&gt;"",IF('Capacity summary'!$D$14="Yes",IF(COUNTBLANK('Capacity summary'!$H196:$BG196)&lt;52,IF('Capacity summary'!BB196&lt;&gt;"",$BI77*BB77,0),BB77*$BI77),BB77*$BI77),0)</f>
        <v>0</v>
      </c>
      <c r="DF77" s="319">
        <f>IF($BI77&lt;&gt;"",IF('Capacity summary'!$D$14="Yes",IF(COUNTBLANK('Capacity summary'!$H196:$BG196)&lt;52,IF('Capacity summary'!BC196&lt;&gt;"",$BI77*BC77,0),BC77*$BI77),BC77*$BI77),0)</f>
        <v>0</v>
      </c>
      <c r="DG77" s="319">
        <f>IF($BI77&lt;&gt;"",IF('Capacity summary'!$D$14="Yes",IF(COUNTBLANK('Capacity summary'!$H196:$BG196)&lt;52,IF('Capacity summary'!BD196&lt;&gt;"",$BI77*BD77,0),BD77*$BI77),BD77*$BI77),0)</f>
        <v>0</v>
      </c>
      <c r="DH77" s="319">
        <f>IF($BI77&lt;&gt;"",IF('Capacity summary'!$D$14="Yes",IF(COUNTBLANK('Capacity summary'!$H196:$BG196)&lt;52,IF('Capacity summary'!BE196&lt;&gt;"",$BI77*BE77,0),BE77*$BI77),BE77*$BI77),0)</f>
        <v>0</v>
      </c>
      <c r="DI77" s="319">
        <f>IF($BI77&lt;&gt;"",IF('Capacity summary'!$D$14="Yes",IF(COUNTBLANK('Capacity summary'!$H196:$BG196)&lt;52,IF('Capacity summary'!BF196&lt;&gt;"",$BI77*BF77,0),BF77*$BI77),BF77*$BI77),0)</f>
        <v>0</v>
      </c>
      <c r="DJ77" s="319">
        <f>IF($BI77&lt;&gt;"",IF('Capacity summary'!$D$14="Yes",IF(COUNTBLANK('Capacity summary'!$H196:$BG196)&lt;52,IF('Capacity summary'!BG196&lt;&gt;"",$BI77*BG77,0),BG77*$BI77),BG77*$BI77),0)</f>
        <v>0</v>
      </c>
      <c r="DK77" s="5">
        <f t="shared" si="3"/>
        <v>0</v>
      </c>
      <c r="DL77" s="5" t="str">
        <f>Capacity!H89</f>
        <v/>
      </c>
    </row>
    <row r="78" spans="2:116" x14ac:dyDescent="0.2">
      <c r="B78" s="68"/>
      <c r="C78" s="68" t="str">
        <f>ROW(A74)&amp;". "&amp;Capacity!B90</f>
        <v xml:space="preserve">74. </v>
      </c>
      <c r="D78" s="68">
        <f>'Capacity setup'!C85</f>
        <v>0</v>
      </c>
      <c r="E78" s="68">
        <f>'Capacity setup'!D85</f>
        <v>0</v>
      </c>
      <c r="F78" s="68">
        <f>'Capacity setup'!E85</f>
        <v>0</v>
      </c>
      <c r="H78" s="68">
        <f ca="1">IF(AND(SUMIF(Capacity_Resource,$D78,'Critical resources (hide)'!U$6:U$105)+SUMIF(Capacity_Resource,$E78,'Critical resources (hide)'!U$6:U$105)+SUMIF(Capacity_Resource,$F78,'Critical resources (hide)'!U$6:U$105)&gt;0,$E$1=2),0,1)</f>
        <v>1</v>
      </c>
      <c r="I78" s="68">
        <f ca="1">IF(AND(SUMIF(Capacity_Resource,$D78,'Critical resources (hide)'!V$6:V$105)+SUMIF(Capacity_Resource,$E78,'Critical resources (hide)'!V$6:V$105)+SUMIF(Capacity_Resource,$F78,'Critical resources (hide)'!V$6:V$105)&gt;0,$E$1=2),0,1)</f>
        <v>1</v>
      </c>
      <c r="J78" s="68">
        <f ca="1">IF(AND(SUMIF(Capacity_Resource,$D78,'Critical resources (hide)'!W$6:W$105)+SUMIF(Capacity_Resource,$E78,'Critical resources (hide)'!W$6:W$105)+SUMIF(Capacity_Resource,$F78,'Critical resources (hide)'!W$6:W$105)&gt;0,$E$1=2),0,1)</f>
        <v>1</v>
      </c>
      <c r="K78" s="68">
        <f ca="1">IF(AND(SUMIF(Capacity_Resource,$D78,'Critical resources (hide)'!X$6:X$105)+SUMIF(Capacity_Resource,$E78,'Critical resources (hide)'!X$6:X$105)+SUMIF(Capacity_Resource,$F78,'Critical resources (hide)'!X$6:X$105)&gt;0,$E$1=2),0,1)</f>
        <v>1</v>
      </c>
      <c r="L78" s="68">
        <f ca="1">IF(AND(SUMIF(Capacity_Resource,$D78,'Critical resources (hide)'!Y$6:Y$105)+SUMIF(Capacity_Resource,$E78,'Critical resources (hide)'!Y$6:Y$105)+SUMIF(Capacity_Resource,$F78,'Critical resources (hide)'!Y$6:Y$105)&gt;0,$E$1=2),0,1)</f>
        <v>1</v>
      </c>
      <c r="M78" s="68">
        <f ca="1">IF(AND(SUMIF(Capacity_Resource,$D78,'Critical resources (hide)'!Z$6:Z$105)+SUMIF(Capacity_Resource,$E78,'Critical resources (hide)'!Z$6:Z$105)+SUMIF(Capacity_Resource,$F78,'Critical resources (hide)'!Z$6:Z$105)&gt;0,$E$1=2),0,1)</f>
        <v>1</v>
      </c>
      <c r="N78" s="68">
        <f ca="1">IF(AND(SUMIF(Capacity_Resource,$D78,'Critical resources (hide)'!AA$6:AA$105)+SUMIF(Capacity_Resource,$E78,'Critical resources (hide)'!AA$6:AA$105)+SUMIF(Capacity_Resource,$F78,'Critical resources (hide)'!AA$6:AA$105)&gt;0,$E$1=2),0,1)</f>
        <v>1</v>
      </c>
      <c r="O78" s="68">
        <f ca="1">IF(AND(SUMIF(Capacity_Resource,$D78,'Critical resources (hide)'!AB$6:AB$105)+SUMIF(Capacity_Resource,$E78,'Critical resources (hide)'!AB$6:AB$105)+SUMIF(Capacity_Resource,$F78,'Critical resources (hide)'!AB$6:AB$105)&gt;0,$E$1=2),0,1)</f>
        <v>1</v>
      </c>
      <c r="P78" s="68">
        <f ca="1">IF(AND(SUMIF(Capacity_Resource,$D78,'Critical resources (hide)'!AC$6:AC$105)+SUMIF(Capacity_Resource,$E78,'Critical resources (hide)'!AC$6:AC$105)+SUMIF(Capacity_Resource,$F78,'Critical resources (hide)'!AC$6:AC$105)&gt;0,$E$1=2),0,1)</f>
        <v>1</v>
      </c>
      <c r="Q78" s="68">
        <f ca="1">IF(AND(SUMIF(Capacity_Resource,$D78,'Critical resources (hide)'!AD$6:AD$105)+SUMIF(Capacity_Resource,$E78,'Critical resources (hide)'!AD$6:AD$105)+SUMIF(Capacity_Resource,$F78,'Critical resources (hide)'!AD$6:AD$105)&gt;0,$E$1=2),0,1)</f>
        <v>1</v>
      </c>
      <c r="R78" s="68">
        <f ca="1">IF(AND(SUMIF(Capacity_Resource,$D78,'Critical resources (hide)'!AE$6:AE$105)+SUMIF(Capacity_Resource,$E78,'Critical resources (hide)'!AE$6:AE$105)+SUMIF(Capacity_Resource,$F78,'Critical resources (hide)'!AE$6:AE$105)&gt;0,$E$1=2),0,1)</f>
        <v>1</v>
      </c>
      <c r="S78" s="68">
        <f ca="1">IF(AND(SUMIF(Capacity_Resource,$D78,'Critical resources (hide)'!AF$6:AF$105)+SUMIF(Capacity_Resource,$E78,'Critical resources (hide)'!AF$6:AF$105)+SUMIF(Capacity_Resource,$F78,'Critical resources (hide)'!AF$6:AF$105)&gt;0,$E$1=2),0,1)</f>
        <v>1</v>
      </c>
      <c r="T78" s="68">
        <f ca="1">IF(AND(SUMIF(Capacity_Resource,$D78,'Critical resources (hide)'!AG$6:AG$105)+SUMIF(Capacity_Resource,$E78,'Critical resources (hide)'!AG$6:AG$105)+SUMIF(Capacity_Resource,$F78,'Critical resources (hide)'!AG$6:AG$105)&gt;0,$E$1=2),0,1)</f>
        <v>1</v>
      </c>
      <c r="U78" s="68">
        <f ca="1">IF(AND(SUMIF(Capacity_Resource,$D78,'Critical resources (hide)'!AH$6:AH$105)+SUMIF(Capacity_Resource,$E78,'Critical resources (hide)'!AH$6:AH$105)+SUMIF(Capacity_Resource,$F78,'Critical resources (hide)'!AH$6:AH$105)&gt;0,$E$1=2),0,1)</f>
        <v>1</v>
      </c>
      <c r="V78" s="68">
        <f ca="1">IF(AND(SUMIF(Capacity_Resource,$D78,'Critical resources (hide)'!AI$6:AI$105)+SUMIF(Capacity_Resource,$E78,'Critical resources (hide)'!AI$6:AI$105)+SUMIF(Capacity_Resource,$F78,'Critical resources (hide)'!AI$6:AI$105)&gt;0,$E$1=2),0,1)</f>
        <v>1</v>
      </c>
      <c r="W78" s="68">
        <f ca="1">IF(AND(SUMIF(Capacity_Resource,$D78,'Critical resources (hide)'!AJ$6:AJ$105)+SUMIF(Capacity_Resource,$E78,'Critical resources (hide)'!AJ$6:AJ$105)+SUMIF(Capacity_Resource,$F78,'Critical resources (hide)'!AJ$6:AJ$105)&gt;0,$E$1=2),0,1)</f>
        <v>1</v>
      </c>
      <c r="X78" s="68">
        <f ca="1">IF(AND(SUMIF(Capacity_Resource,$D78,'Critical resources (hide)'!AK$6:AK$105)+SUMIF(Capacity_Resource,$E78,'Critical resources (hide)'!AK$6:AK$105)+SUMIF(Capacity_Resource,$F78,'Critical resources (hide)'!AK$6:AK$105)&gt;0,$E$1=2),0,1)</f>
        <v>1</v>
      </c>
      <c r="Y78" s="68">
        <f ca="1">IF(AND(SUMIF(Capacity_Resource,$D78,'Critical resources (hide)'!AL$6:AL$105)+SUMIF(Capacity_Resource,$E78,'Critical resources (hide)'!AL$6:AL$105)+SUMIF(Capacity_Resource,$F78,'Critical resources (hide)'!AL$6:AL$105)&gt;0,$E$1=2),0,1)</f>
        <v>1</v>
      </c>
      <c r="Z78" s="68">
        <f ca="1">IF(AND(SUMIF(Capacity_Resource,$D78,'Critical resources (hide)'!AM$6:AM$105)+SUMIF(Capacity_Resource,$E78,'Critical resources (hide)'!AM$6:AM$105)+SUMIF(Capacity_Resource,$F78,'Critical resources (hide)'!AM$6:AM$105)&gt;0,$E$1=2),0,1)</f>
        <v>1</v>
      </c>
      <c r="AA78" s="68">
        <f ca="1">IF(AND(SUMIF(Capacity_Resource,$D78,'Critical resources (hide)'!AN$6:AN$105)+SUMIF(Capacity_Resource,$E78,'Critical resources (hide)'!AN$6:AN$105)+SUMIF(Capacity_Resource,$F78,'Critical resources (hide)'!AN$6:AN$105)&gt;0,$E$1=2),0,1)</f>
        <v>1</v>
      </c>
      <c r="AB78" s="68">
        <f ca="1">IF(AND(SUMIF(Capacity_Resource,$D78,'Critical resources (hide)'!AO$6:AO$105)+SUMIF(Capacity_Resource,$E78,'Critical resources (hide)'!AO$6:AO$105)+SUMIF(Capacity_Resource,$F78,'Critical resources (hide)'!AO$6:AO$105)&gt;0,$E$1=2),0,1)</f>
        <v>1</v>
      </c>
      <c r="AC78" s="68">
        <f ca="1">IF(AND(SUMIF(Capacity_Resource,$D78,'Critical resources (hide)'!AP$6:AP$105)+SUMIF(Capacity_Resource,$E78,'Critical resources (hide)'!AP$6:AP$105)+SUMIF(Capacity_Resource,$F78,'Critical resources (hide)'!AP$6:AP$105)&gt;0,$E$1=2),0,1)</f>
        <v>1</v>
      </c>
      <c r="AD78" s="68">
        <f ca="1">IF(AND(SUMIF(Capacity_Resource,$D78,'Critical resources (hide)'!AQ$6:AQ$105)+SUMIF(Capacity_Resource,$E78,'Critical resources (hide)'!AQ$6:AQ$105)+SUMIF(Capacity_Resource,$F78,'Critical resources (hide)'!AQ$6:AQ$105)&gt;0,$E$1=2),0,1)</f>
        <v>1</v>
      </c>
      <c r="AE78" s="68">
        <f ca="1">IF(AND(SUMIF(Capacity_Resource,$D78,'Critical resources (hide)'!AR$6:AR$105)+SUMIF(Capacity_Resource,$E78,'Critical resources (hide)'!AR$6:AR$105)+SUMIF(Capacity_Resource,$F78,'Critical resources (hide)'!AR$6:AR$105)&gt;0,$E$1=2),0,1)</f>
        <v>1</v>
      </c>
      <c r="AF78" s="68">
        <f ca="1">IF(AND(SUMIF(Capacity_Resource,$D78,'Critical resources (hide)'!AS$6:AS$105)+SUMIF(Capacity_Resource,$E78,'Critical resources (hide)'!AS$6:AS$105)+SUMIF(Capacity_Resource,$F78,'Critical resources (hide)'!AS$6:AS$105)&gt;0,$E$1=2),0,1)</f>
        <v>1</v>
      </c>
      <c r="AG78" s="68">
        <f ca="1">IF(AND(SUMIF(Capacity_Resource,$D78,'Critical resources (hide)'!AT$6:AT$105)+SUMIF(Capacity_Resource,$E78,'Critical resources (hide)'!AT$6:AT$105)+SUMIF(Capacity_Resource,$F78,'Critical resources (hide)'!AT$6:AT$105)&gt;0,$E$1=2),0,1)</f>
        <v>1</v>
      </c>
      <c r="AH78" s="68">
        <f ca="1">IF(AND(SUMIF(Capacity_Resource,$D78,'Critical resources (hide)'!AU$6:AU$105)+SUMIF(Capacity_Resource,$E78,'Critical resources (hide)'!AU$6:AU$105)+SUMIF(Capacity_Resource,$F78,'Critical resources (hide)'!AU$6:AU$105)&gt;0,$E$1=2),0,1)</f>
        <v>1</v>
      </c>
      <c r="AI78" s="68">
        <f ca="1">IF(AND(SUMIF(Capacity_Resource,$D78,'Critical resources (hide)'!AV$6:AV$105)+SUMIF(Capacity_Resource,$E78,'Critical resources (hide)'!AV$6:AV$105)+SUMIF(Capacity_Resource,$F78,'Critical resources (hide)'!AV$6:AV$105)&gt;0,$E$1=2),0,1)</f>
        <v>1</v>
      </c>
      <c r="AJ78" s="68">
        <f ca="1">IF(AND(SUMIF(Capacity_Resource,$D78,'Critical resources (hide)'!AW$6:AW$105)+SUMIF(Capacity_Resource,$E78,'Critical resources (hide)'!AW$6:AW$105)+SUMIF(Capacity_Resource,$F78,'Critical resources (hide)'!AW$6:AW$105)&gt;0,$E$1=2),0,1)</f>
        <v>1</v>
      </c>
      <c r="AK78" s="68">
        <f ca="1">IF(AND(SUMIF(Capacity_Resource,$D78,'Critical resources (hide)'!AX$6:AX$105)+SUMIF(Capacity_Resource,$E78,'Critical resources (hide)'!AX$6:AX$105)+SUMIF(Capacity_Resource,$F78,'Critical resources (hide)'!AX$6:AX$105)&gt;0,$E$1=2),0,1)</f>
        <v>1</v>
      </c>
      <c r="AL78" s="68">
        <f ca="1">IF(AND(SUMIF(Capacity_Resource,$D78,'Critical resources (hide)'!AY$6:AY$105)+SUMIF(Capacity_Resource,$E78,'Critical resources (hide)'!AY$6:AY$105)+SUMIF(Capacity_Resource,$F78,'Critical resources (hide)'!AY$6:AY$105)&gt;0,$E$1=2),0,1)</f>
        <v>1</v>
      </c>
      <c r="AM78" s="68">
        <f ca="1">IF(AND(SUMIF(Capacity_Resource,$D78,'Critical resources (hide)'!AZ$6:AZ$105)+SUMIF(Capacity_Resource,$E78,'Critical resources (hide)'!AZ$6:AZ$105)+SUMIF(Capacity_Resource,$F78,'Critical resources (hide)'!AZ$6:AZ$105)&gt;0,$E$1=2),0,1)</f>
        <v>1</v>
      </c>
      <c r="AN78" s="68">
        <f ca="1">IF(AND(SUMIF(Capacity_Resource,$D78,'Critical resources (hide)'!BA$6:BA$105)+SUMIF(Capacity_Resource,$E78,'Critical resources (hide)'!BA$6:BA$105)+SUMIF(Capacity_Resource,$F78,'Critical resources (hide)'!BA$6:BA$105)&gt;0,$E$1=2),0,1)</f>
        <v>1</v>
      </c>
      <c r="AO78" s="68">
        <f ca="1">IF(AND(SUMIF(Capacity_Resource,$D78,'Critical resources (hide)'!BB$6:BB$105)+SUMIF(Capacity_Resource,$E78,'Critical resources (hide)'!BB$6:BB$105)+SUMIF(Capacity_Resource,$F78,'Critical resources (hide)'!BB$6:BB$105)&gt;0,$E$1=2),0,1)</f>
        <v>1</v>
      </c>
      <c r="AP78" s="68">
        <f ca="1">IF(AND(SUMIF(Capacity_Resource,$D78,'Critical resources (hide)'!BC$6:BC$105)+SUMIF(Capacity_Resource,$E78,'Critical resources (hide)'!BC$6:BC$105)+SUMIF(Capacity_Resource,$F78,'Critical resources (hide)'!BC$6:BC$105)&gt;0,$E$1=2),0,1)</f>
        <v>1</v>
      </c>
      <c r="AQ78" s="68">
        <f ca="1">IF(AND(SUMIF(Capacity_Resource,$D78,'Critical resources (hide)'!BD$6:BD$105)+SUMIF(Capacity_Resource,$E78,'Critical resources (hide)'!BD$6:BD$105)+SUMIF(Capacity_Resource,$F78,'Critical resources (hide)'!BD$6:BD$105)&gt;0,$E$1=2),0,1)</f>
        <v>1</v>
      </c>
      <c r="AR78" s="68">
        <f ca="1">IF(AND(SUMIF(Capacity_Resource,$D78,'Critical resources (hide)'!BE$6:BE$105)+SUMIF(Capacity_Resource,$E78,'Critical resources (hide)'!BE$6:BE$105)+SUMIF(Capacity_Resource,$F78,'Critical resources (hide)'!BE$6:BE$105)&gt;0,$E$1=2),0,1)</f>
        <v>1</v>
      </c>
      <c r="AS78" s="68">
        <f ca="1">IF(AND(SUMIF(Capacity_Resource,$D78,'Critical resources (hide)'!BF$6:BF$105)+SUMIF(Capacity_Resource,$E78,'Critical resources (hide)'!BF$6:BF$105)+SUMIF(Capacity_Resource,$F78,'Critical resources (hide)'!BF$6:BF$105)&gt;0,$E$1=2),0,1)</f>
        <v>1</v>
      </c>
      <c r="AT78" s="68">
        <f ca="1">IF(AND(SUMIF(Capacity_Resource,$D78,'Critical resources (hide)'!BG$6:BG$105)+SUMIF(Capacity_Resource,$E78,'Critical resources (hide)'!BG$6:BG$105)+SUMIF(Capacity_Resource,$F78,'Critical resources (hide)'!BG$6:BG$105)&gt;0,$E$1=2),0,1)</f>
        <v>1</v>
      </c>
      <c r="AU78" s="68">
        <f ca="1">IF(AND(SUMIF(Capacity_Resource,$D78,'Critical resources (hide)'!BH$6:BH$105)+SUMIF(Capacity_Resource,$E78,'Critical resources (hide)'!BH$6:BH$105)+SUMIF(Capacity_Resource,$F78,'Critical resources (hide)'!BH$6:BH$105)&gt;0,$E$1=2),0,1)</f>
        <v>1</v>
      </c>
      <c r="AV78" s="68">
        <f ca="1">IF(AND(SUMIF(Capacity_Resource,$D78,'Critical resources (hide)'!BI$6:BI$105)+SUMIF(Capacity_Resource,$E78,'Critical resources (hide)'!BI$6:BI$105)+SUMIF(Capacity_Resource,$F78,'Critical resources (hide)'!BI$6:BI$105)&gt;0,$E$1=2),0,1)</f>
        <v>1</v>
      </c>
      <c r="AW78" s="68">
        <f ca="1">IF(AND(SUMIF(Capacity_Resource,$D78,'Critical resources (hide)'!BJ$6:BJ$105)+SUMIF(Capacity_Resource,$E78,'Critical resources (hide)'!BJ$6:BJ$105)+SUMIF(Capacity_Resource,$F78,'Critical resources (hide)'!BJ$6:BJ$105)&gt;0,$E$1=2),0,1)</f>
        <v>1</v>
      </c>
      <c r="AX78" s="68">
        <f ca="1">IF(AND(SUMIF(Capacity_Resource,$D78,'Critical resources (hide)'!BK$6:BK$105)+SUMIF(Capacity_Resource,$E78,'Critical resources (hide)'!BK$6:BK$105)+SUMIF(Capacity_Resource,$F78,'Critical resources (hide)'!BK$6:BK$105)&gt;0,$E$1=2),0,1)</f>
        <v>1</v>
      </c>
      <c r="AY78" s="68">
        <f ca="1">IF(AND(SUMIF(Capacity_Resource,$D78,'Critical resources (hide)'!BL$6:BL$105)+SUMIF(Capacity_Resource,$E78,'Critical resources (hide)'!BL$6:BL$105)+SUMIF(Capacity_Resource,$F78,'Critical resources (hide)'!BL$6:BL$105)&gt;0,$E$1=2),0,1)</f>
        <v>1</v>
      </c>
      <c r="AZ78" s="68">
        <f ca="1">IF(AND(SUMIF(Capacity_Resource,$D78,'Critical resources (hide)'!BM$6:BM$105)+SUMIF(Capacity_Resource,$E78,'Critical resources (hide)'!BM$6:BM$105)+SUMIF(Capacity_Resource,$F78,'Critical resources (hide)'!BM$6:BM$105)&gt;0,$E$1=2),0,1)</f>
        <v>1</v>
      </c>
      <c r="BA78" s="68">
        <f ca="1">IF(AND(SUMIF(Capacity_Resource,$D78,'Critical resources (hide)'!BN$6:BN$105)+SUMIF(Capacity_Resource,$E78,'Critical resources (hide)'!BN$6:BN$105)+SUMIF(Capacity_Resource,$F78,'Critical resources (hide)'!BN$6:BN$105)&gt;0,$E$1=2),0,1)</f>
        <v>1</v>
      </c>
      <c r="BB78" s="68">
        <f ca="1">IF(AND(SUMIF(Capacity_Resource,$D78,'Critical resources (hide)'!BO$6:BO$105)+SUMIF(Capacity_Resource,$E78,'Critical resources (hide)'!BO$6:BO$105)+SUMIF(Capacity_Resource,$F78,'Critical resources (hide)'!BO$6:BO$105)&gt;0,$E$1=2),0,1)</f>
        <v>1</v>
      </c>
      <c r="BC78" s="68">
        <f ca="1">IF(AND(SUMIF(Capacity_Resource,$D78,'Critical resources (hide)'!BP$6:BP$105)+SUMIF(Capacity_Resource,$E78,'Critical resources (hide)'!BP$6:BP$105)+SUMIF(Capacity_Resource,$F78,'Critical resources (hide)'!BP$6:BP$105)&gt;0,$E$1=2),0,1)</f>
        <v>1</v>
      </c>
      <c r="BD78" s="68">
        <f ca="1">IF(AND(SUMIF(Capacity_Resource,$D78,'Critical resources (hide)'!BQ$6:BQ$105)+SUMIF(Capacity_Resource,$E78,'Critical resources (hide)'!BQ$6:BQ$105)+SUMIF(Capacity_Resource,$F78,'Critical resources (hide)'!BQ$6:BQ$105)&gt;0,$E$1=2),0,1)</f>
        <v>1</v>
      </c>
      <c r="BE78" s="68">
        <f ca="1">IF(AND(SUMIF(Capacity_Resource,$D78,'Critical resources (hide)'!BR$6:BR$105)+SUMIF(Capacity_Resource,$E78,'Critical resources (hide)'!BR$6:BR$105)+SUMIF(Capacity_Resource,$F78,'Critical resources (hide)'!BR$6:BR$105)&gt;0,$E$1=2),0,1)</f>
        <v>1</v>
      </c>
      <c r="BF78" s="68">
        <f ca="1">IF(AND(SUMIF(Capacity_Resource,$D78,'Critical resources (hide)'!BS$6:BS$105)+SUMIF(Capacity_Resource,$E78,'Critical resources (hide)'!BS$6:BS$105)+SUMIF(Capacity_Resource,$F78,'Critical resources (hide)'!BS$6:BS$105)&gt;0,$E$1=2),0,1)</f>
        <v>1</v>
      </c>
      <c r="BG78" s="68">
        <f ca="1">IF(AND(SUMIF(Capacity_Resource,$D78,'Critical resources (hide)'!BT$6:BT$105)+SUMIF(Capacity_Resource,$E78,'Critical resources (hide)'!BT$6:BT$105)+SUMIF(Capacity_Resource,$F78,'Critical resources (hide)'!BT$6:BT$105)&gt;0,$E$1=2),0,1)</f>
        <v>1</v>
      </c>
      <c r="BH78" s="68">
        <f>IF(ROW(C74)&lt;=Capacity!$A$16,IF('Capacity summary'!$D$14="No",SUM(H78:BG78),'Capacity summary'!$E197),0)</f>
        <v>0</v>
      </c>
      <c r="BI78" s="5" t="str">
        <f>IF(BH78&gt;0,IF(BH78&lt;Capacity!E90,Capacity!F90,Capacity!H90/'Capacity calculation (hide)'!BH78),"")</f>
        <v/>
      </c>
      <c r="BK78" s="319">
        <f>IF($BI78&lt;&gt;"",IF('Capacity summary'!$D$14="Yes",IF(COUNTBLANK('Capacity summary'!$H197:$BG197)&lt;52,IF('Capacity summary'!H197&lt;&gt;"",$BI78*H78,0),H78*$BI78),H78*$BI78),0)</f>
        <v>0</v>
      </c>
      <c r="BL78" s="319">
        <f>IF($BI78&lt;&gt;"",IF('Capacity summary'!$D$14="Yes",IF(COUNTBLANK('Capacity summary'!$H197:$BG197)&lt;52,IF('Capacity summary'!I197&lt;&gt;"",$BI78*I78,0),I78*$BI78),I78*$BI78),0)</f>
        <v>0</v>
      </c>
      <c r="BM78" s="319">
        <f>IF($BI78&lt;&gt;"",IF('Capacity summary'!$D$14="Yes",IF(COUNTBLANK('Capacity summary'!$H197:$BG197)&lt;52,IF('Capacity summary'!J197&lt;&gt;"",$BI78*J78,0),J78*$BI78),J78*$BI78),0)</f>
        <v>0</v>
      </c>
      <c r="BN78" s="319">
        <f>IF($BI78&lt;&gt;"",IF('Capacity summary'!$D$14="Yes",IF(COUNTBLANK('Capacity summary'!$H197:$BG197)&lt;52,IF('Capacity summary'!K197&lt;&gt;"",$BI78*K78,0),K78*$BI78),K78*$BI78),0)</f>
        <v>0</v>
      </c>
      <c r="BO78" s="319">
        <f>IF($BI78&lt;&gt;"",IF('Capacity summary'!$D$14="Yes",IF(COUNTBLANK('Capacity summary'!$H197:$BG197)&lt;52,IF('Capacity summary'!L197&lt;&gt;"",$BI78*L78,0),L78*$BI78),L78*$BI78),0)</f>
        <v>0</v>
      </c>
      <c r="BP78" s="319">
        <f>IF($BI78&lt;&gt;"",IF('Capacity summary'!$D$14="Yes",IF(COUNTBLANK('Capacity summary'!$H197:$BG197)&lt;52,IF('Capacity summary'!M197&lt;&gt;"",$BI78*M78,0),M78*$BI78),M78*$BI78),0)</f>
        <v>0</v>
      </c>
      <c r="BQ78" s="319">
        <f>IF($BI78&lt;&gt;"",IF('Capacity summary'!$D$14="Yes",IF(COUNTBLANK('Capacity summary'!$H197:$BG197)&lt;52,IF('Capacity summary'!N197&lt;&gt;"",$BI78*N78,0),N78*$BI78),N78*$BI78),0)</f>
        <v>0</v>
      </c>
      <c r="BR78" s="319">
        <f>IF($BI78&lt;&gt;"",IF('Capacity summary'!$D$14="Yes",IF(COUNTBLANK('Capacity summary'!$H197:$BG197)&lt;52,IF('Capacity summary'!O197&lt;&gt;"",$BI78*O78,0),O78*$BI78),O78*$BI78),0)</f>
        <v>0</v>
      </c>
      <c r="BS78" s="319">
        <f>IF($BI78&lt;&gt;"",IF('Capacity summary'!$D$14="Yes",IF(COUNTBLANK('Capacity summary'!$H197:$BG197)&lt;52,IF('Capacity summary'!P197&lt;&gt;"",$BI78*P78,0),P78*$BI78),P78*$BI78),0)</f>
        <v>0</v>
      </c>
      <c r="BT78" s="319">
        <f>IF($BI78&lt;&gt;"",IF('Capacity summary'!$D$14="Yes",IF(COUNTBLANK('Capacity summary'!$H197:$BG197)&lt;52,IF('Capacity summary'!Q197&lt;&gt;"",$BI78*Q78,0),Q78*$BI78),Q78*$BI78),0)</f>
        <v>0</v>
      </c>
      <c r="BU78" s="319">
        <f>IF($BI78&lt;&gt;"",IF('Capacity summary'!$D$14="Yes",IF(COUNTBLANK('Capacity summary'!$H197:$BG197)&lt;52,IF('Capacity summary'!R197&lt;&gt;"",$BI78*R78,0),R78*$BI78),R78*$BI78),0)</f>
        <v>0</v>
      </c>
      <c r="BV78" s="319">
        <f>IF($BI78&lt;&gt;"",IF('Capacity summary'!$D$14="Yes",IF(COUNTBLANK('Capacity summary'!$H197:$BG197)&lt;52,IF('Capacity summary'!S197&lt;&gt;"",$BI78*S78,0),S78*$BI78),S78*$BI78),0)</f>
        <v>0</v>
      </c>
      <c r="BW78" s="319">
        <f>IF($BI78&lt;&gt;"",IF('Capacity summary'!$D$14="Yes",IF(COUNTBLANK('Capacity summary'!$H197:$BG197)&lt;52,IF('Capacity summary'!T197&lt;&gt;"",$BI78*T78,0),T78*$BI78),T78*$BI78),0)</f>
        <v>0</v>
      </c>
      <c r="BX78" s="319">
        <f>IF($BI78&lt;&gt;"",IF('Capacity summary'!$D$14="Yes",IF(COUNTBLANK('Capacity summary'!$H197:$BG197)&lt;52,IF('Capacity summary'!U197&lt;&gt;"",$BI78*U78,0),U78*$BI78),U78*$BI78),0)</f>
        <v>0</v>
      </c>
      <c r="BY78" s="319">
        <f>IF($BI78&lt;&gt;"",IF('Capacity summary'!$D$14="Yes",IF(COUNTBLANK('Capacity summary'!$H197:$BG197)&lt;52,IF('Capacity summary'!V197&lt;&gt;"",$BI78*V78,0),V78*$BI78),V78*$BI78),0)</f>
        <v>0</v>
      </c>
      <c r="BZ78" s="319">
        <f>IF($BI78&lt;&gt;"",IF('Capacity summary'!$D$14="Yes",IF(COUNTBLANK('Capacity summary'!$H197:$BG197)&lt;52,IF('Capacity summary'!W197&lt;&gt;"",$BI78*W78,0),W78*$BI78),W78*$BI78),0)</f>
        <v>0</v>
      </c>
      <c r="CA78" s="319">
        <f>IF($BI78&lt;&gt;"",IF('Capacity summary'!$D$14="Yes",IF(COUNTBLANK('Capacity summary'!$H197:$BG197)&lt;52,IF('Capacity summary'!X197&lt;&gt;"",$BI78*X78,0),X78*$BI78),X78*$BI78),0)</f>
        <v>0</v>
      </c>
      <c r="CB78" s="319">
        <f>IF($BI78&lt;&gt;"",IF('Capacity summary'!$D$14="Yes",IF(COUNTBLANK('Capacity summary'!$H197:$BG197)&lt;52,IF('Capacity summary'!Y197&lt;&gt;"",$BI78*Y78,0),Y78*$BI78),Y78*$BI78),0)</f>
        <v>0</v>
      </c>
      <c r="CC78" s="319">
        <f>IF($BI78&lt;&gt;"",IF('Capacity summary'!$D$14="Yes",IF(COUNTBLANK('Capacity summary'!$H197:$BG197)&lt;52,IF('Capacity summary'!Z197&lt;&gt;"",$BI78*Z78,0),Z78*$BI78),Z78*$BI78),0)</f>
        <v>0</v>
      </c>
      <c r="CD78" s="319">
        <f>IF($BI78&lt;&gt;"",IF('Capacity summary'!$D$14="Yes",IF(COUNTBLANK('Capacity summary'!$H197:$BG197)&lt;52,IF('Capacity summary'!AA197&lt;&gt;"",$BI78*AA78,0),AA78*$BI78),AA78*$BI78),0)</f>
        <v>0</v>
      </c>
      <c r="CE78" s="319">
        <f>IF($BI78&lt;&gt;"",IF('Capacity summary'!$D$14="Yes",IF(COUNTBLANK('Capacity summary'!$H197:$BG197)&lt;52,IF('Capacity summary'!AB197&lt;&gt;"",$BI78*AB78,0),AB78*$BI78),AB78*$BI78),0)</f>
        <v>0</v>
      </c>
      <c r="CF78" s="319">
        <f>IF($BI78&lt;&gt;"",IF('Capacity summary'!$D$14="Yes",IF(COUNTBLANK('Capacity summary'!$H197:$BG197)&lt;52,IF('Capacity summary'!AC197&lt;&gt;"",$BI78*AC78,0),AC78*$BI78),AC78*$BI78),0)</f>
        <v>0</v>
      </c>
      <c r="CG78" s="319">
        <f>IF($BI78&lt;&gt;"",IF('Capacity summary'!$D$14="Yes",IF(COUNTBLANK('Capacity summary'!$H197:$BG197)&lt;52,IF('Capacity summary'!AD197&lt;&gt;"",$BI78*AD78,0),AD78*$BI78),AD78*$BI78),0)</f>
        <v>0</v>
      </c>
      <c r="CH78" s="319">
        <f>IF($BI78&lt;&gt;"",IF('Capacity summary'!$D$14="Yes",IF(COUNTBLANK('Capacity summary'!$H197:$BG197)&lt;52,IF('Capacity summary'!AE197&lt;&gt;"",$BI78*AE78,0),AE78*$BI78),AE78*$BI78),0)</f>
        <v>0</v>
      </c>
      <c r="CI78" s="319">
        <f>IF($BI78&lt;&gt;"",IF('Capacity summary'!$D$14="Yes",IF(COUNTBLANK('Capacity summary'!$H197:$BG197)&lt;52,IF('Capacity summary'!AF197&lt;&gt;"",$BI78*AF78,0),AF78*$BI78),AF78*$BI78),0)</f>
        <v>0</v>
      </c>
      <c r="CJ78" s="319">
        <f>IF($BI78&lt;&gt;"",IF('Capacity summary'!$D$14="Yes",IF(COUNTBLANK('Capacity summary'!$H197:$BG197)&lt;52,IF('Capacity summary'!AG197&lt;&gt;"",$BI78*AG78,0),AG78*$BI78),AG78*$BI78),0)</f>
        <v>0</v>
      </c>
      <c r="CK78" s="319">
        <f>IF($BI78&lt;&gt;"",IF('Capacity summary'!$D$14="Yes",IF(COUNTBLANK('Capacity summary'!$H197:$BG197)&lt;52,IF('Capacity summary'!AH197&lt;&gt;"",$BI78*AH78,0),AH78*$BI78),AH78*$BI78),0)</f>
        <v>0</v>
      </c>
      <c r="CL78" s="319">
        <f>IF($BI78&lt;&gt;"",IF('Capacity summary'!$D$14="Yes",IF(COUNTBLANK('Capacity summary'!$H197:$BG197)&lt;52,IF('Capacity summary'!AI197&lt;&gt;"",$BI78*AI78,0),AI78*$BI78),AI78*$BI78),0)</f>
        <v>0</v>
      </c>
      <c r="CM78" s="319">
        <f>IF($BI78&lt;&gt;"",IF('Capacity summary'!$D$14="Yes",IF(COUNTBLANK('Capacity summary'!$H197:$BG197)&lt;52,IF('Capacity summary'!AJ197&lt;&gt;"",$BI78*AJ78,0),AJ78*$BI78),AJ78*$BI78),0)</f>
        <v>0</v>
      </c>
      <c r="CN78" s="319">
        <f>IF($BI78&lt;&gt;"",IF('Capacity summary'!$D$14="Yes",IF(COUNTBLANK('Capacity summary'!$H197:$BG197)&lt;52,IF('Capacity summary'!AK197&lt;&gt;"",$BI78*AK78,0),AK78*$BI78),AK78*$BI78),0)</f>
        <v>0</v>
      </c>
      <c r="CO78" s="319">
        <f>IF($BI78&lt;&gt;"",IF('Capacity summary'!$D$14="Yes",IF(COUNTBLANK('Capacity summary'!$H197:$BG197)&lt;52,IF('Capacity summary'!AL197&lt;&gt;"",$BI78*AL78,0),AL78*$BI78),AL78*$BI78),0)</f>
        <v>0</v>
      </c>
      <c r="CP78" s="319">
        <f>IF($BI78&lt;&gt;"",IF('Capacity summary'!$D$14="Yes",IF(COUNTBLANK('Capacity summary'!$H197:$BG197)&lt;52,IF('Capacity summary'!AM197&lt;&gt;"",$BI78*AM78,0),AM78*$BI78),AM78*$BI78),0)</f>
        <v>0</v>
      </c>
      <c r="CQ78" s="319">
        <f>IF($BI78&lt;&gt;"",IF('Capacity summary'!$D$14="Yes",IF(COUNTBLANK('Capacity summary'!$H197:$BG197)&lt;52,IF('Capacity summary'!AN197&lt;&gt;"",$BI78*AN78,0),AN78*$BI78),AN78*$BI78),0)</f>
        <v>0</v>
      </c>
      <c r="CR78" s="319">
        <f>IF($BI78&lt;&gt;"",IF('Capacity summary'!$D$14="Yes",IF(COUNTBLANK('Capacity summary'!$H197:$BG197)&lt;52,IF('Capacity summary'!AO197&lt;&gt;"",$BI78*AO78,0),AO78*$BI78),AO78*$BI78),0)</f>
        <v>0</v>
      </c>
      <c r="CS78" s="319">
        <f>IF($BI78&lt;&gt;"",IF('Capacity summary'!$D$14="Yes",IF(COUNTBLANK('Capacity summary'!$H197:$BG197)&lt;52,IF('Capacity summary'!AP197&lt;&gt;"",$BI78*AP78,0),AP78*$BI78),AP78*$BI78),0)</f>
        <v>0</v>
      </c>
      <c r="CT78" s="319">
        <f>IF($BI78&lt;&gt;"",IF('Capacity summary'!$D$14="Yes",IF(COUNTBLANK('Capacity summary'!$H197:$BG197)&lt;52,IF('Capacity summary'!AQ197&lt;&gt;"",$BI78*AQ78,0),AQ78*$BI78),AQ78*$BI78),0)</f>
        <v>0</v>
      </c>
      <c r="CU78" s="319">
        <f>IF($BI78&lt;&gt;"",IF('Capacity summary'!$D$14="Yes",IF(COUNTBLANK('Capacity summary'!$H197:$BG197)&lt;52,IF('Capacity summary'!AR197&lt;&gt;"",$BI78*AR78,0),AR78*$BI78),AR78*$BI78),0)</f>
        <v>0</v>
      </c>
      <c r="CV78" s="319">
        <f>IF($BI78&lt;&gt;"",IF('Capacity summary'!$D$14="Yes",IF(COUNTBLANK('Capacity summary'!$H197:$BG197)&lt;52,IF('Capacity summary'!AS197&lt;&gt;"",$BI78*AS78,0),AS78*$BI78),AS78*$BI78),0)</f>
        <v>0</v>
      </c>
      <c r="CW78" s="319">
        <f>IF($BI78&lt;&gt;"",IF('Capacity summary'!$D$14="Yes",IF(COUNTBLANK('Capacity summary'!$H197:$BG197)&lt;52,IF('Capacity summary'!AT197&lt;&gt;"",$BI78*AT78,0),AT78*$BI78),AT78*$BI78),0)</f>
        <v>0</v>
      </c>
      <c r="CX78" s="319">
        <f>IF($BI78&lt;&gt;"",IF('Capacity summary'!$D$14="Yes",IF(COUNTBLANK('Capacity summary'!$H197:$BG197)&lt;52,IF('Capacity summary'!AU197&lt;&gt;"",$BI78*AU78,0),AU78*$BI78),AU78*$BI78),0)</f>
        <v>0</v>
      </c>
      <c r="CY78" s="319">
        <f>IF($BI78&lt;&gt;"",IF('Capacity summary'!$D$14="Yes",IF(COUNTBLANK('Capacity summary'!$H197:$BG197)&lt;52,IF('Capacity summary'!AV197&lt;&gt;"",$BI78*AV78,0),AV78*$BI78),AV78*$BI78),0)</f>
        <v>0</v>
      </c>
      <c r="CZ78" s="319">
        <f>IF($BI78&lt;&gt;"",IF('Capacity summary'!$D$14="Yes",IF(COUNTBLANK('Capacity summary'!$H197:$BG197)&lt;52,IF('Capacity summary'!AW197&lt;&gt;"",$BI78*AW78,0),AW78*$BI78),AW78*$BI78),0)</f>
        <v>0</v>
      </c>
      <c r="DA78" s="319">
        <f>IF($BI78&lt;&gt;"",IF('Capacity summary'!$D$14="Yes",IF(COUNTBLANK('Capacity summary'!$H197:$BG197)&lt;52,IF('Capacity summary'!AX197&lt;&gt;"",$BI78*AX78,0),AX78*$BI78),AX78*$BI78),0)</f>
        <v>0</v>
      </c>
      <c r="DB78" s="319">
        <f>IF($BI78&lt;&gt;"",IF('Capacity summary'!$D$14="Yes",IF(COUNTBLANK('Capacity summary'!$H197:$BG197)&lt;52,IF('Capacity summary'!AY197&lt;&gt;"",$BI78*AY78,0),AY78*$BI78),AY78*$BI78),0)</f>
        <v>0</v>
      </c>
      <c r="DC78" s="319">
        <f>IF($BI78&lt;&gt;"",IF('Capacity summary'!$D$14="Yes",IF(COUNTBLANK('Capacity summary'!$H197:$BG197)&lt;52,IF('Capacity summary'!AZ197&lt;&gt;"",$BI78*AZ78,0),AZ78*$BI78),AZ78*$BI78),0)</f>
        <v>0</v>
      </c>
      <c r="DD78" s="319">
        <f>IF($BI78&lt;&gt;"",IF('Capacity summary'!$D$14="Yes",IF(COUNTBLANK('Capacity summary'!$H197:$BG197)&lt;52,IF('Capacity summary'!BA197&lt;&gt;"",$BI78*BA78,0),BA78*$BI78),BA78*$BI78),0)</f>
        <v>0</v>
      </c>
      <c r="DE78" s="319">
        <f>IF($BI78&lt;&gt;"",IF('Capacity summary'!$D$14="Yes",IF(COUNTBLANK('Capacity summary'!$H197:$BG197)&lt;52,IF('Capacity summary'!BB197&lt;&gt;"",$BI78*BB78,0),BB78*$BI78),BB78*$BI78),0)</f>
        <v>0</v>
      </c>
      <c r="DF78" s="319">
        <f>IF($BI78&lt;&gt;"",IF('Capacity summary'!$D$14="Yes",IF(COUNTBLANK('Capacity summary'!$H197:$BG197)&lt;52,IF('Capacity summary'!BC197&lt;&gt;"",$BI78*BC78,0),BC78*$BI78),BC78*$BI78),0)</f>
        <v>0</v>
      </c>
      <c r="DG78" s="319">
        <f>IF($BI78&lt;&gt;"",IF('Capacity summary'!$D$14="Yes",IF(COUNTBLANK('Capacity summary'!$H197:$BG197)&lt;52,IF('Capacity summary'!BD197&lt;&gt;"",$BI78*BD78,0),BD78*$BI78),BD78*$BI78),0)</f>
        <v>0</v>
      </c>
      <c r="DH78" s="319">
        <f>IF($BI78&lt;&gt;"",IF('Capacity summary'!$D$14="Yes",IF(COUNTBLANK('Capacity summary'!$H197:$BG197)&lt;52,IF('Capacity summary'!BE197&lt;&gt;"",$BI78*BE78,0),BE78*$BI78),BE78*$BI78),0)</f>
        <v>0</v>
      </c>
      <c r="DI78" s="319">
        <f>IF($BI78&lt;&gt;"",IF('Capacity summary'!$D$14="Yes",IF(COUNTBLANK('Capacity summary'!$H197:$BG197)&lt;52,IF('Capacity summary'!BF197&lt;&gt;"",$BI78*BF78,0),BF78*$BI78),BF78*$BI78),0)</f>
        <v>0</v>
      </c>
      <c r="DJ78" s="319">
        <f>IF($BI78&lt;&gt;"",IF('Capacity summary'!$D$14="Yes",IF(COUNTBLANK('Capacity summary'!$H197:$BG197)&lt;52,IF('Capacity summary'!BG197&lt;&gt;"",$BI78*BG78,0),BG78*$BI78),BG78*$BI78),0)</f>
        <v>0</v>
      </c>
      <c r="DK78" s="5">
        <f t="shared" si="3"/>
        <v>0</v>
      </c>
      <c r="DL78" s="5" t="str">
        <f>Capacity!H90</f>
        <v/>
      </c>
    </row>
    <row r="79" spans="2:116" x14ac:dyDescent="0.2">
      <c r="B79" s="68"/>
      <c r="C79" s="68" t="str">
        <f>ROW(A75)&amp;". "&amp;Capacity!B91</f>
        <v xml:space="preserve">75. </v>
      </c>
      <c r="D79" s="68">
        <f>'Capacity setup'!C86</f>
        <v>0</v>
      </c>
      <c r="E79" s="68">
        <f>'Capacity setup'!D86</f>
        <v>0</v>
      </c>
      <c r="F79" s="68">
        <f>'Capacity setup'!E86</f>
        <v>0</v>
      </c>
      <c r="H79" s="68">
        <f ca="1">IF(AND(SUMIF(Capacity_Resource,$D79,'Critical resources (hide)'!U$6:U$105)+SUMIF(Capacity_Resource,$E79,'Critical resources (hide)'!U$6:U$105)+SUMIF(Capacity_Resource,$F79,'Critical resources (hide)'!U$6:U$105)&gt;0,$E$1=2),0,1)</f>
        <v>1</v>
      </c>
      <c r="I79" s="68">
        <f ca="1">IF(AND(SUMIF(Capacity_Resource,$D79,'Critical resources (hide)'!V$6:V$105)+SUMIF(Capacity_Resource,$E79,'Critical resources (hide)'!V$6:V$105)+SUMIF(Capacity_Resource,$F79,'Critical resources (hide)'!V$6:V$105)&gt;0,$E$1=2),0,1)</f>
        <v>1</v>
      </c>
      <c r="J79" s="68">
        <f ca="1">IF(AND(SUMIF(Capacity_Resource,$D79,'Critical resources (hide)'!W$6:W$105)+SUMIF(Capacity_Resource,$E79,'Critical resources (hide)'!W$6:W$105)+SUMIF(Capacity_Resource,$F79,'Critical resources (hide)'!W$6:W$105)&gt;0,$E$1=2),0,1)</f>
        <v>1</v>
      </c>
      <c r="K79" s="68">
        <f ca="1">IF(AND(SUMIF(Capacity_Resource,$D79,'Critical resources (hide)'!X$6:X$105)+SUMIF(Capacity_Resource,$E79,'Critical resources (hide)'!X$6:X$105)+SUMIF(Capacity_Resource,$F79,'Critical resources (hide)'!X$6:X$105)&gt;0,$E$1=2),0,1)</f>
        <v>1</v>
      </c>
      <c r="L79" s="68">
        <f ca="1">IF(AND(SUMIF(Capacity_Resource,$D79,'Critical resources (hide)'!Y$6:Y$105)+SUMIF(Capacity_Resource,$E79,'Critical resources (hide)'!Y$6:Y$105)+SUMIF(Capacity_Resource,$F79,'Critical resources (hide)'!Y$6:Y$105)&gt;0,$E$1=2),0,1)</f>
        <v>1</v>
      </c>
      <c r="M79" s="68">
        <f ca="1">IF(AND(SUMIF(Capacity_Resource,$D79,'Critical resources (hide)'!Z$6:Z$105)+SUMIF(Capacity_Resource,$E79,'Critical resources (hide)'!Z$6:Z$105)+SUMIF(Capacity_Resource,$F79,'Critical resources (hide)'!Z$6:Z$105)&gt;0,$E$1=2),0,1)</f>
        <v>1</v>
      </c>
      <c r="N79" s="68">
        <f ca="1">IF(AND(SUMIF(Capacity_Resource,$D79,'Critical resources (hide)'!AA$6:AA$105)+SUMIF(Capacity_Resource,$E79,'Critical resources (hide)'!AA$6:AA$105)+SUMIF(Capacity_Resource,$F79,'Critical resources (hide)'!AA$6:AA$105)&gt;0,$E$1=2),0,1)</f>
        <v>1</v>
      </c>
      <c r="O79" s="68">
        <f ca="1">IF(AND(SUMIF(Capacity_Resource,$D79,'Critical resources (hide)'!AB$6:AB$105)+SUMIF(Capacity_Resource,$E79,'Critical resources (hide)'!AB$6:AB$105)+SUMIF(Capacity_Resource,$F79,'Critical resources (hide)'!AB$6:AB$105)&gt;0,$E$1=2),0,1)</f>
        <v>1</v>
      </c>
      <c r="P79" s="68">
        <f ca="1">IF(AND(SUMIF(Capacity_Resource,$D79,'Critical resources (hide)'!AC$6:AC$105)+SUMIF(Capacity_Resource,$E79,'Critical resources (hide)'!AC$6:AC$105)+SUMIF(Capacity_Resource,$F79,'Critical resources (hide)'!AC$6:AC$105)&gt;0,$E$1=2),0,1)</f>
        <v>1</v>
      </c>
      <c r="Q79" s="68">
        <f ca="1">IF(AND(SUMIF(Capacity_Resource,$D79,'Critical resources (hide)'!AD$6:AD$105)+SUMIF(Capacity_Resource,$E79,'Critical resources (hide)'!AD$6:AD$105)+SUMIF(Capacity_Resource,$F79,'Critical resources (hide)'!AD$6:AD$105)&gt;0,$E$1=2),0,1)</f>
        <v>1</v>
      </c>
      <c r="R79" s="68">
        <f ca="1">IF(AND(SUMIF(Capacity_Resource,$D79,'Critical resources (hide)'!AE$6:AE$105)+SUMIF(Capacity_Resource,$E79,'Critical resources (hide)'!AE$6:AE$105)+SUMIF(Capacity_Resource,$F79,'Critical resources (hide)'!AE$6:AE$105)&gt;0,$E$1=2),0,1)</f>
        <v>1</v>
      </c>
      <c r="S79" s="68">
        <f ca="1">IF(AND(SUMIF(Capacity_Resource,$D79,'Critical resources (hide)'!AF$6:AF$105)+SUMIF(Capacity_Resource,$E79,'Critical resources (hide)'!AF$6:AF$105)+SUMIF(Capacity_Resource,$F79,'Critical resources (hide)'!AF$6:AF$105)&gt;0,$E$1=2),0,1)</f>
        <v>1</v>
      </c>
      <c r="T79" s="68">
        <f ca="1">IF(AND(SUMIF(Capacity_Resource,$D79,'Critical resources (hide)'!AG$6:AG$105)+SUMIF(Capacity_Resource,$E79,'Critical resources (hide)'!AG$6:AG$105)+SUMIF(Capacity_Resource,$F79,'Critical resources (hide)'!AG$6:AG$105)&gt;0,$E$1=2),0,1)</f>
        <v>1</v>
      </c>
      <c r="U79" s="68">
        <f ca="1">IF(AND(SUMIF(Capacity_Resource,$D79,'Critical resources (hide)'!AH$6:AH$105)+SUMIF(Capacity_Resource,$E79,'Critical resources (hide)'!AH$6:AH$105)+SUMIF(Capacity_Resource,$F79,'Critical resources (hide)'!AH$6:AH$105)&gt;0,$E$1=2),0,1)</f>
        <v>1</v>
      </c>
      <c r="V79" s="68">
        <f ca="1">IF(AND(SUMIF(Capacity_Resource,$D79,'Critical resources (hide)'!AI$6:AI$105)+SUMIF(Capacity_Resource,$E79,'Critical resources (hide)'!AI$6:AI$105)+SUMIF(Capacity_Resource,$F79,'Critical resources (hide)'!AI$6:AI$105)&gt;0,$E$1=2),0,1)</f>
        <v>1</v>
      </c>
      <c r="W79" s="68">
        <f ca="1">IF(AND(SUMIF(Capacity_Resource,$D79,'Critical resources (hide)'!AJ$6:AJ$105)+SUMIF(Capacity_Resource,$E79,'Critical resources (hide)'!AJ$6:AJ$105)+SUMIF(Capacity_Resource,$F79,'Critical resources (hide)'!AJ$6:AJ$105)&gt;0,$E$1=2),0,1)</f>
        <v>1</v>
      </c>
      <c r="X79" s="68">
        <f ca="1">IF(AND(SUMIF(Capacity_Resource,$D79,'Critical resources (hide)'!AK$6:AK$105)+SUMIF(Capacity_Resource,$E79,'Critical resources (hide)'!AK$6:AK$105)+SUMIF(Capacity_Resource,$F79,'Critical resources (hide)'!AK$6:AK$105)&gt;0,$E$1=2),0,1)</f>
        <v>1</v>
      </c>
      <c r="Y79" s="68">
        <f ca="1">IF(AND(SUMIF(Capacity_Resource,$D79,'Critical resources (hide)'!AL$6:AL$105)+SUMIF(Capacity_Resource,$E79,'Critical resources (hide)'!AL$6:AL$105)+SUMIF(Capacity_Resource,$F79,'Critical resources (hide)'!AL$6:AL$105)&gt;0,$E$1=2),0,1)</f>
        <v>1</v>
      </c>
      <c r="Z79" s="68">
        <f ca="1">IF(AND(SUMIF(Capacity_Resource,$D79,'Critical resources (hide)'!AM$6:AM$105)+SUMIF(Capacity_Resource,$E79,'Critical resources (hide)'!AM$6:AM$105)+SUMIF(Capacity_Resource,$F79,'Critical resources (hide)'!AM$6:AM$105)&gt;0,$E$1=2),0,1)</f>
        <v>1</v>
      </c>
      <c r="AA79" s="68">
        <f ca="1">IF(AND(SUMIF(Capacity_Resource,$D79,'Critical resources (hide)'!AN$6:AN$105)+SUMIF(Capacity_Resource,$E79,'Critical resources (hide)'!AN$6:AN$105)+SUMIF(Capacity_Resource,$F79,'Critical resources (hide)'!AN$6:AN$105)&gt;0,$E$1=2),0,1)</f>
        <v>1</v>
      </c>
      <c r="AB79" s="68">
        <f ca="1">IF(AND(SUMIF(Capacity_Resource,$D79,'Critical resources (hide)'!AO$6:AO$105)+SUMIF(Capacity_Resource,$E79,'Critical resources (hide)'!AO$6:AO$105)+SUMIF(Capacity_Resource,$F79,'Critical resources (hide)'!AO$6:AO$105)&gt;0,$E$1=2),0,1)</f>
        <v>1</v>
      </c>
      <c r="AC79" s="68">
        <f ca="1">IF(AND(SUMIF(Capacity_Resource,$D79,'Critical resources (hide)'!AP$6:AP$105)+SUMIF(Capacity_Resource,$E79,'Critical resources (hide)'!AP$6:AP$105)+SUMIF(Capacity_Resource,$F79,'Critical resources (hide)'!AP$6:AP$105)&gt;0,$E$1=2),0,1)</f>
        <v>1</v>
      </c>
      <c r="AD79" s="68">
        <f ca="1">IF(AND(SUMIF(Capacity_Resource,$D79,'Critical resources (hide)'!AQ$6:AQ$105)+SUMIF(Capacity_Resource,$E79,'Critical resources (hide)'!AQ$6:AQ$105)+SUMIF(Capacity_Resource,$F79,'Critical resources (hide)'!AQ$6:AQ$105)&gt;0,$E$1=2),0,1)</f>
        <v>1</v>
      </c>
      <c r="AE79" s="68">
        <f ca="1">IF(AND(SUMIF(Capacity_Resource,$D79,'Critical resources (hide)'!AR$6:AR$105)+SUMIF(Capacity_Resource,$E79,'Critical resources (hide)'!AR$6:AR$105)+SUMIF(Capacity_Resource,$F79,'Critical resources (hide)'!AR$6:AR$105)&gt;0,$E$1=2),0,1)</f>
        <v>1</v>
      </c>
      <c r="AF79" s="68">
        <f ca="1">IF(AND(SUMIF(Capacity_Resource,$D79,'Critical resources (hide)'!AS$6:AS$105)+SUMIF(Capacity_Resource,$E79,'Critical resources (hide)'!AS$6:AS$105)+SUMIF(Capacity_Resource,$F79,'Critical resources (hide)'!AS$6:AS$105)&gt;0,$E$1=2),0,1)</f>
        <v>1</v>
      </c>
      <c r="AG79" s="68">
        <f ca="1">IF(AND(SUMIF(Capacity_Resource,$D79,'Critical resources (hide)'!AT$6:AT$105)+SUMIF(Capacity_Resource,$E79,'Critical resources (hide)'!AT$6:AT$105)+SUMIF(Capacity_Resource,$F79,'Critical resources (hide)'!AT$6:AT$105)&gt;0,$E$1=2),0,1)</f>
        <v>1</v>
      </c>
      <c r="AH79" s="68">
        <f ca="1">IF(AND(SUMIF(Capacity_Resource,$D79,'Critical resources (hide)'!AU$6:AU$105)+SUMIF(Capacity_Resource,$E79,'Critical resources (hide)'!AU$6:AU$105)+SUMIF(Capacity_Resource,$F79,'Critical resources (hide)'!AU$6:AU$105)&gt;0,$E$1=2),0,1)</f>
        <v>1</v>
      </c>
      <c r="AI79" s="68">
        <f ca="1">IF(AND(SUMIF(Capacity_Resource,$D79,'Critical resources (hide)'!AV$6:AV$105)+SUMIF(Capacity_Resource,$E79,'Critical resources (hide)'!AV$6:AV$105)+SUMIF(Capacity_Resource,$F79,'Critical resources (hide)'!AV$6:AV$105)&gt;0,$E$1=2),0,1)</f>
        <v>1</v>
      </c>
      <c r="AJ79" s="68">
        <f ca="1">IF(AND(SUMIF(Capacity_Resource,$D79,'Critical resources (hide)'!AW$6:AW$105)+SUMIF(Capacity_Resource,$E79,'Critical resources (hide)'!AW$6:AW$105)+SUMIF(Capacity_Resource,$F79,'Critical resources (hide)'!AW$6:AW$105)&gt;0,$E$1=2),0,1)</f>
        <v>1</v>
      </c>
      <c r="AK79" s="68">
        <f ca="1">IF(AND(SUMIF(Capacity_Resource,$D79,'Critical resources (hide)'!AX$6:AX$105)+SUMIF(Capacity_Resource,$E79,'Critical resources (hide)'!AX$6:AX$105)+SUMIF(Capacity_Resource,$F79,'Critical resources (hide)'!AX$6:AX$105)&gt;0,$E$1=2),0,1)</f>
        <v>1</v>
      </c>
      <c r="AL79" s="68">
        <f ca="1">IF(AND(SUMIF(Capacity_Resource,$D79,'Critical resources (hide)'!AY$6:AY$105)+SUMIF(Capacity_Resource,$E79,'Critical resources (hide)'!AY$6:AY$105)+SUMIF(Capacity_Resource,$F79,'Critical resources (hide)'!AY$6:AY$105)&gt;0,$E$1=2),0,1)</f>
        <v>1</v>
      </c>
      <c r="AM79" s="68">
        <f ca="1">IF(AND(SUMIF(Capacity_Resource,$D79,'Critical resources (hide)'!AZ$6:AZ$105)+SUMIF(Capacity_Resource,$E79,'Critical resources (hide)'!AZ$6:AZ$105)+SUMIF(Capacity_Resource,$F79,'Critical resources (hide)'!AZ$6:AZ$105)&gt;0,$E$1=2),0,1)</f>
        <v>1</v>
      </c>
      <c r="AN79" s="68">
        <f ca="1">IF(AND(SUMIF(Capacity_Resource,$D79,'Critical resources (hide)'!BA$6:BA$105)+SUMIF(Capacity_Resource,$E79,'Critical resources (hide)'!BA$6:BA$105)+SUMIF(Capacity_Resource,$F79,'Critical resources (hide)'!BA$6:BA$105)&gt;0,$E$1=2),0,1)</f>
        <v>1</v>
      </c>
      <c r="AO79" s="68">
        <f ca="1">IF(AND(SUMIF(Capacity_Resource,$D79,'Critical resources (hide)'!BB$6:BB$105)+SUMIF(Capacity_Resource,$E79,'Critical resources (hide)'!BB$6:BB$105)+SUMIF(Capacity_Resource,$F79,'Critical resources (hide)'!BB$6:BB$105)&gt;0,$E$1=2),0,1)</f>
        <v>1</v>
      </c>
      <c r="AP79" s="68">
        <f ca="1">IF(AND(SUMIF(Capacity_Resource,$D79,'Critical resources (hide)'!BC$6:BC$105)+SUMIF(Capacity_Resource,$E79,'Critical resources (hide)'!BC$6:BC$105)+SUMIF(Capacity_Resource,$F79,'Critical resources (hide)'!BC$6:BC$105)&gt;0,$E$1=2),0,1)</f>
        <v>1</v>
      </c>
      <c r="AQ79" s="68">
        <f ca="1">IF(AND(SUMIF(Capacity_Resource,$D79,'Critical resources (hide)'!BD$6:BD$105)+SUMIF(Capacity_Resource,$E79,'Critical resources (hide)'!BD$6:BD$105)+SUMIF(Capacity_Resource,$F79,'Critical resources (hide)'!BD$6:BD$105)&gt;0,$E$1=2),0,1)</f>
        <v>1</v>
      </c>
      <c r="AR79" s="68">
        <f ca="1">IF(AND(SUMIF(Capacity_Resource,$D79,'Critical resources (hide)'!BE$6:BE$105)+SUMIF(Capacity_Resource,$E79,'Critical resources (hide)'!BE$6:BE$105)+SUMIF(Capacity_Resource,$F79,'Critical resources (hide)'!BE$6:BE$105)&gt;0,$E$1=2),0,1)</f>
        <v>1</v>
      </c>
      <c r="AS79" s="68">
        <f ca="1">IF(AND(SUMIF(Capacity_Resource,$D79,'Critical resources (hide)'!BF$6:BF$105)+SUMIF(Capacity_Resource,$E79,'Critical resources (hide)'!BF$6:BF$105)+SUMIF(Capacity_Resource,$F79,'Critical resources (hide)'!BF$6:BF$105)&gt;0,$E$1=2),0,1)</f>
        <v>1</v>
      </c>
      <c r="AT79" s="68">
        <f ca="1">IF(AND(SUMIF(Capacity_Resource,$D79,'Critical resources (hide)'!BG$6:BG$105)+SUMIF(Capacity_Resource,$E79,'Critical resources (hide)'!BG$6:BG$105)+SUMIF(Capacity_Resource,$F79,'Critical resources (hide)'!BG$6:BG$105)&gt;0,$E$1=2),0,1)</f>
        <v>1</v>
      </c>
      <c r="AU79" s="68">
        <f ca="1">IF(AND(SUMIF(Capacity_Resource,$D79,'Critical resources (hide)'!BH$6:BH$105)+SUMIF(Capacity_Resource,$E79,'Critical resources (hide)'!BH$6:BH$105)+SUMIF(Capacity_Resource,$F79,'Critical resources (hide)'!BH$6:BH$105)&gt;0,$E$1=2),0,1)</f>
        <v>1</v>
      </c>
      <c r="AV79" s="68">
        <f ca="1">IF(AND(SUMIF(Capacity_Resource,$D79,'Critical resources (hide)'!BI$6:BI$105)+SUMIF(Capacity_Resource,$E79,'Critical resources (hide)'!BI$6:BI$105)+SUMIF(Capacity_Resource,$F79,'Critical resources (hide)'!BI$6:BI$105)&gt;0,$E$1=2),0,1)</f>
        <v>1</v>
      </c>
      <c r="AW79" s="68">
        <f ca="1">IF(AND(SUMIF(Capacity_Resource,$D79,'Critical resources (hide)'!BJ$6:BJ$105)+SUMIF(Capacity_Resource,$E79,'Critical resources (hide)'!BJ$6:BJ$105)+SUMIF(Capacity_Resource,$F79,'Critical resources (hide)'!BJ$6:BJ$105)&gt;0,$E$1=2),0,1)</f>
        <v>1</v>
      </c>
      <c r="AX79" s="68">
        <f ca="1">IF(AND(SUMIF(Capacity_Resource,$D79,'Critical resources (hide)'!BK$6:BK$105)+SUMIF(Capacity_Resource,$E79,'Critical resources (hide)'!BK$6:BK$105)+SUMIF(Capacity_Resource,$F79,'Critical resources (hide)'!BK$6:BK$105)&gt;0,$E$1=2),0,1)</f>
        <v>1</v>
      </c>
      <c r="AY79" s="68">
        <f ca="1">IF(AND(SUMIF(Capacity_Resource,$D79,'Critical resources (hide)'!BL$6:BL$105)+SUMIF(Capacity_Resource,$E79,'Critical resources (hide)'!BL$6:BL$105)+SUMIF(Capacity_Resource,$F79,'Critical resources (hide)'!BL$6:BL$105)&gt;0,$E$1=2),0,1)</f>
        <v>1</v>
      </c>
      <c r="AZ79" s="68">
        <f ca="1">IF(AND(SUMIF(Capacity_Resource,$D79,'Critical resources (hide)'!BM$6:BM$105)+SUMIF(Capacity_Resource,$E79,'Critical resources (hide)'!BM$6:BM$105)+SUMIF(Capacity_Resource,$F79,'Critical resources (hide)'!BM$6:BM$105)&gt;0,$E$1=2),0,1)</f>
        <v>1</v>
      </c>
      <c r="BA79" s="68">
        <f ca="1">IF(AND(SUMIF(Capacity_Resource,$D79,'Critical resources (hide)'!BN$6:BN$105)+SUMIF(Capacity_Resource,$E79,'Critical resources (hide)'!BN$6:BN$105)+SUMIF(Capacity_Resource,$F79,'Critical resources (hide)'!BN$6:BN$105)&gt;0,$E$1=2),0,1)</f>
        <v>1</v>
      </c>
      <c r="BB79" s="68">
        <f ca="1">IF(AND(SUMIF(Capacity_Resource,$D79,'Critical resources (hide)'!BO$6:BO$105)+SUMIF(Capacity_Resource,$E79,'Critical resources (hide)'!BO$6:BO$105)+SUMIF(Capacity_Resource,$F79,'Critical resources (hide)'!BO$6:BO$105)&gt;0,$E$1=2),0,1)</f>
        <v>1</v>
      </c>
      <c r="BC79" s="68">
        <f ca="1">IF(AND(SUMIF(Capacity_Resource,$D79,'Critical resources (hide)'!BP$6:BP$105)+SUMIF(Capacity_Resource,$E79,'Critical resources (hide)'!BP$6:BP$105)+SUMIF(Capacity_Resource,$F79,'Critical resources (hide)'!BP$6:BP$105)&gt;0,$E$1=2),0,1)</f>
        <v>1</v>
      </c>
      <c r="BD79" s="68">
        <f ca="1">IF(AND(SUMIF(Capacity_Resource,$D79,'Critical resources (hide)'!BQ$6:BQ$105)+SUMIF(Capacity_Resource,$E79,'Critical resources (hide)'!BQ$6:BQ$105)+SUMIF(Capacity_Resource,$F79,'Critical resources (hide)'!BQ$6:BQ$105)&gt;0,$E$1=2),0,1)</f>
        <v>1</v>
      </c>
      <c r="BE79" s="68">
        <f ca="1">IF(AND(SUMIF(Capacity_Resource,$D79,'Critical resources (hide)'!BR$6:BR$105)+SUMIF(Capacity_Resource,$E79,'Critical resources (hide)'!BR$6:BR$105)+SUMIF(Capacity_Resource,$F79,'Critical resources (hide)'!BR$6:BR$105)&gt;0,$E$1=2),0,1)</f>
        <v>1</v>
      </c>
      <c r="BF79" s="68">
        <f ca="1">IF(AND(SUMIF(Capacity_Resource,$D79,'Critical resources (hide)'!BS$6:BS$105)+SUMIF(Capacity_Resource,$E79,'Critical resources (hide)'!BS$6:BS$105)+SUMIF(Capacity_Resource,$F79,'Critical resources (hide)'!BS$6:BS$105)&gt;0,$E$1=2),0,1)</f>
        <v>1</v>
      </c>
      <c r="BG79" s="68">
        <f ca="1">IF(AND(SUMIF(Capacity_Resource,$D79,'Critical resources (hide)'!BT$6:BT$105)+SUMIF(Capacity_Resource,$E79,'Critical resources (hide)'!BT$6:BT$105)+SUMIF(Capacity_Resource,$F79,'Critical resources (hide)'!BT$6:BT$105)&gt;0,$E$1=2),0,1)</f>
        <v>1</v>
      </c>
      <c r="BH79" s="68">
        <f>IF(ROW(C75)&lt;=Capacity!$A$16,IF('Capacity summary'!$D$14="No",SUM(H79:BG79),'Capacity summary'!$E198),0)</f>
        <v>0</v>
      </c>
      <c r="BI79" s="5" t="str">
        <f>IF(BH79&gt;0,IF(BH79&lt;Capacity!E91,Capacity!F91,Capacity!H91/'Capacity calculation (hide)'!BH79),"")</f>
        <v/>
      </c>
      <c r="BK79" s="319">
        <f>IF($BI79&lt;&gt;"",IF('Capacity summary'!$D$14="Yes",IF(COUNTBLANK('Capacity summary'!$H198:$BG198)&lt;52,IF('Capacity summary'!H198&lt;&gt;"",$BI79*H79,0),H79*$BI79),H79*$BI79),0)</f>
        <v>0</v>
      </c>
      <c r="BL79" s="319">
        <f>IF($BI79&lt;&gt;"",IF('Capacity summary'!$D$14="Yes",IF(COUNTBLANK('Capacity summary'!$H198:$BG198)&lt;52,IF('Capacity summary'!I198&lt;&gt;"",$BI79*I79,0),I79*$BI79),I79*$BI79),0)</f>
        <v>0</v>
      </c>
      <c r="BM79" s="319">
        <f>IF($BI79&lt;&gt;"",IF('Capacity summary'!$D$14="Yes",IF(COUNTBLANK('Capacity summary'!$H198:$BG198)&lt;52,IF('Capacity summary'!J198&lt;&gt;"",$BI79*J79,0),J79*$BI79),J79*$BI79),0)</f>
        <v>0</v>
      </c>
      <c r="BN79" s="319">
        <f>IF($BI79&lt;&gt;"",IF('Capacity summary'!$D$14="Yes",IF(COUNTBLANK('Capacity summary'!$H198:$BG198)&lt;52,IF('Capacity summary'!K198&lt;&gt;"",$BI79*K79,0),K79*$BI79),K79*$BI79),0)</f>
        <v>0</v>
      </c>
      <c r="BO79" s="319">
        <f>IF($BI79&lt;&gt;"",IF('Capacity summary'!$D$14="Yes",IF(COUNTBLANK('Capacity summary'!$H198:$BG198)&lt;52,IF('Capacity summary'!L198&lt;&gt;"",$BI79*L79,0),L79*$BI79),L79*$BI79),0)</f>
        <v>0</v>
      </c>
      <c r="BP79" s="319">
        <f>IF($BI79&lt;&gt;"",IF('Capacity summary'!$D$14="Yes",IF(COUNTBLANK('Capacity summary'!$H198:$BG198)&lt;52,IF('Capacity summary'!M198&lt;&gt;"",$BI79*M79,0),M79*$BI79),M79*$BI79),0)</f>
        <v>0</v>
      </c>
      <c r="BQ79" s="319">
        <f>IF($BI79&lt;&gt;"",IF('Capacity summary'!$D$14="Yes",IF(COUNTBLANK('Capacity summary'!$H198:$BG198)&lt;52,IF('Capacity summary'!N198&lt;&gt;"",$BI79*N79,0),N79*$BI79),N79*$BI79),0)</f>
        <v>0</v>
      </c>
      <c r="BR79" s="319">
        <f>IF($BI79&lt;&gt;"",IF('Capacity summary'!$D$14="Yes",IF(COUNTBLANK('Capacity summary'!$H198:$BG198)&lt;52,IF('Capacity summary'!O198&lt;&gt;"",$BI79*O79,0),O79*$BI79),O79*$BI79),0)</f>
        <v>0</v>
      </c>
      <c r="BS79" s="319">
        <f>IF($BI79&lt;&gt;"",IF('Capacity summary'!$D$14="Yes",IF(COUNTBLANK('Capacity summary'!$H198:$BG198)&lt;52,IF('Capacity summary'!P198&lt;&gt;"",$BI79*P79,0),P79*$BI79),P79*$BI79),0)</f>
        <v>0</v>
      </c>
      <c r="BT79" s="319">
        <f>IF($BI79&lt;&gt;"",IF('Capacity summary'!$D$14="Yes",IF(COUNTBLANK('Capacity summary'!$H198:$BG198)&lt;52,IF('Capacity summary'!Q198&lt;&gt;"",$BI79*Q79,0),Q79*$BI79),Q79*$BI79),0)</f>
        <v>0</v>
      </c>
      <c r="BU79" s="319">
        <f>IF($BI79&lt;&gt;"",IF('Capacity summary'!$D$14="Yes",IF(COUNTBLANK('Capacity summary'!$H198:$BG198)&lt;52,IF('Capacity summary'!R198&lt;&gt;"",$BI79*R79,0),R79*$BI79),R79*$BI79),0)</f>
        <v>0</v>
      </c>
      <c r="BV79" s="319">
        <f>IF($BI79&lt;&gt;"",IF('Capacity summary'!$D$14="Yes",IF(COUNTBLANK('Capacity summary'!$H198:$BG198)&lt;52,IF('Capacity summary'!S198&lt;&gt;"",$BI79*S79,0),S79*$BI79),S79*$BI79),0)</f>
        <v>0</v>
      </c>
      <c r="BW79" s="319">
        <f>IF($BI79&lt;&gt;"",IF('Capacity summary'!$D$14="Yes",IF(COUNTBLANK('Capacity summary'!$H198:$BG198)&lt;52,IF('Capacity summary'!T198&lt;&gt;"",$BI79*T79,0),T79*$BI79),T79*$BI79),0)</f>
        <v>0</v>
      </c>
      <c r="BX79" s="319">
        <f>IF($BI79&lt;&gt;"",IF('Capacity summary'!$D$14="Yes",IF(COUNTBLANK('Capacity summary'!$H198:$BG198)&lt;52,IF('Capacity summary'!U198&lt;&gt;"",$BI79*U79,0),U79*$BI79),U79*$BI79),0)</f>
        <v>0</v>
      </c>
      <c r="BY79" s="319">
        <f>IF($BI79&lt;&gt;"",IF('Capacity summary'!$D$14="Yes",IF(COUNTBLANK('Capacity summary'!$H198:$BG198)&lt;52,IF('Capacity summary'!V198&lt;&gt;"",$BI79*V79,0),V79*$BI79),V79*$BI79),0)</f>
        <v>0</v>
      </c>
      <c r="BZ79" s="319">
        <f>IF($BI79&lt;&gt;"",IF('Capacity summary'!$D$14="Yes",IF(COUNTBLANK('Capacity summary'!$H198:$BG198)&lt;52,IF('Capacity summary'!W198&lt;&gt;"",$BI79*W79,0),W79*$BI79),W79*$BI79),0)</f>
        <v>0</v>
      </c>
      <c r="CA79" s="319">
        <f>IF($BI79&lt;&gt;"",IF('Capacity summary'!$D$14="Yes",IF(COUNTBLANK('Capacity summary'!$H198:$BG198)&lt;52,IF('Capacity summary'!X198&lt;&gt;"",$BI79*X79,0),X79*$BI79),X79*$BI79),0)</f>
        <v>0</v>
      </c>
      <c r="CB79" s="319">
        <f>IF($BI79&lt;&gt;"",IF('Capacity summary'!$D$14="Yes",IF(COUNTBLANK('Capacity summary'!$H198:$BG198)&lt;52,IF('Capacity summary'!Y198&lt;&gt;"",$BI79*Y79,0),Y79*$BI79),Y79*$BI79),0)</f>
        <v>0</v>
      </c>
      <c r="CC79" s="319">
        <f>IF($BI79&lt;&gt;"",IF('Capacity summary'!$D$14="Yes",IF(COUNTBLANK('Capacity summary'!$H198:$BG198)&lt;52,IF('Capacity summary'!Z198&lt;&gt;"",$BI79*Z79,0),Z79*$BI79),Z79*$BI79),0)</f>
        <v>0</v>
      </c>
      <c r="CD79" s="319">
        <f>IF($BI79&lt;&gt;"",IF('Capacity summary'!$D$14="Yes",IF(COUNTBLANK('Capacity summary'!$H198:$BG198)&lt;52,IF('Capacity summary'!AA198&lt;&gt;"",$BI79*AA79,0),AA79*$BI79),AA79*$BI79),0)</f>
        <v>0</v>
      </c>
      <c r="CE79" s="319">
        <f>IF($BI79&lt;&gt;"",IF('Capacity summary'!$D$14="Yes",IF(COUNTBLANK('Capacity summary'!$H198:$BG198)&lt;52,IF('Capacity summary'!AB198&lt;&gt;"",$BI79*AB79,0),AB79*$BI79),AB79*$BI79),0)</f>
        <v>0</v>
      </c>
      <c r="CF79" s="319">
        <f>IF($BI79&lt;&gt;"",IF('Capacity summary'!$D$14="Yes",IF(COUNTBLANK('Capacity summary'!$H198:$BG198)&lt;52,IF('Capacity summary'!AC198&lt;&gt;"",$BI79*AC79,0),AC79*$BI79),AC79*$BI79),0)</f>
        <v>0</v>
      </c>
      <c r="CG79" s="319">
        <f>IF($BI79&lt;&gt;"",IF('Capacity summary'!$D$14="Yes",IF(COUNTBLANK('Capacity summary'!$H198:$BG198)&lt;52,IF('Capacity summary'!AD198&lt;&gt;"",$BI79*AD79,0),AD79*$BI79),AD79*$BI79),0)</f>
        <v>0</v>
      </c>
      <c r="CH79" s="319">
        <f>IF($BI79&lt;&gt;"",IF('Capacity summary'!$D$14="Yes",IF(COUNTBLANK('Capacity summary'!$H198:$BG198)&lt;52,IF('Capacity summary'!AE198&lt;&gt;"",$BI79*AE79,0),AE79*$BI79),AE79*$BI79),0)</f>
        <v>0</v>
      </c>
      <c r="CI79" s="319">
        <f>IF($BI79&lt;&gt;"",IF('Capacity summary'!$D$14="Yes",IF(COUNTBLANK('Capacity summary'!$H198:$BG198)&lt;52,IF('Capacity summary'!AF198&lt;&gt;"",$BI79*AF79,0),AF79*$BI79),AF79*$BI79),0)</f>
        <v>0</v>
      </c>
      <c r="CJ79" s="319">
        <f>IF($BI79&lt;&gt;"",IF('Capacity summary'!$D$14="Yes",IF(COUNTBLANK('Capacity summary'!$H198:$BG198)&lt;52,IF('Capacity summary'!AG198&lt;&gt;"",$BI79*AG79,0),AG79*$BI79),AG79*$BI79),0)</f>
        <v>0</v>
      </c>
      <c r="CK79" s="319">
        <f>IF($BI79&lt;&gt;"",IF('Capacity summary'!$D$14="Yes",IF(COUNTBLANK('Capacity summary'!$H198:$BG198)&lt;52,IF('Capacity summary'!AH198&lt;&gt;"",$BI79*AH79,0),AH79*$BI79),AH79*$BI79),0)</f>
        <v>0</v>
      </c>
      <c r="CL79" s="319">
        <f>IF($BI79&lt;&gt;"",IF('Capacity summary'!$D$14="Yes",IF(COUNTBLANK('Capacity summary'!$H198:$BG198)&lt;52,IF('Capacity summary'!AI198&lt;&gt;"",$BI79*AI79,0),AI79*$BI79),AI79*$BI79),0)</f>
        <v>0</v>
      </c>
      <c r="CM79" s="319">
        <f>IF($BI79&lt;&gt;"",IF('Capacity summary'!$D$14="Yes",IF(COUNTBLANK('Capacity summary'!$H198:$BG198)&lt;52,IF('Capacity summary'!AJ198&lt;&gt;"",$BI79*AJ79,0),AJ79*$BI79),AJ79*$BI79),0)</f>
        <v>0</v>
      </c>
      <c r="CN79" s="319">
        <f>IF($BI79&lt;&gt;"",IF('Capacity summary'!$D$14="Yes",IF(COUNTBLANK('Capacity summary'!$H198:$BG198)&lt;52,IF('Capacity summary'!AK198&lt;&gt;"",$BI79*AK79,0),AK79*$BI79),AK79*$BI79),0)</f>
        <v>0</v>
      </c>
      <c r="CO79" s="319">
        <f>IF($BI79&lt;&gt;"",IF('Capacity summary'!$D$14="Yes",IF(COUNTBLANK('Capacity summary'!$H198:$BG198)&lt;52,IF('Capacity summary'!AL198&lt;&gt;"",$BI79*AL79,0),AL79*$BI79),AL79*$BI79),0)</f>
        <v>0</v>
      </c>
      <c r="CP79" s="319">
        <f>IF($BI79&lt;&gt;"",IF('Capacity summary'!$D$14="Yes",IF(COUNTBLANK('Capacity summary'!$H198:$BG198)&lt;52,IF('Capacity summary'!AM198&lt;&gt;"",$BI79*AM79,0),AM79*$BI79),AM79*$BI79),0)</f>
        <v>0</v>
      </c>
      <c r="CQ79" s="319">
        <f>IF($BI79&lt;&gt;"",IF('Capacity summary'!$D$14="Yes",IF(COUNTBLANK('Capacity summary'!$H198:$BG198)&lt;52,IF('Capacity summary'!AN198&lt;&gt;"",$BI79*AN79,0),AN79*$BI79),AN79*$BI79),0)</f>
        <v>0</v>
      </c>
      <c r="CR79" s="319">
        <f>IF($BI79&lt;&gt;"",IF('Capacity summary'!$D$14="Yes",IF(COUNTBLANK('Capacity summary'!$H198:$BG198)&lt;52,IF('Capacity summary'!AO198&lt;&gt;"",$BI79*AO79,0),AO79*$BI79),AO79*$BI79),0)</f>
        <v>0</v>
      </c>
      <c r="CS79" s="319">
        <f>IF($BI79&lt;&gt;"",IF('Capacity summary'!$D$14="Yes",IF(COUNTBLANK('Capacity summary'!$H198:$BG198)&lt;52,IF('Capacity summary'!AP198&lt;&gt;"",$BI79*AP79,0),AP79*$BI79),AP79*$BI79),0)</f>
        <v>0</v>
      </c>
      <c r="CT79" s="319">
        <f>IF($BI79&lt;&gt;"",IF('Capacity summary'!$D$14="Yes",IF(COUNTBLANK('Capacity summary'!$H198:$BG198)&lt;52,IF('Capacity summary'!AQ198&lt;&gt;"",$BI79*AQ79,0),AQ79*$BI79),AQ79*$BI79),0)</f>
        <v>0</v>
      </c>
      <c r="CU79" s="319">
        <f>IF($BI79&lt;&gt;"",IF('Capacity summary'!$D$14="Yes",IF(COUNTBLANK('Capacity summary'!$H198:$BG198)&lt;52,IF('Capacity summary'!AR198&lt;&gt;"",$BI79*AR79,0),AR79*$BI79),AR79*$BI79),0)</f>
        <v>0</v>
      </c>
      <c r="CV79" s="319">
        <f>IF($BI79&lt;&gt;"",IF('Capacity summary'!$D$14="Yes",IF(COUNTBLANK('Capacity summary'!$H198:$BG198)&lt;52,IF('Capacity summary'!AS198&lt;&gt;"",$BI79*AS79,0),AS79*$BI79),AS79*$BI79),0)</f>
        <v>0</v>
      </c>
      <c r="CW79" s="319">
        <f>IF($BI79&lt;&gt;"",IF('Capacity summary'!$D$14="Yes",IF(COUNTBLANK('Capacity summary'!$H198:$BG198)&lt;52,IF('Capacity summary'!AT198&lt;&gt;"",$BI79*AT79,0),AT79*$BI79),AT79*$BI79),0)</f>
        <v>0</v>
      </c>
      <c r="CX79" s="319">
        <f>IF($BI79&lt;&gt;"",IF('Capacity summary'!$D$14="Yes",IF(COUNTBLANK('Capacity summary'!$H198:$BG198)&lt;52,IF('Capacity summary'!AU198&lt;&gt;"",$BI79*AU79,0),AU79*$BI79),AU79*$BI79),0)</f>
        <v>0</v>
      </c>
      <c r="CY79" s="319">
        <f>IF($BI79&lt;&gt;"",IF('Capacity summary'!$D$14="Yes",IF(COUNTBLANK('Capacity summary'!$H198:$BG198)&lt;52,IF('Capacity summary'!AV198&lt;&gt;"",$BI79*AV79,0),AV79*$BI79),AV79*$BI79),0)</f>
        <v>0</v>
      </c>
      <c r="CZ79" s="319">
        <f>IF($BI79&lt;&gt;"",IF('Capacity summary'!$D$14="Yes",IF(COUNTBLANK('Capacity summary'!$H198:$BG198)&lt;52,IF('Capacity summary'!AW198&lt;&gt;"",$BI79*AW79,0),AW79*$BI79),AW79*$BI79),0)</f>
        <v>0</v>
      </c>
      <c r="DA79" s="319">
        <f>IF($BI79&lt;&gt;"",IF('Capacity summary'!$D$14="Yes",IF(COUNTBLANK('Capacity summary'!$H198:$BG198)&lt;52,IF('Capacity summary'!AX198&lt;&gt;"",$BI79*AX79,0),AX79*$BI79),AX79*$BI79),0)</f>
        <v>0</v>
      </c>
      <c r="DB79" s="319">
        <f>IF($BI79&lt;&gt;"",IF('Capacity summary'!$D$14="Yes",IF(COUNTBLANK('Capacity summary'!$H198:$BG198)&lt;52,IF('Capacity summary'!AY198&lt;&gt;"",$BI79*AY79,0),AY79*$BI79),AY79*$BI79),0)</f>
        <v>0</v>
      </c>
      <c r="DC79" s="319">
        <f>IF($BI79&lt;&gt;"",IF('Capacity summary'!$D$14="Yes",IF(COUNTBLANK('Capacity summary'!$H198:$BG198)&lt;52,IF('Capacity summary'!AZ198&lt;&gt;"",$BI79*AZ79,0),AZ79*$BI79),AZ79*$BI79),0)</f>
        <v>0</v>
      </c>
      <c r="DD79" s="319">
        <f>IF($BI79&lt;&gt;"",IF('Capacity summary'!$D$14="Yes",IF(COUNTBLANK('Capacity summary'!$H198:$BG198)&lt;52,IF('Capacity summary'!BA198&lt;&gt;"",$BI79*BA79,0),BA79*$BI79),BA79*$BI79),0)</f>
        <v>0</v>
      </c>
      <c r="DE79" s="319">
        <f>IF($BI79&lt;&gt;"",IF('Capacity summary'!$D$14="Yes",IF(COUNTBLANK('Capacity summary'!$H198:$BG198)&lt;52,IF('Capacity summary'!BB198&lt;&gt;"",$BI79*BB79,0),BB79*$BI79),BB79*$BI79),0)</f>
        <v>0</v>
      </c>
      <c r="DF79" s="319">
        <f>IF($BI79&lt;&gt;"",IF('Capacity summary'!$D$14="Yes",IF(COUNTBLANK('Capacity summary'!$H198:$BG198)&lt;52,IF('Capacity summary'!BC198&lt;&gt;"",$BI79*BC79,0),BC79*$BI79),BC79*$BI79),0)</f>
        <v>0</v>
      </c>
      <c r="DG79" s="319">
        <f>IF($BI79&lt;&gt;"",IF('Capacity summary'!$D$14="Yes",IF(COUNTBLANK('Capacity summary'!$H198:$BG198)&lt;52,IF('Capacity summary'!BD198&lt;&gt;"",$BI79*BD79,0),BD79*$BI79),BD79*$BI79),0)</f>
        <v>0</v>
      </c>
      <c r="DH79" s="319">
        <f>IF($BI79&lt;&gt;"",IF('Capacity summary'!$D$14="Yes",IF(COUNTBLANK('Capacity summary'!$H198:$BG198)&lt;52,IF('Capacity summary'!BE198&lt;&gt;"",$BI79*BE79,0),BE79*$BI79),BE79*$BI79),0)</f>
        <v>0</v>
      </c>
      <c r="DI79" s="319">
        <f>IF($BI79&lt;&gt;"",IF('Capacity summary'!$D$14="Yes",IF(COUNTBLANK('Capacity summary'!$H198:$BG198)&lt;52,IF('Capacity summary'!BF198&lt;&gt;"",$BI79*BF79,0),BF79*$BI79),BF79*$BI79),0)</f>
        <v>0</v>
      </c>
      <c r="DJ79" s="319">
        <f>IF($BI79&lt;&gt;"",IF('Capacity summary'!$D$14="Yes",IF(COUNTBLANK('Capacity summary'!$H198:$BG198)&lt;52,IF('Capacity summary'!BG198&lt;&gt;"",$BI79*BG79,0),BG79*$BI79),BG79*$BI79),0)</f>
        <v>0</v>
      </c>
      <c r="DK79" s="5">
        <f t="shared" si="3"/>
        <v>0</v>
      </c>
      <c r="DL79" s="5" t="str">
        <f>Capacity!H91</f>
        <v/>
      </c>
    </row>
    <row r="80" spans="2:116" x14ac:dyDescent="0.2">
      <c r="B80" s="68"/>
      <c r="C80" s="68" t="str">
        <f>ROW(A76)&amp;". "&amp;Capacity!B92</f>
        <v xml:space="preserve">76. </v>
      </c>
      <c r="D80" s="68">
        <f>'Capacity setup'!C87</f>
        <v>0</v>
      </c>
      <c r="E80" s="68">
        <f>'Capacity setup'!D87</f>
        <v>0</v>
      </c>
      <c r="F80" s="68">
        <f>'Capacity setup'!E87</f>
        <v>0</v>
      </c>
      <c r="H80" s="68">
        <f ca="1">IF(AND(SUMIF(Capacity_Resource,$D80,'Critical resources (hide)'!U$6:U$105)+SUMIF(Capacity_Resource,$E80,'Critical resources (hide)'!U$6:U$105)+SUMIF(Capacity_Resource,$F80,'Critical resources (hide)'!U$6:U$105)&gt;0,$E$1=2),0,1)</f>
        <v>1</v>
      </c>
      <c r="I80" s="68">
        <f ca="1">IF(AND(SUMIF(Capacity_Resource,$D80,'Critical resources (hide)'!V$6:V$105)+SUMIF(Capacity_Resource,$E80,'Critical resources (hide)'!V$6:V$105)+SUMIF(Capacity_Resource,$F80,'Critical resources (hide)'!V$6:V$105)&gt;0,$E$1=2),0,1)</f>
        <v>1</v>
      </c>
      <c r="J80" s="68">
        <f ca="1">IF(AND(SUMIF(Capacity_Resource,$D80,'Critical resources (hide)'!W$6:W$105)+SUMIF(Capacity_Resource,$E80,'Critical resources (hide)'!W$6:W$105)+SUMIF(Capacity_Resource,$F80,'Critical resources (hide)'!W$6:W$105)&gt;0,$E$1=2),0,1)</f>
        <v>1</v>
      </c>
      <c r="K80" s="68">
        <f ca="1">IF(AND(SUMIF(Capacity_Resource,$D80,'Critical resources (hide)'!X$6:X$105)+SUMIF(Capacity_Resource,$E80,'Critical resources (hide)'!X$6:X$105)+SUMIF(Capacity_Resource,$F80,'Critical resources (hide)'!X$6:X$105)&gt;0,$E$1=2),0,1)</f>
        <v>1</v>
      </c>
      <c r="L80" s="68">
        <f ca="1">IF(AND(SUMIF(Capacity_Resource,$D80,'Critical resources (hide)'!Y$6:Y$105)+SUMIF(Capacity_Resource,$E80,'Critical resources (hide)'!Y$6:Y$105)+SUMIF(Capacity_Resource,$F80,'Critical resources (hide)'!Y$6:Y$105)&gt;0,$E$1=2),0,1)</f>
        <v>1</v>
      </c>
      <c r="M80" s="68">
        <f ca="1">IF(AND(SUMIF(Capacity_Resource,$D80,'Critical resources (hide)'!Z$6:Z$105)+SUMIF(Capacity_Resource,$E80,'Critical resources (hide)'!Z$6:Z$105)+SUMIF(Capacity_Resource,$F80,'Critical resources (hide)'!Z$6:Z$105)&gt;0,$E$1=2),0,1)</f>
        <v>1</v>
      </c>
      <c r="N80" s="68">
        <f ca="1">IF(AND(SUMIF(Capacity_Resource,$D80,'Critical resources (hide)'!AA$6:AA$105)+SUMIF(Capacity_Resource,$E80,'Critical resources (hide)'!AA$6:AA$105)+SUMIF(Capacity_Resource,$F80,'Critical resources (hide)'!AA$6:AA$105)&gt;0,$E$1=2),0,1)</f>
        <v>1</v>
      </c>
      <c r="O80" s="68">
        <f ca="1">IF(AND(SUMIF(Capacity_Resource,$D80,'Critical resources (hide)'!AB$6:AB$105)+SUMIF(Capacity_Resource,$E80,'Critical resources (hide)'!AB$6:AB$105)+SUMIF(Capacity_Resource,$F80,'Critical resources (hide)'!AB$6:AB$105)&gt;0,$E$1=2),0,1)</f>
        <v>1</v>
      </c>
      <c r="P80" s="68">
        <f ca="1">IF(AND(SUMIF(Capacity_Resource,$D80,'Critical resources (hide)'!AC$6:AC$105)+SUMIF(Capacity_Resource,$E80,'Critical resources (hide)'!AC$6:AC$105)+SUMIF(Capacity_Resource,$F80,'Critical resources (hide)'!AC$6:AC$105)&gt;0,$E$1=2),0,1)</f>
        <v>1</v>
      </c>
      <c r="Q80" s="68">
        <f ca="1">IF(AND(SUMIF(Capacity_Resource,$D80,'Critical resources (hide)'!AD$6:AD$105)+SUMIF(Capacity_Resource,$E80,'Critical resources (hide)'!AD$6:AD$105)+SUMIF(Capacity_Resource,$F80,'Critical resources (hide)'!AD$6:AD$105)&gt;0,$E$1=2),0,1)</f>
        <v>1</v>
      </c>
      <c r="R80" s="68">
        <f ca="1">IF(AND(SUMIF(Capacity_Resource,$D80,'Critical resources (hide)'!AE$6:AE$105)+SUMIF(Capacity_Resource,$E80,'Critical resources (hide)'!AE$6:AE$105)+SUMIF(Capacity_Resource,$F80,'Critical resources (hide)'!AE$6:AE$105)&gt;0,$E$1=2),0,1)</f>
        <v>1</v>
      </c>
      <c r="S80" s="68">
        <f ca="1">IF(AND(SUMIF(Capacity_Resource,$D80,'Critical resources (hide)'!AF$6:AF$105)+SUMIF(Capacity_Resource,$E80,'Critical resources (hide)'!AF$6:AF$105)+SUMIF(Capacity_Resource,$F80,'Critical resources (hide)'!AF$6:AF$105)&gt;0,$E$1=2),0,1)</f>
        <v>1</v>
      </c>
      <c r="T80" s="68">
        <f ca="1">IF(AND(SUMIF(Capacity_Resource,$D80,'Critical resources (hide)'!AG$6:AG$105)+SUMIF(Capacity_Resource,$E80,'Critical resources (hide)'!AG$6:AG$105)+SUMIF(Capacity_Resource,$F80,'Critical resources (hide)'!AG$6:AG$105)&gt;0,$E$1=2),0,1)</f>
        <v>1</v>
      </c>
      <c r="U80" s="68">
        <f ca="1">IF(AND(SUMIF(Capacity_Resource,$D80,'Critical resources (hide)'!AH$6:AH$105)+SUMIF(Capacity_Resource,$E80,'Critical resources (hide)'!AH$6:AH$105)+SUMIF(Capacity_Resource,$F80,'Critical resources (hide)'!AH$6:AH$105)&gt;0,$E$1=2),0,1)</f>
        <v>1</v>
      </c>
      <c r="V80" s="68">
        <f ca="1">IF(AND(SUMIF(Capacity_Resource,$D80,'Critical resources (hide)'!AI$6:AI$105)+SUMIF(Capacity_Resource,$E80,'Critical resources (hide)'!AI$6:AI$105)+SUMIF(Capacity_Resource,$F80,'Critical resources (hide)'!AI$6:AI$105)&gt;0,$E$1=2),0,1)</f>
        <v>1</v>
      </c>
      <c r="W80" s="68">
        <f ca="1">IF(AND(SUMIF(Capacity_Resource,$D80,'Critical resources (hide)'!AJ$6:AJ$105)+SUMIF(Capacity_Resource,$E80,'Critical resources (hide)'!AJ$6:AJ$105)+SUMIF(Capacity_Resource,$F80,'Critical resources (hide)'!AJ$6:AJ$105)&gt;0,$E$1=2),0,1)</f>
        <v>1</v>
      </c>
      <c r="X80" s="68">
        <f ca="1">IF(AND(SUMIF(Capacity_Resource,$D80,'Critical resources (hide)'!AK$6:AK$105)+SUMIF(Capacity_Resource,$E80,'Critical resources (hide)'!AK$6:AK$105)+SUMIF(Capacity_Resource,$F80,'Critical resources (hide)'!AK$6:AK$105)&gt;0,$E$1=2),0,1)</f>
        <v>1</v>
      </c>
      <c r="Y80" s="68">
        <f ca="1">IF(AND(SUMIF(Capacity_Resource,$D80,'Critical resources (hide)'!AL$6:AL$105)+SUMIF(Capacity_Resource,$E80,'Critical resources (hide)'!AL$6:AL$105)+SUMIF(Capacity_Resource,$F80,'Critical resources (hide)'!AL$6:AL$105)&gt;0,$E$1=2),0,1)</f>
        <v>1</v>
      </c>
      <c r="Z80" s="68">
        <f ca="1">IF(AND(SUMIF(Capacity_Resource,$D80,'Critical resources (hide)'!AM$6:AM$105)+SUMIF(Capacity_Resource,$E80,'Critical resources (hide)'!AM$6:AM$105)+SUMIF(Capacity_Resource,$F80,'Critical resources (hide)'!AM$6:AM$105)&gt;0,$E$1=2),0,1)</f>
        <v>1</v>
      </c>
      <c r="AA80" s="68">
        <f ca="1">IF(AND(SUMIF(Capacity_Resource,$D80,'Critical resources (hide)'!AN$6:AN$105)+SUMIF(Capacity_Resource,$E80,'Critical resources (hide)'!AN$6:AN$105)+SUMIF(Capacity_Resource,$F80,'Critical resources (hide)'!AN$6:AN$105)&gt;0,$E$1=2),0,1)</f>
        <v>1</v>
      </c>
      <c r="AB80" s="68">
        <f ca="1">IF(AND(SUMIF(Capacity_Resource,$D80,'Critical resources (hide)'!AO$6:AO$105)+SUMIF(Capacity_Resource,$E80,'Critical resources (hide)'!AO$6:AO$105)+SUMIF(Capacity_Resource,$F80,'Critical resources (hide)'!AO$6:AO$105)&gt;0,$E$1=2),0,1)</f>
        <v>1</v>
      </c>
      <c r="AC80" s="68">
        <f ca="1">IF(AND(SUMIF(Capacity_Resource,$D80,'Critical resources (hide)'!AP$6:AP$105)+SUMIF(Capacity_Resource,$E80,'Critical resources (hide)'!AP$6:AP$105)+SUMIF(Capacity_Resource,$F80,'Critical resources (hide)'!AP$6:AP$105)&gt;0,$E$1=2),0,1)</f>
        <v>1</v>
      </c>
      <c r="AD80" s="68">
        <f ca="1">IF(AND(SUMIF(Capacity_Resource,$D80,'Critical resources (hide)'!AQ$6:AQ$105)+SUMIF(Capacity_Resource,$E80,'Critical resources (hide)'!AQ$6:AQ$105)+SUMIF(Capacity_Resource,$F80,'Critical resources (hide)'!AQ$6:AQ$105)&gt;0,$E$1=2),0,1)</f>
        <v>1</v>
      </c>
      <c r="AE80" s="68">
        <f ca="1">IF(AND(SUMIF(Capacity_Resource,$D80,'Critical resources (hide)'!AR$6:AR$105)+SUMIF(Capacity_Resource,$E80,'Critical resources (hide)'!AR$6:AR$105)+SUMIF(Capacity_Resource,$F80,'Critical resources (hide)'!AR$6:AR$105)&gt;0,$E$1=2),0,1)</f>
        <v>1</v>
      </c>
      <c r="AF80" s="68">
        <f ca="1">IF(AND(SUMIF(Capacity_Resource,$D80,'Critical resources (hide)'!AS$6:AS$105)+SUMIF(Capacity_Resource,$E80,'Critical resources (hide)'!AS$6:AS$105)+SUMIF(Capacity_Resource,$F80,'Critical resources (hide)'!AS$6:AS$105)&gt;0,$E$1=2),0,1)</f>
        <v>1</v>
      </c>
      <c r="AG80" s="68">
        <f ca="1">IF(AND(SUMIF(Capacity_Resource,$D80,'Critical resources (hide)'!AT$6:AT$105)+SUMIF(Capacity_Resource,$E80,'Critical resources (hide)'!AT$6:AT$105)+SUMIF(Capacity_Resource,$F80,'Critical resources (hide)'!AT$6:AT$105)&gt;0,$E$1=2),0,1)</f>
        <v>1</v>
      </c>
      <c r="AH80" s="68">
        <f ca="1">IF(AND(SUMIF(Capacity_Resource,$D80,'Critical resources (hide)'!AU$6:AU$105)+SUMIF(Capacity_Resource,$E80,'Critical resources (hide)'!AU$6:AU$105)+SUMIF(Capacity_Resource,$F80,'Critical resources (hide)'!AU$6:AU$105)&gt;0,$E$1=2),0,1)</f>
        <v>1</v>
      </c>
      <c r="AI80" s="68">
        <f ca="1">IF(AND(SUMIF(Capacity_Resource,$D80,'Critical resources (hide)'!AV$6:AV$105)+SUMIF(Capacity_Resource,$E80,'Critical resources (hide)'!AV$6:AV$105)+SUMIF(Capacity_Resource,$F80,'Critical resources (hide)'!AV$6:AV$105)&gt;0,$E$1=2),0,1)</f>
        <v>1</v>
      </c>
      <c r="AJ80" s="68">
        <f ca="1">IF(AND(SUMIF(Capacity_Resource,$D80,'Critical resources (hide)'!AW$6:AW$105)+SUMIF(Capacity_Resource,$E80,'Critical resources (hide)'!AW$6:AW$105)+SUMIF(Capacity_Resource,$F80,'Critical resources (hide)'!AW$6:AW$105)&gt;0,$E$1=2),0,1)</f>
        <v>1</v>
      </c>
      <c r="AK80" s="68">
        <f ca="1">IF(AND(SUMIF(Capacity_Resource,$D80,'Critical resources (hide)'!AX$6:AX$105)+SUMIF(Capacity_Resource,$E80,'Critical resources (hide)'!AX$6:AX$105)+SUMIF(Capacity_Resource,$F80,'Critical resources (hide)'!AX$6:AX$105)&gt;0,$E$1=2),0,1)</f>
        <v>1</v>
      </c>
      <c r="AL80" s="68">
        <f ca="1">IF(AND(SUMIF(Capacity_Resource,$D80,'Critical resources (hide)'!AY$6:AY$105)+SUMIF(Capacity_Resource,$E80,'Critical resources (hide)'!AY$6:AY$105)+SUMIF(Capacity_Resource,$F80,'Critical resources (hide)'!AY$6:AY$105)&gt;0,$E$1=2),0,1)</f>
        <v>1</v>
      </c>
      <c r="AM80" s="68">
        <f ca="1">IF(AND(SUMIF(Capacity_Resource,$D80,'Critical resources (hide)'!AZ$6:AZ$105)+SUMIF(Capacity_Resource,$E80,'Critical resources (hide)'!AZ$6:AZ$105)+SUMIF(Capacity_Resource,$F80,'Critical resources (hide)'!AZ$6:AZ$105)&gt;0,$E$1=2),0,1)</f>
        <v>1</v>
      </c>
      <c r="AN80" s="68">
        <f ca="1">IF(AND(SUMIF(Capacity_Resource,$D80,'Critical resources (hide)'!BA$6:BA$105)+SUMIF(Capacity_Resource,$E80,'Critical resources (hide)'!BA$6:BA$105)+SUMIF(Capacity_Resource,$F80,'Critical resources (hide)'!BA$6:BA$105)&gt;0,$E$1=2),0,1)</f>
        <v>1</v>
      </c>
      <c r="AO80" s="68">
        <f ca="1">IF(AND(SUMIF(Capacity_Resource,$D80,'Critical resources (hide)'!BB$6:BB$105)+SUMIF(Capacity_Resource,$E80,'Critical resources (hide)'!BB$6:BB$105)+SUMIF(Capacity_Resource,$F80,'Critical resources (hide)'!BB$6:BB$105)&gt;0,$E$1=2),0,1)</f>
        <v>1</v>
      </c>
      <c r="AP80" s="68">
        <f ca="1">IF(AND(SUMIF(Capacity_Resource,$D80,'Critical resources (hide)'!BC$6:BC$105)+SUMIF(Capacity_Resource,$E80,'Critical resources (hide)'!BC$6:BC$105)+SUMIF(Capacity_Resource,$F80,'Critical resources (hide)'!BC$6:BC$105)&gt;0,$E$1=2),0,1)</f>
        <v>1</v>
      </c>
      <c r="AQ80" s="68">
        <f ca="1">IF(AND(SUMIF(Capacity_Resource,$D80,'Critical resources (hide)'!BD$6:BD$105)+SUMIF(Capacity_Resource,$E80,'Critical resources (hide)'!BD$6:BD$105)+SUMIF(Capacity_Resource,$F80,'Critical resources (hide)'!BD$6:BD$105)&gt;0,$E$1=2),0,1)</f>
        <v>1</v>
      </c>
      <c r="AR80" s="68">
        <f ca="1">IF(AND(SUMIF(Capacity_Resource,$D80,'Critical resources (hide)'!BE$6:BE$105)+SUMIF(Capacity_Resource,$E80,'Critical resources (hide)'!BE$6:BE$105)+SUMIF(Capacity_Resource,$F80,'Critical resources (hide)'!BE$6:BE$105)&gt;0,$E$1=2),0,1)</f>
        <v>1</v>
      </c>
      <c r="AS80" s="68">
        <f ca="1">IF(AND(SUMIF(Capacity_Resource,$D80,'Critical resources (hide)'!BF$6:BF$105)+SUMIF(Capacity_Resource,$E80,'Critical resources (hide)'!BF$6:BF$105)+SUMIF(Capacity_Resource,$F80,'Critical resources (hide)'!BF$6:BF$105)&gt;0,$E$1=2),0,1)</f>
        <v>1</v>
      </c>
      <c r="AT80" s="68">
        <f ca="1">IF(AND(SUMIF(Capacity_Resource,$D80,'Critical resources (hide)'!BG$6:BG$105)+SUMIF(Capacity_Resource,$E80,'Critical resources (hide)'!BG$6:BG$105)+SUMIF(Capacity_Resource,$F80,'Critical resources (hide)'!BG$6:BG$105)&gt;0,$E$1=2),0,1)</f>
        <v>1</v>
      </c>
      <c r="AU80" s="68">
        <f ca="1">IF(AND(SUMIF(Capacity_Resource,$D80,'Critical resources (hide)'!BH$6:BH$105)+SUMIF(Capacity_Resource,$E80,'Critical resources (hide)'!BH$6:BH$105)+SUMIF(Capacity_Resource,$F80,'Critical resources (hide)'!BH$6:BH$105)&gt;0,$E$1=2),0,1)</f>
        <v>1</v>
      </c>
      <c r="AV80" s="68">
        <f ca="1">IF(AND(SUMIF(Capacity_Resource,$D80,'Critical resources (hide)'!BI$6:BI$105)+SUMIF(Capacity_Resource,$E80,'Critical resources (hide)'!BI$6:BI$105)+SUMIF(Capacity_Resource,$F80,'Critical resources (hide)'!BI$6:BI$105)&gt;0,$E$1=2),0,1)</f>
        <v>1</v>
      </c>
      <c r="AW80" s="68">
        <f ca="1">IF(AND(SUMIF(Capacity_Resource,$D80,'Critical resources (hide)'!BJ$6:BJ$105)+SUMIF(Capacity_Resource,$E80,'Critical resources (hide)'!BJ$6:BJ$105)+SUMIF(Capacity_Resource,$F80,'Critical resources (hide)'!BJ$6:BJ$105)&gt;0,$E$1=2),0,1)</f>
        <v>1</v>
      </c>
      <c r="AX80" s="68">
        <f ca="1">IF(AND(SUMIF(Capacity_Resource,$D80,'Critical resources (hide)'!BK$6:BK$105)+SUMIF(Capacity_Resource,$E80,'Critical resources (hide)'!BK$6:BK$105)+SUMIF(Capacity_Resource,$F80,'Critical resources (hide)'!BK$6:BK$105)&gt;0,$E$1=2),0,1)</f>
        <v>1</v>
      </c>
      <c r="AY80" s="68">
        <f ca="1">IF(AND(SUMIF(Capacity_Resource,$D80,'Critical resources (hide)'!BL$6:BL$105)+SUMIF(Capacity_Resource,$E80,'Critical resources (hide)'!BL$6:BL$105)+SUMIF(Capacity_Resource,$F80,'Critical resources (hide)'!BL$6:BL$105)&gt;0,$E$1=2),0,1)</f>
        <v>1</v>
      </c>
      <c r="AZ80" s="68">
        <f ca="1">IF(AND(SUMIF(Capacity_Resource,$D80,'Critical resources (hide)'!BM$6:BM$105)+SUMIF(Capacity_Resource,$E80,'Critical resources (hide)'!BM$6:BM$105)+SUMIF(Capacity_Resource,$F80,'Critical resources (hide)'!BM$6:BM$105)&gt;0,$E$1=2),0,1)</f>
        <v>1</v>
      </c>
      <c r="BA80" s="68">
        <f ca="1">IF(AND(SUMIF(Capacity_Resource,$D80,'Critical resources (hide)'!BN$6:BN$105)+SUMIF(Capacity_Resource,$E80,'Critical resources (hide)'!BN$6:BN$105)+SUMIF(Capacity_Resource,$F80,'Critical resources (hide)'!BN$6:BN$105)&gt;0,$E$1=2),0,1)</f>
        <v>1</v>
      </c>
      <c r="BB80" s="68">
        <f ca="1">IF(AND(SUMIF(Capacity_Resource,$D80,'Critical resources (hide)'!BO$6:BO$105)+SUMIF(Capacity_Resource,$E80,'Critical resources (hide)'!BO$6:BO$105)+SUMIF(Capacity_Resource,$F80,'Critical resources (hide)'!BO$6:BO$105)&gt;0,$E$1=2),0,1)</f>
        <v>1</v>
      </c>
      <c r="BC80" s="68">
        <f ca="1">IF(AND(SUMIF(Capacity_Resource,$D80,'Critical resources (hide)'!BP$6:BP$105)+SUMIF(Capacity_Resource,$E80,'Critical resources (hide)'!BP$6:BP$105)+SUMIF(Capacity_Resource,$F80,'Critical resources (hide)'!BP$6:BP$105)&gt;0,$E$1=2),0,1)</f>
        <v>1</v>
      </c>
      <c r="BD80" s="68">
        <f ca="1">IF(AND(SUMIF(Capacity_Resource,$D80,'Critical resources (hide)'!BQ$6:BQ$105)+SUMIF(Capacity_Resource,$E80,'Critical resources (hide)'!BQ$6:BQ$105)+SUMIF(Capacity_Resource,$F80,'Critical resources (hide)'!BQ$6:BQ$105)&gt;0,$E$1=2),0,1)</f>
        <v>1</v>
      </c>
      <c r="BE80" s="68">
        <f ca="1">IF(AND(SUMIF(Capacity_Resource,$D80,'Critical resources (hide)'!BR$6:BR$105)+SUMIF(Capacity_Resource,$E80,'Critical resources (hide)'!BR$6:BR$105)+SUMIF(Capacity_Resource,$F80,'Critical resources (hide)'!BR$6:BR$105)&gt;0,$E$1=2),0,1)</f>
        <v>1</v>
      </c>
      <c r="BF80" s="68">
        <f ca="1">IF(AND(SUMIF(Capacity_Resource,$D80,'Critical resources (hide)'!BS$6:BS$105)+SUMIF(Capacity_Resource,$E80,'Critical resources (hide)'!BS$6:BS$105)+SUMIF(Capacity_Resource,$F80,'Critical resources (hide)'!BS$6:BS$105)&gt;0,$E$1=2),0,1)</f>
        <v>1</v>
      </c>
      <c r="BG80" s="68">
        <f ca="1">IF(AND(SUMIF(Capacity_Resource,$D80,'Critical resources (hide)'!BT$6:BT$105)+SUMIF(Capacity_Resource,$E80,'Critical resources (hide)'!BT$6:BT$105)+SUMIF(Capacity_Resource,$F80,'Critical resources (hide)'!BT$6:BT$105)&gt;0,$E$1=2),0,1)</f>
        <v>1</v>
      </c>
      <c r="BH80" s="68">
        <f>IF(ROW(C76)&lt;=Capacity!$A$16,IF('Capacity summary'!$D$14="No",SUM(H80:BG80),'Capacity summary'!$E199),0)</f>
        <v>0</v>
      </c>
      <c r="BI80" s="5" t="str">
        <f>IF(BH80&gt;0,IF(BH80&lt;Capacity!E92,Capacity!F92,Capacity!H92/'Capacity calculation (hide)'!BH80),"")</f>
        <v/>
      </c>
      <c r="BK80" s="319">
        <f>IF($BI80&lt;&gt;"",IF('Capacity summary'!$D$14="Yes",IF(COUNTBLANK('Capacity summary'!$H199:$BG199)&lt;52,IF('Capacity summary'!H199&lt;&gt;"",$BI80*H80,0),H80*$BI80),H80*$BI80),0)</f>
        <v>0</v>
      </c>
      <c r="BL80" s="319">
        <f>IF($BI80&lt;&gt;"",IF('Capacity summary'!$D$14="Yes",IF(COUNTBLANK('Capacity summary'!$H199:$BG199)&lt;52,IF('Capacity summary'!I199&lt;&gt;"",$BI80*I80,0),I80*$BI80),I80*$BI80),0)</f>
        <v>0</v>
      </c>
      <c r="BM80" s="319">
        <f>IF($BI80&lt;&gt;"",IF('Capacity summary'!$D$14="Yes",IF(COUNTBLANK('Capacity summary'!$H199:$BG199)&lt;52,IF('Capacity summary'!J199&lt;&gt;"",$BI80*J80,0),J80*$BI80),J80*$BI80),0)</f>
        <v>0</v>
      </c>
      <c r="BN80" s="319">
        <f>IF($BI80&lt;&gt;"",IF('Capacity summary'!$D$14="Yes",IF(COUNTBLANK('Capacity summary'!$H199:$BG199)&lt;52,IF('Capacity summary'!K199&lt;&gt;"",$BI80*K80,0),K80*$BI80),K80*$BI80),0)</f>
        <v>0</v>
      </c>
      <c r="BO80" s="319">
        <f>IF($BI80&lt;&gt;"",IF('Capacity summary'!$D$14="Yes",IF(COUNTBLANK('Capacity summary'!$H199:$BG199)&lt;52,IF('Capacity summary'!L199&lt;&gt;"",$BI80*L80,0),L80*$BI80),L80*$BI80),0)</f>
        <v>0</v>
      </c>
      <c r="BP80" s="319">
        <f>IF($BI80&lt;&gt;"",IF('Capacity summary'!$D$14="Yes",IF(COUNTBLANK('Capacity summary'!$H199:$BG199)&lt;52,IF('Capacity summary'!M199&lt;&gt;"",$BI80*M80,0),M80*$BI80),M80*$BI80),0)</f>
        <v>0</v>
      </c>
      <c r="BQ80" s="319">
        <f>IF($BI80&lt;&gt;"",IF('Capacity summary'!$D$14="Yes",IF(COUNTBLANK('Capacity summary'!$H199:$BG199)&lt;52,IF('Capacity summary'!N199&lt;&gt;"",$BI80*N80,0),N80*$BI80),N80*$BI80),0)</f>
        <v>0</v>
      </c>
      <c r="BR80" s="319">
        <f>IF($BI80&lt;&gt;"",IF('Capacity summary'!$D$14="Yes",IF(COUNTBLANK('Capacity summary'!$H199:$BG199)&lt;52,IF('Capacity summary'!O199&lt;&gt;"",$BI80*O80,0),O80*$BI80),O80*$BI80),0)</f>
        <v>0</v>
      </c>
      <c r="BS80" s="319">
        <f>IF($BI80&lt;&gt;"",IF('Capacity summary'!$D$14="Yes",IF(COUNTBLANK('Capacity summary'!$H199:$BG199)&lt;52,IF('Capacity summary'!P199&lt;&gt;"",$BI80*P80,0),P80*$BI80),P80*$BI80),0)</f>
        <v>0</v>
      </c>
      <c r="BT80" s="319">
        <f>IF($BI80&lt;&gt;"",IF('Capacity summary'!$D$14="Yes",IF(COUNTBLANK('Capacity summary'!$H199:$BG199)&lt;52,IF('Capacity summary'!Q199&lt;&gt;"",$BI80*Q80,0),Q80*$BI80),Q80*$BI80),0)</f>
        <v>0</v>
      </c>
      <c r="BU80" s="319">
        <f>IF($BI80&lt;&gt;"",IF('Capacity summary'!$D$14="Yes",IF(COUNTBLANK('Capacity summary'!$H199:$BG199)&lt;52,IF('Capacity summary'!R199&lt;&gt;"",$BI80*R80,0),R80*$BI80),R80*$BI80),0)</f>
        <v>0</v>
      </c>
      <c r="BV80" s="319">
        <f>IF($BI80&lt;&gt;"",IF('Capacity summary'!$D$14="Yes",IF(COUNTBLANK('Capacity summary'!$H199:$BG199)&lt;52,IF('Capacity summary'!S199&lt;&gt;"",$BI80*S80,0),S80*$BI80),S80*$BI80),0)</f>
        <v>0</v>
      </c>
      <c r="BW80" s="319">
        <f>IF($BI80&lt;&gt;"",IF('Capacity summary'!$D$14="Yes",IF(COUNTBLANK('Capacity summary'!$H199:$BG199)&lt;52,IF('Capacity summary'!T199&lt;&gt;"",$BI80*T80,0),T80*$BI80),T80*$BI80),0)</f>
        <v>0</v>
      </c>
      <c r="BX80" s="319">
        <f>IF($BI80&lt;&gt;"",IF('Capacity summary'!$D$14="Yes",IF(COUNTBLANK('Capacity summary'!$H199:$BG199)&lt;52,IF('Capacity summary'!U199&lt;&gt;"",$BI80*U80,0),U80*$BI80),U80*$BI80),0)</f>
        <v>0</v>
      </c>
      <c r="BY80" s="319">
        <f>IF($BI80&lt;&gt;"",IF('Capacity summary'!$D$14="Yes",IF(COUNTBLANK('Capacity summary'!$H199:$BG199)&lt;52,IF('Capacity summary'!V199&lt;&gt;"",$BI80*V80,0),V80*$BI80),V80*$BI80),0)</f>
        <v>0</v>
      </c>
      <c r="BZ80" s="319">
        <f>IF($BI80&lt;&gt;"",IF('Capacity summary'!$D$14="Yes",IF(COUNTBLANK('Capacity summary'!$H199:$BG199)&lt;52,IF('Capacity summary'!W199&lt;&gt;"",$BI80*W80,0),W80*$BI80),W80*$BI80),0)</f>
        <v>0</v>
      </c>
      <c r="CA80" s="319">
        <f>IF($BI80&lt;&gt;"",IF('Capacity summary'!$D$14="Yes",IF(COUNTBLANK('Capacity summary'!$H199:$BG199)&lt;52,IF('Capacity summary'!X199&lt;&gt;"",$BI80*X80,0),X80*$BI80),X80*$BI80),0)</f>
        <v>0</v>
      </c>
      <c r="CB80" s="319">
        <f>IF($BI80&lt;&gt;"",IF('Capacity summary'!$D$14="Yes",IF(COUNTBLANK('Capacity summary'!$H199:$BG199)&lt;52,IF('Capacity summary'!Y199&lt;&gt;"",$BI80*Y80,0),Y80*$BI80),Y80*$BI80),0)</f>
        <v>0</v>
      </c>
      <c r="CC80" s="319">
        <f>IF($BI80&lt;&gt;"",IF('Capacity summary'!$D$14="Yes",IF(COUNTBLANK('Capacity summary'!$H199:$BG199)&lt;52,IF('Capacity summary'!Z199&lt;&gt;"",$BI80*Z80,0),Z80*$BI80),Z80*$BI80),0)</f>
        <v>0</v>
      </c>
      <c r="CD80" s="319">
        <f>IF($BI80&lt;&gt;"",IF('Capacity summary'!$D$14="Yes",IF(COUNTBLANK('Capacity summary'!$H199:$BG199)&lt;52,IF('Capacity summary'!AA199&lt;&gt;"",$BI80*AA80,0),AA80*$BI80),AA80*$BI80),0)</f>
        <v>0</v>
      </c>
      <c r="CE80" s="319">
        <f>IF($BI80&lt;&gt;"",IF('Capacity summary'!$D$14="Yes",IF(COUNTBLANK('Capacity summary'!$H199:$BG199)&lt;52,IF('Capacity summary'!AB199&lt;&gt;"",$BI80*AB80,0),AB80*$BI80),AB80*$BI80),0)</f>
        <v>0</v>
      </c>
      <c r="CF80" s="319">
        <f>IF($BI80&lt;&gt;"",IF('Capacity summary'!$D$14="Yes",IF(COUNTBLANK('Capacity summary'!$H199:$BG199)&lt;52,IF('Capacity summary'!AC199&lt;&gt;"",$BI80*AC80,0),AC80*$BI80),AC80*$BI80),0)</f>
        <v>0</v>
      </c>
      <c r="CG80" s="319">
        <f>IF($BI80&lt;&gt;"",IF('Capacity summary'!$D$14="Yes",IF(COUNTBLANK('Capacity summary'!$H199:$BG199)&lt;52,IF('Capacity summary'!AD199&lt;&gt;"",$BI80*AD80,0),AD80*$BI80),AD80*$BI80),0)</f>
        <v>0</v>
      </c>
      <c r="CH80" s="319">
        <f>IF($BI80&lt;&gt;"",IF('Capacity summary'!$D$14="Yes",IF(COUNTBLANK('Capacity summary'!$H199:$BG199)&lt;52,IF('Capacity summary'!AE199&lt;&gt;"",$BI80*AE80,0),AE80*$BI80),AE80*$BI80),0)</f>
        <v>0</v>
      </c>
      <c r="CI80" s="319">
        <f>IF($BI80&lt;&gt;"",IF('Capacity summary'!$D$14="Yes",IF(COUNTBLANK('Capacity summary'!$H199:$BG199)&lt;52,IF('Capacity summary'!AF199&lt;&gt;"",$BI80*AF80,0),AF80*$BI80),AF80*$BI80),0)</f>
        <v>0</v>
      </c>
      <c r="CJ80" s="319">
        <f>IF($BI80&lt;&gt;"",IF('Capacity summary'!$D$14="Yes",IF(COUNTBLANK('Capacity summary'!$H199:$BG199)&lt;52,IF('Capacity summary'!AG199&lt;&gt;"",$BI80*AG80,0),AG80*$BI80),AG80*$BI80),0)</f>
        <v>0</v>
      </c>
      <c r="CK80" s="319">
        <f>IF($BI80&lt;&gt;"",IF('Capacity summary'!$D$14="Yes",IF(COUNTBLANK('Capacity summary'!$H199:$BG199)&lt;52,IF('Capacity summary'!AH199&lt;&gt;"",$BI80*AH80,0),AH80*$BI80),AH80*$BI80),0)</f>
        <v>0</v>
      </c>
      <c r="CL80" s="319">
        <f>IF($BI80&lt;&gt;"",IF('Capacity summary'!$D$14="Yes",IF(COUNTBLANK('Capacity summary'!$H199:$BG199)&lt;52,IF('Capacity summary'!AI199&lt;&gt;"",$BI80*AI80,0),AI80*$BI80),AI80*$BI80),0)</f>
        <v>0</v>
      </c>
      <c r="CM80" s="319">
        <f>IF($BI80&lt;&gt;"",IF('Capacity summary'!$D$14="Yes",IF(COUNTBLANK('Capacity summary'!$H199:$BG199)&lt;52,IF('Capacity summary'!AJ199&lt;&gt;"",$BI80*AJ80,0),AJ80*$BI80),AJ80*$BI80),0)</f>
        <v>0</v>
      </c>
      <c r="CN80" s="319">
        <f>IF($BI80&lt;&gt;"",IF('Capacity summary'!$D$14="Yes",IF(COUNTBLANK('Capacity summary'!$H199:$BG199)&lt;52,IF('Capacity summary'!AK199&lt;&gt;"",$BI80*AK80,0),AK80*$BI80),AK80*$BI80),0)</f>
        <v>0</v>
      </c>
      <c r="CO80" s="319">
        <f>IF($BI80&lt;&gt;"",IF('Capacity summary'!$D$14="Yes",IF(COUNTBLANK('Capacity summary'!$H199:$BG199)&lt;52,IF('Capacity summary'!AL199&lt;&gt;"",$BI80*AL80,0),AL80*$BI80),AL80*$BI80),0)</f>
        <v>0</v>
      </c>
      <c r="CP80" s="319">
        <f>IF($BI80&lt;&gt;"",IF('Capacity summary'!$D$14="Yes",IF(COUNTBLANK('Capacity summary'!$H199:$BG199)&lt;52,IF('Capacity summary'!AM199&lt;&gt;"",$BI80*AM80,0),AM80*$BI80),AM80*$BI80),0)</f>
        <v>0</v>
      </c>
      <c r="CQ80" s="319">
        <f>IF($BI80&lt;&gt;"",IF('Capacity summary'!$D$14="Yes",IF(COUNTBLANK('Capacity summary'!$H199:$BG199)&lt;52,IF('Capacity summary'!AN199&lt;&gt;"",$BI80*AN80,0),AN80*$BI80),AN80*$BI80),0)</f>
        <v>0</v>
      </c>
      <c r="CR80" s="319">
        <f>IF($BI80&lt;&gt;"",IF('Capacity summary'!$D$14="Yes",IF(COUNTBLANK('Capacity summary'!$H199:$BG199)&lt;52,IF('Capacity summary'!AO199&lt;&gt;"",$BI80*AO80,0),AO80*$BI80),AO80*$BI80),0)</f>
        <v>0</v>
      </c>
      <c r="CS80" s="319">
        <f>IF($BI80&lt;&gt;"",IF('Capacity summary'!$D$14="Yes",IF(COUNTBLANK('Capacity summary'!$H199:$BG199)&lt;52,IF('Capacity summary'!AP199&lt;&gt;"",$BI80*AP80,0),AP80*$BI80),AP80*$BI80),0)</f>
        <v>0</v>
      </c>
      <c r="CT80" s="319">
        <f>IF($BI80&lt;&gt;"",IF('Capacity summary'!$D$14="Yes",IF(COUNTBLANK('Capacity summary'!$H199:$BG199)&lt;52,IF('Capacity summary'!AQ199&lt;&gt;"",$BI80*AQ80,0),AQ80*$BI80),AQ80*$BI80),0)</f>
        <v>0</v>
      </c>
      <c r="CU80" s="319">
        <f>IF($BI80&lt;&gt;"",IF('Capacity summary'!$D$14="Yes",IF(COUNTBLANK('Capacity summary'!$H199:$BG199)&lt;52,IF('Capacity summary'!AR199&lt;&gt;"",$BI80*AR80,0),AR80*$BI80),AR80*$BI80),0)</f>
        <v>0</v>
      </c>
      <c r="CV80" s="319">
        <f>IF($BI80&lt;&gt;"",IF('Capacity summary'!$D$14="Yes",IF(COUNTBLANK('Capacity summary'!$H199:$BG199)&lt;52,IF('Capacity summary'!AS199&lt;&gt;"",$BI80*AS80,0),AS80*$BI80),AS80*$BI80),0)</f>
        <v>0</v>
      </c>
      <c r="CW80" s="319">
        <f>IF($BI80&lt;&gt;"",IF('Capacity summary'!$D$14="Yes",IF(COUNTBLANK('Capacity summary'!$H199:$BG199)&lt;52,IF('Capacity summary'!AT199&lt;&gt;"",$BI80*AT80,0),AT80*$BI80),AT80*$BI80),0)</f>
        <v>0</v>
      </c>
      <c r="CX80" s="319">
        <f>IF($BI80&lt;&gt;"",IF('Capacity summary'!$D$14="Yes",IF(COUNTBLANK('Capacity summary'!$H199:$BG199)&lt;52,IF('Capacity summary'!AU199&lt;&gt;"",$BI80*AU80,0),AU80*$BI80),AU80*$BI80),0)</f>
        <v>0</v>
      </c>
      <c r="CY80" s="319">
        <f>IF($BI80&lt;&gt;"",IF('Capacity summary'!$D$14="Yes",IF(COUNTBLANK('Capacity summary'!$H199:$BG199)&lt;52,IF('Capacity summary'!AV199&lt;&gt;"",$BI80*AV80,0),AV80*$BI80),AV80*$BI80),0)</f>
        <v>0</v>
      </c>
      <c r="CZ80" s="319">
        <f>IF($BI80&lt;&gt;"",IF('Capacity summary'!$D$14="Yes",IF(COUNTBLANK('Capacity summary'!$H199:$BG199)&lt;52,IF('Capacity summary'!AW199&lt;&gt;"",$BI80*AW80,0),AW80*$BI80),AW80*$BI80),0)</f>
        <v>0</v>
      </c>
      <c r="DA80" s="319">
        <f>IF($BI80&lt;&gt;"",IF('Capacity summary'!$D$14="Yes",IF(COUNTBLANK('Capacity summary'!$H199:$BG199)&lt;52,IF('Capacity summary'!AX199&lt;&gt;"",$BI80*AX80,0),AX80*$BI80),AX80*$BI80),0)</f>
        <v>0</v>
      </c>
      <c r="DB80" s="319">
        <f>IF($BI80&lt;&gt;"",IF('Capacity summary'!$D$14="Yes",IF(COUNTBLANK('Capacity summary'!$H199:$BG199)&lt;52,IF('Capacity summary'!AY199&lt;&gt;"",$BI80*AY80,0),AY80*$BI80),AY80*$BI80),0)</f>
        <v>0</v>
      </c>
      <c r="DC80" s="319">
        <f>IF($BI80&lt;&gt;"",IF('Capacity summary'!$D$14="Yes",IF(COUNTBLANK('Capacity summary'!$H199:$BG199)&lt;52,IF('Capacity summary'!AZ199&lt;&gt;"",$BI80*AZ80,0),AZ80*$BI80),AZ80*$BI80),0)</f>
        <v>0</v>
      </c>
      <c r="DD80" s="319">
        <f>IF($BI80&lt;&gt;"",IF('Capacity summary'!$D$14="Yes",IF(COUNTBLANK('Capacity summary'!$H199:$BG199)&lt;52,IF('Capacity summary'!BA199&lt;&gt;"",$BI80*BA80,0),BA80*$BI80),BA80*$BI80),0)</f>
        <v>0</v>
      </c>
      <c r="DE80" s="319">
        <f>IF($BI80&lt;&gt;"",IF('Capacity summary'!$D$14="Yes",IF(COUNTBLANK('Capacity summary'!$H199:$BG199)&lt;52,IF('Capacity summary'!BB199&lt;&gt;"",$BI80*BB80,0),BB80*$BI80),BB80*$BI80),0)</f>
        <v>0</v>
      </c>
      <c r="DF80" s="319">
        <f>IF($BI80&lt;&gt;"",IF('Capacity summary'!$D$14="Yes",IF(COUNTBLANK('Capacity summary'!$H199:$BG199)&lt;52,IF('Capacity summary'!BC199&lt;&gt;"",$BI80*BC80,0),BC80*$BI80),BC80*$BI80),0)</f>
        <v>0</v>
      </c>
      <c r="DG80" s="319">
        <f>IF($BI80&lt;&gt;"",IF('Capacity summary'!$D$14="Yes",IF(COUNTBLANK('Capacity summary'!$H199:$BG199)&lt;52,IF('Capacity summary'!BD199&lt;&gt;"",$BI80*BD80,0),BD80*$BI80),BD80*$BI80),0)</f>
        <v>0</v>
      </c>
      <c r="DH80" s="319">
        <f>IF($BI80&lt;&gt;"",IF('Capacity summary'!$D$14="Yes",IF(COUNTBLANK('Capacity summary'!$H199:$BG199)&lt;52,IF('Capacity summary'!BE199&lt;&gt;"",$BI80*BE80,0),BE80*$BI80),BE80*$BI80),0)</f>
        <v>0</v>
      </c>
      <c r="DI80" s="319">
        <f>IF($BI80&lt;&gt;"",IF('Capacity summary'!$D$14="Yes",IF(COUNTBLANK('Capacity summary'!$H199:$BG199)&lt;52,IF('Capacity summary'!BF199&lt;&gt;"",$BI80*BF80,0),BF80*$BI80),BF80*$BI80),0)</f>
        <v>0</v>
      </c>
      <c r="DJ80" s="319">
        <f>IF($BI80&lt;&gt;"",IF('Capacity summary'!$D$14="Yes",IF(COUNTBLANK('Capacity summary'!$H199:$BG199)&lt;52,IF('Capacity summary'!BG199&lt;&gt;"",$BI80*BG80,0),BG80*$BI80),BG80*$BI80),0)</f>
        <v>0</v>
      </c>
      <c r="DK80" s="5">
        <f t="shared" si="3"/>
        <v>0</v>
      </c>
      <c r="DL80" s="5" t="str">
        <f>Capacity!H92</f>
        <v/>
      </c>
    </row>
    <row r="81" spans="2:116" x14ac:dyDescent="0.2">
      <c r="B81" s="68"/>
      <c r="C81" s="68" t="str">
        <f>ROW(A77)&amp;". "&amp;Capacity!B93</f>
        <v xml:space="preserve">77. </v>
      </c>
      <c r="D81" s="68">
        <f>'Capacity setup'!C88</f>
        <v>0</v>
      </c>
      <c r="E81" s="68">
        <f>'Capacity setup'!D88</f>
        <v>0</v>
      </c>
      <c r="F81" s="68">
        <f>'Capacity setup'!E88</f>
        <v>0</v>
      </c>
      <c r="H81" s="68">
        <f ca="1">IF(AND(SUMIF(Capacity_Resource,$D81,'Critical resources (hide)'!U$6:U$105)+SUMIF(Capacity_Resource,$E81,'Critical resources (hide)'!U$6:U$105)+SUMIF(Capacity_Resource,$F81,'Critical resources (hide)'!U$6:U$105)&gt;0,$E$1=2),0,1)</f>
        <v>1</v>
      </c>
      <c r="I81" s="68">
        <f ca="1">IF(AND(SUMIF(Capacity_Resource,$D81,'Critical resources (hide)'!V$6:V$105)+SUMIF(Capacity_Resource,$E81,'Critical resources (hide)'!V$6:V$105)+SUMIF(Capacity_Resource,$F81,'Critical resources (hide)'!V$6:V$105)&gt;0,$E$1=2),0,1)</f>
        <v>1</v>
      </c>
      <c r="J81" s="68">
        <f ca="1">IF(AND(SUMIF(Capacity_Resource,$D81,'Critical resources (hide)'!W$6:W$105)+SUMIF(Capacity_Resource,$E81,'Critical resources (hide)'!W$6:W$105)+SUMIF(Capacity_Resource,$F81,'Critical resources (hide)'!W$6:W$105)&gt;0,$E$1=2),0,1)</f>
        <v>1</v>
      </c>
      <c r="K81" s="68">
        <f ca="1">IF(AND(SUMIF(Capacity_Resource,$D81,'Critical resources (hide)'!X$6:X$105)+SUMIF(Capacity_Resource,$E81,'Critical resources (hide)'!X$6:X$105)+SUMIF(Capacity_Resource,$F81,'Critical resources (hide)'!X$6:X$105)&gt;0,$E$1=2),0,1)</f>
        <v>1</v>
      </c>
      <c r="L81" s="68">
        <f ca="1">IF(AND(SUMIF(Capacity_Resource,$D81,'Critical resources (hide)'!Y$6:Y$105)+SUMIF(Capacity_Resource,$E81,'Critical resources (hide)'!Y$6:Y$105)+SUMIF(Capacity_Resource,$F81,'Critical resources (hide)'!Y$6:Y$105)&gt;0,$E$1=2),0,1)</f>
        <v>1</v>
      </c>
      <c r="M81" s="68">
        <f ca="1">IF(AND(SUMIF(Capacity_Resource,$D81,'Critical resources (hide)'!Z$6:Z$105)+SUMIF(Capacity_Resource,$E81,'Critical resources (hide)'!Z$6:Z$105)+SUMIF(Capacity_Resource,$F81,'Critical resources (hide)'!Z$6:Z$105)&gt;0,$E$1=2),0,1)</f>
        <v>1</v>
      </c>
      <c r="N81" s="68">
        <f ca="1">IF(AND(SUMIF(Capacity_Resource,$D81,'Critical resources (hide)'!AA$6:AA$105)+SUMIF(Capacity_Resource,$E81,'Critical resources (hide)'!AA$6:AA$105)+SUMIF(Capacity_Resource,$F81,'Critical resources (hide)'!AA$6:AA$105)&gt;0,$E$1=2),0,1)</f>
        <v>1</v>
      </c>
      <c r="O81" s="68">
        <f ca="1">IF(AND(SUMIF(Capacity_Resource,$D81,'Critical resources (hide)'!AB$6:AB$105)+SUMIF(Capacity_Resource,$E81,'Critical resources (hide)'!AB$6:AB$105)+SUMIF(Capacity_Resource,$F81,'Critical resources (hide)'!AB$6:AB$105)&gt;0,$E$1=2),0,1)</f>
        <v>1</v>
      </c>
      <c r="P81" s="68">
        <f ca="1">IF(AND(SUMIF(Capacity_Resource,$D81,'Critical resources (hide)'!AC$6:AC$105)+SUMIF(Capacity_Resource,$E81,'Critical resources (hide)'!AC$6:AC$105)+SUMIF(Capacity_Resource,$F81,'Critical resources (hide)'!AC$6:AC$105)&gt;0,$E$1=2),0,1)</f>
        <v>1</v>
      </c>
      <c r="Q81" s="68">
        <f ca="1">IF(AND(SUMIF(Capacity_Resource,$D81,'Critical resources (hide)'!AD$6:AD$105)+SUMIF(Capacity_Resource,$E81,'Critical resources (hide)'!AD$6:AD$105)+SUMIF(Capacity_Resource,$F81,'Critical resources (hide)'!AD$6:AD$105)&gt;0,$E$1=2),0,1)</f>
        <v>1</v>
      </c>
      <c r="R81" s="68">
        <f ca="1">IF(AND(SUMIF(Capacity_Resource,$D81,'Critical resources (hide)'!AE$6:AE$105)+SUMIF(Capacity_Resource,$E81,'Critical resources (hide)'!AE$6:AE$105)+SUMIF(Capacity_Resource,$F81,'Critical resources (hide)'!AE$6:AE$105)&gt;0,$E$1=2),0,1)</f>
        <v>1</v>
      </c>
      <c r="S81" s="68">
        <f ca="1">IF(AND(SUMIF(Capacity_Resource,$D81,'Critical resources (hide)'!AF$6:AF$105)+SUMIF(Capacity_Resource,$E81,'Critical resources (hide)'!AF$6:AF$105)+SUMIF(Capacity_Resource,$F81,'Critical resources (hide)'!AF$6:AF$105)&gt;0,$E$1=2),0,1)</f>
        <v>1</v>
      </c>
      <c r="T81" s="68">
        <f ca="1">IF(AND(SUMIF(Capacity_Resource,$D81,'Critical resources (hide)'!AG$6:AG$105)+SUMIF(Capacity_Resource,$E81,'Critical resources (hide)'!AG$6:AG$105)+SUMIF(Capacity_Resource,$F81,'Critical resources (hide)'!AG$6:AG$105)&gt;0,$E$1=2),0,1)</f>
        <v>1</v>
      </c>
      <c r="U81" s="68">
        <f ca="1">IF(AND(SUMIF(Capacity_Resource,$D81,'Critical resources (hide)'!AH$6:AH$105)+SUMIF(Capacity_Resource,$E81,'Critical resources (hide)'!AH$6:AH$105)+SUMIF(Capacity_Resource,$F81,'Critical resources (hide)'!AH$6:AH$105)&gt;0,$E$1=2),0,1)</f>
        <v>1</v>
      </c>
      <c r="V81" s="68">
        <f ca="1">IF(AND(SUMIF(Capacity_Resource,$D81,'Critical resources (hide)'!AI$6:AI$105)+SUMIF(Capacity_Resource,$E81,'Critical resources (hide)'!AI$6:AI$105)+SUMIF(Capacity_Resource,$F81,'Critical resources (hide)'!AI$6:AI$105)&gt;0,$E$1=2),0,1)</f>
        <v>1</v>
      </c>
      <c r="W81" s="68">
        <f ca="1">IF(AND(SUMIF(Capacity_Resource,$D81,'Critical resources (hide)'!AJ$6:AJ$105)+SUMIF(Capacity_Resource,$E81,'Critical resources (hide)'!AJ$6:AJ$105)+SUMIF(Capacity_Resource,$F81,'Critical resources (hide)'!AJ$6:AJ$105)&gt;0,$E$1=2),0,1)</f>
        <v>1</v>
      </c>
      <c r="X81" s="68">
        <f ca="1">IF(AND(SUMIF(Capacity_Resource,$D81,'Critical resources (hide)'!AK$6:AK$105)+SUMIF(Capacity_Resource,$E81,'Critical resources (hide)'!AK$6:AK$105)+SUMIF(Capacity_Resource,$F81,'Critical resources (hide)'!AK$6:AK$105)&gt;0,$E$1=2),0,1)</f>
        <v>1</v>
      </c>
      <c r="Y81" s="68">
        <f ca="1">IF(AND(SUMIF(Capacity_Resource,$D81,'Critical resources (hide)'!AL$6:AL$105)+SUMIF(Capacity_Resource,$E81,'Critical resources (hide)'!AL$6:AL$105)+SUMIF(Capacity_Resource,$F81,'Critical resources (hide)'!AL$6:AL$105)&gt;0,$E$1=2),0,1)</f>
        <v>1</v>
      </c>
      <c r="Z81" s="68">
        <f ca="1">IF(AND(SUMIF(Capacity_Resource,$D81,'Critical resources (hide)'!AM$6:AM$105)+SUMIF(Capacity_Resource,$E81,'Critical resources (hide)'!AM$6:AM$105)+SUMIF(Capacity_Resource,$F81,'Critical resources (hide)'!AM$6:AM$105)&gt;0,$E$1=2),0,1)</f>
        <v>1</v>
      </c>
      <c r="AA81" s="68">
        <f ca="1">IF(AND(SUMIF(Capacity_Resource,$D81,'Critical resources (hide)'!AN$6:AN$105)+SUMIF(Capacity_Resource,$E81,'Critical resources (hide)'!AN$6:AN$105)+SUMIF(Capacity_Resource,$F81,'Critical resources (hide)'!AN$6:AN$105)&gt;0,$E$1=2),0,1)</f>
        <v>1</v>
      </c>
      <c r="AB81" s="68">
        <f ca="1">IF(AND(SUMIF(Capacity_Resource,$D81,'Critical resources (hide)'!AO$6:AO$105)+SUMIF(Capacity_Resource,$E81,'Critical resources (hide)'!AO$6:AO$105)+SUMIF(Capacity_Resource,$F81,'Critical resources (hide)'!AO$6:AO$105)&gt;0,$E$1=2),0,1)</f>
        <v>1</v>
      </c>
      <c r="AC81" s="68">
        <f ca="1">IF(AND(SUMIF(Capacity_Resource,$D81,'Critical resources (hide)'!AP$6:AP$105)+SUMIF(Capacity_Resource,$E81,'Critical resources (hide)'!AP$6:AP$105)+SUMIF(Capacity_Resource,$F81,'Critical resources (hide)'!AP$6:AP$105)&gt;0,$E$1=2),0,1)</f>
        <v>1</v>
      </c>
      <c r="AD81" s="68">
        <f ca="1">IF(AND(SUMIF(Capacity_Resource,$D81,'Critical resources (hide)'!AQ$6:AQ$105)+SUMIF(Capacity_Resource,$E81,'Critical resources (hide)'!AQ$6:AQ$105)+SUMIF(Capacity_Resource,$F81,'Critical resources (hide)'!AQ$6:AQ$105)&gt;0,$E$1=2),0,1)</f>
        <v>1</v>
      </c>
      <c r="AE81" s="68">
        <f ca="1">IF(AND(SUMIF(Capacity_Resource,$D81,'Critical resources (hide)'!AR$6:AR$105)+SUMIF(Capacity_Resource,$E81,'Critical resources (hide)'!AR$6:AR$105)+SUMIF(Capacity_Resource,$F81,'Critical resources (hide)'!AR$6:AR$105)&gt;0,$E$1=2),0,1)</f>
        <v>1</v>
      </c>
      <c r="AF81" s="68">
        <f ca="1">IF(AND(SUMIF(Capacity_Resource,$D81,'Critical resources (hide)'!AS$6:AS$105)+SUMIF(Capacity_Resource,$E81,'Critical resources (hide)'!AS$6:AS$105)+SUMIF(Capacity_Resource,$F81,'Critical resources (hide)'!AS$6:AS$105)&gt;0,$E$1=2),0,1)</f>
        <v>1</v>
      </c>
      <c r="AG81" s="68">
        <f ca="1">IF(AND(SUMIF(Capacity_Resource,$D81,'Critical resources (hide)'!AT$6:AT$105)+SUMIF(Capacity_Resource,$E81,'Critical resources (hide)'!AT$6:AT$105)+SUMIF(Capacity_Resource,$F81,'Critical resources (hide)'!AT$6:AT$105)&gt;0,$E$1=2),0,1)</f>
        <v>1</v>
      </c>
      <c r="AH81" s="68">
        <f ca="1">IF(AND(SUMIF(Capacity_Resource,$D81,'Critical resources (hide)'!AU$6:AU$105)+SUMIF(Capacity_Resource,$E81,'Critical resources (hide)'!AU$6:AU$105)+SUMIF(Capacity_Resource,$F81,'Critical resources (hide)'!AU$6:AU$105)&gt;0,$E$1=2),0,1)</f>
        <v>1</v>
      </c>
      <c r="AI81" s="68">
        <f ca="1">IF(AND(SUMIF(Capacity_Resource,$D81,'Critical resources (hide)'!AV$6:AV$105)+SUMIF(Capacity_Resource,$E81,'Critical resources (hide)'!AV$6:AV$105)+SUMIF(Capacity_Resource,$F81,'Critical resources (hide)'!AV$6:AV$105)&gt;0,$E$1=2),0,1)</f>
        <v>1</v>
      </c>
      <c r="AJ81" s="68">
        <f ca="1">IF(AND(SUMIF(Capacity_Resource,$D81,'Critical resources (hide)'!AW$6:AW$105)+SUMIF(Capacity_Resource,$E81,'Critical resources (hide)'!AW$6:AW$105)+SUMIF(Capacity_Resource,$F81,'Critical resources (hide)'!AW$6:AW$105)&gt;0,$E$1=2),0,1)</f>
        <v>1</v>
      </c>
      <c r="AK81" s="68">
        <f ca="1">IF(AND(SUMIF(Capacity_Resource,$D81,'Critical resources (hide)'!AX$6:AX$105)+SUMIF(Capacity_Resource,$E81,'Critical resources (hide)'!AX$6:AX$105)+SUMIF(Capacity_Resource,$F81,'Critical resources (hide)'!AX$6:AX$105)&gt;0,$E$1=2),0,1)</f>
        <v>1</v>
      </c>
      <c r="AL81" s="68">
        <f ca="1">IF(AND(SUMIF(Capacity_Resource,$D81,'Critical resources (hide)'!AY$6:AY$105)+SUMIF(Capacity_Resource,$E81,'Critical resources (hide)'!AY$6:AY$105)+SUMIF(Capacity_Resource,$F81,'Critical resources (hide)'!AY$6:AY$105)&gt;0,$E$1=2),0,1)</f>
        <v>1</v>
      </c>
      <c r="AM81" s="68">
        <f ca="1">IF(AND(SUMIF(Capacity_Resource,$D81,'Critical resources (hide)'!AZ$6:AZ$105)+SUMIF(Capacity_Resource,$E81,'Critical resources (hide)'!AZ$6:AZ$105)+SUMIF(Capacity_Resource,$F81,'Critical resources (hide)'!AZ$6:AZ$105)&gt;0,$E$1=2),0,1)</f>
        <v>1</v>
      </c>
      <c r="AN81" s="68">
        <f ca="1">IF(AND(SUMIF(Capacity_Resource,$D81,'Critical resources (hide)'!BA$6:BA$105)+SUMIF(Capacity_Resource,$E81,'Critical resources (hide)'!BA$6:BA$105)+SUMIF(Capacity_Resource,$F81,'Critical resources (hide)'!BA$6:BA$105)&gt;0,$E$1=2),0,1)</f>
        <v>1</v>
      </c>
      <c r="AO81" s="68">
        <f ca="1">IF(AND(SUMIF(Capacity_Resource,$D81,'Critical resources (hide)'!BB$6:BB$105)+SUMIF(Capacity_Resource,$E81,'Critical resources (hide)'!BB$6:BB$105)+SUMIF(Capacity_Resource,$F81,'Critical resources (hide)'!BB$6:BB$105)&gt;0,$E$1=2),0,1)</f>
        <v>1</v>
      </c>
      <c r="AP81" s="68">
        <f ca="1">IF(AND(SUMIF(Capacity_Resource,$D81,'Critical resources (hide)'!BC$6:BC$105)+SUMIF(Capacity_Resource,$E81,'Critical resources (hide)'!BC$6:BC$105)+SUMIF(Capacity_Resource,$F81,'Critical resources (hide)'!BC$6:BC$105)&gt;0,$E$1=2),0,1)</f>
        <v>1</v>
      </c>
      <c r="AQ81" s="68">
        <f ca="1">IF(AND(SUMIF(Capacity_Resource,$D81,'Critical resources (hide)'!BD$6:BD$105)+SUMIF(Capacity_Resource,$E81,'Critical resources (hide)'!BD$6:BD$105)+SUMIF(Capacity_Resource,$F81,'Critical resources (hide)'!BD$6:BD$105)&gt;0,$E$1=2),0,1)</f>
        <v>1</v>
      </c>
      <c r="AR81" s="68">
        <f ca="1">IF(AND(SUMIF(Capacity_Resource,$D81,'Critical resources (hide)'!BE$6:BE$105)+SUMIF(Capacity_Resource,$E81,'Critical resources (hide)'!BE$6:BE$105)+SUMIF(Capacity_Resource,$F81,'Critical resources (hide)'!BE$6:BE$105)&gt;0,$E$1=2),0,1)</f>
        <v>1</v>
      </c>
      <c r="AS81" s="68">
        <f ca="1">IF(AND(SUMIF(Capacity_Resource,$D81,'Critical resources (hide)'!BF$6:BF$105)+SUMIF(Capacity_Resource,$E81,'Critical resources (hide)'!BF$6:BF$105)+SUMIF(Capacity_Resource,$F81,'Critical resources (hide)'!BF$6:BF$105)&gt;0,$E$1=2),0,1)</f>
        <v>1</v>
      </c>
      <c r="AT81" s="68">
        <f ca="1">IF(AND(SUMIF(Capacity_Resource,$D81,'Critical resources (hide)'!BG$6:BG$105)+SUMIF(Capacity_Resource,$E81,'Critical resources (hide)'!BG$6:BG$105)+SUMIF(Capacity_Resource,$F81,'Critical resources (hide)'!BG$6:BG$105)&gt;0,$E$1=2),0,1)</f>
        <v>1</v>
      </c>
      <c r="AU81" s="68">
        <f ca="1">IF(AND(SUMIF(Capacity_Resource,$D81,'Critical resources (hide)'!BH$6:BH$105)+SUMIF(Capacity_Resource,$E81,'Critical resources (hide)'!BH$6:BH$105)+SUMIF(Capacity_Resource,$F81,'Critical resources (hide)'!BH$6:BH$105)&gt;0,$E$1=2),0,1)</f>
        <v>1</v>
      </c>
      <c r="AV81" s="68">
        <f ca="1">IF(AND(SUMIF(Capacity_Resource,$D81,'Critical resources (hide)'!BI$6:BI$105)+SUMIF(Capacity_Resource,$E81,'Critical resources (hide)'!BI$6:BI$105)+SUMIF(Capacity_Resource,$F81,'Critical resources (hide)'!BI$6:BI$105)&gt;0,$E$1=2),0,1)</f>
        <v>1</v>
      </c>
      <c r="AW81" s="68">
        <f ca="1">IF(AND(SUMIF(Capacity_Resource,$D81,'Critical resources (hide)'!BJ$6:BJ$105)+SUMIF(Capacity_Resource,$E81,'Critical resources (hide)'!BJ$6:BJ$105)+SUMIF(Capacity_Resource,$F81,'Critical resources (hide)'!BJ$6:BJ$105)&gt;0,$E$1=2),0,1)</f>
        <v>1</v>
      </c>
      <c r="AX81" s="68">
        <f ca="1">IF(AND(SUMIF(Capacity_Resource,$D81,'Critical resources (hide)'!BK$6:BK$105)+SUMIF(Capacity_Resource,$E81,'Critical resources (hide)'!BK$6:BK$105)+SUMIF(Capacity_Resource,$F81,'Critical resources (hide)'!BK$6:BK$105)&gt;0,$E$1=2),0,1)</f>
        <v>1</v>
      </c>
      <c r="AY81" s="68">
        <f ca="1">IF(AND(SUMIF(Capacity_Resource,$D81,'Critical resources (hide)'!BL$6:BL$105)+SUMIF(Capacity_Resource,$E81,'Critical resources (hide)'!BL$6:BL$105)+SUMIF(Capacity_Resource,$F81,'Critical resources (hide)'!BL$6:BL$105)&gt;0,$E$1=2),0,1)</f>
        <v>1</v>
      </c>
      <c r="AZ81" s="68">
        <f ca="1">IF(AND(SUMIF(Capacity_Resource,$D81,'Critical resources (hide)'!BM$6:BM$105)+SUMIF(Capacity_Resource,$E81,'Critical resources (hide)'!BM$6:BM$105)+SUMIF(Capacity_Resource,$F81,'Critical resources (hide)'!BM$6:BM$105)&gt;0,$E$1=2),0,1)</f>
        <v>1</v>
      </c>
      <c r="BA81" s="68">
        <f ca="1">IF(AND(SUMIF(Capacity_Resource,$D81,'Critical resources (hide)'!BN$6:BN$105)+SUMIF(Capacity_Resource,$E81,'Critical resources (hide)'!BN$6:BN$105)+SUMIF(Capacity_Resource,$F81,'Critical resources (hide)'!BN$6:BN$105)&gt;0,$E$1=2),0,1)</f>
        <v>1</v>
      </c>
      <c r="BB81" s="68">
        <f ca="1">IF(AND(SUMIF(Capacity_Resource,$D81,'Critical resources (hide)'!BO$6:BO$105)+SUMIF(Capacity_Resource,$E81,'Critical resources (hide)'!BO$6:BO$105)+SUMIF(Capacity_Resource,$F81,'Critical resources (hide)'!BO$6:BO$105)&gt;0,$E$1=2),0,1)</f>
        <v>1</v>
      </c>
      <c r="BC81" s="68">
        <f ca="1">IF(AND(SUMIF(Capacity_Resource,$D81,'Critical resources (hide)'!BP$6:BP$105)+SUMIF(Capacity_Resource,$E81,'Critical resources (hide)'!BP$6:BP$105)+SUMIF(Capacity_Resource,$F81,'Critical resources (hide)'!BP$6:BP$105)&gt;0,$E$1=2),0,1)</f>
        <v>1</v>
      </c>
      <c r="BD81" s="68">
        <f ca="1">IF(AND(SUMIF(Capacity_Resource,$D81,'Critical resources (hide)'!BQ$6:BQ$105)+SUMIF(Capacity_Resource,$E81,'Critical resources (hide)'!BQ$6:BQ$105)+SUMIF(Capacity_Resource,$F81,'Critical resources (hide)'!BQ$6:BQ$105)&gt;0,$E$1=2),0,1)</f>
        <v>1</v>
      </c>
      <c r="BE81" s="68">
        <f ca="1">IF(AND(SUMIF(Capacity_Resource,$D81,'Critical resources (hide)'!BR$6:BR$105)+SUMIF(Capacity_Resource,$E81,'Critical resources (hide)'!BR$6:BR$105)+SUMIF(Capacity_Resource,$F81,'Critical resources (hide)'!BR$6:BR$105)&gt;0,$E$1=2),0,1)</f>
        <v>1</v>
      </c>
      <c r="BF81" s="68">
        <f ca="1">IF(AND(SUMIF(Capacity_Resource,$D81,'Critical resources (hide)'!BS$6:BS$105)+SUMIF(Capacity_Resource,$E81,'Critical resources (hide)'!BS$6:BS$105)+SUMIF(Capacity_Resource,$F81,'Critical resources (hide)'!BS$6:BS$105)&gt;0,$E$1=2),0,1)</f>
        <v>1</v>
      </c>
      <c r="BG81" s="68">
        <f ca="1">IF(AND(SUMIF(Capacity_Resource,$D81,'Critical resources (hide)'!BT$6:BT$105)+SUMIF(Capacity_Resource,$E81,'Critical resources (hide)'!BT$6:BT$105)+SUMIF(Capacity_Resource,$F81,'Critical resources (hide)'!BT$6:BT$105)&gt;0,$E$1=2),0,1)</f>
        <v>1</v>
      </c>
      <c r="BH81" s="68">
        <f>IF(ROW(C77)&lt;=Capacity!$A$16,IF('Capacity summary'!$D$14="No",SUM(H81:BG81),'Capacity summary'!$E200),0)</f>
        <v>0</v>
      </c>
      <c r="BI81" s="5" t="str">
        <f>IF(BH81&gt;0,IF(BH81&lt;Capacity!E93,Capacity!F93,Capacity!H93/'Capacity calculation (hide)'!BH81),"")</f>
        <v/>
      </c>
      <c r="BK81" s="319">
        <f>IF($BI81&lt;&gt;"",IF('Capacity summary'!$D$14="Yes",IF(COUNTBLANK('Capacity summary'!$H200:$BG200)&lt;52,IF('Capacity summary'!H200&lt;&gt;"",$BI81*H81,0),H81*$BI81),H81*$BI81),0)</f>
        <v>0</v>
      </c>
      <c r="BL81" s="319">
        <f>IF($BI81&lt;&gt;"",IF('Capacity summary'!$D$14="Yes",IF(COUNTBLANK('Capacity summary'!$H200:$BG200)&lt;52,IF('Capacity summary'!I200&lt;&gt;"",$BI81*I81,0),I81*$BI81),I81*$BI81),0)</f>
        <v>0</v>
      </c>
      <c r="BM81" s="319">
        <f>IF($BI81&lt;&gt;"",IF('Capacity summary'!$D$14="Yes",IF(COUNTBLANK('Capacity summary'!$H200:$BG200)&lt;52,IF('Capacity summary'!J200&lt;&gt;"",$BI81*J81,0),J81*$BI81),J81*$BI81),0)</f>
        <v>0</v>
      </c>
      <c r="BN81" s="319">
        <f>IF($BI81&lt;&gt;"",IF('Capacity summary'!$D$14="Yes",IF(COUNTBLANK('Capacity summary'!$H200:$BG200)&lt;52,IF('Capacity summary'!K200&lt;&gt;"",$BI81*K81,0),K81*$BI81),K81*$BI81),0)</f>
        <v>0</v>
      </c>
      <c r="BO81" s="319">
        <f>IF($BI81&lt;&gt;"",IF('Capacity summary'!$D$14="Yes",IF(COUNTBLANK('Capacity summary'!$H200:$BG200)&lt;52,IF('Capacity summary'!L200&lt;&gt;"",$BI81*L81,0),L81*$BI81),L81*$BI81),0)</f>
        <v>0</v>
      </c>
      <c r="BP81" s="319">
        <f>IF($BI81&lt;&gt;"",IF('Capacity summary'!$D$14="Yes",IF(COUNTBLANK('Capacity summary'!$H200:$BG200)&lt;52,IF('Capacity summary'!M200&lt;&gt;"",$BI81*M81,0),M81*$BI81),M81*$BI81),0)</f>
        <v>0</v>
      </c>
      <c r="BQ81" s="319">
        <f>IF($BI81&lt;&gt;"",IF('Capacity summary'!$D$14="Yes",IF(COUNTBLANK('Capacity summary'!$H200:$BG200)&lt;52,IF('Capacity summary'!N200&lt;&gt;"",$BI81*N81,0),N81*$BI81),N81*$BI81),0)</f>
        <v>0</v>
      </c>
      <c r="BR81" s="319">
        <f>IF($BI81&lt;&gt;"",IF('Capacity summary'!$D$14="Yes",IF(COUNTBLANK('Capacity summary'!$H200:$BG200)&lt;52,IF('Capacity summary'!O200&lt;&gt;"",$BI81*O81,0),O81*$BI81),O81*$BI81),0)</f>
        <v>0</v>
      </c>
      <c r="BS81" s="319">
        <f>IF($BI81&lt;&gt;"",IF('Capacity summary'!$D$14="Yes",IF(COUNTBLANK('Capacity summary'!$H200:$BG200)&lt;52,IF('Capacity summary'!P200&lt;&gt;"",$BI81*P81,0),P81*$BI81),P81*$BI81),0)</f>
        <v>0</v>
      </c>
      <c r="BT81" s="319">
        <f>IF($BI81&lt;&gt;"",IF('Capacity summary'!$D$14="Yes",IF(COUNTBLANK('Capacity summary'!$H200:$BG200)&lt;52,IF('Capacity summary'!Q200&lt;&gt;"",$BI81*Q81,0),Q81*$BI81),Q81*$BI81),0)</f>
        <v>0</v>
      </c>
      <c r="BU81" s="319">
        <f>IF($BI81&lt;&gt;"",IF('Capacity summary'!$D$14="Yes",IF(COUNTBLANK('Capacity summary'!$H200:$BG200)&lt;52,IF('Capacity summary'!R200&lt;&gt;"",$BI81*R81,0),R81*$BI81),R81*$BI81),0)</f>
        <v>0</v>
      </c>
      <c r="BV81" s="319">
        <f>IF($BI81&lt;&gt;"",IF('Capacity summary'!$D$14="Yes",IF(COUNTBLANK('Capacity summary'!$H200:$BG200)&lt;52,IF('Capacity summary'!S200&lt;&gt;"",$BI81*S81,0),S81*$BI81),S81*$BI81),0)</f>
        <v>0</v>
      </c>
      <c r="BW81" s="319">
        <f>IF($BI81&lt;&gt;"",IF('Capacity summary'!$D$14="Yes",IF(COUNTBLANK('Capacity summary'!$H200:$BG200)&lt;52,IF('Capacity summary'!T200&lt;&gt;"",$BI81*T81,0),T81*$BI81),T81*$BI81),0)</f>
        <v>0</v>
      </c>
      <c r="BX81" s="319">
        <f>IF($BI81&lt;&gt;"",IF('Capacity summary'!$D$14="Yes",IF(COUNTBLANK('Capacity summary'!$H200:$BG200)&lt;52,IF('Capacity summary'!U200&lt;&gt;"",$BI81*U81,0),U81*$BI81),U81*$BI81),0)</f>
        <v>0</v>
      </c>
      <c r="BY81" s="319">
        <f>IF($BI81&lt;&gt;"",IF('Capacity summary'!$D$14="Yes",IF(COUNTBLANK('Capacity summary'!$H200:$BG200)&lt;52,IF('Capacity summary'!V200&lt;&gt;"",$BI81*V81,0),V81*$BI81),V81*$BI81),0)</f>
        <v>0</v>
      </c>
      <c r="BZ81" s="319">
        <f>IF($BI81&lt;&gt;"",IF('Capacity summary'!$D$14="Yes",IF(COUNTBLANK('Capacity summary'!$H200:$BG200)&lt;52,IF('Capacity summary'!W200&lt;&gt;"",$BI81*W81,0),W81*$BI81),W81*$BI81),0)</f>
        <v>0</v>
      </c>
      <c r="CA81" s="319">
        <f>IF($BI81&lt;&gt;"",IF('Capacity summary'!$D$14="Yes",IF(COUNTBLANK('Capacity summary'!$H200:$BG200)&lt;52,IF('Capacity summary'!X200&lt;&gt;"",$BI81*X81,0),X81*$BI81),X81*$BI81),0)</f>
        <v>0</v>
      </c>
      <c r="CB81" s="319">
        <f>IF($BI81&lt;&gt;"",IF('Capacity summary'!$D$14="Yes",IF(COUNTBLANK('Capacity summary'!$H200:$BG200)&lt;52,IF('Capacity summary'!Y200&lt;&gt;"",$BI81*Y81,0),Y81*$BI81),Y81*$BI81),0)</f>
        <v>0</v>
      </c>
      <c r="CC81" s="319">
        <f>IF($BI81&lt;&gt;"",IF('Capacity summary'!$D$14="Yes",IF(COUNTBLANK('Capacity summary'!$H200:$BG200)&lt;52,IF('Capacity summary'!Z200&lt;&gt;"",$BI81*Z81,0),Z81*$BI81),Z81*$BI81),0)</f>
        <v>0</v>
      </c>
      <c r="CD81" s="319">
        <f>IF($BI81&lt;&gt;"",IF('Capacity summary'!$D$14="Yes",IF(COUNTBLANK('Capacity summary'!$H200:$BG200)&lt;52,IF('Capacity summary'!AA200&lt;&gt;"",$BI81*AA81,0),AA81*$BI81),AA81*$BI81),0)</f>
        <v>0</v>
      </c>
      <c r="CE81" s="319">
        <f>IF($BI81&lt;&gt;"",IF('Capacity summary'!$D$14="Yes",IF(COUNTBLANK('Capacity summary'!$H200:$BG200)&lt;52,IF('Capacity summary'!AB200&lt;&gt;"",$BI81*AB81,0),AB81*$BI81),AB81*$BI81),0)</f>
        <v>0</v>
      </c>
      <c r="CF81" s="319">
        <f>IF($BI81&lt;&gt;"",IF('Capacity summary'!$D$14="Yes",IF(COUNTBLANK('Capacity summary'!$H200:$BG200)&lt;52,IF('Capacity summary'!AC200&lt;&gt;"",$BI81*AC81,0),AC81*$BI81),AC81*$BI81),0)</f>
        <v>0</v>
      </c>
      <c r="CG81" s="319">
        <f>IF($BI81&lt;&gt;"",IF('Capacity summary'!$D$14="Yes",IF(COUNTBLANK('Capacity summary'!$H200:$BG200)&lt;52,IF('Capacity summary'!AD200&lt;&gt;"",$BI81*AD81,0),AD81*$BI81),AD81*$BI81),0)</f>
        <v>0</v>
      </c>
      <c r="CH81" s="319">
        <f>IF($BI81&lt;&gt;"",IF('Capacity summary'!$D$14="Yes",IF(COUNTBLANK('Capacity summary'!$H200:$BG200)&lt;52,IF('Capacity summary'!AE200&lt;&gt;"",$BI81*AE81,0),AE81*$BI81),AE81*$BI81),0)</f>
        <v>0</v>
      </c>
      <c r="CI81" s="319">
        <f>IF($BI81&lt;&gt;"",IF('Capacity summary'!$D$14="Yes",IF(COUNTBLANK('Capacity summary'!$H200:$BG200)&lt;52,IF('Capacity summary'!AF200&lt;&gt;"",$BI81*AF81,0),AF81*$BI81),AF81*$BI81),0)</f>
        <v>0</v>
      </c>
      <c r="CJ81" s="319">
        <f>IF($BI81&lt;&gt;"",IF('Capacity summary'!$D$14="Yes",IF(COUNTBLANK('Capacity summary'!$H200:$BG200)&lt;52,IF('Capacity summary'!AG200&lt;&gt;"",$BI81*AG81,0),AG81*$BI81),AG81*$BI81),0)</f>
        <v>0</v>
      </c>
      <c r="CK81" s="319">
        <f>IF($BI81&lt;&gt;"",IF('Capacity summary'!$D$14="Yes",IF(COUNTBLANK('Capacity summary'!$H200:$BG200)&lt;52,IF('Capacity summary'!AH200&lt;&gt;"",$BI81*AH81,0),AH81*$BI81),AH81*$BI81),0)</f>
        <v>0</v>
      </c>
      <c r="CL81" s="319">
        <f>IF($BI81&lt;&gt;"",IF('Capacity summary'!$D$14="Yes",IF(COUNTBLANK('Capacity summary'!$H200:$BG200)&lt;52,IF('Capacity summary'!AI200&lt;&gt;"",$BI81*AI81,0),AI81*$BI81),AI81*$BI81),0)</f>
        <v>0</v>
      </c>
      <c r="CM81" s="319">
        <f>IF($BI81&lt;&gt;"",IF('Capacity summary'!$D$14="Yes",IF(COUNTBLANK('Capacity summary'!$H200:$BG200)&lt;52,IF('Capacity summary'!AJ200&lt;&gt;"",$BI81*AJ81,0),AJ81*$BI81),AJ81*$BI81),0)</f>
        <v>0</v>
      </c>
      <c r="CN81" s="319">
        <f>IF($BI81&lt;&gt;"",IF('Capacity summary'!$D$14="Yes",IF(COUNTBLANK('Capacity summary'!$H200:$BG200)&lt;52,IF('Capacity summary'!AK200&lt;&gt;"",$BI81*AK81,0),AK81*$BI81),AK81*$BI81),0)</f>
        <v>0</v>
      </c>
      <c r="CO81" s="319">
        <f>IF($BI81&lt;&gt;"",IF('Capacity summary'!$D$14="Yes",IF(COUNTBLANK('Capacity summary'!$H200:$BG200)&lt;52,IF('Capacity summary'!AL200&lt;&gt;"",$BI81*AL81,0),AL81*$BI81),AL81*$BI81),0)</f>
        <v>0</v>
      </c>
      <c r="CP81" s="319">
        <f>IF($BI81&lt;&gt;"",IF('Capacity summary'!$D$14="Yes",IF(COUNTBLANK('Capacity summary'!$H200:$BG200)&lt;52,IF('Capacity summary'!AM200&lt;&gt;"",$BI81*AM81,0),AM81*$BI81),AM81*$BI81),0)</f>
        <v>0</v>
      </c>
      <c r="CQ81" s="319">
        <f>IF($BI81&lt;&gt;"",IF('Capacity summary'!$D$14="Yes",IF(COUNTBLANK('Capacity summary'!$H200:$BG200)&lt;52,IF('Capacity summary'!AN200&lt;&gt;"",$BI81*AN81,0),AN81*$BI81),AN81*$BI81),0)</f>
        <v>0</v>
      </c>
      <c r="CR81" s="319">
        <f>IF($BI81&lt;&gt;"",IF('Capacity summary'!$D$14="Yes",IF(COUNTBLANK('Capacity summary'!$H200:$BG200)&lt;52,IF('Capacity summary'!AO200&lt;&gt;"",$BI81*AO81,0),AO81*$BI81),AO81*$BI81),0)</f>
        <v>0</v>
      </c>
      <c r="CS81" s="319">
        <f>IF($BI81&lt;&gt;"",IF('Capacity summary'!$D$14="Yes",IF(COUNTBLANK('Capacity summary'!$H200:$BG200)&lt;52,IF('Capacity summary'!AP200&lt;&gt;"",$BI81*AP81,0),AP81*$BI81),AP81*$BI81),0)</f>
        <v>0</v>
      </c>
      <c r="CT81" s="319">
        <f>IF($BI81&lt;&gt;"",IF('Capacity summary'!$D$14="Yes",IF(COUNTBLANK('Capacity summary'!$H200:$BG200)&lt;52,IF('Capacity summary'!AQ200&lt;&gt;"",$BI81*AQ81,0),AQ81*$BI81),AQ81*$BI81),0)</f>
        <v>0</v>
      </c>
      <c r="CU81" s="319">
        <f>IF($BI81&lt;&gt;"",IF('Capacity summary'!$D$14="Yes",IF(COUNTBLANK('Capacity summary'!$H200:$BG200)&lt;52,IF('Capacity summary'!AR200&lt;&gt;"",$BI81*AR81,0),AR81*$BI81),AR81*$BI81),0)</f>
        <v>0</v>
      </c>
      <c r="CV81" s="319">
        <f>IF($BI81&lt;&gt;"",IF('Capacity summary'!$D$14="Yes",IF(COUNTBLANK('Capacity summary'!$H200:$BG200)&lt;52,IF('Capacity summary'!AS200&lt;&gt;"",$BI81*AS81,0),AS81*$BI81),AS81*$BI81),0)</f>
        <v>0</v>
      </c>
      <c r="CW81" s="319">
        <f>IF($BI81&lt;&gt;"",IF('Capacity summary'!$D$14="Yes",IF(COUNTBLANK('Capacity summary'!$H200:$BG200)&lt;52,IF('Capacity summary'!AT200&lt;&gt;"",$BI81*AT81,0),AT81*$BI81),AT81*$BI81),0)</f>
        <v>0</v>
      </c>
      <c r="CX81" s="319">
        <f>IF($BI81&lt;&gt;"",IF('Capacity summary'!$D$14="Yes",IF(COUNTBLANK('Capacity summary'!$H200:$BG200)&lt;52,IF('Capacity summary'!AU200&lt;&gt;"",$BI81*AU81,0),AU81*$BI81),AU81*$BI81),0)</f>
        <v>0</v>
      </c>
      <c r="CY81" s="319">
        <f>IF($BI81&lt;&gt;"",IF('Capacity summary'!$D$14="Yes",IF(COUNTBLANK('Capacity summary'!$H200:$BG200)&lt;52,IF('Capacity summary'!AV200&lt;&gt;"",$BI81*AV81,0),AV81*$BI81),AV81*$BI81),0)</f>
        <v>0</v>
      </c>
      <c r="CZ81" s="319">
        <f>IF($BI81&lt;&gt;"",IF('Capacity summary'!$D$14="Yes",IF(COUNTBLANK('Capacity summary'!$H200:$BG200)&lt;52,IF('Capacity summary'!AW200&lt;&gt;"",$BI81*AW81,0),AW81*$BI81),AW81*$BI81),0)</f>
        <v>0</v>
      </c>
      <c r="DA81" s="319">
        <f>IF($BI81&lt;&gt;"",IF('Capacity summary'!$D$14="Yes",IF(COUNTBLANK('Capacity summary'!$H200:$BG200)&lt;52,IF('Capacity summary'!AX200&lt;&gt;"",$BI81*AX81,0),AX81*$BI81),AX81*$BI81),0)</f>
        <v>0</v>
      </c>
      <c r="DB81" s="319">
        <f>IF($BI81&lt;&gt;"",IF('Capacity summary'!$D$14="Yes",IF(COUNTBLANK('Capacity summary'!$H200:$BG200)&lt;52,IF('Capacity summary'!AY200&lt;&gt;"",$BI81*AY81,0),AY81*$BI81),AY81*$BI81),0)</f>
        <v>0</v>
      </c>
      <c r="DC81" s="319">
        <f>IF($BI81&lt;&gt;"",IF('Capacity summary'!$D$14="Yes",IF(COUNTBLANK('Capacity summary'!$H200:$BG200)&lt;52,IF('Capacity summary'!AZ200&lt;&gt;"",$BI81*AZ81,0),AZ81*$BI81),AZ81*$BI81),0)</f>
        <v>0</v>
      </c>
      <c r="DD81" s="319">
        <f>IF($BI81&lt;&gt;"",IF('Capacity summary'!$D$14="Yes",IF(COUNTBLANK('Capacity summary'!$H200:$BG200)&lt;52,IF('Capacity summary'!BA200&lt;&gt;"",$BI81*BA81,0),BA81*$BI81),BA81*$BI81),0)</f>
        <v>0</v>
      </c>
      <c r="DE81" s="319">
        <f>IF($BI81&lt;&gt;"",IF('Capacity summary'!$D$14="Yes",IF(COUNTBLANK('Capacity summary'!$H200:$BG200)&lt;52,IF('Capacity summary'!BB200&lt;&gt;"",$BI81*BB81,0),BB81*$BI81),BB81*$BI81),0)</f>
        <v>0</v>
      </c>
      <c r="DF81" s="319">
        <f>IF($BI81&lt;&gt;"",IF('Capacity summary'!$D$14="Yes",IF(COUNTBLANK('Capacity summary'!$H200:$BG200)&lt;52,IF('Capacity summary'!BC200&lt;&gt;"",$BI81*BC81,0),BC81*$BI81),BC81*$BI81),0)</f>
        <v>0</v>
      </c>
      <c r="DG81" s="319">
        <f>IF($BI81&lt;&gt;"",IF('Capacity summary'!$D$14="Yes",IF(COUNTBLANK('Capacity summary'!$H200:$BG200)&lt;52,IF('Capacity summary'!BD200&lt;&gt;"",$BI81*BD81,0),BD81*$BI81),BD81*$BI81),0)</f>
        <v>0</v>
      </c>
      <c r="DH81" s="319">
        <f>IF($BI81&lt;&gt;"",IF('Capacity summary'!$D$14="Yes",IF(COUNTBLANK('Capacity summary'!$H200:$BG200)&lt;52,IF('Capacity summary'!BE200&lt;&gt;"",$BI81*BE81,0),BE81*$BI81),BE81*$BI81),0)</f>
        <v>0</v>
      </c>
      <c r="DI81" s="319">
        <f>IF($BI81&lt;&gt;"",IF('Capacity summary'!$D$14="Yes",IF(COUNTBLANK('Capacity summary'!$H200:$BG200)&lt;52,IF('Capacity summary'!BF200&lt;&gt;"",$BI81*BF81,0),BF81*$BI81),BF81*$BI81),0)</f>
        <v>0</v>
      </c>
      <c r="DJ81" s="319">
        <f>IF($BI81&lt;&gt;"",IF('Capacity summary'!$D$14="Yes",IF(COUNTBLANK('Capacity summary'!$H200:$BG200)&lt;52,IF('Capacity summary'!BG200&lt;&gt;"",$BI81*BG81,0),BG81*$BI81),BG81*$BI81),0)</f>
        <v>0</v>
      </c>
      <c r="DK81" s="5">
        <f t="shared" si="3"/>
        <v>0</v>
      </c>
      <c r="DL81" s="5" t="str">
        <f>Capacity!H93</f>
        <v/>
      </c>
    </row>
    <row r="82" spans="2:116" x14ac:dyDescent="0.2">
      <c r="B82" s="68"/>
      <c r="C82" s="68" t="str">
        <f>ROW(A78)&amp;". "&amp;Capacity!B94</f>
        <v xml:space="preserve">78. </v>
      </c>
      <c r="D82" s="68">
        <f>'Capacity setup'!C89</f>
        <v>0</v>
      </c>
      <c r="E82" s="68">
        <f>'Capacity setup'!D89</f>
        <v>0</v>
      </c>
      <c r="F82" s="68">
        <f>'Capacity setup'!E89</f>
        <v>0</v>
      </c>
      <c r="H82" s="68">
        <f ca="1">IF(AND(SUMIF(Capacity_Resource,$D82,'Critical resources (hide)'!U$6:U$105)+SUMIF(Capacity_Resource,$E82,'Critical resources (hide)'!U$6:U$105)+SUMIF(Capacity_Resource,$F82,'Critical resources (hide)'!U$6:U$105)&gt;0,$E$1=2),0,1)</f>
        <v>1</v>
      </c>
      <c r="I82" s="68">
        <f ca="1">IF(AND(SUMIF(Capacity_Resource,$D82,'Critical resources (hide)'!V$6:V$105)+SUMIF(Capacity_Resource,$E82,'Critical resources (hide)'!V$6:V$105)+SUMIF(Capacity_Resource,$F82,'Critical resources (hide)'!V$6:V$105)&gt;0,$E$1=2),0,1)</f>
        <v>1</v>
      </c>
      <c r="J82" s="68">
        <f ca="1">IF(AND(SUMIF(Capacity_Resource,$D82,'Critical resources (hide)'!W$6:W$105)+SUMIF(Capacity_Resource,$E82,'Critical resources (hide)'!W$6:W$105)+SUMIF(Capacity_Resource,$F82,'Critical resources (hide)'!W$6:W$105)&gt;0,$E$1=2),0,1)</f>
        <v>1</v>
      </c>
      <c r="K82" s="68">
        <f ca="1">IF(AND(SUMIF(Capacity_Resource,$D82,'Critical resources (hide)'!X$6:X$105)+SUMIF(Capacity_Resource,$E82,'Critical resources (hide)'!X$6:X$105)+SUMIF(Capacity_Resource,$F82,'Critical resources (hide)'!X$6:X$105)&gt;0,$E$1=2),0,1)</f>
        <v>1</v>
      </c>
      <c r="L82" s="68">
        <f ca="1">IF(AND(SUMIF(Capacity_Resource,$D82,'Critical resources (hide)'!Y$6:Y$105)+SUMIF(Capacity_Resource,$E82,'Critical resources (hide)'!Y$6:Y$105)+SUMIF(Capacity_Resource,$F82,'Critical resources (hide)'!Y$6:Y$105)&gt;0,$E$1=2),0,1)</f>
        <v>1</v>
      </c>
      <c r="M82" s="68">
        <f ca="1">IF(AND(SUMIF(Capacity_Resource,$D82,'Critical resources (hide)'!Z$6:Z$105)+SUMIF(Capacity_Resource,$E82,'Critical resources (hide)'!Z$6:Z$105)+SUMIF(Capacity_Resource,$F82,'Critical resources (hide)'!Z$6:Z$105)&gt;0,$E$1=2),0,1)</f>
        <v>1</v>
      </c>
      <c r="N82" s="68">
        <f ca="1">IF(AND(SUMIF(Capacity_Resource,$D82,'Critical resources (hide)'!AA$6:AA$105)+SUMIF(Capacity_Resource,$E82,'Critical resources (hide)'!AA$6:AA$105)+SUMIF(Capacity_Resource,$F82,'Critical resources (hide)'!AA$6:AA$105)&gt;0,$E$1=2),0,1)</f>
        <v>1</v>
      </c>
      <c r="O82" s="68">
        <f ca="1">IF(AND(SUMIF(Capacity_Resource,$D82,'Critical resources (hide)'!AB$6:AB$105)+SUMIF(Capacity_Resource,$E82,'Critical resources (hide)'!AB$6:AB$105)+SUMIF(Capacity_Resource,$F82,'Critical resources (hide)'!AB$6:AB$105)&gt;0,$E$1=2),0,1)</f>
        <v>1</v>
      </c>
      <c r="P82" s="68">
        <f ca="1">IF(AND(SUMIF(Capacity_Resource,$D82,'Critical resources (hide)'!AC$6:AC$105)+SUMIF(Capacity_Resource,$E82,'Critical resources (hide)'!AC$6:AC$105)+SUMIF(Capacity_Resource,$F82,'Critical resources (hide)'!AC$6:AC$105)&gt;0,$E$1=2),0,1)</f>
        <v>1</v>
      </c>
      <c r="Q82" s="68">
        <f ca="1">IF(AND(SUMIF(Capacity_Resource,$D82,'Critical resources (hide)'!AD$6:AD$105)+SUMIF(Capacity_Resource,$E82,'Critical resources (hide)'!AD$6:AD$105)+SUMIF(Capacity_Resource,$F82,'Critical resources (hide)'!AD$6:AD$105)&gt;0,$E$1=2),0,1)</f>
        <v>1</v>
      </c>
      <c r="R82" s="68">
        <f ca="1">IF(AND(SUMIF(Capacity_Resource,$D82,'Critical resources (hide)'!AE$6:AE$105)+SUMIF(Capacity_Resource,$E82,'Critical resources (hide)'!AE$6:AE$105)+SUMIF(Capacity_Resource,$F82,'Critical resources (hide)'!AE$6:AE$105)&gt;0,$E$1=2),0,1)</f>
        <v>1</v>
      </c>
      <c r="S82" s="68">
        <f ca="1">IF(AND(SUMIF(Capacity_Resource,$D82,'Critical resources (hide)'!AF$6:AF$105)+SUMIF(Capacity_Resource,$E82,'Critical resources (hide)'!AF$6:AF$105)+SUMIF(Capacity_Resource,$F82,'Critical resources (hide)'!AF$6:AF$105)&gt;0,$E$1=2),0,1)</f>
        <v>1</v>
      </c>
      <c r="T82" s="68">
        <f ca="1">IF(AND(SUMIF(Capacity_Resource,$D82,'Critical resources (hide)'!AG$6:AG$105)+SUMIF(Capacity_Resource,$E82,'Critical resources (hide)'!AG$6:AG$105)+SUMIF(Capacity_Resource,$F82,'Critical resources (hide)'!AG$6:AG$105)&gt;0,$E$1=2),0,1)</f>
        <v>1</v>
      </c>
      <c r="U82" s="68">
        <f ca="1">IF(AND(SUMIF(Capacity_Resource,$D82,'Critical resources (hide)'!AH$6:AH$105)+SUMIF(Capacity_Resource,$E82,'Critical resources (hide)'!AH$6:AH$105)+SUMIF(Capacity_Resource,$F82,'Critical resources (hide)'!AH$6:AH$105)&gt;0,$E$1=2),0,1)</f>
        <v>1</v>
      </c>
      <c r="V82" s="68">
        <f ca="1">IF(AND(SUMIF(Capacity_Resource,$D82,'Critical resources (hide)'!AI$6:AI$105)+SUMIF(Capacity_Resource,$E82,'Critical resources (hide)'!AI$6:AI$105)+SUMIF(Capacity_Resource,$F82,'Critical resources (hide)'!AI$6:AI$105)&gt;0,$E$1=2),0,1)</f>
        <v>1</v>
      </c>
      <c r="W82" s="68">
        <f ca="1">IF(AND(SUMIF(Capacity_Resource,$D82,'Critical resources (hide)'!AJ$6:AJ$105)+SUMIF(Capacity_Resource,$E82,'Critical resources (hide)'!AJ$6:AJ$105)+SUMIF(Capacity_Resource,$F82,'Critical resources (hide)'!AJ$6:AJ$105)&gt;0,$E$1=2),0,1)</f>
        <v>1</v>
      </c>
      <c r="X82" s="68">
        <f ca="1">IF(AND(SUMIF(Capacity_Resource,$D82,'Critical resources (hide)'!AK$6:AK$105)+SUMIF(Capacity_Resource,$E82,'Critical resources (hide)'!AK$6:AK$105)+SUMIF(Capacity_Resource,$F82,'Critical resources (hide)'!AK$6:AK$105)&gt;0,$E$1=2),0,1)</f>
        <v>1</v>
      </c>
      <c r="Y82" s="68">
        <f ca="1">IF(AND(SUMIF(Capacity_Resource,$D82,'Critical resources (hide)'!AL$6:AL$105)+SUMIF(Capacity_Resource,$E82,'Critical resources (hide)'!AL$6:AL$105)+SUMIF(Capacity_Resource,$F82,'Critical resources (hide)'!AL$6:AL$105)&gt;0,$E$1=2),0,1)</f>
        <v>1</v>
      </c>
      <c r="Z82" s="68">
        <f ca="1">IF(AND(SUMIF(Capacity_Resource,$D82,'Critical resources (hide)'!AM$6:AM$105)+SUMIF(Capacity_Resource,$E82,'Critical resources (hide)'!AM$6:AM$105)+SUMIF(Capacity_Resource,$F82,'Critical resources (hide)'!AM$6:AM$105)&gt;0,$E$1=2),0,1)</f>
        <v>1</v>
      </c>
      <c r="AA82" s="68">
        <f ca="1">IF(AND(SUMIF(Capacity_Resource,$D82,'Critical resources (hide)'!AN$6:AN$105)+SUMIF(Capacity_Resource,$E82,'Critical resources (hide)'!AN$6:AN$105)+SUMIF(Capacity_Resource,$F82,'Critical resources (hide)'!AN$6:AN$105)&gt;0,$E$1=2),0,1)</f>
        <v>1</v>
      </c>
      <c r="AB82" s="68">
        <f ca="1">IF(AND(SUMIF(Capacity_Resource,$D82,'Critical resources (hide)'!AO$6:AO$105)+SUMIF(Capacity_Resource,$E82,'Critical resources (hide)'!AO$6:AO$105)+SUMIF(Capacity_Resource,$F82,'Critical resources (hide)'!AO$6:AO$105)&gt;0,$E$1=2),0,1)</f>
        <v>1</v>
      </c>
      <c r="AC82" s="68">
        <f ca="1">IF(AND(SUMIF(Capacity_Resource,$D82,'Critical resources (hide)'!AP$6:AP$105)+SUMIF(Capacity_Resource,$E82,'Critical resources (hide)'!AP$6:AP$105)+SUMIF(Capacity_Resource,$F82,'Critical resources (hide)'!AP$6:AP$105)&gt;0,$E$1=2),0,1)</f>
        <v>1</v>
      </c>
      <c r="AD82" s="68">
        <f ca="1">IF(AND(SUMIF(Capacity_Resource,$D82,'Critical resources (hide)'!AQ$6:AQ$105)+SUMIF(Capacity_Resource,$E82,'Critical resources (hide)'!AQ$6:AQ$105)+SUMIF(Capacity_Resource,$F82,'Critical resources (hide)'!AQ$6:AQ$105)&gt;0,$E$1=2),0,1)</f>
        <v>1</v>
      </c>
      <c r="AE82" s="68">
        <f ca="1">IF(AND(SUMIF(Capacity_Resource,$D82,'Critical resources (hide)'!AR$6:AR$105)+SUMIF(Capacity_Resource,$E82,'Critical resources (hide)'!AR$6:AR$105)+SUMIF(Capacity_Resource,$F82,'Critical resources (hide)'!AR$6:AR$105)&gt;0,$E$1=2),0,1)</f>
        <v>1</v>
      </c>
      <c r="AF82" s="68">
        <f ca="1">IF(AND(SUMIF(Capacity_Resource,$D82,'Critical resources (hide)'!AS$6:AS$105)+SUMIF(Capacity_Resource,$E82,'Critical resources (hide)'!AS$6:AS$105)+SUMIF(Capacity_Resource,$F82,'Critical resources (hide)'!AS$6:AS$105)&gt;0,$E$1=2),0,1)</f>
        <v>1</v>
      </c>
      <c r="AG82" s="68">
        <f ca="1">IF(AND(SUMIF(Capacity_Resource,$D82,'Critical resources (hide)'!AT$6:AT$105)+SUMIF(Capacity_Resource,$E82,'Critical resources (hide)'!AT$6:AT$105)+SUMIF(Capacity_Resource,$F82,'Critical resources (hide)'!AT$6:AT$105)&gt;0,$E$1=2),0,1)</f>
        <v>1</v>
      </c>
      <c r="AH82" s="68">
        <f ca="1">IF(AND(SUMIF(Capacity_Resource,$D82,'Critical resources (hide)'!AU$6:AU$105)+SUMIF(Capacity_Resource,$E82,'Critical resources (hide)'!AU$6:AU$105)+SUMIF(Capacity_Resource,$F82,'Critical resources (hide)'!AU$6:AU$105)&gt;0,$E$1=2),0,1)</f>
        <v>1</v>
      </c>
      <c r="AI82" s="68">
        <f ca="1">IF(AND(SUMIF(Capacity_Resource,$D82,'Critical resources (hide)'!AV$6:AV$105)+SUMIF(Capacity_Resource,$E82,'Critical resources (hide)'!AV$6:AV$105)+SUMIF(Capacity_Resource,$F82,'Critical resources (hide)'!AV$6:AV$105)&gt;0,$E$1=2),0,1)</f>
        <v>1</v>
      </c>
      <c r="AJ82" s="68">
        <f ca="1">IF(AND(SUMIF(Capacity_Resource,$D82,'Critical resources (hide)'!AW$6:AW$105)+SUMIF(Capacity_Resource,$E82,'Critical resources (hide)'!AW$6:AW$105)+SUMIF(Capacity_Resource,$F82,'Critical resources (hide)'!AW$6:AW$105)&gt;0,$E$1=2),0,1)</f>
        <v>1</v>
      </c>
      <c r="AK82" s="68">
        <f ca="1">IF(AND(SUMIF(Capacity_Resource,$D82,'Critical resources (hide)'!AX$6:AX$105)+SUMIF(Capacity_Resource,$E82,'Critical resources (hide)'!AX$6:AX$105)+SUMIF(Capacity_Resource,$F82,'Critical resources (hide)'!AX$6:AX$105)&gt;0,$E$1=2),0,1)</f>
        <v>1</v>
      </c>
      <c r="AL82" s="68">
        <f ca="1">IF(AND(SUMIF(Capacity_Resource,$D82,'Critical resources (hide)'!AY$6:AY$105)+SUMIF(Capacity_Resource,$E82,'Critical resources (hide)'!AY$6:AY$105)+SUMIF(Capacity_Resource,$F82,'Critical resources (hide)'!AY$6:AY$105)&gt;0,$E$1=2),0,1)</f>
        <v>1</v>
      </c>
      <c r="AM82" s="68">
        <f ca="1">IF(AND(SUMIF(Capacity_Resource,$D82,'Critical resources (hide)'!AZ$6:AZ$105)+SUMIF(Capacity_Resource,$E82,'Critical resources (hide)'!AZ$6:AZ$105)+SUMIF(Capacity_Resource,$F82,'Critical resources (hide)'!AZ$6:AZ$105)&gt;0,$E$1=2),0,1)</f>
        <v>1</v>
      </c>
      <c r="AN82" s="68">
        <f ca="1">IF(AND(SUMIF(Capacity_Resource,$D82,'Critical resources (hide)'!BA$6:BA$105)+SUMIF(Capacity_Resource,$E82,'Critical resources (hide)'!BA$6:BA$105)+SUMIF(Capacity_Resource,$F82,'Critical resources (hide)'!BA$6:BA$105)&gt;0,$E$1=2),0,1)</f>
        <v>1</v>
      </c>
      <c r="AO82" s="68">
        <f ca="1">IF(AND(SUMIF(Capacity_Resource,$D82,'Critical resources (hide)'!BB$6:BB$105)+SUMIF(Capacity_Resource,$E82,'Critical resources (hide)'!BB$6:BB$105)+SUMIF(Capacity_Resource,$F82,'Critical resources (hide)'!BB$6:BB$105)&gt;0,$E$1=2),0,1)</f>
        <v>1</v>
      </c>
      <c r="AP82" s="68">
        <f ca="1">IF(AND(SUMIF(Capacity_Resource,$D82,'Critical resources (hide)'!BC$6:BC$105)+SUMIF(Capacity_Resource,$E82,'Critical resources (hide)'!BC$6:BC$105)+SUMIF(Capacity_Resource,$F82,'Critical resources (hide)'!BC$6:BC$105)&gt;0,$E$1=2),0,1)</f>
        <v>1</v>
      </c>
      <c r="AQ82" s="68">
        <f ca="1">IF(AND(SUMIF(Capacity_Resource,$D82,'Critical resources (hide)'!BD$6:BD$105)+SUMIF(Capacity_Resource,$E82,'Critical resources (hide)'!BD$6:BD$105)+SUMIF(Capacity_Resource,$F82,'Critical resources (hide)'!BD$6:BD$105)&gt;0,$E$1=2),0,1)</f>
        <v>1</v>
      </c>
      <c r="AR82" s="68">
        <f ca="1">IF(AND(SUMIF(Capacity_Resource,$D82,'Critical resources (hide)'!BE$6:BE$105)+SUMIF(Capacity_Resource,$E82,'Critical resources (hide)'!BE$6:BE$105)+SUMIF(Capacity_Resource,$F82,'Critical resources (hide)'!BE$6:BE$105)&gt;0,$E$1=2),0,1)</f>
        <v>1</v>
      </c>
      <c r="AS82" s="68">
        <f ca="1">IF(AND(SUMIF(Capacity_Resource,$D82,'Critical resources (hide)'!BF$6:BF$105)+SUMIF(Capacity_Resource,$E82,'Critical resources (hide)'!BF$6:BF$105)+SUMIF(Capacity_Resource,$F82,'Critical resources (hide)'!BF$6:BF$105)&gt;0,$E$1=2),0,1)</f>
        <v>1</v>
      </c>
      <c r="AT82" s="68">
        <f ca="1">IF(AND(SUMIF(Capacity_Resource,$D82,'Critical resources (hide)'!BG$6:BG$105)+SUMIF(Capacity_Resource,$E82,'Critical resources (hide)'!BG$6:BG$105)+SUMIF(Capacity_Resource,$F82,'Critical resources (hide)'!BG$6:BG$105)&gt;0,$E$1=2),0,1)</f>
        <v>1</v>
      </c>
      <c r="AU82" s="68">
        <f ca="1">IF(AND(SUMIF(Capacity_Resource,$D82,'Critical resources (hide)'!BH$6:BH$105)+SUMIF(Capacity_Resource,$E82,'Critical resources (hide)'!BH$6:BH$105)+SUMIF(Capacity_Resource,$F82,'Critical resources (hide)'!BH$6:BH$105)&gt;0,$E$1=2),0,1)</f>
        <v>1</v>
      </c>
      <c r="AV82" s="68">
        <f ca="1">IF(AND(SUMIF(Capacity_Resource,$D82,'Critical resources (hide)'!BI$6:BI$105)+SUMIF(Capacity_Resource,$E82,'Critical resources (hide)'!BI$6:BI$105)+SUMIF(Capacity_Resource,$F82,'Critical resources (hide)'!BI$6:BI$105)&gt;0,$E$1=2),0,1)</f>
        <v>1</v>
      </c>
      <c r="AW82" s="68">
        <f ca="1">IF(AND(SUMIF(Capacity_Resource,$D82,'Critical resources (hide)'!BJ$6:BJ$105)+SUMIF(Capacity_Resource,$E82,'Critical resources (hide)'!BJ$6:BJ$105)+SUMIF(Capacity_Resource,$F82,'Critical resources (hide)'!BJ$6:BJ$105)&gt;0,$E$1=2),0,1)</f>
        <v>1</v>
      </c>
      <c r="AX82" s="68">
        <f ca="1">IF(AND(SUMIF(Capacity_Resource,$D82,'Critical resources (hide)'!BK$6:BK$105)+SUMIF(Capacity_Resource,$E82,'Critical resources (hide)'!BK$6:BK$105)+SUMIF(Capacity_Resource,$F82,'Critical resources (hide)'!BK$6:BK$105)&gt;0,$E$1=2),0,1)</f>
        <v>1</v>
      </c>
      <c r="AY82" s="68">
        <f ca="1">IF(AND(SUMIF(Capacity_Resource,$D82,'Critical resources (hide)'!BL$6:BL$105)+SUMIF(Capacity_Resource,$E82,'Critical resources (hide)'!BL$6:BL$105)+SUMIF(Capacity_Resource,$F82,'Critical resources (hide)'!BL$6:BL$105)&gt;0,$E$1=2),0,1)</f>
        <v>1</v>
      </c>
      <c r="AZ82" s="68">
        <f ca="1">IF(AND(SUMIF(Capacity_Resource,$D82,'Critical resources (hide)'!BM$6:BM$105)+SUMIF(Capacity_Resource,$E82,'Critical resources (hide)'!BM$6:BM$105)+SUMIF(Capacity_Resource,$F82,'Critical resources (hide)'!BM$6:BM$105)&gt;0,$E$1=2),0,1)</f>
        <v>1</v>
      </c>
      <c r="BA82" s="68">
        <f ca="1">IF(AND(SUMIF(Capacity_Resource,$D82,'Critical resources (hide)'!BN$6:BN$105)+SUMIF(Capacity_Resource,$E82,'Critical resources (hide)'!BN$6:BN$105)+SUMIF(Capacity_Resource,$F82,'Critical resources (hide)'!BN$6:BN$105)&gt;0,$E$1=2),0,1)</f>
        <v>1</v>
      </c>
      <c r="BB82" s="68">
        <f ca="1">IF(AND(SUMIF(Capacity_Resource,$D82,'Critical resources (hide)'!BO$6:BO$105)+SUMIF(Capacity_Resource,$E82,'Critical resources (hide)'!BO$6:BO$105)+SUMIF(Capacity_Resource,$F82,'Critical resources (hide)'!BO$6:BO$105)&gt;0,$E$1=2),0,1)</f>
        <v>1</v>
      </c>
      <c r="BC82" s="68">
        <f ca="1">IF(AND(SUMIF(Capacity_Resource,$D82,'Critical resources (hide)'!BP$6:BP$105)+SUMIF(Capacity_Resource,$E82,'Critical resources (hide)'!BP$6:BP$105)+SUMIF(Capacity_Resource,$F82,'Critical resources (hide)'!BP$6:BP$105)&gt;0,$E$1=2),0,1)</f>
        <v>1</v>
      </c>
      <c r="BD82" s="68">
        <f ca="1">IF(AND(SUMIF(Capacity_Resource,$D82,'Critical resources (hide)'!BQ$6:BQ$105)+SUMIF(Capacity_Resource,$E82,'Critical resources (hide)'!BQ$6:BQ$105)+SUMIF(Capacity_Resource,$F82,'Critical resources (hide)'!BQ$6:BQ$105)&gt;0,$E$1=2),0,1)</f>
        <v>1</v>
      </c>
      <c r="BE82" s="68">
        <f ca="1">IF(AND(SUMIF(Capacity_Resource,$D82,'Critical resources (hide)'!BR$6:BR$105)+SUMIF(Capacity_Resource,$E82,'Critical resources (hide)'!BR$6:BR$105)+SUMIF(Capacity_Resource,$F82,'Critical resources (hide)'!BR$6:BR$105)&gt;0,$E$1=2),0,1)</f>
        <v>1</v>
      </c>
      <c r="BF82" s="68">
        <f ca="1">IF(AND(SUMIF(Capacity_Resource,$D82,'Critical resources (hide)'!BS$6:BS$105)+SUMIF(Capacity_Resource,$E82,'Critical resources (hide)'!BS$6:BS$105)+SUMIF(Capacity_Resource,$F82,'Critical resources (hide)'!BS$6:BS$105)&gt;0,$E$1=2),0,1)</f>
        <v>1</v>
      </c>
      <c r="BG82" s="68">
        <f ca="1">IF(AND(SUMIF(Capacity_Resource,$D82,'Critical resources (hide)'!BT$6:BT$105)+SUMIF(Capacity_Resource,$E82,'Critical resources (hide)'!BT$6:BT$105)+SUMIF(Capacity_Resource,$F82,'Critical resources (hide)'!BT$6:BT$105)&gt;0,$E$1=2),0,1)</f>
        <v>1</v>
      </c>
      <c r="BH82" s="68">
        <f>IF(ROW(C78)&lt;=Capacity!$A$16,IF('Capacity summary'!$D$14="No",SUM(H82:BG82),'Capacity summary'!$E201),0)</f>
        <v>0</v>
      </c>
      <c r="BI82" s="5" t="str">
        <f>IF(BH82&gt;0,IF(BH82&lt;Capacity!E94,Capacity!F94,Capacity!H94/'Capacity calculation (hide)'!BH82),"")</f>
        <v/>
      </c>
      <c r="BK82" s="319">
        <f>IF($BI82&lt;&gt;"",IF('Capacity summary'!$D$14="Yes",IF(COUNTBLANK('Capacity summary'!$H201:$BG201)&lt;52,IF('Capacity summary'!H201&lt;&gt;"",$BI82*H82,0),H82*$BI82),H82*$BI82),0)</f>
        <v>0</v>
      </c>
      <c r="BL82" s="319">
        <f>IF($BI82&lt;&gt;"",IF('Capacity summary'!$D$14="Yes",IF(COUNTBLANK('Capacity summary'!$H201:$BG201)&lt;52,IF('Capacity summary'!I201&lt;&gt;"",$BI82*I82,0),I82*$BI82),I82*$BI82),0)</f>
        <v>0</v>
      </c>
      <c r="BM82" s="319">
        <f>IF($BI82&lt;&gt;"",IF('Capacity summary'!$D$14="Yes",IF(COUNTBLANK('Capacity summary'!$H201:$BG201)&lt;52,IF('Capacity summary'!J201&lt;&gt;"",$BI82*J82,0),J82*$BI82),J82*$BI82),0)</f>
        <v>0</v>
      </c>
      <c r="BN82" s="319">
        <f>IF($BI82&lt;&gt;"",IF('Capacity summary'!$D$14="Yes",IF(COUNTBLANK('Capacity summary'!$H201:$BG201)&lt;52,IF('Capacity summary'!K201&lt;&gt;"",$BI82*K82,0),K82*$BI82),K82*$BI82),0)</f>
        <v>0</v>
      </c>
      <c r="BO82" s="319">
        <f>IF($BI82&lt;&gt;"",IF('Capacity summary'!$D$14="Yes",IF(COUNTBLANK('Capacity summary'!$H201:$BG201)&lt;52,IF('Capacity summary'!L201&lt;&gt;"",$BI82*L82,0),L82*$BI82),L82*$BI82),0)</f>
        <v>0</v>
      </c>
      <c r="BP82" s="319">
        <f>IF($BI82&lt;&gt;"",IF('Capacity summary'!$D$14="Yes",IF(COUNTBLANK('Capacity summary'!$H201:$BG201)&lt;52,IF('Capacity summary'!M201&lt;&gt;"",$BI82*M82,0),M82*$BI82),M82*$BI82),0)</f>
        <v>0</v>
      </c>
      <c r="BQ82" s="319">
        <f>IF($BI82&lt;&gt;"",IF('Capacity summary'!$D$14="Yes",IF(COUNTBLANK('Capacity summary'!$H201:$BG201)&lt;52,IF('Capacity summary'!N201&lt;&gt;"",$BI82*N82,0),N82*$BI82),N82*$BI82),0)</f>
        <v>0</v>
      </c>
      <c r="BR82" s="319">
        <f>IF($BI82&lt;&gt;"",IF('Capacity summary'!$D$14="Yes",IF(COUNTBLANK('Capacity summary'!$H201:$BG201)&lt;52,IF('Capacity summary'!O201&lt;&gt;"",$BI82*O82,0),O82*$BI82),O82*$BI82),0)</f>
        <v>0</v>
      </c>
      <c r="BS82" s="319">
        <f>IF($BI82&lt;&gt;"",IF('Capacity summary'!$D$14="Yes",IF(COUNTBLANK('Capacity summary'!$H201:$BG201)&lt;52,IF('Capacity summary'!P201&lt;&gt;"",$BI82*P82,0),P82*$BI82),P82*$BI82),0)</f>
        <v>0</v>
      </c>
      <c r="BT82" s="319">
        <f>IF($BI82&lt;&gt;"",IF('Capacity summary'!$D$14="Yes",IF(COUNTBLANK('Capacity summary'!$H201:$BG201)&lt;52,IF('Capacity summary'!Q201&lt;&gt;"",$BI82*Q82,0),Q82*$BI82),Q82*$BI82),0)</f>
        <v>0</v>
      </c>
      <c r="BU82" s="319">
        <f>IF($BI82&lt;&gt;"",IF('Capacity summary'!$D$14="Yes",IF(COUNTBLANK('Capacity summary'!$H201:$BG201)&lt;52,IF('Capacity summary'!R201&lt;&gt;"",$BI82*R82,0),R82*$BI82),R82*$BI82),0)</f>
        <v>0</v>
      </c>
      <c r="BV82" s="319">
        <f>IF($BI82&lt;&gt;"",IF('Capacity summary'!$D$14="Yes",IF(COUNTBLANK('Capacity summary'!$H201:$BG201)&lt;52,IF('Capacity summary'!S201&lt;&gt;"",$BI82*S82,0),S82*$BI82),S82*$BI82),0)</f>
        <v>0</v>
      </c>
      <c r="BW82" s="319">
        <f>IF($BI82&lt;&gt;"",IF('Capacity summary'!$D$14="Yes",IF(COUNTBLANK('Capacity summary'!$H201:$BG201)&lt;52,IF('Capacity summary'!T201&lt;&gt;"",$BI82*T82,0),T82*$BI82),T82*$BI82),0)</f>
        <v>0</v>
      </c>
      <c r="BX82" s="319">
        <f>IF($BI82&lt;&gt;"",IF('Capacity summary'!$D$14="Yes",IF(COUNTBLANK('Capacity summary'!$H201:$BG201)&lt;52,IF('Capacity summary'!U201&lt;&gt;"",$BI82*U82,0),U82*$BI82),U82*$BI82),0)</f>
        <v>0</v>
      </c>
      <c r="BY82" s="319">
        <f>IF($BI82&lt;&gt;"",IF('Capacity summary'!$D$14="Yes",IF(COUNTBLANK('Capacity summary'!$H201:$BG201)&lt;52,IF('Capacity summary'!V201&lt;&gt;"",$BI82*V82,0),V82*$BI82),V82*$BI82),0)</f>
        <v>0</v>
      </c>
      <c r="BZ82" s="319">
        <f>IF($BI82&lt;&gt;"",IF('Capacity summary'!$D$14="Yes",IF(COUNTBLANK('Capacity summary'!$H201:$BG201)&lt;52,IF('Capacity summary'!W201&lt;&gt;"",$BI82*W82,0),W82*$BI82),W82*$BI82),0)</f>
        <v>0</v>
      </c>
      <c r="CA82" s="319">
        <f>IF($BI82&lt;&gt;"",IF('Capacity summary'!$D$14="Yes",IF(COUNTBLANK('Capacity summary'!$H201:$BG201)&lt;52,IF('Capacity summary'!X201&lt;&gt;"",$BI82*X82,0),X82*$BI82),X82*$BI82),0)</f>
        <v>0</v>
      </c>
      <c r="CB82" s="319">
        <f>IF($BI82&lt;&gt;"",IF('Capacity summary'!$D$14="Yes",IF(COUNTBLANK('Capacity summary'!$H201:$BG201)&lt;52,IF('Capacity summary'!Y201&lt;&gt;"",$BI82*Y82,0),Y82*$BI82),Y82*$BI82),0)</f>
        <v>0</v>
      </c>
      <c r="CC82" s="319">
        <f>IF($BI82&lt;&gt;"",IF('Capacity summary'!$D$14="Yes",IF(COUNTBLANK('Capacity summary'!$H201:$BG201)&lt;52,IF('Capacity summary'!Z201&lt;&gt;"",$BI82*Z82,0),Z82*$BI82),Z82*$BI82),0)</f>
        <v>0</v>
      </c>
      <c r="CD82" s="319">
        <f>IF($BI82&lt;&gt;"",IF('Capacity summary'!$D$14="Yes",IF(COUNTBLANK('Capacity summary'!$H201:$BG201)&lt;52,IF('Capacity summary'!AA201&lt;&gt;"",$BI82*AA82,0),AA82*$BI82),AA82*$BI82),0)</f>
        <v>0</v>
      </c>
      <c r="CE82" s="319">
        <f>IF($BI82&lt;&gt;"",IF('Capacity summary'!$D$14="Yes",IF(COUNTBLANK('Capacity summary'!$H201:$BG201)&lt;52,IF('Capacity summary'!AB201&lt;&gt;"",$BI82*AB82,0),AB82*$BI82),AB82*$BI82),0)</f>
        <v>0</v>
      </c>
      <c r="CF82" s="319">
        <f>IF($BI82&lt;&gt;"",IF('Capacity summary'!$D$14="Yes",IF(COUNTBLANK('Capacity summary'!$H201:$BG201)&lt;52,IF('Capacity summary'!AC201&lt;&gt;"",$BI82*AC82,0),AC82*$BI82),AC82*$BI82),0)</f>
        <v>0</v>
      </c>
      <c r="CG82" s="319">
        <f>IF($BI82&lt;&gt;"",IF('Capacity summary'!$D$14="Yes",IF(COUNTBLANK('Capacity summary'!$H201:$BG201)&lt;52,IF('Capacity summary'!AD201&lt;&gt;"",$BI82*AD82,0),AD82*$BI82),AD82*$BI82),0)</f>
        <v>0</v>
      </c>
      <c r="CH82" s="319">
        <f>IF($BI82&lt;&gt;"",IF('Capacity summary'!$D$14="Yes",IF(COUNTBLANK('Capacity summary'!$H201:$BG201)&lt;52,IF('Capacity summary'!AE201&lt;&gt;"",$BI82*AE82,0),AE82*$BI82),AE82*$BI82),0)</f>
        <v>0</v>
      </c>
      <c r="CI82" s="319">
        <f>IF($BI82&lt;&gt;"",IF('Capacity summary'!$D$14="Yes",IF(COUNTBLANK('Capacity summary'!$H201:$BG201)&lt;52,IF('Capacity summary'!AF201&lt;&gt;"",$BI82*AF82,0),AF82*$BI82),AF82*$BI82),0)</f>
        <v>0</v>
      </c>
      <c r="CJ82" s="319">
        <f>IF($BI82&lt;&gt;"",IF('Capacity summary'!$D$14="Yes",IF(COUNTBLANK('Capacity summary'!$H201:$BG201)&lt;52,IF('Capacity summary'!AG201&lt;&gt;"",$BI82*AG82,0),AG82*$BI82),AG82*$BI82),0)</f>
        <v>0</v>
      </c>
      <c r="CK82" s="319">
        <f>IF($BI82&lt;&gt;"",IF('Capacity summary'!$D$14="Yes",IF(COUNTBLANK('Capacity summary'!$H201:$BG201)&lt;52,IF('Capacity summary'!AH201&lt;&gt;"",$BI82*AH82,0),AH82*$BI82),AH82*$BI82),0)</f>
        <v>0</v>
      </c>
      <c r="CL82" s="319">
        <f>IF($BI82&lt;&gt;"",IF('Capacity summary'!$D$14="Yes",IF(COUNTBLANK('Capacity summary'!$H201:$BG201)&lt;52,IF('Capacity summary'!AI201&lt;&gt;"",$BI82*AI82,0),AI82*$BI82),AI82*$BI82),0)</f>
        <v>0</v>
      </c>
      <c r="CM82" s="319">
        <f>IF($BI82&lt;&gt;"",IF('Capacity summary'!$D$14="Yes",IF(COUNTBLANK('Capacity summary'!$H201:$BG201)&lt;52,IF('Capacity summary'!AJ201&lt;&gt;"",$BI82*AJ82,0),AJ82*$BI82),AJ82*$BI82),0)</f>
        <v>0</v>
      </c>
      <c r="CN82" s="319">
        <f>IF($BI82&lt;&gt;"",IF('Capacity summary'!$D$14="Yes",IF(COUNTBLANK('Capacity summary'!$H201:$BG201)&lt;52,IF('Capacity summary'!AK201&lt;&gt;"",$BI82*AK82,0),AK82*$BI82),AK82*$BI82),0)</f>
        <v>0</v>
      </c>
      <c r="CO82" s="319">
        <f>IF($BI82&lt;&gt;"",IF('Capacity summary'!$D$14="Yes",IF(COUNTBLANK('Capacity summary'!$H201:$BG201)&lt;52,IF('Capacity summary'!AL201&lt;&gt;"",$BI82*AL82,0),AL82*$BI82),AL82*$BI82),0)</f>
        <v>0</v>
      </c>
      <c r="CP82" s="319">
        <f>IF($BI82&lt;&gt;"",IF('Capacity summary'!$D$14="Yes",IF(COUNTBLANK('Capacity summary'!$H201:$BG201)&lt;52,IF('Capacity summary'!AM201&lt;&gt;"",$BI82*AM82,0),AM82*$BI82),AM82*$BI82),0)</f>
        <v>0</v>
      </c>
      <c r="CQ82" s="319">
        <f>IF($BI82&lt;&gt;"",IF('Capacity summary'!$D$14="Yes",IF(COUNTBLANK('Capacity summary'!$H201:$BG201)&lt;52,IF('Capacity summary'!AN201&lt;&gt;"",$BI82*AN82,0),AN82*$BI82),AN82*$BI82),0)</f>
        <v>0</v>
      </c>
      <c r="CR82" s="319">
        <f>IF($BI82&lt;&gt;"",IF('Capacity summary'!$D$14="Yes",IF(COUNTBLANK('Capacity summary'!$H201:$BG201)&lt;52,IF('Capacity summary'!AO201&lt;&gt;"",$BI82*AO82,0),AO82*$BI82),AO82*$BI82),0)</f>
        <v>0</v>
      </c>
      <c r="CS82" s="319">
        <f>IF($BI82&lt;&gt;"",IF('Capacity summary'!$D$14="Yes",IF(COUNTBLANK('Capacity summary'!$H201:$BG201)&lt;52,IF('Capacity summary'!AP201&lt;&gt;"",$BI82*AP82,0),AP82*$BI82),AP82*$BI82),0)</f>
        <v>0</v>
      </c>
      <c r="CT82" s="319">
        <f>IF($BI82&lt;&gt;"",IF('Capacity summary'!$D$14="Yes",IF(COUNTBLANK('Capacity summary'!$H201:$BG201)&lt;52,IF('Capacity summary'!AQ201&lt;&gt;"",$BI82*AQ82,0),AQ82*$BI82),AQ82*$BI82),0)</f>
        <v>0</v>
      </c>
      <c r="CU82" s="319">
        <f>IF($BI82&lt;&gt;"",IF('Capacity summary'!$D$14="Yes",IF(COUNTBLANK('Capacity summary'!$H201:$BG201)&lt;52,IF('Capacity summary'!AR201&lt;&gt;"",$BI82*AR82,0),AR82*$BI82),AR82*$BI82),0)</f>
        <v>0</v>
      </c>
      <c r="CV82" s="319">
        <f>IF($BI82&lt;&gt;"",IF('Capacity summary'!$D$14="Yes",IF(COUNTBLANK('Capacity summary'!$H201:$BG201)&lt;52,IF('Capacity summary'!AS201&lt;&gt;"",$BI82*AS82,0),AS82*$BI82),AS82*$BI82),0)</f>
        <v>0</v>
      </c>
      <c r="CW82" s="319">
        <f>IF($BI82&lt;&gt;"",IF('Capacity summary'!$D$14="Yes",IF(COUNTBLANK('Capacity summary'!$H201:$BG201)&lt;52,IF('Capacity summary'!AT201&lt;&gt;"",$BI82*AT82,0),AT82*$BI82),AT82*$BI82),0)</f>
        <v>0</v>
      </c>
      <c r="CX82" s="319">
        <f>IF($BI82&lt;&gt;"",IF('Capacity summary'!$D$14="Yes",IF(COUNTBLANK('Capacity summary'!$H201:$BG201)&lt;52,IF('Capacity summary'!AU201&lt;&gt;"",$BI82*AU82,0),AU82*$BI82),AU82*$BI82),0)</f>
        <v>0</v>
      </c>
      <c r="CY82" s="319">
        <f>IF($BI82&lt;&gt;"",IF('Capacity summary'!$D$14="Yes",IF(COUNTBLANK('Capacity summary'!$H201:$BG201)&lt;52,IF('Capacity summary'!AV201&lt;&gt;"",$BI82*AV82,0),AV82*$BI82),AV82*$BI82),0)</f>
        <v>0</v>
      </c>
      <c r="CZ82" s="319">
        <f>IF($BI82&lt;&gt;"",IF('Capacity summary'!$D$14="Yes",IF(COUNTBLANK('Capacity summary'!$H201:$BG201)&lt;52,IF('Capacity summary'!AW201&lt;&gt;"",$BI82*AW82,0),AW82*$BI82),AW82*$BI82),0)</f>
        <v>0</v>
      </c>
      <c r="DA82" s="319">
        <f>IF($BI82&lt;&gt;"",IF('Capacity summary'!$D$14="Yes",IF(COUNTBLANK('Capacity summary'!$H201:$BG201)&lt;52,IF('Capacity summary'!AX201&lt;&gt;"",$BI82*AX82,0),AX82*$BI82),AX82*$BI82),0)</f>
        <v>0</v>
      </c>
      <c r="DB82" s="319">
        <f>IF($BI82&lt;&gt;"",IF('Capacity summary'!$D$14="Yes",IF(COUNTBLANK('Capacity summary'!$H201:$BG201)&lt;52,IF('Capacity summary'!AY201&lt;&gt;"",$BI82*AY82,0),AY82*$BI82),AY82*$BI82),0)</f>
        <v>0</v>
      </c>
      <c r="DC82" s="319">
        <f>IF($BI82&lt;&gt;"",IF('Capacity summary'!$D$14="Yes",IF(COUNTBLANK('Capacity summary'!$H201:$BG201)&lt;52,IF('Capacity summary'!AZ201&lt;&gt;"",$BI82*AZ82,0),AZ82*$BI82),AZ82*$BI82),0)</f>
        <v>0</v>
      </c>
      <c r="DD82" s="319">
        <f>IF($BI82&lt;&gt;"",IF('Capacity summary'!$D$14="Yes",IF(COUNTBLANK('Capacity summary'!$H201:$BG201)&lt;52,IF('Capacity summary'!BA201&lt;&gt;"",$BI82*BA82,0),BA82*$BI82),BA82*$BI82),0)</f>
        <v>0</v>
      </c>
      <c r="DE82" s="319">
        <f>IF($BI82&lt;&gt;"",IF('Capacity summary'!$D$14="Yes",IF(COUNTBLANK('Capacity summary'!$H201:$BG201)&lt;52,IF('Capacity summary'!BB201&lt;&gt;"",$BI82*BB82,0),BB82*$BI82),BB82*$BI82),0)</f>
        <v>0</v>
      </c>
      <c r="DF82" s="319">
        <f>IF($BI82&lt;&gt;"",IF('Capacity summary'!$D$14="Yes",IF(COUNTBLANK('Capacity summary'!$H201:$BG201)&lt;52,IF('Capacity summary'!BC201&lt;&gt;"",$BI82*BC82,0),BC82*$BI82),BC82*$BI82),0)</f>
        <v>0</v>
      </c>
      <c r="DG82" s="319">
        <f>IF($BI82&lt;&gt;"",IF('Capacity summary'!$D$14="Yes",IF(COUNTBLANK('Capacity summary'!$H201:$BG201)&lt;52,IF('Capacity summary'!BD201&lt;&gt;"",$BI82*BD82,0),BD82*$BI82),BD82*$BI82),0)</f>
        <v>0</v>
      </c>
      <c r="DH82" s="319">
        <f>IF($BI82&lt;&gt;"",IF('Capacity summary'!$D$14="Yes",IF(COUNTBLANK('Capacity summary'!$H201:$BG201)&lt;52,IF('Capacity summary'!BE201&lt;&gt;"",$BI82*BE82,0),BE82*$BI82),BE82*$BI82),0)</f>
        <v>0</v>
      </c>
      <c r="DI82" s="319">
        <f>IF($BI82&lt;&gt;"",IF('Capacity summary'!$D$14="Yes",IF(COUNTBLANK('Capacity summary'!$H201:$BG201)&lt;52,IF('Capacity summary'!BF201&lt;&gt;"",$BI82*BF82,0),BF82*$BI82),BF82*$BI82),0)</f>
        <v>0</v>
      </c>
      <c r="DJ82" s="319">
        <f>IF($BI82&lt;&gt;"",IF('Capacity summary'!$D$14="Yes",IF(COUNTBLANK('Capacity summary'!$H201:$BG201)&lt;52,IF('Capacity summary'!BG201&lt;&gt;"",$BI82*BG82,0),BG82*$BI82),BG82*$BI82),0)</f>
        <v>0</v>
      </c>
      <c r="DK82" s="5">
        <f t="shared" si="3"/>
        <v>0</v>
      </c>
      <c r="DL82" s="5" t="str">
        <f>Capacity!H94</f>
        <v/>
      </c>
    </row>
    <row r="83" spans="2:116" x14ac:dyDescent="0.2">
      <c r="B83" s="68"/>
      <c r="C83" s="68" t="str">
        <f>ROW(A79)&amp;". "&amp;Capacity!B95</f>
        <v xml:space="preserve">79. </v>
      </c>
      <c r="D83" s="68">
        <f>'Capacity setup'!C90</f>
        <v>0</v>
      </c>
      <c r="E83" s="68">
        <f>'Capacity setup'!D90</f>
        <v>0</v>
      </c>
      <c r="F83" s="68">
        <f>'Capacity setup'!E90</f>
        <v>0</v>
      </c>
      <c r="H83" s="68">
        <f ca="1">IF(AND(SUMIF(Capacity_Resource,$D83,'Critical resources (hide)'!U$6:U$105)+SUMIF(Capacity_Resource,$E83,'Critical resources (hide)'!U$6:U$105)+SUMIF(Capacity_Resource,$F83,'Critical resources (hide)'!U$6:U$105)&gt;0,$E$1=2),0,1)</f>
        <v>1</v>
      </c>
      <c r="I83" s="68">
        <f ca="1">IF(AND(SUMIF(Capacity_Resource,$D83,'Critical resources (hide)'!V$6:V$105)+SUMIF(Capacity_Resource,$E83,'Critical resources (hide)'!V$6:V$105)+SUMIF(Capacity_Resource,$F83,'Critical resources (hide)'!V$6:V$105)&gt;0,$E$1=2),0,1)</f>
        <v>1</v>
      </c>
      <c r="J83" s="68">
        <f ca="1">IF(AND(SUMIF(Capacity_Resource,$D83,'Critical resources (hide)'!W$6:W$105)+SUMIF(Capacity_Resource,$E83,'Critical resources (hide)'!W$6:W$105)+SUMIF(Capacity_Resource,$F83,'Critical resources (hide)'!W$6:W$105)&gt;0,$E$1=2),0,1)</f>
        <v>1</v>
      </c>
      <c r="K83" s="68">
        <f ca="1">IF(AND(SUMIF(Capacity_Resource,$D83,'Critical resources (hide)'!X$6:X$105)+SUMIF(Capacity_Resource,$E83,'Critical resources (hide)'!X$6:X$105)+SUMIF(Capacity_Resource,$F83,'Critical resources (hide)'!X$6:X$105)&gt;0,$E$1=2),0,1)</f>
        <v>1</v>
      </c>
      <c r="L83" s="68">
        <f ca="1">IF(AND(SUMIF(Capacity_Resource,$D83,'Critical resources (hide)'!Y$6:Y$105)+SUMIF(Capacity_Resource,$E83,'Critical resources (hide)'!Y$6:Y$105)+SUMIF(Capacity_Resource,$F83,'Critical resources (hide)'!Y$6:Y$105)&gt;0,$E$1=2),0,1)</f>
        <v>1</v>
      </c>
      <c r="M83" s="68">
        <f ca="1">IF(AND(SUMIF(Capacity_Resource,$D83,'Critical resources (hide)'!Z$6:Z$105)+SUMIF(Capacity_Resource,$E83,'Critical resources (hide)'!Z$6:Z$105)+SUMIF(Capacity_Resource,$F83,'Critical resources (hide)'!Z$6:Z$105)&gt;0,$E$1=2),0,1)</f>
        <v>1</v>
      </c>
      <c r="N83" s="68">
        <f ca="1">IF(AND(SUMIF(Capacity_Resource,$D83,'Critical resources (hide)'!AA$6:AA$105)+SUMIF(Capacity_Resource,$E83,'Critical resources (hide)'!AA$6:AA$105)+SUMIF(Capacity_Resource,$F83,'Critical resources (hide)'!AA$6:AA$105)&gt;0,$E$1=2),0,1)</f>
        <v>1</v>
      </c>
      <c r="O83" s="68">
        <f ca="1">IF(AND(SUMIF(Capacity_Resource,$D83,'Critical resources (hide)'!AB$6:AB$105)+SUMIF(Capacity_Resource,$E83,'Critical resources (hide)'!AB$6:AB$105)+SUMIF(Capacity_Resource,$F83,'Critical resources (hide)'!AB$6:AB$105)&gt;0,$E$1=2),0,1)</f>
        <v>1</v>
      </c>
      <c r="P83" s="68">
        <f ca="1">IF(AND(SUMIF(Capacity_Resource,$D83,'Critical resources (hide)'!AC$6:AC$105)+SUMIF(Capacity_Resource,$E83,'Critical resources (hide)'!AC$6:AC$105)+SUMIF(Capacity_Resource,$F83,'Critical resources (hide)'!AC$6:AC$105)&gt;0,$E$1=2),0,1)</f>
        <v>1</v>
      </c>
      <c r="Q83" s="68">
        <f ca="1">IF(AND(SUMIF(Capacity_Resource,$D83,'Critical resources (hide)'!AD$6:AD$105)+SUMIF(Capacity_Resource,$E83,'Critical resources (hide)'!AD$6:AD$105)+SUMIF(Capacity_Resource,$F83,'Critical resources (hide)'!AD$6:AD$105)&gt;0,$E$1=2),0,1)</f>
        <v>1</v>
      </c>
      <c r="R83" s="68">
        <f ca="1">IF(AND(SUMIF(Capacity_Resource,$D83,'Critical resources (hide)'!AE$6:AE$105)+SUMIF(Capacity_Resource,$E83,'Critical resources (hide)'!AE$6:AE$105)+SUMIF(Capacity_Resource,$F83,'Critical resources (hide)'!AE$6:AE$105)&gt;0,$E$1=2),0,1)</f>
        <v>1</v>
      </c>
      <c r="S83" s="68">
        <f ca="1">IF(AND(SUMIF(Capacity_Resource,$D83,'Critical resources (hide)'!AF$6:AF$105)+SUMIF(Capacity_Resource,$E83,'Critical resources (hide)'!AF$6:AF$105)+SUMIF(Capacity_Resource,$F83,'Critical resources (hide)'!AF$6:AF$105)&gt;0,$E$1=2),0,1)</f>
        <v>1</v>
      </c>
      <c r="T83" s="68">
        <f ca="1">IF(AND(SUMIF(Capacity_Resource,$D83,'Critical resources (hide)'!AG$6:AG$105)+SUMIF(Capacity_Resource,$E83,'Critical resources (hide)'!AG$6:AG$105)+SUMIF(Capacity_Resource,$F83,'Critical resources (hide)'!AG$6:AG$105)&gt;0,$E$1=2),0,1)</f>
        <v>1</v>
      </c>
      <c r="U83" s="68">
        <f ca="1">IF(AND(SUMIF(Capacity_Resource,$D83,'Critical resources (hide)'!AH$6:AH$105)+SUMIF(Capacity_Resource,$E83,'Critical resources (hide)'!AH$6:AH$105)+SUMIF(Capacity_Resource,$F83,'Critical resources (hide)'!AH$6:AH$105)&gt;0,$E$1=2),0,1)</f>
        <v>1</v>
      </c>
      <c r="V83" s="68">
        <f ca="1">IF(AND(SUMIF(Capacity_Resource,$D83,'Critical resources (hide)'!AI$6:AI$105)+SUMIF(Capacity_Resource,$E83,'Critical resources (hide)'!AI$6:AI$105)+SUMIF(Capacity_Resource,$F83,'Critical resources (hide)'!AI$6:AI$105)&gt;0,$E$1=2),0,1)</f>
        <v>1</v>
      </c>
      <c r="W83" s="68">
        <f ca="1">IF(AND(SUMIF(Capacity_Resource,$D83,'Critical resources (hide)'!AJ$6:AJ$105)+SUMIF(Capacity_Resource,$E83,'Critical resources (hide)'!AJ$6:AJ$105)+SUMIF(Capacity_Resource,$F83,'Critical resources (hide)'!AJ$6:AJ$105)&gt;0,$E$1=2),0,1)</f>
        <v>1</v>
      </c>
      <c r="X83" s="68">
        <f ca="1">IF(AND(SUMIF(Capacity_Resource,$D83,'Critical resources (hide)'!AK$6:AK$105)+SUMIF(Capacity_Resource,$E83,'Critical resources (hide)'!AK$6:AK$105)+SUMIF(Capacity_Resource,$F83,'Critical resources (hide)'!AK$6:AK$105)&gt;0,$E$1=2),0,1)</f>
        <v>1</v>
      </c>
      <c r="Y83" s="68">
        <f ca="1">IF(AND(SUMIF(Capacity_Resource,$D83,'Critical resources (hide)'!AL$6:AL$105)+SUMIF(Capacity_Resource,$E83,'Critical resources (hide)'!AL$6:AL$105)+SUMIF(Capacity_Resource,$F83,'Critical resources (hide)'!AL$6:AL$105)&gt;0,$E$1=2),0,1)</f>
        <v>1</v>
      </c>
      <c r="Z83" s="68">
        <f ca="1">IF(AND(SUMIF(Capacity_Resource,$D83,'Critical resources (hide)'!AM$6:AM$105)+SUMIF(Capacity_Resource,$E83,'Critical resources (hide)'!AM$6:AM$105)+SUMIF(Capacity_Resource,$F83,'Critical resources (hide)'!AM$6:AM$105)&gt;0,$E$1=2),0,1)</f>
        <v>1</v>
      </c>
      <c r="AA83" s="68">
        <f ca="1">IF(AND(SUMIF(Capacity_Resource,$D83,'Critical resources (hide)'!AN$6:AN$105)+SUMIF(Capacity_Resource,$E83,'Critical resources (hide)'!AN$6:AN$105)+SUMIF(Capacity_Resource,$F83,'Critical resources (hide)'!AN$6:AN$105)&gt;0,$E$1=2),0,1)</f>
        <v>1</v>
      </c>
      <c r="AB83" s="68">
        <f ca="1">IF(AND(SUMIF(Capacity_Resource,$D83,'Critical resources (hide)'!AO$6:AO$105)+SUMIF(Capacity_Resource,$E83,'Critical resources (hide)'!AO$6:AO$105)+SUMIF(Capacity_Resource,$F83,'Critical resources (hide)'!AO$6:AO$105)&gt;0,$E$1=2),0,1)</f>
        <v>1</v>
      </c>
      <c r="AC83" s="68">
        <f ca="1">IF(AND(SUMIF(Capacity_Resource,$D83,'Critical resources (hide)'!AP$6:AP$105)+SUMIF(Capacity_Resource,$E83,'Critical resources (hide)'!AP$6:AP$105)+SUMIF(Capacity_Resource,$F83,'Critical resources (hide)'!AP$6:AP$105)&gt;0,$E$1=2),0,1)</f>
        <v>1</v>
      </c>
      <c r="AD83" s="68">
        <f ca="1">IF(AND(SUMIF(Capacity_Resource,$D83,'Critical resources (hide)'!AQ$6:AQ$105)+SUMIF(Capacity_Resource,$E83,'Critical resources (hide)'!AQ$6:AQ$105)+SUMIF(Capacity_Resource,$F83,'Critical resources (hide)'!AQ$6:AQ$105)&gt;0,$E$1=2),0,1)</f>
        <v>1</v>
      </c>
      <c r="AE83" s="68">
        <f ca="1">IF(AND(SUMIF(Capacity_Resource,$D83,'Critical resources (hide)'!AR$6:AR$105)+SUMIF(Capacity_Resource,$E83,'Critical resources (hide)'!AR$6:AR$105)+SUMIF(Capacity_Resource,$F83,'Critical resources (hide)'!AR$6:AR$105)&gt;0,$E$1=2),0,1)</f>
        <v>1</v>
      </c>
      <c r="AF83" s="68">
        <f ca="1">IF(AND(SUMIF(Capacity_Resource,$D83,'Critical resources (hide)'!AS$6:AS$105)+SUMIF(Capacity_Resource,$E83,'Critical resources (hide)'!AS$6:AS$105)+SUMIF(Capacity_Resource,$F83,'Critical resources (hide)'!AS$6:AS$105)&gt;0,$E$1=2),0,1)</f>
        <v>1</v>
      </c>
      <c r="AG83" s="68">
        <f ca="1">IF(AND(SUMIF(Capacity_Resource,$D83,'Critical resources (hide)'!AT$6:AT$105)+SUMIF(Capacity_Resource,$E83,'Critical resources (hide)'!AT$6:AT$105)+SUMIF(Capacity_Resource,$F83,'Critical resources (hide)'!AT$6:AT$105)&gt;0,$E$1=2),0,1)</f>
        <v>1</v>
      </c>
      <c r="AH83" s="68">
        <f ca="1">IF(AND(SUMIF(Capacity_Resource,$D83,'Critical resources (hide)'!AU$6:AU$105)+SUMIF(Capacity_Resource,$E83,'Critical resources (hide)'!AU$6:AU$105)+SUMIF(Capacity_Resource,$F83,'Critical resources (hide)'!AU$6:AU$105)&gt;0,$E$1=2),0,1)</f>
        <v>1</v>
      </c>
      <c r="AI83" s="68">
        <f ca="1">IF(AND(SUMIF(Capacity_Resource,$D83,'Critical resources (hide)'!AV$6:AV$105)+SUMIF(Capacity_Resource,$E83,'Critical resources (hide)'!AV$6:AV$105)+SUMIF(Capacity_Resource,$F83,'Critical resources (hide)'!AV$6:AV$105)&gt;0,$E$1=2),0,1)</f>
        <v>1</v>
      </c>
      <c r="AJ83" s="68">
        <f ca="1">IF(AND(SUMIF(Capacity_Resource,$D83,'Critical resources (hide)'!AW$6:AW$105)+SUMIF(Capacity_Resource,$E83,'Critical resources (hide)'!AW$6:AW$105)+SUMIF(Capacity_Resource,$F83,'Critical resources (hide)'!AW$6:AW$105)&gt;0,$E$1=2),0,1)</f>
        <v>1</v>
      </c>
      <c r="AK83" s="68">
        <f ca="1">IF(AND(SUMIF(Capacity_Resource,$D83,'Critical resources (hide)'!AX$6:AX$105)+SUMIF(Capacity_Resource,$E83,'Critical resources (hide)'!AX$6:AX$105)+SUMIF(Capacity_Resource,$F83,'Critical resources (hide)'!AX$6:AX$105)&gt;0,$E$1=2),0,1)</f>
        <v>1</v>
      </c>
      <c r="AL83" s="68">
        <f ca="1">IF(AND(SUMIF(Capacity_Resource,$D83,'Critical resources (hide)'!AY$6:AY$105)+SUMIF(Capacity_Resource,$E83,'Critical resources (hide)'!AY$6:AY$105)+SUMIF(Capacity_Resource,$F83,'Critical resources (hide)'!AY$6:AY$105)&gt;0,$E$1=2),0,1)</f>
        <v>1</v>
      </c>
      <c r="AM83" s="68">
        <f ca="1">IF(AND(SUMIF(Capacity_Resource,$D83,'Critical resources (hide)'!AZ$6:AZ$105)+SUMIF(Capacity_Resource,$E83,'Critical resources (hide)'!AZ$6:AZ$105)+SUMIF(Capacity_Resource,$F83,'Critical resources (hide)'!AZ$6:AZ$105)&gt;0,$E$1=2),0,1)</f>
        <v>1</v>
      </c>
      <c r="AN83" s="68">
        <f ca="1">IF(AND(SUMIF(Capacity_Resource,$D83,'Critical resources (hide)'!BA$6:BA$105)+SUMIF(Capacity_Resource,$E83,'Critical resources (hide)'!BA$6:BA$105)+SUMIF(Capacity_Resource,$F83,'Critical resources (hide)'!BA$6:BA$105)&gt;0,$E$1=2),0,1)</f>
        <v>1</v>
      </c>
      <c r="AO83" s="68">
        <f ca="1">IF(AND(SUMIF(Capacity_Resource,$D83,'Critical resources (hide)'!BB$6:BB$105)+SUMIF(Capacity_Resource,$E83,'Critical resources (hide)'!BB$6:BB$105)+SUMIF(Capacity_Resource,$F83,'Critical resources (hide)'!BB$6:BB$105)&gt;0,$E$1=2),0,1)</f>
        <v>1</v>
      </c>
      <c r="AP83" s="68">
        <f ca="1">IF(AND(SUMIF(Capacity_Resource,$D83,'Critical resources (hide)'!BC$6:BC$105)+SUMIF(Capacity_Resource,$E83,'Critical resources (hide)'!BC$6:BC$105)+SUMIF(Capacity_Resource,$F83,'Critical resources (hide)'!BC$6:BC$105)&gt;0,$E$1=2),0,1)</f>
        <v>1</v>
      </c>
      <c r="AQ83" s="68">
        <f ca="1">IF(AND(SUMIF(Capacity_Resource,$D83,'Critical resources (hide)'!BD$6:BD$105)+SUMIF(Capacity_Resource,$E83,'Critical resources (hide)'!BD$6:BD$105)+SUMIF(Capacity_Resource,$F83,'Critical resources (hide)'!BD$6:BD$105)&gt;0,$E$1=2),0,1)</f>
        <v>1</v>
      </c>
      <c r="AR83" s="68">
        <f ca="1">IF(AND(SUMIF(Capacity_Resource,$D83,'Critical resources (hide)'!BE$6:BE$105)+SUMIF(Capacity_Resource,$E83,'Critical resources (hide)'!BE$6:BE$105)+SUMIF(Capacity_Resource,$F83,'Critical resources (hide)'!BE$6:BE$105)&gt;0,$E$1=2),0,1)</f>
        <v>1</v>
      </c>
      <c r="AS83" s="68">
        <f ca="1">IF(AND(SUMIF(Capacity_Resource,$D83,'Critical resources (hide)'!BF$6:BF$105)+SUMIF(Capacity_Resource,$E83,'Critical resources (hide)'!BF$6:BF$105)+SUMIF(Capacity_Resource,$F83,'Critical resources (hide)'!BF$6:BF$105)&gt;0,$E$1=2),0,1)</f>
        <v>1</v>
      </c>
      <c r="AT83" s="68">
        <f ca="1">IF(AND(SUMIF(Capacity_Resource,$D83,'Critical resources (hide)'!BG$6:BG$105)+SUMIF(Capacity_Resource,$E83,'Critical resources (hide)'!BG$6:BG$105)+SUMIF(Capacity_Resource,$F83,'Critical resources (hide)'!BG$6:BG$105)&gt;0,$E$1=2),0,1)</f>
        <v>1</v>
      </c>
      <c r="AU83" s="68">
        <f ca="1">IF(AND(SUMIF(Capacity_Resource,$D83,'Critical resources (hide)'!BH$6:BH$105)+SUMIF(Capacity_Resource,$E83,'Critical resources (hide)'!BH$6:BH$105)+SUMIF(Capacity_Resource,$F83,'Critical resources (hide)'!BH$6:BH$105)&gt;0,$E$1=2),0,1)</f>
        <v>1</v>
      </c>
      <c r="AV83" s="68">
        <f ca="1">IF(AND(SUMIF(Capacity_Resource,$D83,'Critical resources (hide)'!BI$6:BI$105)+SUMIF(Capacity_Resource,$E83,'Critical resources (hide)'!BI$6:BI$105)+SUMIF(Capacity_Resource,$F83,'Critical resources (hide)'!BI$6:BI$105)&gt;0,$E$1=2),0,1)</f>
        <v>1</v>
      </c>
      <c r="AW83" s="68">
        <f ca="1">IF(AND(SUMIF(Capacity_Resource,$D83,'Critical resources (hide)'!BJ$6:BJ$105)+SUMIF(Capacity_Resource,$E83,'Critical resources (hide)'!BJ$6:BJ$105)+SUMIF(Capacity_Resource,$F83,'Critical resources (hide)'!BJ$6:BJ$105)&gt;0,$E$1=2),0,1)</f>
        <v>1</v>
      </c>
      <c r="AX83" s="68">
        <f ca="1">IF(AND(SUMIF(Capacity_Resource,$D83,'Critical resources (hide)'!BK$6:BK$105)+SUMIF(Capacity_Resource,$E83,'Critical resources (hide)'!BK$6:BK$105)+SUMIF(Capacity_Resource,$F83,'Critical resources (hide)'!BK$6:BK$105)&gt;0,$E$1=2),0,1)</f>
        <v>1</v>
      </c>
      <c r="AY83" s="68">
        <f ca="1">IF(AND(SUMIF(Capacity_Resource,$D83,'Critical resources (hide)'!BL$6:BL$105)+SUMIF(Capacity_Resource,$E83,'Critical resources (hide)'!BL$6:BL$105)+SUMIF(Capacity_Resource,$F83,'Critical resources (hide)'!BL$6:BL$105)&gt;0,$E$1=2),0,1)</f>
        <v>1</v>
      </c>
      <c r="AZ83" s="68">
        <f ca="1">IF(AND(SUMIF(Capacity_Resource,$D83,'Critical resources (hide)'!BM$6:BM$105)+SUMIF(Capacity_Resource,$E83,'Critical resources (hide)'!BM$6:BM$105)+SUMIF(Capacity_Resource,$F83,'Critical resources (hide)'!BM$6:BM$105)&gt;0,$E$1=2),0,1)</f>
        <v>1</v>
      </c>
      <c r="BA83" s="68">
        <f ca="1">IF(AND(SUMIF(Capacity_Resource,$D83,'Critical resources (hide)'!BN$6:BN$105)+SUMIF(Capacity_Resource,$E83,'Critical resources (hide)'!BN$6:BN$105)+SUMIF(Capacity_Resource,$F83,'Critical resources (hide)'!BN$6:BN$105)&gt;0,$E$1=2),0,1)</f>
        <v>1</v>
      </c>
      <c r="BB83" s="68">
        <f ca="1">IF(AND(SUMIF(Capacity_Resource,$D83,'Critical resources (hide)'!BO$6:BO$105)+SUMIF(Capacity_Resource,$E83,'Critical resources (hide)'!BO$6:BO$105)+SUMIF(Capacity_Resource,$F83,'Critical resources (hide)'!BO$6:BO$105)&gt;0,$E$1=2),0,1)</f>
        <v>1</v>
      </c>
      <c r="BC83" s="68">
        <f ca="1">IF(AND(SUMIF(Capacity_Resource,$D83,'Critical resources (hide)'!BP$6:BP$105)+SUMIF(Capacity_Resource,$E83,'Critical resources (hide)'!BP$6:BP$105)+SUMIF(Capacity_Resource,$F83,'Critical resources (hide)'!BP$6:BP$105)&gt;0,$E$1=2),0,1)</f>
        <v>1</v>
      </c>
      <c r="BD83" s="68">
        <f ca="1">IF(AND(SUMIF(Capacity_Resource,$D83,'Critical resources (hide)'!BQ$6:BQ$105)+SUMIF(Capacity_Resource,$E83,'Critical resources (hide)'!BQ$6:BQ$105)+SUMIF(Capacity_Resource,$F83,'Critical resources (hide)'!BQ$6:BQ$105)&gt;0,$E$1=2),0,1)</f>
        <v>1</v>
      </c>
      <c r="BE83" s="68">
        <f ca="1">IF(AND(SUMIF(Capacity_Resource,$D83,'Critical resources (hide)'!BR$6:BR$105)+SUMIF(Capacity_Resource,$E83,'Critical resources (hide)'!BR$6:BR$105)+SUMIF(Capacity_Resource,$F83,'Critical resources (hide)'!BR$6:BR$105)&gt;0,$E$1=2),0,1)</f>
        <v>1</v>
      </c>
      <c r="BF83" s="68">
        <f ca="1">IF(AND(SUMIF(Capacity_Resource,$D83,'Critical resources (hide)'!BS$6:BS$105)+SUMIF(Capacity_Resource,$E83,'Critical resources (hide)'!BS$6:BS$105)+SUMIF(Capacity_Resource,$F83,'Critical resources (hide)'!BS$6:BS$105)&gt;0,$E$1=2),0,1)</f>
        <v>1</v>
      </c>
      <c r="BG83" s="68">
        <f ca="1">IF(AND(SUMIF(Capacity_Resource,$D83,'Critical resources (hide)'!BT$6:BT$105)+SUMIF(Capacity_Resource,$E83,'Critical resources (hide)'!BT$6:BT$105)+SUMIF(Capacity_Resource,$F83,'Critical resources (hide)'!BT$6:BT$105)&gt;0,$E$1=2),0,1)</f>
        <v>1</v>
      </c>
      <c r="BH83" s="68">
        <f>IF(ROW(C79)&lt;=Capacity!$A$16,IF('Capacity summary'!$D$14="No",SUM(H83:BG83),'Capacity summary'!$E202),0)</f>
        <v>0</v>
      </c>
      <c r="BI83" s="5" t="str">
        <f>IF(BH83&gt;0,IF(BH83&lt;Capacity!E95,Capacity!F95,Capacity!H95/'Capacity calculation (hide)'!BH83),"")</f>
        <v/>
      </c>
      <c r="BK83" s="319">
        <f>IF($BI83&lt;&gt;"",IF('Capacity summary'!$D$14="Yes",IF(COUNTBLANK('Capacity summary'!$H202:$BG202)&lt;52,IF('Capacity summary'!H202&lt;&gt;"",$BI83*H83,0),H83*$BI83),H83*$BI83),0)</f>
        <v>0</v>
      </c>
      <c r="BL83" s="319">
        <f>IF($BI83&lt;&gt;"",IF('Capacity summary'!$D$14="Yes",IF(COUNTBLANK('Capacity summary'!$H202:$BG202)&lt;52,IF('Capacity summary'!I202&lt;&gt;"",$BI83*I83,0),I83*$BI83),I83*$BI83),0)</f>
        <v>0</v>
      </c>
      <c r="BM83" s="319">
        <f>IF($BI83&lt;&gt;"",IF('Capacity summary'!$D$14="Yes",IF(COUNTBLANK('Capacity summary'!$H202:$BG202)&lt;52,IF('Capacity summary'!J202&lt;&gt;"",$BI83*J83,0),J83*$BI83),J83*$BI83),0)</f>
        <v>0</v>
      </c>
      <c r="BN83" s="319">
        <f>IF($BI83&lt;&gt;"",IF('Capacity summary'!$D$14="Yes",IF(COUNTBLANK('Capacity summary'!$H202:$BG202)&lt;52,IF('Capacity summary'!K202&lt;&gt;"",$BI83*K83,0),K83*$BI83),K83*$BI83),0)</f>
        <v>0</v>
      </c>
      <c r="BO83" s="319">
        <f>IF($BI83&lt;&gt;"",IF('Capacity summary'!$D$14="Yes",IF(COUNTBLANK('Capacity summary'!$H202:$BG202)&lt;52,IF('Capacity summary'!L202&lt;&gt;"",$BI83*L83,0),L83*$BI83),L83*$BI83),0)</f>
        <v>0</v>
      </c>
      <c r="BP83" s="319">
        <f>IF($BI83&lt;&gt;"",IF('Capacity summary'!$D$14="Yes",IF(COUNTBLANK('Capacity summary'!$H202:$BG202)&lt;52,IF('Capacity summary'!M202&lt;&gt;"",$BI83*M83,0),M83*$BI83),M83*$BI83),0)</f>
        <v>0</v>
      </c>
      <c r="BQ83" s="319">
        <f>IF($BI83&lt;&gt;"",IF('Capacity summary'!$D$14="Yes",IF(COUNTBLANK('Capacity summary'!$H202:$BG202)&lt;52,IF('Capacity summary'!N202&lt;&gt;"",$BI83*N83,0),N83*$BI83),N83*$BI83),0)</f>
        <v>0</v>
      </c>
      <c r="BR83" s="319">
        <f>IF($BI83&lt;&gt;"",IF('Capacity summary'!$D$14="Yes",IF(COUNTBLANK('Capacity summary'!$H202:$BG202)&lt;52,IF('Capacity summary'!O202&lt;&gt;"",$BI83*O83,0),O83*$BI83),O83*$BI83),0)</f>
        <v>0</v>
      </c>
      <c r="BS83" s="319">
        <f>IF($BI83&lt;&gt;"",IF('Capacity summary'!$D$14="Yes",IF(COUNTBLANK('Capacity summary'!$H202:$BG202)&lt;52,IF('Capacity summary'!P202&lt;&gt;"",$BI83*P83,0),P83*$BI83),P83*$BI83),0)</f>
        <v>0</v>
      </c>
      <c r="BT83" s="319">
        <f>IF($BI83&lt;&gt;"",IF('Capacity summary'!$D$14="Yes",IF(COUNTBLANK('Capacity summary'!$H202:$BG202)&lt;52,IF('Capacity summary'!Q202&lt;&gt;"",$BI83*Q83,0),Q83*$BI83),Q83*$BI83),0)</f>
        <v>0</v>
      </c>
      <c r="BU83" s="319">
        <f>IF($BI83&lt;&gt;"",IF('Capacity summary'!$D$14="Yes",IF(COUNTBLANK('Capacity summary'!$H202:$BG202)&lt;52,IF('Capacity summary'!R202&lt;&gt;"",$BI83*R83,0),R83*$BI83),R83*$BI83),0)</f>
        <v>0</v>
      </c>
      <c r="BV83" s="319">
        <f>IF($BI83&lt;&gt;"",IF('Capacity summary'!$D$14="Yes",IF(COUNTBLANK('Capacity summary'!$H202:$BG202)&lt;52,IF('Capacity summary'!S202&lt;&gt;"",$BI83*S83,0),S83*$BI83),S83*$BI83),0)</f>
        <v>0</v>
      </c>
      <c r="BW83" s="319">
        <f>IF($BI83&lt;&gt;"",IF('Capacity summary'!$D$14="Yes",IF(COUNTBLANK('Capacity summary'!$H202:$BG202)&lt;52,IF('Capacity summary'!T202&lt;&gt;"",$BI83*T83,0),T83*$BI83),T83*$BI83),0)</f>
        <v>0</v>
      </c>
      <c r="BX83" s="319">
        <f>IF($BI83&lt;&gt;"",IF('Capacity summary'!$D$14="Yes",IF(COUNTBLANK('Capacity summary'!$H202:$BG202)&lt;52,IF('Capacity summary'!U202&lt;&gt;"",$BI83*U83,0),U83*$BI83),U83*$BI83),0)</f>
        <v>0</v>
      </c>
      <c r="BY83" s="319">
        <f>IF($BI83&lt;&gt;"",IF('Capacity summary'!$D$14="Yes",IF(COUNTBLANK('Capacity summary'!$H202:$BG202)&lt;52,IF('Capacity summary'!V202&lt;&gt;"",$BI83*V83,0),V83*$BI83),V83*$BI83),0)</f>
        <v>0</v>
      </c>
      <c r="BZ83" s="319">
        <f>IF($BI83&lt;&gt;"",IF('Capacity summary'!$D$14="Yes",IF(COUNTBLANK('Capacity summary'!$H202:$BG202)&lt;52,IF('Capacity summary'!W202&lt;&gt;"",$BI83*W83,0),W83*$BI83),W83*$BI83),0)</f>
        <v>0</v>
      </c>
      <c r="CA83" s="319">
        <f>IF($BI83&lt;&gt;"",IF('Capacity summary'!$D$14="Yes",IF(COUNTBLANK('Capacity summary'!$H202:$BG202)&lt;52,IF('Capacity summary'!X202&lt;&gt;"",$BI83*X83,0),X83*$BI83),X83*$BI83),0)</f>
        <v>0</v>
      </c>
      <c r="CB83" s="319">
        <f>IF($BI83&lt;&gt;"",IF('Capacity summary'!$D$14="Yes",IF(COUNTBLANK('Capacity summary'!$H202:$BG202)&lt;52,IF('Capacity summary'!Y202&lt;&gt;"",$BI83*Y83,0),Y83*$BI83),Y83*$BI83),0)</f>
        <v>0</v>
      </c>
      <c r="CC83" s="319">
        <f>IF($BI83&lt;&gt;"",IF('Capacity summary'!$D$14="Yes",IF(COUNTBLANK('Capacity summary'!$H202:$BG202)&lt;52,IF('Capacity summary'!Z202&lt;&gt;"",$BI83*Z83,0),Z83*$BI83),Z83*$BI83),0)</f>
        <v>0</v>
      </c>
      <c r="CD83" s="319">
        <f>IF($BI83&lt;&gt;"",IF('Capacity summary'!$D$14="Yes",IF(COUNTBLANK('Capacity summary'!$H202:$BG202)&lt;52,IF('Capacity summary'!AA202&lt;&gt;"",$BI83*AA83,0),AA83*$BI83),AA83*$BI83),0)</f>
        <v>0</v>
      </c>
      <c r="CE83" s="319">
        <f>IF($BI83&lt;&gt;"",IF('Capacity summary'!$D$14="Yes",IF(COUNTBLANK('Capacity summary'!$H202:$BG202)&lt;52,IF('Capacity summary'!AB202&lt;&gt;"",$BI83*AB83,0),AB83*$BI83),AB83*$BI83),0)</f>
        <v>0</v>
      </c>
      <c r="CF83" s="319">
        <f>IF($BI83&lt;&gt;"",IF('Capacity summary'!$D$14="Yes",IF(COUNTBLANK('Capacity summary'!$H202:$BG202)&lt;52,IF('Capacity summary'!AC202&lt;&gt;"",$BI83*AC83,0),AC83*$BI83),AC83*$BI83),0)</f>
        <v>0</v>
      </c>
      <c r="CG83" s="319">
        <f>IF($BI83&lt;&gt;"",IF('Capacity summary'!$D$14="Yes",IF(COUNTBLANK('Capacity summary'!$H202:$BG202)&lt;52,IF('Capacity summary'!AD202&lt;&gt;"",$BI83*AD83,0),AD83*$BI83),AD83*$BI83),0)</f>
        <v>0</v>
      </c>
      <c r="CH83" s="319">
        <f>IF($BI83&lt;&gt;"",IF('Capacity summary'!$D$14="Yes",IF(COUNTBLANK('Capacity summary'!$H202:$BG202)&lt;52,IF('Capacity summary'!AE202&lt;&gt;"",$BI83*AE83,0),AE83*$BI83),AE83*$BI83),0)</f>
        <v>0</v>
      </c>
      <c r="CI83" s="319">
        <f>IF($BI83&lt;&gt;"",IF('Capacity summary'!$D$14="Yes",IF(COUNTBLANK('Capacity summary'!$H202:$BG202)&lt;52,IF('Capacity summary'!AF202&lt;&gt;"",$BI83*AF83,0),AF83*$BI83),AF83*$BI83),0)</f>
        <v>0</v>
      </c>
      <c r="CJ83" s="319">
        <f>IF($BI83&lt;&gt;"",IF('Capacity summary'!$D$14="Yes",IF(COUNTBLANK('Capacity summary'!$H202:$BG202)&lt;52,IF('Capacity summary'!AG202&lt;&gt;"",$BI83*AG83,0),AG83*$BI83),AG83*$BI83),0)</f>
        <v>0</v>
      </c>
      <c r="CK83" s="319">
        <f>IF($BI83&lt;&gt;"",IF('Capacity summary'!$D$14="Yes",IF(COUNTBLANK('Capacity summary'!$H202:$BG202)&lt;52,IF('Capacity summary'!AH202&lt;&gt;"",$BI83*AH83,0),AH83*$BI83),AH83*$BI83),0)</f>
        <v>0</v>
      </c>
      <c r="CL83" s="319">
        <f>IF($BI83&lt;&gt;"",IF('Capacity summary'!$D$14="Yes",IF(COUNTBLANK('Capacity summary'!$H202:$BG202)&lt;52,IF('Capacity summary'!AI202&lt;&gt;"",$BI83*AI83,0),AI83*$BI83),AI83*$BI83),0)</f>
        <v>0</v>
      </c>
      <c r="CM83" s="319">
        <f>IF($BI83&lt;&gt;"",IF('Capacity summary'!$D$14="Yes",IF(COUNTBLANK('Capacity summary'!$H202:$BG202)&lt;52,IF('Capacity summary'!AJ202&lt;&gt;"",$BI83*AJ83,0),AJ83*$BI83),AJ83*$BI83),0)</f>
        <v>0</v>
      </c>
      <c r="CN83" s="319">
        <f>IF($BI83&lt;&gt;"",IF('Capacity summary'!$D$14="Yes",IF(COUNTBLANK('Capacity summary'!$H202:$BG202)&lt;52,IF('Capacity summary'!AK202&lt;&gt;"",$BI83*AK83,0),AK83*$BI83),AK83*$BI83),0)</f>
        <v>0</v>
      </c>
      <c r="CO83" s="319">
        <f>IF($BI83&lt;&gt;"",IF('Capacity summary'!$D$14="Yes",IF(COUNTBLANK('Capacity summary'!$H202:$BG202)&lt;52,IF('Capacity summary'!AL202&lt;&gt;"",$BI83*AL83,0),AL83*$BI83),AL83*$BI83),0)</f>
        <v>0</v>
      </c>
      <c r="CP83" s="319">
        <f>IF($BI83&lt;&gt;"",IF('Capacity summary'!$D$14="Yes",IF(COUNTBLANK('Capacity summary'!$H202:$BG202)&lt;52,IF('Capacity summary'!AM202&lt;&gt;"",$BI83*AM83,0),AM83*$BI83),AM83*$BI83),0)</f>
        <v>0</v>
      </c>
      <c r="CQ83" s="319">
        <f>IF($BI83&lt;&gt;"",IF('Capacity summary'!$D$14="Yes",IF(COUNTBLANK('Capacity summary'!$H202:$BG202)&lt;52,IF('Capacity summary'!AN202&lt;&gt;"",$BI83*AN83,0),AN83*$BI83),AN83*$BI83),0)</f>
        <v>0</v>
      </c>
      <c r="CR83" s="319">
        <f>IF($BI83&lt;&gt;"",IF('Capacity summary'!$D$14="Yes",IF(COUNTBLANK('Capacity summary'!$H202:$BG202)&lt;52,IF('Capacity summary'!AO202&lt;&gt;"",$BI83*AO83,0),AO83*$BI83),AO83*$BI83),0)</f>
        <v>0</v>
      </c>
      <c r="CS83" s="319">
        <f>IF($BI83&lt;&gt;"",IF('Capacity summary'!$D$14="Yes",IF(COUNTBLANK('Capacity summary'!$H202:$BG202)&lt;52,IF('Capacity summary'!AP202&lt;&gt;"",$BI83*AP83,0),AP83*$BI83),AP83*$BI83),0)</f>
        <v>0</v>
      </c>
      <c r="CT83" s="319">
        <f>IF($BI83&lt;&gt;"",IF('Capacity summary'!$D$14="Yes",IF(COUNTBLANK('Capacity summary'!$H202:$BG202)&lt;52,IF('Capacity summary'!AQ202&lt;&gt;"",$BI83*AQ83,0),AQ83*$BI83),AQ83*$BI83),0)</f>
        <v>0</v>
      </c>
      <c r="CU83" s="319">
        <f>IF($BI83&lt;&gt;"",IF('Capacity summary'!$D$14="Yes",IF(COUNTBLANK('Capacity summary'!$H202:$BG202)&lt;52,IF('Capacity summary'!AR202&lt;&gt;"",$BI83*AR83,0),AR83*$BI83),AR83*$BI83),0)</f>
        <v>0</v>
      </c>
      <c r="CV83" s="319">
        <f>IF($BI83&lt;&gt;"",IF('Capacity summary'!$D$14="Yes",IF(COUNTBLANK('Capacity summary'!$H202:$BG202)&lt;52,IF('Capacity summary'!AS202&lt;&gt;"",$BI83*AS83,0),AS83*$BI83),AS83*$BI83),0)</f>
        <v>0</v>
      </c>
      <c r="CW83" s="319">
        <f>IF($BI83&lt;&gt;"",IF('Capacity summary'!$D$14="Yes",IF(COUNTBLANK('Capacity summary'!$H202:$BG202)&lt;52,IF('Capacity summary'!AT202&lt;&gt;"",$BI83*AT83,0),AT83*$BI83),AT83*$BI83),0)</f>
        <v>0</v>
      </c>
      <c r="CX83" s="319">
        <f>IF($BI83&lt;&gt;"",IF('Capacity summary'!$D$14="Yes",IF(COUNTBLANK('Capacity summary'!$H202:$BG202)&lt;52,IF('Capacity summary'!AU202&lt;&gt;"",$BI83*AU83,0),AU83*$BI83),AU83*$BI83),0)</f>
        <v>0</v>
      </c>
      <c r="CY83" s="319">
        <f>IF($BI83&lt;&gt;"",IF('Capacity summary'!$D$14="Yes",IF(COUNTBLANK('Capacity summary'!$H202:$BG202)&lt;52,IF('Capacity summary'!AV202&lt;&gt;"",$BI83*AV83,0),AV83*$BI83),AV83*$BI83),0)</f>
        <v>0</v>
      </c>
      <c r="CZ83" s="319">
        <f>IF($BI83&lt;&gt;"",IF('Capacity summary'!$D$14="Yes",IF(COUNTBLANK('Capacity summary'!$H202:$BG202)&lt;52,IF('Capacity summary'!AW202&lt;&gt;"",$BI83*AW83,0),AW83*$BI83),AW83*$BI83),0)</f>
        <v>0</v>
      </c>
      <c r="DA83" s="319">
        <f>IF($BI83&lt;&gt;"",IF('Capacity summary'!$D$14="Yes",IF(COUNTBLANK('Capacity summary'!$H202:$BG202)&lt;52,IF('Capacity summary'!AX202&lt;&gt;"",$BI83*AX83,0),AX83*$BI83),AX83*$BI83),0)</f>
        <v>0</v>
      </c>
      <c r="DB83" s="319">
        <f>IF($BI83&lt;&gt;"",IF('Capacity summary'!$D$14="Yes",IF(COUNTBLANK('Capacity summary'!$H202:$BG202)&lt;52,IF('Capacity summary'!AY202&lt;&gt;"",$BI83*AY83,0),AY83*$BI83),AY83*$BI83),0)</f>
        <v>0</v>
      </c>
      <c r="DC83" s="319">
        <f>IF($BI83&lt;&gt;"",IF('Capacity summary'!$D$14="Yes",IF(COUNTBLANK('Capacity summary'!$H202:$BG202)&lt;52,IF('Capacity summary'!AZ202&lt;&gt;"",$BI83*AZ83,0),AZ83*$BI83),AZ83*$BI83),0)</f>
        <v>0</v>
      </c>
      <c r="DD83" s="319">
        <f>IF($BI83&lt;&gt;"",IF('Capacity summary'!$D$14="Yes",IF(COUNTBLANK('Capacity summary'!$H202:$BG202)&lt;52,IF('Capacity summary'!BA202&lt;&gt;"",$BI83*BA83,0),BA83*$BI83),BA83*$BI83),0)</f>
        <v>0</v>
      </c>
      <c r="DE83" s="319">
        <f>IF($BI83&lt;&gt;"",IF('Capacity summary'!$D$14="Yes",IF(COUNTBLANK('Capacity summary'!$H202:$BG202)&lt;52,IF('Capacity summary'!BB202&lt;&gt;"",$BI83*BB83,0),BB83*$BI83),BB83*$BI83),0)</f>
        <v>0</v>
      </c>
      <c r="DF83" s="319">
        <f>IF($BI83&lt;&gt;"",IF('Capacity summary'!$D$14="Yes",IF(COUNTBLANK('Capacity summary'!$H202:$BG202)&lt;52,IF('Capacity summary'!BC202&lt;&gt;"",$BI83*BC83,0),BC83*$BI83),BC83*$BI83),0)</f>
        <v>0</v>
      </c>
      <c r="DG83" s="319">
        <f>IF($BI83&lt;&gt;"",IF('Capacity summary'!$D$14="Yes",IF(COUNTBLANK('Capacity summary'!$H202:$BG202)&lt;52,IF('Capacity summary'!BD202&lt;&gt;"",$BI83*BD83,0),BD83*$BI83),BD83*$BI83),0)</f>
        <v>0</v>
      </c>
      <c r="DH83" s="319">
        <f>IF($BI83&lt;&gt;"",IF('Capacity summary'!$D$14="Yes",IF(COUNTBLANK('Capacity summary'!$H202:$BG202)&lt;52,IF('Capacity summary'!BE202&lt;&gt;"",$BI83*BE83,0),BE83*$BI83),BE83*$BI83),0)</f>
        <v>0</v>
      </c>
      <c r="DI83" s="319">
        <f>IF($BI83&lt;&gt;"",IF('Capacity summary'!$D$14="Yes",IF(COUNTBLANK('Capacity summary'!$H202:$BG202)&lt;52,IF('Capacity summary'!BF202&lt;&gt;"",$BI83*BF83,0),BF83*$BI83),BF83*$BI83),0)</f>
        <v>0</v>
      </c>
      <c r="DJ83" s="319">
        <f>IF($BI83&lt;&gt;"",IF('Capacity summary'!$D$14="Yes",IF(COUNTBLANK('Capacity summary'!$H202:$BG202)&lt;52,IF('Capacity summary'!BG202&lt;&gt;"",$BI83*BG83,0),BG83*$BI83),BG83*$BI83),0)</f>
        <v>0</v>
      </c>
      <c r="DK83" s="5">
        <f t="shared" si="3"/>
        <v>0</v>
      </c>
      <c r="DL83" s="5" t="str">
        <f>Capacity!H95</f>
        <v/>
      </c>
    </row>
    <row r="84" spans="2:116" x14ac:dyDescent="0.2">
      <c r="B84" s="68"/>
      <c r="C84" s="68" t="str">
        <f>ROW(A80)&amp;". "&amp;Capacity!B96</f>
        <v xml:space="preserve">80. </v>
      </c>
      <c r="D84" s="68">
        <f>'Capacity setup'!C91</f>
        <v>0</v>
      </c>
      <c r="E84" s="68">
        <f>'Capacity setup'!D91</f>
        <v>0</v>
      </c>
      <c r="F84" s="68">
        <f>'Capacity setup'!E91</f>
        <v>0</v>
      </c>
      <c r="H84" s="68">
        <f ca="1">IF(AND(SUMIF(Capacity_Resource,$D84,'Critical resources (hide)'!U$6:U$105)+SUMIF(Capacity_Resource,$E84,'Critical resources (hide)'!U$6:U$105)+SUMIF(Capacity_Resource,$F84,'Critical resources (hide)'!U$6:U$105)&gt;0,$E$1=2),0,1)</f>
        <v>1</v>
      </c>
      <c r="I84" s="68">
        <f ca="1">IF(AND(SUMIF(Capacity_Resource,$D84,'Critical resources (hide)'!V$6:V$105)+SUMIF(Capacity_Resource,$E84,'Critical resources (hide)'!V$6:V$105)+SUMIF(Capacity_Resource,$F84,'Critical resources (hide)'!V$6:V$105)&gt;0,$E$1=2),0,1)</f>
        <v>1</v>
      </c>
      <c r="J84" s="68">
        <f ca="1">IF(AND(SUMIF(Capacity_Resource,$D84,'Critical resources (hide)'!W$6:W$105)+SUMIF(Capacity_Resource,$E84,'Critical resources (hide)'!W$6:W$105)+SUMIF(Capacity_Resource,$F84,'Critical resources (hide)'!W$6:W$105)&gt;0,$E$1=2),0,1)</f>
        <v>1</v>
      </c>
      <c r="K84" s="68">
        <f ca="1">IF(AND(SUMIF(Capacity_Resource,$D84,'Critical resources (hide)'!X$6:X$105)+SUMIF(Capacity_Resource,$E84,'Critical resources (hide)'!X$6:X$105)+SUMIF(Capacity_Resource,$F84,'Critical resources (hide)'!X$6:X$105)&gt;0,$E$1=2),0,1)</f>
        <v>1</v>
      </c>
      <c r="L84" s="68">
        <f ca="1">IF(AND(SUMIF(Capacity_Resource,$D84,'Critical resources (hide)'!Y$6:Y$105)+SUMIF(Capacity_Resource,$E84,'Critical resources (hide)'!Y$6:Y$105)+SUMIF(Capacity_Resource,$F84,'Critical resources (hide)'!Y$6:Y$105)&gt;0,$E$1=2),0,1)</f>
        <v>1</v>
      </c>
      <c r="M84" s="68">
        <f ca="1">IF(AND(SUMIF(Capacity_Resource,$D84,'Critical resources (hide)'!Z$6:Z$105)+SUMIF(Capacity_Resource,$E84,'Critical resources (hide)'!Z$6:Z$105)+SUMIF(Capacity_Resource,$F84,'Critical resources (hide)'!Z$6:Z$105)&gt;0,$E$1=2),0,1)</f>
        <v>1</v>
      </c>
      <c r="N84" s="68">
        <f ca="1">IF(AND(SUMIF(Capacity_Resource,$D84,'Critical resources (hide)'!AA$6:AA$105)+SUMIF(Capacity_Resource,$E84,'Critical resources (hide)'!AA$6:AA$105)+SUMIF(Capacity_Resource,$F84,'Critical resources (hide)'!AA$6:AA$105)&gt;0,$E$1=2),0,1)</f>
        <v>1</v>
      </c>
      <c r="O84" s="68">
        <f ca="1">IF(AND(SUMIF(Capacity_Resource,$D84,'Critical resources (hide)'!AB$6:AB$105)+SUMIF(Capacity_Resource,$E84,'Critical resources (hide)'!AB$6:AB$105)+SUMIF(Capacity_Resource,$F84,'Critical resources (hide)'!AB$6:AB$105)&gt;0,$E$1=2),0,1)</f>
        <v>1</v>
      </c>
      <c r="P84" s="68">
        <f ca="1">IF(AND(SUMIF(Capacity_Resource,$D84,'Critical resources (hide)'!AC$6:AC$105)+SUMIF(Capacity_Resource,$E84,'Critical resources (hide)'!AC$6:AC$105)+SUMIF(Capacity_Resource,$F84,'Critical resources (hide)'!AC$6:AC$105)&gt;0,$E$1=2),0,1)</f>
        <v>1</v>
      </c>
      <c r="Q84" s="68">
        <f ca="1">IF(AND(SUMIF(Capacity_Resource,$D84,'Critical resources (hide)'!AD$6:AD$105)+SUMIF(Capacity_Resource,$E84,'Critical resources (hide)'!AD$6:AD$105)+SUMIF(Capacity_Resource,$F84,'Critical resources (hide)'!AD$6:AD$105)&gt;0,$E$1=2),0,1)</f>
        <v>1</v>
      </c>
      <c r="R84" s="68">
        <f ca="1">IF(AND(SUMIF(Capacity_Resource,$D84,'Critical resources (hide)'!AE$6:AE$105)+SUMIF(Capacity_Resource,$E84,'Critical resources (hide)'!AE$6:AE$105)+SUMIF(Capacity_Resource,$F84,'Critical resources (hide)'!AE$6:AE$105)&gt;0,$E$1=2),0,1)</f>
        <v>1</v>
      </c>
      <c r="S84" s="68">
        <f ca="1">IF(AND(SUMIF(Capacity_Resource,$D84,'Critical resources (hide)'!AF$6:AF$105)+SUMIF(Capacity_Resource,$E84,'Critical resources (hide)'!AF$6:AF$105)+SUMIF(Capacity_Resource,$F84,'Critical resources (hide)'!AF$6:AF$105)&gt;0,$E$1=2),0,1)</f>
        <v>1</v>
      </c>
      <c r="T84" s="68">
        <f ca="1">IF(AND(SUMIF(Capacity_Resource,$D84,'Critical resources (hide)'!AG$6:AG$105)+SUMIF(Capacity_Resource,$E84,'Critical resources (hide)'!AG$6:AG$105)+SUMIF(Capacity_Resource,$F84,'Critical resources (hide)'!AG$6:AG$105)&gt;0,$E$1=2),0,1)</f>
        <v>1</v>
      </c>
      <c r="U84" s="68">
        <f ca="1">IF(AND(SUMIF(Capacity_Resource,$D84,'Critical resources (hide)'!AH$6:AH$105)+SUMIF(Capacity_Resource,$E84,'Critical resources (hide)'!AH$6:AH$105)+SUMIF(Capacity_Resource,$F84,'Critical resources (hide)'!AH$6:AH$105)&gt;0,$E$1=2),0,1)</f>
        <v>1</v>
      </c>
      <c r="V84" s="68">
        <f ca="1">IF(AND(SUMIF(Capacity_Resource,$D84,'Critical resources (hide)'!AI$6:AI$105)+SUMIF(Capacity_Resource,$E84,'Critical resources (hide)'!AI$6:AI$105)+SUMIF(Capacity_Resource,$F84,'Critical resources (hide)'!AI$6:AI$105)&gt;0,$E$1=2),0,1)</f>
        <v>1</v>
      </c>
      <c r="W84" s="68">
        <f ca="1">IF(AND(SUMIF(Capacity_Resource,$D84,'Critical resources (hide)'!AJ$6:AJ$105)+SUMIF(Capacity_Resource,$E84,'Critical resources (hide)'!AJ$6:AJ$105)+SUMIF(Capacity_Resource,$F84,'Critical resources (hide)'!AJ$6:AJ$105)&gt;0,$E$1=2),0,1)</f>
        <v>1</v>
      </c>
      <c r="X84" s="68">
        <f ca="1">IF(AND(SUMIF(Capacity_Resource,$D84,'Critical resources (hide)'!AK$6:AK$105)+SUMIF(Capacity_Resource,$E84,'Critical resources (hide)'!AK$6:AK$105)+SUMIF(Capacity_Resource,$F84,'Critical resources (hide)'!AK$6:AK$105)&gt;0,$E$1=2),0,1)</f>
        <v>1</v>
      </c>
      <c r="Y84" s="68">
        <f ca="1">IF(AND(SUMIF(Capacity_Resource,$D84,'Critical resources (hide)'!AL$6:AL$105)+SUMIF(Capacity_Resource,$E84,'Critical resources (hide)'!AL$6:AL$105)+SUMIF(Capacity_Resource,$F84,'Critical resources (hide)'!AL$6:AL$105)&gt;0,$E$1=2),0,1)</f>
        <v>1</v>
      </c>
      <c r="Z84" s="68">
        <f ca="1">IF(AND(SUMIF(Capacity_Resource,$D84,'Critical resources (hide)'!AM$6:AM$105)+SUMIF(Capacity_Resource,$E84,'Critical resources (hide)'!AM$6:AM$105)+SUMIF(Capacity_Resource,$F84,'Critical resources (hide)'!AM$6:AM$105)&gt;0,$E$1=2),0,1)</f>
        <v>1</v>
      </c>
      <c r="AA84" s="68">
        <f ca="1">IF(AND(SUMIF(Capacity_Resource,$D84,'Critical resources (hide)'!AN$6:AN$105)+SUMIF(Capacity_Resource,$E84,'Critical resources (hide)'!AN$6:AN$105)+SUMIF(Capacity_Resource,$F84,'Critical resources (hide)'!AN$6:AN$105)&gt;0,$E$1=2),0,1)</f>
        <v>1</v>
      </c>
      <c r="AB84" s="68">
        <f ca="1">IF(AND(SUMIF(Capacity_Resource,$D84,'Critical resources (hide)'!AO$6:AO$105)+SUMIF(Capacity_Resource,$E84,'Critical resources (hide)'!AO$6:AO$105)+SUMIF(Capacity_Resource,$F84,'Critical resources (hide)'!AO$6:AO$105)&gt;0,$E$1=2),0,1)</f>
        <v>1</v>
      </c>
      <c r="AC84" s="68">
        <f ca="1">IF(AND(SUMIF(Capacity_Resource,$D84,'Critical resources (hide)'!AP$6:AP$105)+SUMIF(Capacity_Resource,$E84,'Critical resources (hide)'!AP$6:AP$105)+SUMIF(Capacity_Resource,$F84,'Critical resources (hide)'!AP$6:AP$105)&gt;0,$E$1=2),0,1)</f>
        <v>1</v>
      </c>
      <c r="AD84" s="68">
        <f ca="1">IF(AND(SUMIF(Capacity_Resource,$D84,'Critical resources (hide)'!AQ$6:AQ$105)+SUMIF(Capacity_Resource,$E84,'Critical resources (hide)'!AQ$6:AQ$105)+SUMIF(Capacity_Resource,$F84,'Critical resources (hide)'!AQ$6:AQ$105)&gt;0,$E$1=2),0,1)</f>
        <v>1</v>
      </c>
      <c r="AE84" s="68">
        <f ca="1">IF(AND(SUMIF(Capacity_Resource,$D84,'Critical resources (hide)'!AR$6:AR$105)+SUMIF(Capacity_Resource,$E84,'Critical resources (hide)'!AR$6:AR$105)+SUMIF(Capacity_Resource,$F84,'Critical resources (hide)'!AR$6:AR$105)&gt;0,$E$1=2),0,1)</f>
        <v>1</v>
      </c>
      <c r="AF84" s="68">
        <f ca="1">IF(AND(SUMIF(Capacity_Resource,$D84,'Critical resources (hide)'!AS$6:AS$105)+SUMIF(Capacity_Resource,$E84,'Critical resources (hide)'!AS$6:AS$105)+SUMIF(Capacity_Resource,$F84,'Critical resources (hide)'!AS$6:AS$105)&gt;0,$E$1=2),0,1)</f>
        <v>1</v>
      </c>
      <c r="AG84" s="68">
        <f ca="1">IF(AND(SUMIF(Capacity_Resource,$D84,'Critical resources (hide)'!AT$6:AT$105)+SUMIF(Capacity_Resource,$E84,'Critical resources (hide)'!AT$6:AT$105)+SUMIF(Capacity_Resource,$F84,'Critical resources (hide)'!AT$6:AT$105)&gt;0,$E$1=2),0,1)</f>
        <v>1</v>
      </c>
      <c r="AH84" s="68">
        <f ca="1">IF(AND(SUMIF(Capacity_Resource,$D84,'Critical resources (hide)'!AU$6:AU$105)+SUMIF(Capacity_Resource,$E84,'Critical resources (hide)'!AU$6:AU$105)+SUMIF(Capacity_Resource,$F84,'Critical resources (hide)'!AU$6:AU$105)&gt;0,$E$1=2),0,1)</f>
        <v>1</v>
      </c>
      <c r="AI84" s="68">
        <f ca="1">IF(AND(SUMIF(Capacity_Resource,$D84,'Critical resources (hide)'!AV$6:AV$105)+SUMIF(Capacity_Resource,$E84,'Critical resources (hide)'!AV$6:AV$105)+SUMIF(Capacity_Resource,$F84,'Critical resources (hide)'!AV$6:AV$105)&gt;0,$E$1=2),0,1)</f>
        <v>1</v>
      </c>
      <c r="AJ84" s="68">
        <f ca="1">IF(AND(SUMIF(Capacity_Resource,$D84,'Critical resources (hide)'!AW$6:AW$105)+SUMIF(Capacity_Resource,$E84,'Critical resources (hide)'!AW$6:AW$105)+SUMIF(Capacity_Resource,$F84,'Critical resources (hide)'!AW$6:AW$105)&gt;0,$E$1=2),0,1)</f>
        <v>1</v>
      </c>
      <c r="AK84" s="68">
        <f ca="1">IF(AND(SUMIF(Capacity_Resource,$D84,'Critical resources (hide)'!AX$6:AX$105)+SUMIF(Capacity_Resource,$E84,'Critical resources (hide)'!AX$6:AX$105)+SUMIF(Capacity_Resource,$F84,'Critical resources (hide)'!AX$6:AX$105)&gt;0,$E$1=2),0,1)</f>
        <v>1</v>
      </c>
      <c r="AL84" s="68">
        <f ca="1">IF(AND(SUMIF(Capacity_Resource,$D84,'Critical resources (hide)'!AY$6:AY$105)+SUMIF(Capacity_Resource,$E84,'Critical resources (hide)'!AY$6:AY$105)+SUMIF(Capacity_Resource,$F84,'Critical resources (hide)'!AY$6:AY$105)&gt;0,$E$1=2),0,1)</f>
        <v>1</v>
      </c>
      <c r="AM84" s="68">
        <f ca="1">IF(AND(SUMIF(Capacity_Resource,$D84,'Critical resources (hide)'!AZ$6:AZ$105)+SUMIF(Capacity_Resource,$E84,'Critical resources (hide)'!AZ$6:AZ$105)+SUMIF(Capacity_Resource,$F84,'Critical resources (hide)'!AZ$6:AZ$105)&gt;0,$E$1=2),0,1)</f>
        <v>1</v>
      </c>
      <c r="AN84" s="68">
        <f ca="1">IF(AND(SUMIF(Capacity_Resource,$D84,'Critical resources (hide)'!BA$6:BA$105)+SUMIF(Capacity_Resource,$E84,'Critical resources (hide)'!BA$6:BA$105)+SUMIF(Capacity_Resource,$F84,'Critical resources (hide)'!BA$6:BA$105)&gt;0,$E$1=2),0,1)</f>
        <v>1</v>
      </c>
      <c r="AO84" s="68">
        <f ca="1">IF(AND(SUMIF(Capacity_Resource,$D84,'Critical resources (hide)'!BB$6:BB$105)+SUMIF(Capacity_Resource,$E84,'Critical resources (hide)'!BB$6:BB$105)+SUMIF(Capacity_Resource,$F84,'Critical resources (hide)'!BB$6:BB$105)&gt;0,$E$1=2),0,1)</f>
        <v>1</v>
      </c>
      <c r="AP84" s="68">
        <f ca="1">IF(AND(SUMIF(Capacity_Resource,$D84,'Critical resources (hide)'!BC$6:BC$105)+SUMIF(Capacity_Resource,$E84,'Critical resources (hide)'!BC$6:BC$105)+SUMIF(Capacity_Resource,$F84,'Critical resources (hide)'!BC$6:BC$105)&gt;0,$E$1=2),0,1)</f>
        <v>1</v>
      </c>
      <c r="AQ84" s="68">
        <f ca="1">IF(AND(SUMIF(Capacity_Resource,$D84,'Critical resources (hide)'!BD$6:BD$105)+SUMIF(Capacity_Resource,$E84,'Critical resources (hide)'!BD$6:BD$105)+SUMIF(Capacity_Resource,$F84,'Critical resources (hide)'!BD$6:BD$105)&gt;0,$E$1=2),0,1)</f>
        <v>1</v>
      </c>
      <c r="AR84" s="68">
        <f ca="1">IF(AND(SUMIF(Capacity_Resource,$D84,'Critical resources (hide)'!BE$6:BE$105)+SUMIF(Capacity_Resource,$E84,'Critical resources (hide)'!BE$6:BE$105)+SUMIF(Capacity_Resource,$F84,'Critical resources (hide)'!BE$6:BE$105)&gt;0,$E$1=2),0,1)</f>
        <v>1</v>
      </c>
      <c r="AS84" s="68">
        <f ca="1">IF(AND(SUMIF(Capacity_Resource,$D84,'Critical resources (hide)'!BF$6:BF$105)+SUMIF(Capacity_Resource,$E84,'Critical resources (hide)'!BF$6:BF$105)+SUMIF(Capacity_Resource,$F84,'Critical resources (hide)'!BF$6:BF$105)&gt;0,$E$1=2),0,1)</f>
        <v>1</v>
      </c>
      <c r="AT84" s="68">
        <f ca="1">IF(AND(SUMIF(Capacity_Resource,$D84,'Critical resources (hide)'!BG$6:BG$105)+SUMIF(Capacity_Resource,$E84,'Critical resources (hide)'!BG$6:BG$105)+SUMIF(Capacity_Resource,$F84,'Critical resources (hide)'!BG$6:BG$105)&gt;0,$E$1=2),0,1)</f>
        <v>1</v>
      </c>
      <c r="AU84" s="68">
        <f ca="1">IF(AND(SUMIF(Capacity_Resource,$D84,'Critical resources (hide)'!BH$6:BH$105)+SUMIF(Capacity_Resource,$E84,'Critical resources (hide)'!BH$6:BH$105)+SUMIF(Capacity_Resource,$F84,'Critical resources (hide)'!BH$6:BH$105)&gt;0,$E$1=2),0,1)</f>
        <v>1</v>
      </c>
      <c r="AV84" s="68">
        <f ca="1">IF(AND(SUMIF(Capacity_Resource,$D84,'Critical resources (hide)'!BI$6:BI$105)+SUMIF(Capacity_Resource,$E84,'Critical resources (hide)'!BI$6:BI$105)+SUMIF(Capacity_Resource,$F84,'Critical resources (hide)'!BI$6:BI$105)&gt;0,$E$1=2),0,1)</f>
        <v>1</v>
      </c>
      <c r="AW84" s="68">
        <f ca="1">IF(AND(SUMIF(Capacity_Resource,$D84,'Critical resources (hide)'!BJ$6:BJ$105)+SUMIF(Capacity_Resource,$E84,'Critical resources (hide)'!BJ$6:BJ$105)+SUMIF(Capacity_Resource,$F84,'Critical resources (hide)'!BJ$6:BJ$105)&gt;0,$E$1=2),0,1)</f>
        <v>1</v>
      </c>
      <c r="AX84" s="68">
        <f ca="1">IF(AND(SUMIF(Capacity_Resource,$D84,'Critical resources (hide)'!BK$6:BK$105)+SUMIF(Capacity_Resource,$E84,'Critical resources (hide)'!BK$6:BK$105)+SUMIF(Capacity_Resource,$F84,'Critical resources (hide)'!BK$6:BK$105)&gt;0,$E$1=2),0,1)</f>
        <v>1</v>
      </c>
      <c r="AY84" s="68">
        <f ca="1">IF(AND(SUMIF(Capacity_Resource,$D84,'Critical resources (hide)'!BL$6:BL$105)+SUMIF(Capacity_Resource,$E84,'Critical resources (hide)'!BL$6:BL$105)+SUMIF(Capacity_Resource,$F84,'Critical resources (hide)'!BL$6:BL$105)&gt;0,$E$1=2),0,1)</f>
        <v>1</v>
      </c>
      <c r="AZ84" s="68">
        <f ca="1">IF(AND(SUMIF(Capacity_Resource,$D84,'Critical resources (hide)'!BM$6:BM$105)+SUMIF(Capacity_Resource,$E84,'Critical resources (hide)'!BM$6:BM$105)+SUMIF(Capacity_Resource,$F84,'Critical resources (hide)'!BM$6:BM$105)&gt;0,$E$1=2),0,1)</f>
        <v>1</v>
      </c>
      <c r="BA84" s="68">
        <f ca="1">IF(AND(SUMIF(Capacity_Resource,$D84,'Critical resources (hide)'!BN$6:BN$105)+SUMIF(Capacity_Resource,$E84,'Critical resources (hide)'!BN$6:BN$105)+SUMIF(Capacity_Resource,$F84,'Critical resources (hide)'!BN$6:BN$105)&gt;0,$E$1=2),0,1)</f>
        <v>1</v>
      </c>
      <c r="BB84" s="68">
        <f ca="1">IF(AND(SUMIF(Capacity_Resource,$D84,'Critical resources (hide)'!BO$6:BO$105)+SUMIF(Capacity_Resource,$E84,'Critical resources (hide)'!BO$6:BO$105)+SUMIF(Capacity_Resource,$F84,'Critical resources (hide)'!BO$6:BO$105)&gt;0,$E$1=2),0,1)</f>
        <v>1</v>
      </c>
      <c r="BC84" s="68">
        <f ca="1">IF(AND(SUMIF(Capacity_Resource,$D84,'Critical resources (hide)'!BP$6:BP$105)+SUMIF(Capacity_Resource,$E84,'Critical resources (hide)'!BP$6:BP$105)+SUMIF(Capacity_Resource,$F84,'Critical resources (hide)'!BP$6:BP$105)&gt;0,$E$1=2),0,1)</f>
        <v>1</v>
      </c>
      <c r="BD84" s="68">
        <f ca="1">IF(AND(SUMIF(Capacity_Resource,$D84,'Critical resources (hide)'!BQ$6:BQ$105)+SUMIF(Capacity_Resource,$E84,'Critical resources (hide)'!BQ$6:BQ$105)+SUMIF(Capacity_Resource,$F84,'Critical resources (hide)'!BQ$6:BQ$105)&gt;0,$E$1=2),0,1)</f>
        <v>1</v>
      </c>
      <c r="BE84" s="68">
        <f ca="1">IF(AND(SUMIF(Capacity_Resource,$D84,'Critical resources (hide)'!BR$6:BR$105)+SUMIF(Capacity_Resource,$E84,'Critical resources (hide)'!BR$6:BR$105)+SUMIF(Capacity_Resource,$F84,'Critical resources (hide)'!BR$6:BR$105)&gt;0,$E$1=2),0,1)</f>
        <v>1</v>
      </c>
      <c r="BF84" s="68">
        <f ca="1">IF(AND(SUMIF(Capacity_Resource,$D84,'Critical resources (hide)'!BS$6:BS$105)+SUMIF(Capacity_Resource,$E84,'Critical resources (hide)'!BS$6:BS$105)+SUMIF(Capacity_Resource,$F84,'Critical resources (hide)'!BS$6:BS$105)&gt;0,$E$1=2),0,1)</f>
        <v>1</v>
      </c>
      <c r="BG84" s="68">
        <f ca="1">IF(AND(SUMIF(Capacity_Resource,$D84,'Critical resources (hide)'!BT$6:BT$105)+SUMIF(Capacity_Resource,$E84,'Critical resources (hide)'!BT$6:BT$105)+SUMIF(Capacity_Resource,$F84,'Critical resources (hide)'!BT$6:BT$105)&gt;0,$E$1=2),0,1)</f>
        <v>1</v>
      </c>
      <c r="BH84" s="68">
        <f>IF(ROW(C80)&lt;=Capacity!$A$16,IF('Capacity summary'!$D$14="No",SUM(H84:BG84),'Capacity summary'!$E203),0)</f>
        <v>0</v>
      </c>
      <c r="BI84" s="5" t="str">
        <f>IF(BH84&gt;0,IF(BH84&lt;Capacity!E96,Capacity!F96,Capacity!H96/'Capacity calculation (hide)'!BH84),"")</f>
        <v/>
      </c>
      <c r="BK84" s="319">
        <f>IF($BI84&lt;&gt;"",IF('Capacity summary'!$D$14="Yes",IF(COUNTBLANK('Capacity summary'!$H203:$BG203)&lt;52,IF('Capacity summary'!H203&lt;&gt;"",$BI84*H84,0),H84*$BI84),H84*$BI84),0)</f>
        <v>0</v>
      </c>
      <c r="BL84" s="319">
        <f>IF($BI84&lt;&gt;"",IF('Capacity summary'!$D$14="Yes",IF(COUNTBLANK('Capacity summary'!$H203:$BG203)&lt;52,IF('Capacity summary'!I203&lt;&gt;"",$BI84*I84,0),I84*$BI84),I84*$BI84),0)</f>
        <v>0</v>
      </c>
      <c r="BM84" s="319">
        <f>IF($BI84&lt;&gt;"",IF('Capacity summary'!$D$14="Yes",IF(COUNTBLANK('Capacity summary'!$H203:$BG203)&lt;52,IF('Capacity summary'!J203&lt;&gt;"",$BI84*J84,0),J84*$BI84),J84*$BI84),0)</f>
        <v>0</v>
      </c>
      <c r="BN84" s="319">
        <f>IF($BI84&lt;&gt;"",IF('Capacity summary'!$D$14="Yes",IF(COUNTBLANK('Capacity summary'!$H203:$BG203)&lt;52,IF('Capacity summary'!K203&lt;&gt;"",$BI84*K84,0),K84*$BI84),K84*$BI84),0)</f>
        <v>0</v>
      </c>
      <c r="BO84" s="319">
        <f>IF($BI84&lt;&gt;"",IF('Capacity summary'!$D$14="Yes",IF(COUNTBLANK('Capacity summary'!$H203:$BG203)&lt;52,IF('Capacity summary'!L203&lt;&gt;"",$BI84*L84,0),L84*$BI84),L84*$BI84),0)</f>
        <v>0</v>
      </c>
      <c r="BP84" s="319">
        <f>IF($BI84&lt;&gt;"",IF('Capacity summary'!$D$14="Yes",IF(COUNTBLANK('Capacity summary'!$H203:$BG203)&lt;52,IF('Capacity summary'!M203&lt;&gt;"",$BI84*M84,0),M84*$BI84),M84*$BI84),0)</f>
        <v>0</v>
      </c>
      <c r="BQ84" s="319">
        <f>IF($BI84&lt;&gt;"",IF('Capacity summary'!$D$14="Yes",IF(COUNTBLANK('Capacity summary'!$H203:$BG203)&lt;52,IF('Capacity summary'!N203&lt;&gt;"",$BI84*N84,0),N84*$BI84),N84*$BI84),0)</f>
        <v>0</v>
      </c>
      <c r="BR84" s="319">
        <f>IF($BI84&lt;&gt;"",IF('Capacity summary'!$D$14="Yes",IF(COUNTBLANK('Capacity summary'!$H203:$BG203)&lt;52,IF('Capacity summary'!O203&lt;&gt;"",$BI84*O84,0),O84*$BI84),O84*$BI84),0)</f>
        <v>0</v>
      </c>
      <c r="BS84" s="319">
        <f>IF($BI84&lt;&gt;"",IF('Capacity summary'!$D$14="Yes",IF(COUNTBLANK('Capacity summary'!$H203:$BG203)&lt;52,IF('Capacity summary'!P203&lt;&gt;"",$BI84*P84,0),P84*$BI84),P84*$BI84),0)</f>
        <v>0</v>
      </c>
      <c r="BT84" s="319">
        <f>IF($BI84&lt;&gt;"",IF('Capacity summary'!$D$14="Yes",IF(COUNTBLANK('Capacity summary'!$H203:$BG203)&lt;52,IF('Capacity summary'!Q203&lt;&gt;"",$BI84*Q84,0),Q84*$BI84),Q84*$BI84),0)</f>
        <v>0</v>
      </c>
      <c r="BU84" s="319">
        <f>IF($BI84&lt;&gt;"",IF('Capacity summary'!$D$14="Yes",IF(COUNTBLANK('Capacity summary'!$H203:$BG203)&lt;52,IF('Capacity summary'!R203&lt;&gt;"",$BI84*R84,0),R84*$BI84),R84*$BI84),0)</f>
        <v>0</v>
      </c>
      <c r="BV84" s="319">
        <f>IF($BI84&lt;&gt;"",IF('Capacity summary'!$D$14="Yes",IF(COUNTBLANK('Capacity summary'!$H203:$BG203)&lt;52,IF('Capacity summary'!S203&lt;&gt;"",$BI84*S84,0),S84*$BI84),S84*$BI84),0)</f>
        <v>0</v>
      </c>
      <c r="BW84" s="319">
        <f>IF($BI84&lt;&gt;"",IF('Capacity summary'!$D$14="Yes",IF(COUNTBLANK('Capacity summary'!$H203:$BG203)&lt;52,IF('Capacity summary'!T203&lt;&gt;"",$BI84*T84,0),T84*$BI84),T84*$BI84),0)</f>
        <v>0</v>
      </c>
      <c r="BX84" s="319">
        <f>IF($BI84&lt;&gt;"",IF('Capacity summary'!$D$14="Yes",IF(COUNTBLANK('Capacity summary'!$H203:$BG203)&lt;52,IF('Capacity summary'!U203&lt;&gt;"",$BI84*U84,0),U84*$BI84),U84*$BI84),0)</f>
        <v>0</v>
      </c>
      <c r="BY84" s="319">
        <f>IF($BI84&lt;&gt;"",IF('Capacity summary'!$D$14="Yes",IF(COUNTBLANK('Capacity summary'!$H203:$BG203)&lt;52,IF('Capacity summary'!V203&lt;&gt;"",$BI84*V84,0),V84*$BI84),V84*$BI84),0)</f>
        <v>0</v>
      </c>
      <c r="BZ84" s="319">
        <f>IF($BI84&lt;&gt;"",IF('Capacity summary'!$D$14="Yes",IF(COUNTBLANK('Capacity summary'!$H203:$BG203)&lt;52,IF('Capacity summary'!W203&lt;&gt;"",$BI84*W84,0),W84*$BI84),W84*$BI84),0)</f>
        <v>0</v>
      </c>
      <c r="CA84" s="319">
        <f>IF($BI84&lt;&gt;"",IF('Capacity summary'!$D$14="Yes",IF(COUNTBLANK('Capacity summary'!$H203:$BG203)&lt;52,IF('Capacity summary'!X203&lt;&gt;"",$BI84*X84,0),X84*$BI84),X84*$BI84),0)</f>
        <v>0</v>
      </c>
      <c r="CB84" s="319">
        <f>IF($BI84&lt;&gt;"",IF('Capacity summary'!$D$14="Yes",IF(COUNTBLANK('Capacity summary'!$H203:$BG203)&lt;52,IF('Capacity summary'!Y203&lt;&gt;"",$BI84*Y84,0),Y84*$BI84),Y84*$BI84),0)</f>
        <v>0</v>
      </c>
      <c r="CC84" s="319">
        <f>IF($BI84&lt;&gt;"",IF('Capacity summary'!$D$14="Yes",IF(COUNTBLANK('Capacity summary'!$H203:$BG203)&lt;52,IF('Capacity summary'!Z203&lt;&gt;"",$BI84*Z84,0),Z84*$BI84),Z84*$BI84),0)</f>
        <v>0</v>
      </c>
      <c r="CD84" s="319">
        <f>IF($BI84&lt;&gt;"",IF('Capacity summary'!$D$14="Yes",IF(COUNTBLANK('Capacity summary'!$H203:$BG203)&lt;52,IF('Capacity summary'!AA203&lt;&gt;"",$BI84*AA84,0),AA84*$BI84),AA84*$BI84),0)</f>
        <v>0</v>
      </c>
      <c r="CE84" s="319">
        <f>IF($BI84&lt;&gt;"",IF('Capacity summary'!$D$14="Yes",IF(COUNTBLANK('Capacity summary'!$H203:$BG203)&lt;52,IF('Capacity summary'!AB203&lt;&gt;"",$BI84*AB84,0),AB84*$BI84),AB84*$BI84),0)</f>
        <v>0</v>
      </c>
      <c r="CF84" s="319">
        <f>IF($BI84&lt;&gt;"",IF('Capacity summary'!$D$14="Yes",IF(COUNTBLANK('Capacity summary'!$H203:$BG203)&lt;52,IF('Capacity summary'!AC203&lt;&gt;"",$BI84*AC84,0),AC84*$BI84),AC84*$BI84),0)</f>
        <v>0</v>
      </c>
      <c r="CG84" s="319">
        <f>IF($BI84&lt;&gt;"",IF('Capacity summary'!$D$14="Yes",IF(COUNTBLANK('Capacity summary'!$H203:$BG203)&lt;52,IF('Capacity summary'!AD203&lt;&gt;"",$BI84*AD84,0),AD84*$BI84),AD84*$BI84),0)</f>
        <v>0</v>
      </c>
      <c r="CH84" s="319">
        <f>IF($BI84&lt;&gt;"",IF('Capacity summary'!$D$14="Yes",IF(COUNTBLANK('Capacity summary'!$H203:$BG203)&lt;52,IF('Capacity summary'!AE203&lt;&gt;"",$BI84*AE84,0),AE84*$BI84),AE84*$BI84),0)</f>
        <v>0</v>
      </c>
      <c r="CI84" s="319">
        <f>IF($BI84&lt;&gt;"",IF('Capacity summary'!$D$14="Yes",IF(COUNTBLANK('Capacity summary'!$H203:$BG203)&lt;52,IF('Capacity summary'!AF203&lt;&gt;"",$BI84*AF84,0),AF84*$BI84),AF84*$BI84),0)</f>
        <v>0</v>
      </c>
      <c r="CJ84" s="319">
        <f>IF($BI84&lt;&gt;"",IF('Capacity summary'!$D$14="Yes",IF(COUNTBLANK('Capacity summary'!$H203:$BG203)&lt;52,IF('Capacity summary'!AG203&lt;&gt;"",$BI84*AG84,0),AG84*$BI84),AG84*$BI84),0)</f>
        <v>0</v>
      </c>
      <c r="CK84" s="319">
        <f>IF($BI84&lt;&gt;"",IF('Capacity summary'!$D$14="Yes",IF(COUNTBLANK('Capacity summary'!$H203:$BG203)&lt;52,IF('Capacity summary'!AH203&lt;&gt;"",$BI84*AH84,0),AH84*$BI84),AH84*$BI84),0)</f>
        <v>0</v>
      </c>
      <c r="CL84" s="319">
        <f>IF($BI84&lt;&gt;"",IF('Capacity summary'!$D$14="Yes",IF(COUNTBLANK('Capacity summary'!$H203:$BG203)&lt;52,IF('Capacity summary'!AI203&lt;&gt;"",$BI84*AI84,0),AI84*$BI84),AI84*$BI84),0)</f>
        <v>0</v>
      </c>
      <c r="CM84" s="319">
        <f>IF($BI84&lt;&gt;"",IF('Capacity summary'!$D$14="Yes",IF(COUNTBLANK('Capacity summary'!$H203:$BG203)&lt;52,IF('Capacity summary'!AJ203&lt;&gt;"",$BI84*AJ84,0),AJ84*$BI84),AJ84*$BI84),0)</f>
        <v>0</v>
      </c>
      <c r="CN84" s="319">
        <f>IF($BI84&lt;&gt;"",IF('Capacity summary'!$D$14="Yes",IF(COUNTBLANK('Capacity summary'!$H203:$BG203)&lt;52,IF('Capacity summary'!AK203&lt;&gt;"",$BI84*AK84,0),AK84*$BI84),AK84*$BI84),0)</f>
        <v>0</v>
      </c>
      <c r="CO84" s="319">
        <f>IF($BI84&lt;&gt;"",IF('Capacity summary'!$D$14="Yes",IF(COUNTBLANK('Capacity summary'!$H203:$BG203)&lt;52,IF('Capacity summary'!AL203&lt;&gt;"",$BI84*AL84,0),AL84*$BI84),AL84*$BI84),0)</f>
        <v>0</v>
      </c>
      <c r="CP84" s="319">
        <f>IF($BI84&lt;&gt;"",IF('Capacity summary'!$D$14="Yes",IF(COUNTBLANK('Capacity summary'!$H203:$BG203)&lt;52,IF('Capacity summary'!AM203&lt;&gt;"",$BI84*AM84,0),AM84*$BI84),AM84*$BI84),0)</f>
        <v>0</v>
      </c>
      <c r="CQ84" s="319">
        <f>IF($BI84&lt;&gt;"",IF('Capacity summary'!$D$14="Yes",IF(COUNTBLANK('Capacity summary'!$H203:$BG203)&lt;52,IF('Capacity summary'!AN203&lt;&gt;"",$BI84*AN84,0),AN84*$BI84),AN84*$BI84),0)</f>
        <v>0</v>
      </c>
      <c r="CR84" s="319">
        <f>IF($BI84&lt;&gt;"",IF('Capacity summary'!$D$14="Yes",IF(COUNTBLANK('Capacity summary'!$H203:$BG203)&lt;52,IF('Capacity summary'!AO203&lt;&gt;"",$BI84*AO84,0),AO84*$BI84),AO84*$BI84),0)</f>
        <v>0</v>
      </c>
      <c r="CS84" s="319">
        <f>IF($BI84&lt;&gt;"",IF('Capacity summary'!$D$14="Yes",IF(COUNTBLANK('Capacity summary'!$H203:$BG203)&lt;52,IF('Capacity summary'!AP203&lt;&gt;"",$BI84*AP84,0),AP84*$BI84),AP84*$BI84),0)</f>
        <v>0</v>
      </c>
      <c r="CT84" s="319">
        <f>IF($BI84&lt;&gt;"",IF('Capacity summary'!$D$14="Yes",IF(COUNTBLANK('Capacity summary'!$H203:$BG203)&lt;52,IF('Capacity summary'!AQ203&lt;&gt;"",$BI84*AQ84,0),AQ84*$BI84),AQ84*$BI84),0)</f>
        <v>0</v>
      </c>
      <c r="CU84" s="319">
        <f>IF($BI84&lt;&gt;"",IF('Capacity summary'!$D$14="Yes",IF(COUNTBLANK('Capacity summary'!$H203:$BG203)&lt;52,IF('Capacity summary'!AR203&lt;&gt;"",$BI84*AR84,0),AR84*$BI84),AR84*$BI84),0)</f>
        <v>0</v>
      </c>
      <c r="CV84" s="319">
        <f>IF($BI84&lt;&gt;"",IF('Capacity summary'!$D$14="Yes",IF(COUNTBLANK('Capacity summary'!$H203:$BG203)&lt;52,IF('Capacity summary'!AS203&lt;&gt;"",$BI84*AS84,0),AS84*$BI84),AS84*$BI84),0)</f>
        <v>0</v>
      </c>
      <c r="CW84" s="319">
        <f>IF($BI84&lt;&gt;"",IF('Capacity summary'!$D$14="Yes",IF(COUNTBLANK('Capacity summary'!$H203:$BG203)&lt;52,IF('Capacity summary'!AT203&lt;&gt;"",$BI84*AT84,0),AT84*$BI84),AT84*$BI84),0)</f>
        <v>0</v>
      </c>
      <c r="CX84" s="319">
        <f>IF($BI84&lt;&gt;"",IF('Capacity summary'!$D$14="Yes",IF(COUNTBLANK('Capacity summary'!$H203:$BG203)&lt;52,IF('Capacity summary'!AU203&lt;&gt;"",$BI84*AU84,0),AU84*$BI84),AU84*$BI84),0)</f>
        <v>0</v>
      </c>
      <c r="CY84" s="319">
        <f>IF($BI84&lt;&gt;"",IF('Capacity summary'!$D$14="Yes",IF(COUNTBLANK('Capacity summary'!$H203:$BG203)&lt;52,IF('Capacity summary'!AV203&lt;&gt;"",$BI84*AV84,0),AV84*$BI84),AV84*$BI84),0)</f>
        <v>0</v>
      </c>
      <c r="CZ84" s="319">
        <f>IF($BI84&lt;&gt;"",IF('Capacity summary'!$D$14="Yes",IF(COUNTBLANK('Capacity summary'!$H203:$BG203)&lt;52,IF('Capacity summary'!AW203&lt;&gt;"",$BI84*AW84,0),AW84*$BI84),AW84*$BI84),0)</f>
        <v>0</v>
      </c>
      <c r="DA84" s="319">
        <f>IF($BI84&lt;&gt;"",IF('Capacity summary'!$D$14="Yes",IF(COUNTBLANK('Capacity summary'!$H203:$BG203)&lt;52,IF('Capacity summary'!AX203&lt;&gt;"",$BI84*AX84,0),AX84*$BI84),AX84*$BI84),0)</f>
        <v>0</v>
      </c>
      <c r="DB84" s="319">
        <f>IF($BI84&lt;&gt;"",IF('Capacity summary'!$D$14="Yes",IF(COUNTBLANK('Capacity summary'!$H203:$BG203)&lt;52,IF('Capacity summary'!AY203&lt;&gt;"",$BI84*AY84,0),AY84*$BI84),AY84*$BI84),0)</f>
        <v>0</v>
      </c>
      <c r="DC84" s="319">
        <f>IF($BI84&lt;&gt;"",IF('Capacity summary'!$D$14="Yes",IF(COUNTBLANK('Capacity summary'!$H203:$BG203)&lt;52,IF('Capacity summary'!AZ203&lt;&gt;"",$BI84*AZ84,0),AZ84*$BI84),AZ84*$BI84),0)</f>
        <v>0</v>
      </c>
      <c r="DD84" s="319">
        <f>IF($BI84&lt;&gt;"",IF('Capacity summary'!$D$14="Yes",IF(COUNTBLANK('Capacity summary'!$H203:$BG203)&lt;52,IF('Capacity summary'!BA203&lt;&gt;"",$BI84*BA84,0),BA84*$BI84),BA84*$BI84),0)</f>
        <v>0</v>
      </c>
      <c r="DE84" s="319">
        <f>IF($BI84&lt;&gt;"",IF('Capacity summary'!$D$14="Yes",IF(COUNTBLANK('Capacity summary'!$H203:$BG203)&lt;52,IF('Capacity summary'!BB203&lt;&gt;"",$BI84*BB84,0),BB84*$BI84),BB84*$BI84),0)</f>
        <v>0</v>
      </c>
      <c r="DF84" s="319">
        <f>IF($BI84&lt;&gt;"",IF('Capacity summary'!$D$14="Yes",IF(COUNTBLANK('Capacity summary'!$H203:$BG203)&lt;52,IF('Capacity summary'!BC203&lt;&gt;"",$BI84*BC84,0),BC84*$BI84),BC84*$BI84),0)</f>
        <v>0</v>
      </c>
      <c r="DG84" s="319">
        <f>IF($BI84&lt;&gt;"",IF('Capacity summary'!$D$14="Yes",IF(COUNTBLANK('Capacity summary'!$H203:$BG203)&lt;52,IF('Capacity summary'!BD203&lt;&gt;"",$BI84*BD84,0),BD84*$BI84),BD84*$BI84),0)</f>
        <v>0</v>
      </c>
      <c r="DH84" s="319">
        <f>IF($BI84&lt;&gt;"",IF('Capacity summary'!$D$14="Yes",IF(COUNTBLANK('Capacity summary'!$H203:$BG203)&lt;52,IF('Capacity summary'!BE203&lt;&gt;"",$BI84*BE84,0),BE84*$BI84),BE84*$BI84),0)</f>
        <v>0</v>
      </c>
      <c r="DI84" s="319">
        <f>IF($BI84&lt;&gt;"",IF('Capacity summary'!$D$14="Yes",IF(COUNTBLANK('Capacity summary'!$H203:$BG203)&lt;52,IF('Capacity summary'!BF203&lt;&gt;"",$BI84*BF84,0),BF84*$BI84),BF84*$BI84),0)</f>
        <v>0</v>
      </c>
      <c r="DJ84" s="319">
        <f>IF($BI84&lt;&gt;"",IF('Capacity summary'!$D$14="Yes",IF(COUNTBLANK('Capacity summary'!$H203:$BG203)&lt;52,IF('Capacity summary'!BG203&lt;&gt;"",$BI84*BG84,0),BG84*$BI84),BG84*$BI84),0)</f>
        <v>0</v>
      </c>
      <c r="DK84" s="5">
        <f t="shared" si="3"/>
        <v>0</v>
      </c>
      <c r="DL84" s="5" t="str">
        <f>Capacity!H96</f>
        <v/>
      </c>
    </row>
    <row r="85" spans="2:116" x14ac:dyDescent="0.2">
      <c r="B85" s="68"/>
      <c r="C85" s="68" t="str">
        <f>ROW(A81)&amp;". "&amp;Capacity!B97</f>
        <v xml:space="preserve">81. </v>
      </c>
      <c r="D85" s="68">
        <f>'Capacity setup'!C92</f>
        <v>0</v>
      </c>
      <c r="E85" s="68">
        <f>'Capacity setup'!D92</f>
        <v>0</v>
      </c>
      <c r="F85" s="68">
        <f>'Capacity setup'!E92</f>
        <v>0</v>
      </c>
      <c r="H85" s="68">
        <f ca="1">IF(AND(SUMIF(Capacity_Resource,$D85,'Critical resources (hide)'!U$6:U$105)+SUMIF(Capacity_Resource,$E85,'Critical resources (hide)'!U$6:U$105)+SUMIF(Capacity_Resource,$F85,'Critical resources (hide)'!U$6:U$105)&gt;0,$E$1=2),0,1)</f>
        <v>1</v>
      </c>
      <c r="I85" s="68">
        <f ca="1">IF(AND(SUMIF(Capacity_Resource,$D85,'Critical resources (hide)'!V$6:V$105)+SUMIF(Capacity_Resource,$E85,'Critical resources (hide)'!V$6:V$105)+SUMIF(Capacity_Resource,$F85,'Critical resources (hide)'!V$6:V$105)&gt;0,$E$1=2),0,1)</f>
        <v>1</v>
      </c>
      <c r="J85" s="68">
        <f ca="1">IF(AND(SUMIF(Capacity_Resource,$D85,'Critical resources (hide)'!W$6:W$105)+SUMIF(Capacity_Resource,$E85,'Critical resources (hide)'!W$6:W$105)+SUMIF(Capacity_Resource,$F85,'Critical resources (hide)'!W$6:W$105)&gt;0,$E$1=2),0,1)</f>
        <v>1</v>
      </c>
      <c r="K85" s="68">
        <f ca="1">IF(AND(SUMIF(Capacity_Resource,$D85,'Critical resources (hide)'!X$6:X$105)+SUMIF(Capacity_Resource,$E85,'Critical resources (hide)'!X$6:X$105)+SUMIF(Capacity_Resource,$F85,'Critical resources (hide)'!X$6:X$105)&gt;0,$E$1=2),0,1)</f>
        <v>1</v>
      </c>
      <c r="L85" s="68">
        <f ca="1">IF(AND(SUMIF(Capacity_Resource,$D85,'Critical resources (hide)'!Y$6:Y$105)+SUMIF(Capacity_Resource,$E85,'Critical resources (hide)'!Y$6:Y$105)+SUMIF(Capacity_Resource,$F85,'Critical resources (hide)'!Y$6:Y$105)&gt;0,$E$1=2),0,1)</f>
        <v>1</v>
      </c>
      <c r="M85" s="68">
        <f ca="1">IF(AND(SUMIF(Capacity_Resource,$D85,'Critical resources (hide)'!Z$6:Z$105)+SUMIF(Capacity_Resource,$E85,'Critical resources (hide)'!Z$6:Z$105)+SUMIF(Capacity_Resource,$F85,'Critical resources (hide)'!Z$6:Z$105)&gt;0,$E$1=2),0,1)</f>
        <v>1</v>
      </c>
      <c r="N85" s="68">
        <f ca="1">IF(AND(SUMIF(Capacity_Resource,$D85,'Critical resources (hide)'!AA$6:AA$105)+SUMIF(Capacity_Resource,$E85,'Critical resources (hide)'!AA$6:AA$105)+SUMIF(Capacity_Resource,$F85,'Critical resources (hide)'!AA$6:AA$105)&gt;0,$E$1=2),0,1)</f>
        <v>1</v>
      </c>
      <c r="O85" s="68">
        <f ca="1">IF(AND(SUMIF(Capacity_Resource,$D85,'Critical resources (hide)'!AB$6:AB$105)+SUMIF(Capacity_Resource,$E85,'Critical resources (hide)'!AB$6:AB$105)+SUMIF(Capacity_Resource,$F85,'Critical resources (hide)'!AB$6:AB$105)&gt;0,$E$1=2),0,1)</f>
        <v>1</v>
      </c>
      <c r="P85" s="68">
        <f ca="1">IF(AND(SUMIF(Capacity_Resource,$D85,'Critical resources (hide)'!AC$6:AC$105)+SUMIF(Capacity_Resource,$E85,'Critical resources (hide)'!AC$6:AC$105)+SUMIF(Capacity_Resource,$F85,'Critical resources (hide)'!AC$6:AC$105)&gt;0,$E$1=2),0,1)</f>
        <v>1</v>
      </c>
      <c r="Q85" s="68">
        <f ca="1">IF(AND(SUMIF(Capacity_Resource,$D85,'Critical resources (hide)'!AD$6:AD$105)+SUMIF(Capacity_Resource,$E85,'Critical resources (hide)'!AD$6:AD$105)+SUMIF(Capacity_Resource,$F85,'Critical resources (hide)'!AD$6:AD$105)&gt;0,$E$1=2),0,1)</f>
        <v>1</v>
      </c>
      <c r="R85" s="68">
        <f ca="1">IF(AND(SUMIF(Capacity_Resource,$D85,'Critical resources (hide)'!AE$6:AE$105)+SUMIF(Capacity_Resource,$E85,'Critical resources (hide)'!AE$6:AE$105)+SUMIF(Capacity_Resource,$F85,'Critical resources (hide)'!AE$6:AE$105)&gt;0,$E$1=2),0,1)</f>
        <v>1</v>
      </c>
      <c r="S85" s="68">
        <f ca="1">IF(AND(SUMIF(Capacity_Resource,$D85,'Critical resources (hide)'!AF$6:AF$105)+SUMIF(Capacity_Resource,$E85,'Critical resources (hide)'!AF$6:AF$105)+SUMIF(Capacity_Resource,$F85,'Critical resources (hide)'!AF$6:AF$105)&gt;0,$E$1=2),0,1)</f>
        <v>1</v>
      </c>
      <c r="T85" s="68">
        <f ca="1">IF(AND(SUMIF(Capacity_Resource,$D85,'Critical resources (hide)'!AG$6:AG$105)+SUMIF(Capacity_Resource,$E85,'Critical resources (hide)'!AG$6:AG$105)+SUMIF(Capacity_Resource,$F85,'Critical resources (hide)'!AG$6:AG$105)&gt;0,$E$1=2),0,1)</f>
        <v>1</v>
      </c>
      <c r="U85" s="68">
        <f ca="1">IF(AND(SUMIF(Capacity_Resource,$D85,'Critical resources (hide)'!AH$6:AH$105)+SUMIF(Capacity_Resource,$E85,'Critical resources (hide)'!AH$6:AH$105)+SUMIF(Capacity_Resource,$F85,'Critical resources (hide)'!AH$6:AH$105)&gt;0,$E$1=2),0,1)</f>
        <v>1</v>
      </c>
      <c r="V85" s="68">
        <f ca="1">IF(AND(SUMIF(Capacity_Resource,$D85,'Critical resources (hide)'!AI$6:AI$105)+SUMIF(Capacity_Resource,$E85,'Critical resources (hide)'!AI$6:AI$105)+SUMIF(Capacity_Resource,$F85,'Critical resources (hide)'!AI$6:AI$105)&gt;0,$E$1=2),0,1)</f>
        <v>1</v>
      </c>
      <c r="W85" s="68">
        <f ca="1">IF(AND(SUMIF(Capacity_Resource,$D85,'Critical resources (hide)'!AJ$6:AJ$105)+SUMIF(Capacity_Resource,$E85,'Critical resources (hide)'!AJ$6:AJ$105)+SUMIF(Capacity_Resource,$F85,'Critical resources (hide)'!AJ$6:AJ$105)&gt;0,$E$1=2),0,1)</f>
        <v>1</v>
      </c>
      <c r="X85" s="68">
        <f ca="1">IF(AND(SUMIF(Capacity_Resource,$D85,'Critical resources (hide)'!AK$6:AK$105)+SUMIF(Capacity_Resource,$E85,'Critical resources (hide)'!AK$6:AK$105)+SUMIF(Capacity_Resource,$F85,'Critical resources (hide)'!AK$6:AK$105)&gt;0,$E$1=2),0,1)</f>
        <v>1</v>
      </c>
      <c r="Y85" s="68">
        <f ca="1">IF(AND(SUMIF(Capacity_Resource,$D85,'Critical resources (hide)'!AL$6:AL$105)+SUMIF(Capacity_Resource,$E85,'Critical resources (hide)'!AL$6:AL$105)+SUMIF(Capacity_Resource,$F85,'Critical resources (hide)'!AL$6:AL$105)&gt;0,$E$1=2),0,1)</f>
        <v>1</v>
      </c>
      <c r="Z85" s="68">
        <f ca="1">IF(AND(SUMIF(Capacity_Resource,$D85,'Critical resources (hide)'!AM$6:AM$105)+SUMIF(Capacity_Resource,$E85,'Critical resources (hide)'!AM$6:AM$105)+SUMIF(Capacity_Resource,$F85,'Critical resources (hide)'!AM$6:AM$105)&gt;0,$E$1=2),0,1)</f>
        <v>1</v>
      </c>
      <c r="AA85" s="68">
        <f ca="1">IF(AND(SUMIF(Capacity_Resource,$D85,'Critical resources (hide)'!AN$6:AN$105)+SUMIF(Capacity_Resource,$E85,'Critical resources (hide)'!AN$6:AN$105)+SUMIF(Capacity_Resource,$F85,'Critical resources (hide)'!AN$6:AN$105)&gt;0,$E$1=2),0,1)</f>
        <v>1</v>
      </c>
      <c r="AB85" s="68">
        <f ca="1">IF(AND(SUMIF(Capacity_Resource,$D85,'Critical resources (hide)'!AO$6:AO$105)+SUMIF(Capacity_Resource,$E85,'Critical resources (hide)'!AO$6:AO$105)+SUMIF(Capacity_Resource,$F85,'Critical resources (hide)'!AO$6:AO$105)&gt;0,$E$1=2),0,1)</f>
        <v>1</v>
      </c>
      <c r="AC85" s="68">
        <f ca="1">IF(AND(SUMIF(Capacity_Resource,$D85,'Critical resources (hide)'!AP$6:AP$105)+SUMIF(Capacity_Resource,$E85,'Critical resources (hide)'!AP$6:AP$105)+SUMIF(Capacity_Resource,$F85,'Critical resources (hide)'!AP$6:AP$105)&gt;0,$E$1=2),0,1)</f>
        <v>1</v>
      </c>
      <c r="AD85" s="68">
        <f ca="1">IF(AND(SUMIF(Capacity_Resource,$D85,'Critical resources (hide)'!AQ$6:AQ$105)+SUMIF(Capacity_Resource,$E85,'Critical resources (hide)'!AQ$6:AQ$105)+SUMIF(Capacity_Resource,$F85,'Critical resources (hide)'!AQ$6:AQ$105)&gt;0,$E$1=2),0,1)</f>
        <v>1</v>
      </c>
      <c r="AE85" s="68">
        <f ca="1">IF(AND(SUMIF(Capacity_Resource,$D85,'Critical resources (hide)'!AR$6:AR$105)+SUMIF(Capacity_Resource,$E85,'Critical resources (hide)'!AR$6:AR$105)+SUMIF(Capacity_Resource,$F85,'Critical resources (hide)'!AR$6:AR$105)&gt;0,$E$1=2),0,1)</f>
        <v>1</v>
      </c>
      <c r="AF85" s="68">
        <f ca="1">IF(AND(SUMIF(Capacity_Resource,$D85,'Critical resources (hide)'!AS$6:AS$105)+SUMIF(Capacity_Resource,$E85,'Critical resources (hide)'!AS$6:AS$105)+SUMIF(Capacity_Resource,$F85,'Critical resources (hide)'!AS$6:AS$105)&gt;0,$E$1=2),0,1)</f>
        <v>1</v>
      </c>
      <c r="AG85" s="68">
        <f ca="1">IF(AND(SUMIF(Capacity_Resource,$D85,'Critical resources (hide)'!AT$6:AT$105)+SUMIF(Capacity_Resource,$E85,'Critical resources (hide)'!AT$6:AT$105)+SUMIF(Capacity_Resource,$F85,'Critical resources (hide)'!AT$6:AT$105)&gt;0,$E$1=2),0,1)</f>
        <v>1</v>
      </c>
      <c r="AH85" s="68">
        <f ca="1">IF(AND(SUMIF(Capacity_Resource,$D85,'Critical resources (hide)'!AU$6:AU$105)+SUMIF(Capacity_Resource,$E85,'Critical resources (hide)'!AU$6:AU$105)+SUMIF(Capacity_Resource,$F85,'Critical resources (hide)'!AU$6:AU$105)&gt;0,$E$1=2),0,1)</f>
        <v>1</v>
      </c>
      <c r="AI85" s="68">
        <f ca="1">IF(AND(SUMIF(Capacity_Resource,$D85,'Critical resources (hide)'!AV$6:AV$105)+SUMIF(Capacity_Resource,$E85,'Critical resources (hide)'!AV$6:AV$105)+SUMIF(Capacity_Resource,$F85,'Critical resources (hide)'!AV$6:AV$105)&gt;0,$E$1=2),0,1)</f>
        <v>1</v>
      </c>
      <c r="AJ85" s="68">
        <f ca="1">IF(AND(SUMIF(Capacity_Resource,$D85,'Critical resources (hide)'!AW$6:AW$105)+SUMIF(Capacity_Resource,$E85,'Critical resources (hide)'!AW$6:AW$105)+SUMIF(Capacity_Resource,$F85,'Critical resources (hide)'!AW$6:AW$105)&gt;0,$E$1=2),0,1)</f>
        <v>1</v>
      </c>
      <c r="AK85" s="68">
        <f ca="1">IF(AND(SUMIF(Capacity_Resource,$D85,'Critical resources (hide)'!AX$6:AX$105)+SUMIF(Capacity_Resource,$E85,'Critical resources (hide)'!AX$6:AX$105)+SUMIF(Capacity_Resource,$F85,'Critical resources (hide)'!AX$6:AX$105)&gt;0,$E$1=2),0,1)</f>
        <v>1</v>
      </c>
      <c r="AL85" s="68">
        <f ca="1">IF(AND(SUMIF(Capacity_Resource,$D85,'Critical resources (hide)'!AY$6:AY$105)+SUMIF(Capacity_Resource,$E85,'Critical resources (hide)'!AY$6:AY$105)+SUMIF(Capacity_Resource,$F85,'Critical resources (hide)'!AY$6:AY$105)&gt;0,$E$1=2),0,1)</f>
        <v>1</v>
      </c>
      <c r="AM85" s="68">
        <f ca="1">IF(AND(SUMIF(Capacity_Resource,$D85,'Critical resources (hide)'!AZ$6:AZ$105)+SUMIF(Capacity_Resource,$E85,'Critical resources (hide)'!AZ$6:AZ$105)+SUMIF(Capacity_Resource,$F85,'Critical resources (hide)'!AZ$6:AZ$105)&gt;0,$E$1=2),0,1)</f>
        <v>1</v>
      </c>
      <c r="AN85" s="68">
        <f ca="1">IF(AND(SUMIF(Capacity_Resource,$D85,'Critical resources (hide)'!BA$6:BA$105)+SUMIF(Capacity_Resource,$E85,'Critical resources (hide)'!BA$6:BA$105)+SUMIF(Capacity_Resource,$F85,'Critical resources (hide)'!BA$6:BA$105)&gt;0,$E$1=2),0,1)</f>
        <v>1</v>
      </c>
      <c r="AO85" s="68">
        <f ca="1">IF(AND(SUMIF(Capacity_Resource,$D85,'Critical resources (hide)'!BB$6:BB$105)+SUMIF(Capacity_Resource,$E85,'Critical resources (hide)'!BB$6:BB$105)+SUMIF(Capacity_Resource,$F85,'Critical resources (hide)'!BB$6:BB$105)&gt;0,$E$1=2),0,1)</f>
        <v>1</v>
      </c>
      <c r="AP85" s="68">
        <f ca="1">IF(AND(SUMIF(Capacity_Resource,$D85,'Critical resources (hide)'!BC$6:BC$105)+SUMIF(Capacity_Resource,$E85,'Critical resources (hide)'!BC$6:BC$105)+SUMIF(Capacity_Resource,$F85,'Critical resources (hide)'!BC$6:BC$105)&gt;0,$E$1=2),0,1)</f>
        <v>1</v>
      </c>
      <c r="AQ85" s="68">
        <f ca="1">IF(AND(SUMIF(Capacity_Resource,$D85,'Critical resources (hide)'!BD$6:BD$105)+SUMIF(Capacity_Resource,$E85,'Critical resources (hide)'!BD$6:BD$105)+SUMIF(Capacity_Resource,$F85,'Critical resources (hide)'!BD$6:BD$105)&gt;0,$E$1=2),0,1)</f>
        <v>1</v>
      </c>
      <c r="AR85" s="68">
        <f ca="1">IF(AND(SUMIF(Capacity_Resource,$D85,'Critical resources (hide)'!BE$6:BE$105)+SUMIF(Capacity_Resource,$E85,'Critical resources (hide)'!BE$6:BE$105)+SUMIF(Capacity_Resource,$F85,'Critical resources (hide)'!BE$6:BE$105)&gt;0,$E$1=2),0,1)</f>
        <v>1</v>
      </c>
      <c r="AS85" s="68">
        <f ca="1">IF(AND(SUMIF(Capacity_Resource,$D85,'Critical resources (hide)'!BF$6:BF$105)+SUMIF(Capacity_Resource,$E85,'Critical resources (hide)'!BF$6:BF$105)+SUMIF(Capacity_Resource,$F85,'Critical resources (hide)'!BF$6:BF$105)&gt;0,$E$1=2),0,1)</f>
        <v>1</v>
      </c>
      <c r="AT85" s="68">
        <f ca="1">IF(AND(SUMIF(Capacity_Resource,$D85,'Critical resources (hide)'!BG$6:BG$105)+SUMIF(Capacity_Resource,$E85,'Critical resources (hide)'!BG$6:BG$105)+SUMIF(Capacity_Resource,$F85,'Critical resources (hide)'!BG$6:BG$105)&gt;0,$E$1=2),0,1)</f>
        <v>1</v>
      </c>
      <c r="AU85" s="68">
        <f ca="1">IF(AND(SUMIF(Capacity_Resource,$D85,'Critical resources (hide)'!BH$6:BH$105)+SUMIF(Capacity_Resource,$E85,'Critical resources (hide)'!BH$6:BH$105)+SUMIF(Capacity_Resource,$F85,'Critical resources (hide)'!BH$6:BH$105)&gt;0,$E$1=2),0,1)</f>
        <v>1</v>
      </c>
      <c r="AV85" s="68">
        <f ca="1">IF(AND(SUMIF(Capacity_Resource,$D85,'Critical resources (hide)'!BI$6:BI$105)+SUMIF(Capacity_Resource,$E85,'Critical resources (hide)'!BI$6:BI$105)+SUMIF(Capacity_Resource,$F85,'Critical resources (hide)'!BI$6:BI$105)&gt;0,$E$1=2),0,1)</f>
        <v>1</v>
      </c>
      <c r="AW85" s="68">
        <f ca="1">IF(AND(SUMIF(Capacity_Resource,$D85,'Critical resources (hide)'!BJ$6:BJ$105)+SUMIF(Capacity_Resource,$E85,'Critical resources (hide)'!BJ$6:BJ$105)+SUMIF(Capacity_Resource,$F85,'Critical resources (hide)'!BJ$6:BJ$105)&gt;0,$E$1=2),0,1)</f>
        <v>1</v>
      </c>
      <c r="AX85" s="68">
        <f ca="1">IF(AND(SUMIF(Capacity_Resource,$D85,'Critical resources (hide)'!BK$6:BK$105)+SUMIF(Capacity_Resource,$E85,'Critical resources (hide)'!BK$6:BK$105)+SUMIF(Capacity_Resource,$F85,'Critical resources (hide)'!BK$6:BK$105)&gt;0,$E$1=2),0,1)</f>
        <v>1</v>
      </c>
      <c r="AY85" s="68">
        <f ca="1">IF(AND(SUMIF(Capacity_Resource,$D85,'Critical resources (hide)'!BL$6:BL$105)+SUMIF(Capacity_Resource,$E85,'Critical resources (hide)'!BL$6:BL$105)+SUMIF(Capacity_Resource,$F85,'Critical resources (hide)'!BL$6:BL$105)&gt;0,$E$1=2),0,1)</f>
        <v>1</v>
      </c>
      <c r="AZ85" s="68">
        <f ca="1">IF(AND(SUMIF(Capacity_Resource,$D85,'Critical resources (hide)'!BM$6:BM$105)+SUMIF(Capacity_Resource,$E85,'Critical resources (hide)'!BM$6:BM$105)+SUMIF(Capacity_Resource,$F85,'Critical resources (hide)'!BM$6:BM$105)&gt;0,$E$1=2),0,1)</f>
        <v>1</v>
      </c>
      <c r="BA85" s="68">
        <f ca="1">IF(AND(SUMIF(Capacity_Resource,$D85,'Critical resources (hide)'!BN$6:BN$105)+SUMIF(Capacity_Resource,$E85,'Critical resources (hide)'!BN$6:BN$105)+SUMIF(Capacity_Resource,$F85,'Critical resources (hide)'!BN$6:BN$105)&gt;0,$E$1=2),0,1)</f>
        <v>1</v>
      </c>
      <c r="BB85" s="68">
        <f ca="1">IF(AND(SUMIF(Capacity_Resource,$D85,'Critical resources (hide)'!BO$6:BO$105)+SUMIF(Capacity_Resource,$E85,'Critical resources (hide)'!BO$6:BO$105)+SUMIF(Capacity_Resource,$F85,'Critical resources (hide)'!BO$6:BO$105)&gt;0,$E$1=2),0,1)</f>
        <v>1</v>
      </c>
      <c r="BC85" s="68">
        <f ca="1">IF(AND(SUMIF(Capacity_Resource,$D85,'Critical resources (hide)'!BP$6:BP$105)+SUMIF(Capacity_Resource,$E85,'Critical resources (hide)'!BP$6:BP$105)+SUMIF(Capacity_Resource,$F85,'Critical resources (hide)'!BP$6:BP$105)&gt;0,$E$1=2),0,1)</f>
        <v>1</v>
      </c>
      <c r="BD85" s="68">
        <f ca="1">IF(AND(SUMIF(Capacity_Resource,$D85,'Critical resources (hide)'!BQ$6:BQ$105)+SUMIF(Capacity_Resource,$E85,'Critical resources (hide)'!BQ$6:BQ$105)+SUMIF(Capacity_Resource,$F85,'Critical resources (hide)'!BQ$6:BQ$105)&gt;0,$E$1=2),0,1)</f>
        <v>1</v>
      </c>
      <c r="BE85" s="68">
        <f ca="1">IF(AND(SUMIF(Capacity_Resource,$D85,'Critical resources (hide)'!BR$6:BR$105)+SUMIF(Capacity_Resource,$E85,'Critical resources (hide)'!BR$6:BR$105)+SUMIF(Capacity_Resource,$F85,'Critical resources (hide)'!BR$6:BR$105)&gt;0,$E$1=2),0,1)</f>
        <v>1</v>
      </c>
      <c r="BF85" s="68">
        <f ca="1">IF(AND(SUMIF(Capacity_Resource,$D85,'Critical resources (hide)'!BS$6:BS$105)+SUMIF(Capacity_Resource,$E85,'Critical resources (hide)'!BS$6:BS$105)+SUMIF(Capacity_Resource,$F85,'Critical resources (hide)'!BS$6:BS$105)&gt;0,$E$1=2),0,1)</f>
        <v>1</v>
      </c>
      <c r="BG85" s="68">
        <f ca="1">IF(AND(SUMIF(Capacity_Resource,$D85,'Critical resources (hide)'!BT$6:BT$105)+SUMIF(Capacity_Resource,$E85,'Critical resources (hide)'!BT$6:BT$105)+SUMIF(Capacity_Resource,$F85,'Critical resources (hide)'!BT$6:BT$105)&gt;0,$E$1=2),0,1)</f>
        <v>1</v>
      </c>
      <c r="BH85" s="68">
        <f>IF(ROW(C81)&lt;=Capacity!$A$16,IF('Capacity summary'!$D$14="No",SUM(H85:BG85),'Capacity summary'!$E204),0)</f>
        <v>0</v>
      </c>
      <c r="BI85" s="5" t="str">
        <f>IF(BH85&gt;0,IF(BH85&lt;Capacity!E97,Capacity!F97,Capacity!H97/'Capacity calculation (hide)'!BH85),"")</f>
        <v/>
      </c>
      <c r="BK85" s="319">
        <f>IF($BI85&lt;&gt;"",IF('Capacity summary'!$D$14="Yes",IF(COUNTBLANK('Capacity summary'!$H204:$BG204)&lt;52,IF('Capacity summary'!H204&lt;&gt;"",$BI85*H85,0),H85*$BI85),H85*$BI85),0)</f>
        <v>0</v>
      </c>
      <c r="BL85" s="319">
        <f>IF($BI85&lt;&gt;"",IF('Capacity summary'!$D$14="Yes",IF(COUNTBLANK('Capacity summary'!$H204:$BG204)&lt;52,IF('Capacity summary'!I204&lt;&gt;"",$BI85*I85,0),I85*$BI85),I85*$BI85),0)</f>
        <v>0</v>
      </c>
      <c r="BM85" s="319">
        <f>IF($BI85&lt;&gt;"",IF('Capacity summary'!$D$14="Yes",IF(COUNTBLANK('Capacity summary'!$H204:$BG204)&lt;52,IF('Capacity summary'!J204&lt;&gt;"",$BI85*J85,0),J85*$BI85),J85*$BI85),0)</f>
        <v>0</v>
      </c>
      <c r="BN85" s="319">
        <f>IF($BI85&lt;&gt;"",IF('Capacity summary'!$D$14="Yes",IF(COUNTBLANK('Capacity summary'!$H204:$BG204)&lt;52,IF('Capacity summary'!K204&lt;&gt;"",$BI85*K85,0),K85*$BI85),K85*$BI85),0)</f>
        <v>0</v>
      </c>
      <c r="BO85" s="319">
        <f>IF($BI85&lt;&gt;"",IF('Capacity summary'!$D$14="Yes",IF(COUNTBLANK('Capacity summary'!$H204:$BG204)&lt;52,IF('Capacity summary'!L204&lt;&gt;"",$BI85*L85,0),L85*$BI85),L85*$BI85),0)</f>
        <v>0</v>
      </c>
      <c r="BP85" s="319">
        <f>IF($BI85&lt;&gt;"",IF('Capacity summary'!$D$14="Yes",IF(COUNTBLANK('Capacity summary'!$H204:$BG204)&lt;52,IF('Capacity summary'!M204&lt;&gt;"",$BI85*M85,0),M85*$BI85),M85*$BI85),0)</f>
        <v>0</v>
      </c>
      <c r="BQ85" s="319">
        <f>IF($BI85&lt;&gt;"",IF('Capacity summary'!$D$14="Yes",IF(COUNTBLANK('Capacity summary'!$H204:$BG204)&lt;52,IF('Capacity summary'!N204&lt;&gt;"",$BI85*N85,0),N85*$BI85),N85*$BI85),0)</f>
        <v>0</v>
      </c>
      <c r="BR85" s="319">
        <f>IF($BI85&lt;&gt;"",IF('Capacity summary'!$D$14="Yes",IF(COUNTBLANK('Capacity summary'!$H204:$BG204)&lt;52,IF('Capacity summary'!O204&lt;&gt;"",$BI85*O85,0),O85*$BI85),O85*$BI85),0)</f>
        <v>0</v>
      </c>
      <c r="BS85" s="319">
        <f>IF($BI85&lt;&gt;"",IF('Capacity summary'!$D$14="Yes",IF(COUNTBLANK('Capacity summary'!$H204:$BG204)&lt;52,IF('Capacity summary'!P204&lt;&gt;"",$BI85*P85,0),P85*$BI85),P85*$BI85),0)</f>
        <v>0</v>
      </c>
      <c r="BT85" s="319">
        <f>IF($BI85&lt;&gt;"",IF('Capacity summary'!$D$14="Yes",IF(COUNTBLANK('Capacity summary'!$H204:$BG204)&lt;52,IF('Capacity summary'!Q204&lt;&gt;"",$BI85*Q85,0),Q85*$BI85),Q85*$BI85),0)</f>
        <v>0</v>
      </c>
      <c r="BU85" s="319">
        <f>IF($BI85&lt;&gt;"",IF('Capacity summary'!$D$14="Yes",IF(COUNTBLANK('Capacity summary'!$H204:$BG204)&lt;52,IF('Capacity summary'!R204&lt;&gt;"",$BI85*R85,0),R85*$BI85),R85*$BI85),0)</f>
        <v>0</v>
      </c>
      <c r="BV85" s="319">
        <f>IF($BI85&lt;&gt;"",IF('Capacity summary'!$D$14="Yes",IF(COUNTBLANK('Capacity summary'!$H204:$BG204)&lt;52,IF('Capacity summary'!S204&lt;&gt;"",$BI85*S85,0),S85*$BI85),S85*$BI85),0)</f>
        <v>0</v>
      </c>
      <c r="BW85" s="319">
        <f>IF($BI85&lt;&gt;"",IF('Capacity summary'!$D$14="Yes",IF(COUNTBLANK('Capacity summary'!$H204:$BG204)&lt;52,IF('Capacity summary'!T204&lt;&gt;"",$BI85*T85,0),T85*$BI85),T85*$BI85),0)</f>
        <v>0</v>
      </c>
      <c r="BX85" s="319">
        <f>IF($BI85&lt;&gt;"",IF('Capacity summary'!$D$14="Yes",IF(COUNTBLANK('Capacity summary'!$H204:$BG204)&lt;52,IF('Capacity summary'!U204&lt;&gt;"",$BI85*U85,0),U85*$BI85),U85*$BI85),0)</f>
        <v>0</v>
      </c>
      <c r="BY85" s="319">
        <f>IF($BI85&lt;&gt;"",IF('Capacity summary'!$D$14="Yes",IF(COUNTBLANK('Capacity summary'!$H204:$BG204)&lt;52,IF('Capacity summary'!V204&lt;&gt;"",$BI85*V85,0),V85*$BI85),V85*$BI85),0)</f>
        <v>0</v>
      </c>
      <c r="BZ85" s="319">
        <f>IF($BI85&lt;&gt;"",IF('Capacity summary'!$D$14="Yes",IF(COUNTBLANK('Capacity summary'!$H204:$BG204)&lt;52,IF('Capacity summary'!W204&lt;&gt;"",$BI85*W85,0),W85*$BI85),W85*$BI85),0)</f>
        <v>0</v>
      </c>
      <c r="CA85" s="319">
        <f>IF($BI85&lt;&gt;"",IF('Capacity summary'!$D$14="Yes",IF(COUNTBLANK('Capacity summary'!$H204:$BG204)&lt;52,IF('Capacity summary'!X204&lt;&gt;"",$BI85*X85,0),X85*$BI85),X85*$BI85),0)</f>
        <v>0</v>
      </c>
      <c r="CB85" s="319">
        <f>IF($BI85&lt;&gt;"",IF('Capacity summary'!$D$14="Yes",IF(COUNTBLANK('Capacity summary'!$H204:$BG204)&lt;52,IF('Capacity summary'!Y204&lt;&gt;"",$BI85*Y85,0),Y85*$BI85),Y85*$BI85),0)</f>
        <v>0</v>
      </c>
      <c r="CC85" s="319">
        <f>IF($BI85&lt;&gt;"",IF('Capacity summary'!$D$14="Yes",IF(COUNTBLANK('Capacity summary'!$H204:$BG204)&lt;52,IF('Capacity summary'!Z204&lt;&gt;"",$BI85*Z85,0),Z85*$BI85),Z85*$BI85),0)</f>
        <v>0</v>
      </c>
      <c r="CD85" s="319">
        <f>IF($BI85&lt;&gt;"",IF('Capacity summary'!$D$14="Yes",IF(COUNTBLANK('Capacity summary'!$H204:$BG204)&lt;52,IF('Capacity summary'!AA204&lt;&gt;"",$BI85*AA85,0),AA85*$BI85),AA85*$BI85),0)</f>
        <v>0</v>
      </c>
      <c r="CE85" s="319">
        <f>IF($BI85&lt;&gt;"",IF('Capacity summary'!$D$14="Yes",IF(COUNTBLANK('Capacity summary'!$H204:$BG204)&lt;52,IF('Capacity summary'!AB204&lt;&gt;"",$BI85*AB85,0),AB85*$BI85),AB85*$BI85),0)</f>
        <v>0</v>
      </c>
      <c r="CF85" s="319">
        <f>IF($BI85&lt;&gt;"",IF('Capacity summary'!$D$14="Yes",IF(COUNTBLANK('Capacity summary'!$H204:$BG204)&lt;52,IF('Capacity summary'!AC204&lt;&gt;"",$BI85*AC85,0),AC85*$BI85),AC85*$BI85),0)</f>
        <v>0</v>
      </c>
      <c r="CG85" s="319">
        <f>IF($BI85&lt;&gt;"",IF('Capacity summary'!$D$14="Yes",IF(COUNTBLANK('Capacity summary'!$H204:$BG204)&lt;52,IF('Capacity summary'!AD204&lt;&gt;"",$BI85*AD85,0),AD85*$BI85),AD85*$BI85),0)</f>
        <v>0</v>
      </c>
      <c r="CH85" s="319">
        <f>IF($BI85&lt;&gt;"",IF('Capacity summary'!$D$14="Yes",IF(COUNTBLANK('Capacity summary'!$H204:$BG204)&lt;52,IF('Capacity summary'!AE204&lt;&gt;"",$BI85*AE85,0),AE85*$BI85),AE85*$BI85),0)</f>
        <v>0</v>
      </c>
      <c r="CI85" s="319">
        <f>IF($BI85&lt;&gt;"",IF('Capacity summary'!$D$14="Yes",IF(COUNTBLANK('Capacity summary'!$H204:$BG204)&lt;52,IF('Capacity summary'!AF204&lt;&gt;"",$BI85*AF85,0),AF85*$BI85),AF85*$BI85),0)</f>
        <v>0</v>
      </c>
      <c r="CJ85" s="319">
        <f>IF($BI85&lt;&gt;"",IF('Capacity summary'!$D$14="Yes",IF(COUNTBLANK('Capacity summary'!$H204:$BG204)&lt;52,IF('Capacity summary'!AG204&lt;&gt;"",$BI85*AG85,0),AG85*$BI85),AG85*$BI85),0)</f>
        <v>0</v>
      </c>
      <c r="CK85" s="319">
        <f>IF($BI85&lt;&gt;"",IF('Capacity summary'!$D$14="Yes",IF(COUNTBLANK('Capacity summary'!$H204:$BG204)&lt;52,IF('Capacity summary'!AH204&lt;&gt;"",$BI85*AH85,0),AH85*$BI85),AH85*$BI85),0)</f>
        <v>0</v>
      </c>
      <c r="CL85" s="319">
        <f>IF($BI85&lt;&gt;"",IF('Capacity summary'!$D$14="Yes",IF(COUNTBLANK('Capacity summary'!$H204:$BG204)&lt;52,IF('Capacity summary'!AI204&lt;&gt;"",$BI85*AI85,0),AI85*$BI85),AI85*$BI85),0)</f>
        <v>0</v>
      </c>
      <c r="CM85" s="319">
        <f>IF($BI85&lt;&gt;"",IF('Capacity summary'!$D$14="Yes",IF(COUNTBLANK('Capacity summary'!$H204:$BG204)&lt;52,IF('Capacity summary'!AJ204&lt;&gt;"",$BI85*AJ85,0),AJ85*$BI85),AJ85*$BI85),0)</f>
        <v>0</v>
      </c>
      <c r="CN85" s="319">
        <f>IF($BI85&lt;&gt;"",IF('Capacity summary'!$D$14="Yes",IF(COUNTBLANK('Capacity summary'!$H204:$BG204)&lt;52,IF('Capacity summary'!AK204&lt;&gt;"",$BI85*AK85,0),AK85*$BI85),AK85*$BI85),0)</f>
        <v>0</v>
      </c>
      <c r="CO85" s="319">
        <f>IF($BI85&lt;&gt;"",IF('Capacity summary'!$D$14="Yes",IF(COUNTBLANK('Capacity summary'!$H204:$BG204)&lt;52,IF('Capacity summary'!AL204&lt;&gt;"",$BI85*AL85,0),AL85*$BI85),AL85*$BI85),0)</f>
        <v>0</v>
      </c>
      <c r="CP85" s="319">
        <f>IF($BI85&lt;&gt;"",IF('Capacity summary'!$D$14="Yes",IF(COUNTBLANK('Capacity summary'!$H204:$BG204)&lt;52,IF('Capacity summary'!AM204&lt;&gt;"",$BI85*AM85,0),AM85*$BI85),AM85*$BI85),0)</f>
        <v>0</v>
      </c>
      <c r="CQ85" s="319">
        <f>IF($BI85&lt;&gt;"",IF('Capacity summary'!$D$14="Yes",IF(COUNTBLANK('Capacity summary'!$H204:$BG204)&lt;52,IF('Capacity summary'!AN204&lt;&gt;"",$BI85*AN85,0),AN85*$BI85),AN85*$BI85),0)</f>
        <v>0</v>
      </c>
      <c r="CR85" s="319">
        <f>IF($BI85&lt;&gt;"",IF('Capacity summary'!$D$14="Yes",IF(COUNTBLANK('Capacity summary'!$H204:$BG204)&lt;52,IF('Capacity summary'!AO204&lt;&gt;"",$BI85*AO85,0),AO85*$BI85),AO85*$BI85),0)</f>
        <v>0</v>
      </c>
      <c r="CS85" s="319">
        <f>IF($BI85&lt;&gt;"",IF('Capacity summary'!$D$14="Yes",IF(COUNTBLANK('Capacity summary'!$H204:$BG204)&lt;52,IF('Capacity summary'!AP204&lt;&gt;"",$BI85*AP85,0),AP85*$BI85),AP85*$BI85),0)</f>
        <v>0</v>
      </c>
      <c r="CT85" s="319">
        <f>IF($BI85&lt;&gt;"",IF('Capacity summary'!$D$14="Yes",IF(COUNTBLANK('Capacity summary'!$H204:$BG204)&lt;52,IF('Capacity summary'!AQ204&lt;&gt;"",$BI85*AQ85,0),AQ85*$BI85),AQ85*$BI85),0)</f>
        <v>0</v>
      </c>
      <c r="CU85" s="319">
        <f>IF($BI85&lt;&gt;"",IF('Capacity summary'!$D$14="Yes",IF(COUNTBLANK('Capacity summary'!$H204:$BG204)&lt;52,IF('Capacity summary'!AR204&lt;&gt;"",$BI85*AR85,0),AR85*$BI85),AR85*$BI85),0)</f>
        <v>0</v>
      </c>
      <c r="CV85" s="319">
        <f>IF($BI85&lt;&gt;"",IF('Capacity summary'!$D$14="Yes",IF(COUNTBLANK('Capacity summary'!$H204:$BG204)&lt;52,IF('Capacity summary'!AS204&lt;&gt;"",$BI85*AS85,0),AS85*$BI85),AS85*$BI85),0)</f>
        <v>0</v>
      </c>
      <c r="CW85" s="319">
        <f>IF($BI85&lt;&gt;"",IF('Capacity summary'!$D$14="Yes",IF(COUNTBLANK('Capacity summary'!$H204:$BG204)&lt;52,IF('Capacity summary'!AT204&lt;&gt;"",$BI85*AT85,0),AT85*$BI85),AT85*$BI85),0)</f>
        <v>0</v>
      </c>
      <c r="CX85" s="319">
        <f>IF($BI85&lt;&gt;"",IF('Capacity summary'!$D$14="Yes",IF(COUNTBLANK('Capacity summary'!$H204:$BG204)&lt;52,IF('Capacity summary'!AU204&lt;&gt;"",$BI85*AU85,0),AU85*$BI85),AU85*$BI85),0)</f>
        <v>0</v>
      </c>
      <c r="CY85" s="319">
        <f>IF($BI85&lt;&gt;"",IF('Capacity summary'!$D$14="Yes",IF(COUNTBLANK('Capacity summary'!$H204:$BG204)&lt;52,IF('Capacity summary'!AV204&lt;&gt;"",$BI85*AV85,0),AV85*$BI85),AV85*$BI85),0)</f>
        <v>0</v>
      </c>
      <c r="CZ85" s="319">
        <f>IF($BI85&lt;&gt;"",IF('Capacity summary'!$D$14="Yes",IF(COUNTBLANK('Capacity summary'!$H204:$BG204)&lt;52,IF('Capacity summary'!AW204&lt;&gt;"",$BI85*AW85,0),AW85*$BI85),AW85*$BI85),0)</f>
        <v>0</v>
      </c>
      <c r="DA85" s="319">
        <f>IF($BI85&lt;&gt;"",IF('Capacity summary'!$D$14="Yes",IF(COUNTBLANK('Capacity summary'!$H204:$BG204)&lt;52,IF('Capacity summary'!AX204&lt;&gt;"",$BI85*AX85,0),AX85*$BI85),AX85*$BI85),0)</f>
        <v>0</v>
      </c>
      <c r="DB85" s="319">
        <f>IF($BI85&lt;&gt;"",IF('Capacity summary'!$D$14="Yes",IF(COUNTBLANK('Capacity summary'!$H204:$BG204)&lt;52,IF('Capacity summary'!AY204&lt;&gt;"",$BI85*AY85,0),AY85*$BI85),AY85*$BI85),0)</f>
        <v>0</v>
      </c>
      <c r="DC85" s="319">
        <f>IF($BI85&lt;&gt;"",IF('Capacity summary'!$D$14="Yes",IF(COUNTBLANK('Capacity summary'!$H204:$BG204)&lt;52,IF('Capacity summary'!AZ204&lt;&gt;"",$BI85*AZ85,0),AZ85*$BI85),AZ85*$BI85),0)</f>
        <v>0</v>
      </c>
      <c r="DD85" s="319">
        <f>IF($BI85&lt;&gt;"",IF('Capacity summary'!$D$14="Yes",IF(COUNTBLANK('Capacity summary'!$H204:$BG204)&lt;52,IF('Capacity summary'!BA204&lt;&gt;"",$BI85*BA85,0),BA85*$BI85),BA85*$BI85),0)</f>
        <v>0</v>
      </c>
      <c r="DE85" s="319">
        <f>IF($BI85&lt;&gt;"",IF('Capacity summary'!$D$14="Yes",IF(COUNTBLANK('Capacity summary'!$H204:$BG204)&lt;52,IF('Capacity summary'!BB204&lt;&gt;"",$BI85*BB85,0),BB85*$BI85),BB85*$BI85),0)</f>
        <v>0</v>
      </c>
      <c r="DF85" s="319">
        <f>IF($BI85&lt;&gt;"",IF('Capacity summary'!$D$14="Yes",IF(COUNTBLANK('Capacity summary'!$H204:$BG204)&lt;52,IF('Capacity summary'!BC204&lt;&gt;"",$BI85*BC85,0),BC85*$BI85),BC85*$BI85),0)</f>
        <v>0</v>
      </c>
      <c r="DG85" s="319">
        <f>IF($BI85&lt;&gt;"",IF('Capacity summary'!$D$14="Yes",IF(COUNTBLANK('Capacity summary'!$H204:$BG204)&lt;52,IF('Capacity summary'!BD204&lt;&gt;"",$BI85*BD85,0),BD85*$BI85),BD85*$BI85),0)</f>
        <v>0</v>
      </c>
      <c r="DH85" s="319">
        <f>IF($BI85&lt;&gt;"",IF('Capacity summary'!$D$14="Yes",IF(COUNTBLANK('Capacity summary'!$H204:$BG204)&lt;52,IF('Capacity summary'!BE204&lt;&gt;"",$BI85*BE85,0),BE85*$BI85),BE85*$BI85),0)</f>
        <v>0</v>
      </c>
      <c r="DI85" s="319">
        <f>IF($BI85&lt;&gt;"",IF('Capacity summary'!$D$14="Yes",IF(COUNTBLANK('Capacity summary'!$H204:$BG204)&lt;52,IF('Capacity summary'!BF204&lt;&gt;"",$BI85*BF85,0),BF85*$BI85),BF85*$BI85),0)</f>
        <v>0</v>
      </c>
      <c r="DJ85" s="319">
        <f>IF($BI85&lt;&gt;"",IF('Capacity summary'!$D$14="Yes",IF(COUNTBLANK('Capacity summary'!$H204:$BG204)&lt;52,IF('Capacity summary'!BG204&lt;&gt;"",$BI85*BG85,0),BG85*$BI85),BG85*$BI85),0)</f>
        <v>0</v>
      </c>
      <c r="DK85" s="5">
        <f t="shared" si="3"/>
        <v>0</v>
      </c>
      <c r="DL85" s="5" t="str">
        <f>Capacity!H97</f>
        <v/>
      </c>
    </row>
    <row r="86" spans="2:116" x14ac:dyDescent="0.2">
      <c r="B86" s="68"/>
      <c r="C86" s="68" t="str">
        <f>ROW(A82)&amp;". "&amp;Capacity!B98</f>
        <v xml:space="preserve">82. </v>
      </c>
      <c r="D86" s="68">
        <f>'Capacity setup'!C93</f>
        <v>0</v>
      </c>
      <c r="E86" s="68">
        <f>'Capacity setup'!D93</f>
        <v>0</v>
      </c>
      <c r="F86" s="68">
        <f>'Capacity setup'!E93</f>
        <v>0</v>
      </c>
      <c r="H86" s="68">
        <f ca="1">IF(AND(SUMIF(Capacity_Resource,$D86,'Critical resources (hide)'!U$6:U$105)+SUMIF(Capacity_Resource,$E86,'Critical resources (hide)'!U$6:U$105)+SUMIF(Capacity_Resource,$F86,'Critical resources (hide)'!U$6:U$105)&gt;0,$E$1=2),0,1)</f>
        <v>1</v>
      </c>
      <c r="I86" s="68">
        <f ca="1">IF(AND(SUMIF(Capacity_Resource,$D86,'Critical resources (hide)'!V$6:V$105)+SUMIF(Capacity_Resource,$E86,'Critical resources (hide)'!V$6:V$105)+SUMIF(Capacity_Resource,$F86,'Critical resources (hide)'!V$6:V$105)&gt;0,$E$1=2),0,1)</f>
        <v>1</v>
      </c>
      <c r="J86" s="68">
        <f ca="1">IF(AND(SUMIF(Capacity_Resource,$D86,'Critical resources (hide)'!W$6:W$105)+SUMIF(Capacity_Resource,$E86,'Critical resources (hide)'!W$6:W$105)+SUMIF(Capacity_Resource,$F86,'Critical resources (hide)'!W$6:W$105)&gt;0,$E$1=2),0,1)</f>
        <v>1</v>
      </c>
      <c r="K86" s="68">
        <f ca="1">IF(AND(SUMIF(Capacity_Resource,$D86,'Critical resources (hide)'!X$6:X$105)+SUMIF(Capacity_Resource,$E86,'Critical resources (hide)'!X$6:X$105)+SUMIF(Capacity_Resource,$F86,'Critical resources (hide)'!X$6:X$105)&gt;0,$E$1=2),0,1)</f>
        <v>1</v>
      </c>
      <c r="L86" s="68">
        <f ca="1">IF(AND(SUMIF(Capacity_Resource,$D86,'Critical resources (hide)'!Y$6:Y$105)+SUMIF(Capacity_Resource,$E86,'Critical resources (hide)'!Y$6:Y$105)+SUMIF(Capacity_Resource,$F86,'Critical resources (hide)'!Y$6:Y$105)&gt;0,$E$1=2),0,1)</f>
        <v>1</v>
      </c>
      <c r="M86" s="68">
        <f ca="1">IF(AND(SUMIF(Capacity_Resource,$D86,'Critical resources (hide)'!Z$6:Z$105)+SUMIF(Capacity_Resource,$E86,'Critical resources (hide)'!Z$6:Z$105)+SUMIF(Capacity_Resource,$F86,'Critical resources (hide)'!Z$6:Z$105)&gt;0,$E$1=2),0,1)</f>
        <v>1</v>
      </c>
      <c r="N86" s="68">
        <f ca="1">IF(AND(SUMIF(Capacity_Resource,$D86,'Critical resources (hide)'!AA$6:AA$105)+SUMIF(Capacity_Resource,$E86,'Critical resources (hide)'!AA$6:AA$105)+SUMIF(Capacity_Resource,$F86,'Critical resources (hide)'!AA$6:AA$105)&gt;0,$E$1=2),0,1)</f>
        <v>1</v>
      </c>
      <c r="O86" s="68">
        <f ca="1">IF(AND(SUMIF(Capacity_Resource,$D86,'Critical resources (hide)'!AB$6:AB$105)+SUMIF(Capacity_Resource,$E86,'Critical resources (hide)'!AB$6:AB$105)+SUMIF(Capacity_Resource,$F86,'Critical resources (hide)'!AB$6:AB$105)&gt;0,$E$1=2),0,1)</f>
        <v>1</v>
      </c>
      <c r="P86" s="68">
        <f ca="1">IF(AND(SUMIF(Capacity_Resource,$D86,'Critical resources (hide)'!AC$6:AC$105)+SUMIF(Capacity_Resource,$E86,'Critical resources (hide)'!AC$6:AC$105)+SUMIF(Capacity_Resource,$F86,'Critical resources (hide)'!AC$6:AC$105)&gt;0,$E$1=2),0,1)</f>
        <v>1</v>
      </c>
      <c r="Q86" s="68">
        <f ca="1">IF(AND(SUMIF(Capacity_Resource,$D86,'Critical resources (hide)'!AD$6:AD$105)+SUMIF(Capacity_Resource,$E86,'Critical resources (hide)'!AD$6:AD$105)+SUMIF(Capacity_Resource,$F86,'Critical resources (hide)'!AD$6:AD$105)&gt;0,$E$1=2),0,1)</f>
        <v>1</v>
      </c>
      <c r="R86" s="68">
        <f ca="1">IF(AND(SUMIF(Capacity_Resource,$D86,'Critical resources (hide)'!AE$6:AE$105)+SUMIF(Capacity_Resource,$E86,'Critical resources (hide)'!AE$6:AE$105)+SUMIF(Capacity_Resource,$F86,'Critical resources (hide)'!AE$6:AE$105)&gt;0,$E$1=2),0,1)</f>
        <v>1</v>
      </c>
      <c r="S86" s="68">
        <f ca="1">IF(AND(SUMIF(Capacity_Resource,$D86,'Critical resources (hide)'!AF$6:AF$105)+SUMIF(Capacity_Resource,$E86,'Critical resources (hide)'!AF$6:AF$105)+SUMIF(Capacity_Resource,$F86,'Critical resources (hide)'!AF$6:AF$105)&gt;0,$E$1=2),0,1)</f>
        <v>1</v>
      </c>
      <c r="T86" s="68">
        <f ca="1">IF(AND(SUMIF(Capacity_Resource,$D86,'Critical resources (hide)'!AG$6:AG$105)+SUMIF(Capacity_Resource,$E86,'Critical resources (hide)'!AG$6:AG$105)+SUMIF(Capacity_Resource,$F86,'Critical resources (hide)'!AG$6:AG$105)&gt;0,$E$1=2),0,1)</f>
        <v>1</v>
      </c>
      <c r="U86" s="68">
        <f ca="1">IF(AND(SUMIF(Capacity_Resource,$D86,'Critical resources (hide)'!AH$6:AH$105)+SUMIF(Capacity_Resource,$E86,'Critical resources (hide)'!AH$6:AH$105)+SUMIF(Capacity_Resource,$F86,'Critical resources (hide)'!AH$6:AH$105)&gt;0,$E$1=2),0,1)</f>
        <v>1</v>
      </c>
      <c r="V86" s="68">
        <f ca="1">IF(AND(SUMIF(Capacity_Resource,$D86,'Critical resources (hide)'!AI$6:AI$105)+SUMIF(Capacity_Resource,$E86,'Critical resources (hide)'!AI$6:AI$105)+SUMIF(Capacity_Resource,$F86,'Critical resources (hide)'!AI$6:AI$105)&gt;0,$E$1=2),0,1)</f>
        <v>1</v>
      </c>
      <c r="W86" s="68">
        <f ca="1">IF(AND(SUMIF(Capacity_Resource,$D86,'Critical resources (hide)'!AJ$6:AJ$105)+SUMIF(Capacity_Resource,$E86,'Critical resources (hide)'!AJ$6:AJ$105)+SUMIF(Capacity_Resource,$F86,'Critical resources (hide)'!AJ$6:AJ$105)&gt;0,$E$1=2),0,1)</f>
        <v>1</v>
      </c>
      <c r="X86" s="68">
        <f ca="1">IF(AND(SUMIF(Capacity_Resource,$D86,'Critical resources (hide)'!AK$6:AK$105)+SUMIF(Capacity_Resource,$E86,'Critical resources (hide)'!AK$6:AK$105)+SUMIF(Capacity_Resource,$F86,'Critical resources (hide)'!AK$6:AK$105)&gt;0,$E$1=2),0,1)</f>
        <v>1</v>
      </c>
      <c r="Y86" s="68">
        <f ca="1">IF(AND(SUMIF(Capacity_Resource,$D86,'Critical resources (hide)'!AL$6:AL$105)+SUMIF(Capacity_Resource,$E86,'Critical resources (hide)'!AL$6:AL$105)+SUMIF(Capacity_Resource,$F86,'Critical resources (hide)'!AL$6:AL$105)&gt;0,$E$1=2),0,1)</f>
        <v>1</v>
      </c>
      <c r="Z86" s="68">
        <f ca="1">IF(AND(SUMIF(Capacity_Resource,$D86,'Critical resources (hide)'!AM$6:AM$105)+SUMIF(Capacity_Resource,$E86,'Critical resources (hide)'!AM$6:AM$105)+SUMIF(Capacity_Resource,$F86,'Critical resources (hide)'!AM$6:AM$105)&gt;0,$E$1=2),0,1)</f>
        <v>1</v>
      </c>
      <c r="AA86" s="68">
        <f ca="1">IF(AND(SUMIF(Capacity_Resource,$D86,'Critical resources (hide)'!AN$6:AN$105)+SUMIF(Capacity_Resource,$E86,'Critical resources (hide)'!AN$6:AN$105)+SUMIF(Capacity_Resource,$F86,'Critical resources (hide)'!AN$6:AN$105)&gt;0,$E$1=2),0,1)</f>
        <v>1</v>
      </c>
      <c r="AB86" s="68">
        <f ca="1">IF(AND(SUMIF(Capacity_Resource,$D86,'Critical resources (hide)'!AO$6:AO$105)+SUMIF(Capacity_Resource,$E86,'Critical resources (hide)'!AO$6:AO$105)+SUMIF(Capacity_Resource,$F86,'Critical resources (hide)'!AO$6:AO$105)&gt;0,$E$1=2),0,1)</f>
        <v>1</v>
      </c>
      <c r="AC86" s="68">
        <f ca="1">IF(AND(SUMIF(Capacity_Resource,$D86,'Critical resources (hide)'!AP$6:AP$105)+SUMIF(Capacity_Resource,$E86,'Critical resources (hide)'!AP$6:AP$105)+SUMIF(Capacity_Resource,$F86,'Critical resources (hide)'!AP$6:AP$105)&gt;0,$E$1=2),0,1)</f>
        <v>1</v>
      </c>
      <c r="AD86" s="68">
        <f ca="1">IF(AND(SUMIF(Capacity_Resource,$D86,'Critical resources (hide)'!AQ$6:AQ$105)+SUMIF(Capacity_Resource,$E86,'Critical resources (hide)'!AQ$6:AQ$105)+SUMIF(Capacity_Resource,$F86,'Critical resources (hide)'!AQ$6:AQ$105)&gt;0,$E$1=2),0,1)</f>
        <v>1</v>
      </c>
      <c r="AE86" s="68">
        <f ca="1">IF(AND(SUMIF(Capacity_Resource,$D86,'Critical resources (hide)'!AR$6:AR$105)+SUMIF(Capacity_Resource,$E86,'Critical resources (hide)'!AR$6:AR$105)+SUMIF(Capacity_Resource,$F86,'Critical resources (hide)'!AR$6:AR$105)&gt;0,$E$1=2),0,1)</f>
        <v>1</v>
      </c>
      <c r="AF86" s="68">
        <f ca="1">IF(AND(SUMIF(Capacity_Resource,$D86,'Critical resources (hide)'!AS$6:AS$105)+SUMIF(Capacity_Resource,$E86,'Critical resources (hide)'!AS$6:AS$105)+SUMIF(Capacity_Resource,$F86,'Critical resources (hide)'!AS$6:AS$105)&gt;0,$E$1=2),0,1)</f>
        <v>1</v>
      </c>
      <c r="AG86" s="68">
        <f ca="1">IF(AND(SUMIF(Capacity_Resource,$D86,'Critical resources (hide)'!AT$6:AT$105)+SUMIF(Capacity_Resource,$E86,'Critical resources (hide)'!AT$6:AT$105)+SUMIF(Capacity_Resource,$F86,'Critical resources (hide)'!AT$6:AT$105)&gt;0,$E$1=2),0,1)</f>
        <v>1</v>
      </c>
      <c r="AH86" s="68">
        <f ca="1">IF(AND(SUMIF(Capacity_Resource,$D86,'Critical resources (hide)'!AU$6:AU$105)+SUMIF(Capacity_Resource,$E86,'Critical resources (hide)'!AU$6:AU$105)+SUMIF(Capacity_Resource,$F86,'Critical resources (hide)'!AU$6:AU$105)&gt;0,$E$1=2),0,1)</f>
        <v>1</v>
      </c>
      <c r="AI86" s="68">
        <f ca="1">IF(AND(SUMIF(Capacity_Resource,$D86,'Critical resources (hide)'!AV$6:AV$105)+SUMIF(Capacity_Resource,$E86,'Critical resources (hide)'!AV$6:AV$105)+SUMIF(Capacity_Resource,$F86,'Critical resources (hide)'!AV$6:AV$105)&gt;0,$E$1=2),0,1)</f>
        <v>1</v>
      </c>
      <c r="AJ86" s="68">
        <f ca="1">IF(AND(SUMIF(Capacity_Resource,$D86,'Critical resources (hide)'!AW$6:AW$105)+SUMIF(Capacity_Resource,$E86,'Critical resources (hide)'!AW$6:AW$105)+SUMIF(Capacity_Resource,$F86,'Critical resources (hide)'!AW$6:AW$105)&gt;0,$E$1=2),0,1)</f>
        <v>1</v>
      </c>
      <c r="AK86" s="68">
        <f ca="1">IF(AND(SUMIF(Capacity_Resource,$D86,'Critical resources (hide)'!AX$6:AX$105)+SUMIF(Capacity_Resource,$E86,'Critical resources (hide)'!AX$6:AX$105)+SUMIF(Capacity_Resource,$F86,'Critical resources (hide)'!AX$6:AX$105)&gt;0,$E$1=2),0,1)</f>
        <v>1</v>
      </c>
      <c r="AL86" s="68">
        <f ca="1">IF(AND(SUMIF(Capacity_Resource,$D86,'Critical resources (hide)'!AY$6:AY$105)+SUMIF(Capacity_Resource,$E86,'Critical resources (hide)'!AY$6:AY$105)+SUMIF(Capacity_Resource,$F86,'Critical resources (hide)'!AY$6:AY$105)&gt;0,$E$1=2),0,1)</f>
        <v>1</v>
      </c>
      <c r="AM86" s="68">
        <f ca="1">IF(AND(SUMIF(Capacity_Resource,$D86,'Critical resources (hide)'!AZ$6:AZ$105)+SUMIF(Capacity_Resource,$E86,'Critical resources (hide)'!AZ$6:AZ$105)+SUMIF(Capacity_Resource,$F86,'Critical resources (hide)'!AZ$6:AZ$105)&gt;0,$E$1=2),0,1)</f>
        <v>1</v>
      </c>
      <c r="AN86" s="68">
        <f ca="1">IF(AND(SUMIF(Capacity_Resource,$D86,'Critical resources (hide)'!BA$6:BA$105)+SUMIF(Capacity_Resource,$E86,'Critical resources (hide)'!BA$6:BA$105)+SUMIF(Capacity_Resource,$F86,'Critical resources (hide)'!BA$6:BA$105)&gt;0,$E$1=2),0,1)</f>
        <v>1</v>
      </c>
      <c r="AO86" s="68">
        <f ca="1">IF(AND(SUMIF(Capacity_Resource,$D86,'Critical resources (hide)'!BB$6:BB$105)+SUMIF(Capacity_Resource,$E86,'Critical resources (hide)'!BB$6:BB$105)+SUMIF(Capacity_Resource,$F86,'Critical resources (hide)'!BB$6:BB$105)&gt;0,$E$1=2),0,1)</f>
        <v>1</v>
      </c>
      <c r="AP86" s="68">
        <f ca="1">IF(AND(SUMIF(Capacity_Resource,$D86,'Critical resources (hide)'!BC$6:BC$105)+SUMIF(Capacity_Resource,$E86,'Critical resources (hide)'!BC$6:BC$105)+SUMIF(Capacity_Resource,$F86,'Critical resources (hide)'!BC$6:BC$105)&gt;0,$E$1=2),0,1)</f>
        <v>1</v>
      </c>
      <c r="AQ86" s="68">
        <f ca="1">IF(AND(SUMIF(Capacity_Resource,$D86,'Critical resources (hide)'!BD$6:BD$105)+SUMIF(Capacity_Resource,$E86,'Critical resources (hide)'!BD$6:BD$105)+SUMIF(Capacity_Resource,$F86,'Critical resources (hide)'!BD$6:BD$105)&gt;0,$E$1=2),0,1)</f>
        <v>1</v>
      </c>
      <c r="AR86" s="68">
        <f ca="1">IF(AND(SUMIF(Capacity_Resource,$D86,'Critical resources (hide)'!BE$6:BE$105)+SUMIF(Capacity_Resource,$E86,'Critical resources (hide)'!BE$6:BE$105)+SUMIF(Capacity_Resource,$F86,'Critical resources (hide)'!BE$6:BE$105)&gt;0,$E$1=2),0,1)</f>
        <v>1</v>
      </c>
      <c r="AS86" s="68">
        <f ca="1">IF(AND(SUMIF(Capacity_Resource,$D86,'Critical resources (hide)'!BF$6:BF$105)+SUMIF(Capacity_Resource,$E86,'Critical resources (hide)'!BF$6:BF$105)+SUMIF(Capacity_Resource,$F86,'Critical resources (hide)'!BF$6:BF$105)&gt;0,$E$1=2),0,1)</f>
        <v>1</v>
      </c>
      <c r="AT86" s="68">
        <f ca="1">IF(AND(SUMIF(Capacity_Resource,$D86,'Critical resources (hide)'!BG$6:BG$105)+SUMIF(Capacity_Resource,$E86,'Critical resources (hide)'!BG$6:BG$105)+SUMIF(Capacity_Resource,$F86,'Critical resources (hide)'!BG$6:BG$105)&gt;0,$E$1=2),0,1)</f>
        <v>1</v>
      </c>
      <c r="AU86" s="68">
        <f ca="1">IF(AND(SUMIF(Capacity_Resource,$D86,'Critical resources (hide)'!BH$6:BH$105)+SUMIF(Capacity_Resource,$E86,'Critical resources (hide)'!BH$6:BH$105)+SUMIF(Capacity_Resource,$F86,'Critical resources (hide)'!BH$6:BH$105)&gt;0,$E$1=2),0,1)</f>
        <v>1</v>
      </c>
      <c r="AV86" s="68">
        <f ca="1">IF(AND(SUMIF(Capacity_Resource,$D86,'Critical resources (hide)'!BI$6:BI$105)+SUMIF(Capacity_Resource,$E86,'Critical resources (hide)'!BI$6:BI$105)+SUMIF(Capacity_Resource,$F86,'Critical resources (hide)'!BI$6:BI$105)&gt;0,$E$1=2),0,1)</f>
        <v>1</v>
      </c>
      <c r="AW86" s="68">
        <f ca="1">IF(AND(SUMIF(Capacity_Resource,$D86,'Critical resources (hide)'!BJ$6:BJ$105)+SUMIF(Capacity_Resource,$E86,'Critical resources (hide)'!BJ$6:BJ$105)+SUMIF(Capacity_Resource,$F86,'Critical resources (hide)'!BJ$6:BJ$105)&gt;0,$E$1=2),0,1)</f>
        <v>1</v>
      </c>
      <c r="AX86" s="68">
        <f ca="1">IF(AND(SUMIF(Capacity_Resource,$D86,'Critical resources (hide)'!BK$6:BK$105)+SUMIF(Capacity_Resource,$E86,'Critical resources (hide)'!BK$6:BK$105)+SUMIF(Capacity_Resource,$F86,'Critical resources (hide)'!BK$6:BK$105)&gt;0,$E$1=2),0,1)</f>
        <v>1</v>
      </c>
      <c r="AY86" s="68">
        <f ca="1">IF(AND(SUMIF(Capacity_Resource,$D86,'Critical resources (hide)'!BL$6:BL$105)+SUMIF(Capacity_Resource,$E86,'Critical resources (hide)'!BL$6:BL$105)+SUMIF(Capacity_Resource,$F86,'Critical resources (hide)'!BL$6:BL$105)&gt;0,$E$1=2),0,1)</f>
        <v>1</v>
      </c>
      <c r="AZ86" s="68">
        <f ca="1">IF(AND(SUMIF(Capacity_Resource,$D86,'Critical resources (hide)'!BM$6:BM$105)+SUMIF(Capacity_Resource,$E86,'Critical resources (hide)'!BM$6:BM$105)+SUMIF(Capacity_Resource,$F86,'Critical resources (hide)'!BM$6:BM$105)&gt;0,$E$1=2),0,1)</f>
        <v>1</v>
      </c>
      <c r="BA86" s="68">
        <f ca="1">IF(AND(SUMIF(Capacity_Resource,$D86,'Critical resources (hide)'!BN$6:BN$105)+SUMIF(Capacity_Resource,$E86,'Critical resources (hide)'!BN$6:BN$105)+SUMIF(Capacity_Resource,$F86,'Critical resources (hide)'!BN$6:BN$105)&gt;0,$E$1=2),0,1)</f>
        <v>1</v>
      </c>
      <c r="BB86" s="68">
        <f ca="1">IF(AND(SUMIF(Capacity_Resource,$D86,'Critical resources (hide)'!BO$6:BO$105)+SUMIF(Capacity_Resource,$E86,'Critical resources (hide)'!BO$6:BO$105)+SUMIF(Capacity_Resource,$F86,'Critical resources (hide)'!BO$6:BO$105)&gt;0,$E$1=2),0,1)</f>
        <v>1</v>
      </c>
      <c r="BC86" s="68">
        <f ca="1">IF(AND(SUMIF(Capacity_Resource,$D86,'Critical resources (hide)'!BP$6:BP$105)+SUMIF(Capacity_Resource,$E86,'Critical resources (hide)'!BP$6:BP$105)+SUMIF(Capacity_Resource,$F86,'Critical resources (hide)'!BP$6:BP$105)&gt;0,$E$1=2),0,1)</f>
        <v>1</v>
      </c>
      <c r="BD86" s="68">
        <f ca="1">IF(AND(SUMIF(Capacity_Resource,$D86,'Critical resources (hide)'!BQ$6:BQ$105)+SUMIF(Capacity_Resource,$E86,'Critical resources (hide)'!BQ$6:BQ$105)+SUMIF(Capacity_Resource,$F86,'Critical resources (hide)'!BQ$6:BQ$105)&gt;0,$E$1=2),0,1)</f>
        <v>1</v>
      </c>
      <c r="BE86" s="68">
        <f ca="1">IF(AND(SUMIF(Capacity_Resource,$D86,'Critical resources (hide)'!BR$6:BR$105)+SUMIF(Capacity_Resource,$E86,'Critical resources (hide)'!BR$6:BR$105)+SUMIF(Capacity_Resource,$F86,'Critical resources (hide)'!BR$6:BR$105)&gt;0,$E$1=2),0,1)</f>
        <v>1</v>
      </c>
      <c r="BF86" s="68">
        <f ca="1">IF(AND(SUMIF(Capacity_Resource,$D86,'Critical resources (hide)'!BS$6:BS$105)+SUMIF(Capacity_Resource,$E86,'Critical resources (hide)'!BS$6:BS$105)+SUMIF(Capacity_Resource,$F86,'Critical resources (hide)'!BS$6:BS$105)&gt;0,$E$1=2),0,1)</f>
        <v>1</v>
      </c>
      <c r="BG86" s="68">
        <f ca="1">IF(AND(SUMIF(Capacity_Resource,$D86,'Critical resources (hide)'!BT$6:BT$105)+SUMIF(Capacity_Resource,$E86,'Critical resources (hide)'!BT$6:BT$105)+SUMIF(Capacity_Resource,$F86,'Critical resources (hide)'!BT$6:BT$105)&gt;0,$E$1=2),0,1)</f>
        <v>1</v>
      </c>
      <c r="BH86" s="68">
        <f>IF(ROW(C82)&lt;=Capacity!$A$16,IF('Capacity summary'!$D$14="No",SUM(H86:BG86),'Capacity summary'!$E205),0)</f>
        <v>0</v>
      </c>
      <c r="BI86" s="5" t="str">
        <f>IF(BH86&gt;0,IF(BH86&lt;Capacity!E98,Capacity!F98,Capacity!H98/'Capacity calculation (hide)'!BH86),"")</f>
        <v/>
      </c>
      <c r="BK86" s="319">
        <f>IF($BI86&lt;&gt;"",IF('Capacity summary'!$D$14="Yes",IF(COUNTBLANK('Capacity summary'!$H205:$BG205)&lt;52,IF('Capacity summary'!H205&lt;&gt;"",$BI86*H86,0),H86*$BI86),H86*$BI86),0)</f>
        <v>0</v>
      </c>
      <c r="BL86" s="319">
        <f>IF($BI86&lt;&gt;"",IF('Capacity summary'!$D$14="Yes",IF(COUNTBLANK('Capacity summary'!$H205:$BG205)&lt;52,IF('Capacity summary'!I205&lt;&gt;"",$BI86*I86,0),I86*$BI86),I86*$BI86),0)</f>
        <v>0</v>
      </c>
      <c r="BM86" s="319">
        <f>IF($BI86&lt;&gt;"",IF('Capacity summary'!$D$14="Yes",IF(COUNTBLANK('Capacity summary'!$H205:$BG205)&lt;52,IF('Capacity summary'!J205&lt;&gt;"",$BI86*J86,0),J86*$BI86),J86*$BI86),0)</f>
        <v>0</v>
      </c>
      <c r="BN86" s="319">
        <f>IF($BI86&lt;&gt;"",IF('Capacity summary'!$D$14="Yes",IF(COUNTBLANK('Capacity summary'!$H205:$BG205)&lt;52,IF('Capacity summary'!K205&lt;&gt;"",$BI86*K86,0),K86*$BI86),K86*$BI86),0)</f>
        <v>0</v>
      </c>
      <c r="BO86" s="319">
        <f>IF($BI86&lt;&gt;"",IF('Capacity summary'!$D$14="Yes",IF(COUNTBLANK('Capacity summary'!$H205:$BG205)&lt;52,IF('Capacity summary'!L205&lt;&gt;"",$BI86*L86,0),L86*$BI86),L86*$BI86),0)</f>
        <v>0</v>
      </c>
      <c r="BP86" s="319">
        <f>IF($BI86&lt;&gt;"",IF('Capacity summary'!$D$14="Yes",IF(COUNTBLANK('Capacity summary'!$H205:$BG205)&lt;52,IF('Capacity summary'!M205&lt;&gt;"",$BI86*M86,0),M86*$BI86),M86*$BI86),0)</f>
        <v>0</v>
      </c>
      <c r="BQ86" s="319">
        <f>IF($BI86&lt;&gt;"",IF('Capacity summary'!$D$14="Yes",IF(COUNTBLANK('Capacity summary'!$H205:$BG205)&lt;52,IF('Capacity summary'!N205&lt;&gt;"",$BI86*N86,0),N86*$BI86),N86*$BI86),0)</f>
        <v>0</v>
      </c>
      <c r="BR86" s="319">
        <f>IF($BI86&lt;&gt;"",IF('Capacity summary'!$D$14="Yes",IF(COUNTBLANK('Capacity summary'!$H205:$BG205)&lt;52,IF('Capacity summary'!O205&lt;&gt;"",$BI86*O86,0),O86*$BI86),O86*$BI86),0)</f>
        <v>0</v>
      </c>
      <c r="BS86" s="319">
        <f>IF($BI86&lt;&gt;"",IF('Capacity summary'!$D$14="Yes",IF(COUNTBLANK('Capacity summary'!$H205:$BG205)&lt;52,IF('Capacity summary'!P205&lt;&gt;"",$BI86*P86,0),P86*$BI86),P86*$BI86),0)</f>
        <v>0</v>
      </c>
      <c r="BT86" s="319">
        <f>IF($BI86&lt;&gt;"",IF('Capacity summary'!$D$14="Yes",IF(COUNTBLANK('Capacity summary'!$H205:$BG205)&lt;52,IF('Capacity summary'!Q205&lt;&gt;"",$BI86*Q86,0),Q86*$BI86),Q86*$BI86),0)</f>
        <v>0</v>
      </c>
      <c r="BU86" s="319">
        <f>IF($BI86&lt;&gt;"",IF('Capacity summary'!$D$14="Yes",IF(COUNTBLANK('Capacity summary'!$H205:$BG205)&lt;52,IF('Capacity summary'!R205&lt;&gt;"",$BI86*R86,0),R86*$BI86),R86*$BI86),0)</f>
        <v>0</v>
      </c>
      <c r="BV86" s="319">
        <f>IF($BI86&lt;&gt;"",IF('Capacity summary'!$D$14="Yes",IF(COUNTBLANK('Capacity summary'!$H205:$BG205)&lt;52,IF('Capacity summary'!S205&lt;&gt;"",$BI86*S86,0),S86*$BI86),S86*$BI86),0)</f>
        <v>0</v>
      </c>
      <c r="BW86" s="319">
        <f>IF($BI86&lt;&gt;"",IF('Capacity summary'!$D$14="Yes",IF(COUNTBLANK('Capacity summary'!$H205:$BG205)&lt;52,IF('Capacity summary'!T205&lt;&gt;"",$BI86*T86,0),T86*$BI86),T86*$BI86),0)</f>
        <v>0</v>
      </c>
      <c r="BX86" s="319">
        <f>IF($BI86&lt;&gt;"",IF('Capacity summary'!$D$14="Yes",IF(COUNTBLANK('Capacity summary'!$H205:$BG205)&lt;52,IF('Capacity summary'!U205&lt;&gt;"",$BI86*U86,0),U86*$BI86),U86*$BI86),0)</f>
        <v>0</v>
      </c>
      <c r="BY86" s="319">
        <f>IF($BI86&lt;&gt;"",IF('Capacity summary'!$D$14="Yes",IF(COUNTBLANK('Capacity summary'!$H205:$BG205)&lt;52,IF('Capacity summary'!V205&lt;&gt;"",$BI86*V86,0),V86*$BI86),V86*$BI86),0)</f>
        <v>0</v>
      </c>
      <c r="BZ86" s="319">
        <f>IF($BI86&lt;&gt;"",IF('Capacity summary'!$D$14="Yes",IF(COUNTBLANK('Capacity summary'!$H205:$BG205)&lt;52,IF('Capacity summary'!W205&lt;&gt;"",$BI86*W86,0),W86*$BI86),W86*$BI86),0)</f>
        <v>0</v>
      </c>
      <c r="CA86" s="319">
        <f>IF($BI86&lt;&gt;"",IF('Capacity summary'!$D$14="Yes",IF(COUNTBLANK('Capacity summary'!$H205:$BG205)&lt;52,IF('Capacity summary'!X205&lt;&gt;"",$BI86*X86,0),X86*$BI86),X86*$BI86),0)</f>
        <v>0</v>
      </c>
      <c r="CB86" s="319">
        <f>IF($BI86&lt;&gt;"",IF('Capacity summary'!$D$14="Yes",IF(COUNTBLANK('Capacity summary'!$H205:$BG205)&lt;52,IF('Capacity summary'!Y205&lt;&gt;"",$BI86*Y86,0),Y86*$BI86),Y86*$BI86),0)</f>
        <v>0</v>
      </c>
      <c r="CC86" s="319">
        <f>IF($BI86&lt;&gt;"",IF('Capacity summary'!$D$14="Yes",IF(COUNTBLANK('Capacity summary'!$H205:$BG205)&lt;52,IF('Capacity summary'!Z205&lt;&gt;"",$BI86*Z86,0),Z86*$BI86),Z86*$BI86),0)</f>
        <v>0</v>
      </c>
      <c r="CD86" s="319">
        <f>IF($BI86&lt;&gt;"",IF('Capacity summary'!$D$14="Yes",IF(COUNTBLANK('Capacity summary'!$H205:$BG205)&lt;52,IF('Capacity summary'!AA205&lt;&gt;"",$BI86*AA86,0),AA86*$BI86),AA86*$BI86),0)</f>
        <v>0</v>
      </c>
      <c r="CE86" s="319">
        <f>IF($BI86&lt;&gt;"",IF('Capacity summary'!$D$14="Yes",IF(COUNTBLANK('Capacity summary'!$H205:$BG205)&lt;52,IF('Capacity summary'!AB205&lt;&gt;"",$BI86*AB86,0),AB86*$BI86),AB86*$BI86),0)</f>
        <v>0</v>
      </c>
      <c r="CF86" s="319">
        <f>IF($BI86&lt;&gt;"",IF('Capacity summary'!$D$14="Yes",IF(COUNTBLANK('Capacity summary'!$H205:$BG205)&lt;52,IF('Capacity summary'!AC205&lt;&gt;"",$BI86*AC86,0),AC86*$BI86),AC86*$BI86),0)</f>
        <v>0</v>
      </c>
      <c r="CG86" s="319">
        <f>IF($BI86&lt;&gt;"",IF('Capacity summary'!$D$14="Yes",IF(COUNTBLANK('Capacity summary'!$H205:$BG205)&lt;52,IF('Capacity summary'!AD205&lt;&gt;"",$BI86*AD86,0),AD86*$BI86),AD86*$BI86),0)</f>
        <v>0</v>
      </c>
      <c r="CH86" s="319">
        <f>IF($BI86&lt;&gt;"",IF('Capacity summary'!$D$14="Yes",IF(COUNTBLANK('Capacity summary'!$H205:$BG205)&lt;52,IF('Capacity summary'!AE205&lt;&gt;"",$BI86*AE86,0),AE86*$BI86),AE86*$BI86),0)</f>
        <v>0</v>
      </c>
      <c r="CI86" s="319">
        <f>IF($BI86&lt;&gt;"",IF('Capacity summary'!$D$14="Yes",IF(COUNTBLANK('Capacity summary'!$H205:$BG205)&lt;52,IF('Capacity summary'!AF205&lt;&gt;"",$BI86*AF86,0),AF86*$BI86),AF86*$BI86),0)</f>
        <v>0</v>
      </c>
      <c r="CJ86" s="319">
        <f>IF($BI86&lt;&gt;"",IF('Capacity summary'!$D$14="Yes",IF(COUNTBLANK('Capacity summary'!$H205:$BG205)&lt;52,IF('Capacity summary'!AG205&lt;&gt;"",$BI86*AG86,0),AG86*$BI86),AG86*$BI86),0)</f>
        <v>0</v>
      </c>
      <c r="CK86" s="319">
        <f>IF($BI86&lt;&gt;"",IF('Capacity summary'!$D$14="Yes",IF(COUNTBLANK('Capacity summary'!$H205:$BG205)&lt;52,IF('Capacity summary'!AH205&lt;&gt;"",$BI86*AH86,0),AH86*$BI86),AH86*$BI86),0)</f>
        <v>0</v>
      </c>
      <c r="CL86" s="319">
        <f>IF($BI86&lt;&gt;"",IF('Capacity summary'!$D$14="Yes",IF(COUNTBLANK('Capacity summary'!$H205:$BG205)&lt;52,IF('Capacity summary'!AI205&lt;&gt;"",$BI86*AI86,0),AI86*$BI86),AI86*$BI86),0)</f>
        <v>0</v>
      </c>
      <c r="CM86" s="319">
        <f>IF($BI86&lt;&gt;"",IF('Capacity summary'!$D$14="Yes",IF(COUNTBLANK('Capacity summary'!$H205:$BG205)&lt;52,IF('Capacity summary'!AJ205&lt;&gt;"",$BI86*AJ86,0),AJ86*$BI86),AJ86*$BI86),0)</f>
        <v>0</v>
      </c>
      <c r="CN86" s="319">
        <f>IF($BI86&lt;&gt;"",IF('Capacity summary'!$D$14="Yes",IF(COUNTBLANK('Capacity summary'!$H205:$BG205)&lt;52,IF('Capacity summary'!AK205&lt;&gt;"",$BI86*AK86,0),AK86*$BI86),AK86*$BI86),0)</f>
        <v>0</v>
      </c>
      <c r="CO86" s="319">
        <f>IF($BI86&lt;&gt;"",IF('Capacity summary'!$D$14="Yes",IF(COUNTBLANK('Capacity summary'!$H205:$BG205)&lt;52,IF('Capacity summary'!AL205&lt;&gt;"",$BI86*AL86,0),AL86*$BI86),AL86*$BI86),0)</f>
        <v>0</v>
      </c>
      <c r="CP86" s="319">
        <f>IF($BI86&lt;&gt;"",IF('Capacity summary'!$D$14="Yes",IF(COUNTBLANK('Capacity summary'!$H205:$BG205)&lt;52,IF('Capacity summary'!AM205&lt;&gt;"",$BI86*AM86,0),AM86*$BI86),AM86*$BI86),0)</f>
        <v>0</v>
      </c>
      <c r="CQ86" s="319">
        <f>IF($BI86&lt;&gt;"",IF('Capacity summary'!$D$14="Yes",IF(COUNTBLANK('Capacity summary'!$H205:$BG205)&lt;52,IF('Capacity summary'!AN205&lt;&gt;"",$BI86*AN86,0),AN86*$BI86),AN86*$BI86),0)</f>
        <v>0</v>
      </c>
      <c r="CR86" s="319">
        <f>IF($BI86&lt;&gt;"",IF('Capacity summary'!$D$14="Yes",IF(COUNTBLANK('Capacity summary'!$H205:$BG205)&lt;52,IF('Capacity summary'!AO205&lt;&gt;"",$BI86*AO86,0),AO86*$BI86),AO86*$BI86),0)</f>
        <v>0</v>
      </c>
      <c r="CS86" s="319">
        <f>IF($BI86&lt;&gt;"",IF('Capacity summary'!$D$14="Yes",IF(COUNTBLANK('Capacity summary'!$H205:$BG205)&lt;52,IF('Capacity summary'!AP205&lt;&gt;"",$BI86*AP86,0),AP86*$BI86),AP86*$BI86),0)</f>
        <v>0</v>
      </c>
      <c r="CT86" s="319">
        <f>IF($BI86&lt;&gt;"",IF('Capacity summary'!$D$14="Yes",IF(COUNTBLANK('Capacity summary'!$H205:$BG205)&lt;52,IF('Capacity summary'!AQ205&lt;&gt;"",$BI86*AQ86,0),AQ86*$BI86),AQ86*$BI86),0)</f>
        <v>0</v>
      </c>
      <c r="CU86" s="319">
        <f>IF($BI86&lt;&gt;"",IF('Capacity summary'!$D$14="Yes",IF(COUNTBLANK('Capacity summary'!$H205:$BG205)&lt;52,IF('Capacity summary'!AR205&lt;&gt;"",$BI86*AR86,0),AR86*$BI86),AR86*$BI86),0)</f>
        <v>0</v>
      </c>
      <c r="CV86" s="319">
        <f>IF($BI86&lt;&gt;"",IF('Capacity summary'!$D$14="Yes",IF(COUNTBLANK('Capacity summary'!$H205:$BG205)&lt;52,IF('Capacity summary'!AS205&lt;&gt;"",$BI86*AS86,0),AS86*$BI86),AS86*$BI86),0)</f>
        <v>0</v>
      </c>
      <c r="CW86" s="319">
        <f>IF($BI86&lt;&gt;"",IF('Capacity summary'!$D$14="Yes",IF(COUNTBLANK('Capacity summary'!$H205:$BG205)&lt;52,IF('Capacity summary'!AT205&lt;&gt;"",$BI86*AT86,0),AT86*$BI86),AT86*$BI86),0)</f>
        <v>0</v>
      </c>
      <c r="CX86" s="319">
        <f>IF($BI86&lt;&gt;"",IF('Capacity summary'!$D$14="Yes",IF(COUNTBLANK('Capacity summary'!$H205:$BG205)&lt;52,IF('Capacity summary'!AU205&lt;&gt;"",$BI86*AU86,0),AU86*$BI86),AU86*$BI86),0)</f>
        <v>0</v>
      </c>
      <c r="CY86" s="319">
        <f>IF($BI86&lt;&gt;"",IF('Capacity summary'!$D$14="Yes",IF(COUNTBLANK('Capacity summary'!$H205:$BG205)&lt;52,IF('Capacity summary'!AV205&lt;&gt;"",$BI86*AV86,0),AV86*$BI86),AV86*$BI86),0)</f>
        <v>0</v>
      </c>
      <c r="CZ86" s="319">
        <f>IF($BI86&lt;&gt;"",IF('Capacity summary'!$D$14="Yes",IF(COUNTBLANK('Capacity summary'!$H205:$BG205)&lt;52,IF('Capacity summary'!AW205&lt;&gt;"",$BI86*AW86,0),AW86*$BI86),AW86*$BI86),0)</f>
        <v>0</v>
      </c>
      <c r="DA86" s="319">
        <f>IF($BI86&lt;&gt;"",IF('Capacity summary'!$D$14="Yes",IF(COUNTBLANK('Capacity summary'!$H205:$BG205)&lt;52,IF('Capacity summary'!AX205&lt;&gt;"",$BI86*AX86,0),AX86*$BI86),AX86*$BI86),0)</f>
        <v>0</v>
      </c>
      <c r="DB86" s="319">
        <f>IF($BI86&lt;&gt;"",IF('Capacity summary'!$D$14="Yes",IF(COUNTBLANK('Capacity summary'!$H205:$BG205)&lt;52,IF('Capacity summary'!AY205&lt;&gt;"",$BI86*AY86,0),AY86*$BI86),AY86*$BI86),0)</f>
        <v>0</v>
      </c>
      <c r="DC86" s="319">
        <f>IF($BI86&lt;&gt;"",IF('Capacity summary'!$D$14="Yes",IF(COUNTBLANK('Capacity summary'!$H205:$BG205)&lt;52,IF('Capacity summary'!AZ205&lt;&gt;"",$BI86*AZ86,0),AZ86*$BI86),AZ86*$BI86),0)</f>
        <v>0</v>
      </c>
      <c r="DD86" s="319">
        <f>IF($BI86&lt;&gt;"",IF('Capacity summary'!$D$14="Yes",IF(COUNTBLANK('Capacity summary'!$H205:$BG205)&lt;52,IF('Capacity summary'!BA205&lt;&gt;"",$BI86*BA86,0),BA86*$BI86),BA86*$BI86),0)</f>
        <v>0</v>
      </c>
      <c r="DE86" s="319">
        <f>IF($BI86&lt;&gt;"",IF('Capacity summary'!$D$14="Yes",IF(COUNTBLANK('Capacity summary'!$H205:$BG205)&lt;52,IF('Capacity summary'!BB205&lt;&gt;"",$BI86*BB86,0),BB86*$BI86),BB86*$BI86),0)</f>
        <v>0</v>
      </c>
      <c r="DF86" s="319">
        <f>IF($BI86&lt;&gt;"",IF('Capacity summary'!$D$14="Yes",IF(COUNTBLANK('Capacity summary'!$H205:$BG205)&lt;52,IF('Capacity summary'!BC205&lt;&gt;"",$BI86*BC86,0),BC86*$BI86),BC86*$BI86),0)</f>
        <v>0</v>
      </c>
      <c r="DG86" s="319">
        <f>IF($BI86&lt;&gt;"",IF('Capacity summary'!$D$14="Yes",IF(COUNTBLANK('Capacity summary'!$H205:$BG205)&lt;52,IF('Capacity summary'!BD205&lt;&gt;"",$BI86*BD86,0),BD86*$BI86),BD86*$BI86),0)</f>
        <v>0</v>
      </c>
      <c r="DH86" s="319">
        <f>IF($BI86&lt;&gt;"",IF('Capacity summary'!$D$14="Yes",IF(COUNTBLANK('Capacity summary'!$H205:$BG205)&lt;52,IF('Capacity summary'!BE205&lt;&gt;"",$BI86*BE86,0),BE86*$BI86),BE86*$BI86),0)</f>
        <v>0</v>
      </c>
      <c r="DI86" s="319">
        <f>IF($BI86&lt;&gt;"",IF('Capacity summary'!$D$14="Yes",IF(COUNTBLANK('Capacity summary'!$H205:$BG205)&lt;52,IF('Capacity summary'!BF205&lt;&gt;"",$BI86*BF86,0),BF86*$BI86),BF86*$BI86),0)</f>
        <v>0</v>
      </c>
      <c r="DJ86" s="319">
        <f>IF($BI86&lt;&gt;"",IF('Capacity summary'!$D$14="Yes",IF(COUNTBLANK('Capacity summary'!$H205:$BG205)&lt;52,IF('Capacity summary'!BG205&lt;&gt;"",$BI86*BG86,0),BG86*$BI86),BG86*$BI86),0)</f>
        <v>0</v>
      </c>
      <c r="DK86" s="5">
        <f t="shared" si="3"/>
        <v>0</v>
      </c>
      <c r="DL86" s="5" t="str">
        <f>Capacity!H98</f>
        <v/>
      </c>
    </row>
    <row r="87" spans="2:116" x14ac:dyDescent="0.2">
      <c r="B87" s="68"/>
      <c r="C87" s="68" t="str">
        <f>ROW(A83)&amp;". "&amp;Capacity!B99</f>
        <v xml:space="preserve">83. </v>
      </c>
      <c r="D87" s="68">
        <f>'Capacity setup'!C94</f>
        <v>0</v>
      </c>
      <c r="E87" s="68">
        <f>'Capacity setup'!D94</f>
        <v>0</v>
      </c>
      <c r="F87" s="68">
        <f>'Capacity setup'!E94</f>
        <v>0</v>
      </c>
      <c r="H87" s="68">
        <f ca="1">IF(AND(SUMIF(Capacity_Resource,$D87,'Critical resources (hide)'!U$6:U$105)+SUMIF(Capacity_Resource,$E87,'Critical resources (hide)'!U$6:U$105)+SUMIF(Capacity_Resource,$F87,'Critical resources (hide)'!U$6:U$105)&gt;0,$E$1=2),0,1)</f>
        <v>1</v>
      </c>
      <c r="I87" s="68">
        <f ca="1">IF(AND(SUMIF(Capacity_Resource,$D87,'Critical resources (hide)'!V$6:V$105)+SUMIF(Capacity_Resource,$E87,'Critical resources (hide)'!V$6:V$105)+SUMIF(Capacity_Resource,$F87,'Critical resources (hide)'!V$6:V$105)&gt;0,$E$1=2),0,1)</f>
        <v>1</v>
      </c>
      <c r="J87" s="68">
        <f ca="1">IF(AND(SUMIF(Capacity_Resource,$D87,'Critical resources (hide)'!W$6:W$105)+SUMIF(Capacity_Resource,$E87,'Critical resources (hide)'!W$6:W$105)+SUMIF(Capacity_Resource,$F87,'Critical resources (hide)'!W$6:W$105)&gt;0,$E$1=2),0,1)</f>
        <v>1</v>
      </c>
      <c r="K87" s="68">
        <f ca="1">IF(AND(SUMIF(Capacity_Resource,$D87,'Critical resources (hide)'!X$6:X$105)+SUMIF(Capacity_Resource,$E87,'Critical resources (hide)'!X$6:X$105)+SUMIF(Capacity_Resource,$F87,'Critical resources (hide)'!X$6:X$105)&gt;0,$E$1=2),0,1)</f>
        <v>1</v>
      </c>
      <c r="L87" s="68">
        <f ca="1">IF(AND(SUMIF(Capacity_Resource,$D87,'Critical resources (hide)'!Y$6:Y$105)+SUMIF(Capacity_Resource,$E87,'Critical resources (hide)'!Y$6:Y$105)+SUMIF(Capacity_Resource,$F87,'Critical resources (hide)'!Y$6:Y$105)&gt;0,$E$1=2),0,1)</f>
        <v>1</v>
      </c>
      <c r="M87" s="68">
        <f ca="1">IF(AND(SUMIF(Capacity_Resource,$D87,'Critical resources (hide)'!Z$6:Z$105)+SUMIF(Capacity_Resource,$E87,'Critical resources (hide)'!Z$6:Z$105)+SUMIF(Capacity_Resource,$F87,'Critical resources (hide)'!Z$6:Z$105)&gt;0,$E$1=2),0,1)</f>
        <v>1</v>
      </c>
      <c r="N87" s="68">
        <f ca="1">IF(AND(SUMIF(Capacity_Resource,$D87,'Critical resources (hide)'!AA$6:AA$105)+SUMIF(Capacity_Resource,$E87,'Critical resources (hide)'!AA$6:AA$105)+SUMIF(Capacity_Resource,$F87,'Critical resources (hide)'!AA$6:AA$105)&gt;0,$E$1=2),0,1)</f>
        <v>1</v>
      </c>
      <c r="O87" s="68">
        <f ca="1">IF(AND(SUMIF(Capacity_Resource,$D87,'Critical resources (hide)'!AB$6:AB$105)+SUMIF(Capacity_Resource,$E87,'Critical resources (hide)'!AB$6:AB$105)+SUMIF(Capacity_Resource,$F87,'Critical resources (hide)'!AB$6:AB$105)&gt;0,$E$1=2),0,1)</f>
        <v>1</v>
      </c>
      <c r="P87" s="68">
        <f ca="1">IF(AND(SUMIF(Capacity_Resource,$D87,'Critical resources (hide)'!AC$6:AC$105)+SUMIF(Capacity_Resource,$E87,'Critical resources (hide)'!AC$6:AC$105)+SUMIF(Capacity_Resource,$F87,'Critical resources (hide)'!AC$6:AC$105)&gt;0,$E$1=2),0,1)</f>
        <v>1</v>
      </c>
      <c r="Q87" s="68">
        <f ca="1">IF(AND(SUMIF(Capacity_Resource,$D87,'Critical resources (hide)'!AD$6:AD$105)+SUMIF(Capacity_Resource,$E87,'Critical resources (hide)'!AD$6:AD$105)+SUMIF(Capacity_Resource,$F87,'Critical resources (hide)'!AD$6:AD$105)&gt;0,$E$1=2),0,1)</f>
        <v>1</v>
      </c>
      <c r="R87" s="68">
        <f ca="1">IF(AND(SUMIF(Capacity_Resource,$D87,'Critical resources (hide)'!AE$6:AE$105)+SUMIF(Capacity_Resource,$E87,'Critical resources (hide)'!AE$6:AE$105)+SUMIF(Capacity_Resource,$F87,'Critical resources (hide)'!AE$6:AE$105)&gt;0,$E$1=2),0,1)</f>
        <v>1</v>
      </c>
      <c r="S87" s="68">
        <f ca="1">IF(AND(SUMIF(Capacity_Resource,$D87,'Critical resources (hide)'!AF$6:AF$105)+SUMIF(Capacity_Resource,$E87,'Critical resources (hide)'!AF$6:AF$105)+SUMIF(Capacity_Resource,$F87,'Critical resources (hide)'!AF$6:AF$105)&gt;0,$E$1=2),0,1)</f>
        <v>1</v>
      </c>
      <c r="T87" s="68">
        <f ca="1">IF(AND(SUMIF(Capacity_Resource,$D87,'Critical resources (hide)'!AG$6:AG$105)+SUMIF(Capacity_Resource,$E87,'Critical resources (hide)'!AG$6:AG$105)+SUMIF(Capacity_Resource,$F87,'Critical resources (hide)'!AG$6:AG$105)&gt;0,$E$1=2),0,1)</f>
        <v>1</v>
      </c>
      <c r="U87" s="68">
        <f ca="1">IF(AND(SUMIF(Capacity_Resource,$D87,'Critical resources (hide)'!AH$6:AH$105)+SUMIF(Capacity_Resource,$E87,'Critical resources (hide)'!AH$6:AH$105)+SUMIF(Capacity_Resource,$F87,'Critical resources (hide)'!AH$6:AH$105)&gt;0,$E$1=2),0,1)</f>
        <v>1</v>
      </c>
      <c r="V87" s="68">
        <f ca="1">IF(AND(SUMIF(Capacity_Resource,$D87,'Critical resources (hide)'!AI$6:AI$105)+SUMIF(Capacity_Resource,$E87,'Critical resources (hide)'!AI$6:AI$105)+SUMIF(Capacity_Resource,$F87,'Critical resources (hide)'!AI$6:AI$105)&gt;0,$E$1=2),0,1)</f>
        <v>1</v>
      </c>
      <c r="W87" s="68">
        <f ca="1">IF(AND(SUMIF(Capacity_Resource,$D87,'Critical resources (hide)'!AJ$6:AJ$105)+SUMIF(Capacity_Resource,$E87,'Critical resources (hide)'!AJ$6:AJ$105)+SUMIF(Capacity_Resource,$F87,'Critical resources (hide)'!AJ$6:AJ$105)&gt;0,$E$1=2),0,1)</f>
        <v>1</v>
      </c>
      <c r="X87" s="68">
        <f ca="1">IF(AND(SUMIF(Capacity_Resource,$D87,'Critical resources (hide)'!AK$6:AK$105)+SUMIF(Capacity_Resource,$E87,'Critical resources (hide)'!AK$6:AK$105)+SUMIF(Capacity_Resource,$F87,'Critical resources (hide)'!AK$6:AK$105)&gt;0,$E$1=2),0,1)</f>
        <v>1</v>
      </c>
      <c r="Y87" s="68">
        <f ca="1">IF(AND(SUMIF(Capacity_Resource,$D87,'Critical resources (hide)'!AL$6:AL$105)+SUMIF(Capacity_Resource,$E87,'Critical resources (hide)'!AL$6:AL$105)+SUMIF(Capacity_Resource,$F87,'Critical resources (hide)'!AL$6:AL$105)&gt;0,$E$1=2),0,1)</f>
        <v>1</v>
      </c>
      <c r="Z87" s="68">
        <f ca="1">IF(AND(SUMIF(Capacity_Resource,$D87,'Critical resources (hide)'!AM$6:AM$105)+SUMIF(Capacity_Resource,$E87,'Critical resources (hide)'!AM$6:AM$105)+SUMIF(Capacity_Resource,$F87,'Critical resources (hide)'!AM$6:AM$105)&gt;0,$E$1=2),0,1)</f>
        <v>1</v>
      </c>
      <c r="AA87" s="68">
        <f ca="1">IF(AND(SUMIF(Capacity_Resource,$D87,'Critical resources (hide)'!AN$6:AN$105)+SUMIF(Capacity_Resource,$E87,'Critical resources (hide)'!AN$6:AN$105)+SUMIF(Capacity_Resource,$F87,'Critical resources (hide)'!AN$6:AN$105)&gt;0,$E$1=2),0,1)</f>
        <v>1</v>
      </c>
      <c r="AB87" s="68">
        <f ca="1">IF(AND(SUMIF(Capacity_Resource,$D87,'Critical resources (hide)'!AO$6:AO$105)+SUMIF(Capacity_Resource,$E87,'Critical resources (hide)'!AO$6:AO$105)+SUMIF(Capacity_Resource,$F87,'Critical resources (hide)'!AO$6:AO$105)&gt;0,$E$1=2),0,1)</f>
        <v>1</v>
      </c>
      <c r="AC87" s="68">
        <f ca="1">IF(AND(SUMIF(Capacity_Resource,$D87,'Critical resources (hide)'!AP$6:AP$105)+SUMIF(Capacity_Resource,$E87,'Critical resources (hide)'!AP$6:AP$105)+SUMIF(Capacity_Resource,$F87,'Critical resources (hide)'!AP$6:AP$105)&gt;0,$E$1=2),0,1)</f>
        <v>1</v>
      </c>
      <c r="AD87" s="68">
        <f ca="1">IF(AND(SUMIF(Capacity_Resource,$D87,'Critical resources (hide)'!AQ$6:AQ$105)+SUMIF(Capacity_Resource,$E87,'Critical resources (hide)'!AQ$6:AQ$105)+SUMIF(Capacity_Resource,$F87,'Critical resources (hide)'!AQ$6:AQ$105)&gt;0,$E$1=2),0,1)</f>
        <v>1</v>
      </c>
      <c r="AE87" s="68">
        <f ca="1">IF(AND(SUMIF(Capacity_Resource,$D87,'Critical resources (hide)'!AR$6:AR$105)+SUMIF(Capacity_Resource,$E87,'Critical resources (hide)'!AR$6:AR$105)+SUMIF(Capacity_Resource,$F87,'Critical resources (hide)'!AR$6:AR$105)&gt;0,$E$1=2),0,1)</f>
        <v>1</v>
      </c>
      <c r="AF87" s="68">
        <f ca="1">IF(AND(SUMIF(Capacity_Resource,$D87,'Critical resources (hide)'!AS$6:AS$105)+SUMIF(Capacity_Resource,$E87,'Critical resources (hide)'!AS$6:AS$105)+SUMIF(Capacity_Resource,$F87,'Critical resources (hide)'!AS$6:AS$105)&gt;0,$E$1=2),0,1)</f>
        <v>1</v>
      </c>
      <c r="AG87" s="68">
        <f ca="1">IF(AND(SUMIF(Capacity_Resource,$D87,'Critical resources (hide)'!AT$6:AT$105)+SUMIF(Capacity_Resource,$E87,'Critical resources (hide)'!AT$6:AT$105)+SUMIF(Capacity_Resource,$F87,'Critical resources (hide)'!AT$6:AT$105)&gt;0,$E$1=2),0,1)</f>
        <v>1</v>
      </c>
      <c r="AH87" s="68">
        <f ca="1">IF(AND(SUMIF(Capacity_Resource,$D87,'Critical resources (hide)'!AU$6:AU$105)+SUMIF(Capacity_Resource,$E87,'Critical resources (hide)'!AU$6:AU$105)+SUMIF(Capacity_Resource,$F87,'Critical resources (hide)'!AU$6:AU$105)&gt;0,$E$1=2),0,1)</f>
        <v>1</v>
      </c>
      <c r="AI87" s="68">
        <f ca="1">IF(AND(SUMIF(Capacity_Resource,$D87,'Critical resources (hide)'!AV$6:AV$105)+SUMIF(Capacity_Resource,$E87,'Critical resources (hide)'!AV$6:AV$105)+SUMIF(Capacity_Resource,$F87,'Critical resources (hide)'!AV$6:AV$105)&gt;0,$E$1=2),0,1)</f>
        <v>1</v>
      </c>
      <c r="AJ87" s="68">
        <f ca="1">IF(AND(SUMIF(Capacity_Resource,$D87,'Critical resources (hide)'!AW$6:AW$105)+SUMIF(Capacity_Resource,$E87,'Critical resources (hide)'!AW$6:AW$105)+SUMIF(Capacity_Resource,$F87,'Critical resources (hide)'!AW$6:AW$105)&gt;0,$E$1=2),0,1)</f>
        <v>1</v>
      </c>
      <c r="AK87" s="68">
        <f ca="1">IF(AND(SUMIF(Capacity_Resource,$D87,'Critical resources (hide)'!AX$6:AX$105)+SUMIF(Capacity_Resource,$E87,'Critical resources (hide)'!AX$6:AX$105)+SUMIF(Capacity_Resource,$F87,'Critical resources (hide)'!AX$6:AX$105)&gt;0,$E$1=2),0,1)</f>
        <v>1</v>
      </c>
      <c r="AL87" s="68">
        <f ca="1">IF(AND(SUMIF(Capacity_Resource,$D87,'Critical resources (hide)'!AY$6:AY$105)+SUMIF(Capacity_Resource,$E87,'Critical resources (hide)'!AY$6:AY$105)+SUMIF(Capacity_Resource,$F87,'Critical resources (hide)'!AY$6:AY$105)&gt;0,$E$1=2),0,1)</f>
        <v>1</v>
      </c>
      <c r="AM87" s="68">
        <f ca="1">IF(AND(SUMIF(Capacity_Resource,$D87,'Critical resources (hide)'!AZ$6:AZ$105)+SUMIF(Capacity_Resource,$E87,'Critical resources (hide)'!AZ$6:AZ$105)+SUMIF(Capacity_Resource,$F87,'Critical resources (hide)'!AZ$6:AZ$105)&gt;0,$E$1=2),0,1)</f>
        <v>1</v>
      </c>
      <c r="AN87" s="68">
        <f ca="1">IF(AND(SUMIF(Capacity_Resource,$D87,'Critical resources (hide)'!BA$6:BA$105)+SUMIF(Capacity_Resource,$E87,'Critical resources (hide)'!BA$6:BA$105)+SUMIF(Capacity_Resource,$F87,'Critical resources (hide)'!BA$6:BA$105)&gt;0,$E$1=2),0,1)</f>
        <v>1</v>
      </c>
      <c r="AO87" s="68">
        <f ca="1">IF(AND(SUMIF(Capacity_Resource,$D87,'Critical resources (hide)'!BB$6:BB$105)+SUMIF(Capacity_Resource,$E87,'Critical resources (hide)'!BB$6:BB$105)+SUMIF(Capacity_Resource,$F87,'Critical resources (hide)'!BB$6:BB$105)&gt;0,$E$1=2),0,1)</f>
        <v>1</v>
      </c>
      <c r="AP87" s="68">
        <f ca="1">IF(AND(SUMIF(Capacity_Resource,$D87,'Critical resources (hide)'!BC$6:BC$105)+SUMIF(Capacity_Resource,$E87,'Critical resources (hide)'!BC$6:BC$105)+SUMIF(Capacity_Resource,$F87,'Critical resources (hide)'!BC$6:BC$105)&gt;0,$E$1=2),0,1)</f>
        <v>1</v>
      </c>
      <c r="AQ87" s="68">
        <f ca="1">IF(AND(SUMIF(Capacity_Resource,$D87,'Critical resources (hide)'!BD$6:BD$105)+SUMIF(Capacity_Resource,$E87,'Critical resources (hide)'!BD$6:BD$105)+SUMIF(Capacity_Resource,$F87,'Critical resources (hide)'!BD$6:BD$105)&gt;0,$E$1=2),0,1)</f>
        <v>1</v>
      </c>
      <c r="AR87" s="68">
        <f ca="1">IF(AND(SUMIF(Capacity_Resource,$D87,'Critical resources (hide)'!BE$6:BE$105)+SUMIF(Capacity_Resource,$E87,'Critical resources (hide)'!BE$6:BE$105)+SUMIF(Capacity_Resource,$F87,'Critical resources (hide)'!BE$6:BE$105)&gt;0,$E$1=2),0,1)</f>
        <v>1</v>
      </c>
      <c r="AS87" s="68">
        <f ca="1">IF(AND(SUMIF(Capacity_Resource,$D87,'Critical resources (hide)'!BF$6:BF$105)+SUMIF(Capacity_Resource,$E87,'Critical resources (hide)'!BF$6:BF$105)+SUMIF(Capacity_Resource,$F87,'Critical resources (hide)'!BF$6:BF$105)&gt;0,$E$1=2),0,1)</f>
        <v>1</v>
      </c>
      <c r="AT87" s="68">
        <f ca="1">IF(AND(SUMIF(Capacity_Resource,$D87,'Critical resources (hide)'!BG$6:BG$105)+SUMIF(Capacity_Resource,$E87,'Critical resources (hide)'!BG$6:BG$105)+SUMIF(Capacity_Resource,$F87,'Critical resources (hide)'!BG$6:BG$105)&gt;0,$E$1=2),0,1)</f>
        <v>1</v>
      </c>
      <c r="AU87" s="68">
        <f ca="1">IF(AND(SUMIF(Capacity_Resource,$D87,'Critical resources (hide)'!BH$6:BH$105)+SUMIF(Capacity_Resource,$E87,'Critical resources (hide)'!BH$6:BH$105)+SUMIF(Capacity_Resource,$F87,'Critical resources (hide)'!BH$6:BH$105)&gt;0,$E$1=2),0,1)</f>
        <v>1</v>
      </c>
      <c r="AV87" s="68">
        <f ca="1">IF(AND(SUMIF(Capacity_Resource,$D87,'Critical resources (hide)'!BI$6:BI$105)+SUMIF(Capacity_Resource,$E87,'Critical resources (hide)'!BI$6:BI$105)+SUMIF(Capacity_Resource,$F87,'Critical resources (hide)'!BI$6:BI$105)&gt;0,$E$1=2),0,1)</f>
        <v>1</v>
      </c>
      <c r="AW87" s="68">
        <f ca="1">IF(AND(SUMIF(Capacity_Resource,$D87,'Critical resources (hide)'!BJ$6:BJ$105)+SUMIF(Capacity_Resource,$E87,'Critical resources (hide)'!BJ$6:BJ$105)+SUMIF(Capacity_Resource,$F87,'Critical resources (hide)'!BJ$6:BJ$105)&gt;0,$E$1=2),0,1)</f>
        <v>1</v>
      </c>
      <c r="AX87" s="68">
        <f ca="1">IF(AND(SUMIF(Capacity_Resource,$D87,'Critical resources (hide)'!BK$6:BK$105)+SUMIF(Capacity_Resource,$E87,'Critical resources (hide)'!BK$6:BK$105)+SUMIF(Capacity_Resource,$F87,'Critical resources (hide)'!BK$6:BK$105)&gt;0,$E$1=2),0,1)</f>
        <v>1</v>
      </c>
      <c r="AY87" s="68">
        <f ca="1">IF(AND(SUMIF(Capacity_Resource,$D87,'Critical resources (hide)'!BL$6:BL$105)+SUMIF(Capacity_Resource,$E87,'Critical resources (hide)'!BL$6:BL$105)+SUMIF(Capacity_Resource,$F87,'Critical resources (hide)'!BL$6:BL$105)&gt;0,$E$1=2),0,1)</f>
        <v>1</v>
      </c>
      <c r="AZ87" s="68">
        <f ca="1">IF(AND(SUMIF(Capacity_Resource,$D87,'Critical resources (hide)'!BM$6:BM$105)+SUMIF(Capacity_Resource,$E87,'Critical resources (hide)'!BM$6:BM$105)+SUMIF(Capacity_Resource,$F87,'Critical resources (hide)'!BM$6:BM$105)&gt;0,$E$1=2),0,1)</f>
        <v>1</v>
      </c>
      <c r="BA87" s="68">
        <f ca="1">IF(AND(SUMIF(Capacity_Resource,$D87,'Critical resources (hide)'!BN$6:BN$105)+SUMIF(Capacity_Resource,$E87,'Critical resources (hide)'!BN$6:BN$105)+SUMIF(Capacity_Resource,$F87,'Critical resources (hide)'!BN$6:BN$105)&gt;0,$E$1=2),0,1)</f>
        <v>1</v>
      </c>
      <c r="BB87" s="68">
        <f ca="1">IF(AND(SUMIF(Capacity_Resource,$D87,'Critical resources (hide)'!BO$6:BO$105)+SUMIF(Capacity_Resource,$E87,'Critical resources (hide)'!BO$6:BO$105)+SUMIF(Capacity_Resource,$F87,'Critical resources (hide)'!BO$6:BO$105)&gt;0,$E$1=2),0,1)</f>
        <v>1</v>
      </c>
      <c r="BC87" s="68">
        <f ca="1">IF(AND(SUMIF(Capacity_Resource,$D87,'Critical resources (hide)'!BP$6:BP$105)+SUMIF(Capacity_Resource,$E87,'Critical resources (hide)'!BP$6:BP$105)+SUMIF(Capacity_Resource,$F87,'Critical resources (hide)'!BP$6:BP$105)&gt;0,$E$1=2),0,1)</f>
        <v>1</v>
      </c>
      <c r="BD87" s="68">
        <f ca="1">IF(AND(SUMIF(Capacity_Resource,$D87,'Critical resources (hide)'!BQ$6:BQ$105)+SUMIF(Capacity_Resource,$E87,'Critical resources (hide)'!BQ$6:BQ$105)+SUMIF(Capacity_Resource,$F87,'Critical resources (hide)'!BQ$6:BQ$105)&gt;0,$E$1=2),0,1)</f>
        <v>1</v>
      </c>
      <c r="BE87" s="68">
        <f ca="1">IF(AND(SUMIF(Capacity_Resource,$D87,'Critical resources (hide)'!BR$6:BR$105)+SUMIF(Capacity_Resource,$E87,'Critical resources (hide)'!BR$6:BR$105)+SUMIF(Capacity_Resource,$F87,'Critical resources (hide)'!BR$6:BR$105)&gt;0,$E$1=2),0,1)</f>
        <v>1</v>
      </c>
      <c r="BF87" s="68">
        <f ca="1">IF(AND(SUMIF(Capacity_Resource,$D87,'Critical resources (hide)'!BS$6:BS$105)+SUMIF(Capacity_Resource,$E87,'Critical resources (hide)'!BS$6:BS$105)+SUMIF(Capacity_Resource,$F87,'Critical resources (hide)'!BS$6:BS$105)&gt;0,$E$1=2),0,1)</f>
        <v>1</v>
      </c>
      <c r="BG87" s="68">
        <f ca="1">IF(AND(SUMIF(Capacity_Resource,$D87,'Critical resources (hide)'!BT$6:BT$105)+SUMIF(Capacity_Resource,$E87,'Critical resources (hide)'!BT$6:BT$105)+SUMIF(Capacity_Resource,$F87,'Critical resources (hide)'!BT$6:BT$105)&gt;0,$E$1=2),0,1)</f>
        <v>1</v>
      </c>
      <c r="BH87" s="68">
        <f>IF(ROW(C83)&lt;=Capacity!$A$16,IF('Capacity summary'!$D$14="No",SUM(H87:BG87),'Capacity summary'!$E206),0)</f>
        <v>0</v>
      </c>
      <c r="BI87" s="5" t="str">
        <f>IF(BH87&gt;0,IF(BH87&lt;Capacity!E99,Capacity!F99,Capacity!H99/'Capacity calculation (hide)'!BH87),"")</f>
        <v/>
      </c>
      <c r="BK87" s="319">
        <f>IF($BI87&lt;&gt;"",IF('Capacity summary'!$D$14="Yes",IF(COUNTBLANK('Capacity summary'!$H206:$BG206)&lt;52,IF('Capacity summary'!H206&lt;&gt;"",$BI87*H87,0),H87*$BI87),H87*$BI87),0)</f>
        <v>0</v>
      </c>
      <c r="BL87" s="319">
        <f>IF($BI87&lt;&gt;"",IF('Capacity summary'!$D$14="Yes",IF(COUNTBLANK('Capacity summary'!$H206:$BG206)&lt;52,IF('Capacity summary'!I206&lt;&gt;"",$BI87*I87,0),I87*$BI87),I87*$BI87),0)</f>
        <v>0</v>
      </c>
      <c r="BM87" s="319">
        <f>IF($BI87&lt;&gt;"",IF('Capacity summary'!$D$14="Yes",IF(COUNTBLANK('Capacity summary'!$H206:$BG206)&lt;52,IF('Capacity summary'!J206&lt;&gt;"",$BI87*J87,0),J87*$BI87),J87*$BI87),0)</f>
        <v>0</v>
      </c>
      <c r="BN87" s="319">
        <f>IF($BI87&lt;&gt;"",IF('Capacity summary'!$D$14="Yes",IF(COUNTBLANK('Capacity summary'!$H206:$BG206)&lt;52,IF('Capacity summary'!K206&lt;&gt;"",$BI87*K87,0),K87*$BI87),K87*$BI87),0)</f>
        <v>0</v>
      </c>
      <c r="BO87" s="319">
        <f>IF($BI87&lt;&gt;"",IF('Capacity summary'!$D$14="Yes",IF(COUNTBLANK('Capacity summary'!$H206:$BG206)&lt;52,IF('Capacity summary'!L206&lt;&gt;"",$BI87*L87,0),L87*$BI87),L87*$BI87),0)</f>
        <v>0</v>
      </c>
      <c r="BP87" s="319">
        <f>IF($BI87&lt;&gt;"",IF('Capacity summary'!$D$14="Yes",IF(COUNTBLANK('Capacity summary'!$H206:$BG206)&lt;52,IF('Capacity summary'!M206&lt;&gt;"",$BI87*M87,0),M87*$BI87),M87*$BI87),0)</f>
        <v>0</v>
      </c>
      <c r="BQ87" s="319">
        <f>IF($BI87&lt;&gt;"",IF('Capacity summary'!$D$14="Yes",IF(COUNTBLANK('Capacity summary'!$H206:$BG206)&lt;52,IF('Capacity summary'!N206&lt;&gt;"",$BI87*N87,0),N87*$BI87),N87*$BI87),0)</f>
        <v>0</v>
      </c>
      <c r="BR87" s="319">
        <f>IF($BI87&lt;&gt;"",IF('Capacity summary'!$D$14="Yes",IF(COUNTBLANK('Capacity summary'!$H206:$BG206)&lt;52,IF('Capacity summary'!O206&lt;&gt;"",$BI87*O87,0),O87*$BI87),O87*$BI87),0)</f>
        <v>0</v>
      </c>
      <c r="BS87" s="319">
        <f>IF($BI87&lt;&gt;"",IF('Capacity summary'!$D$14="Yes",IF(COUNTBLANK('Capacity summary'!$H206:$BG206)&lt;52,IF('Capacity summary'!P206&lt;&gt;"",$BI87*P87,0),P87*$BI87),P87*$BI87),0)</f>
        <v>0</v>
      </c>
      <c r="BT87" s="319">
        <f>IF($BI87&lt;&gt;"",IF('Capacity summary'!$D$14="Yes",IF(COUNTBLANK('Capacity summary'!$H206:$BG206)&lt;52,IF('Capacity summary'!Q206&lt;&gt;"",$BI87*Q87,0),Q87*$BI87),Q87*$BI87),0)</f>
        <v>0</v>
      </c>
      <c r="BU87" s="319">
        <f>IF($BI87&lt;&gt;"",IF('Capacity summary'!$D$14="Yes",IF(COUNTBLANK('Capacity summary'!$H206:$BG206)&lt;52,IF('Capacity summary'!R206&lt;&gt;"",$BI87*R87,0),R87*$BI87),R87*$BI87),0)</f>
        <v>0</v>
      </c>
      <c r="BV87" s="319">
        <f>IF($BI87&lt;&gt;"",IF('Capacity summary'!$D$14="Yes",IF(COUNTBLANK('Capacity summary'!$H206:$BG206)&lt;52,IF('Capacity summary'!S206&lt;&gt;"",$BI87*S87,0),S87*$BI87),S87*$BI87),0)</f>
        <v>0</v>
      </c>
      <c r="BW87" s="319">
        <f>IF($BI87&lt;&gt;"",IF('Capacity summary'!$D$14="Yes",IF(COUNTBLANK('Capacity summary'!$H206:$BG206)&lt;52,IF('Capacity summary'!T206&lt;&gt;"",$BI87*T87,0),T87*$BI87),T87*$BI87),0)</f>
        <v>0</v>
      </c>
      <c r="BX87" s="319">
        <f>IF($BI87&lt;&gt;"",IF('Capacity summary'!$D$14="Yes",IF(COUNTBLANK('Capacity summary'!$H206:$BG206)&lt;52,IF('Capacity summary'!U206&lt;&gt;"",$BI87*U87,0),U87*$BI87),U87*$BI87),0)</f>
        <v>0</v>
      </c>
      <c r="BY87" s="319">
        <f>IF($BI87&lt;&gt;"",IF('Capacity summary'!$D$14="Yes",IF(COUNTBLANK('Capacity summary'!$H206:$BG206)&lt;52,IF('Capacity summary'!V206&lt;&gt;"",$BI87*V87,0),V87*$BI87),V87*$BI87),0)</f>
        <v>0</v>
      </c>
      <c r="BZ87" s="319">
        <f>IF($BI87&lt;&gt;"",IF('Capacity summary'!$D$14="Yes",IF(COUNTBLANK('Capacity summary'!$H206:$BG206)&lt;52,IF('Capacity summary'!W206&lt;&gt;"",$BI87*W87,0),W87*$BI87),W87*$BI87),0)</f>
        <v>0</v>
      </c>
      <c r="CA87" s="319">
        <f>IF($BI87&lt;&gt;"",IF('Capacity summary'!$D$14="Yes",IF(COUNTBLANK('Capacity summary'!$H206:$BG206)&lt;52,IF('Capacity summary'!X206&lt;&gt;"",$BI87*X87,0),X87*$BI87),X87*$BI87),0)</f>
        <v>0</v>
      </c>
      <c r="CB87" s="319">
        <f>IF($BI87&lt;&gt;"",IF('Capacity summary'!$D$14="Yes",IF(COUNTBLANK('Capacity summary'!$H206:$BG206)&lt;52,IF('Capacity summary'!Y206&lt;&gt;"",$BI87*Y87,0),Y87*$BI87),Y87*$BI87),0)</f>
        <v>0</v>
      </c>
      <c r="CC87" s="319">
        <f>IF($BI87&lt;&gt;"",IF('Capacity summary'!$D$14="Yes",IF(COUNTBLANK('Capacity summary'!$H206:$BG206)&lt;52,IF('Capacity summary'!Z206&lt;&gt;"",$BI87*Z87,0),Z87*$BI87),Z87*$BI87),0)</f>
        <v>0</v>
      </c>
      <c r="CD87" s="319">
        <f>IF($BI87&lt;&gt;"",IF('Capacity summary'!$D$14="Yes",IF(COUNTBLANK('Capacity summary'!$H206:$BG206)&lt;52,IF('Capacity summary'!AA206&lt;&gt;"",$BI87*AA87,0),AA87*$BI87),AA87*$BI87),0)</f>
        <v>0</v>
      </c>
      <c r="CE87" s="319">
        <f>IF($BI87&lt;&gt;"",IF('Capacity summary'!$D$14="Yes",IF(COUNTBLANK('Capacity summary'!$H206:$BG206)&lt;52,IF('Capacity summary'!AB206&lt;&gt;"",$BI87*AB87,0),AB87*$BI87),AB87*$BI87),0)</f>
        <v>0</v>
      </c>
      <c r="CF87" s="319">
        <f>IF($BI87&lt;&gt;"",IF('Capacity summary'!$D$14="Yes",IF(COUNTBLANK('Capacity summary'!$H206:$BG206)&lt;52,IF('Capacity summary'!AC206&lt;&gt;"",$BI87*AC87,0),AC87*$BI87),AC87*$BI87),0)</f>
        <v>0</v>
      </c>
      <c r="CG87" s="319">
        <f>IF($BI87&lt;&gt;"",IF('Capacity summary'!$D$14="Yes",IF(COUNTBLANK('Capacity summary'!$H206:$BG206)&lt;52,IF('Capacity summary'!AD206&lt;&gt;"",$BI87*AD87,0),AD87*$BI87),AD87*$BI87),0)</f>
        <v>0</v>
      </c>
      <c r="CH87" s="319">
        <f>IF($BI87&lt;&gt;"",IF('Capacity summary'!$D$14="Yes",IF(COUNTBLANK('Capacity summary'!$H206:$BG206)&lt;52,IF('Capacity summary'!AE206&lt;&gt;"",$BI87*AE87,0),AE87*$BI87),AE87*$BI87),0)</f>
        <v>0</v>
      </c>
      <c r="CI87" s="319">
        <f>IF($BI87&lt;&gt;"",IF('Capacity summary'!$D$14="Yes",IF(COUNTBLANK('Capacity summary'!$H206:$BG206)&lt;52,IF('Capacity summary'!AF206&lt;&gt;"",$BI87*AF87,0),AF87*$BI87),AF87*$BI87),0)</f>
        <v>0</v>
      </c>
      <c r="CJ87" s="319">
        <f>IF($BI87&lt;&gt;"",IF('Capacity summary'!$D$14="Yes",IF(COUNTBLANK('Capacity summary'!$H206:$BG206)&lt;52,IF('Capacity summary'!AG206&lt;&gt;"",$BI87*AG87,0),AG87*$BI87),AG87*$BI87),0)</f>
        <v>0</v>
      </c>
      <c r="CK87" s="319">
        <f>IF($BI87&lt;&gt;"",IF('Capacity summary'!$D$14="Yes",IF(COUNTBLANK('Capacity summary'!$H206:$BG206)&lt;52,IF('Capacity summary'!AH206&lt;&gt;"",$BI87*AH87,0),AH87*$BI87),AH87*$BI87),0)</f>
        <v>0</v>
      </c>
      <c r="CL87" s="319">
        <f>IF($BI87&lt;&gt;"",IF('Capacity summary'!$D$14="Yes",IF(COUNTBLANK('Capacity summary'!$H206:$BG206)&lt;52,IF('Capacity summary'!AI206&lt;&gt;"",$BI87*AI87,0),AI87*$BI87),AI87*$BI87),0)</f>
        <v>0</v>
      </c>
      <c r="CM87" s="319">
        <f>IF($BI87&lt;&gt;"",IF('Capacity summary'!$D$14="Yes",IF(COUNTBLANK('Capacity summary'!$H206:$BG206)&lt;52,IF('Capacity summary'!AJ206&lt;&gt;"",$BI87*AJ87,0),AJ87*$BI87),AJ87*$BI87),0)</f>
        <v>0</v>
      </c>
      <c r="CN87" s="319">
        <f>IF($BI87&lt;&gt;"",IF('Capacity summary'!$D$14="Yes",IF(COUNTBLANK('Capacity summary'!$H206:$BG206)&lt;52,IF('Capacity summary'!AK206&lt;&gt;"",$BI87*AK87,0),AK87*$BI87),AK87*$BI87),0)</f>
        <v>0</v>
      </c>
      <c r="CO87" s="319">
        <f>IF($BI87&lt;&gt;"",IF('Capacity summary'!$D$14="Yes",IF(COUNTBLANK('Capacity summary'!$H206:$BG206)&lt;52,IF('Capacity summary'!AL206&lt;&gt;"",$BI87*AL87,0),AL87*$BI87),AL87*$BI87),0)</f>
        <v>0</v>
      </c>
      <c r="CP87" s="319">
        <f>IF($BI87&lt;&gt;"",IF('Capacity summary'!$D$14="Yes",IF(COUNTBLANK('Capacity summary'!$H206:$BG206)&lt;52,IF('Capacity summary'!AM206&lt;&gt;"",$BI87*AM87,0),AM87*$BI87),AM87*$BI87),0)</f>
        <v>0</v>
      </c>
      <c r="CQ87" s="319">
        <f>IF($BI87&lt;&gt;"",IF('Capacity summary'!$D$14="Yes",IF(COUNTBLANK('Capacity summary'!$H206:$BG206)&lt;52,IF('Capacity summary'!AN206&lt;&gt;"",$BI87*AN87,0),AN87*$BI87),AN87*$BI87),0)</f>
        <v>0</v>
      </c>
      <c r="CR87" s="319">
        <f>IF($BI87&lt;&gt;"",IF('Capacity summary'!$D$14="Yes",IF(COUNTBLANK('Capacity summary'!$H206:$BG206)&lt;52,IF('Capacity summary'!AO206&lt;&gt;"",$BI87*AO87,0),AO87*$BI87),AO87*$BI87),0)</f>
        <v>0</v>
      </c>
      <c r="CS87" s="319">
        <f>IF($BI87&lt;&gt;"",IF('Capacity summary'!$D$14="Yes",IF(COUNTBLANK('Capacity summary'!$H206:$BG206)&lt;52,IF('Capacity summary'!AP206&lt;&gt;"",$BI87*AP87,0),AP87*$BI87),AP87*$BI87),0)</f>
        <v>0</v>
      </c>
      <c r="CT87" s="319">
        <f>IF($BI87&lt;&gt;"",IF('Capacity summary'!$D$14="Yes",IF(COUNTBLANK('Capacity summary'!$H206:$BG206)&lt;52,IF('Capacity summary'!AQ206&lt;&gt;"",$BI87*AQ87,0),AQ87*$BI87),AQ87*$BI87),0)</f>
        <v>0</v>
      </c>
      <c r="CU87" s="319">
        <f>IF($BI87&lt;&gt;"",IF('Capacity summary'!$D$14="Yes",IF(COUNTBLANK('Capacity summary'!$H206:$BG206)&lt;52,IF('Capacity summary'!AR206&lt;&gt;"",$BI87*AR87,0),AR87*$BI87),AR87*$BI87),0)</f>
        <v>0</v>
      </c>
      <c r="CV87" s="319">
        <f>IF($BI87&lt;&gt;"",IF('Capacity summary'!$D$14="Yes",IF(COUNTBLANK('Capacity summary'!$H206:$BG206)&lt;52,IF('Capacity summary'!AS206&lt;&gt;"",$BI87*AS87,0),AS87*$BI87),AS87*$BI87),0)</f>
        <v>0</v>
      </c>
      <c r="CW87" s="319">
        <f>IF($BI87&lt;&gt;"",IF('Capacity summary'!$D$14="Yes",IF(COUNTBLANK('Capacity summary'!$H206:$BG206)&lt;52,IF('Capacity summary'!AT206&lt;&gt;"",$BI87*AT87,0),AT87*$BI87),AT87*$BI87),0)</f>
        <v>0</v>
      </c>
      <c r="CX87" s="319">
        <f>IF($BI87&lt;&gt;"",IF('Capacity summary'!$D$14="Yes",IF(COUNTBLANK('Capacity summary'!$H206:$BG206)&lt;52,IF('Capacity summary'!AU206&lt;&gt;"",$BI87*AU87,0),AU87*$BI87),AU87*$BI87),0)</f>
        <v>0</v>
      </c>
      <c r="CY87" s="319">
        <f>IF($BI87&lt;&gt;"",IF('Capacity summary'!$D$14="Yes",IF(COUNTBLANK('Capacity summary'!$H206:$BG206)&lt;52,IF('Capacity summary'!AV206&lt;&gt;"",$BI87*AV87,0),AV87*$BI87),AV87*$BI87),0)</f>
        <v>0</v>
      </c>
      <c r="CZ87" s="319">
        <f>IF($BI87&lt;&gt;"",IF('Capacity summary'!$D$14="Yes",IF(COUNTBLANK('Capacity summary'!$H206:$BG206)&lt;52,IF('Capacity summary'!AW206&lt;&gt;"",$BI87*AW87,0),AW87*$BI87),AW87*$BI87),0)</f>
        <v>0</v>
      </c>
      <c r="DA87" s="319">
        <f>IF($BI87&lt;&gt;"",IF('Capacity summary'!$D$14="Yes",IF(COUNTBLANK('Capacity summary'!$H206:$BG206)&lt;52,IF('Capacity summary'!AX206&lt;&gt;"",$BI87*AX87,0),AX87*$BI87),AX87*$BI87),0)</f>
        <v>0</v>
      </c>
      <c r="DB87" s="319">
        <f>IF($BI87&lt;&gt;"",IF('Capacity summary'!$D$14="Yes",IF(COUNTBLANK('Capacity summary'!$H206:$BG206)&lt;52,IF('Capacity summary'!AY206&lt;&gt;"",$BI87*AY87,0),AY87*$BI87),AY87*$BI87),0)</f>
        <v>0</v>
      </c>
      <c r="DC87" s="319">
        <f>IF($BI87&lt;&gt;"",IF('Capacity summary'!$D$14="Yes",IF(COUNTBLANK('Capacity summary'!$H206:$BG206)&lt;52,IF('Capacity summary'!AZ206&lt;&gt;"",$BI87*AZ87,0),AZ87*$BI87),AZ87*$BI87),0)</f>
        <v>0</v>
      </c>
      <c r="DD87" s="319">
        <f>IF($BI87&lt;&gt;"",IF('Capacity summary'!$D$14="Yes",IF(COUNTBLANK('Capacity summary'!$H206:$BG206)&lt;52,IF('Capacity summary'!BA206&lt;&gt;"",$BI87*BA87,0),BA87*$BI87),BA87*$BI87),0)</f>
        <v>0</v>
      </c>
      <c r="DE87" s="319">
        <f>IF($BI87&lt;&gt;"",IF('Capacity summary'!$D$14="Yes",IF(COUNTBLANK('Capacity summary'!$H206:$BG206)&lt;52,IF('Capacity summary'!BB206&lt;&gt;"",$BI87*BB87,0),BB87*$BI87),BB87*$BI87),0)</f>
        <v>0</v>
      </c>
      <c r="DF87" s="319">
        <f>IF($BI87&lt;&gt;"",IF('Capacity summary'!$D$14="Yes",IF(COUNTBLANK('Capacity summary'!$H206:$BG206)&lt;52,IF('Capacity summary'!BC206&lt;&gt;"",$BI87*BC87,0),BC87*$BI87),BC87*$BI87),0)</f>
        <v>0</v>
      </c>
      <c r="DG87" s="319">
        <f>IF($BI87&lt;&gt;"",IF('Capacity summary'!$D$14="Yes",IF(COUNTBLANK('Capacity summary'!$H206:$BG206)&lt;52,IF('Capacity summary'!BD206&lt;&gt;"",$BI87*BD87,0),BD87*$BI87),BD87*$BI87),0)</f>
        <v>0</v>
      </c>
      <c r="DH87" s="319">
        <f>IF($BI87&lt;&gt;"",IF('Capacity summary'!$D$14="Yes",IF(COUNTBLANK('Capacity summary'!$H206:$BG206)&lt;52,IF('Capacity summary'!BE206&lt;&gt;"",$BI87*BE87,0),BE87*$BI87),BE87*$BI87),0)</f>
        <v>0</v>
      </c>
      <c r="DI87" s="319">
        <f>IF($BI87&lt;&gt;"",IF('Capacity summary'!$D$14="Yes",IF(COUNTBLANK('Capacity summary'!$H206:$BG206)&lt;52,IF('Capacity summary'!BF206&lt;&gt;"",$BI87*BF87,0),BF87*$BI87),BF87*$BI87),0)</f>
        <v>0</v>
      </c>
      <c r="DJ87" s="319">
        <f>IF($BI87&lt;&gt;"",IF('Capacity summary'!$D$14="Yes",IF(COUNTBLANK('Capacity summary'!$H206:$BG206)&lt;52,IF('Capacity summary'!BG206&lt;&gt;"",$BI87*BG87,0),BG87*$BI87),BG87*$BI87),0)</f>
        <v>0</v>
      </c>
      <c r="DK87" s="5">
        <f t="shared" si="3"/>
        <v>0</v>
      </c>
      <c r="DL87" s="5" t="str">
        <f>Capacity!H99</f>
        <v/>
      </c>
    </row>
    <row r="88" spans="2:116" x14ac:dyDescent="0.2">
      <c r="B88" s="68"/>
      <c r="C88" s="68" t="str">
        <f>ROW(A84)&amp;". "&amp;Capacity!B100</f>
        <v xml:space="preserve">84. </v>
      </c>
      <c r="D88" s="68">
        <f>'Capacity setup'!C95</f>
        <v>0</v>
      </c>
      <c r="E88" s="68">
        <f>'Capacity setup'!D95</f>
        <v>0</v>
      </c>
      <c r="F88" s="68">
        <f>'Capacity setup'!E95</f>
        <v>0</v>
      </c>
      <c r="H88" s="68">
        <f ca="1">IF(AND(SUMIF(Capacity_Resource,$D88,'Critical resources (hide)'!U$6:U$105)+SUMIF(Capacity_Resource,$E88,'Critical resources (hide)'!U$6:U$105)+SUMIF(Capacity_Resource,$F88,'Critical resources (hide)'!U$6:U$105)&gt;0,$E$1=2),0,1)</f>
        <v>1</v>
      </c>
      <c r="I88" s="68">
        <f ca="1">IF(AND(SUMIF(Capacity_Resource,$D88,'Critical resources (hide)'!V$6:V$105)+SUMIF(Capacity_Resource,$E88,'Critical resources (hide)'!V$6:V$105)+SUMIF(Capacity_Resource,$F88,'Critical resources (hide)'!V$6:V$105)&gt;0,$E$1=2),0,1)</f>
        <v>1</v>
      </c>
      <c r="J88" s="68">
        <f ca="1">IF(AND(SUMIF(Capacity_Resource,$D88,'Critical resources (hide)'!W$6:W$105)+SUMIF(Capacity_Resource,$E88,'Critical resources (hide)'!W$6:W$105)+SUMIF(Capacity_Resource,$F88,'Critical resources (hide)'!W$6:W$105)&gt;0,$E$1=2),0,1)</f>
        <v>1</v>
      </c>
      <c r="K88" s="68">
        <f ca="1">IF(AND(SUMIF(Capacity_Resource,$D88,'Critical resources (hide)'!X$6:X$105)+SUMIF(Capacity_Resource,$E88,'Critical resources (hide)'!X$6:X$105)+SUMIF(Capacity_Resource,$F88,'Critical resources (hide)'!X$6:X$105)&gt;0,$E$1=2),0,1)</f>
        <v>1</v>
      </c>
      <c r="L88" s="68">
        <f ca="1">IF(AND(SUMIF(Capacity_Resource,$D88,'Critical resources (hide)'!Y$6:Y$105)+SUMIF(Capacity_Resource,$E88,'Critical resources (hide)'!Y$6:Y$105)+SUMIF(Capacity_Resource,$F88,'Critical resources (hide)'!Y$6:Y$105)&gt;0,$E$1=2),0,1)</f>
        <v>1</v>
      </c>
      <c r="M88" s="68">
        <f ca="1">IF(AND(SUMIF(Capacity_Resource,$D88,'Critical resources (hide)'!Z$6:Z$105)+SUMIF(Capacity_Resource,$E88,'Critical resources (hide)'!Z$6:Z$105)+SUMIF(Capacity_Resource,$F88,'Critical resources (hide)'!Z$6:Z$105)&gt;0,$E$1=2),0,1)</f>
        <v>1</v>
      </c>
      <c r="N88" s="68">
        <f ca="1">IF(AND(SUMIF(Capacity_Resource,$D88,'Critical resources (hide)'!AA$6:AA$105)+SUMIF(Capacity_Resource,$E88,'Critical resources (hide)'!AA$6:AA$105)+SUMIF(Capacity_Resource,$F88,'Critical resources (hide)'!AA$6:AA$105)&gt;0,$E$1=2),0,1)</f>
        <v>1</v>
      </c>
      <c r="O88" s="68">
        <f ca="1">IF(AND(SUMIF(Capacity_Resource,$D88,'Critical resources (hide)'!AB$6:AB$105)+SUMIF(Capacity_Resource,$E88,'Critical resources (hide)'!AB$6:AB$105)+SUMIF(Capacity_Resource,$F88,'Critical resources (hide)'!AB$6:AB$105)&gt;0,$E$1=2),0,1)</f>
        <v>1</v>
      </c>
      <c r="P88" s="68">
        <f ca="1">IF(AND(SUMIF(Capacity_Resource,$D88,'Critical resources (hide)'!AC$6:AC$105)+SUMIF(Capacity_Resource,$E88,'Critical resources (hide)'!AC$6:AC$105)+SUMIF(Capacity_Resource,$F88,'Critical resources (hide)'!AC$6:AC$105)&gt;0,$E$1=2),0,1)</f>
        <v>1</v>
      </c>
      <c r="Q88" s="68">
        <f ca="1">IF(AND(SUMIF(Capacity_Resource,$D88,'Critical resources (hide)'!AD$6:AD$105)+SUMIF(Capacity_Resource,$E88,'Critical resources (hide)'!AD$6:AD$105)+SUMIF(Capacity_Resource,$F88,'Critical resources (hide)'!AD$6:AD$105)&gt;0,$E$1=2),0,1)</f>
        <v>1</v>
      </c>
      <c r="R88" s="68">
        <f ca="1">IF(AND(SUMIF(Capacity_Resource,$D88,'Critical resources (hide)'!AE$6:AE$105)+SUMIF(Capacity_Resource,$E88,'Critical resources (hide)'!AE$6:AE$105)+SUMIF(Capacity_Resource,$F88,'Critical resources (hide)'!AE$6:AE$105)&gt;0,$E$1=2),0,1)</f>
        <v>1</v>
      </c>
      <c r="S88" s="68">
        <f ca="1">IF(AND(SUMIF(Capacity_Resource,$D88,'Critical resources (hide)'!AF$6:AF$105)+SUMIF(Capacity_Resource,$E88,'Critical resources (hide)'!AF$6:AF$105)+SUMIF(Capacity_Resource,$F88,'Critical resources (hide)'!AF$6:AF$105)&gt;0,$E$1=2),0,1)</f>
        <v>1</v>
      </c>
      <c r="T88" s="68">
        <f ca="1">IF(AND(SUMIF(Capacity_Resource,$D88,'Critical resources (hide)'!AG$6:AG$105)+SUMIF(Capacity_Resource,$E88,'Critical resources (hide)'!AG$6:AG$105)+SUMIF(Capacity_Resource,$F88,'Critical resources (hide)'!AG$6:AG$105)&gt;0,$E$1=2),0,1)</f>
        <v>1</v>
      </c>
      <c r="U88" s="68">
        <f ca="1">IF(AND(SUMIF(Capacity_Resource,$D88,'Critical resources (hide)'!AH$6:AH$105)+SUMIF(Capacity_Resource,$E88,'Critical resources (hide)'!AH$6:AH$105)+SUMIF(Capacity_Resource,$F88,'Critical resources (hide)'!AH$6:AH$105)&gt;0,$E$1=2),0,1)</f>
        <v>1</v>
      </c>
      <c r="V88" s="68">
        <f ca="1">IF(AND(SUMIF(Capacity_Resource,$D88,'Critical resources (hide)'!AI$6:AI$105)+SUMIF(Capacity_Resource,$E88,'Critical resources (hide)'!AI$6:AI$105)+SUMIF(Capacity_Resource,$F88,'Critical resources (hide)'!AI$6:AI$105)&gt;0,$E$1=2),0,1)</f>
        <v>1</v>
      </c>
      <c r="W88" s="68">
        <f ca="1">IF(AND(SUMIF(Capacity_Resource,$D88,'Critical resources (hide)'!AJ$6:AJ$105)+SUMIF(Capacity_Resource,$E88,'Critical resources (hide)'!AJ$6:AJ$105)+SUMIF(Capacity_Resource,$F88,'Critical resources (hide)'!AJ$6:AJ$105)&gt;0,$E$1=2),0,1)</f>
        <v>1</v>
      </c>
      <c r="X88" s="68">
        <f ca="1">IF(AND(SUMIF(Capacity_Resource,$D88,'Critical resources (hide)'!AK$6:AK$105)+SUMIF(Capacity_Resource,$E88,'Critical resources (hide)'!AK$6:AK$105)+SUMIF(Capacity_Resource,$F88,'Critical resources (hide)'!AK$6:AK$105)&gt;0,$E$1=2),0,1)</f>
        <v>1</v>
      </c>
      <c r="Y88" s="68">
        <f ca="1">IF(AND(SUMIF(Capacity_Resource,$D88,'Critical resources (hide)'!AL$6:AL$105)+SUMIF(Capacity_Resource,$E88,'Critical resources (hide)'!AL$6:AL$105)+SUMIF(Capacity_Resource,$F88,'Critical resources (hide)'!AL$6:AL$105)&gt;0,$E$1=2),0,1)</f>
        <v>1</v>
      </c>
      <c r="Z88" s="68">
        <f ca="1">IF(AND(SUMIF(Capacity_Resource,$D88,'Critical resources (hide)'!AM$6:AM$105)+SUMIF(Capacity_Resource,$E88,'Critical resources (hide)'!AM$6:AM$105)+SUMIF(Capacity_Resource,$F88,'Critical resources (hide)'!AM$6:AM$105)&gt;0,$E$1=2),0,1)</f>
        <v>1</v>
      </c>
      <c r="AA88" s="68">
        <f ca="1">IF(AND(SUMIF(Capacity_Resource,$D88,'Critical resources (hide)'!AN$6:AN$105)+SUMIF(Capacity_Resource,$E88,'Critical resources (hide)'!AN$6:AN$105)+SUMIF(Capacity_Resource,$F88,'Critical resources (hide)'!AN$6:AN$105)&gt;0,$E$1=2),0,1)</f>
        <v>1</v>
      </c>
      <c r="AB88" s="68">
        <f ca="1">IF(AND(SUMIF(Capacity_Resource,$D88,'Critical resources (hide)'!AO$6:AO$105)+SUMIF(Capacity_Resource,$E88,'Critical resources (hide)'!AO$6:AO$105)+SUMIF(Capacity_Resource,$F88,'Critical resources (hide)'!AO$6:AO$105)&gt;0,$E$1=2),0,1)</f>
        <v>1</v>
      </c>
      <c r="AC88" s="68">
        <f ca="1">IF(AND(SUMIF(Capacity_Resource,$D88,'Critical resources (hide)'!AP$6:AP$105)+SUMIF(Capacity_Resource,$E88,'Critical resources (hide)'!AP$6:AP$105)+SUMIF(Capacity_Resource,$F88,'Critical resources (hide)'!AP$6:AP$105)&gt;0,$E$1=2),0,1)</f>
        <v>1</v>
      </c>
      <c r="AD88" s="68">
        <f ca="1">IF(AND(SUMIF(Capacity_Resource,$D88,'Critical resources (hide)'!AQ$6:AQ$105)+SUMIF(Capacity_Resource,$E88,'Critical resources (hide)'!AQ$6:AQ$105)+SUMIF(Capacity_Resource,$F88,'Critical resources (hide)'!AQ$6:AQ$105)&gt;0,$E$1=2),0,1)</f>
        <v>1</v>
      </c>
      <c r="AE88" s="68">
        <f ca="1">IF(AND(SUMIF(Capacity_Resource,$D88,'Critical resources (hide)'!AR$6:AR$105)+SUMIF(Capacity_Resource,$E88,'Critical resources (hide)'!AR$6:AR$105)+SUMIF(Capacity_Resource,$F88,'Critical resources (hide)'!AR$6:AR$105)&gt;0,$E$1=2),0,1)</f>
        <v>1</v>
      </c>
      <c r="AF88" s="68">
        <f ca="1">IF(AND(SUMIF(Capacity_Resource,$D88,'Critical resources (hide)'!AS$6:AS$105)+SUMIF(Capacity_Resource,$E88,'Critical resources (hide)'!AS$6:AS$105)+SUMIF(Capacity_Resource,$F88,'Critical resources (hide)'!AS$6:AS$105)&gt;0,$E$1=2),0,1)</f>
        <v>1</v>
      </c>
      <c r="AG88" s="68">
        <f ca="1">IF(AND(SUMIF(Capacity_Resource,$D88,'Critical resources (hide)'!AT$6:AT$105)+SUMIF(Capacity_Resource,$E88,'Critical resources (hide)'!AT$6:AT$105)+SUMIF(Capacity_Resource,$F88,'Critical resources (hide)'!AT$6:AT$105)&gt;0,$E$1=2),0,1)</f>
        <v>1</v>
      </c>
      <c r="AH88" s="68">
        <f ca="1">IF(AND(SUMIF(Capacity_Resource,$D88,'Critical resources (hide)'!AU$6:AU$105)+SUMIF(Capacity_Resource,$E88,'Critical resources (hide)'!AU$6:AU$105)+SUMIF(Capacity_Resource,$F88,'Critical resources (hide)'!AU$6:AU$105)&gt;0,$E$1=2),0,1)</f>
        <v>1</v>
      </c>
      <c r="AI88" s="68">
        <f ca="1">IF(AND(SUMIF(Capacity_Resource,$D88,'Critical resources (hide)'!AV$6:AV$105)+SUMIF(Capacity_Resource,$E88,'Critical resources (hide)'!AV$6:AV$105)+SUMIF(Capacity_Resource,$F88,'Critical resources (hide)'!AV$6:AV$105)&gt;0,$E$1=2),0,1)</f>
        <v>1</v>
      </c>
      <c r="AJ88" s="68">
        <f ca="1">IF(AND(SUMIF(Capacity_Resource,$D88,'Critical resources (hide)'!AW$6:AW$105)+SUMIF(Capacity_Resource,$E88,'Critical resources (hide)'!AW$6:AW$105)+SUMIF(Capacity_Resource,$F88,'Critical resources (hide)'!AW$6:AW$105)&gt;0,$E$1=2),0,1)</f>
        <v>1</v>
      </c>
      <c r="AK88" s="68">
        <f ca="1">IF(AND(SUMIF(Capacity_Resource,$D88,'Critical resources (hide)'!AX$6:AX$105)+SUMIF(Capacity_Resource,$E88,'Critical resources (hide)'!AX$6:AX$105)+SUMIF(Capacity_Resource,$F88,'Critical resources (hide)'!AX$6:AX$105)&gt;0,$E$1=2),0,1)</f>
        <v>1</v>
      </c>
      <c r="AL88" s="68">
        <f ca="1">IF(AND(SUMIF(Capacity_Resource,$D88,'Critical resources (hide)'!AY$6:AY$105)+SUMIF(Capacity_Resource,$E88,'Critical resources (hide)'!AY$6:AY$105)+SUMIF(Capacity_Resource,$F88,'Critical resources (hide)'!AY$6:AY$105)&gt;0,$E$1=2),0,1)</f>
        <v>1</v>
      </c>
      <c r="AM88" s="68">
        <f ca="1">IF(AND(SUMIF(Capacity_Resource,$D88,'Critical resources (hide)'!AZ$6:AZ$105)+SUMIF(Capacity_Resource,$E88,'Critical resources (hide)'!AZ$6:AZ$105)+SUMIF(Capacity_Resource,$F88,'Critical resources (hide)'!AZ$6:AZ$105)&gt;0,$E$1=2),0,1)</f>
        <v>1</v>
      </c>
      <c r="AN88" s="68">
        <f ca="1">IF(AND(SUMIF(Capacity_Resource,$D88,'Critical resources (hide)'!BA$6:BA$105)+SUMIF(Capacity_Resource,$E88,'Critical resources (hide)'!BA$6:BA$105)+SUMIF(Capacity_Resource,$F88,'Critical resources (hide)'!BA$6:BA$105)&gt;0,$E$1=2),0,1)</f>
        <v>1</v>
      </c>
      <c r="AO88" s="68">
        <f ca="1">IF(AND(SUMIF(Capacity_Resource,$D88,'Critical resources (hide)'!BB$6:BB$105)+SUMIF(Capacity_Resource,$E88,'Critical resources (hide)'!BB$6:BB$105)+SUMIF(Capacity_Resource,$F88,'Critical resources (hide)'!BB$6:BB$105)&gt;0,$E$1=2),0,1)</f>
        <v>1</v>
      </c>
      <c r="AP88" s="68">
        <f ca="1">IF(AND(SUMIF(Capacity_Resource,$D88,'Critical resources (hide)'!BC$6:BC$105)+SUMIF(Capacity_Resource,$E88,'Critical resources (hide)'!BC$6:BC$105)+SUMIF(Capacity_Resource,$F88,'Critical resources (hide)'!BC$6:BC$105)&gt;0,$E$1=2),0,1)</f>
        <v>1</v>
      </c>
      <c r="AQ88" s="68">
        <f ca="1">IF(AND(SUMIF(Capacity_Resource,$D88,'Critical resources (hide)'!BD$6:BD$105)+SUMIF(Capacity_Resource,$E88,'Critical resources (hide)'!BD$6:BD$105)+SUMIF(Capacity_Resource,$F88,'Critical resources (hide)'!BD$6:BD$105)&gt;0,$E$1=2),0,1)</f>
        <v>1</v>
      </c>
      <c r="AR88" s="68">
        <f ca="1">IF(AND(SUMIF(Capacity_Resource,$D88,'Critical resources (hide)'!BE$6:BE$105)+SUMIF(Capacity_Resource,$E88,'Critical resources (hide)'!BE$6:BE$105)+SUMIF(Capacity_Resource,$F88,'Critical resources (hide)'!BE$6:BE$105)&gt;0,$E$1=2),0,1)</f>
        <v>1</v>
      </c>
      <c r="AS88" s="68">
        <f ca="1">IF(AND(SUMIF(Capacity_Resource,$D88,'Critical resources (hide)'!BF$6:BF$105)+SUMIF(Capacity_Resource,$E88,'Critical resources (hide)'!BF$6:BF$105)+SUMIF(Capacity_Resource,$F88,'Critical resources (hide)'!BF$6:BF$105)&gt;0,$E$1=2),0,1)</f>
        <v>1</v>
      </c>
      <c r="AT88" s="68">
        <f ca="1">IF(AND(SUMIF(Capacity_Resource,$D88,'Critical resources (hide)'!BG$6:BG$105)+SUMIF(Capacity_Resource,$E88,'Critical resources (hide)'!BG$6:BG$105)+SUMIF(Capacity_Resource,$F88,'Critical resources (hide)'!BG$6:BG$105)&gt;0,$E$1=2),0,1)</f>
        <v>1</v>
      </c>
      <c r="AU88" s="68">
        <f ca="1">IF(AND(SUMIF(Capacity_Resource,$D88,'Critical resources (hide)'!BH$6:BH$105)+SUMIF(Capacity_Resource,$E88,'Critical resources (hide)'!BH$6:BH$105)+SUMIF(Capacity_Resource,$F88,'Critical resources (hide)'!BH$6:BH$105)&gt;0,$E$1=2),0,1)</f>
        <v>1</v>
      </c>
      <c r="AV88" s="68">
        <f ca="1">IF(AND(SUMIF(Capacity_Resource,$D88,'Critical resources (hide)'!BI$6:BI$105)+SUMIF(Capacity_Resource,$E88,'Critical resources (hide)'!BI$6:BI$105)+SUMIF(Capacity_Resource,$F88,'Critical resources (hide)'!BI$6:BI$105)&gt;0,$E$1=2),0,1)</f>
        <v>1</v>
      </c>
      <c r="AW88" s="68">
        <f ca="1">IF(AND(SUMIF(Capacity_Resource,$D88,'Critical resources (hide)'!BJ$6:BJ$105)+SUMIF(Capacity_Resource,$E88,'Critical resources (hide)'!BJ$6:BJ$105)+SUMIF(Capacity_Resource,$F88,'Critical resources (hide)'!BJ$6:BJ$105)&gt;0,$E$1=2),0,1)</f>
        <v>1</v>
      </c>
      <c r="AX88" s="68">
        <f ca="1">IF(AND(SUMIF(Capacity_Resource,$D88,'Critical resources (hide)'!BK$6:BK$105)+SUMIF(Capacity_Resource,$E88,'Critical resources (hide)'!BK$6:BK$105)+SUMIF(Capacity_Resource,$F88,'Critical resources (hide)'!BK$6:BK$105)&gt;0,$E$1=2),0,1)</f>
        <v>1</v>
      </c>
      <c r="AY88" s="68">
        <f ca="1">IF(AND(SUMIF(Capacity_Resource,$D88,'Critical resources (hide)'!BL$6:BL$105)+SUMIF(Capacity_Resource,$E88,'Critical resources (hide)'!BL$6:BL$105)+SUMIF(Capacity_Resource,$F88,'Critical resources (hide)'!BL$6:BL$105)&gt;0,$E$1=2),0,1)</f>
        <v>1</v>
      </c>
      <c r="AZ88" s="68">
        <f ca="1">IF(AND(SUMIF(Capacity_Resource,$D88,'Critical resources (hide)'!BM$6:BM$105)+SUMIF(Capacity_Resource,$E88,'Critical resources (hide)'!BM$6:BM$105)+SUMIF(Capacity_Resource,$F88,'Critical resources (hide)'!BM$6:BM$105)&gt;0,$E$1=2),0,1)</f>
        <v>1</v>
      </c>
      <c r="BA88" s="68">
        <f ca="1">IF(AND(SUMIF(Capacity_Resource,$D88,'Critical resources (hide)'!BN$6:BN$105)+SUMIF(Capacity_Resource,$E88,'Critical resources (hide)'!BN$6:BN$105)+SUMIF(Capacity_Resource,$F88,'Critical resources (hide)'!BN$6:BN$105)&gt;0,$E$1=2),0,1)</f>
        <v>1</v>
      </c>
      <c r="BB88" s="68">
        <f ca="1">IF(AND(SUMIF(Capacity_Resource,$D88,'Critical resources (hide)'!BO$6:BO$105)+SUMIF(Capacity_Resource,$E88,'Critical resources (hide)'!BO$6:BO$105)+SUMIF(Capacity_Resource,$F88,'Critical resources (hide)'!BO$6:BO$105)&gt;0,$E$1=2),0,1)</f>
        <v>1</v>
      </c>
      <c r="BC88" s="68">
        <f ca="1">IF(AND(SUMIF(Capacity_Resource,$D88,'Critical resources (hide)'!BP$6:BP$105)+SUMIF(Capacity_Resource,$E88,'Critical resources (hide)'!BP$6:BP$105)+SUMIF(Capacity_Resource,$F88,'Critical resources (hide)'!BP$6:BP$105)&gt;0,$E$1=2),0,1)</f>
        <v>1</v>
      </c>
      <c r="BD88" s="68">
        <f ca="1">IF(AND(SUMIF(Capacity_Resource,$D88,'Critical resources (hide)'!BQ$6:BQ$105)+SUMIF(Capacity_Resource,$E88,'Critical resources (hide)'!BQ$6:BQ$105)+SUMIF(Capacity_Resource,$F88,'Critical resources (hide)'!BQ$6:BQ$105)&gt;0,$E$1=2),0,1)</f>
        <v>1</v>
      </c>
      <c r="BE88" s="68">
        <f ca="1">IF(AND(SUMIF(Capacity_Resource,$D88,'Critical resources (hide)'!BR$6:BR$105)+SUMIF(Capacity_Resource,$E88,'Critical resources (hide)'!BR$6:BR$105)+SUMIF(Capacity_Resource,$F88,'Critical resources (hide)'!BR$6:BR$105)&gt;0,$E$1=2),0,1)</f>
        <v>1</v>
      </c>
      <c r="BF88" s="68">
        <f ca="1">IF(AND(SUMIF(Capacity_Resource,$D88,'Critical resources (hide)'!BS$6:BS$105)+SUMIF(Capacity_Resource,$E88,'Critical resources (hide)'!BS$6:BS$105)+SUMIF(Capacity_Resource,$F88,'Critical resources (hide)'!BS$6:BS$105)&gt;0,$E$1=2),0,1)</f>
        <v>1</v>
      </c>
      <c r="BG88" s="68">
        <f ca="1">IF(AND(SUMIF(Capacity_Resource,$D88,'Critical resources (hide)'!BT$6:BT$105)+SUMIF(Capacity_Resource,$E88,'Critical resources (hide)'!BT$6:BT$105)+SUMIF(Capacity_Resource,$F88,'Critical resources (hide)'!BT$6:BT$105)&gt;0,$E$1=2),0,1)</f>
        <v>1</v>
      </c>
      <c r="BH88" s="68">
        <f>IF(ROW(C84)&lt;=Capacity!$A$16,IF('Capacity summary'!$D$14="No",SUM(H88:BG88),'Capacity summary'!$E207),0)</f>
        <v>0</v>
      </c>
      <c r="BI88" s="5" t="str">
        <f>IF(BH88&gt;0,IF(BH88&lt;Capacity!E100,Capacity!F100,Capacity!H100/'Capacity calculation (hide)'!BH88),"")</f>
        <v/>
      </c>
      <c r="BK88" s="319">
        <f>IF($BI88&lt;&gt;"",IF('Capacity summary'!$D$14="Yes",IF(COUNTBLANK('Capacity summary'!$H207:$BG207)&lt;52,IF('Capacity summary'!H207&lt;&gt;"",$BI88*H88,0),H88*$BI88),H88*$BI88),0)</f>
        <v>0</v>
      </c>
      <c r="BL88" s="319">
        <f>IF($BI88&lt;&gt;"",IF('Capacity summary'!$D$14="Yes",IF(COUNTBLANK('Capacity summary'!$H207:$BG207)&lt;52,IF('Capacity summary'!I207&lt;&gt;"",$BI88*I88,0),I88*$BI88),I88*$BI88),0)</f>
        <v>0</v>
      </c>
      <c r="BM88" s="319">
        <f>IF($BI88&lt;&gt;"",IF('Capacity summary'!$D$14="Yes",IF(COUNTBLANK('Capacity summary'!$H207:$BG207)&lt;52,IF('Capacity summary'!J207&lt;&gt;"",$BI88*J88,0),J88*$BI88),J88*$BI88),0)</f>
        <v>0</v>
      </c>
      <c r="BN88" s="319">
        <f>IF($BI88&lt;&gt;"",IF('Capacity summary'!$D$14="Yes",IF(COUNTBLANK('Capacity summary'!$H207:$BG207)&lt;52,IF('Capacity summary'!K207&lt;&gt;"",$BI88*K88,0),K88*$BI88),K88*$BI88),0)</f>
        <v>0</v>
      </c>
      <c r="BO88" s="319">
        <f>IF($BI88&lt;&gt;"",IF('Capacity summary'!$D$14="Yes",IF(COUNTBLANK('Capacity summary'!$H207:$BG207)&lt;52,IF('Capacity summary'!L207&lt;&gt;"",$BI88*L88,0),L88*$BI88),L88*$BI88),0)</f>
        <v>0</v>
      </c>
      <c r="BP88" s="319">
        <f>IF($BI88&lt;&gt;"",IF('Capacity summary'!$D$14="Yes",IF(COUNTBLANK('Capacity summary'!$H207:$BG207)&lt;52,IF('Capacity summary'!M207&lt;&gt;"",$BI88*M88,0),M88*$BI88),M88*$BI88),0)</f>
        <v>0</v>
      </c>
      <c r="BQ88" s="319">
        <f>IF($BI88&lt;&gt;"",IF('Capacity summary'!$D$14="Yes",IF(COUNTBLANK('Capacity summary'!$H207:$BG207)&lt;52,IF('Capacity summary'!N207&lt;&gt;"",$BI88*N88,0),N88*$BI88),N88*$BI88),0)</f>
        <v>0</v>
      </c>
      <c r="BR88" s="319">
        <f>IF($BI88&lt;&gt;"",IF('Capacity summary'!$D$14="Yes",IF(COUNTBLANK('Capacity summary'!$H207:$BG207)&lt;52,IF('Capacity summary'!O207&lt;&gt;"",$BI88*O88,0),O88*$BI88),O88*$BI88),0)</f>
        <v>0</v>
      </c>
      <c r="BS88" s="319">
        <f>IF($BI88&lt;&gt;"",IF('Capacity summary'!$D$14="Yes",IF(COUNTBLANK('Capacity summary'!$H207:$BG207)&lt;52,IF('Capacity summary'!P207&lt;&gt;"",$BI88*P88,0),P88*$BI88),P88*$BI88),0)</f>
        <v>0</v>
      </c>
      <c r="BT88" s="319">
        <f>IF($BI88&lt;&gt;"",IF('Capacity summary'!$D$14="Yes",IF(COUNTBLANK('Capacity summary'!$H207:$BG207)&lt;52,IF('Capacity summary'!Q207&lt;&gt;"",$BI88*Q88,0),Q88*$BI88),Q88*$BI88),0)</f>
        <v>0</v>
      </c>
      <c r="BU88" s="319">
        <f>IF($BI88&lt;&gt;"",IF('Capacity summary'!$D$14="Yes",IF(COUNTBLANK('Capacity summary'!$H207:$BG207)&lt;52,IF('Capacity summary'!R207&lt;&gt;"",$BI88*R88,0),R88*$BI88),R88*$BI88),0)</f>
        <v>0</v>
      </c>
      <c r="BV88" s="319">
        <f>IF($BI88&lt;&gt;"",IF('Capacity summary'!$D$14="Yes",IF(COUNTBLANK('Capacity summary'!$H207:$BG207)&lt;52,IF('Capacity summary'!S207&lt;&gt;"",$BI88*S88,0),S88*$BI88),S88*$BI88),0)</f>
        <v>0</v>
      </c>
      <c r="BW88" s="319">
        <f>IF($BI88&lt;&gt;"",IF('Capacity summary'!$D$14="Yes",IF(COUNTBLANK('Capacity summary'!$H207:$BG207)&lt;52,IF('Capacity summary'!T207&lt;&gt;"",$BI88*T88,0),T88*$BI88),T88*$BI88),0)</f>
        <v>0</v>
      </c>
      <c r="BX88" s="319">
        <f>IF($BI88&lt;&gt;"",IF('Capacity summary'!$D$14="Yes",IF(COUNTBLANK('Capacity summary'!$H207:$BG207)&lt;52,IF('Capacity summary'!U207&lt;&gt;"",$BI88*U88,0),U88*$BI88),U88*$BI88),0)</f>
        <v>0</v>
      </c>
      <c r="BY88" s="319">
        <f>IF($BI88&lt;&gt;"",IF('Capacity summary'!$D$14="Yes",IF(COUNTBLANK('Capacity summary'!$H207:$BG207)&lt;52,IF('Capacity summary'!V207&lt;&gt;"",$BI88*V88,0),V88*$BI88),V88*$BI88),0)</f>
        <v>0</v>
      </c>
      <c r="BZ88" s="319">
        <f>IF($BI88&lt;&gt;"",IF('Capacity summary'!$D$14="Yes",IF(COUNTBLANK('Capacity summary'!$H207:$BG207)&lt;52,IF('Capacity summary'!W207&lt;&gt;"",$BI88*W88,0),W88*$BI88),W88*$BI88),0)</f>
        <v>0</v>
      </c>
      <c r="CA88" s="319">
        <f>IF($BI88&lt;&gt;"",IF('Capacity summary'!$D$14="Yes",IF(COUNTBLANK('Capacity summary'!$H207:$BG207)&lt;52,IF('Capacity summary'!X207&lt;&gt;"",$BI88*X88,0),X88*$BI88),X88*$BI88),0)</f>
        <v>0</v>
      </c>
      <c r="CB88" s="319">
        <f>IF($BI88&lt;&gt;"",IF('Capacity summary'!$D$14="Yes",IF(COUNTBLANK('Capacity summary'!$H207:$BG207)&lt;52,IF('Capacity summary'!Y207&lt;&gt;"",$BI88*Y88,0),Y88*$BI88),Y88*$BI88),0)</f>
        <v>0</v>
      </c>
      <c r="CC88" s="319">
        <f>IF($BI88&lt;&gt;"",IF('Capacity summary'!$D$14="Yes",IF(COUNTBLANK('Capacity summary'!$H207:$BG207)&lt;52,IF('Capacity summary'!Z207&lt;&gt;"",$BI88*Z88,0),Z88*$BI88),Z88*$BI88),0)</f>
        <v>0</v>
      </c>
      <c r="CD88" s="319">
        <f>IF($BI88&lt;&gt;"",IF('Capacity summary'!$D$14="Yes",IF(COUNTBLANK('Capacity summary'!$H207:$BG207)&lt;52,IF('Capacity summary'!AA207&lt;&gt;"",$BI88*AA88,0),AA88*$BI88),AA88*$BI88),0)</f>
        <v>0</v>
      </c>
      <c r="CE88" s="319">
        <f>IF($BI88&lt;&gt;"",IF('Capacity summary'!$D$14="Yes",IF(COUNTBLANK('Capacity summary'!$H207:$BG207)&lt;52,IF('Capacity summary'!AB207&lt;&gt;"",$BI88*AB88,0),AB88*$BI88),AB88*$BI88),0)</f>
        <v>0</v>
      </c>
      <c r="CF88" s="319">
        <f>IF($BI88&lt;&gt;"",IF('Capacity summary'!$D$14="Yes",IF(COUNTBLANK('Capacity summary'!$H207:$BG207)&lt;52,IF('Capacity summary'!AC207&lt;&gt;"",$BI88*AC88,0),AC88*$BI88),AC88*$BI88),0)</f>
        <v>0</v>
      </c>
      <c r="CG88" s="319">
        <f>IF($BI88&lt;&gt;"",IF('Capacity summary'!$D$14="Yes",IF(COUNTBLANK('Capacity summary'!$H207:$BG207)&lt;52,IF('Capacity summary'!AD207&lt;&gt;"",$BI88*AD88,0),AD88*$BI88),AD88*$BI88),0)</f>
        <v>0</v>
      </c>
      <c r="CH88" s="319">
        <f>IF($BI88&lt;&gt;"",IF('Capacity summary'!$D$14="Yes",IF(COUNTBLANK('Capacity summary'!$H207:$BG207)&lt;52,IF('Capacity summary'!AE207&lt;&gt;"",$BI88*AE88,0),AE88*$BI88),AE88*$BI88),0)</f>
        <v>0</v>
      </c>
      <c r="CI88" s="319">
        <f>IF($BI88&lt;&gt;"",IF('Capacity summary'!$D$14="Yes",IF(COUNTBLANK('Capacity summary'!$H207:$BG207)&lt;52,IF('Capacity summary'!AF207&lt;&gt;"",$BI88*AF88,0),AF88*$BI88),AF88*$BI88),0)</f>
        <v>0</v>
      </c>
      <c r="CJ88" s="319">
        <f>IF($BI88&lt;&gt;"",IF('Capacity summary'!$D$14="Yes",IF(COUNTBLANK('Capacity summary'!$H207:$BG207)&lt;52,IF('Capacity summary'!AG207&lt;&gt;"",$BI88*AG88,0),AG88*$BI88),AG88*$BI88),0)</f>
        <v>0</v>
      </c>
      <c r="CK88" s="319">
        <f>IF($BI88&lt;&gt;"",IF('Capacity summary'!$D$14="Yes",IF(COUNTBLANK('Capacity summary'!$H207:$BG207)&lt;52,IF('Capacity summary'!AH207&lt;&gt;"",$BI88*AH88,0),AH88*$BI88),AH88*$BI88),0)</f>
        <v>0</v>
      </c>
      <c r="CL88" s="319">
        <f>IF($BI88&lt;&gt;"",IF('Capacity summary'!$D$14="Yes",IF(COUNTBLANK('Capacity summary'!$H207:$BG207)&lt;52,IF('Capacity summary'!AI207&lt;&gt;"",$BI88*AI88,0),AI88*$BI88),AI88*$BI88),0)</f>
        <v>0</v>
      </c>
      <c r="CM88" s="319">
        <f>IF($BI88&lt;&gt;"",IF('Capacity summary'!$D$14="Yes",IF(COUNTBLANK('Capacity summary'!$H207:$BG207)&lt;52,IF('Capacity summary'!AJ207&lt;&gt;"",$BI88*AJ88,0),AJ88*$BI88),AJ88*$BI88),0)</f>
        <v>0</v>
      </c>
      <c r="CN88" s="319">
        <f>IF($BI88&lt;&gt;"",IF('Capacity summary'!$D$14="Yes",IF(COUNTBLANK('Capacity summary'!$H207:$BG207)&lt;52,IF('Capacity summary'!AK207&lt;&gt;"",$BI88*AK88,0),AK88*$BI88),AK88*$BI88),0)</f>
        <v>0</v>
      </c>
      <c r="CO88" s="319">
        <f>IF($BI88&lt;&gt;"",IF('Capacity summary'!$D$14="Yes",IF(COUNTBLANK('Capacity summary'!$H207:$BG207)&lt;52,IF('Capacity summary'!AL207&lt;&gt;"",$BI88*AL88,0),AL88*$BI88),AL88*$BI88),0)</f>
        <v>0</v>
      </c>
      <c r="CP88" s="319">
        <f>IF($BI88&lt;&gt;"",IF('Capacity summary'!$D$14="Yes",IF(COUNTBLANK('Capacity summary'!$H207:$BG207)&lt;52,IF('Capacity summary'!AM207&lt;&gt;"",$BI88*AM88,0),AM88*$BI88),AM88*$BI88),0)</f>
        <v>0</v>
      </c>
      <c r="CQ88" s="319">
        <f>IF($BI88&lt;&gt;"",IF('Capacity summary'!$D$14="Yes",IF(COUNTBLANK('Capacity summary'!$H207:$BG207)&lt;52,IF('Capacity summary'!AN207&lt;&gt;"",$BI88*AN88,0),AN88*$BI88),AN88*$BI88),0)</f>
        <v>0</v>
      </c>
      <c r="CR88" s="319">
        <f>IF($BI88&lt;&gt;"",IF('Capacity summary'!$D$14="Yes",IF(COUNTBLANK('Capacity summary'!$H207:$BG207)&lt;52,IF('Capacity summary'!AO207&lt;&gt;"",$BI88*AO88,0),AO88*$BI88),AO88*$BI88),0)</f>
        <v>0</v>
      </c>
      <c r="CS88" s="319">
        <f>IF($BI88&lt;&gt;"",IF('Capacity summary'!$D$14="Yes",IF(COUNTBLANK('Capacity summary'!$H207:$BG207)&lt;52,IF('Capacity summary'!AP207&lt;&gt;"",$BI88*AP88,0),AP88*$BI88),AP88*$BI88),0)</f>
        <v>0</v>
      </c>
      <c r="CT88" s="319">
        <f>IF($BI88&lt;&gt;"",IF('Capacity summary'!$D$14="Yes",IF(COUNTBLANK('Capacity summary'!$H207:$BG207)&lt;52,IF('Capacity summary'!AQ207&lt;&gt;"",$BI88*AQ88,0),AQ88*$BI88),AQ88*$BI88),0)</f>
        <v>0</v>
      </c>
      <c r="CU88" s="319">
        <f>IF($BI88&lt;&gt;"",IF('Capacity summary'!$D$14="Yes",IF(COUNTBLANK('Capacity summary'!$H207:$BG207)&lt;52,IF('Capacity summary'!AR207&lt;&gt;"",$BI88*AR88,0),AR88*$BI88),AR88*$BI88),0)</f>
        <v>0</v>
      </c>
      <c r="CV88" s="319">
        <f>IF($BI88&lt;&gt;"",IF('Capacity summary'!$D$14="Yes",IF(COUNTBLANK('Capacity summary'!$H207:$BG207)&lt;52,IF('Capacity summary'!AS207&lt;&gt;"",$BI88*AS88,0),AS88*$BI88),AS88*$BI88),0)</f>
        <v>0</v>
      </c>
      <c r="CW88" s="319">
        <f>IF($BI88&lt;&gt;"",IF('Capacity summary'!$D$14="Yes",IF(COUNTBLANK('Capacity summary'!$H207:$BG207)&lt;52,IF('Capacity summary'!AT207&lt;&gt;"",$BI88*AT88,0),AT88*$BI88),AT88*$BI88),0)</f>
        <v>0</v>
      </c>
      <c r="CX88" s="319">
        <f>IF($BI88&lt;&gt;"",IF('Capacity summary'!$D$14="Yes",IF(COUNTBLANK('Capacity summary'!$H207:$BG207)&lt;52,IF('Capacity summary'!AU207&lt;&gt;"",$BI88*AU88,0),AU88*$BI88),AU88*$BI88),0)</f>
        <v>0</v>
      </c>
      <c r="CY88" s="319">
        <f>IF($BI88&lt;&gt;"",IF('Capacity summary'!$D$14="Yes",IF(COUNTBLANK('Capacity summary'!$H207:$BG207)&lt;52,IF('Capacity summary'!AV207&lt;&gt;"",$BI88*AV88,0),AV88*$BI88),AV88*$BI88),0)</f>
        <v>0</v>
      </c>
      <c r="CZ88" s="319">
        <f>IF($BI88&lt;&gt;"",IF('Capacity summary'!$D$14="Yes",IF(COUNTBLANK('Capacity summary'!$H207:$BG207)&lt;52,IF('Capacity summary'!AW207&lt;&gt;"",$BI88*AW88,0),AW88*$BI88),AW88*$BI88),0)</f>
        <v>0</v>
      </c>
      <c r="DA88" s="319">
        <f>IF($BI88&lt;&gt;"",IF('Capacity summary'!$D$14="Yes",IF(COUNTBLANK('Capacity summary'!$H207:$BG207)&lt;52,IF('Capacity summary'!AX207&lt;&gt;"",$BI88*AX88,0),AX88*$BI88),AX88*$BI88),0)</f>
        <v>0</v>
      </c>
      <c r="DB88" s="319">
        <f>IF($BI88&lt;&gt;"",IF('Capacity summary'!$D$14="Yes",IF(COUNTBLANK('Capacity summary'!$H207:$BG207)&lt;52,IF('Capacity summary'!AY207&lt;&gt;"",$BI88*AY88,0),AY88*$BI88),AY88*$BI88),0)</f>
        <v>0</v>
      </c>
      <c r="DC88" s="319">
        <f>IF($BI88&lt;&gt;"",IF('Capacity summary'!$D$14="Yes",IF(COUNTBLANK('Capacity summary'!$H207:$BG207)&lt;52,IF('Capacity summary'!AZ207&lt;&gt;"",$BI88*AZ88,0),AZ88*$BI88),AZ88*$BI88),0)</f>
        <v>0</v>
      </c>
      <c r="DD88" s="319">
        <f>IF($BI88&lt;&gt;"",IF('Capacity summary'!$D$14="Yes",IF(COUNTBLANK('Capacity summary'!$H207:$BG207)&lt;52,IF('Capacity summary'!BA207&lt;&gt;"",$BI88*BA88,0),BA88*$BI88),BA88*$BI88),0)</f>
        <v>0</v>
      </c>
      <c r="DE88" s="319">
        <f>IF($BI88&lt;&gt;"",IF('Capacity summary'!$D$14="Yes",IF(COUNTBLANK('Capacity summary'!$H207:$BG207)&lt;52,IF('Capacity summary'!BB207&lt;&gt;"",$BI88*BB88,0),BB88*$BI88),BB88*$BI88),0)</f>
        <v>0</v>
      </c>
      <c r="DF88" s="319">
        <f>IF($BI88&lt;&gt;"",IF('Capacity summary'!$D$14="Yes",IF(COUNTBLANK('Capacity summary'!$H207:$BG207)&lt;52,IF('Capacity summary'!BC207&lt;&gt;"",$BI88*BC88,0),BC88*$BI88),BC88*$BI88),0)</f>
        <v>0</v>
      </c>
      <c r="DG88" s="319">
        <f>IF($BI88&lt;&gt;"",IF('Capacity summary'!$D$14="Yes",IF(COUNTBLANK('Capacity summary'!$H207:$BG207)&lt;52,IF('Capacity summary'!BD207&lt;&gt;"",$BI88*BD88,0),BD88*$BI88),BD88*$BI88),0)</f>
        <v>0</v>
      </c>
      <c r="DH88" s="319">
        <f>IF($BI88&lt;&gt;"",IF('Capacity summary'!$D$14="Yes",IF(COUNTBLANK('Capacity summary'!$H207:$BG207)&lt;52,IF('Capacity summary'!BE207&lt;&gt;"",$BI88*BE88,0),BE88*$BI88),BE88*$BI88),0)</f>
        <v>0</v>
      </c>
      <c r="DI88" s="319">
        <f>IF($BI88&lt;&gt;"",IF('Capacity summary'!$D$14="Yes",IF(COUNTBLANK('Capacity summary'!$H207:$BG207)&lt;52,IF('Capacity summary'!BF207&lt;&gt;"",$BI88*BF88,0),BF88*$BI88),BF88*$BI88),0)</f>
        <v>0</v>
      </c>
      <c r="DJ88" s="319">
        <f>IF($BI88&lt;&gt;"",IF('Capacity summary'!$D$14="Yes",IF(COUNTBLANK('Capacity summary'!$H207:$BG207)&lt;52,IF('Capacity summary'!BG207&lt;&gt;"",$BI88*BG88,0),BG88*$BI88),BG88*$BI88),0)</f>
        <v>0</v>
      </c>
      <c r="DK88" s="5">
        <f t="shared" si="3"/>
        <v>0</v>
      </c>
      <c r="DL88" s="5" t="str">
        <f>Capacity!H100</f>
        <v/>
      </c>
    </row>
    <row r="89" spans="2:116" x14ac:dyDescent="0.2">
      <c r="B89" s="68"/>
      <c r="C89" s="68" t="str">
        <f>ROW(A85)&amp;". "&amp;Capacity!B101</f>
        <v xml:space="preserve">85. </v>
      </c>
      <c r="D89" s="68">
        <f>'Capacity setup'!C96</f>
        <v>0</v>
      </c>
      <c r="E89" s="68">
        <f>'Capacity setup'!D96</f>
        <v>0</v>
      </c>
      <c r="F89" s="68">
        <f>'Capacity setup'!E96</f>
        <v>0</v>
      </c>
      <c r="H89" s="68">
        <f ca="1">IF(AND(SUMIF(Capacity_Resource,$D89,'Critical resources (hide)'!U$6:U$105)+SUMIF(Capacity_Resource,$E89,'Critical resources (hide)'!U$6:U$105)+SUMIF(Capacity_Resource,$F89,'Critical resources (hide)'!U$6:U$105)&gt;0,$E$1=2),0,1)</f>
        <v>1</v>
      </c>
      <c r="I89" s="68">
        <f ca="1">IF(AND(SUMIF(Capacity_Resource,$D89,'Critical resources (hide)'!V$6:V$105)+SUMIF(Capacity_Resource,$E89,'Critical resources (hide)'!V$6:V$105)+SUMIF(Capacity_Resource,$F89,'Critical resources (hide)'!V$6:V$105)&gt;0,$E$1=2),0,1)</f>
        <v>1</v>
      </c>
      <c r="J89" s="68">
        <f ca="1">IF(AND(SUMIF(Capacity_Resource,$D89,'Critical resources (hide)'!W$6:W$105)+SUMIF(Capacity_Resource,$E89,'Critical resources (hide)'!W$6:W$105)+SUMIF(Capacity_Resource,$F89,'Critical resources (hide)'!W$6:W$105)&gt;0,$E$1=2),0,1)</f>
        <v>1</v>
      </c>
      <c r="K89" s="68">
        <f ca="1">IF(AND(SUMIF(Capacity_Resource,$D89,'Critical resources (hide)'!X$6:X$105)+SUMIF(Capacity_Resource,$E89,'Critical resources (hide)'!X$6:X$105)+SUMIF(Capacity_Resource,$F89,'Critical resources (hide)'!X$6:X$105)&gt;0,$E$1=2),0,1)</f>
        <v>1</v>
      </c>
      <c r="L89" s="68">
        <f ca="1">IF(AND(SUMIF(Capacity_Resource,$D89,'Critical resources (hide)'!Y$6:Y$105)+SUMIF(Capacity_Resource,$E89,'Critical resources (hide)'!Y$6:Y$105)+SUMIF(Capacity_Resource,$F89,'Critical resources (hide)'!Y$6:Y$105)&gt;0,$E$1=2),0,1)</f>
        <v>1</v>
      </c>
      <c r="M89" s="68">
        <f ca="1">IF(AND(SUMIF(Capacity_Resource,$D89,'Critical resources (hide)'!Z$6:Z$105)+SUMIF(Capacity_Resource,$E89,'Critical resources (hide)'!Z$6:Z$105)+SUMIF(Capacity_Resource,$F89,'Critical resources (hide)'!Z$6:Z$105)&gt;0,$E$1=2),0,1)</f>
        <v>1</v>
      </c>
      <c r="N89" s="68">
        <f ca="1">IF(AND(SUMIF(Capacity_Resource,$D89,'Critical resources (hide)'!AA$6:AA$105)+SUMIF(Capacity_Resource,$E89,'Critical resources (hide)'!AA$6:AA$105)+SUMIF(Capacity_Resource,$F89,'Critical resources (hide)'!AA$6:AA$105)&gt;0,$E$1=2),0,1)</f>
        <v>1</v>
      </c>
      <c r="O89" s="68">
        <f ca="1">IF(AND(SUMIF(Capacity_Resource,$D89,'Critical resources (hide)'!AB$6:AB$105)+SUMIF(Capacity_Resource,$E89,'Critical resources (hide)'!AB$6:AB$105)+SUMIF(Capacity_Resource,$F89,'Critical resources (hide)'!AB$6:AB$105)&gt;0,$E$1=2),0,1)</f>
        <v>1</v>
      </c>
      <c r="P89" s="68">
        <f ca="1">IF(AND(SUMIF(Capacity_Resource,$D89,'Critical resources (hide)'!AC$6:AC$105)+SUMIF(Capacity_Resource,$E89,'Critical resources (hide)'!AC$6:AC$105)+SUMIF(Capacity_Resource,$F89,'Critical resources (hide)'!AC$6:AC$105)&gt;0,$E$1=2),0,1)</f>
        <v>1</v>
      </c>
      <c r="Q89" s="68">
        <f ca="1">IF(AND(SUMIF(Capacity_Resource,$D89,'Critical resources (hide)'!AD$6:AD$105)+SUMIF(Capacity_Resource,$E89,'Critical resources (hide)'!AD$6:AD$105)+SUMIF(Capacity_Resource,$F89,'Critical resources (hide)'!AD$6:AD$105)&gt;0,$E$1=2),0,1)</f>
        <v>1</v>
      </c>
      <c r="R89" s="68">
        <f ca="1">IF(AND(SUMIF(Capacity_Resource,$D89,'Critical resources (hide)'!AE$6:AE$105)+SUMIF(Capacity_Resource,$E89,'Critical resources (hide)'!AE$6:AE$105)+SUMIF(Capacity_Resource,$F89,'Critical resources (hide)'!AE$6:AE$105)&gt;0,$E$1=2),0,1)</f>
        <v>1</v>
      </c>
      <c r="S89" s="68">
        <f ca="1">IF(AND(SUMIF(Capacity_Resource,$D89,'Critical resources (hide)'!AF$6:AF$105)+SUMIF(Capacity_Resource,$E89,'Critical resources (hide)'!AF$6:AF$105)+SUMIF(Capacity_Resource,$F89,'Critical resources (hide)'!AF$6:AF$105)&gt;0,$E$1=2),0,1)</f>
        <v>1</v>
      </c>
      <c r="T89" s="68">
        <f ca="1">IF(AND(SUMIF(Capacity_Resource,$D89,'Critical resources (hide)'!AG$6:AG$105)+SUMIF(Capacity_Resource,$E89,'Critical resources (hide)'!AG$6:AG$105)+SUMIF(Capacity_Resource,$F89,'Critical resources (hide)'!AG$6:AG$105)&gt;0,$E$1=2),0,1)</f>
        <v>1</v>
      </c>
      <c r="U89" s="68">
        <f ca="1">IF(AND(SUMIF(Capacity_Resource,$D89,'Critical resources (hide)'!AH$6:AH$105)+SUMIF(Capacity_Resource,$E89,'Critical resources (hide)'!AH$6:AH$105)+SUMIF(Capacity_Resource,$F89,'Critical resources (hide)'!AH$6:AH$105)&gt;0,$E$1=2),0,1)</f>
        <v>1</v>
      </c>
      <c r="V89" s="68">
        <f ca="1">IF(AND(SUMIF(Capacity_Resource,$D89,'Critical resources (hide)'!AI$6:AI$105)+SUMIF(Capacity_Resource,$E89,'Critical resources (hide)'!AI$6:AI$105)+SUMIF(Capacity_Resource,$F89,'Critical resources (hide)'!AI$6:AI$105)&gt;0,$E$1=2),0,1)</f>
        <v>1</v>
      </c>
      <c r="W89" s="68">
        <f ca="1">IF(AND(SUMIF(Capacity_Resource,$D89,'Critical resources (hide)'!AJ$6:AJ$105)+SUMIF(Capacity_Resource,$E89,'Critical resources (hide)'!AJ$6:AJ$105)+SUMIF(Capacity_Resource,$F89,'Critical resources (hide)'!AJ$6:AJ$105)&gt;0,$E$1=2),0,1)</f>
        <v>1</v>
      </c>
      <c r="X89" s="68">
        <f ca="1">IF(AND(SUMIF(Capacity_Resource,$D89,'Critical resources (hide)'!AK$6:AK$105)+SUMIF(Capacity_Resource,$E89,'Critical resources (hide)'!AK$6:AK$105)+SUMIF(Capacity_Resource,$F89,'Critical resources (hide)'!AK$6:AK$105)&gt;0,$E$1=2),0,1)</f>
        <v>1</v>
      </c>
      <c r="Y89" s="68">
        <f ca="1">IF(AND(SUMIF(Capacity_Resource,$D89,'Critical resources (hide)'!AL$6:AL$105)+SUMIF(Capacity_Resource,$E89,'Critical resources (hide)'!AL$6:AL$105)+SUMIF(Capacity_Resource,$F89,'Critical resources (hide)'!AL$6:AL$105)&gt;0,$E$1=2),0,1)</f>
        <v>1</v>
      </c>
      <c r="Z89" s="68">
        <f ca="1">IF(AND(SUMIF(Capacity_Resource,$D89,'Critical resources (hide)'!AM$6:AM$105)+SUMIF(Capacity_Resource,$E89,'Critical resources (hide)'!AM$6:AM$105)+SUMIF(Capacity_Resource,$F89,'Critical resources (hide)'!AM$6:AM$105)&gt;0,$E$1=2),0,1)</f>
        <v>1</v>
      </c>
      <c r="AA89" s="68">
        <f ca="1">IF(AND(SUMIF(Capacity_Resource,$D89,'Critical resources (hide)'!AN$6:AN$105)+SUMIF(Capacity_Resource,$E89,'Critical resources (hide)'!AN$6:AN$105)+SUMIF(Capacity_Resource,$F89,'Critical resources (hide)'!AN$6:AN$105)&gt;0,$E$1=2),0,1)</f>
        <v>1</v>
      </c>
      <c r="AB89" s="68">
        <f ca="1">IF(AND(SUMIF(Capacity_Resource,$D89,'Critical resources (hide)'!AO$6:AO$105)+SUMIF(Capacity_Resource,$E89,'Critical resources (hide)'!AO$6:AO$105)+SUMIF(Capacity_Resource,$F89,'Critical resources (hide)'!AO$6:AO$105)&gt;0,$E$1=2),0,1)</f>
        <v>1</v>
      </c>
      <c r="AC89" s="68">
        <f ca="1">IF(AND(SUMIF(Capacity_Resource,$D89,'Critical resources (hide)'!AP$6:AP$105)+SUMIF(Capacity_Resource,$E89,'Critical resources (hide)'!AP$6:AP$105)+SUMIF(Capacity_Resource,$F89,'Critical resources (hide)'!AP$6:AP$105)&gt;0,$E$1=2),0,1)</f>
        <v>1</v>
      </c>
      <c r="AD89" s="68">
        <f ca="1">IF(AND(SUMIF(Capacity_Resource,$D89,'Critical resources (hide)'!AQ$6:AQ$105)+SUMIF(Capacity_Resource,$E89,'Critical resources (hide)'!AQ$6:AQ$105)+SUMIF(Capacity_Resource,$F89,'Critical resources (hide)'!AQ$6:AQ$105)&gt;0,$E$1=2),0,1)</f>
        <v>1</v>
      </c>
      <c r="AE89" s="68">
        <f ca="1">IF(AND(SUMIF(Capacity_Resource,$D89,'Critical resources (hide)'!AR$6:AR$105)+SUMIF(Capacity_Resource,$E89,'Critical resources (hide)'!AR$6:AR$105)+SUMIF(Capacity_Resource,$F89,'Critical resources (hide)'!AR$6:AR$105)&gt;0,$E$1=2),0,1)</f>
        <v>1</v>
      </c>
      <c r="AF89" s="68">
        <f ca="1">IF(AND(SUMIF(Capacity_Resource,$D89,'Critical resources (hide)'!AS$6:AS$105)+SUMIF(Capacity_Resource,$E89,'Critical resources (hide)'!AS$6:AS$105)+SUMIF(Capacity_Resource,$F89,'Critical resources (hide)'!AS$6:AS$105)&gt;0,$E$1=2),0,1)</f>
        <v>1</v>
      </c>
      <c r="AG89" s="68">
        <f ca="1">IF(AND(SUMIF(Capacity_Resource,$D89,'Critical resources (hide)'!AT$6:AT$105)+SUMIF(Capacity_Resource,$E89,'Critical resources (hide)'!AT$6:AT$105)+SUMIF(Capacity_Resource,$F89,'Critical resources (hide)'!AT$6:AT$105)&gt;0,$E$1=2),0,1)</f>
        <v>1</v>
      </c>
      <c r="AH89" s="68">
        <f ca="1">IF(AND(SUMIF(Capacity_Resource,$D89,'Critical resources (hide)'!AU$6:AU$105)+SUMIF(Capacity_Resource,$E89,'Critical resources (hide)'!AU$6:AU$105)+SUMIF(Capacity_Resource,$F89,'Critical resources (hide)'!AU$6:AU$105)&gt;0,$E$1=2),0,1)</f>
        <v>1</v>
      </c>
      <c r="AI89" s="68">
        <f ca="1">IF(AND(SUMIF(Capacity_Resource,$D89,'Critical resources (hide)'!AV$6:AV$105)+SUMIF(Capacity_Resource,$E89,'Critical resources (hide)'!AV$6:AV$105)+SUMIF(Capacity_Resource,$F89,'Critical resources (hide)'!AV$6:AV$105)&gt;0,$E$1=2),0,1)</f>
        <v>1</v>
      </c>
      <c r="AJ89" s="68">
        <f ca="1">IF(AND(SUMIF(Capacity_Resource,$D89,'Critical resources (hide)'!AW$6:AW$105)+SUMIF(Capacity_Resource,$E89,'Critical resources (hide)'!AW$6:AW$105)+SUMIF(Capacity_Resource,$F89,'Critical resources (hide)'!AW$6:AW$105)&gt;0,$E$1=2),0,1)</f>
        <v>1</v>
      </c>
      <c r="AK89" s="68">
        <f ca="1">IF(AND(SUMIF(Capacity_Resource,$D89,'Critical resources (hide)'!AX$6:AX$105)+SUMIF(Capacity_Resource,$E89,'Critical resources (hide)'!AX$6:AX$105)+SUMIF(Capacity_Resource,$F89,'Critical resources (hide)'!AX$6:AX$105)&gt;0,$E$1=2),0,1)</f>
        <v>1</v>
      </c>
      <c r="AL89" s="68">
        <f ca="1">IF(AND(SUMIF(Capacity_Resource,$D89,'Critical resources (hide)'!AY$6:AY$105)+SUMIF(Capacity_Resource,$E89,'Critical resources (hide)'!AY$6:AY$105)+SUMIF(Capacity_Resource,$F89,'Critical resources (hide)'!AY$6:AY$105)&gt;0,$E$1=2),0,1)</f>
        <v>1</v>
      </c>
      <c r="AM89" s="68">
        <f ca="1">IF(AND(SUMIF(Capacity_Resource,$D89,'Critical resources (hide)'!AZ$6:AZ$105)+SUMIF(Capacity_Resource,$E89,'Critical resources (hide)'!AZ$6:AZ$105)+SUMIF(Capacity_Resource,$F89,'Critical resources (hide)'!AZ$6:AZ$105)&gt;0,$E$1=2),0,1)</f>
        <v>1</v>
      </c>
      <c r="AN89" s="68">
        <f ca="1">IF(AND(SUMIF(Capacity_Resource,$D89,'Critical resources (hide)'!BA$6:BA$105)+SUMIF(Capacity_Resource,$E89,'Critical resources (hide)'!BA$6:BA$105)+SUMIF(Capacity_Resource,$F89,'Critical resources (hide)'!BA$6:BA$105)&gt;0,$E$1=2),0,1)</f>
        <v>1</v>
      </c>
      <c r="AO89" s="68">
        <f ca="1">IF(AND(SUMIF(Capacity_Resource,$D89,'Critical resources (hide)'!BB$6:BB$105)+SUMIF(Capacity_Resource,$E89,'Critical resources (hide)'!BB$6:BB$105)+SUMIF(Capacity_Resource,$F89,'Critical resources (hide)'!BB$6:BB$105)&gt;0,$E$1=2),0,1)</f>
        <v>1</v>
      </c>
      <c r="AP89" s="68">
        <f ca="1">IF(AND(SUMIF(Capacity_Resource,$D89,'Critical resources (hide)'!BC$6:BC$105)+SUMIF(Capacity_Resource,$E89,'Critical resources (hide)'!BC$6:BC$105)+SUMIF(Capacity_Resource,$F89,'Critical resources (hide)'!BC$6:BC$105)&gt;0,$E$1=2),0,1)</f>
        <v>1</v>
      </c>
      <c r="AQ89" s="68">
        <f ca="1">IF(AND(SUMIF(Capacity_Resource,$D89,'Critical resources (hide)'!BD$6:BD$105)+SUMIF(Capacity_Resource,$E89,'Critical resources (hide)'!BD$6:BD$105)+SUMIF(Capacity_Resource,$F89,'Critical resources (hide)'!BD$6:BD$105)&gt;0,$E$1=2),0,1)</f>
        <v>1</v>
      </c>
      <c r="AR89" s="68">
        <f ca="1">IF(AND(SUMIF(Capacity_Resource,$D89,'Critical resources (hide)'!BE$6:BE$105)+SUMIF(Capacity_Resource,$E89,'Critical resources (hide)'!BE$6:BE$105)+SUMIF(Capacity_Resource,$F89,'Critical resources (hide)'!BE$6:BE$105)&gt;0,$E$1=2),0,1)</f>
        <v>1</v>
      </c>
      <c r="AS89" s="68">
        <f ca="1">IF(AND(SUMIF(Capacity_Resource,$D89,'Critical resources (hide)'!BF$6:BF$105)+SUMIF(Capacity_Resource,$E89,'Critical resources (hide)'!BF$6:BF$105)+SUMIF(Capacity_Resource,$F89,'Critical resources (hide)'!BF$6:BF$105)&gt;0,$E$1=2),0,1)</f>
        <v>1</v>
      </c>
      <c r="AT89" s="68">
        <f ca="1">IF(AND(SUMIF(Capacity_Resource,$D89,'Critical resources (hide)'!BG$6:BG$105)+SUMIF(Capacity_Resource,$E89,'Critical resources (hide)'!BG$6:BG$105)+SUMIF(Capacity_Resource,$F89,'Critical resources (hide)'!BG$6:BG$105)&gt;0,$E$1=2),0,1)</f>
        <v>1</v>
      </c>
      <c r="AU89" s="68">
        <f ca="1">IF(AND(SUMIF(Capacity_Resource,$D89,'Critical resources (hide)'!BH$6:BH$105)+SUMIF(Capacity_Resource,$E89,'Critical resources (hide)'!BH$6:BH$105)+SUMIF(Capacity_Resource,$F89,'Critical resources (hide)'!BH$6:BH$105)&gt;0,$E$1=2),0,1)</f>
        <v>1</v>
      </c>
      <c r="AV89" s="68">
        <f ca="1">IF(AND(SUMIF(Capacity_Resource,$D89,'Critical resources (hide)'!BI$6:BI$105)+SUMIF(Capacity_Resource,$E89,'Critical resources (hide)'!BI$6:BI$105)+SUMIF(Capacity_Resource,$F89,'Critical resources (hide)'!BI$6:BI$105)&gt;0,$E$1=2),0,1)</f>
        <v>1</v>
      </c>
      <c r="AW89" s="68">
        <f ca="1">IF(AND(SUMIF(Capacity_Resource,$D89,'Critical resources (hide)'!BJ$6:BJ$105)+SUMIF(Capacity_Resource,$E89,'Critical resources (hide)'!BJ$6:BJ$105)+SUMIF(Capacity_Resource,$F89,'Critical resources (hide)'!BJ$6:BJ$105)&gt;0,$E$1=2),0,1)</f>
        <v>1</v>
      </c>
      <c r="AX89" s="68">
        <f ca="1">IF(AND(SUMIF(Capacity_Resource,$D89,'Critical resources (hide)'!BK$6:BK$105)+SUMIF(Capacity_Resource,$E89,'Critical resources (hide)'!BK$6:BK$105)+SUMIF(Capacity_Resource,$F89,'Critical resources (hide)'!BK$6:BK$105)&gt;0,$E$1=2),0,1)</f>
        <v>1</v>
      </c>
      <c r="AY89" s="68">
        <f ca="1">IF(AND(SUMIF(Capacity_Resource,$D89,'Critical resources (hide)'!BL$6:BL$105)+SUMIF(Capacity_Resource,$E89,'Critical resources (hide)'!BL$6:BL$105)+SUMIF(Capacity_Resource,$F89,'Critical resources (hide)'!BL$6:BL$105)&gt;0,$E$1=2),0,1)</f>
        <v>1</v>
      </c>
      <c r="AZ89" s="68">
        <f ca="1">IF(AND(SUMIF(Capacity_Resource,$D89,'Critical resources (hide)'!BM$6:BM$105)+SUMIF(Capacity_Resource,$E89,'Critical resources (hide)'!BM$6:BM$105)+SUMIF(Capacity_Resource,$F89,'Critical resources (hide)'!BM$6:BM$105)&gt;0,$E$1=2),0,1)</f>
        <v>1</v>
      </c>
      <c r="BA89" s="68">
        <f ca="1">IF(AND(SUMIF(Capacity_Resource,$D89,'Critical resources (hide)'!BN$6:BN$105)+SUMIF(Capacity_Resource,$E89,'Critical resources (hide)'!BN$6:BN$105)+SUMIF(Capacity_Resource,$F89,'Critical resources (hide)'!BN$6:BN$105)&gt;0,$E$1=2),0,1)</f>
        <v>1</v>
      </c>
      <c r="BB89" s="68">
        <f ca="1">IF(AND(SUMIF(Capacity_Resource,$D89,'Critical resources (hide)'!BO$6:BO$105)+SUMIF(Capacity_Resource,$E89,'Critical resources (hide)'!BO$6:BO$105)+SUMIF(Capacity_Resource,$F89,'Critical resources (hide)'!BO$6:BO$105)&gt;0,$E$1=2),0,1)</f>
        <v>1</v>
      </c>
      <c r="BC89" s="68">
        <f ca="1">IF(AND(SUMIF(Capacity_Resource,$D89,'Critical resources (hide)'!BP$6:BP$105)+SUMIF(Capacity_Resource,$E89,'Critical resources (hide)'!BP$6:BP$105)+SUMIF(Capacity_Resource,$F89,'Critical resources (hide)'!BP$6:BP$105)&gt;0,$E$1=2),0,1)</f>
        <v>1</v>
      </c>
      <c r="BD89" s="68">
        <f ca="1">IF(AND(SUMIF(Capacity_Resource,$D89,'Critical resources (hide)'!BQ$6:BQ$105)+SUMIF(Capacity_Resource,$E89,'Critical resources (hide)'!BQ$6:BQ$105)+SUMIF(Capacity_Resource,$F89,'Critical resources (hide)'!BQ$6:BQ$105)&gt;0,$E$1=2),0,1)</f>
        <v>1</v>
      </c>
      <c r="BE89" s="68">
        <f ca="1">IF(AND(SUMIF(Capacity_Resource,$D89,'Critical resources (hide)'!BR$6:BR$105)+SUMIF(Capacity_Resource,$E89,'Critical resources (hide)'!BR$6:BR$105)+SUMIF(Capacity_Resource,$F89,'Critical resources (hide)'!BR$6:BR$105)&gt;0,$E$1=2),0,1)</f>
        <v>1</v>
      </c>
      <c r="BF89" s="68">
        <f ca="1">IF(AND(SUMIF(Capacity_Resource,$D89,'Critical resources (hide)'!BS$6:BS$105)+SUMIF(Capacity_Resource,$E89,'Critical resources (hide)'!BS$6:BS$105)+SUMIF(Capacity_Resource,$F89,'Critical resources (hide)'!BS$6:BS$105)&gt;0,$E$1=2),0,1)</f>
        <v>1</v>
      </c>
      <c r="BG89" s="68">
        <f ca="1">IF(AND(SUMIF(Capacity_Resource,$D89,'Critical resources (hide)'!BT$6:BT$105)+SUMIF(Capacity_Resource,$E89,'Critical resources (hide)'!BT$6:BT$105)+SUMIF(Capacity_Resource,$F89,'Critical resources (hide)'!BT$6:BT$105)&gt;0,$E$1=2),0,1)</f>
        <v>1</v>
      </c>
      <c r="BH89" s="68">
        <f>IF(ROW(C85)&lt;=Capacity!$A$16,IF('Capacity summary'!$D$14="No",SUM(H89:BG89),'Capacity summary'!$E208),0)</f>
        <v>0</v>
      </c>
      <c r="BI89" s="5" t="str">
        <f>IF(BH89&gt;0,IF(BH89&lt;Capacity!E101,Capacity!F101,Capacity!H101/'Capacity calculation (hide)'!BH89),"")</f>
        <v/>
      </c>
      <c r="BK89" s="319">
        <f>IF($BI89&lt;&gt;"",IF('Capacity summary'!$D$14="Yes",IF(COUNTBLANK('Capacity summary'!$H208:$BG208)&lt;52,IF('Capacity summary'!H208&lt;&gt;"",$BI89*H89,0),H89*$BI89),H89*$BI89),0)</f>
        <v>0</v>
      </c>
      <c r="BL89" s="319">
        <f>IF($BI89&lt;&gt;"",IF('Capacity summary'!$D$14="Yes",IF(COUNTBLANK('Capacity summary'!$H208:$BG208)&lt;52,IF('Capacity summary'!I208&lt;&gt;"",$BI89*I89,0),I89*$BI89),I89*$BI89),0)</f>
        <v>0</v>
      </c>
      <c r="BM89" s="319">
        <f>IF($BI89&lt;&gt;"",IF('Capacity summary'!$D$14="Yes",IF(COUNTBLANK('Capacity summary'!$H208:$BG208)&lt;52,IF('Capacity summary'!J208&lt;&gt;"",$BI89*J89,0),J89*$BI89),J89*$BI89),0)</f>
        <v>0</v>
      </c>
      <c r="BN89" s="319">
        <f>IF($BI89&lt;&gt;"",IF('Capacity summary'!$D$14="Yes",IF(COUNTBLANK('Capacity summary'!$H208:$BG208)&lt;52,IF('Capacity summary'!K208&lt;&gt;"",$BI89*K89,0),K89*$BI89),K89*$BI89),0)</f>
        <v>0</v>
      </c>
      <c r="BO89" s="319">
        <f>IF($BI89&lt;&gt;"",IF('Capacity summary'!$D$14="Yes",IF(COUNTBLANK('Capacity summary'!$H208:$BG208)&lt;52,IF('Capacity summary'!L208&lt;&gt;"",$BI89*L89,0),L89*$BI89),L89*$BI89),0)</f>
        <v>0</v>
      </c>
      <c r="BP89" s="319">
        <f>IF($BI89&lt;&gt;"",IF('Capacity summary'!$D$14="Yes",IF(COUNTBLANK('Capacity summary'!$H208:$BG208)&lt;52,IF('Capacity summary'!M208&lt;&gt;"",$BI89*M89,0),M89*$BI89),M89*$BI89),0)</f>
        <v>0</v>
      </c>
      <c r="BQ89" s="319">
        <f>IF($BI89&lt;&gt;"",IF('Capacity summary'!$D$14="Yes",IF(COUNTBLANK('Capacity summary'!$H208:$BG208)&lt;52,IF('Capacity summary'!N208&lt;&gt;"",$BI89*N89,0),N89*$BI89),N89*$BI89),0)</f>
        <v>0</v>
      </c>
      <c r="BR89" s="319">
        <f>IF($BI89&lt;&gt;"",IF('Capacity summary'!$D$14="Yes",IF(COUNTBLANK('Capacity summary'!$H208:$BG208)&lt;52,IF('Capacity summary'!O208&lt;&gt;"",$BI89*O89,0),O89*$BI89),O89*$BI89),0)</f>
        <v>0</v>
      </c>
      <c r="BS89" s="319">
        <f>IF($BI89&lt;&gt;"",IF('Capacity summary'!$D$14="Yes",IF(COUNTBLANK('Capacity summary'!$H208:$BG208)&lt;52,IF('Capacity summary'!P208&lt;&gt;"",$BI89*P89,0),P89*$BI89),P89*$BI89),0)</f>
        <v>0</v>
      </c>
      <c r="BT89" s="319">
        <f>IF($BI89&lt;&gt;"",IF('Capacity summary'!$D$14="Yes",IF(COUNTBLANK('Capacity summary'!$H208:$BG208)&lt;52,IF('Capacity summary'!Q208&lt;&gt;"",$BI89*Q89,0),Q89*$BI89),Q89*$BI89),0)</f>
        <v>0</v>
      </c>
      <c r="BU89" s="319">
        <f>IF($BI89&lt;&gt;"",IF('Capacity summary'!$D$14="Yes",IF(COUNTBLANK('Capacity summary'!$H208:$BG208)&lt;52,IF('Capacity summary'!R208&lt;&gt;"",$BI89*R89,0),R89*$BI89),R89*$BI89),0)</f>
        <v>0</v>
      </c>
      <c r="BV89" s="319">
        <f>IF($BI89&lt;&gt;"",IF('Capacity summary'!$D$14="Yes",IF(COUNTBLANK('Capacity summary'!$H208:$BG208)&lt;52,IF('Capacity summary'!S208&lt;&gt;"",$BI89*S89,0),S89*$BI89),S89*$BI89),0)</f>
        <v>0</v>
      </c>
      <c r="BW89" s="319">
        <f>IF($BI89&lt;&gt;"",IF('Capacity summary'!$D$14="Yes",IF(COUNTBLANK('Capacity summary'!$H208:$BG208)&lt;52,IF('Capacity summary'!T208&lt;&gt;"",$BI89*T89,0),T89*$BI89),T89*$BI89),0)</f>
        <v>0</v>
      </c>
      <c r="BX89" s="319">
        <f>IF($BI89&lt;&gt;"",IF('Capacity summary'!$D$14="Yes",IF(COUNTBLANK('Capacity summary'!$H208:$BG208)&lt;52,IF('Capacity summary'!U208&lt;&gt;"",$BI89*U89,0),U89*$BI89),U89*$BI89),0)</f>
        <v>0</v>
      </c>
      <c r="BY89" s="319">
        <f>IF($BI89&lt;&gt;"",IF('Capacity summary'!$D$14="Yes",IF(COUNTBLANK('Capacity summary'!$H208:$BG208)&lt;52,IF('Capacity summary'!V208&lt;&gt;"",$BI89*V89,0),V89*$BI89),V89*$BI89),0)</f>
        <v>0</v>
      </c>
      <c r="BZ89" s="319">
        <f>IF($BI89&lt;&gt;"",IF('Capacity summary'!$D$14="Yes",IF(COUNTBLANK('Capacity summary'!$H208:$BG208)&lt;52,IF('Capacity summary'!W208&lt;&gt;"",$BI89*W89,0),W89*$BI89),W89*$BI89),0)</f>
        <v>0</v>
      </c>
      <c r="CA89" s="319">
        <f>IF($BI89&lt;&gt;"",IF('Capacity summary'!$D$14="Yes",IF(COUNTBLANK('Capacity summary'!$H208:$BG208)&lt;52,IF('Capacity summary'!X208&lt;&gt;"",$BI89*X89,0),X89*$BI89),X89*$BI89),0)</f>
        <v>0</v>
      </c>
      <c r="CB89" s="319">
        <f>IF($BI89&lt;&gt;"",IF('Capacity summary'!$D$14="Yes",IF(COUNTBLANK('Capacity summary'!$H208:$BG208)&lt;52,IF('Capacity summary'!Y208&lt;&gt;"",$BI89*Y89,0),Y89*$BI89),Y89*$BI89),0)</f>
        <v>0</v>
      </c>
      <c r="CC89" s="319">
        <f>IF($BI89&lt;&gt;"",IF('Capacity summary'!$D$14="Yes",IF(COUNTBLANK('Capacity summary'!$H208:$BG208)&lt;52,IF('Capacity summary'!Z208&lt;&gt;"",$BI89*Z89,0),Z89*$BI89),Z89*$BI89),0)</f>
        <v>0</v>
      </c>
      <c r="CD89" s="319">
        <f>IF($BI89&lt;&gt;"",IF('Capacity summary'!$D$14="Yes",IF(COUNTBLANK('Capacity summary'!$H208:$BG208)&lt;52,IF('Capacity summary'!AA208&lt;&gt;"",$BI89*AA89,0),AA89*$BI89),AA89*$BI89),0)</f>
        <v>0</v>
      </c>
      <c r="CE89" s="319">
        <f>IF($BI89&lt;&gt;"",IF('Capacity summary'!$D$14="Yes",IF(COUNTBLANK('Capacity summary'!$H208:$BG208)&lt;52,IF('Capacity summary'!AB208&lt;&gt;"",$BI89*AB89,0),AB89*$BI89),AB89*$BI89),0)</f>
        <v>0</v>
      </c>
      <c r="CF89" s="319">
        <f>IF($BI89&lt;&gt;"",IF('Capacity summary'!$D$14="Yes",IF(COUNTBLANK('Capacity summary'!$H208:$BG208)&lt;52,IF('Capacity summary'!AC208&lt;&gt;"",$BI89*AC89,0),AC89*$BI89),AC89*$BI89),0)</f>
        <v>0</v>
      </c>
      <c r="CG89" s="319">
        <f>IF($BI89&lt;&gt;"",IF('Capacity summary'!$D$14="Yes",IF(COUNTBLANK('Capacity summary'!$H208:$BG208)&lt;52,IF('Capacity summary'!AD208&lt;&gt;"",$BI89*AD89,0),AD89*$BI89),AD89*$BI89),0)</f>
        <v>0</v>
      </c>
      <c r="CH89" s="319">
        <f>IF($BI89&lt;&gt;"",IF('Capacity summary'!$D$14="Yes",IF(COUNTBLANK('Capacity summary'!$H208:$BG208)&lt;52,IF('Capacity summary'!AE208&lt;&gt;"",$BI89*AE89,0),AE89*$BI89),AE89*$BI89),0)</f>
        <v>0</v>
      </c>
      <c r="CI89" s="319">
        <f>IF($BI89&lt;&gt;"",IF('Capacity summary'!$D$14="Yes",IF(COUNTBLANK('Capacity summary'!$H208:$BG208)&lt;52,IF('Capacity summary'!AF208&lt;&gt;"",$BI89*AF89,0),AF89*$BI89),AF89*$BI89),0)</f>
        <v>0</v>
      </c>
      <c r="CJ89" s="319">
        <f>IF($BI89&lt;&gt;"",IF('Capacity summary'!$D$14="Yes",IF(COUNTBLANK('Capacity summary'!$H208:$BG208)&lt;52,IF('Capacity summary'!AG208&lt;&gt;"",$BI89*AG89,0),AG89*$BI89),AG89*$BI89),0)</f>
        <v>0</v>
      </c>
      <c r="CK89" s="319">
        <f>IF($BI89&lt;&gt;"",IF('Capacity summary'!$D$14="Yes",IF(COUNTBLANK('Capacity summary'!$H208:$BG208)&lt;52,IF('Capacity summary'!AH208&lt;&gt;"",$BI89*AH89,0),AH89*$BI89),AH89*$BI89),0)</f>
        <v>0</v>
      </c>
      <c r="CL89" s="319">
        <f>IF($BI89&lt;&gt;"",IF('Capacity summary'!$D$14="Yes",IF(COUNTBLANK('Capacity summary'!$H208:$BG208)&lt;52,IF('Capacity summary'!AI208&lt;&gt;"",$BI89*AI89,0),AI89*$BI89),AI89*$BI89),0)</f>
        <v>0</v>
      </c>
      <c r="CM89" s="319">
        <f>IF($BI89&lt;&gt;"",IF('Capacity summary'!$D$14="Yes",IF(COUNTBLANK('Capacity summary'!$H208:$BG208)&lt;52,IF('Capacity summary'!AJ208&lt;&gt;"",$BI89*AJ89,0),AJ89*$BI89),AJ89*$BI89),0)</f>
        <v>0</v>
      </c>
      <c r="CN89" s="319">
        <f>IF($BI89&lt;&gt;"",IF('Capacity summary'!$D$14="Yes",IF(COUNTBLANK('Capacity summary'!$H208:$BG208)&lt;52,IF('Capacity summary'!AK208&lt;&gt;"",$BI89*AK89,0),AK89*$BI89),AK89*$BI89),0)</f>
        <v>0</v>
      </c>
      <c r="CO89" s="319">
        <f>IF($BI89&lt;&gt;"",IF('Capacity summary'!$D$14="Yes",IF(COUNTBLANK('Capacity summary'!$H208:$BG208)&lt;52,IF('Capacity summary'!AL208&lt;&gt;"",$BI89*AL89,0),AL89*$BI89),AL89*$BI89),0)</f>
        <v>0</v>
      </c>
      <c r="CP89" s="319">
        <f>IF($BI89&lt;&gt;"",IF('Capacity summary'!$D$14="Yes",IF(COUNTBLANK('Capacity summary'!$H208:$BG208)&lt;52,IF('Capacity summary'!AM208&lt;&gt;"",$BI89*AM89,0),AM89*$BI89),AM89*$BI89),0)</f>
        <v>0</v>
      </c>
      <c r="CQ89" s="319">
        <f>IF($BI89&lt;&gt;"",IF('Capacity summary'!$D$14="Yes",IF(COUNTBLANK('Capacity summary'!$H208:$BG208)&lt;52,IF('Capacity summary'!AN208&lt;&gt;"",$BI89*AN89,0),AN89*$BI89),AN89*$BI89),0)</f>
        <v>0</v>
      </c>
      <c r="CR89" s="319">
        <f>IF($BI89&lt;&gt;"",IF('Capacity summary'!$D$14="Yes",IF(COUNTBLANK('Capacity summary'!$H208:$BG208)&lt;52,IF('Capacity summary'!AO208&lt;&gt;"",$BI89*AO89,0),AO89*$BI89),AO89*$BI89),0)</f>
        <v>0</v>
      </c>
      <c r="CS89" s="319">
        <f>IF($BI89&lt;&gt;"",IF('Capacity summary'!$D$14="Yes",IF(COUNTBLANK('Capacity summary'!$H208:$BG208)&lt;52,IF('Capacity summary'!AP208&lt;&gt;"",$BI89*AP89,0),AP89*$BI89),AP89*$BI89),0)</f>
        <v>0</v>
      </c>
      <c r="CT89" s="319">
        <f>IF($BI89&lt;&gt;"",IF('Capacity summary'!$D$14="Yes",IF(COUNTBLANK('Capacity summary'!$H208:$BG208)&lt;52,IF('Capacity summary'!AQ208&lt;&gt;"",$BI89*AQ89,0),AQ89*$BI89),AQ89*$BI89),0)</f>
        <v>0</v>
      </c>
      <c r="CU89" s="319">
        <f>IF($BI89&lt;&gt;"",IF('Capacity summary'!$D$14="Yes",IF(COUNTBLANK('Capacity summary'!$H208:$BG208)&lt;52,IF('Capacity summary'!AR208&lt;&gt;"",$BI89*AR89,0),AR89*$BI89),AR89*$BI89),0)</f>
        <v>0</v>
      </c>
      <c r="CV89" s="319">
        <f>IF($BI89&lt;&gt;"",IF('Capacity summary'!$D$14="Yes",IF(COUNTBLANK('Capacity summary'!$H208:$BG208)&lt;52,IF('Capacity summary'!AS208&lt;&gt;"",$BI89*AS89,0),AS89*$BI89),AS89*$BI89),0)</f>
        <v>0</v>
      </c>
      <c r="CW89" s="319">
        <f>IF($BI89&lt;&gt;"",IF('Capacity summary'!$D$14="Yes",IF(COUNTBLANK('Capacity summary'!$H208:$BG208)&lt;52,IF('Capacity summary'!AT208&lt;&gt;"",$BI89*AT89,0),AT89*$BI89),AT89*$BI89),0)</f>
        <v>0</v>
      </c>
      <c r="CX89" s="319">
        <f>IF($BI89&lt;&gt;"",IF('Capacity summary'!$D$14="Yes",IF(COUNTBLANK('Capacity summary'!$H208:$BG208)&lt;52,IF('Capacity summary'!AU208&lt;&gt;"",$BI89*AU89,0),AU89*$BI89),AU89*$BI89),0)</f>
        <v>0</v>
      </c>
      <c r="CY89" s="319">
        <f>IF($BI89&lt;&gt;"",IF('Capacity summary'!$D$14="Yes",IF(COUNTBLANK('Capacity summary'!$H208:$BG208)&lt;52,IF('Capacity summary'!AV208&lt;&gt;"",$BI89*AV89,0),AV89*$BI89),AV89*$BI89),0)</f>
        <v>0</v>
      </c>
      <c r="CZ89" s="319">
        <f>IF($BI89&lt;&gt;"",IF('Capacity summary'!$D$14="Yes",IF(COUNTBLANK('Capacity summary'!$H208:$BG208)&lt;52,IF('Capacity summary'!AW208&lt;&gt;"",$BI89*AW89,0),AW89*$BI89),AW89*$BI89),0)</f>
        <v>0</v>
      </c>
      <c r="DA89" s="319">
        <f>IF($BI89&lt;&gt;"",IF('Capacity summary'!$D$14="Yes",IF(COUNTBLANK('Capacity summary'!$H208:$BG208)&lt;52,IF('Capacity summary'!AX208&lt;&gt;"",$BI89*AX89,0),AX89*$BI89),AX89*$BI89),0)</f>
        <v>0</v>
      </c>
      <c r="DB89" s="319">
        <f>IF($BI89&lt;&gt;"",IF('Capacity summary'!$D$14="Yes",IF(COUNTBLANK('Capacity summary'!$H208:$BG208)&lt;52,IF('Capacity summary'!AY208&lt;&gt;"",$BI89*AY89,0),AY89*$BI89),AY89*$BI89),0)</f>
        <v>0</v>
      </c>
      <c r="DC89" s="319">
        <f>IF($BI89&lt;&gt;"",IF('Capacity summary'!$D$14="Yes",IF(COUNTBLANK('Capacity summary'!$H208:$BG208)&lt;52,IF('Capacity summary'!AZ208&lt;&gt;"",$BI89*AZ89,0),AZ89*$BI89),AZ89*$BI89),0)</f>
        <v>0</v>
      </c>
      <c r="DD89" s="319">
        <f>IF($BI89&lt;&gt;"",IF('Capacity summary'!$D$14="Yes",IF(COUNTBLANK('Capacity summary'!$H208:$BG208)&lt;52,IF('Capacity summary'!BA208&lt;&gt;"",$BI89*BA89,0),BA89*$BI89),BA89*$BI89),0)</f>
        <v>0</v>
      </c>
      <c r="DE89" s="319">
        <f>IF($BI89&lt;&gt;"",IF('Capacity summary'!$D$14="Yes",IF(COUNTBLANK('Capacity summary'!$H208:$BG208)&lt;52,IF('Capacity summary'!BB208&lt;&gt;"",$BI89*BB89,0),BB89*$BI89),BB89*$BI89),0)</f>
        <v>0</v>
      </c>
      <c r="DF89" s="319">
        <f>IF($BI89&lt;&gt;"",IF('Capacity summary'!$D$14="Yes",IF(COUNTBLANK('Capacity summary'!$H208:$BG208)&lt;52,IF('Capacity summary'!BC208&lt;&gt;"",$BI89*BC89,0),BC89*$BI89),BC89*$BI89),0)</f>
        <v>0</v>
      </c>
      <c r="DG89" s="319">
        <f>IF($BI89&lt;&gt;"",IF('Capacity summary'!$D$14="Yes",IF(COUNTBLANK('Capacity summary'!$H208:$BG208)&lt;52,IF('Capacity summary'!BD208&lt;&gt;"",$BI89*BD89,0),BD89*$BI89),BD89*$BI89),0)</f>
        <v>0</v>
      </c>
      <c r="DH89" s="319">
        <f>IF($BI89&lt;&gt;"",IF('Capacity summary'!$D$14="Yes",IF(COUNTBLANK('Capacity summary'!$H208:$BG208)&lt;52,IF('Capacity summary'!BE208&lt;&gt;"",$BI89*BE89,0),BE89*$BI89),BE89*$BI89),0)</f>
        <v>0</v>
      </c>
      <c r="DI89" s="319">
        <f>IF($BI89&lt;&gt;"",IF('Capacity summary'!$D$14="Yes",IF(COUNTBLANK('Capacity summary'!$H208:$BG208)&lt;52,IF('Capacity summary'!BF208&lt;&gt;"",$BI89*BF89,0),BF89*$BI89),BF89*$BI89),0)</f>
        <v>0</v>
      </c>
      <c r="DJ89" s="319">
        <f>IF($BI89&lt;&gt;"",IF('Capacity summary'!$D$14="Yes",IF(COUNTBLANK('Capacity summary'!$H208:$BG208)&lt;52,IF('Capacity summary'!BG208&lt;&gt;"",$BI89*BG89,0),BG89*$BI89),BG89*$BI89),0)</f>
        <v>0</v>
      </c>
      <c r="DK89" s="5">
        <f t="shared" si="3"/>
        <v>0</v>
      </c>
      <c r="DL89" s="5" t="str">
        <f>Capacity!H101</f>
        <v/>
      </c>
    </row>
    <row r="90" spans="2:116" x14ac:dyDescent="0.2">
      <c r="B90" s="68"/>
      <c r="C90" s="68" t="str">
        <f>ROW(A86)&amp;". "&amp;Capacity!B102</f>
        <v xml:space="preserve">86. </v>
      </c>
      <c r="D90" s="68">
        <f>'Capacity setup'!C97</f>
        <v>0</v>
      </c>
      <c r="E90" s="68">
        <f>'Capacity setup'!D97</f>
        <v>0</v>
      </c>
      <c r="F90" s="68">
        <f>'Capacity setup'!E97</f>
        <v>0</v>
      </c>
      <c r="H90" s="68">
        <f ca="1">IF(AND(SUMIF(Capacity_Resource,$D90,'Critical resources (hide)'!U$6:U$105)+SUMIF(Capacity_Resource,$E90,'Critical resources (hide)'!U$6:U$105)+SUMIF(Capacity_Resource,$F90,'Critical resources (hide)'!U$6:U$105)&gt;0,$E$1=2),0,1)</f>
        <v>1</v>
      </c>
      <c r="I90" s="68">
        <f ca="1">IF(AND(SUMIF(Capacity_Resource,$D90,'Critical resources (hide)'!V$6:V$105)+SUMIF(Capacity_Resource,$E90,'Critical resources (hide)'!V$6:V$105)+SUMIF(Capacity_Resource,$F90,'Critical resources (hide)'!V$6:V$105)&gt;0,$E$1=2),0,1)</f>
        <v>1</v>
      </c>
      <c r="J90" s="68">
        <f ca="1">IF(AND(SUMIF(Capacity_Resource,$D90,'Critical resources (hide)'!W$6:W$105)+SUMIF(Capacity_Resource,$E90,'Critical resources (hide)'!W$6:W$105)+SUMIF(Capacity_Resource,$F90,'Critical resources (hide)'!W$6:W$105)&gt;0,$E$1=2),0,1)</f>
        <v>1</v>
      </c>
      <c r="K90" s="68">
        <f ca="1">IF(AND(SUMIF(Capacity_Resource,$D90,'Critical resources (hide)'!X$6:X$105)+SUMIF(Capacity_Resource,$E90,'Critical resources (hide)'!X$6:X$105)+SUMIF(Capacity_Resource,$F90,'Critical resources (hide)'!X$6:X$105)&gt;0,$E$1=2),0,1)</f>
        <v>1</v>
      </c>
      <c r="L90" s="68">
        <f ca="1">IF(AND(SUMIF(Capacity_Resource,$D90,'Critical resources (hide)'!Y$6:Y$105)+SUMIF(Capacity_Resource,$E90,'Critical resources (hide)'!Y$6:Y$105)+SUMIF(Capacity_Resource,$F90,'Critical resources (hide)'!Y$6:Y$105)&gt;0,$E$1=2),0,1)</f>
        <v>1</v>
      </c>
      <c r="M90" s="68">
        <f ca="1">IF(AND(SUMIF(Capacity_Resource,$D90,'Critical resources (hide)'!Z$6:Z$105)+SUMIF(Capacity_Resource,$E90,'Critical resources (hide)'!Z$6:Z$105)+SUMIF(Capacity_Resource,$F90,'Critical resources (hide)'!Z$6:Z$105)&gt;0,$E$1=2),0,1)</f>
        <v>1</v>
      </c>
      <c r="N90" s="68">
        <f ca="1">IF(AND(SUMIF(Capacity_Resource,$D90,'Critical resources (hide)'!AA$6:AA$105)+SUMIF(Capacity_Resource,$E90,'Critical resources (hide)'!AA$6:AA$105)+SUMIF(Capacity_Resource,$F90,'Critical resources (hide)'!AA$6:AA$105)&gt;0,$E$1=2),0,1)</f>
        <v>1</v>
      </c>
      <c r="O90" s="68">
        <f ca="1">IF(AND(SUMIF(Capacity_Resource,$D90,'Critical resources (hide)'!AB$6:AB$105)+SUMIF(Capacity_Resource,$E90,'Critical resources (hide)'!AB$6:AB$105)+SUMIF(Capacity_Resource,$F90,'Critical resources (hide)'!AB$6:AB$105)&gt;0,$E$1=2),0,1)</f>
        <v>1</v>
      </c>
      <c r="P90" s="68">
        <f ca="1">IF(AND(SUMIF(Capacity_Resource,$D90,'Critical resources (hide)'!AC$6:AC$105)+SUMIF(Capacity_Resource,$E90,'Critical resources (hide)'!AC$6:AC$105)+SUMIF(Capacity_Resource,$F90,'Critical resources (hide)'!AC$6:AC$105)&gt;0,$E$1=2),0,1)</f>
        <v>1</v>
      </c>
      <c r="Q90" s="68">
        <f ca="1">IF(AND(SUMIF(Capacity_Resource,$D90,'Critical resources (hide)'!AD$6:AD$105)+SUMIF(Capacity_Resource,$E90,'Critical resources (hide)'!AD$6:AD$105)+SUMIF(Capacity_Resource,$F90,'Critical resources (hide)'!AD$6:AD$105)&gt;0,$E$1=2),0,1)</f>
        <v>1</v>
      </c>
      <c r="R90" s="68">
        <f ca="1">IF(AND(SUMIF(Capacity_Resource,$D90,'Critical resources (hide)'!AE$6:AE$105)+SUMIF(Capacity_Resource,$E90,'Critical resources (hide)'!AE$6:AE$105)+SUMIF(Capacity_Resource,$F90,'Critical resources (hide)'!AE$6:AE$105)&gt;0,$E$1=2),0,1)</f>
        <v>1</v>
      </c>
      <c r="S90" s="68">
        <f ca="1">IF(AND(SUMIF(Capacity_Resource,$D90,'Critical resources (hide)'!AF$6:AF$105)+SUMIF(Capacity_Resource,$E90,'Critical resources (hide)'!AF$6:AF$105)+SUMIF(Capacity_Resource,$F90,'Critical resources (hide)'!AF$6:AF$105)&gt;0,$E$1=2),0,1)</f>
        <v>1</v>
      </c>
      <c r="T90" s="68">
        <f ca="1">IF(AND(SUMIF(Capacity_Resource,$D90,'Critical resources (hide)'!AG$6:AG$105)+SUMIF(Capacity_Resource,$E90,'Critical resources (hide)'!AG$6:AG$105)+SUMIF(Capacity_Resource,$F90,'Critical resources (hide)'!AG$6:AG$105)&gt;0,$E$1=2),0,1)</f>
        <v>1</v>
      </c>
      <c r="U90" s="68">
        <f ca="1">IF(AND(SUMIF(Capacity_Resource,$D90,'Critical resources (hide)'!AH$6:AH$105)+SUMIF(Capacity_Resource,$E90,'Critical resources (hide)'!AH$6:AH$105)+SUMIF(Capacity_Resource,$F90,'Critical resources (hide)'!AH$6:AH$105)&gt;0,$E$1=2),0,1)</f>
        <v>1</v>
      </c>
      <c r="V90" s="68">
        <f ca="1">IF(AND(SUMIF(Capacity_Resource,$D90,'Critical resources (hide)'!AI$6:AI$105)+SUMIF(Capacity_Resource,$E90,'Critical resources (hide)'!AI$6:AI$105)+SUMIF(Capacity_Resource,$F90,'Critical resources (hide)'!AI$6:AI$105)&gt;0,$E$1=2),0,1)</f>
        <v>1</v>
      </c>
      <c r="W90" s="68">
        <f ca="1">IF(AND(SUMIF(Capacity_Resource,$D90,'Critical resources (hide)'!AJ$6:AJ$105)+SUMIF(Capacity_Resource,$E90,'Critical resources (hide)'!AJ$6:AJ$105)+SUMIF(Capacity_Resource,$F90,'Critical resources (hide)'!AJ$6:AJ$105)&gt;0,$E$1=2),0,1)</f>
        <v>1</v>
      </c>
      <c r="X90" s="68">
        <f ca="1">IF(AND(SUMIF(Capacity_Resource,$D90,'Critical resources (hide)'!AK$6:AK$105)+SUMIF(Capacity_Resource,$E90,'Critical resources (hide)'!AK$6:AK$105)+SUMIF(Capacity_Resource,$F90,'Critical resources (hide)'!AK$6:AK$105)&gt;0,$E$1=2),0,1)</f>
        <v>1</v>
      </c>
      <c r="Y90" s="68">
        <f ca="1">IF(AND(SUMIF(Capacity_Resource,$D90,'Critical resources (hide)'!AL$6:AL$105)+SUMIF(Capacity_Resource,$E90,'Critical resources (hide)'!AL$6:AL$105)+SUMIF(Capacity_Resource,$F90,'Critical resources (hide)'!AL$6:AL$105)&gt;0,$E$1=2),0,1)</f>
        <v>1</v>
      </c>
      <c r="Z90" s="68">
        <f ca="1">IF(AND(SUMIF(Capacity_Resource,$D90,'Critical resources (hide)'!AM$6:AM$105)+SUMIF(Capacity_Resource,$E90,'Critical resources (hide)'!AM$6:AM$105)+SUMIF(Capacity_Resource,$F90,'Critical resources (hide)'!AM$6:AM$105)&gt;0,$E$1=2),0,1)</f>
        <v>1</v>
      </c>
      <c r="AA90" s="68">
        <f ca="1">IF(AND(SUMIF(Capacity_Resource,$D90,'Critical resources (hide)'!AN$6:AN$105)+SUMIF(Capacity_Resource,$E90,'Critical resources (hide)'!AN$6:AN$105)+SUMIF(Capacity_Resource,$F90,'Critical resources (hide)'!AN$6:AN$105)&gt;0,$E$1=2),0,1)</f>
        <v>1</v>
      </c>
      <c r="AB90" s="68">
        <f ca="1">IF(AND(SUMIF(Capacity_Resource,$D90,'Critical resources (hide)'!AO$6:AO$105)+SUMIF(Capacity_Resource,$E90,'Critical resources (hide)'!AO$6:AO$105)+SUMIF(Capacity_Resource,$F90,'Critical resources (hide)'!AO$6:AO$105)&gt;0,$E$1=2),0,1)</f>
        <v>1</v>
      </c>
      <c r="AC90" s="68">
        <f ca="1">IF(AND(SUMIF(Capacity_Resource,$D90,'Critical resources (hide)'!AP$6:AP$105)+SUMIF(Capacity_Resource,$E90,'Critical resources (hide)'!AP$6:AP$105)+SUMIF(Capacity_Resource,$F90,'Critical resources (hide)'!AP$6:AP$105)&gt;0,$E$1=2),0,1)</f>
        <v>1</v>
      </c>
      <c r="AD90" s="68">
        <f ca="1">IF(AND(SUMIF(Capacity_Resource,$D90,'Critical resources (hide)'!AQ$6:AQ$105)+SUMIF(Capacity_Resource,$E90,'Critical resources (hide)'!AQ$6:AQ$105)+SUMIF(Capacity_Resource,$F90,'Critical resources (hide)'!AQ$6:AQ$105)&gt;0,$E$1=2),0,1)</f>
        <v>1</v>
      </c>
      <c r="AE90" s="68">
        <f ca="1">IF(AND(SUMIF(Capacity_Resource,$D90,'Critical resources (hide)'!AR$6:AR$105)+SUMIF(Capacity_Resource,$E90,'Critical resources (hide)'!AR$6:AR$105)+SUMIF(Capacity_Resource,$F90,'Critical resources (hide)'!AR$6:AR$105)&gt;0,$E$1=2),0,1)</f>
        <v>1</v>
      </c>
      <c r="AF90" s="68">
        <f ca="1">IF(AND(SUMIF(Capacity_Resource,$D90,'Critical resources (hide)'!AS$6:AS$105)+SUMIF(Capacity_Resource,$E90,'Critical resources (hide)'!AS$6:AS$105)+SUMIF(Capacity_Resource,$F90,'Critical resources (hide)'!AS$6:AS$105)&gt;0,$E$1=2),0,1)</f>
        <v>1</v>
      </c>
      <c r="AG90" s="68">
        <f ca="1">IF(AND(SUMIF(Capacity_Resource,$D90,'Critical resources (hide)'!AT$6:AT$105)+SUMIF(Capacity_Resource,$E90,'Critical resources (hide)'!AT$6:AT$105)+SUMIF(Capacity_Resource,$F90,'Critical resources (hide)'!AT$6:AT$105)&gt;0,$E$1=2),0,1)</f>
        <v>1</v>
      </c>
      <c r="AH90" s="68">
        <f ca="1">IF(AND(SUMIF(Capacity_Resource,$D90,'Critical resources (hide)'!AU$6:AU$105)+SUMIF(Capacity_Resource,$E90,'Critical resources (hide)'!AU$6:AU$105)+SUMIF(Capacity_Resource,$F90,'Critical resources (hide)'!AU$6:AU$105)&gt;0,$E$1=2),0,1)</f>
        <v>1</v>
      </c>
      <c r="AI90" s="68">
        <f ca="1">IF(AND(SUMIF(Capacity_Resource,$D90,'Critical resources (hide)'!AV$6:AV$105)+SUMIF(Capacity_Resource,$E90,'Critical resources (hide)'!AV$6:AV$105)+SUMIF(Capacity_Resource,$F90,'Critical resources (hide)'!AV$6:AV$105)&gt;0,$E$1=2),0,1)</f>
        <v>1</v>
      </c>
      <c r="AJ90" s="68">
        <f ca="1">IF(AND(SUMIF(Capacity_Resource,$D90,'Critical resources (hide)'!AW$6:AW$105)+SUMIF(Capacity_Resource,$E90,'Critical resources (hide)'!AW$6:AW$105)+SUMIF(Capacity_Resource,$F90,'Critical resources (hide)'!AW$6:AW$105)&gt;0,$E$1=2),0,1)</f>
        <v>1</v>
      </c>
      <c r="AK90" s="68">
        <f ca="1">IF(AND(SUMIF(Capacity_Resource,$D90,'Critical resources (hide)'!AX$6:AX$105)+SUMIF(Capacity_Resource,$E90,'Critical resources (hide)'!AX$6:AX$105)+SUMIF(Capacity_Resource,$F90,'Critical resources (hide)'!AX$6:AX$105)&gt;0,$E$1=2),0,1)</f>
        <v>1</v>
      </c>
      <c r="AL90" s="68">
        <f ca="1">IF(AND(SUMIF(Capacity_Resource,$D90,'Critical resources (hide)'!AY$6:AY$105)+SUMIF(Capacity_Resource,$E90,'Critical resources (hide)'!AY$6:AY$105)+SUMIF(Capacity_Resource,$F90,'Critical resources (hide)'!AY$6:AY$105)&gt;0,$E$1=2),0,1)</f>
        <v>1</v>
      </c>
      <c r="AM90" s="68">
        <f ca="1">IF(AND(SUMIF(Capacity_Resource,$D90,'Critical resources (hide)'!AZ$6:AZ$105)+SUMIF(Capacity_Resource,$E90,'Critical resources (hide)'!AZ$6:AZ$105)+SUMIF(Capacity_Resource,$F90,'Critical resources (hide)'!AZ$6:AZ$105)&gt;0,$E$1=2),0,1)</f>
        <v>1</v>
      </c>
      <c r="AN90" s="68">
        <f ca="1">IF(AND(SUMIF(Capacity_Resource,$D90,'Critical resources (hide)'!BA$6:BA$105)+SUMIF(Capacity_Resource,$E90,'Critical resources (hide)'!BA$6:BA$105)+SUMIF(Capacity_Resource,$F90,'Critical resources (hide)'!BA$6:BA$105)&gt;0,$E$1=2),0,1)</f>
        <v>1</v>
      </c>
      <c r="AO90" s="68">
        <f ca="1">IF(AND(SUMIF(Capacity_Resource,$D90,'Critical resources (hide)'!BB$6:BB$105)+SUMIF(Capacity_Resource,$E90,'Critical resources (hide)'!BB$6:BB$105)+SUMIF(Capacity_Resource,$F90,'Critical resources (hide)'!BB$6:BB$105)&gt;0,$E$1=2),0,1)</f>
        <v>1</v>
      </c>
      <c r="AP90" s="68">
        <f ca="1">IF(AND(SUMIF(Capacity_Resource,$D90,'Critical resources (hide)'!BC$6:BC$105)+SUMIF(Capacity_Resource,$E90,'Critical resources (hide)'!BC$6:BC$105)+SUMIF(Capacity_Resource,$F90,'Critical resources (hide)'!BC$6:BC$105)&gt;0,$E$1=2),0,1)</f>
        <v>1</v>
      </c>
      <c r="AQ90" s="68">
        <f ca="1">IF(AND(SUMIF(Capacity_Resource,$D90,'Critical resources (hide)'!BD$6:BD$105)+SUMIF(Capacity_Resource,$E90,'Critical resources (hide)'!BD$6:BD$105)+SUMIF(Capacity_Resource,$F90,'Critical resources (hide)'!BD$6:BD$105)&gt;0,$E$1=2),0,1)</f>
        <v>1</v>
      </c>
      <c r="AR90" s="68">
        <f ca="1">IF(AND(SUMIF(Capacity_Resource,$D90,'Critical resources (hide)'!BE$6:BE$105)+SUMIF(Capacity_Resource,$E90,'Critical resources (hide)'!BE$6:BE$105)+SUMIF(Capacity_Resource,$F90,'Critical resources (hide)'!BE$6:BE$105)&gt;0,$E$1=2),0,1)</f>
        <v>1</v>
      </c>
      <c r="AS90" s="68">
        <f ca="1">IF(AND(SUMIF(Capacity_Resource,$D90,'Critical resources (hide)'!BF$6:BF$105)+SUMIF(Capacity_Resource,$E90,'Critical resources (hide)'!BF$6:BF$105)+SUMIF(Capacity_Resource,$F90,'Critical resources (hide)'!BF$6:BF$105)&gt;0,$E$1=2),0,1)</f>
        <v>1</v>
      </c>
      <c r="AT90" s="68">
        <f ca="1">IF(AND(SUMIF(Capacity_Resource,$D90,'Critical resources (hide)'!BG$6:BG$105)+SUMIF(Capacity_Resource,$E90,'Critical resources (hide)'!BG$6:BG$105)+SUMIF(Capacity_Resource,$F90,'Critical resources (hide)'!BG$6:BG$105)&gt;0,$E$1=2),0,1)</f>
        <v>1</v>
      </c>
      <c r="AU90" s="68">
        <f ca="1">IF(AND(SUMIF(Capacity_Resource,$D90,'Critical resources (hide)'!BH$6:BH$105)+SUMIF(Capacity_Resource,$E90,'Critical resources (hide)'!BH$6:BH$105)+SUMIF(Capacity_Resource,$F90,'Critical resources (hide)'!BH$6:BH$105)&gt;0,$E$1=2),0,1)</f>
        <v>1</v>
      </c>
      <c r="AV90" s="68">
        <f ca="1">IF(AND(SUMIF(Capacity_Resource,$D90,'Critical resources (hide)'!BI$6:BI$105)+SUMIF(Capacity_Resource,$E90,'Critical resources (hide)'!BI$6:BI$105)+SUMIF(Capacity_Resource,$F90,'Critical resources (hide)'!BI$6:BI$105)&gt;0,$E$1=2),0,1)</f>
        <v>1</v>
      </c>
      <c r="AW90" s="68">
        <f ca="1">IF(AND(SUMIF(Capacity_Resource,$D90,'Critical resources (hide)'!BJ$6:BJ$105)+SUMIF(Capacity_Resource,$E90,'Critical resources (hide)'!BJ$6:BJ$105)+SUMIF(Capacity_Resource,$F90,'Critical resources (hide)'!BJ$6:BJ$105)&gt;0,$E$1=2),0,1)</f>
        <v>1</v>
      </c>
      <c r="AX90" s="68">
        <f ca="1">IF(AND(SUMIF(Capacity_Resource,$D90,'Critical resources (hide)'!BK$6:BK$105)+SUMIF(Capacity_Resource,$E90,'Critical resources (hide)'!BK$6:BK$105)+SUMIF(Capacity_Resource,$F90,'Critical resources (hide)'!BK$6:BK$105)&gt;0,$E$1=2),0,1)</f>
        <v>1</v>
      </c>
      <c r="AY90" s="68">
        <f ca="1">IF(AND(SUMIF(Capacity_Resource,$D90,'Critical resources (hide)'!BL$6:BL$105)+SUMIF(Capacity_Resource,$E90,'Critical resources (hide)'!BL$6:BL$105)+SUMIF(Capacity_Resource,$F90,'Critical resources (hide)'!BL$6:BL$105)&gt;0,$E$1=2),0,1)</f>
        <v>1</v>
      </c>
      <c r="AZ90" s="68">
        <f ca="1">IF(AND(SUMIF(Capacity_Resource,$D90,'Critical resources (hide)'!BM$6:BM$105)+SUMIF(Capacity_Resource,$E90,'Critical resources (hide)'!BM$6:BM$105)+SUMIF(Capacity_Resource,$F90,'Critical resources (hide)'!BM$6:BM$105)&gt;0,$E$1=2),0,1)</f>
        <v>1</v>
      </c>
      <c r="BA90" s="68">
        <f ca="1">IF(AND(SUMIF(Capacity_Resource,$D90,'Critical resources (hide)'!BN$6:BN$105)+SUMIF(Capacity_Resource,$E90,'Critical resources (hide)'!BN$6:BN$105)+SUMIF(Capacity_Resource,$F90,'Critical resources (hide)'!BN$6:BN$105)&gt;0,$E$1=2),0,1)</f>
        <v>1</v>
      </c>
      <c r="BB90" s="68">
        <f ca="1">IF(AND(SUMIF(Capacity_Resource,$D90,'Critical resources (hide)'!BO$6:BO$105)+SUMIF(Capacity_Resource,$E90,'Critical resources (hide)'!BO$6:BO$105)+SUMIF(Capacity_Resource,$F90,'Critical resources (hide)'!BO$6:BO$105)&gt;0,$E$1=2),0,1)</f>
        <v>1</v>
      </c>
      <c r="BC90" s="68">
        <f ca="1">IF(AND(SUMIF(Capacity_Resource,$D90,'Critical resources (hide)'!BP$6:BP$105)+SUMIF(Capacity_Resource,$E90,'Critical resources (hide)'!BP$6:BP$105)+SUMIF(Capacity_Resource,$F90,'Critical resources (hide)'!BP$6:BP$105)&gt;0,$E$1=2),0,1)</f>
        <v>1</v>
      </c>
      <c r="BD90" s="68">
        <f ca="1">IF(AND(SUMIF(Capacity_Resource,$D90,'Critical resources (hide)'!BQ$6:BQ$105)+SUMIF(Capacity_Resource,$E90,'Critical resources (hide)'!BQ$6:BQ$105)+SUMIF(Capacity_Resource,$F90,'Critical resources (hide)'!BQ$6:BQ$105)&gt;0,$E$1=2),0,1)</f>
        <v>1</v>
      </c>
      <c r="BE90" s="68">
        <f ca="1">IF(AND(SUMIF(Capacity_Resource,$D90,'Critical resources (hide)'!BR$6:BR$105)+SUMIF(Capacity_Resource,$E90,'Critical resources (hide)'!BR$6:BR$105)+SUMIF(Capacity_Resource,$F90,'Critical resources (hide)'!BR$6:BR$105)&gt;0,$E$1=2),0,1)</f>
        <v>1</v>
      </c>
      <c r="BF90" s="68">
        <f ca="1">IF(AND(SUMIF(Capacity_Resource,$D90,'Critical resources (hide)'!BS$6:BS$105)+SUMIF(Capacity_Resource,$E90,'Critical resources (hide)'!BS$6:BS$105)+SUMIF(Capacity_Resource,$F90,'Critical resources (hide)'!BS$6:BS$105)&gt;0,$E$1=2),0,1)</f>
        <v>1</v>
      </c>
      <c r="BG90" s="68">
        <f ca="1">IF(AND(SUMIF(Capacity_Resource,$D90,'Critical resources (hide)'!BT$6:BT$105)+SUMIF(Capacity_Resource,$E90,'Critical resources (hide)'!BT$6:BT$105)+SUMIF(Capacity_Resource,$F90,'Critical resources (hide)'!BT$6:BT$105)&gt;0,$E$1=2),0,1)</f>
        <v>1</v>
      </c>
      <c r="BH90" s="68">
        <f>IF(ROW(C86)&lt;=Capacity!$A$16,IF('Capacity summary'!$D$14="No",SUM(H90:BG90),'Capacity summary'!$E209),0)</f>
        <v>0</v>
      </c>
      <c r="BI90" s="5" t="str">
        <f>IF(BH90&gt;0,IF(BH90&lt;Capacity!E102,Capacity!F102,Capacity!H102/'Capacity calculation (hide)'!BH90),"")</f>
        <v/>
      </c>
      <c r="BK90" s="319">
        <f>IF($BI90&lt;&gt;"",IF('Capacity summary'!$D$14="Yes",IF(COUNTBLANK('Capacity summary'!$H209:$BG209)&lt;52,IF('Capacity summary'!H209&lt;&gt;"",$BI90*H90,0),H90*$BI90),H90*$BI90),0)</f>
        <v>0</v>
      </c>
      <c r="BL90" s="319">
        <f>IF($BI90&lt;&gt;"",IF('Capacity summary'!$D$14="Yes",IF(COUNTBLANK('Capacity summary'!$H209:$BG209)&lt;52,IF('Capacity summary'!I209&lt;&gt;"",$BI90*I90,0),I90*$BI90),I90*$BI90),0)</f>
        <v>0</v>
      </c>
      <c r="BM90" s="319">
        <f>IF($BI90&lt;&gt;"",IF('Capacity summary'!$D$14="Yes",IF(COUNTBLANK('Capacity summary'!$H209:$BG209)&lt;52,IF('Capacity summary'!J209&lt;&gt;"",$BI90*J90,0),J90*$BI90),J90*$BI90),0)</f>
        <v>0</v>
      </c>
      <c r="BN90" s="319">
        <f>IF($BI90&lt;&gt;"",IF('Capacity summary'!$D$14="Yes",IF(COUNTBLANK('Capacity summary'!$H209:$BG209)&lt;52,IF('Capacity summary'!K209&lt;&gt;"",$BI90*K90,0),K90*$BI90),K90*$BI90),0)</f>
        <v>0</v>
      </c>
      <c r="BO90" s="319">
        <f>IF($BI90&lt;&gt;"",IF('Capacity summary'!$D$14="Yes",IF(COUNTBLANK('Capacity summary'!$H209:$BG209)&lt;52,IF('Capacity summary'!L209&lt;&gt;"",$BI90*L90,0),L90*$BI90),L90*$BI90),0)</f>
        <v>0</v>
      </c>
      <c r="BP90" s="319">
        <f>IF($BI90&lt;&gt;"",IF('Capacity summary'!$D$14="Yes",IF(COUNTBLANK('Capacity summary'!$H209:$BG209)&lt;52,IF('Capacity summary'!M209&lt;&gt;"",$BI90*M90,0),M90*$BI90),M90*$BI90),0)</f>
        <v>0</v>
      </c>
      <c r="BQ90" s="319">
        <f>IF($BI90&lt;&gt;"",IF('Capacity summary'!$D$14="Yes",IF(COUNTBLANK('Capacity summary'!$H209:$BG209)&lt;52,IF('Capacity summary'!N209&lt;&gt;"",$BI90*N90,0),N90*$BI90),N90*$BI90),0)</f>
        <v>0</v>
      </c>
      <c r="BR90" s="319">
        <f>IF($BI90&lt;&gt;"",IF('Capacity summary'!$D$14="Yes",IF(COUNTBLANK('Capacity summary'!$H209:$BG209)&lt;52,IF('Capacity summary'!O209&lt;&gt;"",$BI90*O90,0),O90*$BI90),O90*$BI90),0)</f>
        <v>0</v>
      </c>
      <c r="BS90" s="319">
        <f>IF($BI90&lt;&gt;"",IF('Capacity summary'!$D$14="Yes",IF(COUNTBLANK('Capacity summary'!$H209:$BG209)&lt;52,IF('Capacity summary'!P209&lt;&gt;"",$BI90*P90,0),P90*$BI90),P90*$BI90),0)</f>
        <v>0</v>
      </c>
      <c r="BT90" s="319">
        <f>IF($BI90&lt;&gt;"",IF('Capacity summary'!$D$14="Yes",IF(COUNTBLANK('Capacity summary'!$H209:$BG209)&lt;52,IF('Capacity summary'!Q209&lt;&gt;"",$BI90*Q90,0),Q90*$BI90),Q90*$BI90),0)</f>
        <v>0</v>
      </c>
      <c r="BU90" s="319">
        <f>IF($BI90&lt;&gt;"",IF('Capacity summary'!$D$14="Yes",IF(COUNTBLANK('Capacity summary'!$H209:$BG209)&lt;52,IF('Capacity summary'!R209&lt;&gt;"",$BI90*R90,0),R90*$BI90),R90*$BI90),0)</f>
        <v>0</v>
      </c>
      <c r="BV90" s="319">
        <f>IF($BI90&lt;&gt;"",IF('Capacity summary'!$D$14="Yes",IF(COUNTBLANK('Capacity summary'!$H209:$BG209)&lt;52,IF('Capacity summary'!S209&lt;&gt;"",$BI90*S90,0),S90*$BI90),S90*$BI90),0)</f>
        <v>0</v>
      </c>
      <c r="BW90" s="319">
        <f>IF($BI90&lt;&gt;"",IF('Capacity summary'!$D$14="Yes",IF(COUNTBLANK('Capacity summary'!$H209:$BG209)&lt;52,IF('Capacity summary'!T209&lt;&gt;"",$BI90*T90,0),T90*$BI90),T90*$BI90),0)</f>
        <v>0</v>
      </c>
      <c r="BX90" s="319">
        <f>IF($BI90&lt;&gt;"",IF('Capacity summary'!$D$14="Yes",IF(COUNTBLANK('Capacity summary'!$H209:$BG209)&lt;52,IF('Capacity summary'!U209&lt;&gt;"",$BI90*U90,0),U90*$BI90),U90*$BI90),0)</f>
        <v>0</v>
      </c>
      <c r="BY90" s="319">
        <f>IF($BI90&lt;&gt;"",IF('Capacity summary'!$D$14="Yes",IF(COUNTBLANK('Capacity summary'!$H209:$BG209)&lt;52,IF('Capacity summary'!V209&lt;&gt;"",$BI90*V90,0),V90*$BI90),V90*$BI90),0)</f>
        <v>0</v>
      </c>
      <c r="BZ90" s="319">
        <f>IF($BI90&lt;&gt;"",IF('Capacity summary'!$D$14="Yes",IF(COUNTBLANK('Capacity summary'!$H209:$BG209)&lt;52,IF('Capacity summary'!W209&lt;&gt;"",$BI90*W90,0),W90*$BI90),W90*$BI90),0)</f>
        <v>0</v>
      </c>
      <c r="CA90" s="319">
        <f>IF($BI90&lt;&gt;"",IF('Capacity summary'!$D$14="Yes",IF(COUNTBLANK('Capacity summary'!$H209:$BG209)&lt;52,IF('Capacity summary'!X209&lt;&gt;"",$BI90*X90,0),X90*$BI90),X90*$BI90),0)</f>
        <v>0</v>
      </c>
      <c r="CB90" s="319">
        <f>IF($BI90&lt;&gt;"",IF('Capacity summary'!$D$14="Yes",IF(COUNTBLANK('Capacity summary'!$H209:$BG209)&lt;52,IF('Capacity summary'!Y209&lt;&gt;"",$BI90*Y90,0),Y90*$BI90),Y90*$BI90),0)</f>
        <v>0</v>
      </c>
      <c r="CC90" s="319">
        <f>IF($BI90&lt;&gt;"",IF('Capacity summary'!$D$14="Yes",IF(COUNTBLANK('Capacity summary'!$H209:$BG209)&lt;52,IF('Capacity summary'!Z209&lt;&gt;"",$BI90*Z90,0),Z90*$BI90),Z90*$BI90),0)</f>
        <v>0</v>
      </c>
      <c r="CD90" s="319">
        <f>IF($BI90&lt;&gt;"",IF('Capacity summary'!$D$14="Yes",IF(COUNTBLANK('Capacity summary'!$H209:$BG209)&lt;52,IF('Capacity summary'!AA209&lt;&gt;"",$BI90*AA90,0),AA90*$BI90),AA90*$BI90),0)</f>
        <v>0</v>
      </c>
      <c r="CE90" s="319">
        <f>IF($BI90&lt;&gt;"",IF('Capacity summary'!$D$14="Yes",IF(COUNTBLANK('Capacity summary'!$H209:$BG209)&lt;52,IF('Capacity summary'!AB209&lt;&gt;"",$BI90*AB90,0),AB90*$BI90),AB90*$BI90),0)</f>
        <v>0</v>
      </c>
      <c r="CF90" s="319">
        <f>IF($BI90&lt;&gt;"",IF('Capacity summary'!$D$14="Yes",IF(COUNTBLANK('Capacity summary'!$H209:$BG209)&lt;52,IF('Capacity summary'!AC209&lt;&gt;"",$BI90*AC90,0),AC90*$BI90),AC90*$BI90),0)</f>
        <v>0</v>
      </c>
      <c r="CG90" s="319">
        <f>IF($BI90&lt;&gt;"",IF('Capacity summary'!$D$14="Yes",IF(COUNTBLANK('Capacity summary'!$H209:$BG209)&lt;52,IF('Capacity summary'!AD209&lt;&gt;"",$BI90*AD90,0),AD90*$BI90),AD90*$BI90),0)</f>
        <v>0</v>
      </c>
      <c r="CH90" s="319">
        <f>IF($BI90&lt;&gt;"",IF('Capacity summary'!$D$14="Yes",IF(COUNTBLANK('Capacity summary'!$H209:$BG209)&lt;52,IF('Capacity summary'!AE209&lt;&gt;"",$BI90*AE90,0),AE90*$BI90),AE90*$BI90),0)</f>
        <v>0</v>
      </c>
      <c r="CI90" s="319">
        <f>IF($BI90&lt;&gt;"",IF('Capacity summary'!$D$14="Yes",IF(COUNTBLANK('Capacity summary'!$H209:$BG209)&lt;52,IF('Capacity summary'!AF209&lt;&gt;"",$BI90*AF90,0),AF90*$BI90),AF90*$BI90),0)</f>
        <v>0</v>
      </c>
      <c r="CJ90" s="319">
        <f>IF($BI90&lt;&gt;"",IF('Capacity summary'!$D$14="Yes",IF(COUNTBLANK('Capacity summary'!$H209:$BG209)&lt;52,IF('Capacity summary'!AG209&lt;&gt;"",$BI90*AG90,0),AG90*$BI90),AG90*$BI90),0)</f>
        <v>0</v>
      </c>
      <c r="CK90" s="319">
        <f>IF($BI90&lt;&gt;"",IF('Capacity summary'!$D$14="Yes",IF(COUNTBLANK('Capacity summary'!$H209:$BG209)&lt;52,IF('Capacity summary'!AH209&lt;&gt;"",$BI90*AH90,0),AH90*$BI90),AH90*$BI90),0)</f>
        <v>0</v>
      </c>
      <c r="CL90" s="319">
        <f>IF($BI90&lt;&gt;"",IF('Capacity summary'!$D$14="Yes",IF(COUNTBLANK('Capacity summary'!$H209:$BG209)&lt;52,IF('Capacity summary'!AI209&lt;&gt;"",$BI90*AI90,0),AI90*$BI90),AI90*$BI90),0)</f>
        <v>0</v>
      </c>
      <c r="CM90" s="319">
        <f>IF($BI90&lt;&gt;"",IF('Capacity summary'!$D$14="Yes",IF(COUNTBLANK('Capacity summary'!$H209:$BG209)&lt;52,IF('Capacity summary'!AJ209&lt;&gt;"",$BI90*AJ90,0),AJ90*$BI90),AJ90*$BI90),0)</f>
        <v>0</v>
      </c>
      <c r="CN90" s="319">
        <f>IF($BI90&lt;&gt;"",IF('Capacity summary'!$D$14="Yes",IF(COUNTBLANK('Capacity summary'!$H209:$BG209)&lt;52,IF('Capacity summary'!AK209&lt;&gt;"",$BI90*AK90,0),AK90*$BI90),AK90*$BI90),0)</f>
        <v>0</v>
      </c>
      <c r="CO90" s="319">
        <f>IF($BI90&lt;&gt;"",IF('Capacity summary'!$D$14="Yes",IF(COUNTBLANK('Capacity summary'!$H209:$BG209)&lt;52,IF('Capacity summary'!AL209&lt;&gt;"",$BI90*AL90,0),AL90*$BI90),AL90*$BI90),0)</f>
        <v>0</v>
      </c>
      <c r="CP90" s="319">
        <f>IF($BI90&lt;&gt;"",IF('Capacity summary'!$D$14="Yes",IF(COUNTBLANK('Capacity summary'!$H209:$BG209)&lt;52,IF('Capacity summary'!AM209&lt;&gt;"",$BI90*AM90,0),AM90*$BI90),AM90*$BI90),0)</f>
        <v>0</v>
      </c>
      <c r="CQ90" s="319">
        <f>IF($BI90&lt;&gt;"",IF('Capacity summary'!$D$14="Yes",IF(COUNTBLANK('Capacity summary'!$H209:$BG209)&lt;52,IF('Capacity summary'!AN209&lt;&gt;"",$BI90*AN90,0),AN90*$BI90),AN90*$BI90),0)</f>
        <v>0</v>
      </c>
      <c r="CR90" s="319">
        <f>IF($BI90&lt;&gt;"",IF('Capacity summary'!$D$14="Yes",IF(COUNTBLANK('Capacity summary'!$H209:$BG209)&lt;52,IF('Capacity summary'!AO209&lt;&gt;"",$BI90*AO90,0),AO90*$BI90),AO90*$BI90),0)</f>
        <v>0</v>
      </c>
      <c r="CS90" s="319">
        <f>IF($BI90&lt;&gt;"",IF('Capacity summary'!$D$14="Yes",IF(COUNTBLANK('Capacity summary'!$H209:$BG209)&lt;52,IF('Capacity summary'!AP209&lt;&gt;"",$BI90*AP90,0),AP90*$BI90),AP90*$BI90),0)</f>
        <v>0</v>
      </c>
      <c r="CT90" s="319">
        <f>IF($BI90&lt;&gt;"",IF('Capacity summary'!$D$14="Yes",IF(COUNTBLANK('Capacity summary'!$H209:$BG209)&lt;52,IF('Capacity summary'!AQ209&lt;&gt;"",$BI90*AQ90,0),AQ90*$BI90),AQ90*$BI90),0)</f>
        <v>0</v>
      </c>
      <c r="CU90" s="319">
        <f>IF($BI90&lt;&gt;"",IF('Capacity summary'!$D$14="Yes",IF(COUNTBLANK('Capacity summary'!$H209:$BG209)&lt;52,IF('Capacity summary'!AR209&lt;&gt;"",$BI90*AR90,0),AR90*$BI90),AR90*$BI90),0)</f>
        <v>0</v>
      </c>
      <c r="CV90" s="319">
        <f>IF($BI90&lt;&gt;"",IF('Capacity summary'!$D$14="Yes",IF(COUNTBLANK('Capacity summary'!$H209:$BG209)&lt;52,IF('Capacity summary'!AS209&lt;&gt;"",$BI90*AS90,0),AS90*$BI90),AS90*$BI90),0)</f>
        <v>0</v>
      </c>
      <c r="CW90" s="319">
        <f>IF($BI90&lt;&gt;"",IF('Capacity summary'!$D$14="Yes",IF(COUNTBLANK('Capacity summary'!$H209:$BG209)&lt;52,IF('Capacity summary'!AT209&lt;&gt;"",$BI90*AT90,0),AT90*$BI90),AT90*$BI90),0)</f>
        <v>0</v>
      </c>
      <c r="CX90" s="319">
        <f>IF($BI90&lt;&gt;"",IF('Capacity summary'!$D$14="Yes",IF(COUNTBLANK('Capacity summary'!$H209:$BG209)&lt;52,IF('Capacity summary'!AU209&lt;&gt;"",$BI90*AU90,0),AU90*$BI90),AU90*$BI90),0)</f>
        <v>0</v>
      </c>
      <c r="CY90" s="319">
        <f>IF($BI90&lt;&gt;"",IF('Capacity summary'!$D$14="Yes",IF(COUNTBLANK('Capacity summary'!$H209:$BG209)&lt;52,IF('Capacity summary'!AV209&lt;&gt;"",$BI90*AV90,0),AV90*$BI90),AV90*$BI90),0)</f>
        <v>0</v>
      </c>
      <c r="CZ90" s="319">
        <f>IF($BI90&lt;&gt;"",IF('Capacity summary'!$D$14="Yes",IF(COUNTBLANK('Capacity summary'!$H209:$BG209)&lt;52,IF('Capacity summary'!AW209&lt;&gt;"",$BI90*AW90,0),AW90*$BI90),AW90*$BI90),0)</f>
        <v>0</v>
      </c>
      <c r="DA90" s="319">
        <f>IF($BI90&lt;&gt;"",IF('Capacity summary'!$D$14="Yes",IF(COUNTBLANK('Capacity summary'!$H209:$BG209)&lt;52,IF('Capacity summary'!AX209&lt;&gt;"",$BI90*AX90,0),AX90*$BI90),AX90*$BI90),0)</f>
        <v>0</v>
      </c>
      <c r="DB90" s="319">
        <f>IF($BI90&lt;&gt;"",IF('Capacity summary'!$D$14="Yes",IF(COUNTBLANK('Capacity summary'!$H209:$BG209)&lt;52,IF('Capacity summary'!AY209&lt;&gt;"",$BI90*AY90,0),AY90*$BI90),AY90*$BI90),0)</f>
        <v>0</v>
      </c>
      <c r="DC90" s="319">
        <f>IF($BI90&lt;&gt;"",IF('Capacity summary'!$D$14="Yes",IF(COUNTBLANK('Capacity summary'!$H209:$BG209)&lt;52,IF('Capacity summary'!AZ209&lt;&gt;"",$BI90*AZ90,0),AZ90*$BI90),AZ90*$BI90),0)</f>
        <v>0</v>
      </c>
      <c r="DD90" s="319">
        <f>IF($BI90&lt;&gt;"",IF('Capacity summary'!$D$14="Yes",IF(COUNTBLANK('Capacity summary'!$H209:$BG209)&lt;52,IF('Capacity summary'!BA209&lt;&gt;"",$BI90*BA90,0),BA90*$BI90),BA90*$BI90),0)</f>
        <v>0</v>
      </c>
      <c r="DE90" s="319">
        <f>IF($BI90&lt;&gt;"",IF('Capacity summary'!$D$14="Yes",IF(COUNTBLANK('Capacity summary'!$H209:$BG209)&lt;52,IF('Capacity summary'!BB209&lt;&gt;"",$BI90*BB90,0),BB90*$BI90),BB90*$BI90),0)</f>
        <v>0</v>
      </c>
      <c r="DF90" s="319">
        <f>IF($BI90&lt;&gt;"",IF('Capacity summary'!$D$14="Yes",IF(COUNTBLANK('Capacity summary'!$H209:$BG209)&lt;52,IF('Capacity summary'!BC209&lt;&gt;"",$BI90*BC90,0),BC90*$BI90),BC90*$BI90),0)</f>
        <v>0</v>
      </c>
      <c r="DG90" s="319">
        <f>IF($BI90&lt;&gt;"",IF('Capacity summary'!$D$14="Yes",IF(COUNTBLANK('Capacity summary'!$H209:$BG209)&lt;52,IF('Capacity summary'!BD209&lt;&gt;"",$BI90*BD90,0),BD90*$BI90),BD90*$BI90),0)</f>
        <v>0</v>
      </c>
      <c r="DH90" s="319">
        <f>IF($BI90&lt;&gt;"",IF('Capacity summary'!$D$14="Yes",IF(COUNTBLANK('Capacity summary'!$H209:$BG209)&lt;52,IF('Capacity summary'!BE209&lt;&gt;"",$BI90*BE90,0),BE90*$BI90),BE90*$BI90),0)</f>
        <v>0</v>
      </c>
      <c r="DI90" s="319">
        <f>IF($BI90&lt;&gt;"",IF('Capacity summary'!$D$14="Yes",IF(COUNTBLANK('Capacity summary'!$H209:$BG209)&lt;52,IF('Capacity summary'!BF209&lt;&gt;"",$BI90*BF90,0),BF90*$BI90),BF90*$BI90),0)</f>
        <v>0</v>
      </c>
      <c r="DJ90" s="319">
        <f>IF($BI90&lt;&gt;"",IF('Capacity summary'!$D$14="Yes",IF(COUNTBLANK('Capacity summary'!$H209:$BG209)&lt;52,IF('Capacity summary'!BG209&lt;&gt;"",$BI90*BG90,0),BG90*$BI90),BG90*$BI90),0)</f>
        <v>0</v>
      </c>
      <c r="DK90" s="5">
        <f t="shared" si="3"/>
        <v>0</v>
      </c>
      <c r="DL90" s="5" t="str">
        <f>Capacity!H102</f>
        <v/>
      </c>
    </row>
    <row r="91" spans="2:116" x14ac:dyDescent="0.2">
      <c r="B91" s="68"/>
      <c r="C91" s="68" t="str">
        <f>ROW(A87)&amp;". "&amp;Capacity!B103</f>
        <v xml:space="preserve">87. </v>
      </c>
      <c r="D91" s="68">
        <f>'Capacity setup'!C98</f>
        <v>0</v>
      </c>
      <c r="E91" s="68">
        <f>'Capacity setup'!D98</f>
        <v>0</v>
      </c>
      <c r="F91" s="68">
        <f>'Capacity setup'!E98</f>
        <v>0</v>
      </c>
      <c r="H91" s="68">
        <f ca="1">IF(AND(SUMIF(Capacity_Resource,$D91,'Critical resources (hide)'!U$6:U$105)+SUMIF(Capacity_Resource,$E91,'Critical resources (hide)'!U$6:U$105)+SUMIF(Capacity_Resource,$F91,'Critical resources (hide)'!U$6:U$105)&gt;0,$E$1=2),0,1)</f>
        <v>1</v>
      </c>
      <c r="I91" s="68">
        <f ca="1">IF(AND(SUMIF(Capacity_Resource,$D91,'Critical resources (hide)'!V$6:V$105)+SUMIF(Capacity_Resource,$E91,'Critical resources (hide)'!V$6:V$105)+SUMIF(Capacity_Resource,$F91,'Critical resources (hide)'!V$6:V$105)&gt;0,$E$1=2),0,1)</f>
        <v>1</v>
      </c>
      <c r="J91" s="68">
        <f ca="1">IF(AND(SUMIF(Capacity_Resource,$D91,'Critical resources (hide)'!W$6:W$105)+SUMIF(Capacity_Resource,$E91,'Critical resources (hide)'!W$6:W$105)+SUMIF(Capacity_Resource,$F91,'Critical resources (hide)'!W$6:W$105)&gt;0,$E$1=2),0,1)</f>
        <v>1</v>
      </c>
      <c r="K91" s="68">
        <f ca="1">IF(AND(SUMIF(Capacity_Resource,$D91,'Critical resources (hide)'!X$6:X$105)+SUMIF(Capacity_Resource,$E91,'Critical resources (hide)'!X$6:X$105)+SUMIF(Capacity_Resource,$F91,'Critical resources (hide)'!X$6:X$105)&gt;0,$E$1=2),0,1)</f>
        <v>1</v>
      </c>
      <c r="L91" s="68">
        <f ca="1">IF(AND(SUMIF(Capacity_Resource,$D91,'Critical resources (hide)'!Y$6:Y$105)+SUMIF(Capacity_Resource,$E91,'Critical resources (hide)'!Y$6:Y$105)+SUMIF(Capacity_Resource,$F91,'Critical resources (hide)'!Y$6:Y$105)&gt;0,$E$1=2),0,1)</f>
        <v>1</v>
      </c>
      <c r="M91" s="68">
        <f ca="1">IF(AND(SUMIF(Capacity_Resource,$D91,'Critical resources (hide)'!Z$6:Z$105)+SUMIF(Capacity_Resource,$E91,'Critical resources (hide)'!Z$6:Z$105)+SUMIF(Capacity_Resource,$F91,'Critical resources (hide)'!Z$6:Z$105)&gt;0,$E$1=2),0,1)</f>
        <v>1</v>
      </c>
      <c r="N91" s="68">
        <f ca="1">IF(AND(SUMIF(Capacity_Resource,$D91,'Critical resources (hide)'!AA$6:AA$105)+SUMIF(Capacity_Resource,$E91,'Critical resources (hide)'!AA$6:AA$105)+SUMIF(Capacity_Resource,$F91,'Critical resources (hide)'!AA$6:AA$105)&gt;0,$E$1=2),0,1)</f>
        <v>1</v>
      </c>
      <c r="O91" s="68">
        <f ca="1">IF(AND(SUMIF(Capacity_Resource,$D91,'Critical resources (hide)'!AB$6:AB$105)+SUMIF(Capacity_Resource,$E91,'Critical resources (hide)'!AB$6:AB$105)+SUMIF(Capacity_Resource,$F91,'Critical resources (hide)'!AB$6:AB$105)&gt;0,$E$1=2),0,1)</f>
        <v>1</v>
      </c>
      <c r="P91" s="68">
        <f ca="1">IF(AND(SUMIF(Capacity_Resource,$D91,'Critical resources (hide)'!AC$6:AC$105)+SUMIF(Capacity_Resource,$E91,'Critical resources (hide)'!AC$6:AC$105)+SUMIF(Capacity_Resource,$F91,'Critical resources (hide)'!AC$6:AC$105)&gt;0,$E$1=2),0,1)</f>
        <v>1</v>
      </c>
      <c r="Q91" s="68">
        <f ca="1">IF(AND(SUMIF(Capacity_Resource,$D91,'Critical resources (hide)'!AD$6:AD$105)+SUMIF(Capacity_Resource,$E91,'Critical resources (hide)'!AD$6:AD$105)+SUMIF(Capacity_Resource,$F91,'Critical resources (hide)'!AD$6:AD$105)&gt;0,$E$1=2),0,1)</f>
        <v>1</v>
      </c>
      <c r="R91" s="68">
        <f ca="1">IF(AND(SUMIF(Capacity_Resource,$D91,'Critical resources (hide)'!AE$6:AE$105)+SUMIF(Capacity_Resource,$E91,'Critical resources (hide)'!AE$6:AE$105)+SUMIF(Capacity_Resource,$F91,'Critical resources (hide)'!AE$6:AE$105)&gt;0,$E$1=2),0,1)</f>
        <v>1</v>
      </c>
      <c r="S91" s="68">
        <f ca="1">IF(AND(SUMIF(Capacity_Resource,$D91,'Critical resources (hide)'!AF$6:AF$105)+SUMIF(Capacity_Resource,$E91,'Critical resources (hide)'!AF$6:AF$105)+SUMIF(Capacity_Resource,$F91,'Critical resources (hide)'!AF$6:AF$105)&gt;0,$E$1=2),0,1)</f>
        <v>1</v>
      </c>
      <c r="T91" s="68">
        <f ca="1">IF(AND(SUMIF(Capacity_Resource,$D91,'Critical resources (hide)'!AG$6:AG$105)+SUMIF(Capacity_Resource,$E91,'Critical resources (hide)'!AG$6:AG$105)+SUMIF(Capacity_Resource,$F91,'Critical resources (hide)'!AG$6:AG$105)&gt;0,$E$1=2),0,1)</f>
        <v>1</v>
      </c>
      <c r="U91" s="68">
        <f ca="1">IF(AND(SUMIF(Capacity_Resource,$D91,'Critical resources (hide)'!AH$6:AH$105)+SUMIF(Capacity_Resource,$E91,'Critical resources (hide)'!AH$6:AH$105)+SUMIF(Capacity_Resource,$F91,'Critical resources (hide)'!AH$6:AH$105)&gt;0,$E$1=2),0,1)</f>
        <v>1</v>
      </c>
      <c r="V91" s="68">
        <f ca="1">IF(AND(SUMIF(Capacity_Resource,$D91,'Critical resources (hide)'!AI$6:AI$105)+SUMIF(Capacity_Resource,$E91,'Critical resources (hide)'!AI$6:AI$105)+SUMIF(Capacity_Resource,$F91,'Critical resources (hide)'!AI$6:AI$105)&gt;0,$E$1=2),0,1)</f>
        <v>1</v>
      </c>
      <c r="W91" s="68">
        <f ca="1">IF(AND(SUMIF(Capacity_Resource,$D91,'Critical resources (hide)'!AJ$6:AJ$105)+SUMIF(Capacity_Resource,$E91,'Critical resources (hide)'!AJ$6:AJ$105)+SUMIF(Capacity_Resource,$F91,'Critical resources (hide)'!AJ$6:AJ$105)&gt;0,$E$1=2),0,1)</f>
        <v>1</v>
      </c>
      <c r="X91" s="68">
        <f ca="1">IF(AND(SUMIF(Capacity_Resource,$D91,'Critical resources (hide)'!AK$6:AK$105)+SUMIF(Capacity_Resource,$E91,'Critical resources (hide)'!AK$6:AK$105)+SUMIF(Capacity_Resource,$F91,'Critical resources (hide)'!AK$6:AK$105)&gt;0,$E$1=2),0,1)</f>
        <v>1</v>
      </c>
      <c r="Y91" s="68">
        <f ca="1">IF(AND(SUMIF(Capacity_Resource,$D91,'Critical resources (hide)'!AL$6:AL$105)+SUMIF(Capacity_Resource,$E91,'Critical resources (hide)'!AL$6:AL$105)+SUMIF(Capacity_Resource,$F91,'Critical resources (hide)'!AL$6:AL$105)&gt;0,$E$1=2),0,1)</f>
        <v>1</v>
      </c>
      <c r="Z91" s="68">
        <f ca="1">IF(AND(SUMIF(Capacity_Resource,$D91,'Critical resources (hide)'!AM$6:AM$105)+SUMIF(Capacity_Resource,$E91,'Critical resources (hide)'!AM$6:AM$105)+SUMIF(Capacity_Resource,$F91,'Critical resources (hide)'!AM$6:AM$105)&gt;0,$E$1=2),0,1)</f>
        <v>1</v>
      </c>
      <c r="AA91" s="68">
        <f ca="1">IF(AND(SUMIF(Capacity_Resource,$D91,'Critical resources (hide)'!AN$6:AN$105)+SUMIF(Capacity_Resource,$E91,'Critical resources (hide)'!AN$6:AN$105)+SUMIF(Capacity_Resource,$F91,'Critical resources (hide)'!AN$6:AN$105)&gt;0,$E$1=2),0,1)</f>
        <v>1</v>
      </c>
      <c r="AB91" s="68">
        <f ca="1">IF(AND(SUMIF(Capacity_Resource,$D91,'Critical resources (hide)'!AO$6:AO$105)+SUMIF(Capacity_Resource,$E91,'Critical resources (hide)'!AO$6:AO$105)+SUMIF(Capacity_Resource,$F91,'Critical resources (hide)'!AO$6:AO$105)&gt;0,$E$1=2),0,1)</f>
        <v>1</v>
      </c>
      <c r="AC91" s="68">
        <f ca="1">IF(AND(SUMIF(Capacity_Resource,$D91,'Critical resources (hide)'!AP$6:AP$105)+SUMIF(Capacity_Resource,$E91,'Critical resources (hide)'!AP$6:AP$105)+SUMIF(Capacity_Resource,$F91,'Critical resources (hide)'!AP$6:AP$105)&gt;0,$E$1=2),0,1)</f>
        <v>1</v>
      </c>
      <c r="AD91" s="68">
        <f ca="1">IF(AND(SUMIF(Capacity_Resource,$D91,'Critical resources (hide)'!AQ$6:AQ$105)+SUMIF(Capacity_Resource,$E91,'Critical resources (hide)'!AQ$6:AQ$105)+SUMIF(Capacity_Resource,$F91,'Critical resources (hide)'!AQ$6:AQ$105)&gt;0,$E$1=2),0,1)</f>
        <v>1</v>
      </c>
      <c r="AE91" s="68">
        <f ca="1">IF(AND(SUMIF(Capacity_Resource,$D91,'Critical resources (hide)'!AR$6:AR$105)+SUMIF(Capacity_Resource,$E91,'Critical resources (hide)'!AR$6:AR$105)+SUMIF(Capacity_Resource,$F91,'Critical resources (hide)'!AR$6:AR$105)&gt;0,$E$1=2),0,1)</f>
        <v>1</v>
      </c>
      <c r="AF91" s="68">
        <f ca="1">IF(AND(SUMIF(Capacity_Resource,$D91,'Critical resources (hide)'!AS$6:AS$105)+SUMIF(Capacity_Resource,$E91,'Critical resources (hide)'!AS$6:AS$105)+SUMIF(Capacity_Resource,$F91,'Critical resources (hide)'!AS$6:AS$105)&gt;0,$E$1=2),0,1)</f>
        <v>1</v>
      </c>
      <c r="AG91" s="68">
        <f ca="1">IF(AND(SUMIF(Capacity_Resource,$D91,'Critical resources (hide)'!AT$6:AT$105)+SUMIF(Capacity_Resource,$E91,'Critical resources (hide)'!AT$6:AT$105)+SUMIF(Capacity_Resource,$F91,'Critical resources (hide)'!AT$6:AT$105)&gt;0,$E$1=2),0,1)</f>
        <v>1</v>
      </c>
      <c r="AH91" s="68">
        <f ca="1">IF(AND(SUMIF(Capacity_Resource,$D91,'Critical resources (hide)'!AU$6:AU$105)+SUMIF(Capacity_Resource,$E91,'Critical resources (hide)'!AU$6:AU$105)+SUMIF(Capacity_Resource,$F91,'Critical resources (hide)'!AU$6:AU$105)&gt;0,$E$1=2),0,1)</f>
        <v>1</v>
      </c>
      <c r="AI91" s="68">
        <f ca="1">IF(AND(SUMIF(Capacity_Resource,$D91,'Critical resources (hide)'!AV$6:AV$105)+SUMIF(Capacity_Resource,$E91,'Critical resources (hide)'!AV$6:AV$105)+SUMIF(Capacity_Resource,$F91,'Critical resources (hide)'!AV$6:AV$105)&gt;0,$E$1=2),0,1)</f>
        <v>1</v>
      </c>
      <c r="AJ91" s="68">
        <f ca="1">IF(AND(SUMIF(Capacity_Resource,$D91,'Critical resources (hide)'!AW$6:AW$105)+SUMIF(Capacity_Resource,$E91,'Critical resources (hide)'!AW$6:AW$105)+SUMIF(Capacity_Resource,$F91,'Critical resources (hide)'!AW$6:AW$105)&gt;0,$E$1=2),0,1)</f>
        <v>1</v>
      </c>
      <c r="AK91" s="68">
        <f ca="1">IF(AND(SUMIF(Capacity_Resource,$D91,'Critical resources (hide)'!AX$6:AX$105)+SUMIF(Capacity_Resource,$E91,'Critical resources (hide)'!AX$6:AX$105)+SUMIF(Capacity_Resource,$F91,'Critical resources (hide)'!AX$6:AX$105)&gt;0,$E$1=2),0,1)</f>
        <v>1</v>
      </c>
      <c r="AL91" s="68">
        <f ca="1">IF(AND(SUMIF(Capacity_Resource,$D91,'Critical resources (hide)'!AY$6:AY$105)+SUMIF(Capacity_Resource,$E91,'Critical resources (hide)'!AY$6:AY$105)+SUMIF(Capacity_Resource,$F91,'Critical resources (hide)'!AY$6:AY$105)&gt;0,$E$1=2),0,1)</f>
        <v>1</v>
      </c>
      <c r="AM91" s="68">
        <f ca="1">IF(AND(SUMIF(Capacity_Resource,$D91,'Critical resources (hide)'!AZ$6:AZ$105)+SUMIF(Capacity_Resource,$E91,'Critical resources (hide)'!AZ$6:AZ$105)+SUMIF(Capacity_Resource,$F91,'Critical resources (hide)'!AZ$6:AZ$105)&gt;0,$E$1=2),0,1)</f>
        <v>1</v>
      </c>
      <c r="AN91" s="68">
        <f ca="1">IF(AND(SUMIF(Capacity_Resource,$D91,'Critical resources (hide)'!BA$6:BA$105)+SUMIF(Capacity_Resource,$E91,'Critical resources (hide)'!BA$6:BA$105)+SUMIF(Capacity_Resource,$F91,'Critical resources (hide)'!BA$6:BA$105)&gt;0,$E$1=2),0,1)</f>
        <v>1</v>
      </c>
      <c r="AO91" s="68">
        <f ca="1">IF(AND(SUMIF(Capacity_Resource,$D91,'Critical resources (hide)'!BB$6:BB$105)+SUMIF(Capacity_Resource,$E91,'Critical resources (hide)'!BB$6:BB$105)+SUMIF(Capacity_Resource,$F91,'Critical resources (hide)'!BB$6:BB$105)&gt;0,$E$1=2),0,1)</f>
        <v>1</v>
      </c>
      <c r="AP91" s="68">
        <f ca="1">IF(AND(SUMIF(Capacity_Resource,$D91,'Critical resources (hide)'!BC$6:BC$105)+SUMIF(Capacity_Resource,$E91,'Critical resources (hide)'!BC$6:BC$105)+SUMIF(Capacity_Resource,$F91,'Critical resources (hide)'!BC$6:BC$105)&gt;0,$E$1=2),0,1)</f>
        <v>1</v>
      </c>
      <c r="AQ91" s="68">
        <f ca="1">IF(AND(SUMIF(Capacity_Resource,$D91,'Critical resources (hide)'!BD$6:BD$105)+SUMIF(Capacity_Resource,$E91,'Critical resources (hide)'!BD$6:BD$105)+SUMIF(Capacity_Resource,$F91,'Critical resources (hide)'!BD$6:BD$105)&gt;0,$E$1=2),0,1)</f>
        <v>1</v>
      </c>
      <c r="AR91" s="68">
        <f ca="1">IF(AND(SUMIF(Capacity_Resource,$D91,'Critical resources (hide)'!BE$6:BE$105)+SUMIF(Capacity_Resource,$E91,'Critical resources (hide)'!BE$6:BE$105)+SUMIF(Capacity_Resource,$F91,'Critical resources (hide)'!BE$6:BE$105)&gt;0,$E$1=2),0,1)</f>
        <v>1</v>
      </c>
      <c r="AS91" s="68">
        <f ca="1">IF(AND(SUMIF(Capacity_Resource,$D91,'Critical resources (hide)'!BF$6:BF$105)+SUMIF(Capacity_Resource,$E91,'Critical resources (hide)'!BF$6:BF$105)+SUMIF(Capacity_Resource,$F91,'Critical resources (hide)'!BF$6:BF$105)&gt;0,$E$1=2),0,1)</f>
        <v>1</v>
      </c>
      <c r="AT91" s="68">
        <f ca="1">IF(AND(SUMIF(Capacity_Resource,$D91,'Critical resources (hide)'!BG$6:BG$105)+SUMIF(Capacity_Resource,$E91,'Critical resources (hide)'!BG$6:BG$105)+SUMIF(Capacity_Resource,$F91,'Critical resources (hide)'!BG$6:BG$105)&gt;0,$E$1=2),0,1)</f>
        <v>1</v>
      </c>
      <c r="AU91" s="68">
        <f ca="1">IF(AND(SUMIF(Capacity_Resource,$D91,'Critical resources (hide)'!BH$6:BH$105)+SUMIF(Capacity_Resource,$E91,'Critical resources (hide)'!BH$6:BH$105)+SUMIF(Capacity_Resource,$F91,'Critical resources (hide)'!BH$6:BH$105)&gt;0,$E$1=2),0,1)</f>
        <v>1</v>
      </c>
      <c r="AV91" s="68">
        <f ca="1">IF(AND(SUMIF(Capacity_Resource,$D91,'Critical resources (hide)'!BI$6:BI$105)+SUMIF(Capacity_Resource,$E91,'Critical resources (hide)'!BI$6:BI$105)+SUMIF(Capacity_Resource,$F91,'Critical resources (hide)'!BI$6:BI$105)&gt;0,$E$1=2),0,1)</f>
        <v>1</v>
      </c>
      <c r="AW91" s="68">
        <f ca="1">IF(AND(SUMIF(Capacity_Resource,$D91,'Critical resources (hide)'!BJ$6:BJ$105)+SUMIF(Capacity_Resource,$E91,'Critical resources (hide)'!BJ$6:BJ$105)+SUMIF(Capacity_Resource,$F91,'Critical resources (hide)'!BJ$6:BJ$105)&gt;0,$E$1=2),0,1)</f>
        <v>1</v>
      </c>
      <c r="AX91" s="68">
        <f ca="1">IF(AND(SUMIF(Capacity_Resource,$D91,'Critical resources (hide)'!BK$6:BK$105)+SUMIF(Capacity_Resource,$E91,'Critical resources (hide)'!BK$6:BK$105)+SUMIF(Capacity_Resource,$F91,'Critical resources (hide)'!BK$6:BK$105)&gt;0,$E$1=2),0,1)</f>
        <v>1</v>
      </c>
      <c r="AY91" s="68">
        <f ca="1">IF(AND(SUMIF(Capacity_Resource,$D91,'Critical resources (hide)'!BL$6:BL$105)+SUMIF(Capacity_Resource,$E91,'Critical resources (hide)'!BL$6:BL$105)+SUMIF(Capacity_Resource,$F91,'Critical resources (hide)'!BL$6:BL$105)&gt;0,$E$1=2),0,1)</f>
        <v>1</v>
      </c>
      <c r="AZ91" s="68">
        <f ca="1">IF(AND(SUMIF(Capacity_Resource,$D91,'Critical resources (hide)'!BM$6:BM$105)+SUMIF(Capacity_Resource,$E91,'Critical resources (hide)'!BM$6:BM$105)+SUMIF(Capacity_Resource,$F91,'Critical resources (hide)'!BM$6:BM$105)&gt;0,$E$1=2),0,1)</f>
        <v>1</v>
      </c>
      <c r="BA91" s="68">
        <f ca="1">IF(AND(SUMIF(Capacity_Resource,$D91,'Critical resources (hide)'!BN$6:BN$105)+SUMIF(Capacity_Resource,$E91,'Critical resources (hide)'!BN$6:BN$105)+SUMIF(Capacity_Resource,$F91,'Critical resources (hide)'!BN$6:BN$105)&gt;0,$E$1=2),0,1)</f>
        <v>1</v>
      </c>
      <c r="BB91" s="68">
        <f ca="1">IF(AND(SUMIF(Capacity_Resource,$D91,'Critical resources (hide)'!BO$6:BO$105)+SUMIF(Capacity_Resource,$E91,'Critical resources (hide)'!BO$6:BO$105)+SUMIF(Capacity_Resource,$F91,'Critical resources (hide)'!BO$6:BO$105)&gt;0,$E$1=2),0,1)</f>
        <v>1</v>
      </c>
      <c r="BC91" s="68">
        <f ca="1">IF(AND(SUMIF(Capacity_Resource,$D91,'Critical resources (hide)'!BP$6:BP$105)+SUMIF(Capacity_Resource,$E91,'Critical resources (hide)'!BP$6:BP$105)+SUMIF(Capacity_Resource,$F91,'Critical resources (hide)'!BP$6:BP$105)&gt;0,$E$1=2),0,1)</f>
        <v>1</v>
      </c>
      <c r="BD91" s="68">
        <f ca="1">IF(AND(SUMIF(Capacity_Resource,$D91,'Critical resources (hide)'!BQ$6:BQ$105)+SUMIF(Capacity_Resource,$E91,'Critical resources (hide)'!BQ$6:BQ$105)+SUMIF(Capacity_Resource,$F91,'Critical resources (hide)'!BQ$6:BQ$105)&gt;0,$E$1=2),0,1)</f>
        <v>1</v>
      </c>
      <c r="BE91" s="68">
        <f ca="1">IF(AND(SUMIF(Capacity_Resource,$D91,'Critical resources (hide)'!BR$6:BR$105)+SUMIF(Capacity_Resource,$E91,'Critical resources (hide)'!BR$6:BR$105)+SUMIF(Capacity_Resource,$F91,'Critical resources (hide)'!BR$6:BR$105)&gt;0,$E$1=2),0,1)</f>
        <v>1</v>
      </c>
      <c r="BF91" s="68">
        <f ca="1">IF(AND(SUMIF(Capacity_Resource,$D91,'Critical resources (hide)'!BS$6:BS$105)+SUMIF(Capacity_Resource,$E91,'Critical resources (hide)'!BS$6:BS$105)+SUMIF(Capacity_Resource,$F91,'Critical resources (hide)'!BS$6:BS$105)&gt;0,$E$1=2),0,1)</f>
        <v>1</v>
      </c>
      <c r="BG91" s="68">
        <f ca="1">IF(AND(SUMIF(Capacity_Resource,$D91,'Critical resources (hide)'!BT$6:BT$105)+SUMIF(Capacity_Resource,$E91,'Critical resources (hide)'!BT$6:BT$105)+SUMIF(Capacity_Resource,$F91,'Critical resources (hide)'!BT$6:BT$105)&gt;0,$E$1=2),0,1)</f>
        <v>1</v>
      </c>
      <c r="BH91" s="68">
        <f>IF(ROW(C87)&lt;=Capacity!$A$16,IF('Capacity summary'!$D$14="No",SUM(H91:BG91),'Capacity summary'!$E210),0)</f>
        <v>0</v>
      </c>
      <c r="BI91" s="5" t="str">
        <f>IF(BH91&gt;0,IF(BH91&lt;Capacity!E103,Capacity!F103,Capacity!H103/'Capacity calculation (hide)'!BH91),"")</f>
        <v/>
      </c>
      <c r="BK91" s="319">
        <f>IF($BI91&lt;&gt;"",IF('Capacity summary'!$D$14="Yes",IF(COUNTBLANK('Capacity summary'!$H210:$BG210)&lt;52,IF('Capacity summary'!H210&lt;&gt;"",$BI91*H91,0),H91*$BI91),H91*$BI91),0)</f>
        <v>0</v>
      </c>
      <c r="BL91" s="319">
        <f>IF($BI91&lt;&gt;"",IF('Capacity summary'!$D$14="Yes",IF(COUNTBLANK('Capacity summary'!$H210:$BG210)&lt;52,IF('Capacity summary'!I210&lt;&gt;"",$BI91*I91,0),I91*$BI91),I91*$BI91),0)</f>
        <v>0</v>
      </c>
      <c r="BM91" s="319">
        <f>IF($BI91&lt;&gt;"",IF('Capacity summary'!$D$14="Yes",IF(COUNTBLANK('Capacity summary'!$H210:$BG210)&lt;52,IF('Capacity summary'!J210&lt;&gt;"",$BI91*J91,0),J91*$BI91),J91*$BI91),0)</f>
        <v>0</v>
      </c>
      <c r="BN91" s="319">
        <f>IF($BI91&lt;&gt;"",IF('Capacity summary'!$D$14="Yes",IF(COUNTBLANK('Capacity summary'!$H210:$BG210)&lt;52,IF('Capacity summary'!K210&lt;&gt;"",$BI91*K91,0),K91*$BI91),K91*$BI91),0)</f>
        <v>0</v>
      </c>
      <c r="BO91" s="319">
        <f>IF($BI91&lt;&gt;"",IF('Capacity summary'!$D$14="Yes",IF(COUNTBLANK('Capacity summary'!$H210:$BG210)&lt;52,IF('Capacity summary'!L210&lt;&gt;"",$BI91*L91,0),L91*$BI91),L91*$BI91),0)</f>
        <v>0</v>
      </c>
      <c r="BP91" s="319">
        <f>IF($BI91&lt;&gt;"",IF('Capacity summary'!$D$14="Yes",IF(COUNTBLANK('Capacity summary'!$H210:$BG210)&lt;52,IF('Capacity summary'!M210&lt;&gt;"",$BI91*M91,0),M91*$BI91),M91*$BI91),0)</f>
        <v>0</v>
      </c>
      <c r="BQ91" s="319">
        <f>IF($BI91&lt;&gt;"",IF('Capacity summary'!$D$14="Yes",IF(COUNTBLANK('Capacity summary'!$H210:$BG210)&lt;52,IF('Capacity summary'!N210&lt;&gt;"",$BI91*N91,0),N91*$BI91),N91*$BI91),0)</f>
        <v>0</v>
      </c>
      <c r="BR91" s="319">
        <f>IF($BI91&lt;&gt;"",IF('Capacity summary'!$D$14="Yes",IF(COUNTBLANK('Capacity summary'!$H210:$BG210)&lt;52,IF('Capacity summary'!O210&lt;&gt;"",$BI91*O91,0),O91*$BI91),O91*$BI91),0)</f>
        <v>0</v>
      </c>
      <c r="BS91" s="319">
        <f>IF($BI91&lt;&gt;"",IF('Capacity summary'!$D$14="Yes",IF(COUNTBLANK('Capacity summary'!$H210:$BG210)&lt;52,IF('Capacity summary'!P210&lt;&gt;"",$BI91*P91,0),P91*$BI91),P91*$BI91),0)</f>
        <v>0</v>
      </c>
      <c r="BT91" s="319">
        <f>IF($BI91&lt;&gt;"",IF('Capacity summary'!$D$14="Yes",IF(COUNTBLANK('Capacity summary'!$H210:$BG210)&lt;52,IF('Capacity summary'!Q210&lt;&gt;"",$BI91*Q91,0),Q91*$BI91),Q91*$BI91),0)</f>
        <v>0</v>
      </c>
      <c r="BU91" s="319">
        <f>IF($BI91&lt;&gt;"",IF('Capacity summary'!$D$14="Yes",IF(COUNTBLANK('Capacity summary'!$H210:$BG210)&lt;52,IF('Capacity summary'!R210&lt;&gt;"",$BI91*R91,0),R91*$BI91),R91*$BI91),0)</f>
        <v>0</v>
      </c>
      <c r="BV91" s="319">
        <f>IF($BI91&lt;&gt;"",IF('Capacity summary'!$D$14="Yes",IF(COUNTBLANK('Capacity summary'!$H210:$BG210)&lt;52,IF('Capacity summary'!S210&lt;&gt;"",$BI91*S91,0),S91*$BI91),S91*$BI91),0)</f>
        <v>0</v>
      </c>
      <c r="BW91" s="319">
        <f>IF($BI91&lt;&gt;"",IF('Capacity summary'!$D$14="Yes",IF(COUNTBLANK('Capacity summary'!$H210:$BG210)&lt;52,IF('Capacity summary'!T210&lt;&gt;"",$BI91*T91,0),T91*$BI91),T91*$BI91),0)</f>
        <v>0</v>
      </c>
      <c r="BX91" s="319">
        <f>IF($BI91&lt;&gt;"",IF('Capacity summary'!$D$14="Yes",IF(COUNTBLANK('Capacity summary'!$H210:$BG210)&lt;52,IF('Capacity summary'!U210&lt;&gt;"",$BI91*U91,0),U91*$BI91),U91*$BI91),0)</f>
        <v>0</v>
      </c>
      <c r="BY91" s="319">
        <f>IF($BI91&lt;&gt;"",IF('Capacity summary'!$D$14="Yes",IF(COUNTBLANK('Capacity summary'!$H210:$BG210)&lt;52,IF('Capacity summary'!V210&lt;&gt;"",$BI91*V91,0),V91*$BI91),V91*$BI91),0)</f>
        <v>0</v>
      </c>
      <c r="BZ91" s="319">
        <f>IF($BI91&lt;&gt;"",IF('Capacity summary'!$D$14="Yes",IF(COUNTBLANK('Capacity summary'!$H210:$BG210)&lt;52,IF('Capacity summary'!W210&lt;&gt;"",$BI91*W91,0),W91*$BI91),W91*$BI91),0)</f>
        <v>0</v>
      </c>
      <c r="CA91" s="319">
        <f>IF($BI91&lt;&gt;"",IF('Capacity summary'!$D$14="Yes",IF(COUNTBLANK('Capacity summary'!$H210:$BG210)&lt;52,IF('Capacity summary'!X210&lt;&gt;"",$BI91*X91,0),X91*$BI91),X91*$BI91),0)</f>
        <v>0</v>
      </c>
      <c r="CB91" s="319">
        <f>IF($BI91&lt;&gt;"",IF('Capacity summary'!$D$14="Yes",IF(COUNTBLANK('Capacity summary'!$H210:$BG210)&lt;52,IF('Capacity summary'!Y210&lt;&gt;"",$BI91*Y91,0),Y91*$BI91),Y91*$BI91),0)</f>
        <v>0</v>
      </c>
      <c r="CC91" s="319">
        <f>IF($BI91&lt;&gt;"",IF('Capacity summary'!$D$14="Yes",IF(COUNTBLANK('Capacity summary'!$H210:$BG210)&lt;52,IF('Capacity summary'!Z210&lt;&gt;"",$BI91*Z91,0),Z91*$BI91),Z91*$BI91),0)</f>
        <v>0</v>
      </c>
      <c r="CD91" s="319">
        <f>IF($BI91&lt;&gt;"",IF('Capacity summary'!$D$14="Yes",IF(COUNTBLANK('Capacity summary'!$H210:$BG210)&lt;52,IF('Capacity summary'!AA210&lt;&gt;"",$BI91*AA91,0),AA91*$BI91),AA91*$BI91),0)</f>
        <v>0</v>
      </c>
      <c r="CE91" s="319">
        <f>IF($BI91&lt;&gt;"",IF('Capacity summary'!$D$14="Yes",IF(COUNTBLANK('Capacity summary'!$H210:$BG210)&lt;52,IF('Capacity summary'!AB210&lt;&gt;"",$BI91*AB91,0),AB91*$BI91),AB91*$BI91),0)</f>
        <v>0</v>
      </c>
      <c r="CF91" s="319">
        <f>IF($BI91&lt;&gt;"",IF('Capacity summary'!$D$14="Yes",IF(COUNTBLANK('Capacity summary'!$H210:$BG210)&lt;52,IF('Capacity summary'!AC210&lt;&gt;"",$BI91*AC91,0),AC91*$BI91),AC91*$BI91),0)</f>
        <v>0</v>
      </c>
      <c r="CG91" s="319">
        <f>IF($BI91&lt;&gt;"",IF('Capacity summary'!$D$14="Yes",IF(COUNTBLANK('Capacity summary'!$H210:$BG210)&lt;52,IF('Capacity summary'!AD210&lt;&gt;"",$BI91*AD91,0),AD91*$BI91),AD91*$BI91),0)</f>
        <v>0</v>
      </c>
      <c r="CH91" s="319">
        <f>IF($BI91&lt;&gt;"",IF('Capacity summary'!$D$14="Yes",IF(COUNTBLANK('Capacity summary'!$H210:$BG210)&lt;52,IF('Capacity summary'!AE210&lt;&gt;"",$BI91*AE91,0),AE91*$BI91),AE91*$BI91),0)</f>
        <v>0</v>
      </c>
      <c r="CI91" s="319">
        <f>IF($BI91&lt;&gt;"",IF('Capacity summary'!$D$14="Yes",IF(COUNTBLANK('Capacity summary'!$H210:$BG210)&lt;52,IF('Capacity summary'!AF210&lt;&gt;"",$BI91*AF91,0),AF91*$BI91),AF91*$BI91),0)</f>
        <v>0</v>
      </c>
      <c r="CJ91" s="319">
        <f>IF($BI91&lt;&gt;"",IF('Capacity summary'!$D$14="Yes",IF(COUNTBLANK('Capacity summary'!$H210:$BG210)&lt;52,IF('Capacity summary'!AG210&lt;&gt;"",$BI91*AG91,0),AG91*$BI91),AG91*$BI91),0)</f>
        <v>0</v>
      </c>
      <c r="CK91" s="319">
        <f>IF($BI91&lt;&gt;"",IF('Capacity summary'!$D$14="Yes",IF(COUNTBLANK('Capacity summary'!$H210:$BG210)&lt;52,IF('Capacity summary'!AH210&lt;&gt;"",$BI91*AH91,0),AH91*$BI91),AH91*$BI91),0)</f>
        <v>0</v>
      </c>
      <c r="CL91" s="319">
        <f>IF($BI91&lt;&gt;"",IF('Capacity summary'!$D$14="Yes",IF(COUNTBLANK('Capacity summary'!$H210:$BG210)&lt;52,IF('Capacity summary'!AI210&lt;&gt;"",$BI91*AI91,0),AI91*$BI91),AI91*$BI91),0)</f>
        <v>0</v>
      </c>
      <c r="CM91" s="319">
        <f>IF($BI91&lt;&gt;"",IF('Capacity summary'!$D$14="Yes",IF(COUNTBLANK('Capacity summary'!$H210:$BG210)&lt;52,IF('Capacity summary'!AJ210&lt;&gt;"",$BI91*AJ91,0),AJ91*$BI91),AJ91*$BI91),0)</f>
        <v>0</v>
      </c>
      <c r="CN91" s="319">
        <f>IF($BI91&lt;&gt;"",IF('Capacity summary'!$D$14="Yes",IF(COUNTBLANK('Capacity summary'!$H210:$BG210)&lt;52,IF('Capacity summary'!AK210&lt;&gt;"",$BI91*AK91,0),AK91*$BI91),AK91*$BI91),0)</f>
        <v>0</v>
      </c>
      <c r="CO91" s="319">
        <f>IF($BI91&lt;&gt;"",IF('Capacity summary'!$D$14="Yes",IF(COUNTBLANK('Capacity summary'!$H210:$BG210)&lt;52,IF('Capacity summary'!AL210&lt;&gt;"",$BI91*AL91,0),AL91*$BI91),AL91*$BI91),0)</f>
        <v>0</v>
      </c>
      <c r="CP91" s="319">
        <f>IF($BI91&lt;&gt;"",IF('Capacity summary'!$D$14="Yes",IF(COUNTBLANK('Capacity summary'!$H210:$BG210)&lt;52,IF('Capacity summary'!AM210&lt;&gt;"",$BI91*AM91,0),AM91*$BI91),AM91*$BI91),0)</f>
        <v>0</v>
      </c>
      <c r="CQ91" s="319">
        <f>IF($BI91&lt;&gt;"",IF('Capacity summary'!$D$14="Yes",IF(COUNTBLANK('Capacity summary'!$H210:$BG210)&lt;52,IF('Capacity summary'!AN210&lt;&gt;"",$BI91*AN91,0),AN91*$BI91),AN91*$BI91),0)</f>
        <v>0</v>
      </c>
      <c r="CR91" s="319">
        <f>IF($BI91&lt;&gt;"",IF('Capacity summary'!$D$14="Yes",IF(COUNTBLANK('Capacity summary'!$H210:$BG210)&lt;52,IF('Capacity summary'!AO210&lt;&gt;"",$BI91*AO91,0),AO91*$BI91),AO91*$BI91),0)</f>
        <v>0</v>
      </c>
      <c r="CS91" s="319">
        <f>IF($BI91&lt;&gt;"",IF('Capacity summary'!$D$14="Yes",IF(COUNTBLANK('Capacity summary'!$H210:$BG210)&lt;52,IF('Capacity summary'!AP210&lt;&gt;"",$BI91*AP91,0),AP91*$BI91),AP91*$BI91),0)</f>
        <v>0</v>
      </c>
      <c r="CT91" s="319">
        <f>IF($BI91&lt;&gt;"",IF('Capacity summary'!$D$14="Yes",IF(COUNTBLANK('Capacity summary'!$H210:$BG210)&lt;52,IF('Capacity summary'!AQ210&lt;&gt;"",$BI91*AQ91,0),AQ91*$BI91),AQ91*$BI91),0)</f>
        <v>0</v>
      </c>
      <c r="CU91" s="319">
        <f>IF($BI91&lt;&gt;"",IF('Capacity summary'!$D$14="Yes",IF(COUNTBLANK('Capacity summary'!$H210:$BG210)&lt;52,IF('Capacity summary'!AR210&lt;&gt;"",$BI91*AR91,0),AR91*$BI91),AR91*$BI91),0)</f>
        <v>0</v>
      </c>
      <c r="CV91" s="319">
        <f>IF($BI91&lt;&gt;"",IF('Capacity summary'!$D$14="Yes",IF(COUNTBLANK('Capacity summary'!$H210:$BG210)&lt;52,IF('Capacity summary'!AS210&lt;&gt;"",$BI91*AS91,0),AS91*$BI91),AS91*$BI91),0)</f>
        <v>0</v>
      </c>
      <c r="CW91" s="319">
        <f>IF($BI91&lt;&gt;"",IF('Capacity summary'!$D$14="Yes",IF(COUNTBLANK('Capacity summary'!$H210:$BG210)&lt;52,IF('Capacity summary'!AT210&lt;&gt;"",$BI91*AT91,0),AT91*$BI91),AT91*$BI91),0)</f>
        <v>0</v>
      </c>
      <c r="CX91" s="319">
        <f>IF($BI91&lt;&gt;"",IF('Capacity summary'!$D$14="Yes",IF(COUNTBLANK('Capacity summary'!$H210:$BG210)&lt;52,IF('Capacity summary'!AU210&lt;&gt;"",$BI91*AU91,0),AU91*$BI91),AU91*$BI91),0)</f>
        <v>0</v>
      </c>
      <c r="CY91" s="319">
        <f>IF($BI91&lt;&gt;"",IF('Capacity summary'!$D$14="Yes",IF(COUNTBLANK('Capacity summary'!$H210:$BG210)&lt;52,IF('Capacity summary'!AV210&lt;&gt;"",$BI91*AV91,0),AV91*$BI91),AV91*$BI91),0)</f>
        <v>0</v>
      </c>
      <c r="CZ91" s="319">
        <f>IF($BI91&lt;&gt;"",IF('Capacity summary'!$D$14="Yes",IF(COUNTBLANK('Capacity summary'!$H210:$BG210)&lt;52,IF('Capacity summary'!AW210&lt;&gt;"",$BI91*AW91,0),AW91*$BI91),AW91*$BI91),0)</f>
        <v>0</v>
      </c>
      <c r="DA91" s="319">
        <f>IF($BI91&lt;&gt;"",IF('Capacity summary'!$D$14="Yes",IF(COUNTBLANK('Capacity summary'!$H210:$BG210)&lt;52,IF('Capacity summary'!AX210&lt;&gt;"",$BI91*AX91,0),AX91*$BI91),AX91*$BI91),0)</f>
        <v>0</v>
      </c>
      <c r="DB91" s="319">
        <f>IF($BI91&lt;&gt;"",IF('Capacity summary'!$D$14="Yes",IF(COUNTBLANK('Capacity summary'!$H210:$BG210)&lt;52,IF('Capacity summary'!AY210&lt;&gt;"",$BI91*AY91,0),AY91*$BI91),AY91*$BI91),0)</f>
        <v>0</v>
      </c>
      <c r="DC91" s="319">
        <f>IF($BI91&lt;&gt;"",IF('Capacity summary'!$D$14="Yes",IF(COUNTBLANK('Capacity summary'!$H210:$BG210)&lt;52,IF('Capacity summary'!AZ210&lt;&gt;"",$BI91*AZ91,0),AZ91*$BI91),AZ91*$BI91),0)</f>
        <v>0</v>
      </c>
      <c r="DD91" s="319">
        <f>IF($BI91&lt;&gt;"",IF('Capacity summary'!$D$14="Yes",IF(COUNTBLANK('Capacity summary'!$H210:$BG210)&lt;52,IF('Capacity summary'!BA210&lt;&gt;"",$BI91*BA91,0),BA91*$BI91),BA91*$BI91),0)</f>
        <v>0</v>
      </c>
      <c r="DE91" s="319">
        <f>IF($BI91&lt;&gt;"",IF('Capacity summary'!$D$14="Yes",IF(COUNTBLANK('Capacity summary'!$H210:$BG210)&lt;52,IF('Capacity summary'!BB210&lt;&gt;"",$BI91*BB91,0),BB91*$BI91),BB91*$BI91),0)</f>
        <v>0</v>
      </c>
      <c r="DF91" s="319">
        <f>IF($BI91&lt;&gt;"",IF('Capacity summary'!$D$14="Yes",IF(COUNTBLANK('Capacity summary'!$H210:$BG210)&lt;52,IF('Capacity summary'!BC210&lt;&gt;"",$BI91*BC91,0),BC91*$BI91),BC91*$BI91),0)</f>
        <v>0</v>
      </c>
      <c r="DG91" s="319">
        <f>IF($BI91&lt;&gt;"",IF('Capacity summary'!$D$14="Yes",IF(COUNTBLANK('Capacity summary'!$H210:$BG210)&lt;52,IF('Capacity summary'!BD210&lt;&gt;"",$BI91*BD91,0),BD91*$BI91),BD91*$BI91),0)</f>
        <v>0</v>
      </c>
      <c r="DH91" s="319">
        <f>IF($BI91&lt;&gt;"",IF('Capacity summary'!$D$14="Yes",IF(COUNTBLANK('Capacity summary'!$H210:$BG210)&lt;52,IF('Capacity summary'!BE210&lt;&gt;"",$BI91*BE91,0),BE91*$BI91),BE91*$BI91),0)</f>
        <v>0</v>
      </c>
      <c r="DI91" s="319">
        <f>IF($BI91&lt;&gt;"",IF('Capacity summary'!$D$14="Yes",IF(COUNTBLANK('Capacity summary'!$H210:$BG210)&lt;52,IF('Capacity summary'!BF210&lt;&gt;"",$BI91*BF91,0),BF91*$BI91),BF91*$BI91),0)</f>
        <v>0</v>
      </c>
      <c r="DJ91" s="319">
        <f>IF($BI91&lt;&gt;"",IF('Capacity summary'!$D$14="Yes",IF(COUNTBLANK('Capacity summary'!$H210:$BG210)&lt;52,IF('Capacity summary'!BG210&lt;&gt;"",$BI91*BG91,0),BG91*$BI91),BG91*$BI91),0)</f>
        <v>0</v>
      </c>
      <c r="DK91" s="5">
        <f t="shared" si="3"/>
        <v>0</v>
      </c>
      <c r="DL91" s="5" t="str">
        <f>Capacity!H103</f>
        <v/>
      </c>
    </row>
    <row r="92" spans="2:116" x14ac:dyDescent="0.2">
      <c r="B92" s="68"/>
      <c r="C92" s="68" t="str">
        <f>ROW(A88)&amp;". "&amp;Capacity!B104</f>
        <v xml:space="preserve">88. </v>
      </c>
      <c r="D92" s="68">
        <f>'Capacity setup'!C99</f>
        <v>0</v>
      </c>
      <c r="E92" s="68">
        <f>'Capacity setup'!D99</f>
        <v>0</v>
      </c>
      <c r="F92" s="68">
        <f>'Capacity setup'!E99</f>
        <v>0</v>
      </c>
      <c r="H92" s="68">
        <f ca="1">IF(AND(SUMIF(Capacity_Resource,$D92,'Critical resources (hide)'!U$6:U$105)+SUMIF(Capacity_Resource,$E92,'Critical resources (hide)'!U$6:U$105)+SUMIF(Capacity_Resource,$F92,'Critical resources (hide)'!U$6:U$105)&gt;0,$E$1=2),0,1)</f>
        <v>1</v>
      </c>
      <c r="I92" s="68">
        <f ca="1">IF(AND(SUMIF(Capacity_Resource,$D92,'Critical resources (hide)'!V$6:V$105)+SUMIF(Capacity_Resource,$E92,'Critical resources (hide)'!V$6:V$105)+SUMIF(Capacity_Resource,$F92,'Critical resources (hide)'!V$6:V$105)&gt;0,$E$1=2),0,1)</f>
        <v>1</v>
      </c>
      <c r="J92" s="68">
        <f ca="1">IF(AND(SUMIF(Capacity_Resource,$D92,'Critical resources (hide)'!W$6:W$105)+SUMIF(Capacity_Resource,$E92,'Critical resources (hide)'!W$6:W$105)+SUMIF(Capacity_Resource,$F92,'Critical resources (hide)'!W$6:W$105)&gt;0,$E$1=2),0,1)</f>
        <v>1</v>
      </c>
      <c r="K92" s="68">
        <f ca="1">IF(AND(SUMIF(Capacity_Resource,$D92,'Critical resources (hide)'!X$6:X$105)+SUMIF(Capacity_Resource,$E92,'Critical resources (hide)'!X$6:X$105)+SUMIF(Capacity_Resource,$F92,'Critical resources (hide)'!X$6:X$105)&gt;0,$E$1=2),0,1)</f>
        <v>1</v>
      </c>
      <c r="L92" s="68">
        <f ca="1">IF(AND(SUMIF(Capacity_Resource,$D92,'Critical resources (hide)'!Y$6:Y$105)+SUMIF(Capacity_Resource,$E92,'Critical resources (hide)'!Y$6:Y$105)+SUMIF(Capacity_Resource,$F92,'Critical resources (hide)'!Y$6:Y$105)&gt;0,$E$1=2),0,1)</f>
        <v>1</v>
      </c>
      <c r="M92" s="68">
        <f ca="1">IF(AND(SUMIF(Capacity_Resource,$D92,'Critical resources (hide)'!Z$6:Z$105)+SUMIF(Capacity_Resource,$E92,'Critical resources (hide)'!Z$6:Z$105)+SUMIF(Capacity_Resource,$F92,'Critical resources (hide)'!Z$6:Z$105)&gt;0,$E$1=2),0,1)</f>
        <v>1</v>
      </c>
      <c r="N92" s="68">
        <f ca="1">IF(AND(SUMIF(Capacity_Resource,$D92,'Critical resources (hide)'!AA$6:AA$105)+SUMIF(Capacity_Resource,$E92,'Critical resources (hide)'!AA$6:AA$105)+SUMIF(Capacity_Resource,$F92,'Critical resources (hide)'!AA$6:AA$105)&gt;0,$E$1=2),0,1)</f>
        <v>1</v>
      </c>
      <c r="O92" s="68">
        <f ca="1">IF(AND(SUMIF(Capacity_Resource,$D92,'Critical resources (hide)'!AB$6:AB$105)+SUMIF(Capacity_Resource,$E92,'Critical resources (hide)'!AB$6:AB$105)+SUMIF(Capacity_Resource,$F92,'Critical resources (hide)'!AB$6:AB$105)&gt;0,$E$1=2),0,1)</f>
        <v>1</v>
      </c>
      <c r="P92" s="68">
        <f ca="1">IF(AND(SUMIF(Capacity_Resource,$D92,'Critical resources (hide)'!AC$6:AC$105)+SUMIF(Capacity_Resource,$E92,'Critical resources (hide)'!AC$6:AC$105)+SUMIF(Capacity_Resource,$F92,'Critical resources (hide)'!AC$6:AC$105)&gt;0,$E$1=2),0,1)</f>
        <v>1</v>
      </c>
      <c r="Q92" s="68">
        <f ca="1">IF(AND(SUMIF(Capacity_Resource,$D92,'Critical resources (hide)'!AD$6:AD$105)+SUMIF(Capacity_Resource,$E92,'Critical resources (hide)'!AD$6:AD$105)+SUMIF(Capacity_Resource,$F92,'Critical resources (hide)'!AD$6:AD$105)&gt;0,$E$1=2),0,1)</f>
        <v>1</v>
      </c>
      <c r="R92" s="68">
        <f ca="1">IF(AND(SUMIF(Capacity_Resource,$D92,'Critical resources (hide)'!AE$6:AE$105)+SUMIF(Capacity_Resource,$E92,'Critical resources (hide)'!AE$6:AE$105)+SUMIF(Capacity_Resource,$F92,'Critical resources (hide)'!AE$6:AE$105)&gt;0,$E$1=2),0,1)</f>
        <v>1</v>
      </c>
      <c r="S92" s="68">
        <f ca="1">IF(AND(SUMIF(Capacity_Resource,$D92,'Critical resources (hide)'!AF$6:AF$105)+SUMIF(Capacity_Resource,$E92,'Critical resources (hide)'!AF$6:AF$105)+SUMIF(Capacity_Resource,$F92,'Critical resources (hide)'!AF$6:AF$105)&gt;0,$E$1=2),0,1)</f>
        <v>1</v>
      </c>
      <c r="T92" s="68">
        <f ca="1">IF(AND(SUMIF(Capacity_Resource,$D92,'Critical resources (hide)'!AG$6:AG$105)+SUMIF(Capacity_Resource,$E92,'Critical resources (hide)'!AG$6:AG$105)+SUMIF(Capacity_Resource,$F92,'Critical resources (hide)'!AG$6:AG$105)&gt;0,$E$1=2),0,1)</f>
        <v>1</v>
      </c>
      <c r="U92" s="68">
        <f ca="1">IF(AND(SUMIF(Capacity_Resource,$D92,'Critical resources (hide)'!AH$6:AH$105)+SUMIF(Capacity_Resource,$E92,'Critical resources (hide)'!AH$6:AH$105)+SUMIF(Capacity_Resource,$F92,'Critical resources (hide)'!AH$6:AH$105)&gt;0,$E$1=2),0,1)</f>
        <v>1</v>
      </c>
      <c r="V92" s="68">
        <f ca="1">IF(AND(SUMIF(Capacity_Resource,$D92,'Critical resources (hide)'!AI$6:AI$105)+SUMIF(Capacity_Resource,$E92,'Critical resources (hide)'!AI$6:AI$105)+SUMIF(Capacity_Resource,$F92,'Critical resources (hide)'!AI$6:AI$105)&gt;0,$E$1=2),0,1)</f>
        <v>1</v>
      </c>
      <c r="W92" s="68">
        <f ca="1">IF(AND(SUMIF(Capacity_Resource,$D92,'Critical resources (hide)'!AJ$6:AJ$105)+SUMIF(Capacity_Resource,$E92,'Critical resources (hide)'!AJ$6:AJ$105)+SUMIF(Capacity_Resource,$F92,'Critical resources (hide)'!AJ$6:AJ$105)&gt;0,$E$1=2),0,1)</f>
        <v>1</v>
      </c>
      <c r="X92" s="68">
        <f ca="1">IF(AND(SUMIF(Capacity_Resource,$D92,'Critical resources (hide)'!AK$6:AK$105)+SUMIF(Capacity_Resource,$E92,'Critical resources (hide)'!AK$6:AK$105)+SUMIF(Capacity_Resource,$F92,'Critical resources (hide)'!AK$6:AK$105)&gt;0,$E$1=2),0,1)</f>
        <v>1</v>
      </c>
      <c r="Y92" s="68">
        <f ca="1">IF(AND(SUMIF(Capacity_Resource,$D92,'Critical resources (hide)'!AL$6:AL$105)+SUMIF(Capacity_Resource,$E92,'Critical resources (hide)'!AL$6:AL$105)+SUMIF(Capacity_Resource,$F92,'Critical resources (hide)'!AL$6:AL$105)&gt;0,$E$1=2),0,1)</f>
        <v>1</v>
      </c>
      <c r="Z92" s="68">
        <f ca="1">IF(AND(SUMIF(Capacity_Resource,$D92,'Critical resources (hide)'!AM$6:AM$105)+SUMIF(Capacity_Resource,$E92,'Critical resources (hide)'!AM$6:AM$105)+SUMIF(Capacity_Resource,$F92,'Critical resources (hide)'!AM$6:AM$105)&gt;0,$E$1=2),0,1)</f>
        <v>1</v>
      </c>
      <c r="AA92" s="68">
        <f ca="1">IF(AND(SUMIF(Capacity_Resource,$D92,'Critical resources (hide)'!AN$6:AN$105)+SUMIF(Capacity_Resource,$E92,'Critical resources (hide)'!AN$6:AN$105)+SUMIF(Capacity_Resource,$F92,'Critical resources (hide)'!AN$6:AN$105)&gt;0,$E$1=2),0,1)</f>
        <v>1</v>
      </c>
      <c r="AB92" s="68">
        <f ca="1">IF(AND(SUMIF(Capacity_Resource,$D92,'Critical resources (hide)'!AO$6:AO$105)+SUMIF(Capacity_Resource,$E92,'Critical resources (hide)'!AO$6:AO$105)+SUMIF(Capacity_Resource,$F92,'Critical resources (hide)'!AO$6:AO$105)&gt;0,$E$1=2),0,1)</f>
        <v>1</v>
      </c>
      <c r="AC92" s="68">
        <f ca="1">IF(AND(SUMIF(Capacity_Resource,$D92,'Critical resources (hide)'!AP$6:AP$105)+SUMIF(Capacity_Resource,$E92,'Critical resources (hide)'!AP$6:AP$105)+SUMIF(Capacity_Resource,$F92,'Critical resources (hide)'!AP$6:AP$105)&gt;0,$E$1=2),0,1)</f>
        <v>1</v>
      </c>
      <c r="AD92" s="68">
        <f ca="1">IF(AND(SUMIF(Capacity_Resource,$D92,'Critical resources (hide)'!AQ$6:AQ$105)+SUMIF(Capacity_Resource,$E92,'Critical resources (hide)'!AQ$6:AQ$105)+SUMIF(Capacity_Resource,$F92,'Critical resources (hide)'!AQ$6:AQ$105)&gt;0,$E$1=2),0,1)</f>
        <v>1</v>
      </c>
      <c r="AE92" s="68">
        <f ca="1">IF(AND(SUMIF(Capacity_Resource,$D92,'Critical resources (hide)'!AR$6:AR$105)+SUMIF(Capacity_Resource,$E92,'Critical resources (hide)'!AR$6:AR$105)+SUMIF(Capacity_Resource,$F92,'Critical resources (hide)'!AR$6:AR$105)&gt;0,$E$1=2),0,1)</f>
        <v>1</v>
      </c>
      <c r="AF92" s="68">
        <f ca="1">IF(AND(SUMIF(Capacity_Resource,$D92,'Critical resources (hide)'!AS$6:AS$105)+SUMIF(Capacity_Resource,$E92,'Critical resources (hide)'!AS$6:AS$105)+SUMIF(Capacity_Resource,$F92,'Critical resources (hide)'!AS$6:AS$105)&gt;0,$E$1=2),0,1)</f>
        <v>1</v>
      </c>
      <c r="AG92" s="68">
        <f ca="1">IF(AND(SUMIF(Capacity_Resource,$D92,'Critical resources (hide)'!AT$6:AT$105)+SUMIF(Capacity_Resource,$E92,'Critical resources (hide)'!AT$6:AT$105)+SUMIF(Capacity_Resource,$F92,'Critical resources (hide)'!AT$6:AT$105)&gt;0,$E$1=2),0,1)</f>
        <v>1</v>
      </c>
      <c r="AH92" s="68">
        <f ca="1">IF(AND(SUMIF(Capacity_Resource,$D92,'Critical resources (hide)'!AU$6:AU$105)+SUMIF(Capacity_Resource,$E92,'Critical resources (hide)'!AU$6:AU$105)+SUMIF(Capacity_Resource,$F92,'Critical resources (hide)'!AU$6:AU$105)&gt;0,$E$1=2),0,1)</f>
        <v>1</v>
      </c>
      <c r="AI92" s="68">
        <f ca="1">IF(AND(SUMIF(Capacity_Resource,$D92,'Critical resources (hide)'!AV$6:AV$105)+SUMIF(Capacity_Resource,$E92,'Critical resources (hide)'!AV$6:AV$105)+SUMIF(Capacity_Resource,$F92,'Critical resources (hide)'!AV$6:AV$105)&gt;0,$E$1=2),0,1)</f>
        <v>1</v>
      </c>
      <c r="AJ92" s="68">
        <f ca="1">IF(AND(SUMIF(Capacity_Resource,$D92,'Critical resources (hide)'!AW$6:AW$105)+SUMIF(Capacity_Resource,$E92,'Critical resources (hide)'!AW$6:AW$105)+SUMIF(Capacity_Resource,$F92,'Critical resources (hide)'!AW$6:AW$105)&gt;0,$E$1=2),0,1)</f>
        <v>1</v>
      </c>
      <c r="AK92" s="68">
        <f ca="1">IF(AND(SUMIF(Capacity_Resource,$D92,'Critical resources (hide)'!AX$6:AX$105)+SUMIF(Capacity_Resource,$E92,'Critical resources (hide)'!AX$6:AX$105)+SUMIF(Capacity_Resource,$F92,'Critical resources (hide)'!AX$6:AX$105)&gt;0,$E$1=2),0,1)</f>
        <v>1</v>
      </c>
      <c r="AL92" s="68">
        <f ca="1">IF(AND(SUMIF(Capacity_Resource,$D92,'Critical resources (hide)'!AY$6:AY$105)+SUMIF(Capacity_Resource,$E92,'Critical resources (hide)'!AY$6:AY$105)+SUMIF(Capacity_Resource,$F92,'Critical resources (hide)'!AY$6:AY$105)&gt;0,$E$1=2),0,1)</f>
        <v>1</v>
      </c>
      <c r="AM92" s="68">
        <f ca="1">IF(AND(SUMIF(Capacity_Resource,$D92,'Critical resources (hide)'!AZ$6:AZ$105)+SUMIF(Capacity_Resource,$E92,'Critical resources (hide)'!AZ$6:AZ$105)+SUMIF(Capacity_Resource,$F92,'Critical resources (hide)'!AZ$6:AZ$105)&gt;0,$E$1=2),0,1)</f>
        <v>1</v>
      </c>
      <c r="AN92" s="68">
        <f ca="1">IF(AND(SUMIF(Capacity_Resource,$D92,'Critical resources (hide)'!BA$6:BA$105)+SUMIF(Capacity_Resource,$E92,'Critical resources (hide)'!BA$6:BA$105)+SUMIF(Capacity_Resource,$F92,'Critical resources (hide)'!BA$6:BA$105)&gt;0,$E$1=2),0,1)</f>
        <v>1</v>
      </c>
      <c r="AO92" s="68">
        <f ca="1">IF(AND(SUMIF(Capacity_Resource,$D92,'Critical resources (hide)'!BB$6:BB$105)+SUMIF(Capacity_Resource,$E92,'Critical resources (hide)'!BB$6:BB$105)+SUMIF(Capacity_Resource,$F92,'Critical resources (hide)'!BB$6:BB$105)&gt;0,$E$1=2),0,1)</f>
        <v>1</v>
      </c>
      <c r="AP92" s="68">
        <f ca="1">IF(AND(SUMIF(Capacity_Resource,$D92,'Critical resources (hide)'!BC$6:BC$105)+SUMIF(Capacity_Resource,$E92,'Critical resources (hide)'!BC$6:BC$105)+SUMIF(Capacity_Resource,$F92,'Critical resources (hide)'!BC$6:BC$105)&gt;0,$E$1=2),0,1)</f>
        <v>1</v>
      </c>
      <c r="AQ92" s="68">
        <f ca="1">IF(AND(SUMIF(Capacity_Resource,$D92,'Critical resources (hide)'!BD$6:BD$105)+SUMIF(Capacity_Resource,$E92,'Critical resources (hide)'!BD$6:BD$105)+SUMIF(Capacity_Resource,$F92,'Critical resources (hide)'!BD$6:BD$105)&gt;0,$E$1=2),0,1)</f>
        <v>1</v>
      </c>
      <c r="AR92" s="68">
        <f ca="1">IF(AND(SUMIF(Capacity_Resource,$D92,'Critical resources (hide)'!BE$6:BE$105)+SUMIF(Capacity_Resource,$E92,'Critical resources (hide)'!BE$6:BE$105)+SUMIF(Capacity_Resource,$F92,'Critical resources (hide)'!BE$6:BE$105)&gt;0,$E$1=2),0,1)</f>
        <v>1</v>
      </c>
      <c r="AS92" s="68">
        <f ca="1">IF(AND(SUMIF(Capacity_Resource,$D92,'Critical resources (hide)'!BF$6:BF$105)+SUMIF(Capacity_Resource,$E92,'Critical resources (hide)'!BF$6:BF$105)+SUMIF(Capacity_Resource,$F92,'Critical resources (hide)'!BF$6:BF$105)&gt;0,$E$1=2),0,1)</f>
        <v>1</v>
      </c>
      <c r="AT92" s="68">
        <f ca="1">IF(AND(SUMIF(Capacity_Resource,$D92,'Critical resources (hide)'!BG$6:BG$105)+SUMIF(Capacity_Resource,$E92,'Critical resources (hide)'!BG$6:BG$105)+SUMIF(Capacity_Resource,$F92,'Critical resources (hide)'!BG$6:BG$105)&gt;0,$E$1=2),0,1)</f>
        <v>1</v>
      </c>
      <c r="AU92" s="68">
        <f ca="1">IF(AND(SUMIF(Capacity_Resource,$D92,'Critical resources (hide)'!BH$6:BH$105)+SUMIF(Capacity_Resource,$E92,'Critical resources (hide)'!BH$6:BH$105)+SUMIF(Capacity_Resource,$F92,'Critical resources (hide)'!BH$6:BH$105)&gt;0,$E$1=2),0,1)</f>
        <v>1</v>
      </c>
      <c r="AV92" s="68">
        <f ca="1">IF(AND(SUMIF(Capacity_Resource,$D92,'Critical resources (hide)'!BI$6:BI$105)+SUMIF(Capacity_Resource,$E92,'Critical resources (hide)'!BI$6:BI$105)+SUMIF(Capacity_Resource,$F92,'Critical resources (hide)'!BI$6:BI$105)&gt;0,$E$1=2),0,1)</f>
        <v>1</v>
      </c>
      <c r="AW92" s="68">
        <f ca="1">IF(AND(SUMIF(Capacity_Resource,$D92,'Critical resources (hide)'!BJ$6:BJ$105)+SUMIF(Capacity_Resource,$E92,'Critical resources (hide)'!BJ$6:BJ$105)+SUMIF(Capacity_Resource,$F92,'Critical resources (hide)'!BJ$6:BJ$105)&gt;0,$E$1=2),0,1)</f>
        <v>1</v>
      </c>
      <c r="AX92" s="68">
        <f ca="1">IF(AND(SUMIF(Capacity_Resource,$D92,'Critical resources (hide)'!BK$6:BK$105)+SUMIF(Capacity_Resource,$E92,'Critical resources (hide)'!BK$6:BK$105)+SUMIF(Capacity_Resource,$F92,'Critical resources (hide)'!BK$6:BK$105)&gt;0,$E$1=2),0,1)</f>
        <v>1</v>
      </c>
      <c r="AY92" s="68">
        <f ca="1">IF(AND(SUMIF(Capacity_Resource,$D92,'Critical resources (hide)'!BL$6:BL$105)+SUMIF(Capacity_Resource,$E92,'Critical resources (hide)'!BL$6:BL$105)+SUMIF(Capacity_Resource,$F92,'Critical resources (hide)'!BL$6:BL$105)&gt;0,$E$1=2),0,1)</f>
        <v>1</v>
      </c>
      <c r="AZ92" s="68">
        <f ca="1">IF(AND(SUMIF(Capacity_Resource,$D92,'Critical resources (hide)'!BM$6:BM$105)+SUMIF(Capacity_Resource,$E92,'Critical resources (hide)'!BM$6:BM$105)+SUMIF(Capacity_Resource,$F92,'Critical resources (hide)'!BM$6:BM$105)&gt;0,$E$1=2),0,1)</f>
        <v>1</v>
      </c>
      <c r="BA92" s="68">
        <f ca="1">IF(AND(SUMIF(Capacity_Resource,$D92,'Critical resources (hide)'!BN$6:BN$105)+SUMIF(Capacity_Resource,$E92,'Critical resources (hide)'!BN$6:BN$105)+SUMIF(Capacity_Resource,$F92,'Critical resources (hide)'!BN$6:BN$105)&gt;0,$E$1=2),0,1)</f>
        <v>1</v>
      </c>
      <c r="BB92" s="68">
        <f ca="1">IF(AND(SUMIF(Capacity_Resource,$D92,'Critical resources (hide)'!BO$6:BO$105)+SUMIF(Capacity_Resource,$E92,'Critical resources (hide)'!BO$6:BO$105)+SUMIF(Capacity_Resource,$F92,'Critical resources (hide)'!BO$6:BO$105)&gt;0,$E$1=2),0,1)</f>
        <v>1</v>
      </c>
      <c r="BC92" s="68">
        <f ca="1">IF(AND(SUMIF(Capacity_Resource,$D92,'Critical resources (hide)'!BP$6:BP$105)+SUMIF(Capacity_Resource,$E92,'Critical resources (hide)'!BP$6:BP$105)+SUMIF(Capacity_Resource,$F92,'Critical resources (hide)'!BP$6:BP$105)&gt;0,$E$1=2),0,1)</f>
        <v>1</v>
      </c>
      <c r="BD92" s="68">
        <f ca="1">IF(AND(SUMIF(Capacity_Resource,$D92,'Critical resources (hide)'!BQ$6:BQ$105)+SUMIF(Capacity_Resource,$E92,'Critical resources (hide)'!BQ$6:BQ$105)+SUMIF(Capacity_Resource,$F92,'Critical resources (hide)'!BQ$6:BQ$105)&gt;0,$E$1=2),0,1)</f>
        <v>1</v>
      </c>
      <c r="BE92" s="68">
        <f ca="1">IF(AND(SUMIF(Capacity_Resource,$D92,'Critical resources (hide)'!BR$6:BR$105)+SUMIF(Capacity_Resource,$E92,'Critical resources (hide)'!BR$6:BR$105)+SUMIF(Capacity_Resource,$F92,'Critical resources (hide)'!BR$6:BR$105)&gt;0,$E$1=2),0,1)</f>
        <v>1</v>
      </c>
      <c r="BF92" s="68">
        <f ca="1">IF(AND(SUMIF(Capacity_Resource,$D92,'Critical resources (hide)'!BS$6:BS$105)+SUMIF(Capacity_Resource,$E92,'Critical resources (hide)'!BS$6:BS$105)+SUMIF(Capacity_Resource,$F92,'Critical resources (hide)'!BS$6:BS$105)&gt;0,$E$1=2),0,1)</f>
        <v>1</v>
      </c>
      <c r="BG92" s="68">
        <f ca="1">IF(AND(SUMIF(Capacity_Resource,$D92,'Critical resources (hide)'!BT$6:BT$105)+SUMIF(Capacity_Resource,$E92,'Critical resources (hide)'!BT$6:BT$105)+SUMIF(Capacity_Resource,$F92,'Critical resources (hide)'!BT$6:BT$105)&gt;0,$E$1=2),0,1)</f>
        <v>1</v>
      </c>
      <c r="BH92" s="68">
        <f>IF(ROW(C88)&lt;=Capacity!$A$16,IF('Capacity summary'!$D$14="No",SUM(H92:BG92),'Capacity summary'!$E211),0)</f>
        <v>0</v>
      </c>
      <c r="BI92" s="5" t="str">
        <f>IF(BH92&gt;0,IF(BH92&lt;Capacity!E104,Capacity!F104,Capacity!H104/'Capacity calculation (hide)'!BH92),"")</f>
        <v/>
      </c>
      <c r="BK92" s="319">
        <f>IF($BI92&lt;&gt;"",IF('Capacity summary'!$D$14="Yes",IF(COUNTBLANK('Capacity summary'!$H211:$BG211)&lt;52,IF('Capacity summary'!H211&lt;&gt;"",$BI92*H92,0),H92*$BI92),H92*$BI92),0)</f>
        <v>0</v>
      </c>
      <c r="BL92" s="319">
        <f>IF($BI92&lt;&gt;"",IF('Capacity summary'!$D$14="Yes",IF(COUNTBLANK('Capacity summary'!$H211:$BG211)&lt;52,IF('Capacity summary'!I211&lt;&gt;"",$BI92*I92,0),I92*$BI92),I92*$BI92),0)</f>
        <v>0</v>
      </c>
      <c r="BM92" s="319">
        <f>IF($BI92&lt;&gt;"",IF('Capacity summary'!$D$14="Yes",IF(COUNTBLANK('Capacity summary'!$H211:$BG211)&lt;52,IF('Capacity summary'!J211&lt;&gt;"",$BI92*J92,0),J92*$BI92),J92*$BI92),0)</f>
        <v>0</v>
      </c>
      <c r="BN92" s="319">
        <f>IF($BI92&lt;&gt;"",IF('Capacity summary'!$D$14="Yes",IF(COUNTBLANK('Capacity summary'!$H211:$BG211)&lt;52,IF('Capacity summary'!K211&lt;&gt;"",$BI92*K92,0),K92*$BI92),K92*$BI92),0)</f>
        <v>0</v>
      </c>
      <c r="BO92" s="319">
        <f>IF($BI92&lt;&gt;"",IF('Capacity summary'!$D$14="Yes",IF(COUNTBLANK('Capacity summary'!$H211:$BG211)&lt;52,IF('Capacity summary'!L211&lt;&gt;"",$BI92*L92,0),L92*$BI92),L92*$BI92),0)</f>
        <v>0</v>
      </c>
      <c r="BP92" s="319">
        <f>IF($BI92&lt;&gt;"",IF('Capacity summary'!$D$14="Yes",IF(COUNTBLANK('Capacity summary'!$H211:$BG211)&lt;52,IF('Capacity summary'!M211&lt;&gt;"",$BI92*M92,0),M92*$BI92),M92*$BI92),0)</f>
        <v>0</v>
      </c>
      <c r="BQ92" s="319">
        <f>IF($BI92&lt;&gt;"",IF('Capacity summary'!$D$14="Yes",IF(COUNTBLANK('Capacity summary'!$H211:$BG211)&lt;52,IF('Capacity summary'!N211&lt;&gt;"",$BI92*N92,0),N92*$BI92),N92*$BI92),0)</f>
        <v>0</v>
      </c>
      <c r="BR92" s="319">
        <f>IF($BI92&lt;&gt;"",IF('Capacity summary'!$D$14="Yes",IF(COUNTBLANK('Capacity summary'!$H211:$BG211)&lt;52,IF('Capacity summary'!O211&lt;&gt;"",$BI92*O92,0),O92*$BI92),O92*$BI92),0)</f>
        <v>0</v>
      </c>
      <c r="BS92" s="319">
        <f>IF($BI92&lt;&gt;"",IF('Capacity summary'!$D$14="Yes",IF(COUNTBLANK('Capacity summary'!$H211:$BG211)&lt;52,IF('Capacity summary'!P211&lt;&gt;"",$BI92*P92,0),P92*$BI92),P92*$BI92),0)</f>
        <v>0</v>
      </c>
      <c r="BT92" s="319">
        <f>IF($BI92&lt;&gt;"",IF('Capacity summary'!$D$14="Yes",IF(COUNTBLANK('Capacity summary'!$H211:$BG211)&lt;52,IF('Capacity summary'!Q211&lt;&gt;"",$BI92*Q92,0),Q92*$BI92),Q92*$BI92),0)</f>
        <v>0</v>
      </c>
      <c r="BU92" s="319">
        <f>IF($BI92&lt;&gt;"",IF('Capacity summary'!$D$14="Yes",IF(COUNTBLANK('Capacity summary'!$H211:$BG211)&lt;52,IF('Capacity summary'!R211&lt;&gt;"",$BI92*R92,0),R92*$BI92),R92*$BI92),0)</f>
        <v>0</v>
      </c>
      <c r="BV92" s="319">
        <f>IF($BI92&lt;&gt;"",IF('Capacity summary'!$D$14="Yes",IF(COUNTBLANK('Capacity summary'!$H211:$BG211)&lt;52,IF('Capacity summary'!S211&lt;&gt;"",$BI92*S92,0),S92*$BI92),S92*$BI92),0)</f>
        <v>0</v>
      </c>
      <c r="BW92" s="319">
        <f>IF($BI92&lt;&gt;"",IF('Capacity summary'!$D$14="Yes",IF(COUNTBLANK('Capacity summary'!$H211:$BG211)&lt;52,IF('Capacity summary'!T211&lt;&gt;"",$BI92*T92,0),T92*$BI92),T92*$BI92),0)</f>
        <v>0</v>
      </c>
      <c r="BX92" s="319">
        <f>IF($BI92&lt;&gt;"",IF('Capacity summary'!$D$14="Yes",IF(COUNTBLANK('Capacity summary'!$H211:$BG211)&lt;52,IF('Capacity summary'!U211&lt;&gt;"",$BI92*U92,0),U92*$BI92),U92*$BI92),0)</f>
        <v>0</v>
      </c>
      <c r="BY92" s="319">
        <f>IF($BI92&lt;&gt;"",IF('Capacity summary'!$D$14="Yes",IF(COUNTBLANK('Capacity summary'!$H211:$BG211)&lt;52,IF('Capacity summary'!V211&lt;&gt;"",$BI92*V92,0),V92*$BI92),V92*$BI92),0)</f>
        <v>0</v>
      </c>
      <c r="BZ92" s="319">
        <f>IF($BI92&lt;&gt;"",IF('Capacity summary'!$D$14="Yes",IF(COUNTBLANK('Capacity summary'!$H211:$BG211)&lt;52,IF('Capacity summary'!W211&lt;&gt;"",$BI92*W92,0),W92*$BI92),W92*$BI92),0)</f>
        <v>0</v>
      </c>
      <c r="CA92" s="319">
        <f>IF($BI92&lt;&gt;"",IF('Capacity summary'!$D$14="Yes",IF(COUNTBLANK('Capacity summary'!$H211:$BG211)&lt;52,IF('Capacity summary'!X211&lt;&gt;"",$BI92*X92,0),X92*$BI92),X92*$BI92),0)</f>
        <v>0</v>
      </c>
      <c r="CB92" s="319">
        <f>IF($BI92&lt;&gt;"",IF('Capacity summary'!$D$14="Yes",IF(COUNTBLANK('Capacity summary'!$H211:$BG211)&lt;52,IF('Capacity summary'!Y211&lt;&gt;"",$BI92*Y92,0),Y92*$BI92),Y92*$BI92),0)</f>
        <v>0</v>
      </c>
      <c r="CC92" s="319">
        <f>IF($BI92&lt;&gt;"",IF('Capacity summary'!$D$14="Yes",IF(COUNTBLANK('Capacity summary'!$H211:$BG211)&lt;52,IF('Capacity summary'!Z211&lt;&gt;"",$BI92*Z92,0),Z92*$BI92),Z92*$BI92),0)</f>
        <v>0</v>
      </c>
      <c r="CD92" s="319">
        <f>IF($BI92&lt;&gt;"",IF('Capacity summary'!$D$14="Yes",IF(COUNTBLANK('Capacity summary'!$H211:$BG211)&lt;52,IF('Capacity summary'!AA211&lt;&gt;"",$BI92*AA92,0),AA92*$BI92),AA92*$BI92),0)</f>
        <v>0</v>
      </c>
      <c r="CE92" s="319">
        <f>IF($BI92&lt;&gt;"",IF('Capacity summary'!$D$14="Yes",IF(COUNTBLANK('Capacity summary'!$H211:$BG211)&lt;52,IF('Capacity summary'!AB211&lt;&gt;"",$BI92*AB92,0),AB92*$BI92),AB92*$BI92),0)</f>
        <v>0</v>
      </c>
      <c r="CF92" s="319">
        <f>IF($BI92&lt;&gt;"",IF('Capacity summary'!$D$14="Yes",IF(COUNTBLANK('Capacity summary'!$H211:$BG211)&lt;52,IF('Capacity summary'!AC211&lt;&gt;"",$BI92*AC92,0),AC92*$BI92),AC92*$BI92),0)</f>
        <v>0</v>
      </c>
      <c r="CG92" s="319">
        <f>IF($BI92&lt;&gt;"",IF('Capacity summary'!$D$14="Yes",IF(COUNTBLANK('Capacity summary'!$H211:$BG211)&lt;52,IF('Capacity summary'!AD211&lt;&gt;"",$BI92*AD92,0),AD92*$BI92),AD92*$BI92),0)</f>
        <v>0</v>
      </c>
      <c r="CH92" s="319">
        <f>IF($BI92&lt;&gt;"",IF('Capacity summary'!$D$14="Yes",IF(COUNTBLANK('Capacity summary'!$H211:$BG211)&lt;52,IF('Capacity summary'!AE211&lt;&gt;"",$BI92*AE92,0),AE92*$BI92),AE92*$BI92),0)</f>
        <v>0</v>
      </c>
      <c r="CI92" s="319">
        <f>IF($BI92&lt;&gt;"",IF('Capacity summary'!$D$14="Yes",IF(COUNTBLANK('Capacity summary'!$H211:$BG211)&lt;52,IF('Capacity summary'!AF211&lt;&gt;"",$BI92*AF92,0),AF92*$BI92),AF92*$BI92),0)</f>
        <v>0</v>
      </c>
      <c r="CJ92" s="319">
        <f>IF($BI92&lt;&gt;"",IF('Capacity summary'!$D$14="Yes",IF(COUNTBLANK('Capacity summary'!$H211:$BG211)&lt;52,IF('Capacity summary'!AG211&lt;&gt;"",$BI92*AG92,0),AG92*$BI92),AG92*$BI92),0)</f>
        <v>0</v>
      </c>
      <c r="CK92" s="319">
        <f>IF($BI92&lt;&gt;"",IF('Capacity summary'!$D$14="Yes",IF(COUNTBLANK('Capacity summary'!$H211:$BG211)&lt;52,IF('Capacity summary'!AH211&lt;&gt;"",$BI92*AH92,0),AH92*$BI92),AH92*$BI92),0)</f>
        <v>0</v>
      </c>
      <c r="CL92" s="319">
        <f>IF($BI92&lt;&gt;"",IF('Capacity summary'!$D$14="Yes",IF(COUNTBLANK('Capacity summary'!$H211:$BG211)&lt;52,IF('Capacity summary'!AI211&lt;&gt;"",$BI92*AI92,0),AI92*$BI92),AI92*$BI92),0)</f>
        <v>0</v>
      </c>
      <c r="CM92" s="319">
        <f>IF($BI92&lt;&gt;"",IF('Capacity summary'!$D$14="Yes",IF(COUNTBLANK('Capacity summary'!$H211:$BG211)&lt;52,IF('Capacity summary'!AJ211&lt;&gt;"",$BI92*AJ92,0),AJ92*$BI92),AJ92*$BI92),0)</f>
        <v>0</v>
      </c>
      <c r="CN92" s="319">
        <f>IF($BI92&lt;&gt;"",IF('Capacity summary'!$D$14="Yes",IF(COUNTBLANK('Capacity summary'!$H211:$BG211)&lt;52,IF('Capacity summary'!AK211&lt;&gt;"",$BI92*AK92,0),AK92*$BI92),AK92*$BI92),0)</f>
        <v>0</v>
      </c>
      <c r="CO92" s="319">
        <f>IF($BI92&lt;&gt;"",IF('Capacity summary'!$D$14="Yes",IF(COUNTBLANK('Capacity summary'!$H211:$BG211)&lt;52,IF('Capacity summary'!AL211&lt;&gt;"",$BI92*AL92,0),AL92*$BI92),AL92*$BI92),0)</f>
        <v>0</v>
      </c>
      <c r="CP92" s="319">
        <f>IF($BI92&lt;&gt;"",IF('Capacity summary'!$D$14="Yes",IF(COUNTBLANK('Capacity summary'!$H211:$BG211)&lt;52,IF('Capacity summary'!AM211&lt;&gt;"",$BI92*AM92,0),AM92*$BI92),AM92*$BI92),0)</f>
        <v>0</v>
      </c>
      <c r="CQ92" s="319">
        <f>IF($BI92&lt;&gt;"",IF('Capacity summary'!$D$14="Yes",IF(COUNTBLANK('Capacity summary'!$H211:$BG211)&lt;52,IF('Capacity summary'!AN211&lt;&gt;"",$BI92*AN92,0),AN92*$BI92),AN92*$BI92),0)</f>
        <v>0</v>
      </c>
      <c r="CR92" s="319">
        <f>IF($BI92&lt;&gt;"",IF('Capacity summary'!$D$14="Yes",IF(COUNTBLANK('Capacity summary'!$H211:$BG211)&lt;52,IF('Capacity summary'!AO211&lt;&gt;"",$BI92*AO92,0),AO92*$BI92),AO92*$BI92),0)</f>
        <v>0</v>
      </c>
      <c r="CS92" s="319">
        <f>IF($BI92&lt;&gt;"",IF('Capacity summary'!$D$14="Yes",IF(COUNTBLANK('Capacity summary'!$H211:$BG211)&lt;52,IF('Capacity summary'!AP211&lt;&gt;"",$BI92*AP92,0),AP92*$BI92),AP92*$BI92),0)</f>
        <v>0</v>
      </c>
      <c r="CT92" s="319">
        <f>IF($BI92&lt;&gt;"",IF('Capacity summary'!$D$14="Yes",IF(COUNTBLANK('Capacity summary'!$H211:$BG211)&lt;52,IF('Capacity summary'!AQ211&lt;&gt;"",$BI92*AQ92,0),AQ92*$BI92),AQ92*$BI92),0)</f>
        <v>0</v>
      </c>
      <c r="CU92" s="319">
        <f>IF($BI92&lt;&gt;"",IF('Capacity summary'!$D$14="Yes",IF(COUNTBLANK('Capacity summary'!$H211:$BG211)&lt;52,IF('Capacity summary'!AR211&lt;&gt;"",$BI92*AR92,0),AR92*$BI92),AR92*$BI92),0)</f>
        <v>0</v>
      </c>
      <c r="CV92" s="319">
        <f>IF($BI92&lt;&gt;"",IF('Capacity summary'!$D$14="Yes",IF(COUNTBLANK('Capacity summary'!$H211:$BG211)&lt;52,IF('Capacity summary'!AS211&lt;&gt;"",$BI92*AS92,0),AS92*$BI92),AS92*$BI92),0)</f>
        <v>0</v>
      </c>
      <c r="CW92" s="319">
        <f>IF($BI92&lt;&gt;"",IF('Capacity summary'!$D$14="Yes",IF(COUNTBLANK('Capacity summary'!$H211:$BG211)&lt;52,IF('Capacity summary'!AT211&lt;&gt;"",$BI92*AT92,0),AT92*$BI92),AT92*$BI92),0)</f>
        <v>0</v>
      </c>
      <c r="CX92" s="319">
        <f>IF($BI92&lt;&gt;"",IF('Capacity summary'!$D$14="Yes",IF(COUNTBLANK('Capacity summary'!$H211:$BG211)&lt;52,IF('Capacity summary'!AU211&lt;&gt;"",$BI92*AU92,0),AU92*$BI92),AU92*$BI92),0)</f>
        <v>0</v>
      </c>
      <c r="CY92" s="319">
        <f>IF($BI92&lt;&gt;"",IF('Capacity summary'!$D$14="Yes",IF(COUNTBLANK('Capacity summary'!$H211:$BG211)&lt;52,IF('Capacity summary'!AV211&lt;&gt;"",$BI92*AV92,0),AV92*$BI92),AV92*$BI92),0)</f>
        <v>0</v>
      </c>
      <c r="CZ92" s="319">
        <f>IF($BI92&lt;&gt;"",IF('Capacity summary'!$D$14="Yes",IF(COUNTBLANK('Capacity summary'!$H211:$BG211)&lt;52,IF('Capacity summary'!AW211&lt;&gt;"",$BI92*AW92,0),AW92*$BI92),AW92*$BI92),0)</f>
        <v>0</v>
      </c>
      <c r="DA92" s="319">
        <f>IF($BI92&lt;&gt;"",IF('Capacity summary'!$D$14="Yes",IF(COUNTBLANK('Capacity summary'!$H211:$BG211)&lt;52,IF('Capacity summary'!AX211&lt;&gt;"",$BI92*AX92,0),AX92*$BI92),AX92*$BI92),0)</f>
        <v>0</v>
      </c>
      <c r="DB92" s="319">
        <f>IF($BI92&lt;&gt;"",IF('Capacity summary'!$D$14="Yes",IF(COUNTBLANK('Capacity summary'!$H211:$BG211)&lt;52,IF('Capacity summary'!AY211&lt;&gt;"",$BI92*AY92,0),AY92*$BI92),AY92*$BI92),0)</f>
        <v>0</v>
      </c>
      <c r="DC92" s="319">
        <f>IF($BI92&lt;&gt;"",IF('Capacity summary'!$D$14="Yes",IF(COUNTBLANK('Capacity summary'!$H211:$BG211)&lt;52,IF('Capacity summary'!AZ211&lt;&gt;"",$BI92*AZ92,0),AZ92*$BI92),AZ92*$BI92),0)</f>
        <v>0</v>
      </c>
      <c r="DD92" s="319">
        <f>IF($BI92&lt;&gt;"",IF('Capacity summary'!$D$14="Yes",IF(COUNTBLANK('Capacity summary'!$H211:$BG211)&lt;52,IF('Capacity summary'!BA211&lt;&gt;"",$BI92*BA92,0),BA92*$BI92),BA92*$BI92),0)</f>
        <v>0</v>
      </c>
      <c r="DE92" s="319">
        <f>IF($BI92&lt;&gt;"",IF('Capacity summary'!$D$14="Yes",IF(COUNTBLANK('Capacity summary'!$H211:$BG211)&lt;52,IF('Capacity summary'!BB211&lt;&gt;"",$BI92*BB92,0),BB92*$BI92),BB92*$BI92),0)</f>
        <v>0</v>
      </c>
      <c r="DF92" s="319">
        <f>IF($BI92&lt;&gt;"",IF('Capacity summary'!$D$14="Yes",IF(COUNTBLANK('Capacity summary'!$H211:$BG211)&lt;52,IF('Capacity summary'!BC211&lt;&gt;"",$BI92*BC92,0),BC92*$BI92),BC92*$BI92),0)</f>
        <v>0</v>
      </c>
      <c r="DG92" s="319">
        <f>IF($BI92&lt;&gt;"",IF('Capacity summary'!$D$14="Yes",IF(COUNTBLANK('Capacity summary'!$H211:$BG211)&lt;52,IF('Capacity summary'!BD211&lt;&gt;"",$BI92*BD92,0),BD92*$BI92),BD92*$BI92),0)</f>
        <v>0</v>
      </c>
      <c r="DH92" s="319">
        <f>IF($BI92&lt;&gt;"",IF('Capacity summary'!$D$14="Yes",IF(COUNTBLANK('Capacity summary'!$H211:$BG211)&lt;52,IF('Capacity summary'!BE211&lt;&gt;"",$BI92*BE92,0),BE92*$BI92),BE92*$BI92),0)</f>
        <v>0</v>
      </c>
      <c r="DI92" s="319">
        <f>IF($BI92&lt;&gt;"",IF('Capacity summary'!$D$14="Yes",IF(COUNTBLANK('Capacity summary'!$H211:$BG211)&lt;52,IF('Capacity summary'!BF211&lt;&gt;"",$BI92*BF92,0),BF92*$BI92),BF92*$BI92),0)</f>
        <v>0</v>
      </c>
      <c r="DJ92" s="319">
        <f>IF($BI92&lt;&gt;"",IF('Capacity summary'!$D$14="Yes",IF(COUNTBLANK('Capacity summary'!$H211:$BG211)&lt;52,IF('Capacity summary'!BG211&lt;&gt;"",$BI92*BG92,0),BG92*$BI92),BG92*$BI92),0)</f>
        <v>0</v>
      </c>
      <c r="DK92" s="5">
        <f t="shared" si="3"/>
        <v>0</v>
      </c>
      <c r="DL92" s="5" t="str">
        <f>Capacity!H104</f>
        <v/>
      </c>
    </row>
    <row r="93" spans="2:116" x14ac:dyDescent="0.2">
      <c r="B93" s="68"/>
      <c r="C93" s="68" t="str">
        <f>ROW(A89)&amp;". "&amp;Capacity!B105</f>
        <v xml:space="preserve">89. </v>
      </c>
      <c r="D93" s="68">
        <f>'Capacity setup'!C100</f>
        <v>0</v>
      </c>
      <c r="E93" s="68">
        <f>'Capacity setup'!D100</f>
        <v>0</v>
      </c>
      <c r="F93" s="68">
        <f>'Capacity setup'!E100</f>
        <v>0</v>
      </c>
      <c r="H93" s="68">
        <f ca="1">IF(AND(SUMIF(Capacity_Resource,$D93,'Critical resources (hide)'!U$6:U$105)+SUMIF(Capacity_Resource,$E93,'Critical resources (hide)'!U$6:U$105)+SUMIF(Capacity_Resource,$F93,'Critical resources (hide)'!U$6:U$105)&gt;0,$E$1=2),0,1)</f>
        <v>1</v>
      </c>
      <c r="I93" s="68">
        <f ca="1">IF(AND(SUMIF(Capacity_Resource,$D93,'Critical resources (hide)'!V$6:V$105)+SUMIF(Capacity_Resource,$E93,'Critical resources (hide)'!V$6:V$105)+SUMIF(Capacity_Resource,$F93,'Critical resources (hide)'!V$6:V$105)&gt;0,$E$1=2),0,1)</f>
        <v>1</v>
      </c>
      <c r="J93" s="68">
        <f ca="1">IF(AND(SUMIF(Capacity_Resource,$D93,'Critical resources (hide)'!W$6:W$105)+SUMIF(Capacity_Resource,$E93,'Critical resources (hide)'!W$6:W$105)+SUMIF(Capacity_Resource,$F93,'Critical resources (hide)'!W$6:W$105)&gt;0,$E$1=2),0,1)</f>
        <v>1</v>
      </c>
      <c r="K93" s="68">
        <f ca="1">IF(AND(SUMIF(Capacity_Resource,$D93,'Critical resources (hide)'!X$6:X$105)+SUMIF(Capacity_Resource,$E93,'Critical resources (hide)'!X$6:X$105)+SUMIF(Capacity_Resource,$F93,'Critical resources (hide)'!X$6:X$105)&gt;0,$E$1=2),0,1)</f>
        <v>1</v>
      </c>
      <c r="L93" s="68">
        <f ca="1">IF(AND(SUMIF(Capacity_Resource,$D93,'Critical resources (hide)'!Y$6:Y$105)+SUMIF(Capacity_Resource,$E93,'Critical resources (hide)'!Y$6:Y$105)+SUMIF(Capacity_Resource,$F93,'Critical resources (hide)'!Y$6:Y$105)&gt;0,$E$1=2),0,1)</f>
        <v>1</v>
      </c>
      <c r="M93" s="68">
        <f ca="1">IF(AND(SUMIF(Capacity_Resource,$D93,'Critical resources (hide)'!Z$6:Z$105)+SUMIF(Capacity_Resource,$E93,'Critical resources (hide)'!Z$6:Z$105)+SUMIF(Capacity_Resource,$F93,'Critical resources (hide)'!Z$6:Z$105)&gt;0,$E$1=2),0,1)</f>
        <v>1</v>
      </c>
      <c r="N93" s="68">
        <f ca="1">IF(AND(SUMIF(Capacity_Resource,$D93,'Critical resources (hide)'!AA$6:AA$105)+SUMIF(Capacity_Resource,$E93,'Critical resources (hide)'!AA$6:AA$105)+SUMIF(Capacity_Resource,$F93,'Critical resources (hide)'!AA$6:AA$105)&gt;0,$E$1=2),0,1)</f>
        <v>1</v>
      </c>
      <c r="O93" s="68">
        <f ca="1">IF(AND(SUMIF(Capacity_Resource,$D93,'Critical resources (hide)'!AB$6:AB$105)+SUMIF(Capacity_Resource,$E93,'Critical resources (hide)'!AB$6:AB$105)+SUMIF(Capacity_Resource,$F93,'Critical resources (hide)'!AB$6:AB$105)&gt;0,$E$1=2),0,1)</f>
        <v>1</v>
      </c>
      <c r="P93" s="68">
        <f ca="1">IF(AND(SUMIF(Capacity_Resource,$D93,'Critical resources (hide)'!AC$6:AC$105)+SUMIF(Capacity_Resource,$E93,'Critical resources (hide)'!AC$6:AC$105)+SUMIF(Capacity_Resource,$F93,'Critical resources (hide)'!AC$6:AC$105)&gt;0,$E$1=2),0,1)</f>
        <v>1</v>
      </c>
      <c r="Q93" s="68">
        <f ca="1">IF(AND(SUMIF(Capacity_Resource,$D93,'Critical resources (hide)'!AD$6:AD$105)+SUMIF(Capacity_Resource,$E93,'Critical resources (hide)'!AD$6:AD$105)+SUMIF(Capacity_Resource,$F93,'Critical resources (hide)'!AD$6:AD$105)&gt;0,$E$1=2),0,1)</f>
        <v>1</v>
      </c>
      <c r="R93" s="68">
        <f ca="1">IF(AND(SUMIF(Capacity_Resource,$D93,'Critical resources (hide)'!AE$6:AE$105)+SUMIF(Capacity_Resource,$E93,'Critical resources (hide)'!AE$6:AE$105)+SUMIF(Capacity_Resource,$F93,'Critical resources (hide)'!AE$6:AE$105)&gt;0,$E$1=2),0,1)</f>
        <v>1</v>
      </c>
      <c r="S93" s="68">
        <f ca="1">IF(AND(SUMIF(Capacity_Resource,$D93,'Critical resources (hide)'!AF$6:AF$105)+SUMIF(Capacity_Resource,$E93,'Critical resources (hide)'!AF$6:AF$105)+SUMIF(Capacity_Resource,$F93,'Critical resources (hide)'!AF$6:AF$105)&gt;0,$E$1=2),0,1)</f>
        <v>1</v>
      </c>
      <c r="T93" s="68">
        <f ca="1">IF(AND(SUMIF(Capacity_Resource,$D93,'Critical resources (hide)'!AG$6:AG$105)+SUMIF(Capacity_Resource,$E93,'Critical resources (hide)'!AG$6:AG$105)+SUMIF(Capacity_Resource,$F93,'Critical resources (hide)'!AG$6:AG$105)&gt;0,$E$1=2),0,1)</f>
        <v>1</v>
      </c>
      <c r="U93" s="68">
        <f ca="1">IF(AND(SUMIF(Capacity_Resource,$D93,'Critical resources (hide)'!AH$6:AH$105)+SUMIF(Capacity_Resource,$E93,'Critical resources (hide)'!AH$6:AH$105)+SUMIF(Capacity_Resource,$F93,'Critical resources (hide)'!AH$6:AH$105)&gt;0,$E$1=2),0,1)</f>
        <v>1</v>
      </c>
      <c r="V93" s="68">
        <f ca="1">IF(AND(SUMIF(Capacity_Resource,$D93,'Critical resources (hide)'!AI$6:AI$105)+SUMIF(Capacity_Resource,$E93,'Critical resources (hide)'!AI$6:AI$105)+SUMIF(Capacity_Resource,$F93,'Critical resources (hide)'!AI$6:AI$105)&gt;0,$E$1=2),0,1)</f>
        <v>1</v>
      </c>
      <c r="W93" s="68">
        <f ca="1">IF(AND(SUMIF(Capacity_Resource,$D93,'Critical resources (hide)'!AJ$6:AJ$105)+SUMIF(Capacity_Resource,$E93,'Critical resources (hide)'!AJ$6:AJ$105)+SUMIF(Capacity_Resource,$F93,'Critical resources (hide)'!AJ$6:AJ$105)&gt;0,$E$1=2),0,1)</f>
        <v>1</v>
      </c>
      <c r="X93" s="68">
        <f ca="1">IF(AND(SUMIF(Capacity_Resource,$D93,'Critical resources (hide)'!AK$6:AK$105)+SUMIF(Capacity_Resource,$E93,'Critical resources (hide)'!AK$6:AK$105)+SUMIF(Capacity_Resource,$F93,'Critical resources (hide)'!AK$6:AK$105)&gt;0,$E$1=2),0,1)</f>
        <v>1</v>
      </c>
      <c r="Y93" s="68">
        <f ca="1">IF(AND(SUMIF(Capacity_Resource,$D93,'Critical resources (hide)'!AL$6:AL$105)+SUMIF(Capacity_Resource,$E93,'Critical resources (hide)'!AL$6:AL$105)+SUMIF(Capacity_Resource,$F93,'Critical resources (hide)'!AL$6:AL$105)&gt;0,$E$1=2),0,1)</f>
        <v>1</v>
      </c>
      <c r="Z93" s="68">
        <f ca="1">IF(AND(SUMIF(Capacity_Resource,$D93,'Critical resources (hide)'!AM$6:AM$105)+SUMIF(Capacity_Resource,$E93,'Critical resources (hide)'!AM$6:AM$105)+SUMIF(Capacity_Resource,$F93,'Critical resources (hide)'!AM$6:AM$105)&gt;0,$E$1=2),0,1)</f>
        <v>1</v>
      </c>
      <c r="AA93" s="68">
        <f ca="1">IF(AND(SUMIF(Capacity_Resource,$D93,'Critical resources (hide)'!AN$6:AN$105)+SUMIF(Capacity_Resource,$E93,'Critical resources (hide)'!AN$6:AN$105)+SUMIF(Capacity_Resource,$F93,'Critical resources (hide)'!AN$6:AN$105)&gt;0,$E$1=2),0,1)</f>
        <v>1</v>
      </c>
      <c r="AB93" s="68">
        <f ca="1">IF(AND(SUMIF(Capacity_Resource,$D93,'Critical resources (hide)'!AO$6:AO$105)+SUMIF(Capacity_Resource,$E93,'Critical resources (hide)'!AO$6:AO$105)+SUMIF(Capacity_Resource,$F93,'Critical resources (hide)'!AO$6:AO$105)&gt;0,$E$1=2),0,1)</f>
        <v>1</v>
      </c>
      <c r="AC93" s="68">
        <f ca="1">IF(AND(SUMIF(Capacity_Resource,$D93,'Critical resources (hide)'!AP$6:AP$105)+SUMIF(Capacity_Resource,$E93,'Critical resources (hide)'!AP$6:AP$105)+SUMIF(Capacity_Resource,$F93,'Critical resources (hide)'!AP$6:AP$105)&gt;0,$E$1=2),0,1)</f>
        <v>1</v>
      </c>
      <c r="AD93" s="68">
        <f ca="1">IF(AND(SUMIF(Capacity_Resource,$D93,'Critical resources (hide)'!AQ$6:AQ$105)+SUMIF(Capacity_Resource,$E93,'Critical resources (hide)'!AQ$6:AQ$105)+SUMIF(Capacity_Resource,$F93,'Critical resources (hide)'!AQ$6:AQ$105)&gt;0,$E$1=2),0,1)</f>
        <v>1</v>
      </c>
      <c r="AE93" s="68">
        <f ca="1">IF(AND(SUMIF(Capacity_Resource,$D93,'Critical resources (hide)'!AR$6:AR$105)+SUMIF(Capacity_Resource,$E93,'Critical resources (hide)'!AR$6:AR$105)+SUMIF(Capacity_Resource,$F93,'Critical resources (hide)'!AR$6:AR$105)&gt;0,$E$1=2),0,1)</f>
        <v>1</v>
      </c>
      <c r="AF93" s="68">
        <f ca="1">IF(AND(SUMIF(Capacity_Resource,$D93,'Critical resources (hide)'!AS$6:AS$105)+SUMIF(Capacity_Resource,$E93,'Critical resources (hide)'!AS$6:AS$105)+SUMIF(Capacity_Resource,$F93,'Critical resources (hide)'!AS$6:AS$105)&gt;0,$E$1=2),0,1)</f>
        <v>1</v>
      </c>
      <c r="AG93" s="68">
        <f ca="1">IF(AND(SUMIF(Capacity_Resource,$D93,'Critical resources (hide)'!AT$6:AT$105)+SUMIF(Capacity_Resource,$E93,'Critical resources (hide)'!AT$6:AT$105)+SUMIF(Capacity_Resource,$F93,'Critical resources (hide)'!AT$6:AT$105)&gt;0,$E$1=2),0,1)</f>
        <v>1</v>
      </c>
      <c r="AH93" s="68">
        <f ca="1">IF(AND(SUMIF(Capacity_Resource,$D93,'Critical resources (hide)'!AU$6:AU$105)+SUMIF(Capacity_Resource,$E93,'Critical resources (hide)'!AU$6:AU$105)+SUMIF(Capacity_Resource,$F93,'Critical resources (hide)'!AU$6:AU$105)&gt;0,$E$1=2),0,1)</f>
        <v>1</v>
      </c>
      <c r="AI93" s="68">
        <f ca="1">IF(AND(SUMIF(Capacity_Resource,$D93,'Critical resources (hide)'!AV$6:AV$105)+SUMIF(Capacity_Resource,$E93,'Critical resources (hide)'!AV$6:AV$105)+SUMIF(Capacity_Resource,$F93,'Critical resources (hide)'!AV$6:AV$105)&gt;0,$E$1=2),0,1)</f>
        <v>1</v>
      </c>
      <c r="AJ93" s="68">
        <f ca="1">IF(AND(SUMIF(Capacity_Resource,$D93,'Critical resources (hide)'!AW$6:AW$105)+SUMIF(Capacity_Resource,$E93,'Critical resources (hide)'!AW$6:AW$105)+SUMIF(Capacity_Resource,$F93,'Critical resources (hide)'!AW$6:AW$105)&gt;0,$E$1=2),0,1)</f>
        <v>1</v>
      </c>
      <c r="AK93" s="68">
        <f ca="1">IF(AND(SUMIF(Capacity_Resource,$D93,'Critical resources (hide)'!AX$6:AX$105)+SUMIF(Capacity_Resource,$E93,'Critical resources (hide)'!AX$6:AX$105)+SUMIF(Capacity_Resource,$F93,'Critical resources (hide)'!AX$6:AX$105)&gt;0,$E$1=2),0,1)</f>
        <v>1</v>
      </c>
      <c r="AL93" s="68">
        <f ca="1">IF(AND(SUMIF(Capacity_Resource,$D93,'Critical resources (hide)'!AY$6:AY$105)+SUMIF(Capacity_Resource,$E93,'Critical resources (hide)'!AY$6:AY$105)+SUMIF(Capacity_Resource,$F93,'Critical resources (hide)'!AY$6:AY$105)&gt;0,$E$1=2),0,1)</f>
        <v>1</v>
      </c>
      <c r="AM93" s="68">
        <f ca="1">IF(AND(SUMIF(Capacity_Resource,$D93,'Critical resources (hide)'!AZ$6:AZ$105)+SUMIF(Capacity_Resource,$E93,'Critical resources (hide)'!AZ$6:AZ$105)+SUMIF(Capacity_Resource,$F93,'Critical resources (hide)'!AZ$6:AZ$105)&gt;0,$E$1=2),0,1)</f>
        <v>1</v>
      </c>
      <c r="AN93" s="68">
        <f ca="1">IF(AND(SUMIF(Capacity_Resource,$D93,'Critical resources (hide)'!BA$6:BA$105)+SUMIF(Capacity_Resource,$E93,'Critical resources (hide)'!BA$6:BA$105)+SUMIF(Capacity_Resource,$F93,'Critical resources (hide)'!BA$6:BA$105)&gt;0,$E$1=2),0,1)</f>
        <v>1</v>
      </c>
      <c r="AO93" s="68">
        <f ca="1">IF(AND(SUMIF(Capacity_Resource,$D93,'Critical resources (hide)'!BB$6:BB$105)+SUMIF(Capacity_Resource,$E93,'Critical resources (hide)'!BB$6:BB$105)+SUMIF(Capacity_Resource,$F93,'Critical resources (hide)'!BB$6:BB$105)&gt;0,$E$1=2),0,1)</f>
        <v>1</v>
      </c>
      <c r="AP93" s="68">
        <f ca="1">IF(AND(SUMIF(Capacity_Resource,$D93,'Critical resources (hide)'!BC$6:BC$105)+SUMIF(Capacity_Resource,$E93,'Critical resources (hide)'!BC$6:BC$105)+SUMIF(Capacity_Resource,$F93,'Critical resources (hide)'!BC$6:BC$105)&gt;0,$E$1=2),0,1)</f>
        <v>1</v>
      </c>
      <c r="AQ93" s="68">
        <f ca="1">IF(AND(SUMIF(Capacity_Resource,$D93,'Critical resources (hide)'!BD$6:BD$105)+SUMIF(Capacity_Resource,$E93,'Critical resources (hide)'!BD$6:BD$105)+SUMIF(Capacity_Resource,$F93,'Critical resources (hide)'!BD$6:BD$105)&gt;0,$E$1=2),0,1)</f>
        <v>1</v>
      </c>
      <c r="AR93" s="68">
        <f ca="1">IF(AND(SUMIF(Capacity_Resource,$D93,'Critical resources (hide)'!BE$6:BE$105)+SUMIF(Capacity_Resource,$E93,'Critical resources (hide)'!BE$6:BE$105)+SUMIF(Capacity_Resource,$F93,'Critical resources (hide)'!BE$6:BE$105)&gt;0,$E$1=2),0,1)</f>
        <v>1</v>
      </c>
      <c r="AS93" s="68">
        <f ca="1">IF(AND(SUMIF(Capacity_Resource,$D93,'Critical resources (hide)'!BF$6:BF$105)+SUMIF(Capacity_Resource,$E93,'Critical resources (hide)'!BF$6:BF$105)+SUMIF(Capacity_Resource,$F93,'Critical resources (hide)'!BF$6:BF$105)&gt;0,$E$1=2),0,1)</f>
        <v>1</v>
      </c>
      <c r="AT93" s="68">
        <f ca="1">IF(AND(SUMIF(Capacity_Resource,$D93,'Critical resources (hide)'!BG$6:BG$105)+SUMIF(Capacity_Resource,$E93,'Critical resources (hide)'!BG$6:BG$105)+SUMIF(Capacity_Resource,$F93,'Critical resources (hide)'!BG$6:BG$105)&gt;0,$E$1=2),0,1)</f>
        <v>1</v>
      </c>
      <c r="AU93" s="68">
        <f ca="1">IF(AND(SUMIF(Capacity_Resource,$D93,'Critical resources (hide)'!BH$6:BH$105)+SUMIF(Capacity_Resource,$E93,'Critical resources (hide)'!BH$6:BH$105)+SUMIF(Capacity_Resource,$F93,'Critical resources (hide)'!BH$6:BH$105)&gt;0,$E$1=2),0,1)</f>
        <v>1</v>
      </c>
      <c r="AV93" s="68">
        <f ca="1">IF(AND(SUMIF(Capacity_Resource,$D93,'Critical resources (hide)'!BI$6:BI$105)+SUMIF(Capacity_Resource,$E93,'Critical resources (hide)'!BI$6:BI$105)+SUMIF(Capacity_Resource,$F93,'Critical resources (hide)'!BI$6:BI$105)&gt;0,$E$1=2),0,1)</f>
        <v>1</v>
      </c>
      <c r="AW93" s="68">
        <f ca="1">IF(AND(SUMIF(Capacity_Resource,$D93,'Critical resources (hide)'!BJ$6:BJ$105)+SUMIF(Capacity_Resource,$E93,'Critical resources (hide)'!BJ$6:BJ$105)+SUMIF(Capacity_Resource,$F93,'Critical resources (hide)'!BJ$6:BJ$105)&gt;0,$E$1=2),0,1)</f>
        <v>1</v>
      </c>
      <c r="AX93" s="68">
        <f ca="1">IF(AND(SUMIF(Capacity_Resource,$D93,'Critical resources (hide)'!BK$6:BK$105)+SUMIF(Capacity_Resource,$E93,'Critical resources (hide)'!BK$6:BK$105)+SUMIF(Capacity_Resource,$F93,'Critical resources (hide)'!BK$6:BK$105)&gt;0,$E$1=2),0,1)</f>
        <v>1</v>
      </c>
      <c r="AY93" s="68">
        <f ca="1">IF(AND(SUMIF(Capacity_Resource,$D93,'Critical resources (hide)'!BL$6:BL$105)+SUMIF(Capacity_Resource,$E93,'Critical resources (hide)'!BL$6:BL$105)+SUMIF(Capacity_Resource,$F93,'Critical resources (hide)'!BL$6:BL$105)&gt;0,$E$1=2),0,1)</f>
        <v>1</v>
      </c>
      <c r="AZ93" s="68">
        <f ca="1">IF(AND(SUMIF(Capacity_Resource,$D93,'Critical resources (hide)'!BM$6:BM$105)+SUMIF(Capacity_Resource,$E93,'Critical resources (hide)'!BM$6:BM$105)+SUMIF(Capacity_Resource,$F93,'Critical resources (hide)'!BM$6:BM$105)&gt;0,$E$1=2),0,1)</f>
        <v>1</v>
      </c>
      <c r="BA93" s="68">
        <f ca="1">IF(AND(SUMIF(Capacity_Resource,$D93,'Critical resources (hide)'!BN$6:BN$105)+SUMIF(Capacity_Resource,$E93,'Critical resources (hide)'!BN$6:BN$105)+SUMIF(Capacity_Resource,$F93,'Critical resources (hide)'!BN$6:BN$105)&gt;0,$E$1=2),0,1)</f>
        <v>1</v>
      </c>
      <c r="BB93" s="68">
        <f ca="1">IF(AND(SUMIF(Capacity_Resource,$D93,'Critical resources (hide)'!BO$6:BO$105)+SUMIF(Capacity_Resource,$E93,'Critical resources (hide)'!BO$6:BO$105)+SUMIF(Capacity_Resource,$F93,'Critical resources (hide)'!BO$6:BO$105)&gt;0,$E$1=2),0,1)</f>
        <v>1</v>
      </c>
      <c r="BC93" s="68">
        <f ca="1">IF(AND(SUMIF(Capacity_Resource,$D93,'Critical resources (hide)'!BP$6:BP$105)+SUMIF(Capacity_Resource,$E93,'Critical resources (hide)'!BP$6:BP$105)+SUMIF(Capacity_Resource,$F93,'Critical resources (hide)'!BP$6:BP$105)&gt;0,$E$1=2),0,1)</f>
        <v>1</v>
      </c>
      <c r="BD93" s="68">
        <f ca="1">IF(AND(SUMIF(Capacity_Resource,$D93,'Critical resources (hide)'!BQ$6:BQ$105)+SUMIF(Capacity_Resource,$E93,'Critical resources (hide)'!BQ$6:BQ$105)+SUMIF(Capacity_Resource,$F93,'Critical resources (hide)'!BQ$6:BQ$105)&gt;0,$E$1=2),0,1)</f>
        <v>1</v>
      </c>
      <c r="BE93" s="68">
        <f ca="1">IF(AND(SUMIF(Capacity_Resource,$D93,'Critical resources (hide)'!BR$6:BR$105)+SUMIF(Capacity_Resource,$E93,'Critical resources (hide)'!BR$6:BR$105)+SUMIF(Capacity_Resource,$F93,'Critical resources (hide)'!BR$6:BR$105)&gt;0,$E$1=2),0,1)</f>
        <v>1</v>
      </c>
      <c r="BF93" s="68">
        <f ca="1">IF(AND(SUMIF(Capacity_Resource,$D93,'Critical resources (hide)'!BS$6:BS$105)+SUMIF(Capacity_Resource,$E93,'Critical resources (hide)'!BS$6:BS$105)+SUMIF(Capacity_Resource,$F93,'Critical resources (hide)'!BS$6:BS$105)&gt;0,$E$1=2),0,1)</f>
        <v>1</v>
      </c>
      <c r="BG93" s="68">
        <f ca="1">IF(AND(SUMIF(Capacity_Resource,$D93,'Critical resources (hide)'!BT$6:BT$105)+SUMIF(Capacity_Resource,$E93,'Critical resources (hide)'!BT$6:BT$105)+SUMIF(Capacity_Resource,$F93,'Critical resources (hide)'!BT$6:BT$105)&gt;0,$E$1=2),0,1)</f>
        <v>1</v>
      </c>
      <c r="BH93" s="68">
        <f>IF(ROW(C89)&lt;=Capacity!$A$16,IF('Capacity summary'!$D$14="No",SUM(H93:BG93),'Capacity summary'!$E212),0)</f>
        <v>0</v>
      </c>
      <c r="BI93" s="5" t="str">
        <f>IF(BH93&gt;0,IF(BH93&lt;Capacity!E105,Capacity!F105,Capacity!H105/'Capacity calculation (hide)'!BH93),"")</f>
        <v/>
      </c>
      <c r="BK93" s="319">
        <f>IF($BI93&lt;&gt;"",IF('Capacity summary'!$D$14="Yes",IF(COUNTBLANK('Capacity summary'!$H212:$BG212)&lt;52,IF('Capacity summary'!H212&lt;&gt;"",$BI93*H93,0),H93*$BI93),H93*$BI93),0)</f>
        <v>0</v>
      </c>
      <c r="BL93" s="319">
        <f>IF($BI93&lt;&gt;"",IF('Capacity summary'!$D$14="Yes",IF(COUNTBLANK('Capacity summary'!$H212:$BG212)&lt;52,IF('Capacity summary'!I212&lt;&gt;"",$BI93*I93,0),I93*$BI93),I93*$BI93),0)</f>
        <v>0</v>
      </c>
      <c r="BM93" s="319">
        <f>IF($BI93&lt;&gt;"",IF('Capacity summary'!$D$14="Yes",IF(COUNTBLANK('Capacity summary'!$H212:$BG212)&lt;52,IF('Capacity summary'!J212&lt;&gt;"",$BI93*J93,0),J93*$BI93),J93*$BI93),0)</f>
        <v>0</v>
      </c>
      <c r="BN93" s="319">
        <f>IF($BI93&lt;&gt;"",IF('Capacity summary'!$D$14="Yes",IF(COUNTBLANK('Capacity summary'!$H212:$BG212)&lt;52,IF('Capacity summary'!K212&lt;&gt;"",$BI93*K93,0),K93*$BI93),K93*$BI93),0)</f>
        <v>0</v>
      </c>
      <c r="BO93" s="319">
        <f>IF($BI93&lt;&gt;"",IF('Capacity summary'!$D$14="Yes",IF(COUNTBLANK('Capacity summary'!$H212:$BG212)&lt;52,IF('Capacity summary'!L212&lt;&gt;"",$BI93*L93,0),L93*$BI93),L93*$BI93),0)</f>
        <v>0</v>
      </c>
      <c r="BP93" s="319">
        <f>IF($BI93&lt;&gt;"",IF('Capacity summary'!$D$14="Yes",IF(COUNTBLANK('Capacity summary'!$H212:$BG212)&lt;52,IF('Capacity summary'!M212&lt;&gt;"",$BI93*M93,0),M93*$BI93),M93*$BI93),0)</f>
        <v>0</v>
      </c>
      <c r="BQ93" s="319">
        <f>IF($BI93&lt;&gt;"",IF('Capacity summary'!$D$14="Yes",IF(COUNTBLANK('Capacity summary'!$H212:$BG212)&lt;52,IF('Capacity summary'!N212&lt;&gt;"",$BI93*N93,0),N93*$BI93),N93*$BI93),0)</f>
        <v>0</v>
      </c>
      <c r="BR93" s="319">
        <f>IF($BI93&lt;&gt;"",IF('Capacity summary'!$D$14="Yes",IF(COUNTBLANK('Capacity summary'!$H212:$BG212)&lt;52,IF('Capacity summary'!O212&lt;&gt;"",$BI93*O93,0),O93*$BI93),O93*$BI93),0)</f>
        <v>0</v>
      </c>
      <c r="BS93" s="319">
        <f>IF($BI93&lt;&gt;"",IF('Capacity summary'!$D$14="Yes",IF(COUNTBLANK('Capacity summary'!$H212:$BG212)&lt;52,IF('Capacity summary'!P212&lt;&gt;"",$BI93*P93,0),P93*$BI93),P93*$BI93),0)</f>
        <v>0</v>
      </c>
      <c r="BT93" s="319">
        <f>IF($BI93&lt;&gt;"",IF('Capacity summary'!$D$14="Yes",IF(COUNTBLANK('Capacity summary'!$H212:$BG212)&lt;52,IF('Capacity summary'!Q212&lt;&gt;"",$BI93*Q93,0),Q93*$BI93),Q93*$BI93),0)</f>
        <v>0</v>
      </c>
      <c r="BU93" s="319">
        <f>IF($BI93&lt;&gt;"",IF('Capacity summary'!$D$14="Yes",IF(COUNTBLANK('Capacity summary'!$H212:$BG212)&lt;52,IF('Capacity summary'!R212&lt;&gt;"",$BI93*R93,0),R93*$BI93),R93*$BI93),0)</f>
        <v>0</v>
      </c>
      <c r="BV93" s="319">
        <f>IF($BI93&lt;&gt;"",IF('Capacity summary'!$D$14="Yes",IF(COUNTBLANK('Capacity summary'!$H212:$BG212)&lt;52,IF('Capacity summary'!S212&lt;&gt;"",$BI93*S93,0),S93*$BI93),S93*$BI93),0)</f>
        <v>0</v>
      </c>
      <c r="BW93" s="319">
        <f>IF($BI93&lt;&gt;"",IF('Capacity summary'!$D$14="Yes",IF(COUNTBLANK('Capacity summary'!$H212:$BG212)&lt;52,IF('Capacity summary'!T212&lt;&gt;"",$BI93*T93,0),T93*$BI93),T93*$BI93),0)</f>
        <v>0</v>
      </c>
      <c r="BX93" s="319">
        <f>IF($BI93&lt;&gt;"",IF('Capacity summary'!$D$14="Yes",IF(COUNTBLANK('Capacity summary'!$H212:$BG212)&lt;52,IF('Capacity summary'!U212&lt;&gt;"",$BI93*U93,0),U93*$BI93),U93*$BI93),0)</f>
        <v>0</v>
      </c>
      <c r="BY93" s="319">
        <f>IF($BI93&lt;&gt;"",IF('Capacity summary'!$D$14="Yes",IF(COUNTBLANK('Capacity summary'!$H212:$BG212)&lt;52,IF('Capacity summary'!V212&lt;&gt;"",$BI93*V93,0),V93*$BI93),V93*$BI93),0)</f>
        <v>0</v>
      </c>
      <c r="BZ93" s="319">
        <f>IF($BI93&lt;&gt;"",IF('Capacity summary'!$D$14="Yes",IF(COUNTBLANK('Capacity summary'!$H212:$BG212)&lt;52,IF('Capacity summary'!W212&lt;&gt;"",$BI93*W93,0),W93*$BI93),W93*$BI93),0)</f>
        <v>0</v>
      </c>
      <c r="CA93" s="319">
        <f>IF($BI93&lt;&gt;"",IF('Capacity summary'!$D$14="Yes",IF(COUNTBLANK('Capacity summary'!$H212:$BG212)&lt;52,IF('Capacity summary'!X212&lt;&gt;"",$BI93*X93,0),X93*$BI93),X93*$BI93),0)</f>
        <v>0</v>
      </c>
      <c r="CB93" s="319">
        <f>IF($BI93&lt;&gt;"",IF('Capacity summary'!$D$14="Yes",IF(COUNTBLANK('Capacity summary'!$H212:$BG212)&lt;52,IF('Capacity summary'!Y212&lt;&gt;"",$BI93*Y93,0),Y93*$BI93),Y93*$BI93),0)</f>
        <v>0</v>
      </c>
      <c r="CC93" s="319">
        <f>IF($BI93&lt;&gt;"",IF('Capacity summary'!$D$14="Yes",IF(COUNTBLANK('Capacity summary'!$H212:$BG212)&lt;52,IF('Capacity summary'!Z212&lt;&gt;"",$BI93*Z93,0),Z93*$BI93),Z93*$BI93),0)</f>
        <v>0</v>
      </c>
      <c r="CD93" s="319">
        <f>IF($BI93&lt;&gt;"",IF('Capacity summary'!$D$14="Yes",IF(COUNTBLANK('Capacity summary'!$H212:$BG212)&lt;52,IF('Capacity summary'!AA212&lt;&gt;"",$BI93*AA93,0),AA93*$BI93),AA93*$BI93),0)</f>
        <v>0</v>
      </c>
      <c r="CE93" s="319">
        <f>IF($BI93&lt;&gt;"",IF('Capacity summary'!$D$14="Yes",IF(COUNTBLANK('Capacity summary'!$H212:$BG212)&lt;52,IF('Capacity summary'!AB212&lt;&gt;"",$BI93*AB93,0),AB93*$BI93),AB93*$BI93),0)</f>
        <v>0</v>
      </c>
      <c r="CF93" s="319">
        <f>IF($BI93&lt;&gt;"",IF('Capacity summary'!$D$14="Yes",IF(COUNTBLANK('Capacity summary'!$H212:$BG212)&lt;52,IF('Capacity summary'!AC212&lt;&gt;"",$BI93*AC93,0),AC93*$BI93),AC93*$BI93),0)</f>
        <v>0</v>
      </c>
      <c r="CG93" s="319">
        <f>IF($BI93&lt;&gt;"",IF('Capacity summary'!$D$14="Yes",IF(COUNTBLANK('Capacity summary'!$H212:$BG212)&lt;52,IF('Capacity summary'!AD212&lt;&gt;"",$BI93*AD93,0),AD93*$BI93),AD93*$BI93),0)</f>
        <v>0</v>
      </c>
      <c r="CH93" s="319">
        <f>IF($BI93&lt;&gt;"",IF('Capacity summary'!$D$14="Yes",IF(COUNTBLANK('Capacity summary'!$H212:$BG212)&lt;52,IF('Capacity summary'!AE212&lt;&gt;"",$BI93*AE93,0),AE93*$BI93),AE93*$BI93),0)</f>
        <v>0</v>
      </c>
      <c r="CI93" s="319">
        <f>IF($BI93&lt;&gt;"",IF('Capacity summary'!$D$14="Yes",IF(COUNTBLANK('Capacity summary'!$H212:$BG212)&lt;52,IF('Capacity summary'!AF212&lt;&gt;"",$BI93*AF93,0),AF93*$BI93),AF93*$BI93),0)</f>
        <v>0</v>
      </c>
      <c r="CJ93" s="319">
        <f>IF($BI93&lt;&gt;"",IF('Capacity summary'!$D$14="Yes",IF(COUNTBLANK('Capacity summary'!$H212:$BG212)&lt;52,IF('Capacity summary'!AG212&lt;&gt;"",$BI93*AG93,0),AG93*$BI93),AG93*$BI93),0)</f>
        <v>0</v>
      </c>
      <c r="CK93" s="319">
        <f>IF($BI93&lt;&gt;"",IF('Capacity summary'!$D$14="Yes",IF(COUNTBLANK('Capacity summary'!$H212:$BG212)&lt;52,IF('Capacity summary'!AH212&lt;&gt;"",$BI93*AH93,0),AH93*$BI93),AH93*$BI93),0)</f>
        <v>0</v>
      </c>
      <c r="CL93" s="319">
        <f>IF($BI93&lt;&gt;"",IF('Capacity summary'!$D$14="Yes",IF(COUNTBLANK('Capacity summary'!$H212:$BG212)&lt;52,IF('Capacity summary'!AI212&lt;&gt;"",$BI93*AI93,0),AI93*$BI93),AI93*$BI93),0)</f>
        <v>0</v>
      </c>
      <c r="CM93" s="319">
        <f>IF($BI93&lt;&gt;"",IF('Capacity summary'!$D$14="Yes",IF(COUNTBLANK('Capacity summary'!$H212:$BG212)&lt;52,IF('Capacity summary'!AJ212&lt;&gt;"",$BI93*AJ93,0),AJ93*$BI93),AJ93*$BI93),0)</f>
        <v>0</v>
      </c>
      <c r="CN93" s="319">
        <f>IF($BI93&lt;&gt;"",IF('Capacity summary'!$D$14="Yes",IF(COUNTBLANK('Capacity summary'!$H212:$BG212)&lt;52,IF('Capacity summary'!AK212&lt;&gt;"",$BI93*AK93,0),AK93*$BI93),AK93*$BI93),0)</f>
        <v>0</v>
      </c>
      <c r="CO93" s="319">
        <f>IF($BI93&lt;&gt;"",IF('Capacity summary'!$D$14="Yes",IF(COUNTBLANK('Capacity summary'!$H212:$BG212)&lt;52,IF('Capacity summary'!AL212&lt;&gt;"",$BI93*AL93,0),AL93*$BI93),AL93*$BI93),0)</f>
        <v>0</v>
      </c>
      <c r="CP93" s="319">
        <f>IF($BI93&lt;&gt;"",IF('Capacity summary'!$D$14="Yes",IF(COUNTBLANK('Capacity summary'!$H212:$BG212)&lt;52,IF('Capacity summary'!AM212&lt;&gt;"",$BI93*AM93,0),AM93*$BI93),AM93*$BI93),0)</f>
        <v>0</v>
      </c>
      <c r="CQ93" s="319">
        <f>IF($BI93&lt;&gt;"",IF('Capacity summary'!$D$14="Yes",IF(COUNTBLANK('Capacity summary'!$H212:$BG212)&lt;52,IF('Capacity summary'!AN212&lt;&gt;"",$BI93*AN93,0),AN93*$BI93),AN93*$BI93),0)</f>
        <v>0</v>
      </c>
      <c r="CR93" s="319">
        <f>IF($BI93&lt;&gt;"",IF('Capacity summary'!$D$14="Yes",IF(COUNTBLANK('Capacity summary'!$H212:$BG212)&lt;52,IF('Capacity summary'!AO212&lt;&gt;"",$BI93*AO93,0),AO93*$BI93),AO93*$BI93),0)</f>
        <v>0</v>
      </c>
      <c r="CS93" s="319">
        <f>IF($BI93&lt;&gt;"",IF('Capacity summary'!$D$14="Yes",IF(COUNTBLANK('Capacity summary'!$H212:$BG212)&lt;52,IF('Capacity summary'!AP212&lt;&gt;"",$BI93*AP93,0),AP93*$BI93),AP93*$BI93),0)</f>
        <v>0</v>
      </c>
      <c r="CT93" s="319">
        <f>IF($BI93&lt;&gt;"",IF('Capacity summary'!$D$14="Yes",IF(COUNTBLANK('Capacity summary'!$H212:$BG212)&lt;52,IF('Capacity summary'!AQ212&lt;&gt;"",$BI93*AQ93,0),AQ93*$BI93),AQ93*$BI93),0)</f>
        <v>0</v>
      </c>
      <c r="CU93" s="319">
        <f>IF($BI93&lt;&gt;"",IF('Capacity summary'!$D$14="Yes",IF(COUNTBLANK('Capacity summary'!$H212:$BG212)&lt;52,IF('Capacity summary'!AR212&lt;&gt;"",$BI93*AR93,0),AR93*$BI93),AR93*$BI93),0)</f>
        <v>0</v>
      </c>
      <c r="CV93" s="319">
        <f>IF($BI93&lt;&gt;"",IF('Capacity summary'!$D$14="Yes",IF(COUNTBLANK('Capacity summary'!$H212:$BG212)&lt;52,IF('Capacity summary'!AS212&lt;&gt;"",$BI93*AS93,0),AS93*$BI93),AS93*$BI93),0)</f>
        <v>0</v>
      </c>
      <c r="CW93" s="319">
        <f>IF($BI93&lt;&gt;"",IF('Capacity summary'!$D$14="Yes",IF(COUNTBLANK('Capacity summary'!$H212:$BG212)&lt;52,IF('Capacity summary'!AT212&lt;&gt;"",$BI93*AT93,0),AT93*$BI93),AT93*$BI93),0)</f>
        <v>0</v>
      </c>
      <c r="CX93" s="319">
        <f>IF($BI93&lt;&gt;"",IF('Capacity summary'!$D$14="Yes",IF(COUNTBLANK('Capacity summary'!$H212:$BG212)&lt;52,IF('Capacity summary'!AU212&lt;&gt;"",$BI93*AU93,0),AU93*$BI93),AU93*$BI93),0)</f>
        <v>0</v>
      </c>
      <c r="CY93" s="319">
        <f>IF($BI93&lt;&gt;"",IF('Capacity summary'!$D$14="Yes",IF(COUNTBLANK('Capacity summary'!$H212:$BG212)&lt;52,IF('Capacity summary'!AV212&lt;&gt;"",$BI93*AV93,0),AV93*$BI93),AV93*$BI93),0)</f>
        <v>0</v>
      </c>
      <c r="CZ93" s="319">
        <f>IF($BI93&lt;&gt;"",IF('Capacity summary'!$D$14="Yes",IF(COUNTBLANK('Capacity summary'!$H212:$BG212)&lt;52,IF('Capacity summary'!AW212&lt;&gt;"",$BI93*AW93,0),AW93*$BI93),AW93*$BI93),0)</f>
        <v>0</v>
      </c>
      <c r="DA93" s="319">
        <f>IF($BI93&lt;&gt;"",IF('Capacity summary'!$D$14="Yes",IF(COUNTBLANK('Capacity summary'!$H212:$BG212)&lt;52,IF('Capacity summary'!AX212&lt;&gt;"",$BI93*AX93,0),AX93*$BI93),AX93*$BI93),0)</f>
        <v>0</v>
      </c>
      <c r="DB93" s="319">
        <f>IF($BI93&lt;&gt;"",IF('Capacity summary'!$D$14="Yes",IF(COUNTBLANK('Capacity summary'!$H212:$BG212)&lt;52,IF('Capacity summary'!AY212&lt;&gt;"",$BI93*AY93,0),AY93*$BI93),AY93*$BI93),0)</f>
        <v>0</v>
      </c>
      <c r="DC93" s="319">
        <f>IF($BI93&lt;&gt;"",IF('Capacity summary'!$D$14="Yes",IF(COUNTBLANK('Capacity summary'!$H212:$BG212)&lt;52,IF('Capacity summary'!AZ212&lt;&gt;"",$BI93*AZ93,0),AZ93*$BI93),AZ93*$BI93),0)</f>
        <v>0</v>
      </c>
      <c r="DD93" s="319">
        <f>IF($BI93&lt;&gt;"",IF('Capacity summary'!$D$14="Yes",IF(COUNTBLANK('Capacity summary'!$H212:$BG212)&lt;52,IF('Capacity summary'!BA212&lt;&gt;"",$BI93*BA93,0),BA93*$BI93),BA93*$BI93),0)</f>
        <v>0</v>
      </c>
      <c r="DE93" s="319">
        <f>IF($BI93&lt;&gt;"",IF('Capacity summary'!$D$14="Yes",IF(COUNTBLANK('Capacity summary'!$H212:$BG212)&lt;52,IF('Capacity summary'!BB212&lt;&gt;"",$BI93*BB93,0),BB93*$BI93),BB93*$BI93),0)</f>
        <v>0</v>
      </c>
      <c r="DF93" s="319">
        <f>IF($BI93&lt;&gt;"",IF('Capacity summary'!$D$14="Yes",IF(COUNTBLANK('Capacity summary'!$H212:$BG212)&lt;52,IF('Capacity summary'!BC212&lt;&gt;"",$BI93*BC93,0),BC93*$BI93),BC93*$BI93),0)</f>
        <v>0</v>
      </c>
      <c r="DG93" s="319">
        <f>IF($BI93&lt;&gt;"",IF('Capacity summary'!$D$14="Yes",IF(COUNTBLANK('Capacity summary'!$H212:$BG212)&lt;52,IF('Capacity summary'!BD212&lt;&gt;"",$BI93*BD93,0),BD93*$BI93),BD93*$BI93),0)</f>
        <v>0</v>
      </c>
      <c r="DH93" s="319">
        <f>IF($BI93&lt;&gt;"",IF('Capacity summary'!$D$14="Yes",IF(COUNTBLANK('Capacity summary'!$H212:$BG212)&lt;52,IF('Capacity summary'!BE212&lt;&gt;"",$BI93*BE93,0),BE93*$BI93),BE93*$BI93),0)</f>
        <v>0</v>
      </c>
      <c r="DI93" s="319">
        <f>IF($BI93&lt;&gt;"",IF('Capacity summary'!$D$14="Yes",IF(COUNTBLANK('Capacity summary'!$H212:$BG212)&lt;52,IF('Capacity summary'!BF212&lt;&gt;"",$BI93*BF93,0),BF93*$BI93),BF93*$BI93),0)</f>
        <v>0</v>
      </c>
      <c r="DJ93" s="319">
        <f>IF($BI93&lt;&gt;"",IF('Capacity summary'!$D$14="Yes",IF(COUNTBLANK('Capacity summary'!$H212:$BG212)&lt;52,IF('Capacity summary'!BG212&lt;&gt;"",$BI93*BG93,0),BG93*$BI93),BG93*$BI93),0)</f>
        <v>0</v>
      </c>
      <c r="DK93" s="5">
        <f t="shared" si="3"/>
        <v>0</v>
      </c>
      <c r="DL93" s="5" t="str">
        <f>Capacity!H105</f>
        <v/>
      </c>
    </row>
    <row r="94" spans="2:116" x14ac:dyDescent="0.2">
      <c r="B94" s="68"/>
      <c r="C94" s="68" t="str">
        <f>ROW(A90)&amp;". "&amp;Capacity!B106</f>
        <v xml:space="preserve">90. </v>
      </c>
      <c r="D94" s="68">
        <f>'Capacity setup'!C101</f>
        <v>0</v>
      </c>
      <c r="E94" s="68">
        <f>'Capacity setup'!D101</f>
        <v>0</v>
      </c>
      <c r="F94" s="68">
        <f>'Capacity setup'!E101</f>
        <v>0</v>
      </c>
      <c r="H94" s="68">
        <f ca="1">IF(AND(SUMIF(Capacity_Resource,$D94,'Critical resources (hide)'!U$6:U$105)+SUMIF(Capacity_Resource,$E94,'Critical resources (hide)'!U$6:U$105)+SUMIF(Capacity_Resource,$F94,'Critical resources (hide)'!U$6:U$105)&gt;0,$E$1=2),0,1)</f>
        <v>1</v>
      </c>
      <c r="I94" s="68">
        <f ca="1">IF(AND(SUMIF(Capacity_Resource,$D94,'Critical resources (hide)'!V$6:V$105)+SUMIF(Capacity_Resource,$E94,'Critical resources (hide)'!V$6:V$105)+SUMIF(Capacity_Resource,$F94,'Critical resources (hide)'!V$6:V$105)&gt;0,$E$1=2),0,1)</f>
        <v>1</v>
      </c>
      <c r="J94" s="68">
        <f ca="1">IF(AND(SUMIF(Capacity_Resource,$D94,'Critical resources (hide)'!W$6:W$105)+SUMIF(Capacity_Resource,$E94,'Critical resources (hide)'!W$6:W$105)+SUMIF(Capacity_Resource,$F94,'Critical resources (hide)'!W$6:W$105)&gt;0,$E$1=2),0,1)</f>
        <v>1</v>
      </c>
      <c r="K94" s="68">
        <f ca="1">IF(AND(SUMIF(Capacity_Resource,$D94,'Critical resources (hide)'!X$6:X$105)+SUMIF(Capacity_Resource,$E94,'Critical resources (hide)'!X$6:X$105)+SUMIF(Capacity_Resource,$F94,'Critical resources (hide)'!X$6:X$105)&gt;0,$E$1=2),0,1)</f>
        <v>1</v>
      </c>
      <c r="L94" s="68">
        <f ca="1">IF(AND(SUMIF(Capacity_Resource,$D94,'Critical resources (hide)'!Y$6:Y$105)+SUMIF(Capacity_Resource,$E94,'Critical resources (hide)'!Y$6:Y$105)+SUMIF(Capacity_Resource,$F94,'Critical resources (hide)'!Y$6:Y$105)&gt;0,$E$1=2),0,1)</f>
        <v>1</v>
      </c>
      <c r="M94" s="68">
        <f ca="1">IF(AND(SUMIF(Capacity_Resource,$D94,'Critical resources (hide)'!Z$6:Z$105)+SUMIF(Capacity_Resource,$E94,'Critical resources (hide)'!Z$6:Z$105)+SUMIF(Capacity_Resource,$F94,'Critical resources (hide)'!Z$6:Z$105)&gt;0,$E$1=2),0,1)</f>
        <v>1</v>
      </c>
      <c r="N94" s="68">
        <f ca="1">IF(AND(SUMIF(Capacity_Resource,$D94,'Critical resources (hide)'!AA$6:AA$105)+SUMIF(Capacity_Resource,$E94,'Critical resources (hide)'!AA$6:AA$105)+SUMIF(Capacity_Resource,$F94,'Critical resources (hide)'!AA$6:AA$105)&gt;0,$E$1=2),0,1)</f>
        <v>1</v>
      </c>
      <c r="O94" s="68">
        <f ca="1">IF(AND(SUMIF(Capacity_Resource,$D94,'Critical resources (hide)'!AB$6:AB$105)+SUMIF(Capacity_Resource,$E94,'Critical resources (hide)'!AB$6:AB$105)+SUMIF(Capacity_Resource,$F94,'Critical resources (hide)'!AB$6:AB$105)&gt;0,$E$1=2),0,1)</f>
        <v>1</v>
      </c>
      <c r="P94" s="68">
        <f ca="1">IF(AND(SUMIF(Capacity_Resource,$D94,'Critical resources (hide)'!AC$6:AC$105)+SUMIF(Capacity_Resource,$E94,'Critical resources (hide)'!AC$6:AC$105)+SUMIF(Capacity_Resource,$F94,'Critical resources (hide)'!AC$6:AC$105)&gt;0,$E$1=2),0,1)</f>
        <v>1</v>
      </c>
      <c r="Q94" s="68">
        <f ca="1">IF(AND(SUMIF(Capacity_Resource,$D94,'Critical resources (hide)'!AD$6:AD$105)+SUMIF(Capacity_Resource,$E94,'Critical resources (hide)'!AD$6:AD$105)+SUMIF(Capacity_Resource,$F94,'Critical resources (hide)'!AD$6:AD$105)&gt;0,$E$1=2),0,1)</f>
        <v>1</v>
      </c>
      <c r="R94" s="68">
        <f ca="1">IF(AND(SUMIF(Capacity_Resource,$D94,'Critical resources (hide)'!AE$6:AE$105)+SUMIF(Capacity_Resource,$E94,'Critical resources (hide)'!AE$6:AE$105)+SUMIF(Capacity_Resource,$F94,'Critical resources (hide)'!AE$6:AE$105)&gt;0,$E$1=2),0,1)</f>
        <v>1</v>
      </c>
      <c r="S94" s="68">
        <f ca="1">IF(AND(SUMIF(Capacity_Resource,$D94,'Critical resources (hide)'!AF$6:AF$105)+SUMIF(Capacity_Resource,$E94,'Critical resources (hide)'!AF$6:AF$105)+SUMIF(Capacity_Resource,$F94,'Critical resources (hide)'!AF$6:AF$105)&gt;0,$E$1=2),0,1)</f>
        <v>1</v>
      </c>
      <c r="T94" s="68">
        <f ca="1">IF(AND(SUMIF(Capacity_Resource,$D94,'Critical resources (hide)'!AG$6:AG$105)+SUMIF(Capacity_Resource,$E94,'Critical resources (hide)'!AG$6:AG$105)+SUMIF(Capacity_Resource,$F94,'Critical resources (hide)'!AG$6:AG$105)&gt;0,$E$1=2),0,1)</f>
        <v>1</v>
      </c>
      <c r="U94" s="68">
        <f ca="1">IF(AND(SUMIF(Capacity_Resource,$D94,'Critical resources (hide)'!AH$6:AH$105)+SUMIF(Capacity_Resource,$E94,'Critical resources (hide)'!AH$6:AH$105)+SUMIF(Capacity_Resource,$F94,'Critical resources (hide)'!AH$6:AH$105)&gt;0,$E$1=2),0,1)</f>
        <v>1</v>
      </c>
      <c r="V94" s="68">
        <f ca="1">IF(AND(SUMIF(Capacity_Resource,$D94,'Critical resources (hide)'!AI$6:AI$105)+SUMIF(Capacity_Resource,$E94,'Critical resources (hide)'!AI$6:AI$105)+SUMIF(Capacity_Resource,$F94,'Critical resources (hide)'!AI$6:AI$105)&gt;0,$E$1=2),0,1)</f>
        <v>1</v>
      </c>
      <c r="W94" s="68">
        <f ca="1">IF(AND(SUMIF(Capacity_Resource,$D94,'Critical resources (hide)'!AJ$6:AJ$105)+SUMIF(Capacity_Resource,$E94,'Critical resources (hide)'!AJ$6:AJ$105)+SUMIF(Capacity_Resource,$F94,'Critical resources (hide)'!AJ$6:AJ$105)&gt;0,$E$1=2),0,1)</f>
        <v>1</v>
      </c>
      <c r="X94" s="68">
        <f ca="1">IF(AND(SUMIF(Capacity_Resource,$D94,'Critical resources (hide)'!AK$6:AK$105)+SUMIF(Capacity_Resource,$E94,'Critical resources (hide)'!AK$6:AK$105)+SUMIF(Capacity_Resource,$F94,'Critical resources (hide)'!AK$6:AK$105)&gt;0,$E$1=2),0,1)</f>
        <v>1</v>
      </c>
      <c r="Y94" s="68">
        <f ca="1">IF(AND(SUMIF(Capacity_Resource,$D94,'Critical resources (hide)'!AL$6:AL$105)+SUMIF(Capacity_Resource,$E94,'Critical resources (hide)'!AL$6:AL$105)+SUMIF(Capacity_Resource,$F94,'Critical resources (hide)'!AL$6:AL$105)&gt;0,$E$1=2),0,1)</f>
        <v>1</v>
      </c>
      <c r="Z94" s="68">
        <f ca="1">IF(AND(SUMIF(Capacity_Resource,$D94,'Critical resources (hide)'!AM$6:AM$105)+SUMIF(Capacity_Resource,$E94,'Critical resources (hide)'!AM$6:AM$105)+SUMIF(Capacity_Resource,$F94,'Critical resources (hide)'!AM$6:AM$105)&gt;0,$E$1=2),0,1)</f>
        <v>1</v>
      </c>
      <c r="AA94" s="68">
        <f ca="1">IF(AND(SUMIF(Capacity_Resource,$D94,'Critical resources (hide)'!AN$6:AN$105)+SUMIF(Capacity_Resource,$E94,'Critical resources (hide)'!AN$6:AN$105)+SUMIF(Capacity_Resource,$F94,'Critical resources (hide)'!AN$6:AN$105)&gt;0,$E$1=2),0,1)</f>
        <v>1</v>
      </c>
      <c r="AB94" s="68">
        <f ca="1">IF(AND(SUMIF(Capacity_Resource,$D94,'Critical resources (hide)'!AO$6:AO$105)+SUMIF(Capacity_Resource,$E94,'Critical resources (hide)'!AO$6:AO$105)+SUMIF(Capacity_Resource,$F94,'Critical resources (hide)'!AO$6:AO$105)&gt;0,$E$1=2),0,1)</f>
        <v>1</v>
      </c>
      <c r="AC94" s="68">
        <f ca="1">IF(AND(SUMIF(Capacity_Resource,$D94,'Critical resources (hide)'!AP$6:AP$105)+SUMIF(Capacity_Resource,$E94,'Critical resources (hide)'!AP$6:AP$105)+SUMIF(Capacity_Resource,$F94,'Critical resources (hide)'!AP$6:AP$105)&gt;0,$E$1=2),0,1)</f>
        <v>1</v>
      </c>
      <c r="AD94" s="68">
        <f ca="1">IF(AND(SUMIF(Capacity_Resource,$D94,'Critical resources (hide)'!AQ$6:AQ$105)+SUMIF(Capacity_Resource,$E94,'Critical resources (hide)'!AQ$6:AQ$105)+SUMIF(Capacity_Resource,$F94,'Critical resources (hide)'!AQ$6:AQ$105)&gt;0,$E$1=2),0,1)</f>
        <v>1</v>
      </c>
      <c r="AE94" s="68">
        <f ca="1">IF(AND(SUMIF(Capacity_Resource,$D94,'Critical resources (hide)'!AR$6:AR$105)+SUMIF(Capacity_Resource,$E94,'Critical resources (hide)'!AR$6:AR$105)+SUMIF(Capacity_Resource,$F94,'Critical resources (hide)'!AR$6:AR$105)&gt;0,$E$1=2),0,1)</f>
        <v>1</v>
      </c>
      <c r="AF94" s="68">
        <f ca="1">IF(AND(SUMIF(Capacity_Resource,$D94,'Critical resources (hide)'!AS$6:AS$105)+SUMIF(Capacity_Resource,$E94,'Critical resources (hide)'!AS$6:AS$105)+SUMIF(Capacity_Resource,$F94,'Critical resources (hide)'!AS$6:AS$105)&gt;0,$E$1=2),0,1)</f>
        <v>1</v>
      </c>
      <c r="AG94" s="68">
        <f ca="1">IF(AND(SUMIF(Capacity_Resource,$D94,'Critical resources (hide)'!AT$6:AT$105)+SUMIF(Capacity_Resource,$E94,'Critical resources (hide)'!AT$6:AT$105)+SUMIF(Capacity_Resource,$F94,'Critical resources (hide)'!AT$6:AT$105)&gt;0,$E$1=2),0,1)</f>
        <v>1</v>
      </c>
      <c r="AH94" s="68">
        <f ca="1">IF(AND(SUMIF(Capacity_Resource,$D94,'Critical resources (hide)'!AU$6:AU$105)+SUMIF(Capacity_Resource,$E94,'Critical resources (hide)'!AU$6:AU$105)+SUMIF(Capacity_Resource,$F94,'Critical resources (hide)'!AU$6:AU$105)&gt;0,$E$1=2),0,1)</f>
        <v>1</v>
      </c>
      <c r="AI94" s="68">
        <f ca="1">IF(AND(SUMIF(Capacity_Resource,$D94,'Critical resources (hide)'!AV$6:AV$105)+SUMIF(Capacity_Resource,$E94,'Critical resources (hide)'!AV$6:AV$105)+SUMIF(Capacity_Resource,$F94,'Critical resources (hide)'!AV$6:AV$105)&gt;0,$E$1=2),0,1)</f>
        <v>1</v>
      </c>
      <c r="AJ94" s="68">
        <f ca="1">IF(AND(SUMIF(Capacity_Resource,$D94,'Critical resources (hide)'!AW$6:AW$105)+SUMIF(Capacity_Resource,$E94,'Critical resources (hide)'!AW$6:AW$105)+SUMIF(Capacity_Resource,$F94,'Critical resources (hide)'!AW$6:AW$105)&gt;0,$E$1=2),0,1)</f>
        <v>1</v>
      </c>
      <c r="AK94" s="68">
        <f ca="1">IF(AND(SUMIF(Capacity_Resource,$D94,'Critical resources (hide)'!AX$6:AX$105)+SUMIF(Capacity_Resource,$E94,'Critical resources (hide)'!AX$6:AX$105)+SUMIF(Capacity_Resource,$F94,'Critical resources (hide)'!AX$6:AX$105)&gt;0,$E$1=2),0,1)</f>
        <v>1</v>
      </c>
      <c r="AL94" s="68">
        <f ca="1">IF(AND(SUMIF(Capacity_Resource,$D94,'Critical resources (hide)'!AY$6:AY$105)+SUMIF(Capacity_Resource,$E94,'Critical resources (hide)'!AY$6:AY$105)+SUMIF(Capacity_Resource,$F94,'Critical resources (hide)'!AY$6:AY$105)&gt;0,$E$1=2),0,1)</f>
        <v>1</v>
      </c>
      <c r="AM94" s="68">
        <f ca="1">IF(AND(SUMIF(Capacity_Resource,$D94,'Critical resources (hide)'!AZ$6:AZ$105)+SUMIF(Capacity_Resource,$E94,'Critical resources (hide)'!AZ$6:AZ$105)+SUMIF(Capacity_Resource,$F94,'Critical resources (hide)'!AZ$6:AZ$105)&gt;0,$E$1=2),0,1)</f>
        <v>1</v>
      </c>
      <c r="AN94" s="68">
        <f ca="1">IF(AND(SUMIF(Capacity_Resource,$D94,'Critical resources (hide)'!BA$6:BA$105)+SUMIF(Capacity_Resource,$E94,'Critical resources (hide)'!BA$6:BA$105)+SUMIF(Capacity_Resource,$F94,'Critical resources (hide)'!BA$6:BA$105)&gt;0,$E$1=2),0,1)</f>
        <v>1</v>
      </c>
      <c r="AO94" s="68">
        <f ca="1">IF(AND(SUMIF(Capacity_Resource,$D94,'Critical resources (hide)'!BB$6:BB$105)+SUMIF(Capacity_Resource,$E94,'Critical resources (hide)'!BB$6:BB$105)+SUMIF(Capacity_Resource,$F94,'Critical resources (hide)'!BB$6:BB$105)&gt;0,$E$1=2),0,1)</f>
        <v>1</v>
      </c>
      <c r="AP94" s="68">
        <f ca="1">IF(AND(SUMIF(Capacity_Resource,$D94,'Critical resources (hide)'!BC$6:BC$105)+SUMIF(Capacity_Resource,$E94,'Critical resources (hide)'!BC$6:BC$105)+SUMIF(Capacity_Resource,$F94,'Critical resources (hide)'!BC$6:BC$105)&gt;0,$E$1=2),0,1)</f>
        <v>1</v>
      </c>
      <c r="AQ94" s="68">
        <f ca="1">IF(AND(SUMIF(Capacity_Resource,$D94,'Critical resources (hide)'!BD$6:BD$105)+SUMIF(Capacity_Resource,$E94,'Critical resources (hide)'!BD$6:BD$105)+SUMIF(Capacity_Resource,$F94,'Critical resources (hide)'!BD$6:BD$105)&gt;0,$E$1=2),0,1)</f>
        <v>1</v>
      </c>
      <c r="AR94" s="68">
        <f ca="1">IF(AND(SUMIF(Capacity_Resource,$D94,'Critical resources (hide)'!BE$6:BE$105)+SUMIF(Capacity_Resource,$E94,'Critical resources (hide)'!BE$6:BE$105)+SUMIF(Capacity_Resource,$F94,'Critical resources (hide)'!BE$6:BE$105)&gt;0,$E$1=2),0,1)</f>
        <v>1</v>
      </c>
      <c r="AS94" s="68">
        <f ca="1">IF(AND(SUMIF(Capacity_Resource,$D94,'Critical resources (hide)'!BF$6:BF$105)+SUMIF(Capacity_Resource,$E94,'Critical resources (hide)'!BF$6:BF$105)+SUMIF(Capacity_Resource,$F94,'Critical resources (hide)'!BF$6:BF$105)&gt;0,$E$1=2),0,1)</f>
        <v>1</v>
      </c>
      <c r="AT94" s="68">
        <f ca="1">IF(AND(SUMIF(Capacity_Resource,$D94,'Critical resources (hide)'!BG$6:BG$105)+SUMIF(Capacity_Resource,$E94,'Critical resources (hide)'!BG$6:BG$105)+SUMIF(Capacity_Resource,$F94,'Critical resources (hide)'!BG$6:BG$105)&gt;0,$E$1=2),0,1)</f>
        <v>1</v>
      </c>
      <c r="AU94" s="68">
        <f ca="1">IF(AND(SUMIF(Capacity_Resource,$D94,'Critical resources (hide)'!BH$6:BH$105)+SUMIF(Capacity_Resource,$E94,'Critical resources (hide)'!BH$6:BH$105)+SUMIF(Capacity_Resource,$F94,'Critical resources (hide)'!BH$6:BH$105)&gt;0,$E$1=2),0,1)</f>
        <v>1</v>
      </c>
      <c r="AV94" s="68">
        <f ca="1">IF(AND(SUMIF(Capacity_Resource,$D94,'Critical resources (hide)'!BI$6:BI$105)+SUMIF(Capacity_Resource,$E94,'Critical resources (hide)'!BI$6:BI$105)+SUMIF(Capacity_Resource,$F94,'Critical resources (hide)'!BI$6:BI$105)&gt;0,$E$1=2),0,1)</f>
        <v>1</v>
      </c>
      <c r="AW94" s="68">
        <f ca="1">IF(AND(SUMIF(Capacity_Resource,$D94,'Critical resources (hide)'!BJ$6:BJ$105)+SUMIF(Capacity_Resource,$E94,'Critical resources (hide)'!BJ$6:BJ$105)+SUMIF(Capacity_Resource,$F94,'Critical resources (hide)'!BJ$6:BJ$105)&gt;0,$E$1=2),0,1)</f>
        <v>1</v>
      </c>
      <c r="AX94" s="68">
        <f ca="1">IF(AND(SUMIF(Capacity_Resource,$D94,'Critical resources (hide)'!BK$6:BK$105)+SUMIF(Capacity_Resource,$E94,'Critical resources (hide)'!BK$6:BK$105)+SUMIF(Capacity_Resource,$F94,'Critical resources (hide)'!BK$6:BK$105)&gt;0,$E$1=2),0,1)</f>
        <v>1</v>
      </c>
      <c r="AY94" s="68">
        <f ca="1">IF(AND(SUMIF(Capacity_Resource,$D94,'Critical resources (hide)'!BL$6:BL$105)+SUMIF(Capacity_Resource,$E94,'Critical resources (hide)'!BL$6:BL$105)+SUMIF(Capacity_Resource,$F94,'Critical resources (hide)'!BL$6:BL$105)&gt;0,$E$1=2),0,1)</f>
        <v>1</v>
      </c>
      <c r="AZ94" s="68">
        <f ca="1">IF(AND(SUMIF(Capacity_Resource,$D94,'Critical resources (hide)'!BM$6:BM$105)+SUMIF(Capacity_Resource,$E94,'Critical resources (hide)'!BM$6:BM$105)+SUMIF(Capacity_Resource,$F94,'Critical resources (hide)'!BM$6:BM$105)&gt;0,$E$1=2),0,1)</f>
        <v>1</v>
      </c>
      <c r="BA94" s="68">
        <f ca="1">IF(AND(SUMIF(Capacity_Resource,$D94,'Critical resources (hide)'!BN$6:BN$105)+SUMIF(Capacity_Resource,$E94,'Critical resources (hide)'!BN$6:BN$105)+SUMIF(Capacity_Resource,$F94,'Critical resources (hide)'!BN$6:BN$105)&gt;0,$E$1=2),0,1)</f>
        <v>1</v>
      </c>
      <c r="BB94" s="68">
        <f ca="1">IF(AND(SUMIF(Capacity_Resource,$D94,'Critical resources (hide)'!BO$6:BO$105)+SUMIF(Capacity_Resource,$E94,'Critical resources (hide)'!BO$6:BO$105)+SUMIF(Capacity_Resource,$F94,'Critical resources (hide)'!BO$6:BO$105)&gt;0,$E$1=2),0,1)</f>
        <v>1</v>
      </c>
      <c r="BC94" s="68">
        <f ca="1">IF(AND(SUMIF(Capacity_Resource,$D94,'Critical resources (hide)'!BP$6:BP$105)+SUMIF(Capacity_Resource,$E94,'Critical resources (hide)'!BP$6:BP$105)+SUMIF(Capacity_Resource,$F94,'Critical resources (hide)'!BP$6:BP$105)&gt;0,$E$1=2),0,1)</f>
        <v>1</v>
      </c>
      <c r="BD94" s="68">
        <f ca="1">IF(AND(SUMIF(Capacity_Resource,$D94,'Critical resources (hide)'!BQ$6:BQ$105)+SUMIF(Capacity_Resource,$E94,'Critical resources (hide)'!BQ$6:BQ$105)+SUMIF(Capacity_Resource,$F94,'Critical resources (hide)'!BQ$6:BQ$105)&gt;0,$E$1=2),0,1)</f>
        <v>1</v>
      </c>
      <c r="BE94" s="68">
        <f ca="1">IF(AND(SUMIF(Capacity_Resource,$D94,'Critical resources (hide)'!BR$6:BR$105)+SUMIF(Capacity_Resource,$E94,'Critical resources (hide)'!BR$6:BR$105)+SUMIF(Capacity_Resource,$F94,'Critical resources (hide)'!BR$6:BR$105)&gt;0,$E$1=2),0,1)</f>
        <v>1</v>
      </c>
      <c r="BF94" s="68">
        <f ca="1">IF(AND(SUMIF(Capacity_Resource,$D94,'Critical resources (hide)'!BS$6:BS$105)+SUMIF(Capacity_Resource,$E94,'Critical resources (hide)'!BS$6:BS$105)+SUMIF(Capacity_Resource,$F94,'Critical resources (hide)'!BS$6:BS$105)&gt;0,$E$1=2),0,1)</f>
        <v>1</v>
      </c>
      <c r="BG94" s="68">
        <f ca="1">IF(AND(SUMIF(Capacity_Resource,$D94,'Critical resources (hide)'!BT$6:BT$105)+SUMIF(Capacity_Resource,$E94,'Critical resources (hide)'!BT$6:BT$105)+SUMIF(Capacity_Resource,$F94,'Critical resources (hide)'!BT$6:BT$105)&gt;0,$E$1=2),0,1)</f>
        <v>1</v>
      </c>
      <c r="BH94" s="68">
        <f>IF(ROW(C90)&lt;=Capacity!$A$16,IF('Capacity summary'!$D$14="No",SUM(H94:BG94),'Capacity summary'!$E213),0)</f>
        <v>0</v>
      </c>
      <c r="BI94" s="5" t="str">
        <f>IF(BH94&gt;0,IF(BH94&lt;Capacity!E106,Capacity!F106,Capacity!H106/'Capacity calculation (hide)'!BH94),"")</f>
        <v/>
      </c>
      <c r="BK94" s="319">
        <f>IF($BI94&lt;&gt;"",IF('Capacity summary'!$D$14="Yes",IF(COUNTBLANK('Capacity summary'!$H213:$BG213)&lt;52,IF('Capacity summary'!H213&lt;&gt;"",$BI94*H94,0),H94*$BI94),H94*$BI94),0)</f>
        <v>0</v>
      </c>
      <c r="BL94" s="319">
        <f>IF($BI94&lt;&gt;"",IF('Capacity summary'!$D$14="Yes",IF(COUNTBLANK('Capacity summary'!$H213:$BG213)&lt;52,IF('Capacity summary'!I213&lt;&gt;"",$BI94*I94,0),I94*$BI94),I94*$BI94),0)</f>
        <v>0</v>
      </c>
      <c r="BM94" s="319">
        <f>IF($BI94&lt;&gt;"",IF('Capacity summary'!$D$14="Yes",IF(COUNTBLANK('Capacity summary'!$H213:$BG213)&lt;52,IF('Capacity summary'!J213&lt;&gt;"",$BI94*J94,0),J94*$BI94),J94*$BI94),0)</f>
        <v>0</v>
      </c>
      <c r="BN94" s="319">
        <f>IF($BI94&lt;&gt;"",IF('Capacity summary'!$D$14="Yes",IF(COUNTBLANK('Capacity summary'!$H213:$BG213)&lt;52,IF('Capacity summary'!K213&lt;&gt;"",$BI94*K94,0),K94*$BI94),K94*$BI94),0)</f>
        <v>0</v>
      </c>
      <c r="BO94" s="319">
        <f>IF($BI94&lt;&gt;"",IF('Capacity summary'!$D$14="Yes",IF(COUNTBLANK('Capacity summary'!$H213:$BG213)&lt;52,IF('Capacity summary'!L213&lt;&gt;"",$BI94*L94,0),L94*$BI94),L94*$BI94),0)</f>
        <v>0</v>
      </c>
      <c r="BP94" s="319">
        <f>IF($BI94&lt;&gt;"",IF('Capacity summary'!$D$14="Yes",IF(COUNTBLANK('Capacity summary'!$H213:$BG213)&lt;52,IF('Capacity summary'!M213&lt;&gt;"",$BI94*M94,0),M94*$BI94),M94*$BI94),0)</f>
        <v>0</v>
      </c>
      <c r="BQ94" s="319">
        <f>IF($BI94&lt;&gt;"",IF('Capacity summary'!$D$14="Yes",IF(COUNTBLANK('Capacity summary'!$H213:$BG213)&lt;52,IF('Capacity summary'!N213&lt;&gt;"",$BI94*N94,0),N94*$BI94),N94*$BI94),0)</f>
        <v>0</v>
      </c>
      <c r="BR94" s="319">
        <f>IF($BI94&lt;&gt;"",IF('Capacity summary'!$D$14="Yes",IF(COUNTBLANK('Capacity summary'!$H213:$BG213)&lt;52,IF('Capacity summary'!O213&lt;&gt;"",$BI94*O94,0),O94*$BI94),O94*$BI94),0)</f>
        <v>0</v>
      </c>
      <c r="BS94" s="319">
        <f>IF($BI94&lt;&gt;"",IF('Capacity summary'!$D$14="Yes",IF(COUNTBLANK('Capacity summary'!$H213:$BG213)&lt;52,IF('Capacity summary'!P213&lt;&gt;"",$BI94*P94,0),P94*$BI94),P94*$BI94),0)</f>
        <v>0</v>
      </c>
      <c r="BT94" s="319">
        <f>IF($BI94&lt;&gt;"",IF('Capacity summary'!$D$14="Yes",IF(COUNTBLANK('Capacity summary'!$H213:$BG213)&lt;52,IF('Capacity summary'!Q213&lt;&gt;"",$BI94*Q94,0),Q94*$BI94),Q94*$BI94),0)</f>
        <v>0</v>
      </c>
      <c r="BU94" s="319">
        <f>IF($BI94&lt;&gt;"",IF('Capacity summary'!$D$14="Yes",IF(COUNTBLANK('Capacity summary'!$H213:$BG213)&lt;52,IF('Capacity summary'!R213&lt;&gt;"",$BI94*R94,0),R94*$BI94),R94*$BI94),0)</f>
        <v>0</v>
      </c>
      <c r="BV94" s="319">
        <f>IF($BI94&lt;&gt;"",IF('Capacity summary'!$D$14="Yes",IF(COUNTBLANK('Capacity summary'!$H213:$BG213)&lt;52,IF('Capacity summary'!S213&lt;&gt;"",$BI94*S94,0),S94*$BI94),S94*$BI94),0)</f>
        <v>0</v>
      </c>
      <c r="BW94" s="319">
        <f>IF($BI94&lt;&gt;"",IF('Capacity summary'!$D$14="Yes",IF(COUNTBLANK('Capacity summary'!$H213:$BG213)&lt;52,IF('Capacity summary'!T213&lt;&gt;"",$BI94*T94,0),T94*$BI94),T94*$BI94),0)</f>
        <v>0</v>
      </c>
      <c r="BX94" s="319">
        <f>IF($BI94&lt;&gt;"",IF('Capacity summary'!$D$14="Yes",IF(COUNTBLANK('Capacity summary'!$H213:$BG213)&lt;52,IF('Capacity summary'!U213&lt;&gt;"",$BI94*U94,0),U94*$BI94),U94*$BI94),0)</f>
        <v>0</v>
      </c>
      <c r="BY94" s="319">
        <f>IF($BI94&lt;&gt;"",IF('Capacity summary'!$D$14="Yes",IF(COUNTBLANK('Capacity summary'!$H213:$BG213)&lt;52,IF('Capacity summary'!V213&lt;&gt;"",$BI94*V94,0),V94*$BI94),V94*$BI94),0)</f>
        <v>0</v>
      </c>
      <c r="BZ94" s="319">
        <f>IF($BI94&lt;&gt;"",IF('Capacity summary'!$D$14="Yes",IF(COUNTBLANK('Capacity summary'!$H213:$BG213)&lt;52,IF('Capacity summary'!W213&lt;&gt;"",$BI94*W94,0),W94*$BI94),W94*$BI94),0)</f>
        <v>0</v>
      </c>
      <c r="CA94" s="319">
        <f>IF($BI94&lt;&gt;"",IF('Capacity summary'!$D$14="Yes",IF(COUNTBLANK('Capacity summary'!$H213:$BG213)&lt;52,IF('Capacity summary'!X213&lt;&gt;"",$BI94*X94,0),X94*$BI94),X94*$BI94),0)</f>
        <v>0</v>
      </c>
      <c r="CB94" s="319">
        <f>IF($BI94&lt;&gt;"",IF('Capacity summary'!$D$14="Yes",IF(COUNTBLANK('Capacity summary'!$H213:$BG213)&lt;52,IF('Capacity summary'!Y213&lt;&gt;"",$BI94*Y94,0),Y94*$BI94),Y94*$BI94),0)</f>
        <v>0</v>
      </c>
      <c r="CC94" s="319">
        <f>IF($BI94&lt;&gt;"",IF('Capacity summary'!$D$14="Yes",IF(COUNTBLANK('Capacity summary'!$H213:$BG213)&lt;52,IF('Capacity summary'!Z213&lt;&gt;"",$BI94*Z94,0),Z94*$BI94),Z94*$BI94),0)</f>
        <v>0</v>
      </c>
      <c r="CD94" s="319">
        <f>IF($BI94&lt;&gt;"",IF('Capacity summary'!$D$14="Yes",IF(COUNTBLANK('Capacity summary'!$H213:$BG213)&lt;52,IF('Capacity summary'!AA213&lt;&gt;"",$BI94*AA94,0),AA94*$BI94),AA94*$BI94),0)</f>
        <v>0</v>
      </c>
      <c r="CE94" s="319">
        <f>IF($BI94&lt;&gt;"",IF('Capacity summary'!$D$14="Yes",IF(COUNTBLANK('Capacity summary'!$H213:$BG213)&lt;52,IF('Capacity summary'!AB213&lt;&gt;"",$BI94*AB94,0),AB94*$BI94),AB94*$BI94),0)</f>
        <v>0</v>
      </c>
      <c r="CF94" s="319">
        <f>IF($BI94&lt;&gt;"",IF('Capacity summary'!$D$14="Yes",IF(COUNTBLANK('Capacity summary'!$H213:$BG213)&lt;52,IF('Capacity summary'!AC213&lt;&gt;"",$BI94*AC94,0),AC94*$BI94),AC94*$BI94),0)</f>
        <v>0</v>
      </c>
      <c r="CG94" s="319">
        <f>IF($BI94&lt;&gt;"",IF('Capacity summary'!$D$14="Yes",IF(COUNTBLANK('Capacity summary'!$H213:$BG213)&lt;52,IF('Capacity summary'!AD213&lt;&gt;"",$BI94*AD94,0),AD94*$BI94),AD94*$BI94),0)</f>
        <v>0</v>
      </c>
      <c r="CH94" s="319">
        <f>IF($BI94&lt;&gt;"",IF('Capacity summary'!$D$14="Yes",IF(COUNTBLANK('Capacity summary'!$H213:$BG213)&lt;52,IF('Capacity summary'!AE213&lt;&gt;"",$BI94*AE94,0),AE94*$BI94),AE94*$BI94),0)</f>
        <v>0</v>
      </c>
      <c r="CI94" s="319">
        <f>IF($BI94&lt;&gt;"",IF('Capacity summary'!$D$14="Yes",IF(COUNTBLANK('Capacity summary'!$H213:$BG213)&lt;52,IF('Capacity summary'!AF213&lt;&gt;"",$BI94*AF94,0),AF94*$BI94),AF94*$BI94),0)</f>
        <v>0</v>
      </c>
      <c r="CJ94" s="319">
        <f>IF($BI94&lt;&gt;"",IF('Capacity summary'!$D$14="Yes",IF(COUNTBLANK('Capacity summary'!$H213:$BG213)&lt;52,IF('Capacity summary'!AG213&lt;&gt;"",$BI94*AG94,0),AG94*$BI94),AG94*$BI94),0)</f>
        <v>0</v>
      </c>
      <c r="CK94" s="319">
        <f>IF($BI94&lt;&gt;"",IF('Capacity summary'!$D$14="Yes",IF(COUNTBLANK('Capacity summary'!$H213:$BG213)&lt;52,IF('Capacity summary'!AH213&lt;&gt;"",$BI94*AH94,0),AH94*$BI94),AH94*$BI94),0)</f>
        <v>0</v>
      </c>
      <c r="CL94" s="319">
        <f>IF($BI94&lt;&gt;"",IF('Capacity summary'!$D$14="Yes",IF(COUNTBLANK('Capacity summary'!$H213:$BG213)&lt;52,IF('Capacity summary'!AI213&lt;&gt;"",$BI94*AI94,0),AI94*$BI94),AI94*$BI94),0)</f>
        <v>0</v>
      </c>
      <c r="CM94" s="319">
        <f>IF($BI94&lt;&gt;"",IF('Capacity summary'!$D$14="Yes",IF(COUNTBLANK('Capacity summary'!$H213:$BG213)&lt;52,IF('Capacity summary'!AJ213&lt;&gt;"",$BI94*AJ94,0),AJ94*$BI94),AJ94*$BI94),0)</f>
        <v>0</v>
      </c>
      <c r="CN94" s="319">
        <f>IF($BI94&lt;&gt;"",IF('Capacity summary'!$D$14="Yes",IF(COUNTBLANK('Capacity summary'!$H213:$BG213)&lt;52,IF('Capacity summary'!AK213&lt;&gt;"",$BI94*AK94,0),AK94*$BI94),AK94*$BI94),0)</f>
        <v>0</v>
      </c>
      <c r="CO94" s="319">
        <f>IF($BI94&lt;&gt;"",IF('Capacity summary'!$D$14="Yes",IF(COUNTBLANK('Capacity summary'!$H213:$BG213)&lt;52,IF('Capacity summary'!AL213&lt;&gt;"",$BI94*AL94,0),AL94*$BI94),AL94*$BI94),0)</f>
        <v>0</v>
      </c>
      <c r="CP94" s="319">
        <f>IF($BI94&lt;&gt;"",IF('Capacity summary'!$D$14="Yes",IF(COUNTBLANK('Capacity summary'!$H213:$BG213)&lt;52,IF('Capacity summary'!AM213&lt;&gt;"",$BI94*AM94,0),AM94*$BI94),AM94*$BI94),0)</f>
        <v>0</v>
      </c>
      <c r="CQ94" s="319">
        <f>IF($BI94&lt;&gt;"",IF('Capacity summary'!$D$14="Yes",IF(COUNTBLANK('Capacity summary'!$H213:$BG213)&lt;52,IF('Capacity summary'!AN213&lt;&gt;"",$BI94*AN94,0),AN94*$BI94),AN94*$BI94),0)</f>
        <v>0</v>
      </c>
      <c r="CR94" s="319">
        <f>IF($BI94&lt;&gt;"",IF('Capacity summary'!$D$14="Yes",IF(COUNTBLANK('Capacity summary'!$H213:$BG213)&lt;52,IF('Capacity summary'!AO213&lt;&gt;"",$BI94*AO94,0),AO94*$BI94),AO94*$BI94),0)</f>
        <v>0</v>
      </c>
      <c r="CS94" s="319">
        <f>IF($BI94&lt;&gt;"",IF('Capacity summary'!$D$14="Yes",IF(COUNTBLANK('Capacity summary'!$H213:$BG213)&lt;52,IF('Capacity summary'!AP213&lt;&gt;"",$BI94*AP94,0),AP94*$BI94),AP94*$BI94),0)</f>
        <v>0</v>
      </c>
      <c r="CT94" s="319">
        <f>IF($BI94&lt;&gt;"",IF('Capacity summary'!$D$14="Yes",IF(COUNTBLANK('Capacity summary'!$H213:$BG213)&lt;52,IF('Capacity summary'!AQ213&lt;&gt;"",$BI94*AQ94,0),AQ94*$BI94),AQ94*$BI94),0)</f>
        <v>0</v>
      </c>
      <c r="CU94" s="319">
        <f>IF($BI94&lt;&gt;"",IF('Capacity summary'!$D$14="Yes",IF(COUNTBLANK('Capacity summary'!$H213:$BG213)&lt;52,IF('Capacity summary'!AR213&lt;&gt;"",$BI94*AR94,0),AR94*$BI94),AR94*$BI94),0)</f>
        <v>0</v>
      </c>
      <c r="CV94" s="319">
        <f>IF($BI94&lt;&gt;"",IF('Capacity summary'!$D$14="Yes",IF(COUNTBLANK('Capacity summary'!$H213:$BG213)&lt;52,IF('Capacity summary'!AS213&lt;&gt;"",$BI94*AS94,0),AS94*$BI94),AS94*$BI94),0)</f>
        <v>0</v>
      </c>
      <c r="CW94" s="319">
        <f>IF($BI94&lt;&gt;"",IF('Capacity summary'!$D$14="Yes",IF(COUNTBLANK('Capacity summary'!$H213:$BG213)&lt;52,IF('Capacity summary'!AT213&lt;&gt;"",$BI94*AT94,0),AT94*$BI94),AT94*$BI94),0)</f>
        <v>0</v>
      </c>
      <c r="CX94" s="319">
        <f>IF($BI94&lt;&gt;"",IF('Capacity summary'!$D$14="Yes",IF(COUNTBLANK('Capacity summary'!$H213:$BG213)&lt;52,IF('Capacity summary'!AU213&lt;&gt;"",$BI94*AU94,0),AU94*$BI94),AU94*$BI94),0)</f>
        <v>0</v>
      </c>
      <c r="CY94" s="319">
        <f>IF($BI94&lt;&gt;"",IF('Capacity summary'!$D$14="Yes",IF(COUNTBLANK('Capacity summary'!$H213:$BG213)&lt;52,IF('Capacity summary'!AV213&lt;&gt;"",$BI94*AV94,0),AV94*$BI94),AV94*$BI94),0)</f>
        <v>0</v>
      </c>
      <c r="CZ94" s="319">
        <f>IF($BI94&lt;&gt;"",IF('Capacity summary'!$D$14="Yes",IF(COUNTBLANK('Capacity summary'!$H213:$BG213)&lt;52,IF('Capacity summary'!AW213&lt;&gt;"",$BI94*AW94,0),AW94*$BI94),AW94*$BI94),0)</f>
        <v>0</v>
      </c>
      <c r="DA94" s="319">
        <f>IF($BI94&lt;&gt;"",IF('Capacity summary'!$D$14="Yes",IF(COUNTBLANK('Capacity summary'!$H213:$BG213)&lt;52,IF('Capacity summary'!AX213&lt;&gt;"",$BI94*AX94,0),AX94*$BI94),AX94*$BI94),0)</f>
        <v>0</v>
      </c>
      <c r="DB94" s="319">
        <f>IF($BI94&lt;&gt;"",IF('Capacity summary'!$D$14="Yes",IF(COUNTBLANK('Capacity summary'!$H213:$BG213)&lt;52,IF('Capacity summary'!AY213&lt;&gt;"",$BI94*AY94,0),AY94*$BI94),AY94*$BI94),0)</f>
        <v>0</v>
      </c>
      <c r="DC94" s="319">
        <f>IF($BI94&lt;&gt;"",IF('Capacity summary'!$D$14="Yes",IF(COUNTBLANK('Capacity summary'!$H213:$BG213)&lt;52,IF('Capacity summary'!AZ213&lt;&gt;"",$BI94*AZ94,0),AZ94*$BI94),AZ94*$BI94),0)</f>
        <v>0</v>
      </c>
      <c r="DD94" s="319">
        <f>IF($BI94&lt;&gt;"",IF('Capacity summary'!$D$14="Yes",IF(COUNTBLANK('Capacity summary'!$H213:$BG213)&lt;52,IF('Capacity summary'!BA213&lt;&gt;"",$BI94*BA94,0),BA94*$BI94),BA94*$BI94),0)</f>
        <v>0</v>
      </c>
      <c r="DE94" s="319">
        <f>IF($BI94&lt;&gt;"",IF('Capacity summary'!$D$14="Yes",IF(COUNTBLANK('Capacity summary'!$H213:$BG213)&lt;52,IF('Capacity summary'!BB213&lt;&gt;"",$BI94*BB94,0),BB94*$BI94),BB94*$BI94),0)</f>
        <v>0</v>
      </c>
      <c r="DF94" s="319">
        <f>IF($BI94&lt;&gt;"",IF('Capacity summary'!$D$14="Yes",IF(COUNTBLANK('Capacity summary'!$H213:$BG213)&lt;52,IF('Capacity summary'!BC213&lt;&gt;"",$BI94*BC94,0),BC94*$BI94),BC94*$BI94),0)</f>
        <v>0</v>
      </c>
      <c r="DG94" s="319">
        <f>IF($BI94&lt;&gt;"",IF('Capacity summary'!$D$14="Yes",IF(COUNTBLANK('Capacity summary'!$H213:$BG213)&lt;52,IF('Capacity summary'!BD213&lt;&gt;"",$BI94*BD94,0),BD94*$BI94),BD94*$BI94),0)</f>
        <v>0</v>
      </c>
      <c r="DH94" s="319">
        <f>IF($BI94&lt;&gt;"",IF('Capacity summary'!$D$14="Yes",IF(COUNTBLANK('Capacity summary'!$H213:$BG213)&lt;52,IF('Capacity summary'!BE213&lt;&gt;"",$BI94*BE94,0),BE94*$BI94),BE94*$BI94),0)</f>
        <v>0</v>
      </c>
      <c r="DI94" s="319">
        <f>IF($BI94&lt;&gt;"",IF('Capacity summary'!$D$14="Yes",IF(COUNTBLANK('Capacity summary'!$H213:$BG213)&lt;52,IF('Capacity summary'!BF213&lt;&gt;"",$BI94*BF94,0),BF94*$BI94),BF94*$BI94),0)</f>
        <v>0</v>
      </c>
      <c r="DJ94" s="319">
        <f>IF($BI94&lt;&gt;"",IF('Capacity summary'!$D$14="Yes",IF(COUNTBLANK('Capacity summary'!$H213:$BG213)&lt;52,IF('Capacity summary'!BG213&lt;&gt;"",$BI94*BG94,0),BG94*$BI94),BG94*$BI94),0)</f>
        <v>0</v>
      </c>
      <c r="DK94" s="5">
        <f t="shared" si="3"/>
        <v>0</v>
      </c>
      <c r="DL94" s="5" t="str">
        <f>Capacity!H106</f>
        <v/>
      </c>
    </row>
    <row r="95" spans="2:116" x14ac:dyDescent="0.2">
      <c r="B95" s="68"/>
      <c r="C95" s="68" t="str">
        <f>ROW(A91)&amp;". "&amp;Capacity!B107</f>
        <v xml:space="preserve">91. </v>
      </c>
      <c r="D95" s="68">
        <f>'Capacity setup'!C102</f>
        <v>0</v>
      </c>
      <c r="E95" s="68">
        <f>'Capacity setup'!D102</f>
        <v>0</v>
      </c>
      <c r="F95" s="68">
        <f>'Capacity setup'!E102</f>
        <v>0</v>
      </c>
      <c r="H95" s="68">
        <f ca="1">IF(AND(SUMIF(Capacity_Resource,$D95,'Critical resources (hide)'!U$6:U$105)+SUMIF(Capacity_Resource,$E95,'Critical resources (hide)'!U$6:U$105)+SUMIF(Capacity_Resource,$F95,'Critical resources (hide)'!U$6:U$105)&gt;0,$E$1=2),0,1)</f>
        <v>1</v>
      </c>
      <c r="I95" s="68">
        <f ca="1">IF(AND(SUMIF(Capacity_Resource,$D95,'Critical resources (hide)'!V$6:V$105)+SUMIF(Capacity_Resource,$E95,'Critical resources (hide)'!V$6:V$105)+SUMIF(Capacity_Resource,$F95,'Critical resources (hide)'!V$6:V$105)&gt;0,$E$1=2),0,1)</f>
        <v>1</v>
      </c>
      <c r="J95" s="68">
        <f ca="1">IF(AND(SUMIF(Capacity_Resource,$D95,'Critical resources (hide)'!W$6:W$105)+SUMIF(Capacity_Resource,$E95,'Critical resources (hide)'!W$6:W$105)+SUMIF(Capacity_Resource,$F95,'Critical resources (hide)'!W$6:W$105)&gt;0,$E$1=2),0,1)</f>
        <v>1</v>
      </c>
      <c r="K95" s="68">
        <f ca="1">IF(AND(SUMIF(Capacity_Resource,$D95,'Critical resources (hide)'!X$6:X$105)+SUMIF(Capacity_Resource,$E95,'Critical resources (hide)'!X$6:X$105)+SUMIF(Capacity_Resource,$F95,'Critical resources (hide)'!X$6:X$105)&gt;0,$E$1=2),0,1)</f>
        <v>1</v>
      </c>
      <c r="L95" s="68">
        <f ca="1">IF(AND(SUMIF(Capacity_Resource,$D95,'Critical resources (hide)'!Y$6:Y$105)+SUMIF(Capacity_Resource,$E95,'Critical resources (hide)'!Y$6:Y$105)+SUMIF(Capacity_Resource,$F95,'Critical resources (hide)'!Y$6:Y$105)&gt;0,$E$1=2),0,1)</f>
        <v>1</v>
      </c>
      <c r="M95" s="68">
        <f ca="1">IF(AND(SUMIF(Capacity_Resource,$D95,'Critical resources (hide)'!Z$6:Z$105)+SUMIF(Capacity_Resource,$E95,'Critical resources (hide)'!Z$6:Z$105)+SUMIF(Capacity_Resource,$F95,'Critical resources (hide)'!Z$6:Z$105)&gt;0,$E$1=2),0,1)</f>
        <v>1</v>
      </c>
      <c r="N95" s="68">
        <f ca="1">IF(AND(SUMIF(Capacity_Resource,$D95,'Critical resources (hide)'!AA$6:AA$105)+SUMIF(Capacity_Resource,$E95,'Critical resources (hide)'!AA$6:AA$105)+SUMIF(Capacity_Resource,$F95,'Critical resources (hide)'!AA$6:AA$105)&gt;0,$E$1=2),0,1)</f>
        <v>1</v>
      </c>
      <c r="O95" s="68">
        <f ca="1">IF(AND(SUMIF(Capacity_Resource,$D95,'Critical resources (hide)'!AB$6:AB$105)+SUMIF(Capacity_Resource,$E95,'Critical resources (hide)'!AB$6:AB$105)+SUMIF(Capacity_Resource,$F95,'Critical resources (hide)'!AB$6:AB$105)&gt;0,$E$1=2),0,1)</f>
        <v>1</v>
      </c>
      <c r="P95" s="68">
        <f ca="1">IF(AND(SUMIF(Capacity_Resource,$D95,'Critical resources (hide)'!AC$6:AC$105)+SUMIF(Capacity_Resource,$E95,'Critical resources (hide)'!AC$6:AC$105)+SUMIF(Capacity_Resource,$F95,'Critical resources (hide)'!AC$6:AC$105)&gt;0,$E$1=2),0,1)</f>
        <v>1</v>
      </c>
      <c r="Q95" s="68">
        <f ca="1">IF(AND(SUMIF(Capacity_Resource,$D95,'Critical resources (hide)'!AD$6:AD$105)+SUMIF(Capacity_Resource,$E95,'Critical resources (hide)'!AD$6:AD$105)+SUMIF(Capacity_Resource,$F95,'Critical resources (hide)'!AD$6:AD$105)&gt;0,$E$1=2),0,1)</f>
        <v>1</v>
      </c>
      <c r="R95" s="68">
        <f ca="1">IF(AND(SUMIF(Capacity_Resource,$D95,'Critical resources (hide)'!AE$6:AE$105)+SUMIF(Capacity_Resource,$E95,'Critical resources (hide)'!AE$6:AE$105)+SUMIF(Capacity_Resource,$F95,'Critical resources (hide)'!AE$6:AE$105)&gt;0,$E$1=2),0,1)</f>
        <v>1</v>
      </c>
      <c r="S95" s="68">
        <f ca="1">IF(AND(SUMIF(Capacity_Resource,$D95,'Critical resources (hide)'!AF$6:AF$105)+SUMIF(Capacity_Resource,$E95,'Critical resources (hide)'!AF$6:AF$105)+SUMIF(Capacity_Resource,$F95,'Critical resources (hide)'!AF$6:AF$105)&gt;0,$E$1=2),0,1)</f>
        <v>1</v>
      </c>
      <c r="T95" s="68">
        <f ca="1">IF(AND(SUMIF(Capacity_Resource,$D95,'Critical resources (hide)'!AG$6:AG$105)+SUMIF(Capacity_Resource,$E95,'Critical resources (hide)'!AG$6:AG$105)+SUMIF(Capacity_Resource,$F95,'Critical resources (hide)'!AG$6:AG$105)&gt;0,$E$1=2),0,1)</f>
        <v>1</v>
      </c>
      <c r="U95" s="68">
        <f ca="1">IF(AND(SUMIF(Capacity_Resource,$D95,'Critical resources (hide)'!AH$6:AH$105)+SUMIF(Capacity_Resource,$E95,'Critical resources (hide)'!AH$6:AH$105)+SUMIF(Capacity_Resource,$F95,'Critical resources (hide)'!AH$6:AH$105)&gt;0,$E$1=2),0,1)</f>
        <v>1</v>
      </c>
      <c r="V95" s="68">
        <f ca="1">IF(AND(SUMIF(Capacity_Resource,$D95,'Critical resources (hide)'!AI$6:AI$105)+SUMIF(Capacity_Resource,$E95,'Critical resources (hide)'!AI$6:AI$105)+SUMIF(Capacity_Resource,$F95,'Critical resources (hide)'!AI$6:AI$105)&gt;0,$E$1=2),0,1)</f>
        <v>1</v>
      </c>
      <c r="W95" s="68">
        <f ca="1">IF(AND(SUMIF(Capacity_Resource,$D95,'Critical resources (hide)'!AJ$6:AJ$105)+SUMIF(Capacity_Resource,$E95,'Critical resources (hide)'!AJ$6:AJ$105)+SUMIF(Capacity_Resource,$F95,'Critical resources (hide)'!AJ$6:AJ$105)&gt;0,$E$1=2),0,1)</f>
        <v>1</v>
      </c>
      <c r="X95" s="68">
        <f ca="1">IF(AND(SUMIF(Capacity_Resource,$D95,'Critical resources (hide)'!AK$6:AK$105)+SUMIF(Capacity_Resource,$E95,'Critical resources (hide)'!AK$6:AK$105)+SUMIF(Capacity_Resource,$F95,'Critical resources (hide)'!AK$6:AK$105)&gt;0,$E$1=2),0,1)</f>
        <v>1</v>
      </c>
      <c r="Y95" s="68">
        <f ca="1">IF(AND(SUMIF(Capacity_Resource,$D95,'Critical resources (hide)'!AL$6:AL$105)+SUMIF(Capacity_Resource,$E95,'Critical resources (hide)'!AL$6:AL$105)+SUMIF(Capacity_Resource,$F95,'Critical resources (hide)'!AL$6:AL$105)&gt;0,$E$1=2),0,1)</f>
        <v>1</v>
      </c>
      <c r="Z95" s="68">
        <f ca="1">IF(AND(SUMIF(Capacity_Resource,$D95,'Critical resources (hide)'!AM$6:AM$105)+SUMIF(Capacity_Resource,$E95,'Critical resources (hide)'!AM$6:AM$105)+SUMIF(Capacity_Resource,$F95,'Critical resources (hide)'!AM$6:AM$105)&gt;0,$E$1=2),0,1)</f>
        <v>1</v>
      </c>
      <c r="AA95" s="68">
        <f ca="1">IF(AND(SUMIF(Capacity_Resource,$D95,'Critical resources (hide)'!AN$6:AN$105)+SUMIF(Capacity_Resource,$E95,'Critical resources (hide)'!AN$6:AN$105)+SUMIF(Capacity_Resource,$F95,'Critical resources (hide)'!AN$6:AN$105)&gt;0,$E$1=2),0,1)</f>
        <v>1</v>
      </c>
      <c r="AB95" s="68">
        <f ca="1">IF(AND(SUMIF(Capacity_Resource,$D95,'Critical resources (hide)'!AO$6:AO$105)+SUMIF(Capacity_Resource,$E95,'Critical resources (hide)'!AO$6:AO$105)+SUMIF(Capacity_Resource,$F95,'Critical resources (hide)'!AO$6:AO$105)&gt;0,$E$1=2),0,1)</f>
        <v>1</v>
      </c>
      <c r="AC95" s="68">
        <f ca="1">IF(AND(SUMIF(Capacity_Resource,$D95,'Critical resources (hide)'!AP$6:AP$105)+SUMIF(Capacity_Resource,$E95,'Critical resources (hide)'!AP$6:AP$105)+SUMIF(Capacity_Resource,$F95,'Critical resources (hide)'!AP$6:AP$105)&gt;0,$E$1=2),0,1)</f>
        <v>1</v>
      </c>
      <c r="AD95" s="68">
        <f ca="1">IF(AND(SUMIF(Capacity_Resource,$D95,'Critical resources (hide)'!AQ$6:AQ$105)+SUMIF(Capacity_Resource,$E95,'Critical resources (hide)'!AQ$6:AQ$105)+SUMIF(Capacity_Resource,$F95,'Critical resources (hide)'!AQ$6:AQ$105)&gt;0,$E$1=2),0,1)</f>
        <v>1</v>
      </c>
      <c r="AE95" s="68">
        <f ca="1">IF(AND(SUMIF(Capacity_Resource,$D95,'Critical resources (hide)'!AR$6:AR$105)+SUMIF(Capacity_Resource,$E95,'Critical resources (hide)'!AR$6:AR$105)+SUMIF(Capacity_Resource,$F95,'Critical resources (hide)'!AR$6:AR$105)&gt;0,$E$1=2),0,1)</f>
        <v>1</v>
      </c>
      <c r="AF95" s="68">
        <f ca="1">IF(AND(SUMIF(Capacity_Resource,$D95,'Critical resources (hide)'!AS$6:AS$105)+SUMIF(Capacity_Resource,$E95,'Critical resources (hide)'!AS$6:AS$105)+SUMIF(Capacity_Resource,$F95,'Critical resources (hide)'!AS$6:AS$105)&gt;0,$E$1=2),0,1)</f>
        <v>1</v>
      </c>
      <c r="AG95" s="68">
        <f ca="1">IF(AND(SUMIF(Capacity_Resource,$D95,'Critical resources (hide)'!AT$6:AT$105)+SUMIF(Capacity_Resource,$E95,'Critical resources (hide)'!AT$6:AT$105)+SUMIF(Capacity_Resource,$F95,'Critical resources (hide)'!AT$6:AT$105)&gt;0,$E$1=2),0,1)</f>
        <v>1</v>
      </c>
      <c r="AH95" s="68">
        <f ca="1">IF(AND(SUMIF(Capacity_Resource,$D95,'Critical resources (hide)'!AU$6:AU$105)+SUMIF(Capacity_Resource,$E95,'Critical resources (hide)'!AU$6:AU$105)+SUMIF(Capacity_Resource,$F95,'Critical resources (hide)'!AU$6:AU$105)&gt;0,$E$1=2),0,1)</f>
        <v>1</v>
      </c>
      <c r="AI95" s="68">
        <f ca="1">IF(AND(SUMIF(Capacity_Resource,$D95,'Critical resources (hide)'!AV$6:AV$105)+SUMIF(Capacity_Resource,$E95,'Critical resources (hide)'!AV$6:AV$105)+SUMIF(Capacity_Resource,$F95,'Critical resources (hide)'!AV$6:AV$105)&gt;0,$E$1=2),0,1)</f>
        <v>1</v>
      </c>
      <c r="AJ95" s="68">
        <f ca="1">IF(AND(SUMIF(Capacity_Resource,$D95,'Critical resources (hide)'!AW$6:AW$105)+SUMIF(Capacity_Resource,$E95,'Critical resources (hide)'!AW$6:AW$105)+SUMIF(Capacity_Resource,$F95,'Critical resources (hide)'!AW$6:AW$105)&gt;0,$E$1=2),0,1)</f>
        <v>1</v>
      </c>
      <c r="AK95" s="68">
        <f ca="1">IF(AND(SUMIF(Capacity_Resource,$D95,'Critical resources (hide)'!AX$6:AX$105)+SUMIF(Capacity_Resource,$E95,'Critical resources (hide)'!AX$6:AX$105)+SUMIF(Capacity_Resource,$F95,'Critical resources (hide)'!AX$6:AX$105)&gt;0,$E$1=2),0,1)</f>
        <v>1</v>
      </c>
      <c r="AL95" s="68">
        <f ca="1">IF(AND(SUMIF(Capacity_Resource,$D95,'Critical resources (hide)'!AY$6:AY$105)+SUMIF(Capacity_Resource,$E95,'Critical resources (hide)'!AY$6:AY$105)+SUMIF(Capacity_Resource,$F95,'Critical resources (hide)'!AY$6:AY$105)&gt;0,$E$1=2),0,1)</f>
        <v>1</v>
      </c>
      <c r="AM95" s="68">
        <f ca="1">IF(AND(SUMIF(Capacity_Resource,$D95,'Critical resources (hide)'!AZ$6:AZ$105)+SUMIF(Capacity_Resource,$E95,'Critical resources (hide)'!AZ$6:AZ$105)+SUMIF(Capacity_Resource,$F95,'Critical resources (hide)'!AZ$6:AZ$105)&gt;0,$E$1=2),0,1)</f>
        <v>1</v>
      </c>
      <c r="AN95" s="68">
        <f ca="1">IF(AND(SUMIF(Capacity_Resource,$D95,'Critical resources (hide)'!BA$6:BA$105)+SUMIF(Capacity_Resource,$E95,'Critical resources (hide)'!BA$6:BA$105)+SUMIF(Capacity_Resource,$F95,'Critical resources (hide)'!BA$6:BA$105)&gt;0,$E$1=2),0,1)</f>
        <v>1</v>
      </c>
      <c r="AO95" s="68">
        <f ca="1">IF(AND(SUMIF(Capacity_Resource,$D95,'Critical resources (hide)'!BB$6:BB$105)+SUMIF(Capacity_Resource,$E95,'Critical resources (hide)'!BB$6:BB$105)+SUMIF(Capacity_Resource,$F95,'Critical resources (hide)'!BB$6:BB$105)&gt;0,$E$1=2),0,1)</f>
        <v>1</v>
      </c>
      <c r="AP95" s="68">
        <f ca="1">IF(AND(SUMIF(Capacity_Resource,$D95,'Critical resources (hide)'!BC$6:BC$105)+SUMIF(Capacity_Resource,$E95,'Critical resources (hide)'!BC$6:BC$105)+SUMIF(Capacity_Resource,$F95,'Critical resources (hide)'!BC$6:BC$105)&gt;0,$E$1=2),0,1)</f>
        <v>1</v>
      </c>
      <c r="AQ95" s="68">
        <f ca="1">IF(AND(SUMIF(Capacity_Resource,$D95,'Critical resources (hide)'!BD$6:BD$105)+SUMIF(Capacity_Resource,$E95,'Critical resources (hide)'!BD$6:BD$105)+SUMIF(Capacity_Resource,$F95,'Critical resources (hide)'!BD$6:BD$105)&gt;0,$E$1=2),0,1)</f>
        <v>1</v>
      </c>
      <c r="AR95" s="68">
        <f ca="1">IF(AND(SUMIF(Capacity_Resource,$D95,'Critical resources (hide)'!BE$6:BE$105)+SUMIF(Capacity_Resource,$E95,'Critical resources (hide)'!BE$6:BE$105)+SUMIF(Capacity_Resource,$F95,'Critical resources (hide)'!BE$6:BE$105)&gt;0,$E$1=2),0,1)</f>
        <v>1</v>
      </c>
      <c r="AS95" s="68">
        <f ca="1">IF(AND(SUMIF(Capacity_Resource,$D95,'Critical resources (hide)'!BF$6:BF$105)+SUMIF(Capacity_Resource,$E95,'Critical resources (hide)'!BF$6:BF$105)+SUMIF(Capacity_Resource,$F95,'Critical resources (hide)'!BF$6:BF$105)&gt;0,$E$1=2),0,1)</f>
        <v>1</v>
      </c>
      <c r="AT95" s="68">
        <f ca="1">IF(AND(SUMIF(Capacity_Resource,$D95,'Critical resources (hide)'!BG$6:BG$105)+SUMIF(Capacity_Resource,$E95,'Critical resources (hide)'!BG$6:BG$105)+SUMIF(Capacity_Resource,$F95,'Critical resources (hide)'!BG$6:BG$105)&gt;0,$E$1=2),0,1)</f>
        <v>1</v>
      </c>
      <c r="AU95" s="68">
        <f ca="1">IF(AND(SUMIF(Capacity_Resource,$D95,'Critical resources (hide)'!BH$6:BH$105)+SUMIF(Capacity_Resource,$E95,'Critical resources (hide)'!BH$6:BH$105)+SUMIF(Capacity_Resource,$F95,'Critical resources (hide)'!BH$6:BH$105)&gt;0,$E$1=2),0,1)</f>
        <v>1</v>
      </c>
      <c r="AV95" s="68">
        <f ca="1">IF(AND(SUMIF(Capacity_Resource,$D95,'Critical resources (hide)'!BI$6:BI$105)+SUMIF(Capacity_Resource,$E95,'Critical resources (hide)'!BI$6:BI$105)+SUMIF(Capacity_Resource,$F95,'Critical resources (hide)'!BI$6:BI$105)&gt;0,$E$1=2),0,1)</f>
        <v>1</v>
      </c>
      <c r="AW95" s="68">
        <f ca="1">IF(AND(SUMIF(Capacity_Resource,$D95,'Critical resources (hide)'!BJ$6:BJ$105)+SUMIF(Capacity_Resource,$E95,'Critical resources (hide)'!BJ$6:BJ$105)+SUMIF(Capacity_Resource,$F95,'Critical resources (hide)'!BJ$6:BJ$105)&gt;0,$E$1=2),0,1)</f>
        <v>1</v>
      </c>
      <c r="AX95" s="68">
        <f ca="1">IF(AND(SUMIF(Capacity_Resource,$D95,'Critical resources (hide)'!BK$6:BK$105)+SUMIF(Capacity_Resource,$E95,'Critical resources (hide)'!BK$6:BK$105)+SUMIF(Capacity_Resource,$F95,'Critical resources (hide)'!BK$6:BK$105)&gt;0,$E$1=2),0,1)</f>
        <v>1</v>
      </c>
      <c r="AY95" s="68">
        <f ca="1">IF(AND(SUMIF(Capacity_Resource,$D95,'Critical resources (hide)'!BL$6:BL$105)+SUMIF(Capacity_Resource,$E95,'Critical resources (hide)'!BL$6:BL$105)+SUMIF(Capacity_Resource,$F95,'Critical resources (hide)'!BL$6:BL$105)&gt;0,$E$1=2),0,1)</f>
        <v>1</v>
      </c>
      <c r="AZ95" s="68">
        <f ca="1">IF(AND(SUMIF(Capacity_Resource,$D95,'Critical resources (hide)'!BM$6:BM$105)+SUMIF(Capacity_Resource,$E95,'Critical resources (hide)'!BM$6:BM$105)+SUMIF(Capacity_Resource,$F95,'Critical resources (hide)'!BM$6:BM$105)&gt;0,$E$1=2),0,1)</f>
        <v>1</v>
      </c>
      <c r="BA95" s="68">
        <f ca="1">IF(AND(SUMIF(Capacity_Resource,$D95,'Critical resources (hide)'!BN$6:BN$105)+SUMIF(Capacity_Resource,$E95,'Critical resources (hide)'!BN$6:BN$105)+SUMIF(Capacity_Resource,$F95,'Critical resources (hide)'!BN$6:BN$105)&gt;0,$E$1=2),0,1)</f>
        <v>1</v>
      </c>
      <c r="BB95" s="68">
        <f ca="1">IF(AND(SUMIF(Capacity_Resource,$D95,'Critical resources (hide)'!BO$6:BO$105)+SUMIF(Capacity_Resource,$E95,'Critical resources (hide)'!BO$6:BO$105)+SUMIF(Capacity_Resource,$F95,'Critical resources (hide)'!BO$6:BO$105)&gt;0,$E$1=2),0,1)</f>
        <v>1</v>
      </c>
      <c r="BC95" s="68">
        <f ca="1">IF(AND(SUMIF(Capacity_Resource,$D95,'Critical resources (hide)'!BP$6:BP$105)+SUMIF(Capacity_Resource,$E95,'Critical resources (hide)'!BP$6:BP$105)+SUMIF(Capacity_Resource,$F95,'Critical resources (hide)'!BP$6:BP$105)&gt;0,$E$1=2),0,1)</f>
        <v>1</v>
      </c>
      <c r="BD95" s="68">
        <f ca="1">IF(AND(SUMIF(Capacity_Resource,$D95,'Critical resources (hide)'!BQ$6:BQ$105)+SUMIF(Capacity_Resource,$E95,'Critical resources (hide)'!BQ$6:BQ$105)+SUMIF(Capacity_Resource,$F95,'Critical resources (hide)'!BQ$6:BQ$105)&gt;0,$E$1=2),0,1)</f>
        <v>1</v>
      </c>
      <c r="BE95" s="68">
        <f ca="1">IF(AND(SUMIF(Capacity_Resource,$D95,'Critical resources (hide)'!BR$6:BR$105)+SUMIF(Capacity_Resource,$E95,'Critical resources (hide)'!BR$6:BR$105)+SUMIF(Capacity_Resource,$F95,'Critical resources (hide)'!BR$6:BR$105)&gt;0,$E$1=2),0,1)</f>
        <v>1</v>
      </c>
      <c r="BF95" s="68">
        <f ca="1">IF(AND(SUMIF(Capacity_Resource,$D95,'Critical resources (hide)'!BS$6:BS$105)+SUMIF(Capacity_Resource,$E95,'Critical resources (hide)'!BS$6:BS$105)+SUMIF(Capacity_Resource,$F95,'Critical resources (hide)'!BS$6:BS$105)&gt;0,$E$1=2),0,1)</f>
        <v>1</v>
      </c>
      <c r="BG95" s="68">
        <f ca="1">IF(AND(SUMIF(Capacity_Resource,$D95,'Critical resources (hide)'!BT$6:BT$105)+SUMIF(Capacity_Resource,$E95,'Critical resources (hide)'!BT$6:BT$105)+SUMIF(Capacity_Resource,$F95,'Critical resources (hide)'!BT$6:BT$105)&gt;0,$E$1=2),0,1)</f>
        <v>1</v>
      </c>
      <c r="BH95" s="68">
        <f>IF(ROW(C91)&lt;=Capacity!$A$16,IF('Capacity summary'!$D$14="No",SUM(H95:BG95),'Capacity summary'!$E214),0)</f>
        <v>0</v>
      </c>
      <c r="BI95" s="5" t="str">
        <f>IF(BH95&gt;0,IF(BH95&lt;Capacity!E107,Capacity!F107,Capacity!H107/'Capacity calculation (hide)'!BH95),"")</f>
        <v/>
      </c>
      <c r="BK95" s="319">
        <f>IF($BI95&lt;&gt;"",IF('Capacity summary'!$D$14="Yes",IF(COUNTBLANK('Capacity summary'!$H214:$BG214)&lt;52,IF('Capacity summary'!H214&lt;&gt;"",$BI95*H95,0),H95*$BI95),H95*$BI95),0)</f>
        <v>0</v>
      </c>
      <c r="BL95" s="319">
        <f>IF($BI95&lt;&gt;"",IF('Capacity summary'!$D$14="Yes",IF(COUNTBLANK('Capacity summary'!$H214:$BG214)&lt;52,IF('Capacity summary'!I214&lt;&gt;"",$BI95*I95,0),I95*$BI95),I95*$BI95),0)</f>
        <v>0</v>
      </c>
      <c r="BM95" s="319">
        <f>IF($BI95&lt;&gt;"",IF('Capacity summary'!$D$14="Yes",IF(COUNTBLANK('Capacity summary'!$H214:$BG214)&lt;52,IF('Capacity summary'!J214&lt;&gt;"",$BI95*J95,0),J95*$BI95),J95*$BI95),0)</f>
        <v>0</v>
      </c>
      <c r="BN95" s="319">
        <f>IF($BI95&lt;&gt;"",IF('Capacity summary'!$D$14="Yes",IF(COUNTBLANK('Capacity summary'!$H214:$BG214)&lt;52,IF('Capacity summary'!K214&lt;&gt;"",$BI95*K95,0),K95*$BI95),K95*$BI95),0)</f>
        <v>0</v>
      </c>
      <c r="BO95" s="319">
        <f>IF($BI95&lt;&gt;"",IF('Capacity summary'!$D$14="Yes",IF(COUNTBLANK('Capacity summary'!$H214:$BG214)&lt;52,IF('Capacity summary'!L214&lt;&gt;"",$BI95*L95,0),L95*$BI95),L95*$BI95),0)</f>
        <v>0</v>
      </c>
      <c r="BP95" s="319">
        <f>IF($BI95&lt;&gt;"",IF('Capacity summary'!$D$14="Yes",IF(COUNTBLANK('Capacity summary'!$H214:$BG214)&lt;52,IF('Capacity summary'!M214&lt;&gt;"",$BI95*M95,0),M95*$BI95),M95*$BI95),0)</f>
        <v>0</v>
      </c>
      <c r="BQ95" s="319">
        <f>IF($BI95&lt;&gt;"",IF('Capacity summary'!$D$14="Yes",IF(COUNTBLANK('Capacity summary'!$H214:$BG214)&lt;52,IF('Capacity summary'!N214&lt;&gt;"",$BI95*N95,0),N95*$BI95),N95*$BI95),0)</f>
        <v>0</v>
      </c>
      <c r="BR95" s="319">
        <f>IF($BI95&lt;&gt;"",IF('Capacity summary'!$D$14="Yes",IF(COUNTBLANK('Capacity summary'!$H214:$BG214)&lt;52,IF('Capacity summary'!O214&lt;&gt;"",$BI95*O95,0),O95*$BI95),O95*$BI95),0)</f>
        <v>0</v>
      </c>
      <c r="BS95" s="319">
        <f>IF($BI95&lt;&gt;"",IF('Capacity summary'!$D$14="Yes",IF(COUNTBLANK('Capacity summary'!$H214:$BG214)&lt;52,IF('Capacity summary'!P214&lt;&gt;"",$BI95*P95,0),P95*$BI95),P95*$BI95),0)</f>
        <v>0</v>
      </c>
      <c r="BT95" s="319">
        <f>IF($BI95&lt;&gt;"",IF('Capacity summary'!$D$14="Yes",IF(COUNTBLANK('Capacity summary'!$H214:$BG214)&lt;52,IF('Capacity summary'!Q214&lt;&gt;"",$BI95*Q95,0),Q95*$BI95),Q95*$BI95),0)</f>
        <v>0</v>
      </c>
      <c r="BU95" s="319">
        <f>IF($BI95&lt;&gt;"",IF('Capacity summary'!$D$14="Yes",IF(COUNTBLANK('Capacity summary'!$H214:$BG214)&lt;52,IF('Capacity summary'!R214&lt;&gt;"",$BI95*R95,0),R95*$BI95),R95*$BI95),0)</f>
        <v>0</v>
      </c>
      <c r="BV95" s="319">
        <f>IF($BI95&lt;&gt;"",IF('Capacity summary'!$D$14="Yes",IF(COUNTBLANK('Capacity summary'!$H214:$BG214)&lt;52,IF('Capacity summary'!S214&lt;&gt;"",$BI95*S95,0),S95*$BI95),S95*$BI95),0)</f>
        <v>0</v>
      </c>
      <c r="BW95" s="319">
        <f>IF($BI95&lt;&gt;"",IF('Capacity summary'!$D$14="Yes",IF(COUNTBLANK('Capacity summary'!$H214:$BG214)&lt;52,IF('Capacity summary'!T214&lt;&gt;"",$BI95*T95,0),T95*$BI95),T95*$BI95),0)</f>
        <v>0</v>
      </c>
      <c r="BX95" s="319">
        <f>IF($BI95&lt;&gt;"",IF('Capacity summary'!$D$14="Yes",IF(COUNTBLANK('Capacity summary'!$H214:$BG214)&lt;52,IF('Capacity summary'!U214&lt;&gt;"",$BI95*U95,0),U95*$BI95),U95*$BI95),0)</f>
        <v>0</v>
      </c>
      <c r="BY95" s="319">
        <f>IF($BI95&lt;&gt;"",IF('Capacity summary'!$D$14="Yes",IF(COUNTBLANK('Capacity summary'!$H214:$BG214)&lt;52,IF('Capacity summary'!V214&lt;&gt;"",$BI95*V95,0),V95*$BI95),V95*$BI95),0)</f>
        <v>0</v>
      </c>
      <c r="BZ95" s="319">
        <f>IF($BI95&lt;&gt;"",IF('Capacity summary'!$D$14="Yes",IF(COUNTBLANK('Capacity summary'!$H214:$BG214)&lt;52,IF('Capacity summary'!W214&lt;&gt;"",$BI95*W95,0),W95*$BI95),W95*$BI95),0)</f>
        <v>0</v>
      </c>
      <c r="CA95" s="319">
        <f>IF($BI95&lt;&gt;"",IF('Capacity summary'!$D$14="Yes",IF(COUNTBLANK('Capacity summary'!$H214:$BG214)&lt;52,IF('Capacity summary'!X214&lt;&gt;"",$BI95*X95,0),X95*$BI95),X95*$BI95),0)</f>
        <v>0</v>
      </c>
      <c r="CB95" s="319">
        <f>IF($BI95&lt;&gt;"",IF('Capacity summary'!$D$14="Yes",IF(COUNTBLANK('Capacity summary'!$H214:$BG214)&lt;52,IF('Capacity summary'!Y214&lt;&gt;"",$BI95*Y95,0),Y95*$BI95),Y95*$BI95),0)</f>
        <v>0</v>
      </c>
      <c r="CC95" s="319">
        <f>IF($BI95&lt;&gt;"",IF('Capacity summary'!$D$14="Yes",IF(COUNTBLANK('Capacity summary'!$H214:$BG214)&lt;52,IF('Capacity summary'!Z214&lt;&gt;"",$BI95*Z95,0),Z95*$BI95),Z95*$BI95),0)</f>
        <v>0</v>
      </c>
      <c r="CD95" s="319">
        <f>IF($BI95&lt;&gt;"",IF('Capacity summary'!$D$14="Yes",IF(COUNTBLANK('Capacity summary'!$H214:$BG214)&lt;52,IF('Capacity summary'!AA214&lt;&gt;"",$BI95*AA95,0),AA95*$BI95),AA95*$BI95),0)</f>
        <v>0</v>
      </c>
      <c r="CE95" s="319">
        <f>IF($BI95&lt;&gt;"",IF('Capacity summary'!$D$14="Yes",IF(COUNTBLANK('Capacity summary'!$H214:$BG214)&lt;52,IF('Capacity summary'!AB214&lt;&gt;"",$BI95*AB95,0),AB95*$BI95),AB95*$BI95),0)</f>
        <v>0</v>
      </c>
      <c r="CF95" s="319">
        <f>IF($BI95&lt;&gt;"",IF('Capacity summary'!$D$14="Yes",IF(COUNTBLANK('Capacity summary'!$H214:$BG214)&lt;52,IF('Capacity summary'!AC214&lt;&gt;"",$BI95*AC95,0),AC95*$BI95),AC95*$BI95),0)</f>
        <v>0</v>
      </c>
      <c r="CG95" s="319">
        <f>IF($BI95&lt;&gt;"",IF('Capacity summary'!$D$14="Yes",IF(COUNTBLANK('Capacity summary'!$H214:$BG214)&lt;52,IF('Capacity summary'!AD214&lt;&gt;"",$BI95*AD95,0),AD95*$BI95),AD95*$BI95),0)</f>
        <v>0</v>
      </c>
      <c r="CH95" s="319">
        <f>IF($BI95&lt;&gt;"",IF('Capacity summary'!$D$14="Yes",IF(COUNTBLANK('Capacity summary'!$H214:$BG214)&lt;52,IF('Capacity summary'!AE214&lt;&gt;"",$BI95*AE95,0),AE95*$BI95),AE95*$BI95),0)</f>
        <v>0</v>
      </c>
      <c r="CI95" s="319">
        <f>IF($BI95&lt;&gt;"",IF('Capacity summary'!$D$14="Yes",IF(COUNTBLANK('Capacity summary'!$H214:$BG214)&lt;52,IF('Capacity summary'!AF214&lt;&gt;"",$BI95*AF95,0),AF95*$BI95),AF95*$BI95),0)</f>
        <v>0</v>
      </c>
      <c r="CJ95" s="319">
        <f>IF($BI95&lt;&gt;"",IF('Capacity summary'!$D$14="Yes",IF(COUNTBLANK('Capacity summary'!$H214:$BG214)&lt;52,IF('Capacity summary'!AG214&lt;&gt;"",$BI95*AG95,0),AG95*$BI95),AG95*$BI95),0)</f>
        <v>0</v>
      </c>
      <c r="CK95" s="319">
        <f>IF($BI95&lt;&gt;"",IF('Capacity summary'!$D$14="Yes",IF(COUNTBLANK('Capacity summary'!$H214:$BG214)&lt;52,IF('Capacity summary'!AH214&lt;&gt;"",$BI95*AH95,0),AH95*$BI95),AH95*$BI95),0)</f>
        <v>0</v>
      </c>
      <c r="CL95" s="319">
        <f>IF($BI95&lt;&gt;"",IF('Capacity summary'!$D$14="Yes",IF(COUNTBLANK('Capacity summary'!$H214:$BG214)&lt;52,IF('Capacity summary'!AI214&lt;&gt;"",$BI95*AI95,0),AI95*$BI95),AI95*$BI95),0)</f>
        <v>0</v>
      </c>
      <c r="CM95" s="319">
        <f>IF($BI95&lt;&gt;"",IF('Capacity summary'!$D$14="Yes",IF(COUNTBLANK('Capacity summary'!$H214:$BG214)&lt;52,IF('Capacity summary'!AJ214&lt;&gt;"",$BI95*AJ95,0),AJ95*$BI95),AJ95*$BI95),0)</f>
        <v>0</v>
      </c>
      <c r="CN95" s="319">
        <f>IF($BI95&lt;&gt;"",IF('Capacity summary'!$D$14="Yes",IF(COUNTBLANK('Capacity summary'!$H214:$BG214)&lt;52,IF('Capacity summary'!AK214&lt;&gt;"",$BI95*AK95,0),AK95*$BI95),AK95*$BI95),0)</f>
        <v>0</v>
      </c>
      <c r="CO95" s="319">
        <f>IF($BI95&lt;&gt;"",IF('Capacity summary'!$D$14="Yes",IF(COUNTBLANK('Capacity summary'!$H214:$BG214)&lt;52,IF('Capacity summary'!AL214&lt;&gt;"",$BI95*AL95,0),AL95*$BI95),AL95*$BI95),0)</f>
        <v>0</v>
      </c>
      <c r="CP95" s="319">
        <f>IF($BI95&lt;&gt;"",IF('Capacity summary'!$D$14="Yes",IF(COUNTBLANK('Capacity summary'!$H214:$BG214)&lt;52,IF('Capacity summary'!AM214&lt;&gt;"",$BI95*AM95,0),AM95*$BI95),AM95*$BI95),0)</f>
        <v>0</v>
      </c>
      <c r="CQ95" s="319">
        <f>IF($BI95&lt;&gt;"",IF('Capacity summary'!$D$14="Yes",IF(COUNTBLANK('Capacity summary'!$H214:$BG214)&lt;52,IF('Capacity summary'!AN214&lt;&gt;"",$BI95*AN95,0),AN95*$BI95),AN95*$BI95),0)</f>
        <v>0</v>
      </c>
      <c r="CR95" s="319">
        <f>IF($BI95&lt;&gt;"",IF('Capacity summary'!$D$14="Yes",IF(COUNTBLANK('Capacity summary'!$H214:$BG214)&lt;52,IF('Capacity summary'!AO214&lt;&gt;"",$BI95*AO95,0),AO95*$BI95),AO95*$BI95),0)</f>
        <v>0</v>
      </c>
      <c r="CS95" s="319">
        <f>IF($BI95&lt;&gt;"",IF('Capacity summary'!$D$14="Yes",IF(COUNTBLANK('Capacity summary'!$H214:$BG214)&lt;52,IF('Capacity summary'!AP214&lt;&gt;"",$BI95*AP95,0),AP95*$BI95),AP95*$BI95),0)</f>
        <v>0</v>
      </c>
      <c r="CT95" s="319">
        <f>IF($BI95&lt;&gt;"",IF('Capacity summary'!$D$14="Yes",IF(COUNTBLANK('Capacity summary'!$H214:$BG214)&lt;52,IF('Capacity summary'!AQ214&lt;&gt;"",$BI95*AQ95,0),AQ95*$BI95),AQ95*$BI95),0)</f>
        <v>0</v>
      </c>
      <c r="CU95" s="319">
        <f>IF($BI95&lt;&gt;"",IF('Capacity summary'!$D$14="Yes",IF(COUNTBLANK('Capacity summary'!$H214:$BG214)&lt;52,IF('Capacity summary'!AR214&lt;&gt;"",$BI95*AR95,0),AR95*$BI95),AR95*$BI95),0)</f>
        <v>0</v>
      </c>
      <c r="CV95" s="319">
        <f>IF($BI95&lt;&gt;"",IF('Capacity summary'!$D$14="Yes",IF(COUNTBLANK('Capacity summary'!$H214:$BG214)&lt;52,IF('Capacity summary'!AS214&lt;&gt;"",$BI95*AS95,0),AS95*$BI95),AS95*$BI95),0)</f>
        <v>0</v>
      </c>
      <c r="CW95" s="319">
        <f>IF($BI95&lt;&gt;"",IF('Capacity summary'!$D$14="Yes",IF(COUNTBLANK('Capacity summary'!$H214:$BG214)&lt;52,IF('Capacity summary'!AT214&lt;&gt;"",$BI95*AT95,0),AT95*$BI95),AT95*$BI95),0)</f>
        <v>0</v>
      </c>
      <c r="CX95" s="319">
        <f>IF($BI95&lt;&gt;"",IF('Capacity summary'!$D$14="Yes",IF(COUNTBLANK('Capacity summary'!$H214:$BG214)&lt;52,IF('Capacity summary'!AU214&lt;&gt;"",$BI95*AU95,0),AU95*$BI95),AU95*$BI95),0)</f>
        <v>0</v>
      </c>
      <c r="CY95" s="319">
        <f>IF($BI95&lt;&gt;"",IF('Capacity summary'!$D$14="Yes",IF(COUNTBLANK('Capacity summary'!$H214:$BG214)&lt;52,IF('Capacity summary'!AV214&lt;&gt;"",$BI95*AV95,0),AV95*$BI95),AV95*$BI95),0)</f>
        <v>0</v>
      </c>
      <c r="CZ95" s="319">
        <f>IF($BI95&lt;&gt;"",IF('Capacity summary'!$D$14="Yes",IF(COUNTBLANK('Capacity summary'!$H214:$BG214)&lt;52,IF('Capacity summary'!AW214&lt;&gt;"",$BI95*AW95,0),AW95*$BI95),AW95*$BI95),0)</f>
        <v>0</v>
      </c>
      <c r="DA95" s="319">
        <f>IF($BI95&lt;&gt;"",IF('Capacity summary'!$D$14="Yes",IF(COUNTBLANK('Capacity summary'!$H214:$BG214)&lt;52,IF('Capacity summary'!AX214&lt;&gt;"",$BI95*AX95,0),AX95*$BI95),AX95*$BI95),0)</f>
        <v>0</v>
      </c>
      <c r="DB95" s="319">
        <f>IF($BI95&lt;&gt;"",IF('Capacity summary'!$D$14="Yes",IF(COUNTBLANK('Capacity summary'!$H214:$BG214)&lt;52,IF('Capacity summary'!AY214&lt;&gt;"",$BI95*AY95,0),AY95*$BI95),AY95*$BI95),0)</f>
        <v>0</v>
      </c>
      <c r="DC95" s="319">
        <f>IF($BI95&lt;&gt;"",IF('Capacity summary'!$D$14="Yes",IF(COUNTBLANK('Capacity summary'!$H214:$BG214)&lt;52,IF('Capacity summary'!AZ214&lt;&gt;"",$BI95*AZ95,0),AZ95*$BI95),AZ95*$BI95),0)</f>
        <v>0</v>
      </c>
      <c r="DD95" s="319">
        <f>IF($BI95&lt;&gt;"",IF('Capacity summary'!$D$14="Yes",IF(COUNTBLANK('Capacity summary'!$H214:$BG214)&lt;52,IF('Capacity summary'!BA214&lt;&gt;"",$BI95*BA95,0),BA95*$BI95),BA95*$BI95),0)</f>
        <v>0</v>
      </c>
      <c r="DE95" s="319">
        <f>IF($BI95&lt;&gt;"",IF('Capacity summary'!$D$14="Yes",IF(COUNTBLANK('Capacity summary'!$H214:$BG214)&lt;52,IF('Capacity summary'!BB214&lt;&gt;"",$BI95*BB95,0),BB95*$BI95),BB95*$BI95),0)</f>
        <v>0</v>
      </c>
      <c r="DF95" s="319">
        <f>IF($BI95&lt;&gt;"",IF('Capacity summary'!$D$14="Yes",IF(COUNTBLANK('Capacity summary'!$H214:$BG214)&lt;52,IF('Capacity summary'!BC214&lt;&gt;"",$BI95*BC95,0),BC95*$BI95),BC95*$BI95),0)</f>
        <v>0</v>
      </c>
      <c r="DG95" s="319">
        <f>IF($BI95&lt;&gt;"",IF('Capacity summary'!$D$14="Yes",IF(COUNTBLANK('Capacity summary'!$H214:$BG214)&lt;52,IF('Capacity summary'!BD214&lt;&gt;"",$BI95*BD95,0),BD95*$BI95),BD95*$BI95),0)</f>
        <v>0</v>
      </c>
      <c r="DH95" s="319">
        <f>IF($BI95&lt;&gt;"",IF('Capacity summary'!$D$14="Yes",IF(COUNTBLANK('Capacity summary'!$H214:$BG214)&lt;52,IF('Capacity summary'!BE214&lt;&gt;"",$BI95*BE95,0),BE95*$BI95),BE95*$BI95),0)</f>
        <v>0</v>
      </c>
      <c r="DI95" s="319">
        <f>IF($BI95&lt;&gt;"",IF('Capacity summary'!$D$14="Yes",IF(COUNTBLANK('Capacity summary'!$H214:$BG214)&lt;52,IF('Capacity summary'!BF214&lt;&gt;"",$BI95*BF95,0),BF95*$BI95),BF95*$BI95),0)</f>
        <v>0</v>
      </c>
      <c r="DJ95" s="319">
        <f>IF($BI95&lt;&gt;"",IF('Capacity summary'!$D$14="Yes",IF(COUNTBLANK('Capacity summary'!$H214:$BG214)&lt;52,IF('Capacity summary'!BG214&lt;&gt;"",$BI95*BG95,0),BG95*$BI95),BG95*$BI95),0)</f>
        <v>0</v>
      </c>
      <c r="DK95" s="5">
        <f t="shared" si="3"/>
        <v>0</v>
      </c>
      <c r="DL95" s="5" t="str">
        <f>Capacity!H107</f>
        <v/>
      </c>
    </row>
    <row r="96" spans="2:116" x14ac:dyDescent="0.2">
      <c r="B96" s="68"/>
      <c r="C96" s="68" t="str">
        <f>ROW(A92)&amp;". "&amp;Capacity!B108</f>
        <v xml:space="preserve">92. </v>
      </c>
      <c r="D96" s="68">
        <f>'Capacity setup'!C103</f>
        <v>0</v>
      </c>
      <c r="E96" s="68">
        <f>'Capacity setup'!D103</f>
        <v>0</v>
      </c>
      <c r="F96" s="68">
        <f>'Capacity setup'!E103</f>
        <v>0</v>
      </c>
      <c r="H96" s="68">
        <f ca="1">IF(AND(SUMIF(Capacity_Resource,$D96,'Critical resources (hide)'!U$6:U$105)+SUMIF(Capacity_Resource,$E96,'Critical resources (hide)'!U$6:U$105)+SUMIF(Capacity_Resource,$F96,'Critical resources (hide)'!U$6:U$105)&gt;0,$E$1=2),0,1)</f>
        <v>1</v>
      </c>
      <c r="I96" s="68">
        <f ca="1">IF(AND(SUMIF(Capacity_Resource,$D96,'Critical resources (hide)'!V$6:V$105)+SUMIF(Capacity_Resource,$E96,'Critical resources (hide)'!V$6:V$105)+SUMIF(Capacity_Resource,$F96,'Critical resources (hide)'!V$6:V$105)&gt;0,$E$1=2),0,1)</f>
        <v>1</v>
      </c>
      <c r="J96" s="68">
        <f ca="1">IF(AND(SUMIF(Capacity_Resource,$D96,'Critical resources (hide)'!W$6:W$105)+SUMIF(Capacity_Resource,$E96,'Critical resources (hide)'!W$6:W$105)+SUMIF(Capacity_Resource,$F96,'Critical resources (hide)'!W$6:W$105)&gt;0,$E$1=2),0,1)</f>
        <v>1</v>
      </c>
      <c r="K96" s="68">
        <f ca="1">IF(AND(SUMIF(Capacity_Resource,$D96,'Critical resources (hide)'!X$6:X$105)+SUMIF(Capacity_Resource,$E96,'Critical resources (hide)'!X$6:X$105)+SUMIF(Capacity_Resource,$F96,'Critical resources (hide)'!X$6:X$105)&gt;0,$E$1=2),0,1)</f>
        <v>1</v>
      </c>
      <c r="L96" s="68">
        <f ca="1">IF(AND(SUMIF(Capacity_Resource,$D96,'Critical resources (hide)'!Y$6:Y$105)+SUMIF(Capacity_Resource,$E96,'Critical resources (hide)'!Y$6:Y$105)+SUMIF(Capacity_Resource,$F96,'Critical resources (hide)'!Y$6:Y$105)&gt;0,$E$1=2),0,1)</f>
        <v>1</v>
      </c>
      <c r="M96" s="68">
        <f ca="1">IF(AND(SUMIF(Capacity_Resource,$D96,'Critical resources (hide)'!Z$6:Z$105)+SUMIF(Capacity_Resource,$E96,'Critical resources (hide)'!Z$6:Z$105)+SUMIF(Capacity_Resource,$F96,'Critical resources (hide)'!Z$6:Z$105)&gt;0,$E$1=2),0,1)</f>
        <v>1</v>
      </c>
      <c r="N96" s="68">
        <f ca="1">IF(AND(SUMIF(Capacity_Resource,$D96,'Critical resources (hide)'!AA$6:AA$105)+SUMIF(Capacity_Resource,$E96,'Critical resources (hide)'!AA$6:AA$105)+SUMIF(Capacity_Resource,$F96,'Critical resources (hide)'!AA$6:AA$105)&gt;0,$E$1=2),0,1)</f>
        <v>1</v>
      </c>
      <c r="O96" s="68">
        <f ca="1">IF(AND(SUMIF(Capacity_Resource,$D96,'Critical resources (hide)'!AB$6:AB$105)+SUMIF(Capacity_Resource,$E96,'Critical resources (hide)'!AB$6:AB$105)+SUMIF(Capacity_Resource,$F96,'Critical resources (hide)'!AB$6:AB$105)&gt;0,$E$1=2),0,1)</f>
        <v>1</v>
      </c>
      <c r="P96" s="68">
        <f ca="1">IF(AND(SUMIF(Capacity_Resource,$D96,'Critical resources (hide)'!AC$6:AC$105)+SUMIF(Capacity_Resource,$E96,'Critical resources (hide)'!AC$6:AC$105)+SUMIF(Capacity_Resource,$F96,'Critical resources (hide)'!AC$6:AC$105)&gt;0,$E$1=2),0,1)</f>
        <v>1</v>
      </c>
      <c r="Q96" s="68">
        <f ca="1">IF(AND(SUMIF(Capacity_Resource,$D96,'Critical resources (hide)'!AD$6:AD$105)+SUMIF(Capacity_Resource,$E96,'Critical resources (hide)'!AD$6:AD$105)+SUMIF(Capacity_Resource,$F96,'Critical resources (hide)'!AD$6:AD$105)&gt;0,$E$1=2),0,1)</f>
        <v>1</v>
      </c>
      <c r="R96" s="68">
        <f ca="1">IF(AND(SUMIF(Capacity_Resource,$D96,'Critical resources (hide)'!AE$6:AE$105)+SUMIF(Capacity_Resource,$E96,'Critical resources (hide)'!AE$6:AE$105)+SUMIF(Capacity_Resource,$F96,'Critical resources (hide)'!AE$6:AE$105)&gt;0,$E$1=2),0,1)</f>
        <v>1</v>
      </c>
      <c r="S96" s="68">
        <f ca="1">IF(AND(SUMIF(Capacity_Resource,$D96,'Critical resources (hide)'!AF$6:AF$105)+SUMIF(Capacity_Resource,$E96,'Critical resources (hide)'!AF$6:AF$105)+SUMIF(Capacity_Resource,$F96,'Critical resources (hide)'!AF$6:AF$105)&gt;0,$E$1=2),0,1)</f>
        <v>1</v>
      </c>
      <c r="T96" s="68">
        <f ca="1">IF(AND(SUMIF(Capacity_Resource,$D96,'Critical resources (hide)'!AG$6:AG$105)+SUMIF(Capacity_Resource,$E96,'Critical resources (hide)'!AG$6:AG$105)+SUMIF(Capacity_Resource,$F96,'Critical resources (hide)'!AG$6:AG$105)&gt;0,$E$1=2),0,1)</f>
        <v>1</v>
      </c>
      <c r="U96" s="68">
        <f ca="1">IF(AND(SUMIF(Capacity_Resource,$D96,'Critical resources (hide)'!AH$6:AH$105)+SUMIF(Capacity_Resource,$E96,'Critical resources (hide)'!AH$6:AH$105)+SUMIF(Capacity_Resource,$F96,'Critical resources (hide)'!AH$6:AH$105)&gt;0,$E$1=2),0,1)</f>
        <v>1</v>
      </c>
      <c r="V96" s="68">
        <f ca="1">IF(AND(SUMIF(Capacity_Resource,$D96,'Critical resources (hide)'!AI$6:AI$105)+SUMIF(Capacity_Resource,$E96,'Critical resources (hide)'!AI$6:AI$105)+SUMIF(Capacity_Resource,$F96,'Critical resources (hide)'!AI$6:AI$105)&gt;0,$E$1=2),0,1)</f>
        <v>1</v>
      </c>
      <c r="W96" s="68">
        <f ca="1">IF(AND(SUMIF(Capacity_Resource,$D96,'Critical resources (hide)'!AJ$6:AJ$105)+SUMIF(Capacity_Resource,$E96,'Critical resources (hide)'!AJ$6:AJ$105)+SUMIF(Capacity_Resource,$F96,'Critical resources (hide)'!AJ$6:AJ$105)&gt;0,$E$1=2),0,1)</f>
        <v>1</v>
      </c>
      <c r="X96" s="68">
        <f ca="1">IF(AND(SUMIF(Capacity_Resource,$D96,'Critical resources (hide)'!AK$6:AK$105)+SUMIF(Capacity_Resource,$E96,'Critical resources (hide)'!AK$6:AK$105)+SUMIF(Capacity_Resource,$F96,'Critical resources (hide)'!AK$6:AK$105)&gt;0,$E$1=2),0,1)</f>
        <v>1</v>
      </c>
      <c r="Y96" s="68">
        <f ca="1">IF(AND(SUMIF(Capacity_Resource,$D96,'Critical resources (hide)'!AL$6:AL$105)+SUMIF(Capacity_Resource,$E96,'Critical resources (hide)'!AL$6:AL$105)+SUMIF(Capacity_Resource,$F96,'Critical resources (hide)'!AL$6:AL$105)&gt;0,$E$1=2),0,1)</f>
        <v>1</v>
      </c>
      <c r="Z96" s="68">
        <f ca="1">IF(AND(SUMIF(Capacity_Resource,$D96,'Critical resources (hide)'!AM$6:AM$105)+SUMIF(Capacity_Resource,$E96,'Critical resources (hide)'!AM$6:AM$105)+SUMIF(Capacity_Resource,$F96,'Critical resources (hide)'!AM$6:AM$105)&gt;0,$E$1=2),0,1)</f>
        <v>1</v>
      </c>
      <c r="AA96" s="68">
        <f ca="1">IF(AND(SUMIF(Capacity_Resource,$D96,'Critical resources (hide)'!AN$6:AN$105)+SUMIF(Capacity_Resource,$E96,'Critical resources (hide)'!AN$6:AN$105)+SUMIF(Capacity_Resource,$F96,'Critical resources (hide)'!AN$6:AN$105)&gt;0,$E$1=2),0,1)</f>
        <v>1</v>
      </c>
      <c r="AB96" s="68">
        <f ca="1">IF(AND(SUMIF(Capacity_Resource,$D96,'Critical resources (hide)'!AO$6:AO$105)+SUMIF(Capacity_Resource,$E96,'Critical resources (hide)'!AO$6:AO$105)+SUMIF(Capacity_Resource,$F96,'Critical resources (hide)'!AO$6:AO$105)&gt;0,$E$1=2),0,1)</f>
        <v>1</v>
      </c>
      <c r="AC96" s="68">
        <f ca="1">IF(AND(SUMIF(Capacity_Resource,$D96,'Critical resources (hide)'!AP$6:AP$105)+SUMIF(Capacity_Resource,$E96,'Critical resources (hide)'!AP$6:AP$105)+SUMIF(Capacity_Resource,$F96,'Critical resources (hide)'!AP$6:AP$105)&gt;0,$E$1=2),0,1)</f>
        <v>1</v>
      </c>
      <c r="AD96" s="68">
        <f ca="1">IF(AND(SUMIF(Capacity_Resource,$D96,'Critical resources (hide)'!AQ$6:AQ$105)+SUMIF(Capacity_Resource,$E96,'Critical resources (hide)'!AQ$6:AQ$105)+SUMIF(Capacity_Resource,$F96,'Critical resources (hide)'!AQ$6:AQ$105)&gt;0,$E$1=2),0,1)</f>
        <v>1</v>
      </c>
      <c r="AE96" s="68">
        <f ca="1">IF(AND(SUMIF(Capacity_Resource,$D96,'Critical resources (hide)'!AR$6:AR$105)+SUMIF(Capacity_Resource,$E96,'Critical resources (hide)'!AR$6:AR$105)+SUMIF(Capacity_Resource,$F96,'Critical resources (hide)'!AR$6:AR$105)&gt;0,$E$1=2),0,1)</f>
        <v>1</v>
      </c>
      <c r="AF96" s="68">
        <f ca="1">IF(AND(SUMIF(Capacity_Resource,$D96,'Critical resources (hide)'!AS$6:AS$105)+SUMIF(Capacity_Resource,$E96,'Critical resources (hide)'!AS$6:AS$105)+SUMIF(Capacity_Resource,$F96,'Critical resources (hide)'!AS$6:AS$105)&gt;0,$E$1=2),0,1)</f>
        <v>1</v>
      </c>
      <c r="AG96" s="68">
        <f ca="1">IF(AND(SUMIF(Capacity_Resource,$D96,'Critical resources (hide)'!AT$6:AT$105)+SUMIF(Capacity_Resource,$E96,'Critical resources (hide)'!AT$6:AT$105)+SUMIF(Capacity_Resource,$F96,'Critical resources (hide)'!AT$6:AT$105)&gt;0,$E$1=2),0,1)</f>
        <v>1</v>
      </c>
      <c r="AH96" s="68">
        <f ca="1">IF(AND(SUMIF(Capacity_Resource,$D96,'Critical resources (hide)'!AU$6:AU$105)+SUMIF(Capacity_Resource,$E96,'Critical resources (hide)'!AU$6:AU$105)+SUMIF(Capacity_Resource,$F96,'Critical resources (hide)'!AU$6:AU$105)&gt;0,$E$1=2),0,1)</f>
        <v>1</v>
      </c>
      <c r="AI96" s="68">
        <f ca="1">IF(AND(SUMIF(Capacity_Resource,$D96,'Critical resources (hide)'!AV$6:AV$105)+SUMIF(Capacity_Resource,$E96,'Critical resources (hide)'!AV$6:AV$105)+SUMIF(Capacity_Resource,$F96,'Critical resources (hide)'!AV$6:AV$105)&gt;0,$E$1=2),0,1)</f>
        <v>1</v>
      </c>
      <c r="AJ96" s="68">
        <f ca="1">IF(AND(SUMIF(Capacity_Resource,$D96,'Critical resources (hide)'!AW$6:AW$105)+SUMIF(Capacity_Resource,$E96,'Critical resources (hide)'!AW$6:AW$105)+SUMIF(Capacity_Resource,$F96,'Critical resources (hide)'!AW$6:AW$105)&gt;0,$E$1=2),0,1)</f>
        <v>1</v>
      </c>
      <c r="AK96" s="68">
        <f ca="1">IF(AND(SUMIF(Capacity_Resource,$D96,'Critical resources (hide)'!AX$6:AX$105)+SUMIF(Capacity_Resource,$E96,'Critical resources (hide)'!AX$6:AX$105)+SUMIF(Capacity_Resource,$F96,'Critical resources (hide)'!AX$6:AX$105)&gt;0,$E$1=2),0,1)</f>
        <v>1</v>
      </c>
      <c r="AL96" s="68">
        <f ca="1">IF(AND(SUMIF(Capacity_Resource,$D96,'Critical resources (hide)'!AY$6:AY$105)+SUMIF(Capacity_Resource,$E96,'Critical resources (hide)'!AY$6:AY$105)+SUMIF(Capacity_Resource,$F96,'Critical resources (hide)'!AY$6:AY$105)&gt;0,$E$1=2),0,1)</f>
        <v>1</v>
      </c>
      <c r="AM96" s="68">
        <f ca="1">IF(AND(SUMIF(Capacity_Resource,$D96,'Critical resources (hide)'!AZ$6:AZ$105)+SUMIF(Capacity_Resource,$E96,'Critical resources (hide)'!AZ$6:AZ$105)+SUMIF(Capacity_Resource,$F96,'Critical resources (hide)'!AZ$6:AZ$105)&gt;0,$E$1=2),0,1)</f>
        <v>1</v>
      </c>
      <c r="AN96" s="68">
        <f ca="1">IF(AND(SUMIF(Capacity_Resource,$D96,'Critical resources (hide)'!BA$6:BA$105)+SUMIF(Capacity_Resource,$E96,'Critical resources (hide)'!BA$6:BA$105)+SUMIF(Capacity_Resource,$F96,'Critical resources (hide)'!BA$6:BA$105)&gt;0,$E$1=2),0,1)</f>
        <v>1</v>
      </c>
      <c r="AO96" s="68">
        <f ca="1">IF(AND(SUMIF(Capacity_Resource,$D96,'Critical resources (hide)'!BB$6:BB$105)+SUMIF(Capacity_Resource,$E96,'Critical resources (hide)'!BB$6:BB$105)+SUMIF(Capacity_Resource,$F96,'Critical resources (hide)'!BB$6:BB$105)&gt;0,$E$1=2),0,1)</f>
        <v>1</v>
      </c>
      <c r="AP96" s="68">
        <f ca="1">IF(AND(SUMIF(Capacity_Resource,$D96,'Critical resources (hide)'!BC$6:BC$105)+SUMIF(Capacity_Resource,$E96,'Critical resources (hide)'!BC$6:BC$105)+SUMIF(Capacity_Resource,$F96,'Critical resources (hide)'!BC$6:BC$105)&gt;0,$E$1=2),0,1)</f>
        <v>1</v>
      </c>
      <c r="AQ96" s="68">
        <f ca="1">IF(AND(SUMIF(Capacity_Resource,$D96,'Critical resources (hide)'!BD$6:BD$105)+SUMIF(Capacity_Resource,$E96,'Critical resources (hide)'!BD$6:BD$105)+SUMIF(Capacity_Resource,$F96,'Critical resources (hide)'!BD$6:BD$105)&gt;0,$E$1=2),0,1)</f>
        <v>1</v>
      </c>
      <c r="AR96" s="68">
        <f ca="1">IF(AND(SUMIF(Capacity_Resource,$D96,'Critical resources (hide)'!BE$6:BE$105)+SUMIF(Capacity_Resource,$E96,'Critical resources (hide)'!BE$6:BE$105)+SUMIF(Capacity_Resource,$F96,'Critical resources (hide)'!BE$6:BE$105)&gt;0,$E$1=2),0,1)</f>
        <v>1</v>
      </c>
      <c r="AS96" s="68">
        <f ca="1">IF(AND(SUMIF(Capacity_Resource,$D96,'Critical resources (hide)'!BF$6:BF$105)+SUMIF(Capacity_Resource,$E96,'Critical resources (hide)'!BF$6:BF$105)+SUMIF(Capacity_Resource,$F96,'Critical resources (hide)'!BF$6:BF$105)&gt;0,$E$1=2),0,1)</f>
        <v>1</v>
      </c>
      <c r="AT96" s="68">
        <f ca="1">IF(AND(SUMIF(Capacity_Resource,$D96,'Critical resources (hide)'!BG$6:BG$105)+SUMIF(Capacity_Resource,$E96,'Critical resources (hide)'!BG$6:BG$105)+SUMIF(Capacity_Resource,$F96,'Critical resources (hide)'!BG$6:BG$105)&gt;0,$E$1=2),0,1)</f>
        <v>1</v>
      </c>
      <c r="AU96" s="68">
        <f ca="1">IF(AND(SUMIF(Capacity_Resource,$D96,'Critical resources (hide)'!BH$6:BH$105)+SUMIF(Capacity_Resource,$E96,'Critical resources (hide)'!BH$6:BH$105)+SUMIF(Capacity_Resource,$F96,'Critical resources (hide)'!BH$6:BH$105)&gt;0,$E$1=2),0,1)</f>
        <v>1</v>
      </c>
      <c r="AV96" s="68">
        <f ca="1">IF(AND(SUMIF(Capacity_Resource,$D96,'Critical resources (hide)'!BI$6:BI$105)+SUMIF(Capacity_Resource,$E96,'Critical resources (hide)'!BI$6:BI$105)+SUMIF(Capacity_Resource,$F96,'Critical resources (hide)'!BI$6:BI$105)&gt;0,$E$1=2),0,1)</f>
        <v>1</v>
      </c>
      <c r="AW96" s="68">
        <f ca="1">IF(AND(SUMIF(Capacity_Resource,$D96,'Critical resources (hide)'!BJ$6:BJ$105)+SUMIF(Capacity_Resource,$E96,'Critical resources (hide)'!BJ$6:BJ$105)+SUMIF(Capacity_Resource,$F96,'Critical resources (hide)'!BJ$6:BJ$105)&gt;0,$E$1=2),0,1)</f>
        <v>1</v>
      </c>
      <c r="AX96" s="68">
        <f ca="1">IF(AND(SUMIF(Capacity_Resource,$D96,'Critical resources (hide)'!BK$6:BK$105)+SUMIF(Capacity_Resource,$E96,'Critical resources (hide)'!BK$6:BK$105)+SUMIF(Capacity_Resource,$F96,'Critical resources (hide)'!BK$6:BK$105)&gt;0,$E$1=2),0,1)</f>
        <v>1</v>
      </c>
      <c r="AY96" s="68">
        <f ca="1">IF(AND(SUMIF(Capacity_Resource,$D96,'Critical resources (hide)'!BL$6:BL$105)+SUMIF(Capacity_Resource,$E96,'Critical resources (hide)'!BL$6:BL$105)+SUMIF(Capacity_Resource,$F96,'Critical resources (hide)'!BL$6:BL$105)&gt;0,$E$1=2),0,1)</f>
        <v>1</v>
      </c>
      <c r="AZ96" s="68">
        <f ca="1">IF(AND(SUMIF(Capacity_Resource,$D96,'Critical resources (hide)'!BM$6:BM$105)+SUMIF(Capacity_Resource,$E96,'Critical resources (hide)'!BM$6:BM$105)+SUMIF(Capacity_Resource,$F96,'Critical resources (hide)'!BM$6:BM$105)&gt;0,$E$1=2),0,1)</f>
        <v>1</v>
      </c>
      <c r="BA96" s="68">
        <f ca="1">IF(AND(SUMIF(Capacity_Resource,$D96,'Critical resources (hide)'!BN$6:BN$105)+SUMIF(Capacity_Resource,$E96,'Critical resources (hide)'!BN$6:BN$105)+SUMIF(Capacity_Resource,$F96,'Critical resources (hide)'!BN$6:BN$105)&gt;0,$E$1=2),0,1)</f>
        <v>1</v>
      </c>
      <c r="BB96" s="68">
        <f ca="1">IF(AND(SUMIF(Capacity_Resource,$D96,'Critical resources (hide)'!BO$6:BO$105)+SUMIF(Capacity_Resource,$E96,'Critical resources (hide)'!BO$6:BO$105)+SUMIF(Capacity_Resource,$F96,'Critical resources (hide)'!BO$6:BO$105)&gt;0,$E$1=2),0,1)</f>
        <v>1</v>
      </c>
      <c r="BC96" s="68">
        <f ca="1">IF(AND(SUMIF(Capacity_Resource,$D96,'Critical resources (hide)'!BP$6:BP$105)+SUMIF(Capacity_Resource,$E96,'Critical resources (hide)'!BP$6:BP$105)+SUMIF(Capacity_Resource,$F96,'Critical resources (hide)'!BP$6:BP$105)&gt;0,$E$1=2),0,1)</f>
        <v>1</v>
      </c>
      <c r="BD96" s="68">
        <f ca="1">IF(AND(SUMIF(Capacity_Resource,$D96,'Critical resources (hide)'!BQ$6:BQ$105)+SUMIF(Capacity_Resource,$E96,'Critical resources (hide)'!BQ$6:BQ$105)+SUMIF(Capacity_Resource,$F96,'Critical resources (hide)'!BQ$6:BQ$105)&gt;0,$E$1=2),0,1)</f>
        <v>1</v>
      </c>
      <c r="BE96" s="68">
        <f ca="1">IF(AND(SUMIF(Capacity_Resource,$D96,'Critical resources (hide)'!BR$6:BR$105)+SUMIF(Capacity_Resource,$E96,'Critical resources (hide)'!BR$6:BR$105)+SUMIF(Capacity_Resource,$F96,'Critical resources (hide)'!BR$6:BR$105)&gt;0,$E$1=2),0,1)</f>
        <v>1</v>
      </c>
      <c r="BF96" s="68">
        <f ca="1">IF(AND(SUMIF(Capacity_Resource,$D96,'Critical resources (hide)'!BS$6:BS$105)+SUMIF(Capacity_Resource,$E96,'Critical resources (hide)'!BS$6:BS$105)+SUMIF(Capacity_Resource,$F96,'Critical resources (hide)'!BS$6:BS$105)&gt;0,$E$1=2),0,1)</f>
        <v>1</v>
      </c>
      <c r="BG96" s="68">
        <f ca="1">IF(AND(SUMIF(Capacity_Resource,$D96,'Critical resources (hide)'!BT$6:BT$105)+SUMIF(Capacity_Resource,$E96,'Critical resources (hide)'!BT$6:BT$105)+SUMIF(Capacity_Resource,$F96,'Critical resources (hide)'!BT$6:BT$105)&gt;0,$E$1=2),0,1)</f>
        <v>1</v>
      </c>
      <c r="BH96" s="68">
        <f>IF(ROW(C92)&lt;=Capacity!$A$16,IF('Capacity summary'!$D$14="No",SUM(H96:BG96),'Capacity summary'!$E215),0)</f>
        <v>0</v>
      </c>
      <c r="BI96" s="5" t="str">
        <f>IF(BH96&gt;0,IF(BH96&lt;Capacity!E108,Capacity!F108,Capacity!H108/'Capacity calculation (hide)'!BH96),"")</f>
        <v/>
      </c>
      <c r="BK96" s="319">
        <f>IF($BI96&lt;&gt;"",IF('Capacity summary'!$D$14="Yes",IF(COUNTBLANK('Capacity summary'!$H215:$BG215)&lt;52,IF('Capacity summary'!H215&lt;&gt;"",$BI96*H96,0),H96*$BI96),H96*$BI96),0)</f>
        <v>0</v>
      </c>
      <c r="BL96" s="319">
        <f>IF($BI96&lt;&gt;"",IF('Capacity summary'!$D$14="Yes",IF(COUNTBLANK('Capacity summary'!$H215:$BG215)&lt;52,IF('Capacity summary'!I215&lt;&gt;"",$BI96*I96,0),I96*$BI96),I96*$BI96),0)</f>
        <v>0</v>
      </c>
      <c r="BM96" s="319">
        <f>IF($BI96&lt;&gt;"",IF('Capacity summary'!$D$14="Yes",IF(COUNTBLANK('Capacity summary'!$H215:$BG215)&lt;52,IF('Capacity summary'!J215&lt;&gt;"",$BI96*J96,0),J96*$BI96),J96*$BI96),0)</f>
        <v>0</v>
      </c>
      <c r="BN96" s="319">
        <f>IF($BI96&lt;&gt;"",IF('Capacity summary'!$D$14="Yes",IF(COUNTBLANK('Capacity summary'!$H215:$BG215)&lt;52,IF('Capacity summary'!K215&lt;&gt;"",$BI96*K96,0),K96*$BI96),K96*$BI96),0)</f>
        <v>0</v>
      </c>
      <c r="BO96" s="319">
        <f>IF($BI96&lt;&gt;"",IF('Capacity summary'!$D$14="Yes",IF(COUNTBLANK('Capacity summary'!$H215:$BG215)&lt;52,IF('Capacity summary'!L215&lt;&gt;"",$BI96*L96,0),L96*$BI96),L96*$BI96),0)</f>
        <v>0</v>
      </c>
      <c r="BP96" s="319">
        <f>IF($BI96&lt;&gt;"",IF('Capacity summary'!$D$14="Yes",IF(COUNTBLANK('Capacity summary'!$H215:$BG215)&lt;52,IF('Capacity summary'!M215&lt;&gt;"",$BI96*M96,0),M96*$BI96),M96*$BI96),0)</f>
        <v>0</v>
      </c>
      <c r="BQ96" s="319">
        <f>IF($BI96&lt;&gt;"",IF('Capacity summary'!$D$14="Yes",IF(COUNTBLANK('Capacity summary'!$H215:$BG215)&lt;52,IF('Capacity summary'!N215&lt;&gt;"",$BI96*N96,0),N96*$BI96),N96*$BI96),0)</f>
        <v>0</v>
      </c>
      <c r="BR96" s="319">
        <f>IF($BI96&lt;&gt;"",IF('Capacity summary'!$D$14="Yes",IF(COUNTBLANK('Capacity summary'!$H215:$BG215)&lt;52,IF('Capacity summary'!O215&lt;&gt;"",$BI96*O96,0),O96*$BI96),O96*$BI96),0)</f>
        <v>0</v>
      </c>
      <c r="BS96" s="319">
        <f>IF($BI96&lt;&gt;"",IF('Capacity summary'!$D$14="Yes",IF(COUNTBLANK('Capacity summary'!$H215:$BG215)&lt;52,IF('Capacity summary'!P215&lt;&gt;"",$BI96*P96,0),P96*$BI96),P96*$BI96),0)</f>
        <v>0</v>
      </c>
      <c r="BT96" s="319">
        <f>IF($BI96&lt;&gt;"",IF('Capacity summary'!$D$14="Yes",IF(COUNTBLANK('Capacity summary'!$H215:$BG215)&lt;52,IF('Capacity summary'!Q215&lt;&gt;"",$BI96*Q96,0),Q96*$BI96),Q96*$BI96),0)</f>
        <v>0</v>
      </c>
      <c r="BU96" s="319">
        <f>IF($BI96&lt;&gt;"",IF('Capacity summary'!$D$14="Yes",IF(COUNTBLANK('Capacity summary'!$H215:$BG215)&lt;52,IF('Capacity summary'!R215&lt;&gt;"",$BI96*R96,0),R96*$BI96),R96*$BI96),0)</f>
        <v>0</v>
      </c>
      <c r="BV96" s="319">
        <f>IF($BI96&lt;&gt;"",IF('Capacity summary'!$D$14="Yes",IF(COUNTBLANK('Capacity summary'!$H215:$BG215)&lt;52,IF('Capacity summary'!S215&lt;&gt;"",$BI96*S96,0),S96*$BI96),S96*$BI96),0)</f>
        <v>0</v>
      </c>
      <c r="BW96" s="319">
        <f>IF($BI96&lt;&gt;"",IF('Capacity summary'!$D$14="Yes",IF(COUNTBLANK('Capacity summary'!$H215:$BG215)&lt;52,IF('Capacity summary'!T215&lt;&gt;"",$BI96*T96,0),T96*$BI96),T96*$BI96),0)</f>
        <v>0</v>
      </c>
      <c r="BX96" s="319">
        <f>IF($BI96&lt;&gt;"",IF('Capacity summary'!$D$14="Yes",IF(COUNTBLANK('Capacity summary'!$H215:$BG215)&lt;52,IF('Capacity summary'!U215&lt;&gt;"",$BI96*U96,0),U96*$BI96),U96*$BI96),0)</f>
        <v>0</v>
      </c>
      <c r="BY96" s="319">
        <f>IF($BI96&lt;&gt;"",IF('Capacity summary'!$D$14="Yes",IF(COUNTBLANK('Capacity summary'!$H215:$BG215)&lt;52,IF('Capacity summary'!V215&lt;&gt;"",$BI96*V96,0),V96*$BI96),V96*$BI96),0)</f>
        <v>0</v>
      </c>
      <c r="BZ96" s="319">
        <f>IF($BI96&lt;&gt;"",IF('Capacity summary'!$D$14="Yes",IF(COUNTBLANK('Capacity summary'!$H215:$BG215)&lt;52,IF('Capacity summary'!W215&lt;&gt;"",$BI96*W96,0),W96*$BI96),W96*$BI96),0)</f>
        <v>0</v>
      </c>
      <c r="CA96" s="319">
        <f>IF($BI96&lt;&gt;"",IF('Capacity summary'!$D$14="Yes",IF(COUNTBLANK('Capacity summary'!$H215:$BG215)&lt;52,IF('Capacity summary'!X215&lt;&gt;"",$BI96*X96,0),X96*$BI96),X96*$BI96),0)</f>
        <v>0</v>
      </c>
      <c r="CB96" s="319">
        <f>IF($BI96&lt;&gt;"",IF('Capacity summary'!$D$14="Yes",IF(COUNTBLANK('Capacity summary'!$H215:$BG215)&lt;52,IF('Capacity summary'!Y215&lt;&gt;"",$BI96*Y96,0),Y96*$BI96),Y96*$BI96),0)</f>
        <v>0</v>
      </c>
      <c r="CC96" s="319">
        <f>IF($BI96&lt;&gt;"",IF('Capacity summary'!$D$14="Yes",IF(COUNTBLANK('Capacity summary'!$H215:$BG215)&lt;52,IF('Capacity summary'!Z215&lt;&gt;"",$BI96*Z96,0),Z96*$BI96),Z96*$BI96),0)</f>
        <v>0</v>
      </c>
      <c r="CD96" s="319">
        <f>IF($BI96&lt;&gt;"",IF('Capacity summary'!$D$14="Yes",IF(COUNTBLANK('Capacity summary'!$H215:$BG215)&lt;52,IF('Capacity summary'!AA215&lt;&gt;"",$BI96*AA96,0),AA96*$BI96),AA96*$BI96),0)</f>
        <v>0</v>
      </c>
      <c r="CE96" s="319">
        <f>IF($BI96&lt;&gt;"",IF('Capacity summary'!$D$14="Yes",IF(COUNTBLANK('Capacity summary'!$H215:$BG215)&lt;52,IF('Capacity summary'!AB215&lt;&gt;"",$BI96*AB96,0),AB96*$BI96),AB96*$BI96),0)</f>
        <v>0</v>
      </c>
      <c r="CF96" s="319">
        <f>IF($BI96&lt;&gt;"",IF('Capacity summary'!$D$14="Yes",IF(COUNTBLANK('Capacity summary'!$H215:$BG215)&lt;52,IF('Capacity summary'!AC215&lt;&gt;"",$BI96*AC96,0),AC96*$BI96),AC96*$BI96),0)</f>
        <v>0</v>
      </c>
      <c r="CG96" s="319">
        <f>IF($BI96&lt;&gt;"",IF('Capacity summary'!$D$14="Yes",IF(COUNTBLANK('Capacity summary'!$H215:$BG215)&lt;52,IF('Capacity summary'!AD215&lt;&gt;"",$BI96*AD96,0),AD96*$BI96),AD96*$BI96),0)</f>
        <v>0</v>
      </c>
      <c r="CH96" s="319">
        <f>IF($BI96&lt;&gt;"",IF('Capacity summary'!$D$14="Yes",IF(COUNTBLANK('Capacity summary'!$H215:$BG215)&lt;52,IF('Capacity summary'!AE215&lt;&gt;"",$BI96*AE96,0),AE96*$BI96),AE96*$BI96),0)</f>
        <v>0</v>
      </c>
      <c r="CI96" s="319">
        <f>IF($BI96&lt;&gt;"",IF('Capacity summary'!$D$14="Yes",IF(COUNTBLANK('Capacity summary'!$H215:$BG215)&lt;52,IF('Capacity summary'!AF215&lt;&gt;"",$BI96*AF96,0),AF96*$BI96),AF96*$BI96),0)</f>
        <v>0</v>
      </c>
      <c r="CJ96" s="319">
        <f>IF($BI96&lt;&gt;"",IF('Capacity summary'!$D$14="Yes",IF(COUNTBLANK('Capacity summary'!$H215:$BG215)&lt;52,IF('Capacity summary'!AG215&lt;&gt;"",$BI96*AG96,0),AG96*$BI96),AG96*$BI96),0)</f>
        <v>0</v>
      </c>
      <c r="CK96" s="319">
        <f>IF($BI96&lt;&gt;"",IF('Capacity summary'!$D$14="Yes",IF(COUNTBLANK('Capacity summary'!$H215:$BG215)&lt;52,IF('Capacity summary'!AH215&lt;&gt;"",$BI96*AH96,0),AH96*$BI96),AH96*$BI96),0)</f>
        <v>0</v>
      </c>
      <c r="CL96" s="319">
        <f>IF($BI96&lt;&gt;"",IF('Capacity summary'!$D$14="Yes",IF(COUNTBLANK('Capacity summary'!$H215:$BG215)&lt;52,IF('Capacity summary'!AI215&lt;&gt;"",$BI96*AI96,0),AI96*$BI96),AI96*$BI96),0)</f>
        <v>0</v>
      </c>
      <c r="CM96" s="319">
        <f>IF($BI96&lt;&gt;"",IF('Capacity summary'!$D$14="Yes",IF(COUNTBLANK('Capacity summary'!$H215:$BG215)&lt;52,IF('Capacity summary'!AJ215&lt;&gt;"",$BI96*AJ96,0),AJ96*$BI96),AJ96*$BI96),0)</f>
        <v>0</v>
      </c>
      <c r="CN96" s="319">
        <f>IF($BI96&lt;&gt;"",IF('Capacity summary'!$D$14="Yes",IF(COUNTBLANK('Capacity summary'!$H215:$BG215)&lt;52,IF('Capacity summary'!AK215&lt;&gt;"",$BI96*AK96,0),AK96*$BI96),AK96*$BI96),0)</f>
        <v>0</v>
      </c>
      <c r="CO96" s="319">
        <f>IF($BI96&lt;&gt;"",IF('Capacity summary'!$D$14="Yes",IF(COUNTBLANK('Capacity summary'!$H215:$BG215)&lt;52,IF('Capacity summary'!AL215&lt;&gt;"",$BI96*AL96,0),AL96*$BI96),AL96*$BI96),0)</f>
        <v>0</v>
      </c>
      <c r="CP96" s="319">
        <f>IF($BI96&lt;&gt;"",IF('Capacity summary'!$D$14="Yes",IF(COUNTBLANK('Capacity summary'!$H215:$BG215)&lt;52,IF('Capacity summary'!AM215&lt;&gt;"",$BI96*AM96,0),AM96*$BI96),AM96*$BI96),0)</f>
        <v>0</v>
      </c>
      <c r="CQ96" s="319">
        <f>IF($BI96&lt;&gt;"",IF('Capacity summary'!$D$14="Yes",IF(COUNTBLANK('Capacity summary'!$H215:$BG215)&lt;52,IF('Capacity summary'!AN215&lt;&gt;"",$BI96*AN96,0),AN96*$BI96),AN96*$BI96),0)</f>
        <v>0</v>
      </c>
      <c r="CR96" s="319">
        <f>IF($BI96&lt;&gt;"",IF('Capacity summary'!$D$14="Yes",IF(COUNTBLANK('Capacity summary'!$H215:$BG215)&lt;52,IF('Capacity summary'!AO215&lt;&gt;"",$BI96*AO96,0),AO96*$BI96),AO96*$BI96),0)</f>
        <v>0</v>
      </c>
      <c r="CS96" s="319">
        <f>IF($BI96&lt;&gt;"",IF('Capacity summary'!$D$14="Yes",IF(COUNTBLANK('Capacity summary'!$H215:$BG215)&lt;52,IF('Capacity summary'!AP215&lt;&gt;"",$BI96*AP96,0),AP96*$BI96),AP96*$BI96),0)</f>
        <v>0</v>
      </c>
      <c r="CT96" s="319">
        <f>IF($BI96&lt;&gt;"",IF('Capacity summary'!$D$14="Yes",IF(COUNTBLANK('Capacity summary'!$H215:$BG215)&lt;52,IF('Capacity summary'!AQ215&lt;&gt;"",$BI96*AQ96,0),AQ96*$BI96),AQ96*$BI96),0)</f>
        <v>0</v>
      </c>
      <c r="CU96" s="319">
        <f>IF($BI96&lt;&gt;"",IF('Capacity summary'!$D$14="Yes",IF(COUNTBLANK('Capacity summary'!$H215:$BG215)&lt;52,IF('Capacity summary'!AR215&lt;&gt;"",$BI96*AR96,0),AR96*$BI96),AR96*$BI96),0)</f>
        <v>0</v>
      </c>
      <c r="CV96" s="319">
        <f>IF($BI96&lt;&gt;"",IF('Capacity summary'!$D$14="Yes",IF(COUNTBLANK('Capacity summary'!$H215:$BG215)&lt;52,IF('Capacity summary'!AS215&lt;&gt;"",$BI96*AS96,0),AS96*$BI96),AS96*$BI96),0)</f>
        <v>0</v>
      </c>
      <c r="CW96" s="319">
        <f>IF($BI96&lt;&gt;"",IF('Capacity summary'!$D$14="Yes",IF(COUNTBLANK('Capacity summary'!$H215:$BG215)&lt;52,IF('Capacity summary'!AT215&lt;&gt;"",$BI96*AT96,0),AT96*$BI96),AT96*$BI96),0)</f>
        <v>0</v>
      </c>
      <c r="CX96" s="319">
        <f>IF($BI96&lt;&gt;"",IF('Capacity summary'!$D$14="Yes",IF(COUNTBLANK('Capacity summary'!$H215:$BG215)&lt;52,IF('Capacity summary'!AU215&lt;&gt;"",$BI96*AU96,0),AU96*$BI96),AU96*$BI96),0)</f>
        <v>0</v>
      </c>
      <c r="CY96" s="319">
        <f>IF($BI96&lt;&gt;"",IF('Capacity summary'!$D$14="Yes",IF(COUNTBLANK('Capacity summary'!$H215:$BG215)&lt;52,IF('Capacity summary'!AV215&lt;&gt;"",$BI96*AV96,0),AV96*$BI96),AV96*$BI96),0)</f>
        <v>0</v>
      </c>
      <c r="CZ96" s="319">
        <f>IF($BI96&lt;&gt;"",IF('Capacity summary'!$D$14="Yes",IF(COUNTBLANK('Capacity summary'!$H215:$BG215)&lt;52,IF('Capacity summary'!AW215&lt;&gt;"",$BI96*AW96,0),AW96*$BI96),AW96*$BI96),0)</f>
        <v>0</v>
      </c>
      <c r="DA96" s="319">
        <f>IF($BI96&lt;&gt;"",IF('Capacity summary'!$D$14="Yes",IF(COUNTBLANK('Capacity summary'!$H215:$BG215)&lt;52,IF('Capacity summary'!AX215&lt;&gt;"",$BI96*AX96,0),AX96*$BI96),AX96*$BI96),0)</f>
        <v>0</v>
      </c>
      <c r="DB96" s="319">
        <f>IF($BI96&lt;&gt;"",IF('Capacity summary'!$D$14="Yes",IF(COUNTBLANK('Capacity summary'!$H215:$BG215)&lt;52,IF('Capacity summary'!AY215&lt;&gt;"",$BI96*AY96,0),AY96*$BI96),AY96*$BI96),0)</f>
        <v>0</v>
      </c>
      <c r="DC96" s="319">
        <f>IF($BI96&lt;&gt;"",IF('Capacity summary'!$D$14="Yes",IF(COUNTBLANK('Capacity summary'!$H215:$BG215)&lt;52,IF('Capacity summary'!AZ215&lt;&gt;"",$BI96*AZ96,0),AZ96*$BI96),AZ96*$BI96),0)</f>
        <v>0</v>
      </c>
      <c r="DD96" s="319">
        <f>IF($BI96&lt;&gt;"",IF('Capacity summary'!$D$14="Yes",IF(COUNTBLANK('Capacity summary'!$H215:$BG215)&lt;52,IF('Capacity summary'!BA215&lt;&gt;"",$BI96*BA96,0),BA96*$BI96),BA96*$BI96),0)</f>
        <v>0</v>
      </c>
      <c r="DE96" s="319">
        <f>IF($BI96&lt;&gt;"",IF('Capacity summary'!$D$14="Yes",IF(COUNTBLANK('Capacity summary'!$H215:$BG215)&lt;52,IF('Capacity summary'!BB215&lt;&gt;"",$BI96*BB96,0),BB96*$BI96),BB96*$BI96),0)</f>
        <v>0</v>
      </c>
      <c r="DF96" s="319">
        <f>IF($BI96&lt;&gt;"",IF('Capacity summary'!$D$14="Yes",IF(COUNTBLANK('Capacity summary'!$H215:$BG215)&lt;52,IF('Capacity summary'!BC215&lt;&gt;"",$BI96*BC96,0),BC96*$BI96),BC96*$BI96),0)</f>
        <v>0</v>
      </c>
      <c r="DG96" s="319">
        <f>IF($BI96&lt;&gt;"",IF('Capacity summary'!$D$14="Yes",IF(COUNTBLANK('Capacity summary'!$H215:$BG215)&lt;52,IF('Capacity summary'!BD215&lt;&gt;"",$BI96*BD96,0),BD96*$BI96),BD96*$BI96),0)</f>
        <v>0</v>
      </c>
      <c r="DH96" s="319">
        <f>IF($BI96&lt;&gt;"",IF('Capacity summary'!$D$14="Yes",IF(COUNTBLANK('Capacity summary'!$H215:$BG215)&lt;52,IF('Capacity summary'!BE215&lt;&gt;"",$BI96*BE96,0),BE96*$BI96),BE96*$BI96),0)</f>
        <v>0</v>
      </c>
      <c r="DI96" s="319">
        <f>IF($BI96&lt;&gt;"",IF('Capacity summary'!$D$14="Yes",IF(COUNTBLANK('Capacity summary'!$H215:$BG215)&lt;52,IF('Capacity summary'!BF215&lt;&gt;"",$BI96*BF96,0),BF96*$BI96),BF96*$BI96),0)</f>
        <v>0</v>
      </c>
      <c r="DJ96" s="319">
        <f>IF($BI96&lt;&gt;"",IF('Capacity summary'!$D$14="Yes",IF(COUNTBLANK('Capacity summary'!$H215:$BG215)&lt;52,IF('Capacity summary'!BG215&lt;&gt;"",$BI96*BG96,0),BG96*$BI96),BG96*$BI96),0)</f>
        <v>0</v>
      </c>
      <c r="DK96" s="5">
        <f t="shared" si="3"/>
        <v>0</v>
      </c>
      <c r="DL96" s="5" t="str">
        <f>Capacity!H108</f>
        <v/>
      </c>
    </row>
    <row r="97" spans="2:116" x14ac:dyDescent="0.2">
      <c r="B97" s="68"/>
      <c r="C97" s="68" t="str">
        <f>ROW(A93)&amp;". "&amp;Capacity!B109</f>
        <v xml:space="preserve">93. </v>
      </c>
      <c r="D97" s="68">
        <f>'Capacity setup'!C104</f>
        <v>0</v>
      </c>
      <c r="E97" s="68">
        <f>'Capacity setup'!D104</f>
        <v>0</v>
      </c>
      <c r="F97" s="68">
        <f>'Capacity setup'!E104</f>
        <v>0</v>
      </c>
      <c r="H97" s="68">
        <f ca="1">IF(AND(SUMIF(Capacity_Resource,$D97,'Critical resources (hide)'!U$6:U$105)+SUMIF(Capacity_Resource,$E97,'Critical resources (hide)'!U$6:U$105)+SUMIF(Capacity_Resource,$F97,'Critical resources (hide)'!U$6:U$105)&gt;0,$E$1=2),0,1)</f>
        <v>1</v>
      </c>
      <c r="I97" s="68">
        <f ca="1">IF(AND(SUMIF(Capacity_Resource,$D97,'Critical resources (hide)'!V$6:V$105)+SUMIF(Capacity_Resource,$E97,'Critical resources (hide)'!V$6:V$105)+SUMIF(Capacity_Resource,$F97,'Critical resources (hide)'!V$6:V$105)&gt;0,$E$1=2),0,1)</f>
        <v>1</v>
      </c>
      <c r="J97" s="68">
        <f ca="1">IF(AND(SUMIF(Capacity_Resource,$D97,'Critical resources (hide)'!W$6:W$105)+SUMIF(Capacity_Resource,$E97,'Critical resources (hide)'!W$6:W$105)+SUMIF(Capacity_Resource,$F97,'Critical resources (hide)'!W$6:W$105)&gt;0,$E$1=2),0,1)</f>
        <v>1</v>
      </c>
      <c r="K97" s="68">
        <f ca="1">IF(AND(SUMIF(Capacity_Resource,$D97,'Critical resources (hide)'!X$6:X$105)+SUMIF(Capacity_Resource,$E97,'Critical resources (hide)'!X$6:X$105)+SUMIF(Capacity_Resource,$F97,'Critical resources (hide)'!X$6:X$105)&gt;0,$E$1=2),0,1)</f>
        <v>1</v>
      </c>
      <c r="L97" s="68">
        <f ca="1">IF(AND(SUMIF(Capacity_Resource,$D97,'Critical resources (hide)'!Y$6:Y$105)+SUMIF(Capacity_Resource,$E97,'Critical resources (hide)'!Y$6:Y$105)+SUMIF(Capacity_Resource,$F97,'Critical resources (hide)'!Y$6:Y$105)&gt;0,$E$1=2),0,1)</f>
        <v>1</v>
      </c>
      <c r="M97" s="68">
        <f ca="1">IF(AND(SUMIF(Capacity_Resource,$D97,'Critical resources (hide)'!Z$6:Z$105)+SUMIF(Capacity_Resource,$E97,'Critical resources (hide)'!Z$6:Z$105)+SUMIF(Capacity_Resource,$F97,'Critical resources (hide)'!Z$6:Z$105)&gt;0,$E$1=2),0,1)</f>
        <v>1</v>
      </c>
      <c r="N97" s="68">
        <f ca="1">IF(AND(SUMIF(Capacity_Resource,$D97,'Critical resources (hide)'!AA$6:AA$105)+SUMIF(Capacity_Resource,$E97,'Critical resources (hide)'!AA$6:AA$105)+SUMIF(Capacity_Resource,$F97,'Critical resources (hide)'!AA$6:AA$105)&gt;0,$E$1=2),0,1)</f>
        <v>1</v>
      </c>
      <c r="O97" s="68">
        <f ca="1">IF(AND(SUMIF(Capacity_Resource,$D97,'Critical resources (hide)'!AB$6:AB$105)+SUMIF(Capacity_Resource,$E97,'Critical resources (hide)'!AB$6:AB$105)+SUMIF(Capacity_Resource,$F97,'Critical resources (hide)'!AB$6:AB$105)&gt;0,$E$1=2),0,1)</f>
        <v>1</v>
      </c>
      <c r="P97" s="68">
        <f ca="1">IF(AND(SUMIF(Capacity_Resource,$D97,'Critical resources (hide)'!AC$6:AC$105)+SUMIF(Capacity_Resource,$E97,'Critical resources (hide)'!AC$6:AC$105)+SUMIF(Capacity_Resource,$F97,'Critical resources (hide)'!AC$6:AC$105)&gt;0,$E$1=2),0,1)</f>
        <v>1</v>
      </c>
      <c r="Q97" s="68">
        <f ca="1">IF(AND(SUMIF(Capacity_Resource,$D97,'Critical resources (hide)'!AD$6:AD$105)+SUMIF(Capacity_Resource,$E97,'Critical resources (hide)'!AD$6:AD$105)+SUMIF(Capacity_Resource,$F97,'Critical resources (hide)'!AD$6:AD$105)&gt;0,$E$1=2),0,1)</f>
        <v>1</v>
      </c>
      <c r="R97" s="68">
        <f ca="1">IF(AND(SUMIF(Capacity_Resource,$D97,'Critical resources (hide)'!AE$6:AE$105)+SUMIF(Capacity_Resource,$E97,'Critical resources (hide)'!AE$6:AE$105)+SUMIF(Capacity_Resource,$F97,'Critical resources (hide)'!AE$6:AE$105)&gt;0,$E$1=2),0,1)</f>
        <v>1</v>
      </c>
      <c r="S97" s="68">
        <f ca="1">IF(AND(SUMIF(Capacity_Resource,$D97,'Critical resources (hide)'!AF$6:AF$105)+SUMIF(Capacity_Resource,$E97,'Critical resources (hide)'!AF$6:AF$105)+SUMIF(Capacity_Resource,$F97,'Critical resources (hide)'!AF$6:AF$105)&gt;0,$E$1=2),0,1)</f>
        <v>1</v>
      </c>
      <c r="T97" s="68">
        <f ca="1">IF(AND(SUMIF(Capacity_Resource,$D97,'Critical resources (hide)'!AG$6:AG$105)+SUMIF(Capacity_Resource,$E97,'Critical resources (hide)'!AG$6:AG$105)+SUMIF(Capacity_Resource,$F97,'Critical resources (hide)'!AG$6:AG$105)&gt;0,$E$1=2),0,1)</f>
        <v>1</v>
      </c>
      <c r="U97" s="68">
        <f ca="1">IF(AND(SUMIF(Capacity_Resource,$D97,'Critical resources (hide)'!AH$6:AH$105)+SUMIF(Capacity_Resource,$E97,'Critical resources (hide)'!AH$6:AH$105)+SUMIF(Capacity_Resource,$F97,'Critical resources (hide)'!AH$6:AH$105)&gt;0,$E$1=2),0,1)</f>
        <v>1</v>
      </c>
      <c r="V97" s="68">
        <f ca="1">IF(AND(SUMIF(Capacity_Resource,$D97,'Critical resources (hide)'!AI$6:AI$105)+SUMIF(Capacity_Resource,$E97,'Critical resources (hide)'!AI$6:AI$105)+SUMIF(Capacity_Resource,$F97,'Critical resources (hide)'!AI$6:AI$105)&gt;0,$E$1=2),0,1)</f>
        <v>1</v>
      </c>
      <c r="W97" s="68">
        <f ca="1">IF(AND(SUMIF(Capacity_Resource,$D97,'Critical resources (hide)'!AJ$6:AJ$105)+SUMIF(Capacity_Resource,$E97,'Critical resources (hide)'!AJ$6:AJ$105)+SUMIF(Capacity_Resource,$F97,'Critical resources (hide)'!AJ$6:AJ$105)&gt;0,$E$1=2),0,1)</f>
        <v>1</v>
      </c>
      <c r="X97" s="68">
        <f ca="1">IF(AND(SUMIF(Capacity_Resource,$D97,'Critical resources (hide)'!AK$6:AK$105)+SUMIF(Capacity_Resource,$E97,'Critical resources (hide)'!AK$6:AK$105)+SUMIF(Capacity_Resource,$F97,'Critical resources (hide)'!AK$6:AK$105)&gt;0,$E$1=2),0,1)</f>
        <v>1</v>
      </c>
      <c r="Y97" s="68">
        <f ca="1">IF(AND(SUMIF(Capacity_Resource,$D97,'Critical resources (hide)'!AL$6:AL$105)+SUMIF(Capacity_Resource,$E97,'Critical resources (hide)'!AL$6:AL$105)+SUMIF(Capacity_Resource,$F97,'Critical resources (hide)'!AL$6:AL$105)&gt;0,$E$1=2),0,1)</f>
        <v>1</v>
      </c>
      <c r="Z97" s="68">
        <f ca="1">IF(AND(SUMIF(Capacity_Resource,$D97,'Critical resources (hide)'!AM$6:AM$105)+SUMIF(Capacity_Resource,$E97,'Critical resources (hide)'!AM$6:AM$105)+SUMIF(Capacity_Resource,$F97,'Critical resources (hide)'!AM$6:AM$105)&gt;0,$E$1=2),0,1)</f>
        <v>1</v>
      </c>
      <c r="AA97" s="68">
        <f ca="1">IF(AND(SUMIF(Capacity_Resource,$D97,'Critical resources (hide)'!AN$6:AN$105)+SUMIF(Capacity_Resource,$E97,'Critical resources (hide)'!AN$6:AN$105)+SUMIF(Capacity_Resource,$F97,'Critical resources (hide)'!AN$6:AN$105)&gt;0,$E$1=2),0,1)</f>
        <v>1</v>
      </c>
      <c r="AB97" s="68">
        <f ca="1">IF(AND(SUMIF(Capacity_Resource,$D97,'Critical resources (hide)'!AO$6:AO$105)+SUMIF(Capacity_Resource,$E97,'Critical resources (hide)'!AO$6:AO$105)+SUMIF(Capacity_Resource,$F97,'Critical resources (hide)'!AO$6:AO$105)&gt;0,$E$1=2),0,1)</f>
        <v>1</v>
      </c>
      <c r="AC97" s="68">
        <f ca="1">IF(AND(SUMIF(Capacity_Resource,$D97,'Critical resources (hide)'!AP$6:AP$105)+SUMIF(Capacity_Resource,$E97,'Critical resources (hide)'!AP$6:AP$105)+SUMIF(Capacity_Resource,$F97,'Critical resources (hide)'!AP$6:AP$105)&gt;0,$E$1=2),0,1)</f>
        <v>1</v>
      </c>
      <c r="AD97" s="68">
        <f ca="1">IF(AND(SUMIF(Capacity_Resource,$D97,'Critical resources (hide)'!AQ$6:AQ$105)+SUMIF(Capacity_Resource,$E97,'Critical resources (hide)'!AQ$6:AQ$105)+SUMIF(Capacity_Resource,$F97,'Critical resources (hide)'!AQ$6:AQ$105)&gt;0,$E$1=2),0,1)</f>
        <v>1</v>
      </c>
      <c r="AE97" s="68">
        <f ca="1">IF(AND(SUMIF(Capacity_Resource,$D97,'Critical resources (hide)'!AR$6:AR$105)+SUMIF(Capacity_Resource,$E97,'Critical resources (hide)'!AR$6:AR$105)+SUMIF(Capacity_Resource,$F97,'Critical resources (hide)'!AR$6:AR$105)&gt;0,$E$1=2),0,1)</f>
        <v>1</v>
      </c>
      <c r="AF97" s="68">
        <f ca="1">IF(AND(SUMIF(Capacity_Resource,$D97,'Critical resources (hide)'!AS$6:AS$105)+SUMIF(Capacity_Resource,$E97,'Critical resources (hide)'!AS$6:AS$105)+SUMIF(Capacity_Resource,$F97,'Critical resources (hide)'!AS$6:AS$105)&gt;0,$E$1=2),0,1)</f>
        <v>1</v>
      </c>
      <c r="AG97" s="68">
        <f ca="1">IF(AND(SUMIF(Capacity_Resource,$D97,'Critical resources (hide)'!AT$6:AT$105)+SUMIF(Capacity_Resource,$E97,'Critical resources (hide)'!AT$6:AT$105)+SUMIF(Capacity_Resource,$F97,'Critical resources (hide)'!AT$6:AT$105)&gt;0,$E$1=2),0,1)</f>
        <v>1</v>
      </c>
      <c r="AH97" s="68">
        <f ca="1">IF(AND(SUMIF(Capacity_Resource,$D97,'Critical resources (hide)'!AU$6:AU$105)+SUMIF(Capacity_Resource,$E97,'Critical resources (hide)'!AU$6:AU$105)+SUMIF(Capacity_Resource,$F97,'Critical resources (hide)'!AU$6:AU$105)&gt;0,$E$1=2),0,1)</f>
        <v>1</v>
      </c>
      <c r="AI97" s="68">
        <f ca="1">IF(AND(SUMIF(Capacity_Resource,$D97,'Critical resources (hide)'!AV$6:AV$105)+SUMIF(Capacity_Resource,$E97,'Critical resources (hide)'!AV$6:AV$105)+SUMIF(Capacity_Resource,$F97,'Critical resources (hide)'!AV$6:AV$105)&gt;0,$E$1=2),0,1)</f>
        <v>1</v>
      </c>
      <c r="AJ97" s="68">
        <f ca="1">IF(AND(SUMIF(Capacity_Resource,$D97,'Critical resources (hide)'!AW$6:AW$105)+SUMIF(Capacity_Resource,$E97,'Critical resources (hide)'!AW$6:AW$105)+SUMIF(Capacity_Resource,$F97,'Critical resources (hide)'!AW$6:AW$105)&gt;0,$E$1=2),0,1)</f>
        <v>1</v>
      </c>
      <c r="AK97" s="68">
        <f ca="1">IF(AND(SUMIF(Capacity_Resource,$D97,'Critical resources (hide)'!AX$6:AX$105)+SUMIF(Capacity_Resource,$E97,'Critical resources (hide)'!AX$6:AX$105)+SUMIF(Capacity_Resource,$F97,'Critical resources (hide)'!AX$6:AX$105)&gt;0,$E$1=2),0,1)</f>
        <v>1</v>
      </c>
      <c r="AL97" s="68">
        <f ca="1">IF(AND(SUMIF(Capacity_Resource,$D97,'Critical resources (hide)'!AY$6:AY$105)+SUMIF(Capacity_Resource,$E97,'Critical resources (hide)'!AY$6:AY$105)+SUMIF(Capacity_Resource,$F97,'Critical resources (hide)'!AY$6:AY$105)&gt;0,$E$1=2),0,1)</f>
        <v>1</v>
      </c>
      <c r="AM97" s="68">
        <f ca="1">IF(AND(SUMIF(Capacity_Resource,$D97,'Critical resources (hide)'!AZ$6:AZ$105)+SUMIF(Capacity_Resource,$E97,'Critical resources (hide)'!AZ$6:AZ$105)+SUMIF(Capacity_Resource,$F97,'Critical resources (hide)'!AZ$6:AZ$105)&gt;0,$E$1=2),0,1)</f>
        <v>1</v>
      </c>
      <c r="AN97" s="68">
        <f ca="1">IF(AND(SUMIF(Capacity_Resource,$D97,'Critical resources (hide)'!BA$6:BA$105)+SUMIF(Capacity_Resource,$E97,'Critical resources (hide)'!BA$6:BA$105)+SUMIF(Capacity_Resource,$F97,'Critical resources (hide)'!BA$6:BA$105)&gt;0,$E$1=2),0,1)</f>
        <v>1</v>
      </c>
      <c r="AO97" s="68">
        <f ca="1">IF(AND(SUMIF(Capacity_Resource,$D97,'Critical resources (hide)'!BB$6:BB$105)+SUMIF(Capacity_Resource,$E97,'Critical resources (hide)'!BB$6:BB$105)+SUMIF(Capacity_Resource,$F97,'Critical resources (hide)'!BB$6:BB$105)&gt;0,$E$1=2),0,1)</f>
        <v>1</v>
      </c>
      <c r="AP97" s="68">
        <f ca="1">IF(AND(SUMIF(Capacity_Resource,$D97,'Critical resources (hide)'!BC$6:BC$105)+SUMIF(Capacity_Resource,$E97,'Critical resources (hide)'!BC$6:BC$105)+SUMIF(Capacity_Resource,$F97,'Critical resources (hide)'!BC$6:BC$105)&gt;0,$E$1=2),0,1)</f>
        <v>1</v>
      </c>
      <c r="AQ97" s="68">
        <f ca="1">IF(AND(SUMIF(Capacity_Resource,$D97,'Critical resources (hide)'!BD$6:BD$105)+SUMIF(Capacity_Resource,$E97,'Critical resources (hide)'!BD$6:BD$105)+SUMIF(Capacity_Resource,$F97,'Critical resources (hide)'!BD$6:BD$105)&gt;0,$E$1=2),0,1)</f>
        <v>1</v>
      </c>
      <c r="AR97" s="68">
        <f ca="1">IF(AND(SUMIF(Capacity_Resource,$D97,'Critical resources (hide)'!BE$6:BE$105)+SUMIF(Capacity_Resource,$E97,'Critical resources (hide)'!BE$6:BE$105)+SUMIF(Capacity_Resource,$F97,'Critical resources (hide)'!BE$6:BE$105)&gt;0,$E$1=2),0,1)</f>
        <v>1</v>
      </c>
      <c r="AS97" s="68">
        <f ca="1">IF(AND(SUMIF(Capacity_Resource,$D97,'Critical resources (hide)'!BF$6:BF$105)+SUMIF(Capacity_Resource,$E97,'Critical resources (hide)'!BF$6:BF$105)+SUMIF(Capacity_Resource,$F97,'Critical resources (hide)'!BF$6:BF$105)&gt;0,$E$1=2),0,1)</f>
        <v>1</v>
      </c>
      <c r="AT97" s="68">
        <f ca="1">IF(AND(SUMIF(Capacity_Resource,$D97,'Critical resources (hide)'!BG$6:BG$105)+SUMIF(Capacity_Resource,$E97,'Critical resources (hide)'!BG$6:BG$105)+SUMIF(Capacity_Resource,$F97,'Critical resources (hide)'!BG$6:BG$105)&gt;0,$E$1=2),0,1)</f>
        <v>1</v>
      </c>
      <c r="AU97" s="68">
        <f ca="1">IF(AND(SUMIF(Capacity_Resource,$D97,'Critical resources (hide)'!BH$6:BH$105)+SUMIF(Capacity_Resource,$E97,'Critical resources (hide)'!BH$6:BH$105)+SUMIF(Capacity_Resource,$F97,'Critical resources (hide)'!BH$6:BH$105)&gt;0,$E$1=2),0,1)</f>
        <v>1</v>
      </c>
      <c r="AV97" s="68">
        <f ca="1">IF(AND(SUMIF(Capacity_Resource,$D97,'Critical resources (hide)'!BI$6:BI$105)+SUMIF(Capacity_Resource,$E97,'Critical resources (hide)'!BI$6:BI$105)+SUMIF(Capacity_Resource,$F97,'Critical resources (hide)'!BI$6:BI$105)&gt;0,$E$1=2),0,1)</f>
        <v>1</v>
      </c>
      <c r="AW97" s="68">
        <f ca="1">IF(AND(SUMIF(Capacity_Resource,$D97,'Critical resources (hide)'!BJ$6:BJ$105)+SUMIF(Capacity_Resource,$E97,'Critical resources (hide)'!BJ$6:BJ$105)+SUMIF(Capacity_Resource,$F97,'Critical resources (hide)'!BJ$6:BJ$105)&gt;0,$E$1=2),0,1)</f>
        <v>1</v>
      </c>
      <c r="AX97" s="68">
        <f ca="1">IF(AND(SUMIF(Capacity_Resource,$D97,'Critical resources (hide)'!BK$6:BK$105)+SUMIF(Capacity_Resource,$E97,'Critical resources (hide)'!BK$6:BK$105)+SUMIF(Capacity_Resource,$F97,'Critical resources (hide)'!BK$6:BK$105)&gt;0,$E$1=2),0,1)</f>
        <v>1</v>
      </c>
      <c r="AY97" s="68">
        <f ca="1">IF(AND(SUMIF(Capacity_Resource,$D97,'Critical resources (hide)'!BL$6:BL$105)+SUMIF(Capacity_Resource,$E97,'Critical resources (hide)'!BL$6:BL$105)+SUMIF(Capacity_Resource,$F97,'Critical resources (hide)'!BL$6:BL$105)&gt;0,$E$1=2),0,1)</f>
        <v>1</v>
      </c>
      <c r="AZ97" s="68">
        <f ca="1">IF(AND(SUMIF(Capacity_Resource,$D97,'Critical resources (hide)'!BM$6:BM$105)+SUMIF(Capacity_Resource,$E97,'Critical resources (hide)'!BM$6:BM$105)+SUMIF(Capacity_Resource,$F97,'Critical resources (hide)'!BM$6:BM$105)&gt;0,$E$1=2),0,1)</f>
        <v>1</v>
      </c>
      <c r="BA97" s="68">
        <f ca="1">IF(AND(SUMIF(Capacity_Resource,$D97,'Critical resources (hide)'!BN$6:BN$105)+SUMIF(Capacity_Resource,$E97,'Critical resources (hide)'!BN$6:BN$105)+SUMIF(Capacity_Resource,$F97,'Critical resources (hide)'!BN$6:BN$105)&gt;0,$E$1=2),0,1)</f>
        <v>1</v>
      </c>
      <c r="BB97" s="68">
        <f ca="1">IF(AND(SUMIF(Capacity_Resource,$D97,'Critical resources (hide)'!BO$6:BO$105)+SUMIF(Capacity_Resource,$E97,'Critical resources (hide)'!BO$6:BO$105)+SUMIF(Capacity_Resource,$F97,'Critical resources (hide)'!BO$6:BO$105)&gt;0,$E$1=2),0,1)</f>
        <v>1</v>
      </c>
      <c r="BC97" s="68">
        <f ca="1">IF(AND(SUMIF(Capacity_Resource,$D97,'Critical resources (hide)'!BP$6:BP$105)+SUMIF(Capacity_Resource,$E97,'Critical resources (hide)'!BP$6:BP$105)+SUMIF(Capacity_Resource,$F97,'Critical resources (hide)'!BP$6:BP$105)&gt;0,$E$1=2),0,1)</f>
        <v>1</v>
      </c>
      <c r="BD97" s="68">
        <f ca="1">IF(AND(SUMIF(Capacity_Resource,$D97,'Critical resources (hide)'!BQ$6:BQ$105)+SUMIF(Capacity_Resource,$E97,'Critical resources (hide)'!BQ$6:BQ$105)+SUMIF(Capacity_Resource,$F97,'Critical resources (hide)'!BQ$6:BQ$105)&gt;0,$E$1=2),0,1)</f>
        <v>1</v>
      </c>
      <c r="BE97" s="68">
        <f ca="1">IF(AND(SUMIF(Capacity_Resource,$D97,'Critical resources (hide)'!BR$6:BR$105)+SUMIF(Capacity_Resource,$E97,'Critical resources (hide)'!BR$6:BR$105)+SUMIF(Capacity_Resource,$F97,'Critical resources (hide)'!BR$6:BR$105)&gt;0,$E$1=2),0,1)</f>
        <v>1</v>
      </c>
      <c r="BF97" s="68">
        <f ca="1">IF(AND(SUMIF(Capacity_Resource,$D97,'Critical resources (hide)'!BS$6:BS$105)+SUMIF(Capacity_Resource,$E97,'Critical resources (hide)'!BS$6:BS$105)+SUMIF(Capacity_Resource,$F97,'Critical resources (hide)'!BS$6:BS$105)&gt;0,$E$1=2),0,1)</f>
        <v>1</v>
      </c>
      <c r="BG97" s="68">
        <f ca="1">IF(AND(SUMIF(Capacity_Resource,$D97,'Critical resources (hide)'!BT$6:BT$105)+SUMIF(Capacity_Resource,$E97,'Critical resources (hide)'!BT$6:BT$105)+SUMIF(Capacity_Resource,$F97,'Critical resources (hide)'!BT$6:BT$105)&gt;0,$E$1=2),0,1)</f>
        <v>1</v>
      </c>
      <c r="BH97" s="68">
        <f>IF(ROW(C93)&lt;=Capacity!$A$16,IF('Capacity summary'!$D$14="No",SUM(H97:BG97),'Capacity summary'!$E216),0)</f>
        <v>0</v>
      </c>
      <c r="BI97" s="5" t="str">
        <f>IF(BH97&gt;0,IF(BH97&lt;Capacity!E109,Capacity!F109,Capacity!H109/'Capacity calculation (hide)'!BH97),"")</f>
        <v/>
      </c>
      <c r="BK97" s="319">
        <f>IF($BI97&lt;&gt;"",IF('Capacity summary'!$D$14="Yes",IF(COUNTBLANK('Capacity summary'!$H216:$BG216)&lt;52,IF('Capacity summary'!H216&lt;&gt;"",$BI97*H97,0),H97*$BI97),H97*$BI97),0)</f>
        <v>0</v>
      </c>
      <c r="BL97" s="319">
        <f>IF($BI97&lt;&gt;"",IF('Capacity summary'!$D$14="Yes",IF(COUNTBLANK('Capacity summary'!$H216:$BG216)&lt;52,IF('Capacity summary'!I216&lt;&gt;"",$BI97*I97,0),I97*$BI97),I97*$BI97),0)</f>
        <v>0</v>
      </c>
      <c r="BM97" s="319">
        <f>IF($BI97&lt;&gt;"",IF('Capacity summary'!$D$14="Yes",IF(COUNTBLANK('Capacity summary'!$H216:$BG216)&lt;52,IF('Capacity summary'!J216&lt;&gt;"",$BI97*J97,0),J97*$BI97),J97*$BI97),0)</f>
        <v>0</v>
      </c>
      <c r="BN97" s="319">
        <f>IF($BI97&lt;&gt;"",IF('Capacity summary'!$D$14="Yes",IF(COUNTBLANK('Capacity summary'!$H216:$BG216)&lt;52,IF('Capacity summary'!K216&lt;&gt;"",$BI97*K97,0),K97*$BI97),K97*$BI97),0)</f>
        <v>0</v>
      </c>
      <c r="BO97" s="319">
        <f>IF($BI97&lt;&gt;"",IF('Capacity summary'!$D$14="Yes",IF(COUNTBLANK('Capacity summary'!$H216:$BG216)&lt;52,IF('Capacity summary'!L216&lt;&gt;"",$BI97*L97,0),L97*$BI97),L97*$BI97),0)</f>
        <v>0</v>
      </c>
      <c r="BP97" s="319">
        <f>IF($BI97&lt;&gt;"",IF('Capacity summary'!$D$14="Yes",IF(COUNTBLANK('Capacity summary'!$H216:$BG216)&lt;52,IF('Capacity summary'!M216&lt;&gt;"",$BI97*M97,0),M97*$BI97),M97*$BI97),0)</f>
        <v>0</v>
      </c>
      <c r="BQ97" s="319">
        <f>IF($BI97&lt;&gt;"",IF('Capacity summary'!$D$14="Yes",IF(COUNTBLANK('Capacity summary'!$H216:$BG216)&lt;52,IF('Capacity summary'!N216&lt;&gt;"",$BI97*N97,0),N97*$BI97),N97*$BI97),0)</f>
        <v>0</v>
      </c>
      <c r="BR97" s="319">
        <f>IF($BI97&lt;&gt;"",IF('Capacity summary'!$D$14="Yes",IF(COUNTBLANK('Capacity summary'!$H216:$BG216)&lt;52,IF('Capacity summary'!O216&lt;&gt;"",$BI97*O97,0),O97*$BI97),O97*$BI97),0)</f>
        <v>0</v>
      </c>
      <c r="BS97" s="319">
        <f>IF($BI97&lt;&gt;"",IF('Capacity summary'!$D$14="Yes",IF(COUNTBLANK('Capacity summary'!$H216:$BG216)&lt;52,IF('Capacity summary'!P216&lt;&gt;"",$BI97*P97,0),P97*$BI97),P97*$BI97),0)</f>
        <v>0</v>
      </c>
      <c r="BT97" s="319">
        <f>IF($BI97&lt;&gt;"",IF('Capacity summary'!$D$14="Yes",IF(COUNTBLANK('Capacity summary'!$H216:$BG216)&lt;52,IF('Capacity summary'!Q216&lt;&gt;"",$BI97*Q97,0),Q97*$BI97),Q97*$BI97),0)</f>
        <v>0</v>
      </c>
      <c r="BU97" s="319">
        <f>IF($BI97&lt;&gt;"",IF('Capacity summary'!$D$14="Yes",IF(COUNTBLANK('Capacity summary'!$H216:$BG216)&lt;52,IF('Capacity summary'!R216&lt;&gt;"",$BI97*R97,0),R97*$BI97),R97*$BI97),0)</f>
        <v>0</v>
      </c>
      <c r="BV97" s="319">
        <f>IF($BI97&lt;&gt;"",IF('Capacity summary'!$D$14="Yes",IF(COUNTBLANK('Capacity summary'!$H216:$BG216)&lt;52,IF('Capacity summary'!S216&lt;&gt;"",$BI97*S97,0),S97*$BI97),S97*$BI97),0)</f>
        <v>0</v>
      </c>
      <c r="BW97" s="319">
        <f>IF($BI97&lt;&gt;"",IF('Capacity summary'!$D$14="Yes",IF(COUNTBLANK('Capacity summary'!$H216:$BG216)&lt;52,IF('Capacity summary'!T216&lt;&gt;"",$BI97*T97,0),T97*$BI97),T97*$BI97),0)</f>
        <v>0</v>
      </c>
      <c r="BX97" s="319">
        <f>IF($BI97&lt;&gt;"",IF('Capacity summary'!$D$14="Yes",IF(COUNTBLANK('Capacity summary'!$H216:$BG216)&lt;52,IF('Capacity summary'!U216&lt;&gt;"",$BI97*U97,0),U97*$BI97),U97*$BI97),0)</f>
        <v>0</v>
      </c>
      <c r="BY97" s="319">
        <f>IF($BI97&lt;&gt;"",IF('Capacity summary'!$D$14="Yes",IF(COUNTBLANK('Capacity summary'!$H216:$BG216)&lt;52,IF('Capacity summary'!V216&lt;&gt;"",$BI97*V97,0),V97*$BI97),V97*$BI97),0)</f>
        <v>0</v>
      </c>
      <c r="BZ97" s="319">
        <f>IF($BI97&lt;&gt;"",IF('Capacity summary'!$D$14="Yes",IF(COUNTBLANK('Capacity summary'!$H216:$BG216)&lt;52,IF('Capacity summary'!W216&lt;&gt;"",$BI97*W97,0),W97*$BI97),W97*$BI97),0)</f>
        <v>0</v>
      </c>
      <c r="CA97" s="319">
        <f>IF($BI97&lt;&gt;"",IF('Capacity summary'!$D$14="Yes",IF(COUNTBLANK('Capacity summary'!$H216:$BG216)&lt;52,IF('Capacity summary'!X216&lt;&gt;"",$BI97*X97,0),X97*$BI97),X97*$BI97),0)</f>
        <v>0</v>
      </c>
      <c r="CB97" s="319">
        <f>IF($BI97&lt;&gt;"",IF('Capacity summary'!$D$14="Yes",IF(COUNTBLANK('Capacity summary'!$H216:$BG216)&lt;52,IF('Capacity summary'!Y216&lt;&gt;"",$BI97*Y97,0),Y97*$BI97),Y97*$BI97),0)</f>
        <v>0</v>
      </c>
      <c r="CC97" s="319">
        <f>IF($BI97&lt;&gt;"",IF('Capacity summary'!$D$14="Yes",IF(COUNTBLANK('Capacity summary'!$H216:$BG216)&lt;52,IF('Capacity summary'!Z216&lt;&gt;"",$BI97*Z97,0),Z97*$BI97),Z97*$BI97),0)</f>
        <v>0</v>
      </c>
      <c r="CD97" s="319">
        <f>IF($BI97&lt;&gt;"",IF('Capacity summary'!$D$14="Yes",IF(COUNTBLANK('Capacity summary'!$H216:$BG216)&lt;52,IF('Capacity summary'!AA216&lt;&gt;"",$BI97*AA97,0),AA97*$BI97),AA97*$BI97),0)</f>
        <v>0</v>
      </c>
      <c r="CE97" s="319">
        <f>IF($BI97&lt;&gt;"",IF('Capacity summary'!$D$14="Yes",IF(COUNTBLANK('Capacity summary'!$H216:$BG216)&lt;52,IF('Capacity summary'!AB216&lt;&gt;"",$BI97*AB97,0),AB97*$BI97),AB97*$BI97),0)</f>
        <v>0</v>
      </c>
      <c r="CF97" s="319">
        <f>IF($BI97&lt;&gt;"",IF('Capacity summary'!$D$14="Yes",IF(COUNTBLANK('Capacity summary'!$H216:$BG216)&lt;52,IF('Capacity summary'!AC216&lt;&gt;"",$BI97*AC97,0),AC97*$BI97),AC97*$BI97),0)</f>
        <v>0</v>
      </c>
      <c r="CG97" s="319">
        <f>IF($BI97&lt;&gt;"",IF('Capacity summary'!$D$14="Yes",IF(COUNTBLANK('Capacity summary'!$H216:$BG216)&lt;52,IF('Capacity summary'!AD216&lt;&gt;"",$BI97*AD97,0),AD97*$BI97),AD97*$BI97),0)</f>
        <v>0</v>
      </c>
      <c r="CH97" s="319">
        <f>IF($BI97&lt;&gt;"",IF('Capacity summary'!$D$14="Yes",IF(COUNTBLANK('Capacity summary'!$H216:$BG216)&lt;52,IF('Capacity summary'!AE216&lt;&gt;"",$BI97*AE97,0),AE97*$BI97),AE97*$BI97),0)</f>
        <v>0</v>
      </c>
      <c r="CI97" s="319">
        <f>IF($BI97&lt;&gt;"",IF('Capacity summary'!$D$14="Yes",IF(COUNTBLANK('Capacity summary'!$H216:$BG216)&lt;52,IF('Capacity summary'!AF216&lt;&gt;"",$BI97*AF97,0),AF97*$BI97),AF97*$BI97),0)</f>
        <v>0</v>
      </c>
      <c r="CJ97" s="319">
        <f>IF($BI97&lt;&gt;"",IF('Capacity summary'!$D$14="Yes",IF(COUNTBLANK('Capacity summary'!$H216:$BG216)&lt;52,IF('Capacity summary'!AG216&lt;&gt;"",$BI97*AG97,0),AG97*$BI97),AG97*$BI97),0)</f>
        <v>0</v>
      </c>
      <c r="CK97" s="319">
        <f>IF($BI97&lt;&gt;"",IF('Capacity summary'!$D$14="Yes",IF(COUNTBLANK('Capacity summary'!$H216:$BG216)&lt;52,IF('Capacity summary'!AH216&lt;&gt;"",$BI97*AH97,0),AH97*$BI97),AH97*$BI97),0)</f>
        <v>0</v>
      </c>
      <c r="CL97" s="319">
        <f>IF($BI97&lt;&gt;"",IF('Capacity summary'!$D$14="Yes",IF(COUNTBLANK('Capacity summary'!$H216:$BG216)&lt;52,IF('Capacity summary'!AI216&lt;&gt;"",$BI97*AI97,0),AI97*$BI97),AI97*$BI97),0)</f>
        <v>0</v>
      </c>
      <c r="CM97" s="319">
        <f>IF($BI97&lt;&gt;"",IF('Capacity summary'!$D$14="Yes",IF(COUNTBLANK('Capacity summary'!$H216:$BG216)&lt;52,IF('Capacity summary'!AJ216&lt;&gt;"",$BI97*AJ97,0),AJ97*$BI97),AJ97*$BI97),0)</f>
        <v>0</v>
      </c>
      <c r="CN97" s="319">
        <f>IF($BI97&lt;&gt;"",IF('Capacity summary'!$D$14="Yes",IF(COUNTBLANK('Capacity summary'!$H216:$BG216)&lt;52,IF('Capacity summary'!AK216&lt;&gt;"",$BI97*AK97,0),AK97*$BI97),AK97*$BI97),0)</f>
        <v>0</v>
      </c>
      <c r="CO97" s="319">
        <f>IF($BI97&lt;&gt;"",IF('Capacity summary'!$D$14="Yes",IF(COUNTBLANK('Capacity summary'!$H216:$BG216)&lt;52,IF('Capacity summary'!AL216&lt;&gt;"",$BI97*AL97,0),AL97*$BI97),AL97*$BI97),0)</f>
        <v>0</v>
      </c>
      <c r="CP97" s="319">
        <f>IF($BI97&lt;&gt;"",IF('Capacity summary'!$D$14="Yes",IF(COUNTBLANK('Capacity summary'!$H216:$BG216)&lt;52,IF('Capacity summary'!AM216&lt;&gt;"",$BI97*AM97,0),AM97*$BI97),AM97*$BI97),0)</f>
        <v>0</v>
      </c>
      <c r="CQ97" s="319">
        <f>IF($BI97&lt;&gt;"",IF('Capacity summary'!$D$14="Yes",IF(COUNTBLANK('Capacity summary'!$H216:$BG216)&lt;52,IF('Capacity summary'!AN216&lt;&gt;"",$BI97*AN97,0),AN97*$BI97),AN97*$BI97),0)</f>
        <v>0</v>
      </c>
      <c r="CR97" s="319">
        <f>IF($BI97&lt;&gt;"",IF('Capacity summary'!$D$14="Yes",IF(COUNTBLANK('Capacity summary'!$H216:$BG216)&lt;52,IF('Capacity summary'!AO216&lt;&gt;"",$BI97*AO97,0),AO97*$BI97),AO97*$BI97),0)</f>
        <v>0</v>
      </c>
      <c r="CS97" s="319">
        <f>IF($BI97&lt;&gt;"",IF('Capacity summary'!$D$14="Yes",IF(COUNTBLANK('Capacity summary'!$H216:$BG216)&lt;52,IF('Capacity summary'!AP216&lt;&gt;"",$BI97*AP97,0),AP97*$BI97),AP97*$BI97),0)</f>
        <v>0</v>
      </c>
      <c r="CT97" s="319">
        <f>IF($BI97&lt;&gt;"",IF('Capacity summary'!$D$14="Yes",IF(COUNTBLANK('Capacity summary'!$H216:$BG216)&lt;52,IF('Capacity summary'!AQ216&lt;&gt;"",$BI97*AQ97,0),AQ97*$BI97),AQ97*$BI97),0)</f>
        <v>0</v>
      </c>
      <c r="CU97" s="319">
        <f>IF($BI97&lt;&gt;"",IF('Capacity summary'!$D$14="Yes",IF(COUNTBLANK('Capacity summary'!$H216:$BG216)&lt;52,IF('Capacity summary'!AR216&lt;&gt;"",$BI97*AR97,0),AR97*$BI97),AR97*$BI97),0)</f>
        <v>0</v>
      </c>
      <c r="CV97" s="319">
        <f>IF($BI97&lt;&gt;"",IF('Capacity summary'!$D$14="Yes",IF(COUNTBLANK('Capacity summary'!$H216:$BG216)&lt;52,IF('Capacity summary'!AS216&lt;&gt;"",$BI97*AS97,0),AS97*$BI97),AS97*$BI97),0)</f>
        <v>0</v>
      </c>
      <c r="CW97" s="319">
        <f>IF($BI97&lt;&gt;"",IF('Capacity summary'!$D$14="Yes",IF(COUNTBLANK('Capacity summary'!$H216:$BG216)&lt;52,IF('Capacity summary'!AT216&lt;&gt;"",$BI97*AT97,0),AT97*$BI97),AT97*$BI97),0)</f>
        <v>0</v>
      </c>
      <c r="CX97" s="319">
        <f>IF($BI97&lt;&gt;"",IF('Capacity summary'!$D$14="Yes",IF(COUNTBLANK('Capacity summary'!$H216:$BG216)&lt;52,IF('Capacity summary'!AU216&lt;&gt;"",$BI97*AU97,0),AU97*$BI97),AU97*$BI97),0)</f>
        <v>0</v>
      </c>
      <c r="CY97" s="319">
        <f>IF($BI97&lt;&gt;"",IF('Capacity summary'!$D$14="Yes",IF(COUNTBLANK('Capacity summary'!$H216:$BG216)&lt;52,IF('Capacity summary'!AV216&lt;&gt;"",$BI97*AV97,0),AV97*$BI97),AV97*$BI97),0)</f>
        <v>0</v>
      </c>
      <c r="CZ97" s="319">
        <f>IF($BI97&lt;&gt;"",IF('Capacity summary'!$D$14="Yes",IF(COUNTBLANK('Capacity summary'!$H216:$BG216)&lt;52,IF('Capacity summary'!AW216&lt;&gt;"",$BI97*AW97,0),AW97*$BI97),AW97*$BI97),0)</f>
        <v>0</v>
      </c>
      <c r="DA97" s="319">
        <f>IF($BI97&lt;&gt;"",IF('Capacity summary'!$D$14="Yes",IF(COUNTBLANK('Capacity summary'!$H216:$BG216)&lt;52,IF('Capacity summary'!AX216&lt;&gt;"",$BI97*AX97,0),AX97*$BI97),AX97*$BI97),0)</f>
        <v>0</v>
      </c>
      <c r="DB97" s="319">
        <f>IF($BI97&lt;&gt;"",IF('Capacity summary'!$D$14="Yes",IF(COUNTBLANK('Capacity summary'!$H216:$BG216)&lt;52,IF('Capacity summary'!AY216&lt;&gt;"",$BI97*AY97,0),AY97*$BI97),AY97*$BI97),0)</f>
        <v>0</v>
      </c>
      <c r="DC97" s="319">
        <f>IF($BI97&lt;&gt;"",IF('Capacity summary'!$D$14="Yes",IF(COUNTBLANK('Capacity summary'!$H216:$BG216)&lt;52,IF('Capacity summary'!AZ216&lt;&gt;"",$BI97*AZ97,0),AZ97*$BI97),AZ97*$BI97),0)</f>
        <v>0</v>
      </c>
      <c r="DD97" s="319">
        <f>IF($BI97&lt;&gt;"",IF('Capacity summary'!$D$14="Yes",IF(COUNTBLANK('Capacity summary'!$H216:$BG216)&lt;52,IF('Capacity summary'!BA216&lt;&gt;"",$BI97*BA97,0),BA97*$BI97),BA97*$BI97),0)</f>
        <v>0</v>
      </c>
      <c r="DE97" s="319">
        <f>IF($BI97&lt;&gt;"",IF('Capacity summary'!$D$14="Yes",IF(COUNTBLANK('Capacity summary'!$H216:$BG216)&lt;52,IF('Capacity summary'!BB216&lt;&gt;"",$BI97*BB97,0),BB97*$BI97),BB97*$BI97),0)</f>
        <v>0</v>
      </c>
      <c r="DF97" s="319">
        <f>IF($BI97&lt;&gt;"",IF('Capacity summary'!$D$14="Yes",IF(COUNTBLANK('Capacity summary'!$H216:$BG216)&lt;52,IF('Capacity summary'!BC216&lt;&gt;"",$BI97*BC97,0),BC97*$BI97),BC97*$BI97),0)</f>
        <v>0</v>
      </c>
      <c r="DG97" s="319">
        <f>IF($BI97&lt;&gt;"",IF('Capacity summary'!$D$14="Yes",IF(COUNTBLANK('Capacity summary'!$H216:$BG216)&lt;52,IF('Capacity summary'!BD216&lt;&gt;"",$BI97*BD97,0),BD97*$BI97),BD97*$BI97),0)</f>
        <v>0</v>
      </c>
      <c r="DH97" s="319">
        <f>IF($BI97&lt;&gt;"",IF('Capacity summary'!$D$14="Yes",IF(COUNTBLANK('Capacity summary'!$H216:$BG216)&lt;52,IF('Capacity summary'!BE216&lt;&gt;"",$BI97*BE97,0),BE97*$BI97),BE97*$BI97),0)</f>
        <v>0</v>
      </c>
      <c r="DI97" s="319">
        <f>IF($BI97&lt;&gt;"",IF('Capacity summary'!$D$14="Yes",IF(COUNTBLANK('Capacity summary'!$H216:$BG216)&lt;52,IF('Capacity summary'!BF216&lt;&gt;"",$BI97*BF97,0),BF97*$BI97),BF97*$BI97),0)</f>
        <v>0</v>
      </c>
      <c r="DJ97" s="319">
        <f>IF($BI97&lt;&gt;"",IF('Capacity summary'!$D$14="Yes",IF(COUNTBLANK('Capacity summary'!$H216:$BG216)&lt;52,IF('Capacity summary'!BG216&lt;&gt;"",$BI97*BG97,0),BG97*$BI97),BG97*$BI97),0)</f>
        <v>0</v>
      </c>
      <c r="DK97" s="5">
        <f t="shared" si="3"/>
        <v>0</v>
      </c>
      <c r="DL97" s="5" t="str">
        <f>Capacity!H109</f>
        <v/>
      </c>
    </row>
    <row r="98" spans="2:116" x14ac:dyDescent="0.2">
      <c r="B98" s="68"/>
      <c r="C98" s="68" t="str">
        <f>ROW(A94)&amp;". "&amp;Capacity!B110</f>
        <v xml:space="preserve">94. </v>
      </c>
      <c r="D98" s="68">
        <f>'Capacity setup'!C105</f>
        <v>0</v>
      </c>
      <c r="E98" s="68">
        <f>'Capacity setup'!D105</f>
        <v>0</v>
      </c>
      <c r="F98" s="68">
        <f>'Capacity setup'!E105</f>
        <v>0</v>
      </c>
      <c r="H98" s="68">
        <f ca="1">IF(AND(SUMIF(Capacity_Resource,$D98,'Critical resources (hide)'!U$6:U$105)+SUMIF(Capacity_Resource,$E98,'Critical resources (hide)'!U$6:U$105)+SUMIF(Capacity_Resource,$F98,'Critical resources (hide)'!U$6:U$105)&gt;0,$E$1=2),0,1)</f>
        <v>1</v>
      </c>
      <c r="I98" s="68">
        <f ca="1">IF(AND(SUMIF(Capacity_Resource,$D98,'Critical resources (hide)'!V$6:V$105)+SUMIF(Capacity_Resource,$E98,'Critical resources (hide)'!V$6:V$105)+SUMIF(Capacity_Resource,$F98,'Critical resources (hide)'!V$6:V$105)&gt;0,$E$1=2),0,1)</f>
        <v>1</v>
      </c>
      <c r="J98" s="68">
        <f ca="1">IF(AND(SUMIF(Capacity_Resource,$D98,'Critical resources (hide)'!W$6:W$105)+SUMIF(Capacity_Resource,$E98,'Critical resources (hide)'!W$6:W$105)+SUMIF(Capacity_Resource,$F98,'Critical resources (hide)'!W$6:W$105)&gt;0,$E$1=2),0,1)</f>
        <v>1</v>
      </c>
      <c r="K98" s="68">
        <f ca="1">IF(AND(SUMIF(Capacity_Resource,$D98,'Critical resources (hide)'!X$6:X$105)+SUMIF(Capacity_Resource,$E98,'Critical resources (hide)'!X$6:X$105)+SUMIF(Capacity_Resource,$F98,'Critical resources (hide)'!X$6:X$105)&gt;0,$E$1=2),0,1)</f>
        <v>1</v>
      </c>
      <c r="L98" s="68">
        <f ca="1">IF(AND(SUMIF(Capacity_Resource,$D98,'Critical resources (hide)'!Y$6:Y$105)+SUMIF(Capacity_Resource,$E98,'Critical resources (hide)'!Y$6:Y$105)+SUMIF(Capacity_Resource,$F98,'Critical resources (hide)'!Y$6:Y$105)&gt;0,$E$1=2),0,1)</f>
        <v>1</v>
      </c>
      <c r="M98" s="68">
        <f ca="1">IF(AND(SUMIF(Capacity_Resource,$D98,'Critical resources (hide)'!Z$6:Z$105)+SUMIF(Capacity_Resource,$E98,'Critical resources (hide)'!Z$6:Z$105)+SUMIF(Capacity_Resource,$F98,'Critical resources (hide)'!Z$6:Z$105)&gt;0,$E$1=2),0,1)</f>
        <v>1</v>
      </c>
      <c r="N98" s="68">
        <f ca="1">IF(AND(SUMIF(Capacity_Resource,$D98,'Critical resources (hide)'!AA$6:AA$105)+SUMIF(Capacity_Resource,$E98,'Critical resources (hide)'!AA$6:AA$105)+SUMIF(Capacity_Resource,$F98,'Critical resources (hide)'!AA$6:AA$105)&gt;0,$E$1=2),0,1)</f>
        <v>1</v>
      </c>
      <c r="O98" s="68">
        <f ca="1">IF(AND(SUMIF(Capacity_Resource,$D98,'Critical resources (hide)'!AB$6:AB$105)+SUMIF(Capacity_Resource,$E98,'Critical resources (hide)'!AB$6:AB$105)+SUMIF(Capacity_Resource,$F98,'Critical resources (hide)'!AB$6:AB$105)&gt;0,$E$1=2),0,1)</f>
        <v>1</v>
      </c>
      <c r="P98" s="68">
        <f ca="1">IF(AND(SUMIF(Capacity_Resource,$D98,'Critical resources (hide)'!AC$6:AC$105)+SUMIF(Capacity_Resource,$E98,'Critical resources (hide)'!AC$6:AC$105)+SUMIF(Capacity_Resource,$F98,'Critical resources (hide)'!AC$6:AC$105)&gt;0,$E$1=2),0,1)</f>
        <v>1</v>
      </c>
      <c r="Q98" s="68">
        <f ca="1">IF(AND(SUMIF(Capacity_Resource,$D98,'Critical resources (hide)'!AD$6:AD$105)+SUMIF(Capacity_Resource,$E98,'Critical resources (hide)'!AD$6:AD$105)+SUMIF(Capacity_Resource,$F98,'Critical resources (hide)'!AD$6:AD$105)&gt;0,$E$1=2),0,1)</f>
        <v>1</v>
      </c>
      <c r="R98" s="68">
        <f ca="1">IF(AND(SUMIF(Capacity_Resource,$D98,'Critical resources (hide)'!AE$6:AE$105)+SUMIF(Capacity_Resource,$E98,'Critical resources (hide)'!AE$6:AE$105)+SUMIF(Capacity_Resource,$F98,'Critical resources (hide)'!AE$6:AE$105)&gt;0,$E$1=2),0,1)</f>
        <v>1</v>
      </c>
      <c r="S98" s="68">
        <f ca="1">IF(AND(SUMIF(Capacity_Resource,$D98,'Critical resources (hide)'!AF$6:AF$105)+SUMIF(Capacity_Resource,$E98,'Critical resources (hide)'!AF$6:AF$105)+SUMIF(Capacity_Resource,$F98,'Critical resources (hide)'!AF$6:AF$105)&gt;0,$E$1=2),0,1)</f>
        <v>1</v>
      </c>
      <c r="T98" s="68">
        <f ca="1">IF(AND(SUMIF(Capacity_Resource,$D98,'Critical resources (hide)'!AG$6:AG$105)+SUMIF(Capacity_Resource,$E98,'Critical resources (hide)'!AG$6:AG$105)+SUMIF(Capacity_Resource,$F98,'Critical resources (hide)'!AG$6:AG$105)&gt;0,$E$1=2),0,1)</f>
        <v>1</v>
      </c>
      <c r="U98" s="68">
        <f ca="1">IF(AND(SUMIF(Capacity_Resource,$D98,'Critical resources (hide)'!AH$6:AH$105)+SUMIF(Capacity_Resource,$E98,'Critical resources (hide)'!AH$6:AH$105)+SUMIF(Capacity_Resource,$F98,'Critical resources (hide)'!AH$6:AH$105)&gt;0,$E$1=2),0,1)</f>
        <v>1</v>
      </c>
      <c r="V98" s="68">
        <f ca="1">IF(AND(SUMIF(Capacity_Resource,$D98,'Critical resources (hide)'!AI$6:AI$105)+SUMIF(Capacity_Resource,$E98,'Critical resources (hide)'!AI$6:AI$105)+SUMIF(Capacity_Resource,$F98,'Critical resources (hide)'!AI$6:AI$105)&gt;0,$E$1=2),0,1)</f>
        <v>1</v>
      </c>
      <c r="W98" s="68">
        <f ca="1">IF(AND(SUMIF(Capacity_Resource,$D98,'Critical resources (hide)'!AJ$6:AJ$105)+SUMIF(Capacity_Resource,$E98,'Critical resources (hide)'!AJ$6:AJ$105)+SUMIF(Capacity_Resource,$F98,'Critical resources (hide)'!AJ$6:AJ$105)&gt;0,$E$1=2),0,1)</f>
        <v>1</v>
      </c>
      <c r="X98" s="68">
        <f ca="1">IF(AND(SUMIF(Capacity_Resource,$D98,'Critical resources (hide)'!AK$6:AK$105)+SUMIF(Capacity_Resource,$E98,'Critical resources (hide)'!AK$6:AK$105)+SUMIF(Capacity_Resource,$F98,'Critical resources (hide)'!AK$6:AK$105)&gt;0,$E$1=2),0,1)</f>
        <v>1</v>
      </c>
      <c r="Y98" s="68">
        <f ca="1">IF(AND(SUMIF(Capacity_Resource,$D98,'Critical resources (hide)'!AL$6:AL$105)+SUMIF(Capacity_Resource,$E98,'Critical resources (hide)'!AL$6:AL$105)+SUMIF(Capacity_Resource,$F98,'Critical resources (hide)'!AL$6:AL$105)&gt;0,$E$1=2),0,1)</f>
        <v>1</v>
      </c>
      <c r="Z98" s="68">
        <f ca="1">IF(AND(SUMIF(Capacity_Resource,$D98,'Critical resources (hide)'!AM$6:AM$105)+SUMIF(Capacity_Resource,$E98,'Critical resources (hide)'!AM$6:AM$105)+SUMIF(Capacity_Resource,$F98,'Critical resources (hide)'!AM$6:AM$105)&gt;0,$E$1=2),0,1)</f>
        <v>1</v>
      </c>
      <c r="AA98" s="68">
        <f ca="1">IF(AND(SUMIF(Capacity_Resource,$D98,'Critical resources (hide)'!AN$6:AN$105)+SUMIF(Capacity_Resource,$E98,'Critical resources (hide)'!AN$6:AN$105)+SUMIF(Capacity_Resource,$F98,'Critical resources (hide)'!AN$6:AN$105)&gt;0,$E$1=2),0,1)</f>
        <v>1</v>
      </c>
      <c r="AB98" s="68">
        <f ca="1">IF(AND(SUMIF(Capacity_Resource,$D98,'Critical resources (hide)'!AO$6:AO$105)+SUMIF(Capacity_Resource,$E98,'Critical resources (hide)'!AO$6:AO$105)+SUMIF(Capacity_Resource,$F98,'Critical resources (hide)'!AO$6:AO$105)&gt;0,$E$1=2),0,1)</f>
        <v>1</v>
      </c>
      <c r="AC98" s="68">
        <f ca="1">IF(AND(SUMIF(Capacity_Resource,$D98,'Critical resources (hide)'!AP$6:AP$105)+SUMIF(Capacity_Resource,$E98,'Critical resources (hide)'!AP$6:AP$105)+SUMIF(Capacity_Resource,$F98,'Critical resources (hide)'!AP$6:AP$105)&gt;0,$E$1=2),0,1)</f>
        <v>1</v>
      </c>
      <c r="AD98" s="68">
        <f ca="1">IF(AND(SUMIF(Capacity_Resource,$D98,'Critical resources (hide)'!AQ$6:AQ$105)+SUMIF(Capacity_Resource,$E98,'Critical resources (hide)'!AQ$6:AQ$105)+SUMIF(Capacity_Resource,$F98,'Critical resources (hide)'!AQ$6:AQ$105)&gt;0,$E$1=2),0,1)</f>
        <v>1</v>
      </c>
      <c r="AE98" s="68">
        <f ca="1">IF(AND(SUMIF(Capacity_Resource,$D98,'Critical resources (hide)'!AR$6:AR$105)+SUMIF(Capacity_Resource,$E98,'Critical resources (hide)'!AR$6:AR$105)+SUMIF(Capacity_Resource,$F98,'Critical resources (hide)'!AR$6:AR$105)&gt;0,$E$1=2),0,1)</f>
        <v>1</v>
      </c>
      <c r="AF98" s="68">
        <f ca="1">IF(AND(SUMIF(Capacity_Resource,$D98,'Critical resources (hide)'!AS$6:AS$105)+SUMIF(Capacity_Resource,$E98,'Critical resources (hide)'!AS$6:AS$105)+SUMIF(Capacity_Resource,$F98,'Critical resources (hide)'!AS$6:AS$105)&gt;0,$E$1=2),0,1)</f>
        <v>1</v>
      </c>
      <c r="AG98" s="68">
        <f ca="1">IF(AND(SUMIF(Capacity_Resource,$D98,'Critical resources (hide)'!AT$6:AT$105)+SUMIF(Capacity_Resource,$E98,'Critical resources (hide)'!AT$6:AT$105)+SUMIF(Capacity_Resource,$F98,'Critical resources (hide)'!AT$6:AT$105)&gt;0,$E$1=2),0,1)</f>
        <v>1</v>
      </c>
      <c r="AH98" s="68">
        <f ca="1">IF(AND(SUMIF(Capacity_Resource,$D98,'Critical resources (hide)'!AU$6:AU$105)+SUMIF(Capacity_Resource,$E98,'Critical resources (hide)'!AU$6:AU$105)+SUMIF(Capacity_Resource,$F98,'Critical resources (hide)'!AU$6:AU$105)&gt;0,$E$1=2),0,1)</f>
        <v>1</v>
      </c>
      <c r="AI98" s="68">
        <f ca="1">IF(AND(SUMIF(Capacity_Resource,$D98,'Critical resources (hide)'!AV$6:AV$105)+SUMIF(Capacity_Resource,$E98,'Critical resources (hide)'!AV$6:AV$105)+SUMIF(Capacity_Resource,$F98,'Critical resources (hide)'!AV$6:AV$105)&gt;0,$E$1=2),0,1)</f>
        <v>1</v>
      </c>
      <c r="AJ98" s="68">
        <f ca="1">IF(AND(SUMIF(Capacity_Resource,$D98,'Critical resources (hide)'!AW$6:AW$105)+SUMIF(Capacity_Resource,$E98,'Critical resources (hide)'!AW$6:AW$105)+SUMIF(Capacity_Resource,$F98,'Critical resources (hide)'!AW$6:AW$105)&gt;0,$E$1=2),0,1)</f>
        <v>1</v>
      </c>
      <c r="AK98" s="68">
        <f ca="1">IF(AND(SUMIF(Capacity_Resource,$D98,'Critical resources (hide)'!AX$6:AX$105)+SUMIF(Capacity_Resource,$E98,'Critical resources (hide)'!AX$6:AX$105)+SUMIF(Capacity_Resource,$F98,'Critical resources (hide)'!AX$6:AX$105)&gt;0,$E$1=2),0,1)</f>
        <v>1</v>
      </c>
      <c r="AL98" s="68">
        <f ca="1">IF(AND(SUMIF(Capacity_Resource,$D98,'Critical resources (hide)'!AY$6:AY$105)+SUMIF(Capacity_Resource,$E98,'Critical resources (hide)'!AY$6:AY$105)+SUMIF(Capacity_Resource,$F98,'Critical resources (hide)'!AY$6:AY$105)&gt;0,$E$1=2),0,1)</f>
        <v>1</v>
      </c>
      <c r="AM98" s="68">
        <f ca="1">IF(AND(SUMIF(Capacity_Resource,$D98,'Critical resources (hide)'!AZ$6:AZ$105)+SUMIF(Capacity_Resource,$E98,'Critical resources (hide)'!AZ$6:AZ$105)+SUMIF(Capacity_Resource,$F98,'Critical resources (hide)'!AZ$6:AZ$105)&gt;0,$E$1=2),0,1)</f>
        <v>1</v>
      </c>
      <c r="AN98" s="68">
        <f ca="1">IF(AND(SUMIF(Capacity_Resource,$D98,'Critical resources (hide)'!BA$6:BA$105)+SUMIF(Capacity_Resource,$E98,'Critical resources (hide)'!BA$6:BA$105)+SUMIF(Capacity_Resource,$F98,'Critical resources (hide)'!BA$6:BA$105)&gt;0,$E$1=2),0,1)</f>
        <v>1</v>
      </c>
      <c r="AO98" s="68">
        <f ca="1">IF(AND(SUMIF(Capacity_Resource,$D98,'Critical resources (hide)'!BB$6:BB$105)+SUMIF(Capacity_Resource,$E98,'Critical resources (hide)'!BB$6:BB$105)+SUMIF(Capacity_Resource,$F98,'Critical resources (hide)'!BB$6:BB$105)&gt;0,$E$1=2),0,1)</f>
        <v>1</v>
      </c>
      <c r="AP98" s="68">
        <f ca="1">IF(AND(SUMIF(Capacity_Resource,$D98,'Critical resources (hide)'!BC$6:BC$105)+SUMIF(Capacity_Resource,$E98,'Critical resources (hide)'!BC$6:BC$105)+SUMIF(Capacity_Resource,$F98,'Critical resources (hide)'!BC$6:BC$105)&gt;0,$E$1=2),0,1)</f>
        <v>1</v>
      </c>
      <c r="AQ98" s="68">
        <f ca="1">IF(AND(SUMIF(Capacity_Resource,$D98,'Critical resources (hide)'!BD$6:BD$105)+SUMIF(Capacity_Resource,$E98,'Critical resources (hide)'!BD$6:BD$105)+SUMIF(Capacity_Resource,$F98,'Critical resources (hide)'!BD$6:BD$105)&gt;0,$E$1=2),0,1)</f>
        <v>1</v>
      </c>
      <c r="AR98" s="68">
        <f ca="1">IF(AND(SUMIF(Capacity_Resource,$D98,'Critical resources (hide)'!BE$6:BE$105)+SUMIF(Capacity_Resource,$E98,'Critical resources (hide)'!BE$6:BE$105)+SUMIF(Capacity_Resource,$F98,'Critical resources (hide)'!BE$6:BE$105)&gt;0,$E$1=2),0,1)</f>
        <v>1</v>
      </c>
      <c r="AS98" s="68">
        <f ca="1">IF(AND(SUMIF(Capacity_Resource,$D98,'Critical resources (hide)'!BF$6:BF$105)+SUMIF(Capacity_Resource,$E98,'Critical resources (hide)'!BF$6:BF$105)+SUMIF(Capacity_Resource,$F98,'Critical resources (hide)'!BF$6:BF$105)&gt;0,$E$1=2),0,1)</f>
        <v>1</v>
      </c>
      <c r="AT98" s="68">
        <f ca="1">IF(AND(SUMIF(Capacity_Resource,$D98,'Critical resources (hide)'!BG$6:BG$105)+SUMIF(Capacity_Resource,$E98,'Critical resources (hide)'!BG$6:BG$105)+SUMIF(Capacity_Resource,$F98,'Critical resources (hide)'!BG$6:BG$105)&gt;0,$E$1=2),0,1)</f>
        <v>1</v>
      </c>
      <c r="AU98" s="68">
        <f ca="1">IF(AND(SUMIF(Capacity_Resource,$D98,'Critical resources (hide)'!BH$6:BH$105)+SUMIF(Capacity_Resource,$E98,'Critical resources (hide)'!BH$6:BH$105)+SUMIF(Capacity_Resource,$F98,'Critical resources (hide)'!BH$6:BH$105)&gt;0,$E$1=2),0,1)</f>
        <v>1</v>
      </c>
      <c r="AV98" s="68">
        <f ca="1">IF(AND(SUMIF(Capacity_Resource,$D98,'Critical resources (hide)'!BI$6:BI$105)+SUMIF(Capacity_Resource,$E98,'Critical resources (hide)'!BI$6:BI$105)+SUMIF(Capacity_Resource,$F98,'Critical resources (hide)'!BI$6:BI$105)&gt;0,$E$1=2),0,1)</f>
        <v>1</v>
      </c>
      <c r="AW98" s="68">
        <f ca="1">IF(AND(SUMIF(Capacity_Resource,$D98,'Critical resources (hide)'!BJ$6:BJ$105)+SUMIF(Capacity_Resource,$E98,'Critical resources (hide)'!BJ$6:BJ$105)+SUMIF(Capacity_Resource,$F98,'Critical resources (hide)'!BJ$6:BJ$105)&gt;0,$E$1=2),0,1)</f>
        <v>1</v>
      </c>
      <c r="AX98" s="68">
        <f ca="1">IF(AND(SUMIF(Capacity_Resource,$D98,'Critical resources (hide)'!BK$6:BK$105)+SUMIF(Capacity_Resource,$E98,'Critical resources (hide)'!BK$6:BK$105)+SUMIF(Capacity_Resource,$F98,'Critical resources (hide)'!BK$6:BK$105)&gt;0,$E$1=2),0,1)</f>
        <v>1</v>
      </c>
      <c r="AY98" s="68">
        <f ca="1">IF(AND(SUMIF(Capacity_Resource,$D98,'Critical resources (hide)'!BL$6:BL$105)+SUMIF(Capacity_Resource,$E98,'Critical resources (hide)'!BL$6:BL$105)+SUMIF(Capacity_Resource,$F98,'Critical resources (hide)'!BL$6:BL$105)&gt;0,$E$1=2),0,1)</f>
        <v>1</v>
      </c>
      <c r="AZ98" s="68">
        <f ca="1">IF(AND(SUMIF(Capacity_Resource,$D98,'Critical resources (hide)'!BM$6:BM$105)+SUMIF(Capacity_Resource,$E98,'Critical resources (hide)'!BM$6:BM$105)+SUMIF(Capacity_Resource,$F98,'Critical resources (hide)'!BM$6:BM$105)&gt;0,$E$1=2),0,1)</f>
        <v>1</v>
      </c>
      <c r="BA98" s="68">
        <f ca="1">IF(AND(SUMIF(Capacity_Resource,$D98,'Critical resources (hide)'!BN$6:BN$105)+SUMIF(Capacity_Resource,$E98,'Critical resources (hide)'!BN$6:BN$105)+SUMIF(Capacity_Resource,$F98,'Critical resources (hide)'!BN$6:BN$105)&gt;0,$E$1=2),0,1)</f>
        <v>1</v>
      </c>
      <c r="BB98" s="68">
        <f ca="1">IF(AND(SUMIF(Capacity_Resource,$D98,'Critical resources (hide)'!BO$6:BO$105)+SUMIF(Capacity_Resource,$E98,'Critical resources (hide)'!BO$6:BO$105)+SUMIF(Capacity_Resource,$F98,'Critical resources (hide)'!BO$6:BO$105)&gt;0,$E$1=2),0,1)</f>
        <v>1</v>
      </c>
      <c r="BC98" s="68">
        <f ca="1">IF(AND(SUMIF(Capacity_Resource,$D98,'Critical resources (hide)'!BP$6:BP$105)+SUMIF(Capacity_Resource,$E98,'Critical resources (hide)'!BP$6:BP$105)+SUMIF(Capacity_Resource,$F98,'Critical resources (hide)'!BP$6:BP$105)&gt;0,$E$1=2),0,1)</f>
        <v>1</v>
      </c>
      <c r="BD98" s="68">
        <f ca="1">IF(AND(SUMIF(Capacity_Resource,$D98,'Critical resources (hide)'!BQ$6:BQ$105)+SUMIF(Capacity_Resource,$E98,'Critical resources (hide)'!BQ$6:BQ$105)+SUMIF(Capacity_Resource,$F98,'Critical resources (hide)'!BQ$6:BQ$105)&gt;0,$E$1=2),0,1)</f>
        <v>1</v>
      </c>
      <c r="BE98" s="68">
        <f ca="1">IF(AND(SUMIF(Capacity_Resource,$D98,'Critical resources (hide)'!BR$6:BR$105)+SUMIF(Capacity_Resource,$E98,'Critical resources (hide)'!BR$6:BR$105)+SUMIF(Capacity_Resource,$F98,'Critical resources (hide)'!BR$6:BR$105)&gt;0,$E$1=2),0,1)</f>
        <v>1</v>
      </c>
      <c r="BF98" s="68">
        <f ca="1">IF(AND(SUMIF(Capacity_Resource,$D98,'Critical resources (hide)'!BS$6:BS$105)+SUMIF(Capacity_Resource,$E98,'Critical resources (hide)'!BS$6:BS$105)+SUMIF(Capacity_Resource,$F98,'Critical resources (hide)'!BS$6:BS$105)&gt;0,$E$1=2),0,1)</f>
        <v>1</v>
      </c>
      <c r="BG98" s="68">
        <f ca="1">IF(AND(SUMIF(Capacity_Resource,$D98,'Critical resources (hide)'!BT$6:BT$105)+SUMIF(Capacity_Resource,$E98,'Critical resources (hide)'!BT$6:BT$105)+SUMIF(Capacity_Resource,$F98,'Critical resources (hide)'!BT$6:BT$105)&gt;0,$E$1=2),0,1)</f>
        <v>1</v>
      </c>
      <c r="BH98" s="68">
        <f>IF(ROW(C94)&lt;=Capacity!$A$16,IF('Capacity summary'!$D$14="No",SUM(H98:BG98),'Capacity summary'!$E217),0)</f>
        <v>0</v>
      </c>
      <c r="BI98" s="5" t="str">
        <f>IF(BH98&gt;0,IF(BH98&lt;Capacity!E110,Capacity!F110,Capacity!H110/'Capacity calculation (hide)'!BH98),"")</f>
        <v/>
      </c>
      <c r="BK98" s="319">
        <f>IF($BI98&lt;&gt;"",IF('Capacity summary'!$D$14="Yes",IF(COUNTBLANK('Capacity summary'!$H217:$BG217)&lt;52,IF('Capacity summary'!H217&lt;&gt;"",$BI98*H98,0),H98*$BI98),H98*$BI98),0)</f>
        <v>0</v>
      </c>
      <c r="BL98" s="319">
        <f>IF($BI98&lt;&gt;"",IF('Capacity summary'!$D$14="Yes",IF(COUNTBLANK('Capacity summary'!$H217:$BG217)&lt;52,IF('Capacity summary'!I217&lt;&gt;"",$BI98*I98,0),I98*$BI98),I98*$BI98),0)</f>
        <v>0</v>
      </c>
      <c r="BM98" s="319">
        <f>IF($BI98&lt;&gt;"",IF('Capacity summary'!$D$14="Yes",IF(COUNTBLANK('Capacity summary'!$H217:$BG217)&lt;52,IF('Capacity summary'!J217&lt;&gt;"",$BI98*J98,0),J98*$BI98),J98*$BI98),0)</f>
        <v>0</v>
      </c>
      <c r="BN98" s="319">
        <f>IF($BI98&lt;&gt;"",IF('Capacity summary'!$D$14="Yes",IF(COUNTBLANK('Capacity summary'!$H217:$BG217)&lt;52,IF('Capacity summary'!K217&lt;&gt;"",$BI98*K98,0),K98*$BI98),K98*$BI98),0)</f>
        <v>0</v>
      </c>
      <c r="BO98" s="319">
        <f>IF($BI98&lt;&gt;"",IF('Capacity summary'!$D$14="Yes",IF(COUNTBLANK('Capacity summary'!$H217:$BG217)&lt;52,IF('Capacity summary'!L217&lt;&gt;"",$BI98*L98,0),L98*$BI98),L98*$BI98),0)</f>
        <v>0</v>
      </c>
      <c r="BP98" s="319">
        <f>IF($BI98&lt;&gt;"",IF('Capacity summary'!$D$14="Yes",IF(COUNTBLANK('Capacity summary'!$H217:$BG217)&lt;52,IF('Capacity summary'!M217&lt;&gt;"",$BI98*M98,0),M98*$BI98),M98*$BI98),0)</f>
        <v>0</v>
      </c>
      <c r="BQ98" s="319">
        <f>IF($BI98&lt;&gt;"",IF('Capacity summary'!$D$14="Yes",IF(COUNTBLANK('Capacity summary'!$H217:$BG217)&lt;52,IF('Capacity summary'!N217&lt;&gt;"",$BI98*N98,0),N98*$BI98),N98*$BI98),0)</f>
        <v>0</v>
      </c>
      <c r="BR98" s="319">
        <f>IF($BI98&lt;&gt;"",IF('Capacity summary'!$D$14="Yes",IF(COUNTBLANK('Capacity summary'!$H217:$BG217)&lt;52,IF('Capacity summary'!O217&lt;&gt;"",$BI98*O98,0),O98*$BI98),O98*$BI98),0)</f>
        <v>0</v>
      </c>
      <c r="BS98" s="319">
        <f>IF($BI98&lt;&gt;"",IF('Capacity summary'!$D$14="Yes",IF(COUNTBLANK('Capacity summary'!$H217:$BG217)&lt;52,IF('Capacity summary'!P217&lt;&gt;"",$BI98*P98,0),P98*$BI98),P98*$BI98),0)</f>
        <v>0</v>
      </c>
      <c r="BT98" s="319">
        <f>IF($BI98&lt;&gt;"",IF('Capacity summary'!$D$14="Yes",IF(COUNTBLANK('Capacity summary'!$H217:$BG217)&lt;52,IF('Capacity summary'!Q217&lt;&gt;"",$BI98*Q98,0),Q98*$BI98),Q98*$BI98),0)</f>
        <v>0</v>
      </c>
      <c r="BU98" s="319">
        <f>IF($BI98&lt;&gt;"",IF('Capacity summary'!$D$14="Yes",IF(COUNTBLANK('Capacity summary'!$H217:$BG217)&lt;52,IF('Capacity summary'!R217&lt;&gt;"",$BI98*R98,0),R98*$BI98),R98*$BI98),0)</f>
        <v>0</v>
      </c>
      <c r="BV98" s="319">
        <f>IF($BI98&lt;&gt;"",IF('Capacity summary'!$D$14="Yes",IF(COUNTBLANK('Capacity summary'!$H217:$BG217)&lt;52,IF('Capacity summary'!S217&lt;&gt;"",$BI98*S98,0),S98*$BI98),S98*$BI98),0)</f>
        <v>0</v>
      </c>
      <c r="BW98" s="319">
        <f>IF($BI98&lt;&gt;"",IF('Capacity summary'!$D$14="Yes",IF(COUNTBLANK('Capacity summary'!$H217:$BG217)&lt;52,IF('Capacity summary'!T217&lt;&gt;"",$BI98*T98,0),T98*$BI98),T98*$BI98),0)</f>
        <v>0</v>
      </c>
      <c r="BX98" s="319">
        <f>IF($BI98&lt;&gt;"",IF('Capacity summary'!$D$14="Yes",IF(COUNTBLANK('Capacity summary'!$H217:$BG217)&lt;52,IF('Capacity summary'!U217&lt;&gt;"",$BI98*U98,0),U98*$BI98),U98*$BI98),0)</f>
        <v>0</v>
      </c>
      <c r="BY98" s="319">
        <f>IF($BI98&lt;&gt;"",IF('Capacity summary'!$D$14="Yes",IF(COUNTBLANK('Capacity summary'!$H217:$BG217)&lt;52,IF('Capacity summary'!V217&lt;&gt;"",$BI98*V98,0),V98*$BI98),V98*$BI98),0)</f>
        <v>0</v>
      </c>
      <c r="BZ98" s="319">
        <f>IF($BI98&lt;&gt;"",IF('Capacity summary'!$D$14="Yes",IF(COUNTBLANK('Capacity summary'!$H217:$BG217)&lt;52,IF('Capacity summary'!W217&lt;&gt;"",$BI98*W98,0),W98*$BI98),W98*$BI98),0)</f>
        <v>0</v>
      </c>
      <c r="CA98" s="319">
        <f>IF($BI98&lt;&gt;"",IF('Capacity summary'!$D$14="Yes",IF(COUNTBLANK('Capacity summary'!$H217:$BG217)&lt;52,IF('Capacity summary'!X217&lt;&gt;"",$BI98*X98,0),X98*$BI98),X98*$BI98),0)</f>
        <v>0</v>
      </c>
      <c r="CB98" s="319">
        <f>IF($BI98&lt;&gt;"",IF('Capacity summary'!$D$14="Yes",IF(COUNTBLANK('Capacity summary'!$H217:$BG217)&lt;52,IF('Capacity summary'!Y217&lt;&gt;"",$BI98*Y98,0),Y98*$BI98),Y98*$BI98),0)</f>
        <v>0</v>
      </c>
      <c r="CC98" s="319">
        <f>IF($BI98&lt;&gt;"",IF('Capacity summary'!$D$14="Yes",IF(COUNTBLANK('Capacity summary'!$H217:$BG217)&lt;52,IF('Capacity summary'!Z217&lt;&gt;"",$BI98*Z98,0),Z98*$BI98),Z98*$BI98),0)</f>
        <v>0</v>
      </c>
      <c r="CD98" s="319">
        <f>IF($BI98&lt;&gt;"",IF('Capacity summary'!$D$14="Yes",IF(COUNTBLANK('Capacity summary'!$H217:$BG217)&lt;52,IF('Capacity summary'!AA217&lt;&gt;"",$BI98*AA98,0),AA98*$BI98),AA98*$BI98),0)</f>
        <v>0</v>
      </c>
      <c r="CE98" s="319">
        <f>IF($BI98&lt;&gt;"",IF('Capacity summary'!$D$14="Yes",IF(COUNTBLANK('Capacity summary'!$H217:$BG217)&lt;52,IF('Capacity summary'!AB217&lt;&gt;"",$BI98*AB98,0),AB98*$BI98),AB98*$BI98),0)</f>
        <v>0</v>
      </c>
      <c r="CF98" s="319">
        <f>IF($BI98&lt;&gt;"",IF('Capacity summary'!$D$14="Yes",IF(COUNTBLANK('Capacity summary'!$H217:$BG217)&lt;52,IF('Capacity summary'!AC217&lt;&gt;"",$BI98*AC98,0),AC98*$BI98),AC98*$BI98),0)</f>
        <v>0</v>
      </c>
      <c r="CG98" s="319">
        <f>IF($BI98&lt;&gt;"",IF('Capacity summary'!$D$14="Yes",IF(COUNTBLANK('Capacity summary'!$H217:$BG217)&lt;52,IF('Capacity summary'!AD217&lt;&gt;"",$BI98*AD98,0),AD98*$BI98),AD98*$BI98),0)</f>
        <v>0</v>
      </c>
      <c r="CH98" s="319">
        <f>IF($BI98&lt;&gt;"",IF('Capacity summary'!$D$14="Yes",IF(COUNTBLANK('Capacity summary'!$H217:$BG217)&lt;52,IF('Capacity summary'!AE217&lt;&gt;"",$BI98*AE98,0),AE98*$BI98),AE98*$BI98),0)</f>
        <v>0</v>
      </c>
      <c r="CI98" s="319">
        <f>IF($BI98&lt;&gt;"",IF('Capacity summary'!$D$14="Yes",IF(COUNTBLANK('Capacity summary'!$H217:$BG217)&lt;52,IF('Capacity summary'!AF217&lt;&gt;"",$BI98*AF98,0),AF98*$BI98),AF98*$BI98),0)</f>
        <v>0</v>
      </c>
      <c r="CJ98" s="319">
        <f>IF($BI98&lt;&gt;"",IF('Capacity summary'!$D$14="Yes",IF(COUNTBLANK('Capacity summary'!$H217:$BG217)&lt;52,IF('Capacity summary'!AG217&lt;&gt;"",$BI98*AG98,0),AG98*$BI98),AG98*$BI98),0)</f>
        <v>0</v>
      </c>
      <c r="CK98" s="319">
        <f>IF($BI98&lt;&gt;"",IF('Capacity summary'!$D$14="Yes",IF(COUNTBLANK('Capacity summary'!$H217:$BG217)&lt;52,IF('Capacity summary'!AH217&lt;&gt;"",$BI98*AH98,0),AH98*$BI98),AH98*$BI98),0)</f>
        <v>0</v>
      </c>
      <c r="CL98" s="319">
        <f>IF($BI98&lt;&gt;"",IF('Capacity summary'!$D$14="Yes",IF(COUNTBLANK('Capacity summary'!$H217:$BG217)&lt;52,IF('Capacity summary'!AI217&lt;&gt;"",$BI98*AI98,0),AI98*$BI98),AI98*$BI98),0)</f>
        <v>0</v>
      </c>
      <c r="CM98" s="319">
        <f>IF($BI98&lt;&gt;"",IF('Capacity summary'!$D$14="Yes",IF(COUNTBLANK('Capacity summary'!$H217:$BG217)&lt;52,IF('Capacity summary'!AJ217&lt;&gt;"",$BI98*AJ98,0),AJ98*$BI98),AJ98*$BI98),0)</f>
        <v>0</v>
      </c>
      <c r="CN98" s="319">
        <f>IF($BI98&lt;&gt;"",IF('Capacity summary'!$D$14="Yes",IF(COUNTBLANK('Capacity summary'!$H217:$BG217)&lt;52,IF('Capacity summary'!AK217&lt;&gt;"",$BI98*AK98,0),AK98*$BI98),AK98*$BI98),0)</f>
        <v>0</v>
      </c>
      <c r="CO98" s="319">
        <f>IF($BI98&lt;&gt;"",IF('Capacity summary'!$D$14="Yes",IF(COUNTBLANK('Capacity summary'!$H217:$BG217)&lt;52,IF('Capacity summary'!AL217&lt;&gt;"",$BI98*AL98,0),AL98*$BI98),AL98*$BI98),0)</f>
        <v>0</v>
      </c>
      <c r="CP98" s="319">
        <f>IF($BI98&lt;&gt;"",IF('Capacity summary'!$D$14="Yes",IF(COUNTBLANK('Capacity summary'!$H217:$BG217)&lt;52,IF('Capacity summary'!AM217&lt;&gt;"",$BI98*AM98,0),AM98*$BI98),AM98*$BI98),0)</f>
        <v>0</v>
      </c>
      <c r="CQ98" s="319">
        <f>IF($BI98&lt;&gt;"",IF('Capacity summary'!$D$14="Yes",IF(COUNTBLANK('Capacity summary'!$H217:$BG217)&lt;52,IF('Capacity summary'!AN217&lt;&gt;"",$BI98*AN98,0),AN98*$BI98),AN98*$BI98),0)</f>
        <v>0</v>
      </c>
      <c r="CR98" s="319">
        <f>IF($BI98&lt;&gt;"",IF('Capacity summary'!$D$14="Yes",IF(COUNTBLANK('Capacity summary'!$H217:$BG217)&lt;52,IF('Capacity summary'!AO217&lt;&gt;"",$BI98*AO98,0),AO98*$BI98),AO98*$BI98),0)</f>
        <v>0</v>
      </c>
      <c r="CS98" s="319">
        <f>IF($BI98&lt;&gt;"",IF('Capacity summary'!$D$14="Yes",IF(COUNTBLANK('Capacity summary'!$H217:$BG217)&lt;52,IF('Capacity summary'!AP217&lt;&gt;"",$BI98*AP98,0),AP98*$BI98),AP98*$BI98),0)</f>
        <v>0</v>
      </c>
      <c r="CT98" s="319">
        <f>IF($BI98&lt;&gt;"",IF('Capacity summary'!$D$14="Yes",IF(COUNTBLANK('Capacity summary'!$H217:$BG217)&lt;52,IF('Capacity summary'!AQ217&lt;&gt;"",$BI98*AQ98,0),AQ98*$BI98),AQ98*$BI98),0)</f>
        <v>0</v>
      </c>
      <c r="CU98" s="319">
        <f>IF($BI98&lt;&gt;"",IF('Capacity summary'!$D$14="Yes",IF(COUNTBLANK('Capacity summary'!$H217:$BG217)&lt;52,IF('Capacity summary'!AR217&lt;&gt;"",$BI98*AR98,0),AR98*$BI98),AR98*$BI98),0)</f>
        <v>0</v>
      </c>
      <c r="CV98" s="319">
        <f>IF($BI98&lt;&gt;"",IF('Capacity summary'!$D$14="Yes",IF(COUNTBLANK('Capacity summary'!$H217:$BG217)&lt;52,IF('Capacity summary'!AS217&lt;&gt;"",$BI98*AS98,0),AS98*$BI98),AS98*$BI98),0)</f>
        <v>0</v>
      </c>
      <c r="CW98" s="319">
        <f>IF($BI98&lt;&gt;"",IF('Capacity summary'!$D$14="Yes",IF(COUNTBLANK('Capacity summary'!$H217:$BG217)&lt;52,IF('Capacity summary'!AT217&lt;&gt;"",$BI98*AT98,0),AT98*$BI98),AT98*$BI98),0)</f>
        <v>0</v>
      </c>
      <c r="CX98" s="319">
        <f>IF($BI98&lt;&gt;"",IF('Capacity summary'!$D$14="Yes",IF(COUNTBLANK('Capacity summary'!$H217:$BG217)&lt;52,IF('Capacity summary'!AU217&lt;&gt;"",$BI98*AU98,0),AU98*$BI98),AU98*$BI98),0)</f>
        <v>0</v>
      </c>
      <c r="CY98" s="319">
        <f>IF($BI98&lt;&gt;"",IF('Capacity summary'!$D$14="Yes",IF(COUNTBLANK('Capacity summary'!$H217:$BG217)&lt;52,IF('Capacity summary'!AV217&lt;&gt;"",$BI98*AV98,0),AV98*$BI98),AV98*$BI98),0)</f>
        <v>0</v>
      </c>
      <c r="CZ98" s="319">
        <f>IF($BI98&lt;&gt;"",IF('Capacity summary'!$D$14="Yes",IF(COUNTBLANK('Capacity summary'!$H217:$BG217)&lt;52,IF('Capacity summary'!AW217&lt;&gt;"",$BI98*AW98,0),AW98*$BI98),AW98*$BI98),0)</f>
        <v>0</v>
      </c>
      <c r="DA98" s="319">
        <f>IF($BI98&lt;&gt;"",IF('Capacity summary'!$D$14="Yes",IF(COUNTBLANK('Capacity summary'!$H217:$BG217)&lt;52,IF('Capacity summary'!AX217&lt;&gt;"",$BI98*AX98,0),AX98*$BI98),AX98*$BI98),0)</f>
        <v>0</v>
      </c>
      <c r="DB98" s="319">
        <f>IF($BI98&lt;&gt;"",IF('Capacity summary'!$D$14="Yes",IF(COUNTBLANK('Capacity summary'!$H217:$BG217)&lt;52,IF('Capacity summary'!AY217&lt;&gt;"",$BI98*AY98,0),AY98*$BI98),AY98*$BI98),0)</f>
        <v>0</v>
      </c>
      <c r="DC98" s="319">
        <f>IF($BI98&lt;&gt;"",IF('Capacity summary'!$D$14="Yes",IF(COUNTBLANK('Capacity summary'!$H217:$BG217)&lt;52,IF('Capacity summary'!AZ217&lt;&gt;"",$BI98*AZ98,0),AZ98*$BI98),AZ98*$BI98),0)</f>
        <v>0</v>
      </c>
      <c r="DD98" s="319">
        <f>IF($BI98&lt;&gt;"",IF('Capacity summary'!$D$14="Yes",IF(COUNTBLANK('Capacity summary'!$H217:$BG217)&lt;52,IF('Capacity summary'!BA217&lt;&gt;"",$BI98*BA98,0),BA98*$BI98),BA98*$BI98),0)</f>
        <v>0</v>
      </c>
      <c r="DE98" s="319">
        <f>IF($BI98&lt;&gt;"",IF('Capacity summary'!$D$14="Yes",IF(COUNTBLANK('Capacity summary'!$H217:$BG217)&lt;52,IF('Capacity summary'!BB217&lt;&gt;"",$BI98*BB98,0),BB98*$BI98),BB98*$BI98),0)</f>
        <v>0</v>
      </c>
      <c r="DF98" s="319">
        <f>IF($BI98&lt;&gt;"",IF('Capacity summary'!$D$14="Yes",IF(COUNTBLANK('Capacity summary'!$H217:$BG217)&lt;52,IF('Capacity summary'!BC217&lt;&gt;"",$BI98*BC98,0),BC98*$BI98),BC98*$BI98),0)</f>
        <v>0</v>
      </c>
      <c r="DG98" s="319">
        <f>IF($BI98&lt;&gt;"",IF('Capacity summary'!$D$14="Yes",IF(COUNTBLANK('Capacity summary'!$H217:$BG217)&lt;52,IF('Capacity summary'!BD217&lt;&gt;"",$BI98*BD98,0),BD98*$BI98),BD98*$BI98),0)</f>
        <v>0</v>
      </c>
      <c r="DH98" s="319">
        <f>IF($BI98&lt;&gt;"",IF('Capacity summary'!$D$14="Yes",IF(COUNTBLANK('Capacity summary'!$H217:$BG217)&lt;52,IF('Capacity summary'!BE217&lt;&gt;"",$BI98*BE98,0),BE98*$BI98),BE98*$BI98),0)</f>
        <v>0</v>
      </c>
      <c r="DI98" s="319">
        <f>IF($BI98&lt;&gt;"",IF('Capacity summary'!$D$14="Yes",IF(COUNTBLANK('Capacity summary'!$H217:$BG217)&lt;52,IF('Capacity summary'!BF217&lt;&gt;"",$BI98*BF98,0),BF98*$BI98),BF98*$BI98),0)</f>
        <v>0</v>
      </c>
      <c r="DJ98" s="319">
        <f>IF($BI98&lt;&gt;"",IF('Capacity summary'!$D$14="Yes",IF(COUNTBLANK('Capacity summary'!$H217:$BG217)&lt;52,IF('Capacity summary'!BG217&lt;&gt;"",$BI98*BG98,0),BG98*$BI98),BG98*$BI98),0)</f>
        <v>0</v>
      </c>
      <c r="DK98" s="5">
        <f t="shared" si="3"/>
        <v>0</v>
      </c>
      <c r="DL98" s="5" t="str">
        <f>Capacity!H110</f>
        <v/>
      </c>
    </row>
    <row r="99" spans="2:116" x14ac:dyDescent="0.2">
      <c r="B99" s="68"/>
      <c r="C99" s="68" t="str">
        <f>ROW(A95)&amp;". "&amp;Capacity!B111</f>
        <v xml:space="preserve">95. </v>
      </c>
      <c r="D99" s="68">
        <f>'Capacity setup'!C106</f>
        <v>0</v>
      </c>
      <c r="E99" s="68">
        <f>'Capacity setup'!D106</f>
        <v>0</v>
      </c>
      <c r="F99" s="68">
        <f>'Capacity setup'!E106</f>
        <v>0</v>
      </c>
      <c r="H99" s="68">
        <f ca="1">IF(AND(SUMIF(Capacity_Resource,$D99,'Critical resources (hide)'!U$6:U$105)+SUMIF(Capacity_Resource,$E99,'Critical resources (hide)'!U$6:U$105)+SUMIF(Capacity_Resource,$F99,'Critical resources (hide)'!U$6:U$105)&gt;0,$E$1=2),0,1)</f>
        <v>1</v>
      </c>
      <c r="I99" s="68">
        <f ca="1">IF(AND(SUMIF(Capacity_Resource,$D99,'Critical resources (hide)'!V$6:V$105)+SUMIF(Capacity_Resource,$E99,'Critical resources (hide)'!V$6:V$105)+SUMIF(Capacity_Resource,$F99,'Critical resources (hide)'!V$6:V$105)&gt;0,$E$1=2),0,1)</f>
        <v>1</v>
      </c>
      <c r="J99" s="68">
        <f ca="1">IF(AND(SUMIF(Capacity_Resource,$D99,'Critical resources (hide)'!W$6:W$105)+SUMIF(Capacity_Resource,$E99,'Critical resources (hide)'!W$6:W$105)+SUMIF(Capacity_Resource,$F99,'Critical resources (hide)'!W$6:W$105)&gt;0,$E$1=2),0,1)</f>
        <v>1</v>
      </c>
      <c r="K99" s="68">
        <f ca="1">IF(AND(SUMIF(Capacity_Resource,$D99,'Critical resources (hide)'!X$6:X$105)+SUMIF(Capacity_Resource,$E99,'Critical resources (hide)'!X$6:X$105)+SUMIF(Capacity_Resource,$F99,'Critical resources (hide)'!X$6:X$105)&gt;0,$E$1=2),0,1)</f>
        <v>1</v>
      </c>
      <c r="L99" s="68">
        <f ca="1">IF(AND(SUMIF(Capacity_Resource,$D99,'Critical resources (hide)'!Y$6:Y$105)+SUMIF(Capacity_Resource,$E99,'Critical resources (hide)'!Y$6:Y$105)+SUMIF(Capacity_Resource,$F99,'Critical resources (hide)'!Y$6:Y$105)&gt;0,$E$1=2),0,1)</f>
        <v>1</v>
      </c>
      <c r="M99" s="68">
        <f ca="1">IF(AND(SUMIF(Capacity_Resource,$D99,'Critical resources (hide)'!Z$6:Z$105)+SUMIF(Capacity_Resource,$E99,'Critical resources (hide)'!Z$6:Z$105)+SUMIF(Capacity_Resource,$F99,'Critical resources (hide)'!Z$6:Z$105)&gt;0,$E$1=2),0,1)</f>
        <v>1</v>
      </c>
      <c r="N99" s="68">
        <f ca="1">IF(AND(SUMIF(Capacity_Resource,$D99,'Critical resources (hide)'!AA$6:AA$105)+SUMIF(Capacity_Resource,$E99,'Critical resources (hide)'!AA$6:AA$105)+SUMIF(Capacity_Resource,$F99,'Critical resources (hide)'!AA$6:AA$105)&gt;0,$E$1=2),0,1)</f>
        <v>1</v>
      </c>
      <c r="O99" s="68">
        <f ca="1">IF(AND(SUMIF(Capacity_Resource,$D99,'Critical resources (hide)'!AB$6:AB$105)+SUMIF(Capacity_Resource,$E99,'Critical resources (hide)'!AB$6:AB$105)+SUMIF(Capacity_Resource,$F99,'Critical resources (hide)'!AB$6:AB$105)&gt;0,$E$1=2),0,1)</f>
        <v>1</v>
      </c>
      <c r="P99" s="68">
        <f ca="1">IF(AND(SUMIF(Capacity_Resource,$D99,'Critical resources (hide)'!AC$6:AC$105)+SUMIF(Capacity_Resource,$E99,'Critical resources (hide)'!AC$6:AC$105)+SUMIF(Capacity_Resource,$F99,'Critical resources (hide)'!AC$6:AC$105)&gt;0,$E$1=2),0,1)</f>
        <v>1</v>
      </c>
      <c r="Q99" s="68">
        <f ca="1">IF(AND(SUMIF(Capacity_Resource,$D99,'Critical resources (hide)'!AD$6:AD$105)+SUMIF(Capacity_Resource,$E99,'Critical resources (hide)'!AD$6:AD$105)+SUMIF(Capacity_Resource,$F99,'Critical resources (hide)'!AD$6:AD$105)&gt;0,$E$1=2),0,1)</f>
        <v>1</v>
      </c>
      <c r="R99" s="68">
        <f ca="1">IF(AND(SUMIF(Capacity_Resource,$D99,'Critical resources (hide)'!AE$6:AE$105)+SUMIF(Capacity_Resource,$E99,'Critical resources (hide)'!AE$6:AE$105)+SUMIF(Capacity_Resource,$F99,'Critical resources (hide)'!AE$6:AE$105)&gt;0,$E$1=2),0,1)</f>
        <v>1</v>
      </c>
      <c r="S99" s="68">
        <f ca="1">IF(AND(SUMIF(Capacity_Resource,$D99,'Critical resources (hide)'!AF$6:AF$105)+SUMIF(Capacity_Resource,$E99,'Critical resources (hide)'!AF$6:AF$105)+SUMIF(Capacity_Resource,$F99,'Critical resources (hide)'!AF$6:AF$105)&gt;0,$E$1=2),0,1)</f>
        <v>1</v>
      </c>
      <c r="T99" s="68">
        <f ca="1">IF(AND(SUMIF(Capacity_Resource,$D99,'Critical resources (hide)'!AG$6:AG$105)+SUMIF(Capacity_Resource,$E99,'Critical resources (hide)'!AG$6:AG$105)+SUMIF(Capacity_Resource,$F99,'Critical resources (hide)'!AG$6:AG$105)&gt;0,$E$1=2),0,1)</f>
        <v>1</v>
      </c>
      <c r="U99" s="68">
        <f ca="1">IF(AND(SUMIF(Capacity_Resource,$D99,'Critical resources (hide)'!AH$6:AH$105)+SUMIF(Capacity_Resource,$E99,'Critical resources (hide)'!AH$6:AH$105)+SUMIF(Capacity_Resource,$F99,'Critical resources (hide)'!AH$6:AH$105)&gt;0,$E$1=2),0,1)</f>
        <v>1</v>
      </c>
      <c r="V99" s="68">
        <f ca="1">IF(AND(SUMIF(Capacity_Resource,$D99,'Critical resources (hide)'!AI$6:AI$105)+SUMIF(Capacity_Resource,$E99,'Critical resources (hide)'!AI$6:AI$105)+SUMIF(Capacity_Resource,$F99,'Critical resources (hide)'!AI$6:AI$105)&gt;0,$E$1=2),0,1)</f>
        <v>1</v>
      </c>
      <c r="W99" s="68">
        <f ca="1">IF(AND(SUMIF(Capacity_Resource,$D99,'Critical resources (hide)'!AJ$6:AJ$105)+SUMIF(Capacity_Resource,$E99,'Critical resources (hide)'!AJ$6:AJ$105)+SUMIF(Capacity_Resource,$F99,'Critical resources (hide)'!AJ$6:AJ$105)&gt;0,$E$1=2),0,1)</f>
        <v>1</v>
      </c>
      <c r="X99" s="68">
        <f ca="1">IF(AND(SUMIF(Capacity_Resource,$D99,'Critical resources (hide)'!AK$6:AK$105)+SUMIF(Capacity_Resource,$E99,'Critical resources (hide)'!AK$6:AK$105)+SUMIF(Capacity_Resource,$F99,'Critical resources (hide)'!AK$6:AK$105)&gt;0,$E$1=2),0,1)</f>
        <v>1</v>
      </c>
      <c r="Y99" s="68">
        <f ca="1">IF(AND(SUMIF(Capacity_Resource,$D99,'Critical resources (hide)'!AL$6:AL$105)+SUMIF(Capacity_Resource,$E99,'Critical resources (hide)'!AL$6:AL$105)+SUMIF(Capacity_Resource,$F99,'Critical resources (hide)'!AL$6:AL$105)&gt;0,$E$1=2),0,1)</f>
        <v>1</v>
      </c>
      <c r="Z99" s="68">
        <f ca="1">IF(AND(SUMIF(Capacity_Resource,$D99,'Critical resources (hide)'!AM$6:AM$105)+SUMIF(Capacity_Resource,$E99,'Critical resources (hide)'!AM$6:AM$105)+SUMIF(Capacity_Resource,$F99,'Critical resources (hide)'!AM$6:AM$105)&gt;0,$E$1=2),0,1)</f>
        <v>1</v>
      </c>
      <c r="AA99" s="68">
        <f ca="1">IF(AND(SUMIF(Capacity_Resource,$D99,'Critical resources (hide)'!AN$6:AN$105)+SUMIF(Capacity_Resource,$E99,'Critical resources (hide)'!AN$6:AN$105)+SUMIF(Capacity_Resource,$F99,'Critical resources (hide)'!AN$6:AN$105)&gt;0,$E$1=2),0,1)</f>
        <v>1</v>
      </c>
      <c r="AB99" s="68">
        <f ca="1">IF(AND(SUMIF(Capacity_Resource,$D99,'Critical resources (hide)'!AO$6:AO$105)+SUMIF(Capacity_Resource,$E99,'Critical resources (hide)'!AO$6:AO$105)+SUMIF(Capacity_Resource,$F99,'Critical resources (hide)'!AO$6:AO$105)&gt;0,$E$1=2),0,1)</f>
        <v>1</v>
      </c>
      <c r="AC99" s="68">
        <f ca="1">IF(AND(SUMIF(Capacity_Resource,$D99,'Critical resources (hide)'!AP$6:AP$105)+SUMIF(Capacity_Resource,$E99,'Critical resources (hide)'!AP$6:AP$105)+SUMIF(Capacity_Resource,$F99,'Critical resources (hide)'!AP$6:AP$105)&gt;0,$E$1=2),0,1)</f>
        <v>1</v>
      </c>
      <c r="AD99" s="68">
        <f ca="1">IF(AND(SUMIF(Capacity_Resource,$D99,'Critical resources (hide)'!AQ$6:AQ$105)+SUMIF(Capacity_Resource,$E99,'Critical resources (hide)'!AQ$6:AQ$105)+SUMIF(Capacity_Resource,$F99,'Critical resources (hide)'!AQ$6:AQ$105)&gt;0,$E$1=2),0,1)</f>
        <v>1</v>
      </c>
      <c r="AE99" s="68">
        <f ca="1">IF(AND(SUMIF(Capacity_Resource,$D99,'Critical resources (hide)'!AR$6:AR$105)+SUMIF(Capacity_Resource,$E99,'Critical resources (hide)'!AR$6:AR$105)+SUMIF(Capacity_Resource,$F99,'Critical resources (hide)'!AR$6:AR$105)&gt;0,$E$1=2),0,1)</f>
        <v>1</v>
      </c>
      <c r="AF99" s="68">
        <f ca="1">IF(AND(SUMIF(Capacity_Resource,$D99,'Critical resources (hide)'!AS$6:AS$105)+SUMIF(Capacity_Resource,$E99,'Critical resources (hide)'!AS$6:AS$105)+SUMIF(Capacity_Resource,$F99,'Critical resources (hide)'!AS$6:AS$105)&gt;0,$E$1=2),0,1)</f>
        <v>1</v>
      </c>
      <c r="AG99" s="68">
        <f ca="1">IF(AND(SUMIF(Capacity_Resource,$D99,'Critical resources (hide)'!AT$6:AT$105)+SUMIF(Capacity_Resource,$E99,'Critical resources (hide)'!AT$6:AT$105)+SUMIF(Capacity_Resource,$F99,'Critical resources (hide)'!AT$6:AT$105)&gt;0,$E$1=2),0,1)</f>
        <v>1</v>
      </c>
      <c r="AH99" s="68">
        <f ca="1">IF(AND(SUMIF(Capacity_Resource,$D99,'Critical resources (hide)'!AU$6:AU$105)+SUMIF(Capacity_Resource,$E99,'Critical resources (hide)'!AU$6:AU$105)+SUMIF(Capacity_Resource,$F99,'Critical resources (hide)'!AU$6:AU$105)&gt;0,$E$1=2),0,1)</f>
        <v>1</v>
      </c>
      <c r="AI99" s="68">
        <f ca="1">IF(AND(SUMIF(Capacity_Resource,$D99,'Critical resources (hide)'!AV$6:AV$105)+SUMIF(Capacity_Resource,$E99,'Critical resources (hide)'!AV$6:AV$105)+SUMIF(Capacity_Resource,$F99,'Critical resources (hide)'!AV$6:AV$105)&gt;0,$E$1=2),0,1)</f>
        <v>1</v>
      </c>
      <c r="AJ99" s="68">
        <f ca="1">IF(AND(SUMIF(Capacity_Resource,$D99,'Critical resources (hide)'!AW$6:AW$105)+SUMIF(Capacity_Resource,$E99,'Critical resources (hide)'!AW$6:AW$105)+SUMIF(Capacity_Resource,$F99,'Critical resources (hide)'!AW$6:AW$105)&gt;0,$E$1=2),0,1)</f>
        <v>1</v>
      </c>
      <c r="AK99" s="68">
        <f ca="1">IF(AND(SUMIF(Capacity_Resource,$D99,'Critical resources (hide)'!AX$6:AX$105)+SUMIF(Capacity_Resource,$E99,'Critical resources (hide)'!AX$6:AX$105)+SUMIF(Capacity_Resource,$F99,'Critical resources (hide)'!AX$6:AX$105)&gt;0,$E$1=2),0,1)</f>
        <v>1</v>
      </c>
      <c r="AL99" s="68">
        <f ca="1">IF(AND(SUMIF(Capacity_Resource,$D99,'Critical resources (hide)'!AY$6:AY$105)+SUMIF(Capacity_Resource,$E99,'Critical resources (hide)'!AY$6:AY$105)+SUMIF(Capacity_Resource,$F99,'Critical resources (hide)'!AY$6:AY$105)&gt;0,$E$1=2),0,1)</f>
        <v>1</v>
      </c>
      <c r="AM99" s="68">
        <f ca="1">IF(AND(SUMIF(Capacity_Resource,$D99,'Critical resources (hide)'!AZ$6:AZ$105)+SUMIF(Capacity_Resource,$E99,'Critical resources (hide)'!AZ$6:AZ$105)+SUMIF(Capacity_Resource,$F99,'Critical resources (hide)'!AZ$6:AZ$105)&gt;0,$E$1=2),0,1)</f>
        <v>1</v>
      </c>
      <c r="AN99" s="68">
        <f ca="1">IF(AND(SUMIF(Capacity_Resource,$D99,'Critical resources (hide)'!BA$6:BA$105)+SUMIF(Capacity_Resource,$E99,'Critical resources (hide)'!BA$6:BA$105)+SUMIF(Capacity_Resource,$F99,'Critical resources (hide)'!BA$6:BA$105)&gt;0,$E$1=2),0,1)</f>
        <v>1</v>
      </c>
      <c r="AO99" s="68">
        <f ca="1">IF(AND(SUMIF(Capacity_Resource,$D99,'Critical resources (hide)'!BB$6:BB$105)+SUMIF(Capacity_Resource,$E99,'Critical resources (hide)'!BB$6:BB$105)+SUMIF(Capacity_Resource,$F99,'Critical resources (hide)'!BB$6:BB$105)&gt;0,$E$1=2),0,1)</f>
        <v>1</v>
      </c>
      <c r="AP99" s="68">
        <f ca="1">IF(AND(SUMIF(Capacity_Resource,$D99,'Critical resources (hide)'!BC$6:BC$105)+SUMIF(Capacity_Resource,$E99,'Critical resources (hide)'!BC$6:BC$105)+SUMIF(Capacity_Resource,$F99,'Critical resources (hide)'!BC$6:BC$105)&gt;0,$E$1=2),0,1)</f>
        <v>1</v>
      </c>
      <c r="AQ99" s="68">
        <f ca="1">IF(AND(SUMIF(Capacity_Resource,$D99,'Critical resources (hide)'!BD$6:BD$105)+SUMIF(Capacity_Resource,$E99,'Critical resources (hide)'!BD$6:BD$105)+SUMIF(Capacity_Resource,$F99,'Critical resources (hide)'!BD$6:BD$105)&gt;0,$E$1=2),0,1)</f>
        <v>1</v>
      </c>
      <c r="AR99" s="68">
        <f ca="1">IF(AND(SUMIF(Capacity_Resource,$D99,'Critical resources (hide)'!BE$6:BE$105)+SUMIF(Capacity_Resource,$E99,'Critical resources (hide)'!BE$6:BE$105)+SUMIF(Capacity_Resource,$F99,'Critical resources (hide)'!BE$6:BE$105)&gt;0,$E$1=2),0,1)</f>
        <v>1</v>
      </c>
      <c r="AS99" s="68">
        <f ca="1">IF(AND(SUMIF(Capacity_Resource,$D99,'Critical resources (hide)'!BF$6:BF$105)+SUMIF(Capacity_Resource,$E99,'Critical resources (hide)'!BF$6:BF$105)+SUMIF(Capacity_Resource,$F99,'Critical resources (hide)'!BF$6:BF$105)&gt;0,$E$1=2),0,1)</f>
        <v>1</v>
      </c>
      <c r="AT99" s="68">
        <f ca="1">IF(AND(SUMIF(Capacity_Resource,$D99,'Critical resources (hide)'!BG$6:BG$105)+SUMIF(Capacity_Resource,$E99,'Critical resources (hide)'!BG$6:BG$105)+SUMIF(Capacity_Resource,$F99,'Critical resources (hide)'!BG$6:BG$105)&gt;0,$E$1=2),0,1)</f>
        <v>1</v>
      </c>
      <c r="AU99" s="68">
        <f ca="1">IF(AND(SUMIF(Capacity_Resource,$D99,'Critical resources (hide)'!BH$6:BH$105)+SUMIF(Capacity_Resource,$E99,'Critical resources (hide)'!BH$6:BH$105)+SUMIF(Capacity_Resource,$F99,'Critical resources (hide)'!BH$6:BH$105)&gt;0,$E$1=2),0,1)</f>
        <v>1</v>
      </c>
      <c r="AV99" s="68">
        <f ca="1">IF(AND(SUMIF(Capacity_Resource,$D99,'Critical resources (hide)'!BI$6:BI$105)+SUMIF(Capacity_Resource,$E99,'Critical resources (hide)'!BI$6:BI$105)+SUMIF(Capacity_Resource,$F99,'Critical resources (hide)'!BI$6:BI$105)&gt;0,$E$1=2),0,1)</f>
        <v>1</v>
      </c>
      <c r="AW99" s="68">
        <f ca="1">IF(AND(SUMIF(Capacity_Resource,$D99,'Critical resources (hide)'!BJ$6:BJ$105)+SUMIF(Capacity_Resource,$E99,'Critical resources (hide)'!BJ$6:BJ$105)+SUMIF(Capacity_Resource,$F99,'Critical resources (hide)'!BJ$6:BJ$105)&gt;0,$E$1=2),0,1)</f>
        <v>1</v>
      </c>
      <c r="AX99" s="68">
        <f ca="1">IF(AND(SUMIF(Capacity_Resource,$D99,'Critical resources (hide)'!BK$6:BK$105)+SUMIF(Capacity_Resource,$E99,'Critical resources (hide)'!BK$6:BK$105)+SUMIF(Capacity_Resource,$F99,'Critical resources (hide)'!BK$6:BK$105)&gt;0,$E$1=2),0,1)</f>
        <v>1</v>
      </c>
      <c r="AY99" s="68">
        <f ca="1">IF(AND(SUMIF(Capacity_Resource,$D99,'Critical resources (hide)'!BL$6:BL$105)+SUMIF(Capacity_Resource,$E99,'Critical resources (hide)'!BL$6:BL$105)+SUMIF(Capacity_Resource,$F99,'Critical resources (hide)'!BL$6:BL$105)&gt;0,$E$1=2),0,1)</f>
        <v>1</v>
      </c>
      <c r="AZ99" s="68">
        <f ca="1">IF(AND(SUMIF(Capacity_Resource,$D99,'Critical resources (hide)'!BM$6:BM$105)+SUMIF(Capacity_Resource,$E99,'Critical resources (hide)'!BM$6:BM$105)+SUMIF(Capacity_Resource,$F99,'Critical resources (hide)'!BM$6:BM$105)&gt;0,$E$1=2),0,1)</f>
        <v>1</v>
      </c>
      <c r="BA99" s="68">
        <f ca="1">IF(AND(SUMIF(Capacity_Resource,$D99,'Critical resources (hide)'!BN$6:BN$105)+SUMIF(Capacity_Resource,$E99,'Critical resources (hide)'!BN$6:BN$105)+SUMIF(Capacity_Resource,$F99,'Critical resources (hide)'!BN$6:BN$105)&gt;0,$E$1=2),0,1)</f>
        <v>1</v>
      </c>
      <c r="BB99" s="68">
        <f ca="1">IF(AND(SUMIF(Capacity_Resource,$D99,'Critical resources (hide)'!BO$6:BO$105)+SUMIF(Capacity_Resource,$E99,'Critical resources (hide)'!BO$6:BO$105)+SUMIF(Capacity_Resource,$F99,'Critical resources (hide)'!BO$6:BO$105)&gt;0,$E$1=2),0,1)</f>
        <v>1</v>
      </c>
      <c r="BC99" s="68">
        <f ca="1">IF(AND(SUMIF(Capacity_Resource,$D99,'Critical resources (hide)'!BP$6:BP$105)+SUMIF(Capacity_Resource,$E99,'Critical resources (hide)'!BP$6:BP$105)+SUMIF(Capacity_Resource,$F99,'Critical resources (hide)'!BP$6:BP$105)&gt;0,$E$1=2),0,1)</f>
        <v>1</v>
      </c>
      <c r="BD99" s="68">
        <f ca="1">IF(AND(SUMIF(Capacity_Resource,$D99,'Critical resources (hide)'!BQ$6:BQ$105)+SUMIF(Capacity_Resource,$E99,'Critical resources (hide)'!BQ$6:BQ$105)+SUMIF(Capacity_Resource,$F99,'Critical resources (hide)'!BQ$6:BQ$105)&gt;0,$E$1=2),0,1)</f>
        <v>1</v>
      </c>
      <c r="BE99" s="68">
        <f ca="1">IF(AND(SUMIF(Capacity_Resource,$D99,'Critical resources (hide)'!BR$6:BR$105)+SUMIF(Capacity_Resource,$E99,'Critical resources (hide)'!BR$6:BR$105)+SUMIF(Capacity_Resource,$F99,'Critical resources (hide)'!BR$6:BR$105)&gt;0,$E$1=2),0,1)</f>
        <v>1</v>
      </c>
      <c r="BF99" s="68">
        <f ca="1">IF(AND(SUMIF(Capacity_Resource,$D99,'Critical resources (hide)'!BS$6:BS$105)+SUMIF(Capacity_Resource,$E99,'Critical resources (hide)'!BS$6:BS$105)+SUMIF(Capacity_Resource,$F99,'Critical resources (hide)'!BS$6:BS$105)&gt;0,$E$1=2),0,1)</f>
        <v>1</v>
      </c>
      <c r="BG99" s="68">
        <f ca="1">IF(AND(SUMIF(Capacity_Resource,$D99,'Critical resources (hide)'!BT$6:BT$105)+SUMIF(Capacity_Resource,$E99,'Critical resources (hide)'!BT$6:BT$105)+SUMIF(Capacity_Resource,$F99,'Critical resources (hide)'!BT$6:BT$105)&gt;0,$E$1=2),0,1)</f>
        <v>1</v>
      </c>
      <c r="BH99" s="68">
        <f>IF(ROW(C95)&lt;=Capacity!$A$16,IF('Capacity summary'!$D$14="No",SUM(H99:BG99),'Capacity summary'!$E218),0)</f>
        <v>0</v>
      </c>
      <c r="BI99" s="5" t="str">
        <f>IF(BH99&gt;0,IF(BH99&lt;Capacity!E111,Capacity!F111,Capacity!H111/'Capacity calculation (hide)'!BH99),"")</f>
        <v/>
      </c>
      <c r="BK99" s="319">
        <f>IF($BI99&lt;&gt;"",IF('Capacity summary'!$D$14="Yes",IF(COUNTBLANK('Capacity summary'!$H218:$BG218)&lt;52,IF('Capacity summary'!H218&lt;&gt;"",$BI99*H99,0),H99*$BI99),H99*$BI99),0)</f>
        <v>0</v>
      </c>
      <c r="BL99" s="319">
        <f>IF($BI99&lt;&gt;"",IF('Capacity summary'!$D$14="Yes",IF(COUNTBLANK('Capacity summary'!$H218:$BG218)&lt;52,IF('Capacity summary'!I218&lt;&gt;"",$BI99*I99,0),I99*$BI99),I99*$BI99),0)</f>
        <v>0</v>
      </c>
      <c r="BM99" s="319">
        <f>IF($BI99&lt;&gt;"",IF('Capacity summary'!$D$14="Yes",IF(COUNTBLANK('Capacity summary'!$H218:$BG218)&lt;52,IF('Capacity summary'!J218&lt;&gt;"",$BI99*J99,0),J99*$BI99),J99*$BI99),0)</f>
        <v>0</v>
      </c>
      <c r="BN99" s="319">
        <f>IF($BI99&lt;&gt;"",IF('Capacity summary'!$D$14="Yes",IF(COUNTBLANK('Capacity summary'!$H218:$BG218)&lt;52,IF('Capacity summary'!K218&lt;&gt;"",$BI99*K99,0),K99*$BI99),K99*$BI99),0)</f>
        <v>0</v>
      </c>
      <c r="BO99" s="319">
        <f>IF($BI99&lt;&gt;"",IF('Capacity summary'!$D$14="Yes",IF(COUNTBLANK('Capacity summary'!$H218:$BG218)&lt;52,IF('Capacity summary'!L218&lt;&gt;"",$BI99*L99,0),L99*$BI99),L99*$BI99),0)</f>
        <v>0</v>
      </c>
      <c r="BP99" s="319">
        <f>IF($BI99&lt;&gt;"",IF('Capacity summary'!$D$14="Yes",IF(COUNTBLANK('Capacity summary'!$H218:$BG218)&lt;52,IF('Capacity summary'!M218&lt;&gt;"",$BI99*M99,0),M99*$BI99),M99*$BI99),0)</f>
        <v>0</v>
      </c>
      <c r="BQ99" s="319">
        <f>IF($BI99&lt;&gt;"",IF('Capacity summary'!$D$14="Yes",IF(COUNTBLANK('Capacity summary'!$H218:$BG218)&lt;52,IF('Capacity summary'!N218&lt;&gt;"",$BI99*N99,0),N99*$BI99),N99*$BI99),0)</f>
        <v>0</v>
      </c>
      <c r="BR99" s="319">
        <f>IF($BI99&lt;&gt;"",IF('Capacity summary'!$D$14="Yes",IF(COUNTBLANK('Capacity summary'!$H218:$BG218)&lt;52,IF('Capacity summary'!O218&lt;&gt;"",$BI99*O99,0),O99*$BI99),O99*$BI99),0)</f>
        <v>0</v>
      </c>
      <c r="BS99" s="319">
        <f>IF($BI99&lt;&gt;"",IF('Capacity summary'!$D$14="Yes",IF(COUNTBLANK('Capacity summary'!$H218:$BG218)&lt;52,IF('Capacity summary'!P218&lt;&gt;"",$BI99*P99,0),P99*$BI99),P99*$BI99),0)</f>
        <v>0</v>
      </c>
      <c r="BT99" s="319">
        <f>IF($BI99&lt;&gt;"",IF('Capacity summary'!$D$14="Yes",IF(COUNTBLANK('Capacity summary'!$H218:$BG218)&lt;52,IF('Capacity summary'!Q218&lt;&gt;"",$BI99*Q99,0),Q99*$BI99),Q99*$BI99),0)</f>
        <v>0</v>
      </c>
      <c r="BU99" s="319">
        <f>IF($BI99&lt;&gt;"",IF('Capacity summary'!$D$14="Yes",IF(COUNTBLANK('Capacity summary'!$H218:$BG218)&lt;52,IF('Capacity summary'!R218&lt;&gt;"",$BI99*R99,0),R99*$BI99),R99*$BI99),0)</f>
        <v>0</v>
      </c>
      <c r="BV99" s="319">
        <f>IF($BI99&lt;&gt;"",IF('Capacity summary'!$D$14="Yes",IF(COUNTBLANK('Capacity summary'!$H218:$BG218)&lt;52,IF('Capacity summary'!S218&lt;&gt;"",$BI99*S99,0),S99*$BI99),S99*$BI99),0)</f>
        <v>0</v>
      </c>
      <c r="BW99" s="319">
        <f>IF($BI99&lt;&gt;"",IF('Capacity summary'!$D$14="Yes",IF(COUNTBLANK('Capacity summary'!$H218:$BG218)&lt;52,IF('Capacity summary'!T218&lt;&gt;"",$BI99*T99,0),T99*$BI99),T99*$BI99),0)</f>
        <v>0</v>
      </c>
      <c r="BX99" s="319">
        <f>IF($BI99&lt;&gt;"",IF('Capacity summary'!$D$14="Yes",IF(COUNTBLANK('Capacity summary'!$H218:$BG218)&lt;52,IF('Capacity summary'!U218&lt;&gt;"",$BI99*U99,0),U99*$BI99),U99*$BI99),0)</f>
        <v>0</v>
      </c>
      <c r="BY99" s="319">
        <f>IF($BI99&lt;&gt;"",IF('Capacity summary'!$D$14="Yes",IF(COUNTBLANK('Capacity summary'!$H218:$BG218)&lt;52,IF('Capacity summary'!V218&lt;&gt;"",$BI99*V99,0),V99*$BI99),V99*$BI99),0)</f>
        <v>0</v>
      </c>
      <c r="BZ99" s="319">
        <f>IF($BI99&lt;&gt;"",IF('Capacity summary'!$D$14="Yes",IF(COUNTBLANK('Capacity summary'!$H218:$BG218)&lt;52,IF('Capacity summary'!W218&lt;&gt;"",$BI99*W99,0),W99*$BI99),W99*$BI99),0)</f>
        <v>0</v>
      </c>
      <c r="CA99" s="319">
        <f>IF($BI99&lt;&gt;"",IF('Capacity summary'!$D$14="Yes",IF(COUNTBLANK('Capacity summary'!$H218:$BG218)&lt;52,IF('Capacity summary'!X218&lt;&gt;"",$BI99*X99,0),X99*$BI99),X99*$BI99),0)</f>
        <v>0</v>
      </c>
      <c r="CB99" s="319">
        <f>IF($BI99&lt;&gt;"",IF('Capacity summary'!$D$14="Yes",IF(COUNTBLANK('Capacity summary'!$H218:$BG218)&lt;52,IF('Capacity summary'!Y218&lt;&gt;"",$BI99*Y99,0),Y99*$BI99),Y99*$BI99),0)</f>
        <v>0</v>
      </c>
      <c r="CC99" s="319">
        <f>IF($BI99&lt;&gt;"",IF('Capacity summary'!$D$14="Yes",IF(COUNTBLANK('Capacity summary'!$H218:$BG218)&lt;52,IF('Capacity summary'!Z218&lt;&gt;"",$BI99*Z99,0),Z99*$BI99),Z99*$BI99),0)</f>
        <v>0</v>
      </c>
      <c r="CD99" s="319">
        <f>IF($BI99&lt;&gt;"",IF('Capacity summary'!$D$14="Yes",IF(COUNTBLANK('Capacity summary'!$H218:$BG218)&lt;52,IF('Capacity summary'!AA218&lt;&gt;"",$BI99*AA99,0),AA99*$BI99),AA99*$BI99),0)</f>
        <v>0</v>
      </c>
      <c r="CE99" s="319">
        <f>IF($BI99&lt;&gt;"",IF('Capacity summary'!$D$14="Yes",IF(COUNTBLANK('Capacity summary'!$H218:$BG218)&lt;52,IF('Capacity summary'!AB218&lt;&gt;"",$BI99*AB99,0),AB99*$BI99),AB99*$BI99),0)</f>
        <v>0</v>
      </c>
      <c r="CF99" s="319">
        <f>IF($BI99&lt;&gt;"",IF('Capacity summary'!$D$14="Yes",IF(COUNTBLANK('Capacity summary'!$H218:$BG218)&lt;52,IF('Capacity summary'!AC218&lt;&gt;"",$BI99*AC99,0),AC99*$BI99),AC99*$BI99),0)</f>
        <v>0</v>
      </c>
      <c r="CG99" s="319">
        <f>IF($BI99&lt;&gt;"",IF('Capacity summary'!$D$14="Yes",IF(COUNTBLANK('Capacity summary'!$H218:$BG218)&lt;52,IF('Capacity summary'!AD218&lt;&gt;"",$BI99*AD99,0),AD99*$BI99),AD99*$BI99),0)</f>
        <v>0</v>
      </c>
      <c r="CH99" s="319">
        <f>IF($BI99&lt;&gt;"",IF('Capacity summary'!$D$14="Yes",IF(COUNTBLANK('Capacity summary'!$H218:$BG218)&lt;52,IF('Capacity summary'!AE218&lt;&gt;"",$BI99*AE99,0),AE99*$BI99),AE99*$BI99),0)</f>
        <v>0</v>
      </c>
      <c r="CI99" s="319">
        <f>IF($BI99&lt;&gt;"",IF('Capacity summary'!$D$14="Yes",IF(COUNTBLANK('Capacity summary'!$H218:$BG218)&lt;52,IF('Capacity summary'!AF218&lt;&gt;"",$BI99*AF99,0),AF99*$BI99),AF99*$BI99),0)</f>
        <v>0</v>
      </c>
      <c r="CJ99" s="319">
        <f>IF($BI99&lt;&gt;"",IF('Capacity summary'!$D$14="Yes",IF(COUNTBLANK('Capacity summary'!$H218:$BG218)&lt;52,IF('Capacity summary'!AG218&lt;&gt;"",$BI99*AG99,0),AG99*$BI99),AG99*$BI99),0)</f>
        <v>0</v>
      </c>
      <c r="CK99" s="319">
        <f>IF($BI99&lt;&gt;"",IF('Capacity summary'!$D$14="Yes",IF(COUNTBLANK('Capacity summary'!$H218:$BG218)&lt;52,IF('Capacity summary'!AH218&lt;&gt;"",$BI99*AH99,0),AH99*$BI99),AH99*$BI99),0)</f>
        <v>0</v>
      </c>
      <c r="CL99" s="319">
        <f>IF($BI99&lt;&gt;"",IF('Capacity summary'!$D$14="Yes",IF(COUNTBLANK('Capacity summary'!$H218:$BG218)&lt;52,IF('Capacity summary'!AI218&lt;&gt;"",$BI99*AI99,0),AI99*$BI99),AI99*$BI99),0)</f>
        <v>0</v>
      </c>
      <c r="CM99" s="319">
        <f>IF($BI99&lt;&gt;"",IF('Capacity summary'!$D$14="Yes",IF(COUNTBLANK('Capacity summary'!$H218:$BG218)&lt;52,IF('Capacity summary'!AJ218&lt;&gt;"",$BI99*AJ99,0),AJ99*$BI99),AJ99*$BI99),0)</f>
        <v>0</v>
      </c>
      <c r="CN99" s="319">
        <f>IF($BI99&lt;&gt;"",IF('Capacity summary'!$D$14="Yes",IF(COUNTBLANK('Capacity summary'!$H218:$BG218)&lt;52,IF('Capacity summary'!AK218&lt;&gt;"",$BI99*AK99,0),AK99*$BI99),AK99*$BI99),0)</f>
        <v>0</v>
      </c>
      <c r="CO99" s="319">
        <f>IF($BI99&lt;&gt;"",IF('Capacity summary'!$D$14="Yes",IF(COUNTBLANK('Capacity summary'!$H218:$BG218)&lt;52,IF('Capacity summary'!AL218&lt;&gt;"",$BI99*AL99,0),AL99*$BI99),AL99*$BI99),0)</f>
        <v>0</v>
      </c>
      <c r="CP99" s="319">
        <f>IF($BI99&lt;&gt;"",IF('Capacity summary'!$D$14="Yes",IF(COUNTBLANK('Capacity summary'!$H218:$BG218)&lt;52,IF('Capacity summary'!AM218&lt;&gt;"",$BI99*AM99,0),AM99*$BI99),AM99*$BI99),0)</f>
        <v>0</v>
      </c>
      <c r="CQ99" s="319">
        <f>IF($BI99&lt;&gt;"",IF('Capacity summary'!$D$14="Yes",IF(COUNTBLANK('Capacity summary'!$H218:$BG218)&lt;52,IF('Capacity summary'!AN218&lt;&gt;"",$BI99*AN99,0),AN99*$BI99),AN99*$BI99),0)</f>
        <v>0</v>
      </c>
      <c r="CR99" s="319">
        <f>IF($BI99&lt;&gt;"",IF('Capacity summary'!$D$14="Yes",IF(COUNTBLANK('Capacity summary'!$H218:$BG218)&lt;52,IF('Capacity summary'!AO218&lt;&gt;"",$BI99*AO99,0),AO99*$BI99),AO99*$BI99),0)</f>
        <v>0</v>
      </c>
      <c r="CS99" s="319">
        <f>IF($BI99&lt;&gt;"",IF('Capacity summary'!$D$14="Yes",IF(COUNTBLANK('Capacity summary'!$H218:$BG218)&lt;52,IF('Capacity summary'!AP218&lt;&gt;"",$BI99*AP99,0),AP99*$BI99),AP99*$BI99),0)</f>
        <v>0</v>
      </c>
      <c r="CT99" s="319">
        <f>IF($BI99&lt;&gt;"",IF('Capacity summary'!$D$14="Yes",IF(COUNTBLANK('Capacity summary'!$H218:$BG218)&lt;52,IF('Capacity summary'!AQ218&lt;&gt;"",$BI99*AQ99,0),AQ99*$BI99),AQ99*$BI99),0)</f>
        <v>0</v>
      </c>
      <c r="CU99" s="319">
        <f>IF($BI99&lt;&gt;"",IF('Capacity summary'!$D$14="Yes",IF(COUNTBLANK('Capacity summary'!$H218:$BG218)&lt;52,IF('Capacity summary'!AR218&lt;&gt;"",$BI99*AR99,0),AR99*$BI99),AR99*$BI99),0)</f>
        <v>0</v>
      </c>
      <c r="CV99" s="319">
        <f>IF($BI99&lt;&gt;"",IF('Capacity summary'!$D$14="Yes",IF(COUNTBLANK('Capacity summary'!$H218:$BG218)&lt;52,IF('Capacity summary'!AS218&lt;&gt;"",$BI99*AS99,0),AS99*$BI99),AS99*$BI99),0)</f>
        <v>0</v>
      </c>
      <c r="CW99" s="319">
        <f>IF($BI99&lt;&gt;"",IF('Capacity summary'!$D$14="Yes",IF(COUNTBLANK('Capacity summary'!$H218:$BG218)&lt;52,IF('Capacity summary'!AT218&lt;&gt;"",$BI99*AT99,0),AT99*$BI99),AT99*$BI99),0)</f>
        <v>0</v>
      </c>
      <c r="CX99" s="319">
        <f>IF($BI99&lt;&gt;"",IF('Capacity summary'!$D$14="Yes",IF(COUNTBLANK('Capacity summary'!$H218:$BG218)&lt;52,IF('Capacity summary'!AU218&lt;&gt;"",$BI99*AU99,0),AU99*$BI99),AU99*$BI99),0)</f>
        <v>0</v>
      </c>
      <c r="CY99" s="319">
        <f>IF($BI99&lt;&gt;"",IF('Capacity summary'!$D$14="Yes",IF(COUNTBLANK('Capacity summary'!$H218:$BG218)&lt;52,IF('Capacity summary'!AV218&lt;&gt;"",$BI99*AV99,0),AV99*$BI99),AV99*$BI99),0)</f>
        <v>0</v>
      </c>
      <c r="CZ99" s="319">
        <f>IF($BI99&lt;&gt;"",IF('Capacity summary'!$D$14="Yes",IF(COUNTBLANK('Capacity summary'!$H218:$BG218)&lt;52,IF('Capacity summary'!AW218&lt;&gt;"",$BI99*AW99,0),AW99*$BI99),AW99*$BI99),0)</f>
        <v>0</v>
      </c>
      <c r="DA99" s="319">
        <f>IF($BI99&lt;&gt;"",IF('Capacity summary'!$D$14="Yes",IF(COUNTBLANK('Capacity summary'!$H218:$BG218)&lt;52,IF('Capacity summary'!AX218&lt;&gt;"",$BI99*AX99,0),AX99*$BI99),AX99*$BI99),0)</f>
        <v>0</v>
      </c>
      <c r="DB99" s="319">
        <f>IF($BI99&lt;&gt;"",IF('Capacity summary'!$D$14="Yes",IF(COUNTBLANK('Capacity summary'!$H218:$BG218)&lt;52,IF('Capacity summary'!AY218&lt;&gt;"",$BI99*AY99,0),AY99*$BI99),AY99*$BI99),0)</f>
        <v>0</v>
      </c>
      <c r="DC99" s="319">
        <f>IF($BI99&lt;&gt;"",IF('Capacity summary'!$D$14="Yes",IF(COUNTBLANK('Capacity summary'!$H218:$BG218)&lt;52,IF('Capacity summary'!AZ218&lt;&gt;"",$BI99*AZ99,0),AZ99*$BI99),AZ99*$BI99),0)</f>
        <v>0</v>
      </c>
      <c r="DD99" s="319">
        <f>IF($BI99&lt;&gt;"",IF('Capacity summary'!$D$14="Yes",IF(COUNTBLANK('Capacity summary'!$H218:$BG218)&lt;52,IF('Capacity summary'!BA218&lt;&gt;"",$BI99*BA99,0),BA99*$BI99),BA99*$BI99),0)</f>
        <v>0</v>
      </c>
      <c r="DE99" s="319">
        <f>IF($BI99&lt;&gt;"",IF('Capacity summary'!$D$14="Yes",IF(COUNTBLANK('Capacity summary'!$H218:$BG218)&lt;52,IF('Capacity summary'!BB218&lt;&gt;"",$BI99*BB99,0),BB99*$BI99),BB99*$BI99),0)</f>
        <v>0</v>
      </c>
      <c r="DF99" s="319">
        <f>IF($BI99&lt;&gt;"",IF('Capacity summary'!$D$14="Yes",IF(COUNTBLANK('Capacity summary'!$H218:$BG218)&lt;52,IF('Capacity summary'!BC218&lt;&gt;"",$BI99*BC99,0),BC99*$BI99),BC99*$BI99),0)</f>
        <v>0</v>
      </c>
      <c r="DG99" s="319">
        <f>IF($BI99&lt;&gt;"",IF('Capacity summary'!$D$14="Yes",IF(COUNTBLANK('Capacity summary'!$H218:$BG218)&lt;52,IF('Capacity summary'!BD218&lt;&gt;"",$BI99*BD99,0),BD99*$BI99),BD99*$BI99),0)</f>
        <v>0</v>
      </c>
      <c r="DH99" s="319">
        <f>IF($BI99&lt;&gt;"",IF('Capacity summary'!$D$14="Yes",IF(COUNTBLANK('Capacity summary'!$H218:$BG218)&lt;52,IF('Capacity summary'!BE218&lt;&gt;"",$BI99*BE99,0),BE99*$BI99),BE99*$BI99),0)</f>
        <v>0</v>
      </c>
      <c r="DI99" s="319">
        <f>IF($BI99&lt;&gt;"",IF('Capacity summary'!$D$14="Yes",IF(COUNTBLANK('Capacity summary'!$H218:$BG218)&lt;52,IF('Capacity summary'!BF218&lt;&gt;"",$BI99*BF99,0),BF99*$BI99),BF99*$BI99),0)</f>
        <v>0</v>
      </c>
      <c r="DJ99" s="319">
        <f>IF($BI99&lt;&gt;"",IF('Capacity summary'!$D$14="Yes",IF(COUNTBLANK('Capacity summary'!$H218:$BG218)&lt;52,IF('Capacity summary'!BG218&lt;&gt;"",$BI99*BG99,0),BG99*$BI99),BG99*$BI99),0)</f>
        <v>0</v>
      </c>
      <c r="DK99" s="5">
        <f t="shared" si="3"/>
        <v>0</v>
      </c>
      <c r="DL99" s="5" t="str">
        <f>Capacity!H111</f>
        <v/>
      </c>
    </row>
    <row r="100" spans="2:116" x14ac:dyDescent="0.2">
      <c r="B100" s="68"/>
      <c r="C100" s="68" t="str">
        <f>ROW(A96)&amp;". "&amp;Capacity!B112</f>
        <v xml:space="preserve">96. </v>
      </c>
      <c r="D100" s="68">
        <f>'Capacity setup'!C107</f>
        <v>0</v>
      </c>
      <c r="E100" s="68">
        <f>'Capacity setup'!D107</f>
        <v>0</v>
      </c>
      <c r="F100" s="68">
        <f>'Capacity setup'!E107</f>
        <v>0</v>
      </c>
      <c r="H100" s="68">
        <f ca="1">IF(AND(SUMIF(Capacity_Resource,$D100,'Critical resources (hide)'!U$6:U$105)+SUMIF(Capacity_Resource,$E100,'Critical resources (hide)'!U$6:U$105)+SUMIF(Capacity_Resource,$F100,'Critical resources (hide)'!U$6:U$105)&gt;0,$E$1=2),0,1)</f>
        <v>1</v>
      </c>
      <c r="I100" s="68">
        <f ca="1">IF(AND(SUMIF(Capacity_Resource,$D100,'Critical resources (hide)'!V$6:V$105)+SUMIF(Capacity_Resource,$E100,'Critical resources (hide)'!V$6:V$105)+SUMIF(Capacity_Resource,$F100,'Critical resources (hide)'!V$6:V$105)&gt;0,$E$1=2),0,1)</f>
        <v>1</v>
      </c>
      <c r="J100" s="68">
        <f ca="1">IF(AND(SUMIF(Capacity_Resource,$D100,'Critical resources (hide)'!W$6:W$105)+SUMIF(Capacity_Resource,$E100,'Critical resources (hide)'!W$6:W$105)+SUMIF(Capacity_Resource,$F100,'Critical resources (hide)'!W$6:W$105)&gt;0,$E$1=2),0,1)</f>
        <v>1</v>
      </c>
      <c r="K100" s="68">
        <f ca="1">IF(AND(SUMIF(Capacity_Resource,$D100,'Critical resources (hide)'!X$6:X$105)+SUMIF(Capacity_Resource,$E100,'Critical resources (hide)'!X$6:X$105)+SUMIF(Capacity_Resource,$F100,'Critical resources (hide)'!X$6:X$105)&gt;0,$E$1=2),0,1)</f>
        <v>1</v>
      </c>
      <c r="L100" s="68">
        <f ca="1">IF(AND(SUMIF(Capacity_Resource,$D100,'Critical resources (hide)'!Y$6:Y$105)+SUMIF(Capacity_Resource,$E100,'Critical resources (hide)'!Y$6:Y$105)+SUMIF(Capacity_Resource,$F100,'Critical resources (hide)'!Y$6:Y$105)&gt;0,$E$1=2),0,1)</f>
        <v>1</v>
      </c>
      <c r="M100" s="68">
        <f ca="1">IF(AND(SUMIF(Capacity_Resource,$D100,'Critical resources (hide)'!Z$6:Z$105)+SUMIF(Capacity_Resource,$E100,'Critical resources (hide)'!Z$6:Z$105)+SUMIF(Capacity_Resource,$F100,'Critical resources (hide)'!Z$6:Z$105)&gt;0,$E$1=2),0,1)</f>
        <v>1</v>
      </c>
      <c r="N100" s="68">
        <f ca="1">IF(AND(SUMIF(Capacity_Resource,$D100,'Critical resources (hide)'!AA$6:AA$105)+SUMIF(Capacity_Resource,$E100,'Critical resources (hide)'!AA$6:AA$105)+SUMIF(Capacity_Resource,$F100,'Critical resources (hide)'!AA$6:AA$105)&gt;0,$E$1=2),0,1)</f>
        <v>1</v>
      </c>
      <c r="O100" s="68">
        <f ca="1">IF(AND(SUMIF(Capacity_Resource,$D100,'Critical resources (hide)'!AB$6:AB$105)+SUMIF(Capacity_Resource,$E100,'Critical resources (hide)'!AB$6:AB$105)+SUMIF(Capacity_Resource,$F100,'Critical resources (hide)'!AB$6:AB$105)&gt;0,$E$1=2),0,1)</f>
        <v>1</v>
      </c>
      <c r="P100" s="68">
        <f ca="1">IF(AND(SUMIF(Capacity_Resource,$D100,'Critical resources (hide)'!AC$6:AC$105)+SUMIF(Capacity_Resource,$E100,'Critical resources (hide)'!AC$6:AC$105)+SUMIF(Capacity_Resource,$F100,'Critical resources (hide)'!AC$6:AC$105)&gt;0,$E$1=2),0,1)</f>
        <v>1</v>
      </c>
      <c r="Q100" s="68">
        <f ca="1">IF(AND(SUMIF(Capacity_Resource,$D100,'Critical resources (hide)'!AD$6:AD$105)+SUMIF(Capacity_Resource,$E100,'Critical resources (hide)'!AD$6:AD$105)+SUMIF(Capacity_Resource,$F100,'Critical resources (hide)'!AD$6:AD$105)&gt;0,$E$1=2),0,1)</f>
        <v>1</v>
      </c>
      <c r="R100" s="68">
        <f ca="1">IF(AND(SUMIF(Capacity_Resource,$D100,'Critical resources (hide)'!AE$6:AE$105)+SUMIF(Capacity_Resource,$E100,'Critical resources (hide)'!AE$6:AE$105)+SUMIF(Capacity_Resource,$F100,'Critical resources (hide)'!AE$6:AE$105)&gt;0,$E$1=2),0,1)</f>
        <v>1</v>
      </c>
      <c r="S100" s="68">
        <f ca="1">IF(AND(SUMIF(Capacity_Resource,$D100,'Critical resources (hide)'!AF$6:AF$105)+SUMIF(Capacity_Resource,$E100,'Critical resources (hide)'!AF$6:AF$105)+SUMIF(Capacity_Resource,$F100,'Critical resources (hide)'!AF$6:AF$105)&gt;0,$E$1=2),0,1)</f>
        <v>1</v>
      </c>
      <c r="T100" s="68">
        <f ca="1">IF(AND(SUMIF(Capacity_Resource,$D100,'Critical resources (hide)'!AG$6:AG$105)+SUMIF(Capacity_Resource,$E100,'Critical resources (hide)'!AG$6:AG$105)+SUMIF(Capacity_Resource,$F100,'Critical resources (hide)'!AG$6:AG$105)&gt;0,$E$1=2),0,1)</f>
        <v>1</v>
      </c>
      <c r="U100" s="68">
        <f ca="1">IF(AND(SUMIF(Capacity_Resource,$D100,'Critical resources (hide)'!AH$6:AH$105)+SUMIF(Capacity_Resource,$E100,'Critical resources (hide)'!AH$6:AH$105)+SUMIF(Capacity_Resource,$F100,'Critical resources (hide)'!AH$6:AH$105)&gt;0,$E$1=2),0,1)</f>
        <v>1</v>
      </c>
      <c r="V100" s="68">
        <f ca="1">IF(AND(SUMIF(Capacity_Resource,$D100,'Critical resources (hide)'!AI$6:AI$105)+SUMIF(Capacity_Resource,$E100,'Critical resources (hide)'!AI$6:AI$105)+SUMIF(Capacity_Resource,$F100,'Critical resources (hide)'!AI$6:AI$105)&gt;0,$E$1=2),0,1)</f>
        <v>1</v>
      </c>
      <c r="W100" s="68">
        <f ca="1">IF(AND(SUMIF(Capacity_Resource,$D100,'Critical resources (hide)'!AJ$6:AJ$105)+SUMIF(Capacity_Resource,$E100,'Critical resources (hide)'!AJ$6:AJ$105)+SUMIF(Capacity_Resource,$F100,'Critical resources (hide)'!AJ$6:AJ$105)&gt;0,$E$1=2),0,1)</f>
        <v>1</v>
      </c>
      <c r="X100" s="68">
        <f ca="1">IF(AND(SUMIF(Capacity_Resource,$D100,'Critical resources (hide)'!AK$6:AK$105)+SUMIF(Capacity_Resource,$E100,'Critical resources (hide)'!AK$6:AK$105)+SUMIF(Capacity_Resource,$F100,'Critical resources (hide)'!AK$6:AK$105)&gt;0,$E$1=2),0,1)</f>
        <v>1</v>
      </c>
      <c r="Y100" s="68">
        <f ca="1">IF(AND(SUMIF(Capacity_Resource,$D100,'Critical resources (hide)'!AL$6:AL$105)+SUMIF(Capacity_Resource,$E100,'Critical resources (hide)'!AL$6:AL$105)+SUMIF(Capacity_Resource,$F100,'Critical resources (hide)'!AL$6:AL$105)&gt;0,$E$1=2),0,1)</f>
        <v>1</v>
      </c>
      <c r="Z100" s="68">
        <f ca="1">IF(AND(SUMIF(Capacity_Resource,$D100,'Critical resources (hide)'!AM$6:AM$105)+SUMIF(Capacity_Resource,$E100,'Critical resources (hide)'!AM$6:AM$105)+SUMIF(Capacity_Resource,$F100,'Critical resources (hide)'!AM$6:AM$105)&gt;0,$E$1=2),0,1)</f>
        <v>1</v>
      </c>
      <c r="AA100" s="68">
        <f ca="1">IF(AND(SUMIF(Capacity_Resource,$D100,'Critical resources (hide)'!AN$6:AN$105)+SUMIF(Capacity_Resource,$E100,'Critical resources (hide)'!AN$6:AN$105)+SUMIF(Capacity_Resource,$F100,'Critical resources (hide)'!AN$6:AN$105)&gt;0,$E$1=2),0,1)</f>
        <v>1</v>
      </c>
      <c r="AB100" s="68">
        <f ca="1">IF(AND(SUMIF(Capacity_Resource,$D100,'Critical resources (hide)'!AO$6:AO$105)+SUMIF(Capacity_Resource,$E100,'Critical resources (hide)'!AO$6:AO$105)+SUMIF(Capacity_Resource,$F100,'Critical resources (hide)'!AO$6:AO$105)&gt;0,$E$1=2),0,1)</f>
        <v>1</v>
      </c>
      <c r="AC100" s="68">
        <f ca="1">IF(AND(SUMIF(Capacity_Resource,$D100,'Critical resources (hide)'!AP$6:AP$105)+SUMIF(Capacity_Resource,$E100,'Critical resources (hide)'!AP$6:AP$105)+SUMIF(Capacity_Resource,$F100,'Critical resources (hide)'!AP$6:AP$105)&gt;0,$E$1=2),0,1)</f>
        <v>1</v>
      </c>
      <c r="AD100" s="68">
        <f ca="1">IF(AND(SUMIF(Capacity_Resource,$D100,'Critical resources (hide)'!AQ$6:AQ$105)+SUMIF(Capacity_Resource,$E100,'Critical resources (hide)'!AQ$6:AQ$105)+SUMIF(Capacity_Resource,$F100,'Critical resources (hide)'!AQ$6:AQ$105)&gt;0,$E$1=2),0,1)</f>
        <v>1</v>
      </c>
      <c r="AE100" s="68">
        <f ca="1">IF(AND(SUMIF(Capacity_Resource,$D100,'Critical resources (hide)'!AR$6:AR$105)+SUMIF(Capacity_Resource,$E100,'Critical resources (hide)'!AR$6:AR$105)+SUMIF(Capacity_Resource,$F100,'Critical resources (hide)'!AR$6:AR$105)&gt;0,$E$1=2),0,1)</f>
        <v>1</v>
      </c>
      <c r="AF100" s="68">
        <f ca="1">IF(AND(SUMIF(Capacity_Resource,$D100,'Critical resources (hide)'!AS$6:AS$105)+SUMIF(Capacity_Resource,$E100,'Critical resources (hide)'!AS$6:AS$105)+SUMIF(Capacity_Resource,$F100,'Critical resources (hide)'!AS$6:AS$105)&gt;0,$E$1=2),0,1)</f>
        <v>1</v>
      </c>
      <c r="AG100" s="68">
        <f ca="1">IF(AND(SUMIF(Capacity_Resource,$D100,'Critical resources (hide)'!AT$6:AT$105)+SUMIF(Capacity_Resource,$E100,'Critical resources (hide)'!AT$6:AT$105)+SUMIF(Capacity_Resource,$F100,'Critical resources (hide)'!AT$6:AT$105)&gt;0,$E$1=2),0,1)</f>
        <v>1</v>
      </c>
      <c r="AH100" s="68">
        <f ca="1">IF(AND(SUMIF(Capacity_Resource,$D100,'Critical resources (hide)'!AU$6:AU$105)+SUMIF(Capacity_Resource,$E100,'Critical resources (hide)'!AU$6:AU$105)+SUMIF(Capacity_Resource,$F100,'Critical resources (hide)'!AU$6:AU$105)&gt;0,$E$1=2),0,1)</f>
        <v>1</v>
      </c>
      <c r="AI100" s="68">
        <f ca="1">IF(AND(SUMIF(Capacity_Resource,$D100,'Critical resources (hide)'!AV$6:AV$105)+SUMIF(Capacity_Resource,$E100,'Critical resources (hide)'!AV$6:AV$105)+SUMIF(Capacity_Resource,$F100,'Critical resources (hide)'!AV$6:AV$105)&gt;0,$E$1=2),0,1)</f>
        <v>1</v>
      </c>
      <c r="AJ100" s="68">
        <f ca="1">IF(AND(SUMIF(Capacity_Resource,$D100,'Critical resources (hide)'!AW$6:AW$105)+SUMIF(Capacity_Resource,$E100,'Critical resources (hide)'!AW$6:AW$105)+SUMIF(Capacity_Resource,$F100,'Critical resources (hide)'!AW$6:AW$105)&gt;0,$E$1=2),0,1)</f>
        <v>1</v>
      </c>
      <c r="AK100" s="68">
        <f ca="1">IF(AND(SUMIF(Capacity_Resource,$D100,'Critical resources (hide)'!AX$6:AX$105)+SUMIF(Capacity_Resource,$E100,'Critical resources (hide)'!AX$6:AX$105)+SUMIF(Capacity_Resource,$F100,'Critical resources (hide)'!AX$6:AX$105)&gt;0,$E$1=2),0,1)</f>
        <v>1</v>
      </c>
      <c r="AL100" s="68">
        <f ca="1">IF(AND(SUMIF(Capacity_Resource,$D100,'Critical resources (hide)'!AY$6:AY$105)+SUMIF(Capacity_Resource,$E100,'Critical resources (hide)'!AY$6:AY$105)+SUMIF(Capacity_Resource,$F100,'Critical resources (hide)'!AY$6:AY$105)&gt;0,$E$1=2),0,1)</f>
        <v>1</v>
      </c>
      <c r="AM100" s="68">
        <f ca="1">IF(AND(SUMIF(Capacity_Resource,$D100,'Critical resources (hide)'!AZ$6:AZ$105)+SUMIF(Capacity_Resource,$E100,'Critical resources (hide)'!AZ$6:AZ$105)+SUMIF(Capacity_Resource,$F100,'Critical resources (hide)'!AZ$6:AZ$105)&gt;0,$E$1=2),0,1)</f>
        <v>1</v>
      </c>
      <c r="AN100" s="68">
        <f ca="1">IF(AND(SUMIF(Capacity_Resource,$D100,'Critical resources (hide)'!BA$6:BA$105)+SUMIF(Capacity_Resource,$E100,'Critical resources (hide)'!BA$6:BA$105)+SUMIF(Capacity_Resource,$F100,'Critical resources (hide)'!BA$6:BA$105)&gt;0,$E$1=2),0,1)</f>
        <v>1</v>
      </c>
      <c r="AO100" s="68">
        <f ca="1">IF(AND(SUMIF(Capacity_Resource,$D100,'Critical resources (hide)'!BB$6:BB$105)+SUMIF(Capacity_Resource,$E100,'Critical resources (hide)'!BB$6:BB$105)+SUMIF(Capacity_Resource,$F100,'Critical resources (hide)'!BB$6:BB$105)&gt;0,$E$1=2),0,1)</f>
        <v>1</v>
      </c>
      <c r="AP100" s="68">
        <f ca="1">IF(AND(SUMIF(Capacity_Resource,$D100,'Critical resources (hide)'!BC$6:BC$105)+SUMIF(Capacity_Resource,$E100,'Critical resources (hide)'!BC$6:BC$105)+SUMIF(Capacity_Resource,$F100,'Critical resources (hide)'!BC$6:BC$105)&gt;0,$E$1=2),0,1)</f>
        <v>1</v>
      </c>
      <c r="AQ100" s="68">
        <f ca="1">IF(AND(SUMIF(Capacity_Resource,$D100,'Critical resources (hide)'!BD$6:BD$105)+SUMIF(Capacity_Resource,$E100,'Critical resources (hide)'!BD$6:BD$105)+SUMIF(Capacity_Resource,$F100,'Critical resources (hide)'!BD$6:BD$105)&gt;0,$E$1=2),0,1)</f>
        <v>1</v>
      </c>
      <c r="AR100" s="68">
        <f ca="1">IF(AND(SUMIF(Capacity_Resource,$D100,'Critical resources (hide)'!BE$6:BE$105)+SUMIF(Capacity_Resource,$E100,'Critical resources (hide)'!BE$6:BE$105)+SUMIF(Capacity_Resource,$F100,'Critical resources (hide)'!BE$6:BE$105)&gt;0,$E$1=2),0,1)</f>
        <v>1</v>
      </c>
      <c r="AS100" s="68">
        <f ca="1">IF(AND(SUMIF(Capacity_Resource,$D100,'Critical resources (hide)'!BF$6:BF$105)+SUMIF(Capacity_Resource,$E100,'Critical resources (hide)'!BF$6:BF$105)+SUMIF(Capacity_Resource,$F100,'Critical resources (hide)'!BF$6:BF$105)&gt;0,$E$1=2),0,1)</f>
        <v>1</v>
      </c>
      <c r="AT100" s="68">
        <f ca="1">IF(AND(SUMIF(Capacity_Resource,$D100,'Critical resources (hide)'!BG$6:BG$105)+SUMIF(Capacity_Resource,$E100,'Critical resources (hide)'!BG$6:BG$105)+SUMIF(Capacity_Resource,$F100,'Critical resources (hide)'!BG$6:BG$105)&gt;0,$E$1=2),0,1)</f>
        <v>1</v>
      </c>
      <c r="AU100" s="68">
        <f ca="1">IF(AND(SUMIF(Capacity_Resource,$D100,'Critical resources (hide)'!BH$6:BH$105)+SUMIF(Capacity_Resource,$E100,'Critical resources (hide)'!BH$6:BH$105)+SUMIF(Capacity_Resource,$F100,'Critical resources (hide)'!BH$6:BH$105)&gt;0,$E$1=2),0,1)</f>
        <v>1</v>
      </c>
      <c r="AV100" s="68">
        <f ca="1">IF(AND(SUMIF(Capacity_Resource,$D100,'Critical resources (hide)'!BI$6:BI$105)+SUMIF(Capacity_Resource,$E100,'Critical resources (hide)'!BI$6:BI$105)+SUMIF(Capacity_Resource,$F100,'Critical resources (hide)'!BI$6:BI$105)&gt;0,$E$1=2),0,1)</f>
        <v>1</v>
      </c>
      <c r="AW100" s="68">
        <f ca="1">IF(AND(SUMIF(Capacity_Resource,$D100,'Critical resources (hide)'!BJ$6:BJ$105)+SUMIF(Capacity_Resource,$E100,'Critical resources (hide)'!BJ$6:BJ$105)+SUMIF(Capacity_Resource,$F100,'Critical resources (hide)'!BJ$6:BJ$105)&gt;0,$E$1=2),0,1)</f>
        <v>1</v>
      </c>
      <c r="AX100" s="68">
        <f ca="1">IF(AND(SUMIF(Capacity_Resource,$D100,'Critical resources (hide)'!BK$6:BK$105)+SUMIF(Capacity_Resource,$E100,'Critical resources (hide)'!BK$6:BK$105)+SUMIF(Capacity_Resource,$F100,'Critical resources (hide)'!BK$6:BK$105)&gt;0,$E$1=2),0,1)</f>
        <v>1</v>
      </c>
      <c r="AY100" s="68">
        <f ca="1">IF(AND(SUMIF(Capacity_Resource,$D100,'Critical resources (hide)'!BL$6:BL$105)+SUMIF(Capacity_Resource,$E100,'Critical resources (hide)'!BL$6:BL$105)+SUMIF(Capacity_Resource,$F100,'Critical resources (hide)'!BL$6:BL$105)&gt;0,$E$1=2),0,1)</f>
        <v>1</v>
      </c>
      <c r="AZ100" s="68">
        <f ca="1">IF(AND(SUMIF(Capacity_Resource,$D100,'Critical resources (hide)'!BM$6:BM$105)+SUMIF(Capacity_Resource,$E100,'Critical resources (hide)'!BM$6:BM$105)+SUMIF(Capacity_Resource,$F100,'Critical resources (hide)'!BM$6:BM$105)&gt;0,$E$1=2),0,1)</f>
        <v>1</v>
      </c>
      <c r="BA100" s="68">
        <f ca="1">IF(AND(SUMIF(Capacity_Resource,$D100,'Critical resources (hide)'!BN$6:BN$105)+SUMIF(Capacity_Resource,$E100,'Critical resources (hide)'!BN$6:BN$105)+SUMIF(Capacity_Resource,$F100,'Critical resources (hide)'!BN$6:BN$105)&gt;0,$E$1=2),0,1)</f>
        <v>1</v>
      </c>
      <c r="BB100" s="68">
        <f ca="1">IF(AND(SUMIF(Capacity_Resource,$D100,'Critical resources (hide)'!BO$6:BO$105)+SUMIF(Capacity_Resource,$E100,'Critical resources (hide)'!BO$6:BO$105)+SUMIF(Capacity_Resource,$F100,'Critical resources (hide)'!BO$6:BO$105)&gt;0,$E$1=2),0,1)</f>
        <v>1</v>
      </c>
      <c r="BC100" s="68">
        <f ca="1">IF(AND(SUMIF(Capacity_Resource,$D100,'Critical resources (hide)'!BP$6:BP$105)+SUMIF(Capacity_Resource,$E100,'Critical resources (hide)'!BP$6:BP$105)+SUMIF(Capacity_Resource,$F100,'Critical resources (hide)'!BP$6:BP$105)&gt;0,$E$1=2),0,1)</f>
        <v>1</v>
      </c>
      <c r="BD100" s="68">
        <f ca="1">IF(AND(SUMIF(Capacity_Resource,$D100,'Critical resources (hide)'!BQ$6:BQ$105)+SUMIF(Capacity_Resource,$E100,'Critical resources (hide)'!BQ$6:BQ$105)+SUMIF(Capacity_Resource,$F100,'Critical resources (hide)'!BQ$6:BQ$105)&gt;0,$E$1=2),0,1)</f>
        <v>1</v>
      </c>
      <c r="BE100" s="68">
        <f ca="1">IF(AND(SUMIF(Capacity_Resource,$D100,'Critical resources (hide)'!BR$6:BR$105)+SUMIF(Capacity_Resource,$E100,'Critical resources (hide)'!BR$6:BR$105)+SUMIF(Capacity_Resource,$F100,'Critical resources (hide)'!BR$6:BR$105)&gt;0,$E$1=2),0,1)</f>
        <v>1</v>
      </c>
      <c r="BF100" s="68">
        <f ca="1">IF(AND(SUMIF(Capacity_Resource,$D100,'Critical resources (hide)'!BS$6:BS$105)+SUMIF(Capacity_Resource,$E100,'Critical resources (hide)'!BS$6:BS$105)+SUMIF(Capacity_Resource,$F100,'Critical resources (hide)'!BS$6:BS$105)&gt;0,$E$1=2),0,1)</f>
        <v>1</v>
      </c>
      <c r="BG100" s="68">
        <f ca="1">IF(AND(SUMIF(Capacity_Resource,$D100,'Critical resources (hide)'!BT$6:BT$105)+SUMIF(Capacity_Resource,$E100,'Critical resources (hide)'!BT$6:BT$105)+SUMIF(Capacity_Resource,$F100,'Critical resources (hide)'!BT$6:BT$105)&gt;0,$E$1=2),0,1)</f>
        <v>1</v>
      </c>
      <c r="BH100" s="68">
        <f>IF(ROW(C96)&lt;=Capacity!$A$16,IF('Capacity summary'!$D$14="No",SUM(H100:BG100),'Capacity summary'!$E219),0)</f>
        <v>0</v>
      </c>
      <c r="BI100" s="5" t="str">
        <f>IF(BH100&gt;0,IF(BH100&lt;Capacity!E112,Capacity!F112,Capacity!H112/'Capacity calculation (hide)'!BH100),"")</f>
        <v/>
      </c>
      <c r="BK100" s="319">
        <f>IF($BI100&lt;&gt;"",IF('Capacity summary'!$D$14="Yes",IF(COUNTBLANK('Capacity summary'!$H219:$BG219)&lt;52,IF('Capacity summary'!H219&lt;&gt;"",$BI100*H100,0),H100*$BI100),H100*$BI100),0)</f>
        <v>0</v>
      </c>
      <c r="BL100" s="319">
        <f>IF($BI100&lt;&gt;"",IF('Capacity summary'!$D$14="Yes",IF(COUNTBLANK('Capacity summary'!$H219:$BG219)&lt;52,IF('Capacity summary'!I219&lt;&gt;"",$BI100*I100,0),I100*$BI100),I100*$BI100),0)</f>
        <v>0</v>
      </c>
      <c r="BM100" s="319">
        <f>IF($BI100&lt;&gt;"",IF('Capacity summary'!$D$14="Yes",IF(COUNTBLANK('Capacity summary'!$H219:$BG219)&lt;52,IF('Capacity summary'!J219&lt;&gt;"",$BI100*J100,0),J100*$BI100),J100*$BI100),0)</f>
        <v>0</v>
      </c>
      <c r="BN100" s="319">
        <f>IF($BI100&lt;&gt;"",IF('Capacity summary'!$D$14="Yes",IF(COUNTBLANK('Capacity summary'!$H219:$BG219)&lt;52,IF('Capacity summary'!K219&lt;&gt;"",$BI100*K100,0),K100*$BI100),K100*$BI100),0)</f>
        <v>0</v>
      </c>
      <c r="BO100" s="319">
        <f>IF($BI100&lt;&gt;"",IF('Capacity summary'!$D$14="Yes",IF(COUNTBLANK('Capacity summary'!$H219:$BG219)&lt;52,IF('Capacity summary'!L219&lt;&gt;"",$BI100*L100,0),L100*$BI100),L100*$BI100),0)</f>
        <v>0</v>
      </c>
      <c r="BP100" s="319">
        <f>IF($BI100&lt;&gt;"",IF('Capacity summary'!$D$14="Yes",IF(COUNTBLANK('Capacity summary'!$H219:$BG219)&lt;52,IF('Capacity summary'!M219&lt;&gt;"",$BI100*M100,0),M100*$BI100),M100*$BI100),0)</f>
        <v>0</v>
      </c>
      <c r="BQ100" s="319">
        <f>IF($BI100&lt;&gt;"",IF('Capacity summary'!$D$14="Yes",IF(COUNTBLANK('Capacity summary'!$H219:$BG219)&lt;52,IF('Capacity summary'!N219&lt;&gt;"",$BI100*N100,0),N100*$BI100),N100*$BI100),0)</f>
        <v>0</v>
      </c>
      <c r="BR100" s="319">
        <f>IF($BI100&lt;&gt;"",IF('Capacity summary'!$D$14="Yes",IF(COUNTBLANK('Capacity summary'!$H219:$BG219)&lt;52,IF('Capacity summary'!O219&lt;&gt;"",$BI100*O100,0),O100*$BI100),O100*$BI100),0)</f>
        <v>0</v>
      </c>
      <c r="BS100" s="319">
        <f>IF($BI100&lt;&gt;"",IF('Capacity summary'!$D$14="Yes",IF(COUNTBLANK('Capacity summary'!$H219:$BG219)&lt;52,IF('Capacity summary'!P219&lt;&gt;"",$BI100*P100,0),P100*$BI100),P100*$BI100),0)</f>
        <v>0</v>
      </c>
      <c r="BT100" s="319">
        <f>IF($BI100&lt;&gt;"",IF('Capacity summary'!$D$14="Yes",IF(COUNTBLANK('Capacity summary'!$H219:$BG219)&lt;52,IF('Capacity summary'!Q219&lt;&gt;"",$BI100*Q100,0),Q100*$BI100),Q100*$BI100),0)</f>
        <v>0</v>
      </c>
      <c r="BU100" s="319">
        <f>IF($BI100&lt;&gt;"",IF('Capacity summary'!$D$14="Yes",IF(COUNTBLANK('Capacity summary'!$H219:$BG219)&lt;52,IF('Capacity summary'!R219&lt;&gt;"",$BI100*R100,0),R100*$BI100),R100*$BI100),0)</f>
        <v>0</v>
      </c>
      <c r="BV100" s="319">
        <f>IF($BI100&lt;&gt;"",IF('Capacity summary'!$D$14="Yes",IF(COUNTBLANK('Capacity summary'!$H219:$BG219)&lt;52,IF('Capacity summary'!S219&lt;&gt;"",$BI100*S100,0),S100*$BI100),S100*$BI100),0)</f>
        <v>0</v>
      </c>
      <c r="BW100" s="319">
        <f>IF($BI100&lt;&gt;"",IF('Capacity summary'!$D$14="Yes",IF(COUNTBLANK('Capacity summary'!$H219:$BG219)&lt;52,IF('Capacity summary'!T219&lt;&gt;"",$BI100*T100,0),T100*$BI100),T100*$BI100),0)</f>
        <v>0</v>
      </c>
      <c r="BX100" s="319">
        <f>IF($BI100&lt;&gt;"",IF('Capacity summary'!$D$14="Yes",IF(COUNTBLANK('Capacity summary'!$H219:$BG219)&lt;52,IF('Capacity summary'!U219&lt;&gt;"",$BI100*U100,0),U100*$BI100),U100*$BI100),0)</f>
        <v>0</v>
      </c>
      <c r="BY100" s="319">
        <f>IF($BI100&lt;&gt;"",IF('Capacity summary'!$D$14="Yes",IF(COUNTBLANK('Capacity summary'!$H219:$BG219)&lt;52,IF('Capacity summary'!V219&lt;&gt;"",$BI100*V100,0),V100*$BI100),V100*$BI100),0)</f>
        <v>0</v>
      </c>
      <c r="BZ100" s="319">
        <f>IF($BI100&lt;&gt;"",IF('Capacity summary'!$D$14="Yes",IF(COUNTBLANK('Capacity summary'!$H219:$BG219)&lt;52,IF('Capacity summary'!W219&lt;&gt;"",$BI100*W100,0),W100*$BI100),W100*$BI100),0)</f>
        <v>0</v>
      </c>
      <c r="CA100" s="319">
        <f>IF($BI100&lt;&gt;"",IF('Capacity summary'!$D$14="Yes",IF(COUNTBLANK('Capacity summary'!$H219:$BG219)&lt;52,IF('Capacity summary'!X219&lt;&gt;"",$BI100*X100,0),X100*$BI100),X100*$BI100),0)</f>
        <v>0</v>
      </c>
      <c r="CB100" s="319">
        <f>IF($BI100&lt;&gt;"",IF('Capacity summary'!$D$14="Yes",IF(COUNTBLANK('Capacity summary'!$H219:$BG219)&lt;52,IF('Capacity summary'!Y219&lt;&gt;"",$BI100*Y100,0),Y100*$BI100),Y100*$BI100),0)</f>
        <v>0</v>
      </c>
      <c r="CC100" s="319">
        <f>IF($BI100&lt;&gt;"",IF('Capacity summary'!$D$14="Yes",IF(COUNTBLANK('Capacity summary'!$H219:$BG219)&lt;52,IF('Capacity summary'!Z219&lt;&gt;"",$BI100*Z100,0),Z100*$BI100),Z100*$BI100),0)</f>
        <v>0</v>
      </c>
      <c r="CD100" s="319">
        <f>IF($BI100&lt;&gt;"",IF('Capacity summary'!$D$14="Yes",IF(COUNTBLANK('Capacity summary'!$H219:$BG219)&lt;52,IF('Capacity summary'!AA219&lt;&gt;"",$BI100*AA100,0),AA100*$BI100),AA100*$BI100),0)</f>
        <v>0</v>
      </c>
      <c r="CE100" s="319">
        <f>IF($BI100&lt;&gt;"",IF('Capacity summary'!$D$14="Yes",IF(COUNTBLANK('Capacity summary'!$H219:$BG219)&lt;52,IF('Capacity summary'!AB219&lt;&gt;"",$BI100*AB100,0),AB100*$BI100),AB100*$BI100),0)</f>
        <v>0</v>
      </c>
      <c r="CF100" s="319">
        <f>IF($BI100&lt;&gt;"",IF('Capacity summary'!$D$14="Yes",IF(COUNTBLANK('Capacity summary'!$H219:$BG219)&lt;52,IF('Capacity summary'!AC219&lt;&gt;"",$BI100*AC100,0),AC100*$BI100),AC100*$BI100),0)</f>
        <v>0</v>
      </c>
      <c r="CG100" s="319">
        <f>IF($BI100&lt;&gt;"",IF('Capacity summary'!$D$14="Yes",IF(COUNTBLANK('Capacity summary'!$H219:$BG219)&lt;52,IF('Capacity summary'!AD219&lt;&gt;"",$BI100*AD100,0),AD100*$BI100),AD100*$BI100),0)</f>
        <v>0</v>
      </c>
      <c r="CH100" s="319">
        <f>IF($BI100&lt;&gt;"",IF('Capacity summary'!$D$14="Yes",IF(COUNTBLANK('Capacity summary'!$H219:$BG219)&lt;52,IF('Capacity summary'!AE219&lt;&gt;"",$BI100*AE100,0),AE100*$BI100),AE100*$BI100),0)</f>
        <v>0</v>
      </c>
      <c r="CI100" s="319">
        <f>IF($BI100&lt;&gt;"",IF('Capacity summary'!$D$14="Yes",IF(COUNTBLANK('Capacity summary'!$H219:$BG219)&lt;52,IF('Capacity summary'!AF219&lt;&gt;"",$BI100*AF100,0),AF100*$BI100),AF100*$BI100),0)</f>
        <v>0</v>
      </c>
      <c r="CJ100" s="319">
        <f>IF($BI100&lt;&gt;"",IF('Capacity summary'!$D$14="Yes",IF(COUNTBLANK('Capacity summary'!$H219:$BG219)&lt;52,IF('Capacity summary'!AG219&lt;&gt;"",$BI100*AG100,0),AG100*$BI100),AG100*$BI100),0)</f>
        <v>0</v>
      </c>
      <c r="CK100" s="319">
        <f>IF($BI100&lt;&gt;"",IF('Capacity summary'!$D$14="Yes",IF(COUNTBLANK('Capacity summary'!$H219:$BG219)&lt;52,IF('Capacity summary'!AH219&lt;&gt;"",$BI100*AH100,0),AH100*$BI100),AH100*$BI100),0)</f>
        <v>0</v>
      </c>
      <c r="CL100" s="319">
        <f>IF($BI100&lt;&gt;"",IF('Capacity summary'!$D$14="Yes",IF(COUNTBLANK('Capacity summary'!$H219:$BG219)&lt;52,IF('Capacity summary'!AI219&lt;&gt;"",$BI100*AI100,0),AI100*$BI100),AI100*$BI100),0)</f>
        <v>0</v>
      </c>
      <c r="CM100" s="319">
        <f>IF($BI100&lt;&gt;"",IF('Capacity summary'!$D$14="Yes",IF(COUNTBLANK('Capacity summary'!$H219:$BG219)&lt;52,IF('Capacity summary'!AJ219&lt;&gt;"",$BI100*AJ100,0),AJ100*$BI100),AJ100*$BI100),0)</f>
        <v>0</v>
      </c>
      <c r="CN100" s="319">
        <f>IF($BI100&lt;&gt;"",IF('Capacity summary'!$D$14="Yes",IF(COUNTBLANK('Capacity summary'!$H219:$BG219)&lt;52,IF('Capacity summary'!AK219&lt;&gt;"",$BI100*AK100,0),AK100*$BI100),AK100*$BI100),0)</f>
        <v>0</v>
      </c>
      <c r="CO100" s="319">
        <f>IF($BI100&lt;&gt;"",IF('Capacity summary'!$D$14="Yes",IF(COUNTBLANK('Capacity summary'!$H219:$BG219)&lt;52,IF('Capacity summary'!AL219&lt;&gt;"",$BI100*AL100,0),AL100*$BI100),AL100*$BI100),0)</f>
        <v>0</v>
      </c>
      <c r="CP100" s="319">
        <f>IF($BI100&lt;&gt;"",IF('Capacity summary'!$D$14="Yes",IF(COUNTBLANK('Capacity summary'!$H219:$BG219)&lt;52,IF('Capacity summary'!AM219&lt;&gt;"",$BI100*AM100,0),AM100*$BI100),AM100*$BI100),0)</f>
        <v>0</v>
      </c>
      <c r="CQ100" s="319">
        <f>IF($BI100&lt;&gt;"",IF('Capacity summary'!$D$14="Yes",IF(COUNTBLANK('Capacity summary'!$H219:$BG219)&lt;52,IF('Capacity summary'!AN219&lt;&gt;"",$BI100*AN100,0),AN100*$BI100),AN100*$BI100),0)</f>
        <v>0</v>
      </c>
      <c r="CR100" s="319">
        <f>IF($BI100&lt;&gt;"",IF('Capacity summary'!$D$14="Yes",IF(COUNTBLANK('Capacity summary'!$H219:$BG219)&lt;52,IF('Capacity summary'!AO219&lt;&gt;"",$BI100*AO100,0),AO100*$BI100),AO100*$BI100),0)</f>
        <v>0</v>
      </c>
      <c r="CS100" s="319">
        <f>IF($BI100&lt;&gt;"",IF('Capacity summary'!$D$14="Yes",IF(COUNTBLANK('Capacity summary'!$H219:$BG219)&lt;52,IF('Capacity summary'!AP219&lt;&gt;"",$BI100*AP100,0),AP100*$BI100),AP100*$BI100),0)</f>
        <v>0</v>
      </c>
      <c r="CT100" s="319">
        <f>IF($BI100&lt;&gt;"",IF('Capacity summary'!$D$14="Yes",IF(COUNTBLANK('Capacity summary'!$H219:$BG219)&lt;52,IF('Capacity summary'!AQ219&lt;&gt;"",$BI100*AQ100,0),AQ100*$BI100),AQ100*$BI100),0)</f>
        <v>0</v>
      </c>
      <c r="CU100" s="319">
        <f>IF($BI100&lt;&gt;"",IF('Capacity summary'!$D$14="Yes",IF(COUNTBLANK('Capacity summary'!$H219:$BG219)&lt;52,IF('Capacity summary'!AR219&lt;&gt;"",$BI100*AR100,0),AR100*$BI100),AR100*$BI100),0)</f>
        <v>0</v>
      </c>
      <c r="CV100" s="319">
        <f>IF($BI100&lt;&gt;"",IF('Capacity summary'!$D$14="Yes",IF(COUNTBLANK('Capacity summary'!$H219:$BG219)&lt;52,IF('Capacity summary'!AS219&lt;&gt;"",$BI100*AS100,0),AS100*$BI100),AS100*$BI100),0)</f>
        <v>0</v>
      </c>
      <c r="CW100" s="319">
        <f>IF($BI100&lt;&gt;"",IF('Capacity summary'!$D$14="Yes",IF(COUNTBLANK('Capacity summary'!$H219:$BG219)&lt;52,IF('Capacity summary'!AT219&lt;&gt;"",$BI100*AT100,0),AT100*$BI100),AT100*$BI100),0)</f>
        <v>0</v>
      </c>
      <c r="CX100" s="319">
        <f>IF($BI100&lt;&gt;"",IF('Capacity summary'!$D$14="Yes",IF(COUNTBLANK('Capacity summary'!$H219:$BG219)&lt;52,IF('Capacity summary'!AU219&lt;&gt;"",$BI100*AU100,0),AU100*$BI100),AU100*$BI100),0)</f>
        <v>0</v>
      </c>
      <c r="CY100" s="319">
        <f>IF($BI100&lt;&gt;"",IF('Capacity summary'!$D$14="Yes",IF(COUNTBLANK('Capacity summary'!$H219:$BG219)&lt;52,IF('Capacity summary'!AV219&lt;&gt;"",$BI100*AV100,0),AV100*$BI100),AV100*$BI100),0)</f>
        <v>0</v>
      </c>
      <c r="CZ100" s="319">
        <f>IF($BI100&lt;&gt;"",IF('Capacity summary'!$D$14="Yes",IF(COUNTBLANK('Capacity summary'!$H219:$BG219)&lt;52,IF('Capacity summary'!AW219&lt;&gt;"",$BI100*AW100,0),AW100*$BI100),AW100*$BI100),0)</f>
        <v>0</v>
      </c>
      <c r="DA100" s="319">
        <f>IF($BI100&lt;&gt;"",IF('Capacity summary'!$D$14="Yes",IF(COUNTBLANK('Capacity summary'!$H219:$BG219)&lt;52,IF('Capacity summary'!AX219&lt;&gt;"",$BI100*AX100,0),AX100*$BI100),AX100*$BI100),0)</f>
        <v>0</v>
      </c>
      <c r="DB100" s="319">
        <f>IF($BI100&lt;&gt;"",IF('Capacity summary'!$D$14="Yes",IF(COUNTBLANK('Capacity summary'!$H219:$BG219)&lt;52,IF('Capacity summary'!AY219&lt;&gt;"",$BI100*AY100,0),AY100*$BI100),AY100*$BI100),0)</f>
        <v>0</v>
      </c>
      <c r="DC100" s="319">
        <f>IF($BI100&lt;&gt;"",IF('Capacity summary'!$D$14="Yes",IF(COUNTBLANK('Capacity summary'!$H219:$BG219)&lt;52,IF('Capacity summary'!AZ219&lt;&gt;"",$BI100*AZ100,0),AZ100*$BI100),AZ100*$BI100),0)</f>
        <v>0</v>
      </c>
      <c r="DD100" s="319">
        <f>IF($BI100&lt;&gt;"",IF('Capacity summary'!$D$14="Yes",IF(COUNTBLANK('Capacity summary'!$H219:$BG219)&lt;52,IF('Capacity summary'!BA219&lt;&gt;"",$BI100*BA100,0),BA100*$BI100),BA100*$BI100),0)</f>
        <v>0</v>
      </c>
      <c r="DE100" s="319">
        <f>IF($BI100&lt;&gt;"",IF('Capacity summary'!$D$14="Yes",IF(COUNTBLANK('Capacity summary'!$H219:$BG219)&lt;52,IF('Capacity summary'!BB219&lt;&gt;"",$BI100*BB100,0),BB100*$BI100),BB100*$BI100),0)</f>
        <v>0</v>
      </c>
      <c r="DF100" s="319">
        <f>IF($BI100&lt;&gt;"",IF('Capacity summary'!$D$14="Yes",IF(COUNTBLANK('Capacity summary'!$H219:$BG219)&lt;52,IF('Capacity summary'!BC219&lt;&gt;"",$BI100*BC100,0),BC100*$BI100),BC100*$BI100),0)</f>
        <v>0</v>
      </c>
      <c r="DG100" s="319">
        <f>IF($BI100&lt;&gt;"",IF('Capacity summary'!$D$14="Yes",IF(COUNTBLANK('Capacity summary'!$H219:$BG219)&lt;52,IF('Capacity summary'!BD219&lt;&gt;"",$BI100*BD100,0),BD100*$BI100),BD100*$BI100),0)</f>
        <v>0</v>
      </c>
      <c r="DH100" s="319">
        <f>IF($BI100&lt;&gt;"",IF('Capacity summary'!$D$14="Yes",IF(COUNTBLANK('Capacity summary'!$H219:$BG219)&lt;52,IF('Capacity summary'!BE219&lt;&gt;"",$BI100*BE100,0),BE100*$BI100),BE100*$BI100),0)</f>
        <v>0</v>
      </c>
      <c r="DI100" s="319">
        <f>IF($BI100&lt;&gt;"",IF('Capacity summary'!$D$14="Yes",IF(COUNTBLANK('Capacity summary'!$H219:$BG219)&lt;52,IF('Capacity summary'!BF219&lt;&gt;"",$BI100*BF100,0),BF100*$BI100),BF100*$BI100),0)</f>
        <v>0</v>
      </c>
      <c r="DJ100" s="319">
        <f>IF($BI100&lt;&gt;"",IF('Capacity summary'!$D$14="Yes",IF(COUNTBLANK('Capacity summary'!$H219:$BG219)&lt;52,IF('Capacity summary'!BG219&lt;&gt;"",$BI100*BG100,0),BG100*$BI100),BG100*$BI100),0)</f>
        <v>0</v>
      </c>
      <c r="DK100" s="5">
        <f t="shared" si="3"/>
        <v>0</v>
      </c>
      <c r="DL100" s="5" t="str">
        <f>Capacity!H112</f>
        <v/>
      </c>
    </row>
    <row r="101" spans="2:116" x14ac:dyDescent="0.2">
      <c r="B101" s="68"/>
      <c r="C101" s="68" t="str">
        <f>ROW(A97)&amp;". "&amp;Capacity!B113</f>
        <v xml:space="preserve">97. </v>
      </c>
      <c r="D101" s="68">
        <f>'Capacity setup'!C108</f>
        <v>0</v>
      </c>
      <c r="E101" s="68">
        <f>'Capacity setup'!D108</f>
        <v>0</v>
      </c>
      <c r="F101" s="68">
        <f>'Capacity setup'!E108</f>
        <v>0</v>
      </c>
      <c r="H101" s="68">
        <f ca="1">IF(AND(SUMIF(Capacity_Resource,$D101,'Critical resources (hide)'!U$6:U$105)+SUMIF(Capacity_Resource,$E101,'Critical resources (hide)'!U$6:U$105)+SUMIF(Capacity_Resource,$F101,'Critical resources (hide)'!U$6:U$105)&gt;0,$E$1=2),0,1)</f>
        <v>1</v>
      </c>
      <c r="I101" s="68">
        <f ca="1">IF(AND(SUMIF(Capacity_Resource,$D101,'Critical resources (hide)'!V$6:V$105)+SUMIF(Capacity_Resource,$E101,'Critical resources (hide)'!V$6:V$105)+SUMIF(Capacity_Resource,$F101,'Critical resources (hide)'!V$6:V$105)&gt;0,$E$1=2),0,1)</f>
        <v>1</v>
      </c>
      <c r="J101" s="68">
        <f ca="1">IF(AND(SUMIF(Capacity_Resource,$D101,'Critical resources (hide)'!W$6:W$105)+SUMIF(Capacity_Resource,$E101,'Critical resources (hide)'!W$6:W$105)+SUMIF(Capacity_Resource,$F101,'Critical resources (hide)'!W$6:W$105)&gt;0,$E$1=2),0,1)</f>
        <v>1</v>
      </c>
      <c r="K101" s="68">
        <f ca="1">IF(AND(SUMIF(Capacity_Resource,$D101,'Critical resources (hide)'!X$6:X$105)+SUMIF(Capacity_Resource,$E101,'Critical resources (hide)'!X$6:X$105)+SUMIF(Capacity_Resource,$F101,'Critical resources (hide)'!X$6:X$105)&gt;0,$E$1=2),0,1)</f>
        <v>1</v>
      </c>
      <c r="L101" s="68">
        <f ca="1">IF(AND(SUMIF(Capacity_Resource,$D101,'Critical resources (hide)'!Y$6:Y$105)+SUMIF(Capacity_Resource,$E101,'Critical resources (hide)'!Y$6:Y$105)+SUMIF(Capacity_Resource,$F101,'Critical resources (hide)'!Y$6:Y$105)&gt;0,$E$1=2),0,1)</f>
        <v>1</v>
      </c>
      <c r="M101" s="68">
        <f ca="1">IF(AND(SUMIF(Capacity_Resource,$D101,'Critical resources (hide)'!Z$6:Z$105)+SUMIF(Capacity_Resource,$E101,'Critical resources (hide)'!Z$6:Z$105)+SUMIF(Capacity_Resource,$F101,'Critical resources (hide)'!Z$6:Z$105)&gt;0,$E$1=2),0,1)</f>
        <v>1</v>
      </c>
      <c r="N101" s="68">
        <f ca="1">IF(AND(SUMIF(Capacity_Resource,$D101,'Critical resources (hide)'!AA$6:AA$105)+SUMIF(Capacity_Resource,$E101,'Critical resources (hide)'!AA$6:AA$105)+SUMIF(Capacity_Resource,$F101,'Critical resources (hide)'!AA$6:AA$105)&gt;0,$E$1=2),0,1)</f>
        <v>1</v>
      </c>
      <c r="O101" s="68">
        <f ca="1">IF(AND(SUMIF(Capacity_Resource,$D101,'Critical resources (hide)'!AB$6:AB$105)+SUMIF(Capacity_Resource,$E101,'Critical resources (hide)'!AB$6:AB$105)+SUMIF(Capacity_Resource,$F101,'Critical resources (hide)'!AB$6:AB$105)&gt;0,$E$1=2),0,1)</f>
        <v>1</v>
      </c>
      <c r="P101" s="68">
        <f ca="1">IF(AND(SUMIF(Capacity_Resource,$D101,'Critical resources (hide)'!AC$6:AC$105)+SUMIF(Capacity_Resource,$E101,'Critical resources (hide)'!AC$6:AC$105)+SUMIF(Capacity_Resource,$F101,'Critical resources (hide)'!AC$6:AC$105)&gt;0,$E$1=2),0,1)</f>
        <v>1</v>
      </c>
      <c r="Q101" s="68">
        <f ca="1">IF(AND(SUMIF(Capacity_Resource,$D101,'Critical resources (hide)'!AD$6:AD$105)+SUMIF(Capacity_Resource,$E101,'Critical resources (hide)'!AD$6:AD$105)+SUMIF(Capacity_Resource,$F101,'Critical resources (hide)'!AD$6:AD$105)&gt;0,$E$1=2),0,1)</f>
        <v>1</v>
      </c>
      <c r="R101" s="68">
        <f ca="1">IF(AND(SUMIF(Capacity_Resource,$D101,'Critical resources (hide)'!AE$6:AE$105)+SUMIF(Capacity_Resource,$E101,'Critical resources (hide)'!AE$6:AE$105)+SUMIF(Capacity_Resource,$F101,'Critical resources (hide)'!AE$6:AE$105)&gt;0,$E$1=2),0,1)</f>
        <v>1</v>
      </c>
      <c r="S101" s="68">
        <f ca="1">IF(AND(SUMIF(Capacity_Resource,$D101,'Critical resources (hide)'!AF$6:AF$105)+SUMIF(Capacity_Resource,$E101,'Critical resources (hide)'!AF$6:AF$105)+SUMIF(Capacity_Resource,$F101,'Critical resources (hide)'!AF$6:AF$105)&gt;0,$E$1=2),0,1)</f>
        <v>1</v>
      </c>
      <c r="T101" s="68">
        <f ca="1">IF(AND(SUMIF(Capacity_Resource,$D101,'Critical resources (hide)'!AG$6:AG$105)+SUMIF(Capacity_Resource,$E101,'Critical resources (hide)'!AG$6:AG$105)+SUMIF(Capacity_Resource,$F101,'Critical resources (hide)'!AG$6:AG$105)&gt;0,$E$1=2),0,1)</f>
        <v>1</v>
      </c>
      <c r="U101" s="68">
        <f ca="1">IF(AND(SUMIF(Capacity_Resource,$D101,'Critical resources (hide)'!AH$6:AH$105)+SUMIF(Capacity_Resource,$E101,'Critical resources (hide)'!AH$6:AH$105)+SUMIF(Capacity_Resource,$F101,'Critical resources (hide)'!AH$6:AH$105)&gt;0,$E$1=2),0,1)</f>
        <v>1</v>
      </c>
      <c r="V101" s="68">
        <f ca="1">IF(AND(SUMIF(Capacity_Resource,$D101,'Critical resources (hide)'!AI$6:AI$105)+SUMIF(Capacity_Resource,$E101,'Critical resources (hide)'!AI$6:AI$105)+SUMIF(Capacity_Resource,$F101,'Critical resources (hide)'!AI$6:AI$105)&gt;0,$E$1=2),0,1)</f>
        <v>1</v>
      </c>
      <c r="W101" s="68">
        <f ca="1">IF(AND(SUMIF(Capacity_Resource,$D101,'Critical resources (hide)'!AJ$6:AJ$105)+SUMIF(Capacity_Resource,$E101,'Critical resources (hide)'!AJ$6:AJ$105)+SUMIF(Capacity_Resource,$F101,'Critical resources (hide)'!AJ$6:AJ$105)&gt;0,$E$1=2),0,1)</f>
        <v>1</v>
      </c>
      <c r="X101" s="68">
        <f ca="1">IF(AND(SUMIF(Capacity_Resource,$D101,'Critical resources (hide)'!AK$6:AK$105)+SUMIF(Capacity_Resource,$E101,'Critical resources (hide)'!AK$6:AK$105)+SUMIF(Capacity_Resource,$F101,'Critical resources (hide)'!AK$6:AK$105)&gt;0,$E$1=2),0,1)</f>
        <v>1</v>
      </c>
      <c r="Y101" s="68">
        <f ca="1">IF(AND(SUMIF(Capacity_Resource,$D101,'Critical resources (hide)'!AL$6:AL$105)+SUMIF(Capacity_Resource,$E101,'Critical resources (hide)'!AL$6:AL$105)+SUMIF(Capacity_Resource,$F101,'Critical resources (hide)'!AL$6:AL$105)&gt;0,$E$1=2),0,1)</f>
        <v>1</v>
      </c>
      <c r="Z101" s="68">
        <f ca="1">IF(AND(SUMIF(Capacity_Resource,$D101,'Critical resources (hide)'!AM$6:AM$105)+SUMIF(Capacity_Resource,$E101,'Critical resources (hide)'!AM$6:AM$105)+SUMIF(Capacity_Resource,$F101,'Critical resources (hide)'!AM$6:AM$105)&gt;0,$E$1=2),0,1)</f>
        <v>1</v>
      </c>
      <c r="AA101" s="68">
        <f ca="1">IF(AND(SUMIF(Capacity_Resource,$D101,'Critical resources (hide)'!AN$6:AN$105)+SUMIF(Capacity_Resource,$E101,'Critical resources (hide)'!AN$6:AN$105)+SUMIF(Capacity_Resource,$F101,'Critical resources (hide)'!AN$6:AN$105)&gt;0,$E$1=2),0,1)</f>
        <v>1</v>
      </c>
      <c r="AB101" s="68">
        <f ca="1">IF(AND(SUMIF(Capacity_Resource,$D101,'Critical resources (hide)'!AO$6:AO$105)+SUMIF(Capacity_Resource,$E101,'Critical resources (hide)'!AO$6:AO$105)+SUMIF(Capacity_Resource,$F101,'Critical resources (hide)'!AO$6:AO$105)&gt;0,$E$1=2),0,1)</f>
        <v>1</v>
      </c>
      <c r="AC101" s="68">
        <f ca="1">IF(AND(SUMIF(Capacity_Resource,$D101,'Critical resources (hide)'!AP$6:AP$105)+SUMIF(Capacity_Resource,$E101,'Critical resources (hide)'!AP$6:AP$105)+SUMIF(Capacity_Resource,$F101,'Critical resources (hide)'!AP$6:AP$105)&gt;0,$E$1=2),0,1)</f>
        <v>1</v>
      </c>
      <c r="AD101" s="68">
        <f ca="1">IF(AND(SUMIF(Capacity_Resource,$D101,'Critical resources (hide)'!AQ$6:AQ$105)+SUMIF(Capacity_Resource,$E101,'Critical resources (hide)'!AQ$6:AQ$105)+SUMIF(Capacity_Resource,$F101,'Critical resources (hide)'!AQ$6:AQ$105)&gt;0,$E$1=2),0,1)</f>
        <v>1</v>
      </c>
      <c r="AE101" s="68">
        <f ca="1">IF(AND(SUMIF(Capacity_Resource,$D101,'Critical resources (hide)'!AR$6:AR$105)+SUMIF(Capacity_Resource,$E101,'Critical resources (hide)'!AR$6:AR$105)+SUMIF(Capacity_Resource,$F101,'Critical resources (hide)'!AR$6:AR$105)&gt;0,$E$1=2),0,1)</f>
        <v>1</v>
      </c>
      <c r="AF101" s="68">
        <f ca="1">IF(AND(SUMIF(Capacity_Resource,$D101,'Critical resources (hide)'!AS$6:AS$105)+SUMIF(Capacity_Resource,$E101,'Critical resources (hide)'!AS$6:AS$105)+SUMIF(Capacity_Resource,$F101,'Critical resources (hide)'!AS$6:AS$105)&gt;0,$E$1=2),0,1)</f>
        <v>1</v>
      </c>
      <c r="AG101" s="68">
        <f ca="1">IF(AND(SUMIF(Capacity_Resource,$D101,'Critical resources (hide)'!AT$6:AT$105)+SUMIF(Capacity_Resource,$E101,'Critical resources (hide)'!AT$6:AT$105)+SUMIF(Capacity_Resource,$F101,'Critical resources (hide)'!AT$6:AT$105)&gt;0,$E$1=2),0,1)</f>
        <v>1</v>
      </c>
      <c r="AH101" s="68">
        <f ca="1">IF(AND(SUMIF(Capacity_Resource,$D101,'Critical resources (hide)'!AU$6:AU$105)+SUMIF(Capacity_Resource,$E101,'Critical resources (hide)'!AU$6:AU$105)+SUMIF(Capacity_Resource,$F101,'Critical resources (hide)'!AU$6:AU$105)&gt;0,$E$1=2),0,1)</f>
        <v>1</v>
      </c>
      <c r="AI101" s="68">
        <f ca="1">IF(AND(SUMIF(Capacity_Resource,$D101,'Critical resources (hide)'!AV$6:AV$105)+SUMIF(Capacity_Resource,$E101,'Critical resources (hide)'!AV$6:AV$105)+SUMIF(Capacity_Resource,$F101,'Critical resources (hide)'!AV$6:AV$105)&gt;0,$E$1=2),0,1)</f>
        <v>1</v>
      </c>
      <c r="AJ101" s="68">
        <f ca="1">IF(AND(SUMIF(Capacity_Resource,$D101,'Critical resources (hide)'!AW$6:AW$105)+SUMIF(Capacity_Resource,$E101,'Critical resources (hide)'!AW$6:AW$105)+SUMIF(Capacity_Resource,$F101,'Critical resources (hide)'!AW$6:AW$105)&gt;0,$E$1=2),0,1)</f>
        <v>1</v>
      </c>
      <c r="AK101" s="68">
        <f ca="1">IF(AND(SUMIF(Capacity_Resource,$D101,'Critical resources (hide)'!AX$6:AX$105)+SUMIF(Capacity_Resource,$E101,'Critical resources (hide)'!AX$6:AX$105)+SUMIF(Capacity_Resource,$F101,'Critical resources (hide)'!AX$6:AX$105)&gt;0,$E$1=2),0,1)</f>
        <v>1</v>
      </c>
      <c r="AL101" s="68">
        <f ca="1">IF(AND(SUMIF(Capacity_Resource,$D101,'Critical resources (hide)'!AY$6:AY$105)+SUMIF(Capacity_Resource,$E101,'Critical resources (hide)'!AY$6:AY$105)+SUMIF(Capacity_Resource,$F101,'Critical resources (hide)'!AY$6:AY$105)&gt;0,$E$1=2),0,1)</f>
        <v>1</v>
      </c>
      <c r="AM101" s="68">
        <f ca="1">IF(AND(SUMIF(Capacity_Resource,$D101,'Critical resources (hide)'!AZ$6:AZ$105)+SUMIF(Capacity_Resource,$E101,'Critical resources (hide)'!AZ$6:AZ$105)+SUMIF(Capacity_Resource,$F101,'Critical resources (hide)'!AZ$6:AZ$105)&gt;0,$E$1=2),0,1)</f>
        <v>1</v>
      </c>
      <c r="AN101" s="68">
        <f ca="1">IF(AND(SUMIF(Capacity_Resource,$D101,'Critical resources (hide)'!BA$6:BA$105)+SUMIF(Capacity_Resource,$E101,'Critical resources (hide)'!BA$6:BA$105)+SUMIF(Capacity_Resource,$F101,'Critical resources (hide)'!BA$6:BA$105)&gt;0,$E$1=2),0,1)</f>
        <v>1</v>
      </c>
      <c r="AO101" s="68">
        <f ca="1">IF(AND(SUMIF(Capacity_Resource,$D101,'Critical resources (hide)'!BB$6:BB$105)+SUMIF(Capacity_Resource,$E101,'Critical resources (hide)'!BB$6:BB$105)+SUMIF(Capacity_Resource,$F101,'Critical resources (hide)'!BB$6:BB$105)&gt;0,$E$1=2),0,1)</f>
        <v>1</v>
      </c>
      <c r="AP101" s="68">
        <f ca="1">IF(AND(SUMIF(Capacity_Resource,$D101,'Critical resources (hide)'!BC$6:BC$105)+SUMIF(Capacity_Resource,$E101,'Critical resources (hide)'!BC$6:BC$105)+SUMIF(Capacity_Resource,$F101,'Critical resources (hide)'!BC$6:BC$105)&gt;0,$E$1=2),0,1)</f>
        <v>1</v>
      </c>
      <c r="AQ101" s="68">
        <f ca="1">IF(AND(SUMIF(Capacity_Resource,$D101,'Critical resources (hide)'!BD$6:BD$105)+SUMIF(Capacity_Resource,$E101,'Critical resources (hide)'!BD$6:BD$105)+SUMIF(Capacity_Resource,$F101,'Critical resources (hide)'!BD$6:BD$105)&gt;0,$E$1=2),0,1)</f>
        <v>1</v>
      </c>
      <c r="AR101" s="68">
        <f ca="1">IF(AND(SUMIF(Capacity_Resource,$D101,'Critical resources (hide)'!BE$6:BE$105)+SUMIF(Capacity_Resource,$E101,'Critical resources (hide)'!BE$6:BE$105)+SUMIF(Capacity_Resource,$F101,'Critical resources (hide)'!BE$6:BE$105)&gt;0,$E$1=2),0,1)</f>
        <v>1</v>
      </c>
      <c r="AS101" s="68">
        <f ca="1">IF(AND(SUMIF(Capacity_Resource,$D101,'Critical resources (hide)'!BF$6:BF$105)+SUMIF(Capacity_Resource,$E101,'Critical resources (hide)'!BF$6:BF$105)+SUMIF(Capacity_Resource,$F101,'Critical resources (hide)'!BF$6:BF$105)&gt;0,$E$1=2),0,1)</f>
        <v>1</v>
      </c>
      <c r="AT101" s="68">
        <f ca="1">IF(AND(SUMIF(Capacity_Resource,$D101,'Critical resources (hide)'!BG$6:BG$105)+SUMIF(Capacity_Resource,$E101,'Critical resources (hide)'!BG$6:BG$105)+SUMIF(Capacity_Resource,$F101,'Critical resources (hide)'!BG$6:BG$105)&gt;0,$E$1=2),0,1)</f>
        <v>1</v>
      </c>
      <c r="AU101" s="68">
        <f ca="1">IF(AND(SUMIF(Capacity_Resource,$D101,'Critical resources (hide)'!BH$6:BH$105)+SUMIF(Capacity_Resource,$E101,'Critical resources (hide)'!BH$6:BH$105)+SUMIF(Capacity_Resource,$F101,'Critical resources (hide)'!BH$6:BH$105)&gt;0,$E$1=2),0,1)</f>
        <v>1</v>
      </c>
      <c r="AV101" s="68">
        <f ca="1">IF(AND(SUMIF(Capacity_Resource,$D101,'Critical resources (hide)'!BI$6:BI$105)+SUMIF(Capacity_Resource,$E101,'Critical resources (hide)'!BI$6:BI$105)+SUMIF(Capacity_Resource,$F101,'Critical resources (hide)'!BI$6:BI$105)&gt;0,$E$1=2),0,1)</f>
        <v>1</v>
      </c>
      <c r="AW101" s="68">
        <f ca="1">IF(AND(SUMIF(Capacity_Resource,$D101,'Critical resources (hide)'!BJ$6:BJ$105)+SUMIF(Capacity_Resource,$E101,'Critical resources (hide)'!BJ$6:BJ$105)+SUMIF(Capacity_Resource,$F101,'Critical resources (hide)'!BJ$6:BJ$105)&gt;0,$E$1=2),0,1)</f>
        <v>1</v>
      </c>
      <c r="AX101" s="68">
        <f ca="1">IF(AND(SUMIF(Capacity_Resource,$D101,'Critical resources (hide)'!BK$6:BK$105)+SUMIF(Capacity_Resource,$E101,'Critical resources (hide)'!BK$6:BK$105)+SUMIF(Capacity_Resource,$F101,'Critical resources (hide)'!BK$6:BK$105)&gt;0,$E$1=2),0,1)</f>
        <v>1</v>
      </c>
      <c r="AY101" s="68">
        <f ca="1">IF(AND(SUMIF(Capacity_Resource,$D101,'Critical resources (hide)'!BL$6:BL$105)+SUMIF(Capacity_Resource,$E101,'Critical resources (hide)'!BL$6:BL$105)+SUMIF(Capacity_Resource,$F101,'Critical resources (hide)'!BL$6:BL$105)&gt;0,$E$1=2),0,1)</f>
        <v>1</v>
      </c>
      <c r="AZ101" s="68">
        <f ca="1">IF(AND(SUMIF(Capacity_Resource,$D101,'Critical resources (hide)'!BM$6:BM$105)+SUMIF(Capacity_Resource,$E101,'Critical resources (hide)'!BM$6:BM$105)+SUMIF(Capacity_Resource,$F101,'Critical resources (hide)'!BM$6:BM$105)&gt;0,$E$1=2),0,1)</f>
        <v>1</v>
      </c>
      <c r="BA101" s="68">
        <f ca="1">IF(AND(SUMIF(Capacity_Resource,$D101,'Critical resources (hide)'!BN$6:BN$105)+SUMIF(Capacity_Resource,$E101,'Critical resources (hide)'!BN$6:BN$105)+SUMIF(Capacity_Resource,$F101,'Critical resources (hide)'!BN$6:BN$105)&gt;0,$E$1=2),0,1)</f>
        <v>1</v>
      </c>
      <c r="BB101" s="68">
        <f ca="1">IF(AND(SUMIF(Capacity_Resource,$D101,'Critical resources (hide)'!BO$6:BO$105)+SUMIF(Capacity_Resource,$E101,'Critical resources (hide)'!BO$6:BO$105)+SUMIF(Capacity_Resource,$F101,'Critical resources (hide)'!BO$6:BO$105)&gt;0,$E$1=2),0,1)</f>
        <v>1</v>
      </c>
      <c r="BC101" s="68">
        <f ca="1">IF(AND(SUMIF(Capacity_Resource,$D101,'Critical resources (hide)'!BP$6:BP$105)+SUMIF(Capacity_Resource,$E101,'Critical resources (hide)'!BP$6:BP$105)+SUMIF(Capacity_Resource,$F101,'Critical resources (hide)'!BP$6:BP$105)&gt;0,$E$1=2),0,1)</f>
        <v>1</v>
      </c>
      <c r="BD101" s="68">
        <f ca="1">IF(AND(SUMIF(Capacity_Resource,$D101,'Critical resources (hide)'!BQ$6:BQ$105)+SUMIF(Capacity_Resource,$E101,'Critical resources (hide)'!BQ$6:BQ$105)+SUMIF(Capacity_Resource,$F101,'Critical resources (hide)'!BQ$6:BQ$105)&gt;0,$E$1=2),0,1)</f>
        <v>1</v>
      </c>
      <c r="BE101" s="68">
        <f ca="1">IF(AND(SUMIF(Capacity_Resource,$D101,'Critical resources (hide)'!BR$6:BR$105)+SUMIF(Capacity_Resource,$E101,'Critical resources (hide)'!BR$6:BR$105)+SUMIF(Capacity_Resource,$F101,'Critical resources (hide)'!BR$6:BR$105)&gt;0,$E$1=2),0,1)</f>
        <v>1</v>
      </c>
      <c r="BF101" s="68">
        <f ca="1">IF(AND(SUMIF(Capacity_Resource,$D101,'Critical resources (hide)'!BS$6:BS$105)+SUMIF(Capacity_Resource,$E101,'Critical resources (hide)'!BS$6:BS$105)+SUMIF(Capacity_Resource,$F101,'Critical resources (hide)'!BS$6:BS$105)&gt;0,$E$1=2),0,1)</f>
        <v>1</v>
      </c>
      <c r="BG101" s="68">
        <f ca="1">IF(AND(SUMIF(Capacity_Resource,$D101,'Critical resources (hide)'!BT$6:BT$105)+SUMIF(Capacity_Resource,$E101,'Critical resources (hide)'!BT$6:BT$105)+SUMIF(Capacity_Resource,$F101,'Critical resources (hide)'!BT$6:BT$105)&gt;0,$E$1=2),0,1)</f>
        <v>1</v>
      </c>
      <c r="BH101" s="68">
        <f>IF(ROW(C97)&lt;=Capacity!$A$16,IF('Capacity summary'!$D$14="No",SUM(H101:BG101),'Capacity summary'!$E220),0)</f>
        <v>0</v>
      </c>
      <c r="BI101" s="5" t="str">
        <f>IF(BH101&gt;0,IF(BH101&lt;Capacity!E113,Capacity!F113,Capacity!H113/'Capacity calculation (hide)'!BH101),"")</f>
        <v/>
      </c>
      <c r="BK101" s="319">
        <f>IF($BI101&lt;&gt;"",IF('Capacity summary'!$D$14="Yes",IF(COUNTBLANK('Capacity summary'!$H220:$BG220)&lt;52,IF('Capacity summary'!H220&lt;&gt;"",$BI101*H101,0),H101*$BI101),H101*$BI101),0)</f>
        <v>0</v>
      </c>
      <c r="BL101" s="319">
        <f>IF($BI101&lt;&gt;"",IF('Capacity summary'!$D$14="Yes",IF(COUNTBLANK('Capacity summary'!$H220:$BG220)&lt;52,IF('Capacity summary'!I220&lt;&gt;"",$BI101*I101,0),I101*$BI101),I101*$BI101),0)</f>
        <v>0</v>
      </c>
      <c r="BM101" s="319">
        <f>IF($BI101&lt;&gt;"",IF('Capacity summary'!$D$14="Yes",IF(COUNTBLANK('Capacity summary'!$H220:$BG220)&lt;52,IF('Capacity summary'!J220&lt;&gt;"",$BI101*J101,0),J101*$BI101),J101*$BI101),0)</f>
        <v>0</v>
      </c>
      <c r="BN101" s="319">
        <f>IF($BI101&lt;&gt;"",IF('Capacity summary'!$D$14="Yes",IF(COUNTBLANK('Capacity summary'!$H220:$BG220)&lt;52,IF('Capacity summary'!K220&lt;&gt;"",$BI101*K101,0),K101*$BI101),K101*$BI101),0)</f>
        <v>0</v>
      </c>
      <c r="BO101" s="319">
        <f>IF($BI101&lt;&gt;"",IF('Capacity summary'!$D$14="Yes",IF(COUNTBLANK('Capacity summary'!$H220:$BG220)&lt;52,IF('Capacity summary'!L220&lt;&gt;"",$BI101*L101,0),L101*$BI101),L101*$BI101),0)</f>
        <v>0</v>
      </c>
      <c r="BP101" s="319">
        <f>IF($BI101&lt;&gt;"",IF('Capacity summary'!$D$14="Yes",IF(COUNTBLANK('Capacity summary'!$H220:$BG220)&lt;52,IF('Capacity summary'!M220&lt;&gt;"",$BI101*M101,0),M101*$BI101),M101*$BI101),0)</f>
        <v>0</v>
      </c>
      <c r="BQ101" s="319">
        <f>IF($BI101&lt;&gt;"",IF('Capacity summary'!$D$14="Yes",IF(COUNTBLANK('Capacity summary'!$H220:$BG220)&lt;52,IF('Capacity summary'!N220&lt;&gt;"",$BI101*N101,0),N101*$BI101),N101*$BI101),0)</f>
        <v>0</v>
      </c>
      <c r="BR101" s="319">
        <f>IF($BI101&lt;&gt;"",IF('Capacity summary'!$D$14="Yes",IF(COUNTBLANK('Capacity summary'!$H220:$BG220)&lt;52,IF('Capacity summary'!O220&lt;&gt;"",$BI101*O101,0),O101*$BI101),O101*$BI101),0)</f>
        <v>0</v>
      </c>
      <c r="BS101" s="319">
        <f>IF($BI101&lt;&gt;"",IF('Capacity summary'!$D$14="Yes",IF(COUNTBLANK('Capacity summary'!$H220:$BG220)&lt;52,IF('Capacity summary'!P220&lt;&gt;"",$BI101*P101,0),P101*$BI101),P101*$BI101),0)</f>
        <v>0</v>
      </c>
      <c r="BT101" s="319">
        <f>IF($BI101&lt;&gt;"",IF('Capacity summary'!$D$14="Yes",IF(COUNTBLANK('Capacity summary'!$H220:$BG220)&lt;52,IF('Capacity summary'!Q220&lt;&gt;"",$BI101*Q101,0),Q101*$BI101),Q101*$BI101),0)</f>
        <v>0</v>
      </c>
      <c r="BU101" s="319">
        <f>IF($BI101&lt;&gt;"",IF('Capacity summary'!$D$14="Yes",IF(COUNTBLANK('Capacity summary'!$H220:$BG220)&lt;52,IF('Capacity summary'!R220&lt;&gt;"",$BI101*R101,0),R101*$BI101),R101*$BI101),0)</f>
        <v>0</v>
      </c>
      <c r="BV101" s="319">
        <f>IF($BI101&lt;&gt;"",IF('Capacity summary'!$D$14="Yes",IF(COUNTBLANK('Capacity summary'!$H220:$BG220)&lt;52,IF('Capacity summary'!S220&lt;&gt;"",$BI101*S101,0),S101*$BI101),S101*$BI101),0)</f>
        <v>0</v>
      </c>
      <c r="BW101" s="319">
        <f>IF($BI101&lt;&gt;"",IF('Capacity summary'!$D$14="Yes",IF(COUNTBLANK('Capacity summary'!$H220:$BG220)&lt;52,IF('Capacity summary'!T220&lt;&gt;"",$BI101*T101,0),T101*$BI101),T101*$BI101),0)</f>
        <v>0</v>
      </c>
      <c r="BX101" s="319">
        <f>IF($BI101&lt;&gt;"",IF('Capacity summary'!$D$14="Yes",IF(COUNTBLANK('Capacity summary'!$H220:$BG220)&lt;52,IF('Capacity summary'!U220&lt;&gt;"",$BI101*U101,0),U101*$BI101),U101*$BI101),0)</f>
        <v>0</v>
      </c>
      <c r="BY101" s="319">
        <f>IF($BI101&lt;&gt;"",IF('Capacity summary'!$D$14="Yes",IF(COUNTBLANK('Capacity summary'!$H220:$BG220)&lt;52,IF('Capacity summary'!V220&lt;&gt;"",$BI101*V101,0),V101*$BI101),V101*$BI101),0)</f>
        <v>0</v>
      </c>
      <c r="BZ101" s="319">
        <f>IF($BI101&lt;&gt;"",IF('Capacity summary'!$D$14="Yes",IF(COUNTBLANK('Capacity summary'!$H220:$BG220)&lt;52,IF('Capacity summary'!W220&lt;&gt;"",$BI101*W101,0),W101*$BI101),W101*$BI101),0)</f>
        <v>0</v>
      </c>
      <c r="CA101" s="319">
        <f>IF($BI101&lt;&gt;"",IF('Capacity summary'!$D$14="Yes",IF(COUNTBLANK('Capacity summary'!$H220:$BG220)&lt;52,IF('Capacity summary'!X220&lt;&gt;"",$BI101*X101,0),X101*$BI101),X101*$BI101),0)</f>
        <v>0</v>
      </c>
      <c r="CB101" s="319">
        <f>IF($BI101&lt;&gt;"",IF('Capacity summary'!$D$14="Yes",IF(COUNTBLANK('Capacity summary'!$H220:$BG220)&lt;52,IF('Capacity summary'!Y220&lt;&gt;"",$BI101*Y101,0),Y101*$BI101),Y101*$BI101),0)</f>
        <v>0</v>
      </c>
      <c r="CC101" s="319">
        <f>IF($BI101&lt;&gt;"",IF('Capacity summary'!$D$14="Yes",IF(COUNTBLANK('Capacity summary'!$H220:$BG220)&lt;52,IF('Capacity summary'!Z220&lt;&gt;"",$BI101*Z101,0),Z101*$BI101),Z101*$BI101),0)</f>
        <v>0</v>
      </c>
      <c r="CD101" s="319">
        <f>IF($BI101&lt;&gt;"",IF('Capacity summary'!$D$14="Yes",IF(COUNTBLANK('Capacity summary'!$H220:$BG220)&lt;52,IF('Capacity summary'!AA220&lt;&gt;"",$BI101*AA101,0),AA101*$BI101),AA101*$BI101),0)</f>
        <v>0</v>
      </c>
      <c r="CE101" s="319">
        <f>IF($BI101&lt;&gt;"",IF('Capacity summary'!$D$14="Yes",IF(COUNTBLANK('Capacity summary'!$H220:$BG220)&lt;52,IF('Capacity summary'!AB220&lt;&gt;"",$BI101*AB101,0),AB101*$BI101),AB101*$BI101),0)</f>
        <v>0</v>
      </c>
      <c r="CF101" s="319">
        <f>IF($BI101&lt;&gt;"",IF('Capacity summary'!$D$14="Yes",IF(COUNTBLANK('Capacity summary'!$H220:$BG220)&lt;52,IF('Capacity summary'!AC220&lt;&gt;"",$BI101*AC101,0),AC101*$BI101),AC101*$BI101),0)</f>
        <v>0</v>
      </c>
      <c r="CG101" s="319">
        <f>IF($BI101&lt;&gt;"",IF('Capacity summary'!$D$14="Yes",IF(COUNTBLANK('Capacity summary'!$H220:$BG220)&lt;52,IF('Capacity summary'!AD220&lt;&gt;"",$BI101*AD101,0),AD101*$BI101),AD101*$BI101),0)</f>
        <v>0</v>
      </c>
      <c r="CH101" s="319">
        <f>IF($BI101&lt;&gt;"",IF('Capacity summary'!$D$14="Yes",IF(COUNTBLANK('Capacity summary'!$H220:$BG220)&lt;52,IF('Capacity summary'!AE220&lt;&gt;"",$BI101*AE101,0),AE101*$BI101),AE101*$BI101),0)</f>
        <v>0</v>
      </c>
      <c r="CI101" s="319">
        <f>IF($BI101&lt;&gt;"",IF('Capacity summary'!$D$14="Yes",IF(COUNTBLANK('Capacity summary'!$H220:$BG220)&lt;52,IF('Capacity summary'!AF220&lt;&gt;"",$BI101*AF101,0),AF101*$BI101),AF101*$BI101),0)</f>
        <v>0</v>
      </c>
      <c r="CJ101" s="319">
        <f>IF($BI101&lt;&gt;"",IF('Capacity summary'!$D$14="Yes",IF(COUNTBLANK('Capacity summary'!$H220:$BG220)&lt;52,IF('Capacity summary'!AG220&lt;&gt;"",$BI101*AG101,0),AG101*$BI101),AG101*$BI101),0)</f>
        <v>0</v>
      </c>
      <c r="CK101" s="319">
        <f>IF($BI101&lt;&gt;"",IF('Capacity summary'!$D$14="Yes",IF(COUNTBLANK('Capacity summary'!$H220:$BG220)&lt;52,IF('Capacity summary'!AH220&lt;&gt;"",$BI101*AH101,0),AH101*$BI101),AH101*$BI101),0)</f>
        <v>0</v>
      </c>
      <c r="CL101" s="319">
        <f>IF($BI101&lt;&gt;"",IF('Capacity summary'!$D$14="Yes",IF(COUNTBLANK('Capacity summary'!$H220:$BG220)&lt;52,IF('Capacity summary'!AI220&lt;&gt;"",$BI101*AI101,0),AI101*$BI101),AI101*$BI101),0)</f>
        <v>0</v>
      </c>
      <c r="CM101" s="319">
        <f>IF($BI101&lt;&gt;"",IF('Capacity summary'!$D$14="Yes",IF(COUNTBLANK('Capacity summary'!$H220:$BG220)&lt;52,IF('Capacity summary'!AJ220&lt;&gt;"",$BI101*AJ101,0),AJ101*$BI101),AJ101*$BI101),0)</f>
        <v>0</v>
      </c>
      <c r="CN101" s="319">
        <f>IF($BI101&lt;&gt;"",IF('Capacity summary'!$D$14="Yes",IF(COUNTBLANK('Capacity summary'!$H220:$BG220)&lt;52,IF('Capacity summary'!AK220&lt;&gt;"",$BI101*AK101,0),AK101*$BI101),AK101*$BI101),0)</f>
        <v>0</v>
      </c>
      <c r="CO101" s="319">
        <f>IF($BI101&lt;&gt;"",IF('Capacity summary'!$D$14="Yes",IF(COUNTBLANK('Capacity summary'!$H220:$BG220)&lt;52,IF('Capacity summary'!AL220&lt;&gt;"",$BI101*AL101,0),AL101*$BI101),AL101*$BI101),0)</f>
        <v>0</v>
      </c>
      <c r="CP101" s="319">
        <f>IF($BI101&lt;&gt;"",IF('Capacity summary'!$D$14="Yes",IF(COUNTBLANK('Capacity summary'!$H220:$BG220)&lt;52,IF('Capacity summary'!AM220&lt;&gt;"",$BI101*AM101,0),AM101*$BI101),AM101*$BI101),0)</f>
        <v>0</v>
      </c>
      <c r="CQ101" s="319">
        <f>IF($BI101&lt;&gt;"",IF('Capacity summary'!$D$14="Yes",IF(COUNTBLANK('Capacity summary'!$H220:$BG220)&lt;52,IF('Capacity summary'!AN220&lt;&gt;"",$BI101*AN101,0),AN101*$BI101),AN101*$BI101),0)</f>
        <v>0</v>
      </c>
      <c r="CR101" s="319">
        <f>IF($BI101&lt;&gt;"",IF('Capacity summary'!$D$14="Yes",IF(COUNTBLANK('Capacity summary'!$H220:$BG220)&lt;52,IF('Capacity summary'!AO220&lt;&gt;"",$BI101*AO101,0),AO101*$BI101),AO101*$BI101),0)</f>
        <v>0</v>
      </c>
      <c r="CS101" s="319">
        <f>IF($BI101&lt;&gt;"",IF('Capacity summary'!$D$14="Yes",IF(COUNTBLANK('Capacity summary'!$H220:$BG220)&lt;52,IF('Capacity summary'!AP220&lt;&gt;"",$BI101*AP101,0),AP101*$BI101),AP101*$BI101),0)</f>
        <v>0</v>
      </c>
      <c r="CT101" s="319">
        <f>IF($BI101&lt;&gt;"",IF('Capacity summary'!$D$14="Yes",IF(COUNTBLANK('Capacity summary'!$H220:$BG220)&lt;52,IF('Capacity summary'!AQ220&lt;&gt;"",$BI101*AQ101,0),AQ101*$BI101),AQ101*$BI101),0)</f>
        <v>0</v>
      </c>
      <c r="CU101" s="319">
        <f>IF($BI101&lt;&gt;"",IF('Capacity summary'!$D$14="Yes",IF(COUNTBLANK('Capacity summary'!$H220:$BG220)&lt;52,IF('Capacity summary'!AR220&lt;&gt;"",$BI101*AR101,0),AR101*$BI101),AR101*$BI101),0)</f>
        <v>0</v>
      </c>
      <c r="CV101" s="319">
        <f>IF($BI101&lt;&gt;"",IF('Capacity summary'!$D$14="Yes",IF(COUNTBLANK('Capacity summary'!$H220:$BG220)&lt;52,IF('Capacity summary'!AS220&lt;&gt;"",$BI101*AS101,0),AS101*$BI101),AS101*$BI101),0)</f>
        <v>0</v>
      </c>
      <c r="CW101" s="319">
        <f>IF($BI101&lt;&gt;"",IF('Capacity summary'!$D$14="Yes",IF(COUNTBLANK('Capacity summary'!$H220:$BG220)&lt;52,IF('Capacity summary'!AT220&lt;&gt;"",$BI101*AT101,0),AT101*$BI101),AT101*$BI101),0)</f>
        <v>0</v>
      </c>
      <c r="CX101" s="319">
        <f>IF($BI101&lt;&gt;"",IF('Capacity summary'!$D$14="Yes",IF(COUNTBLANK('Capacity summary'!$H220:$BG220)&lt;52,IF('Capacity summary'!AU220&lt;&gt;"",$BI101*AU101,0),AU101*$BI101),AU101*$BI101),0)</f>
        <v>0</v>
      </c>
      <c r="CY101" s="319">
        <f>IF($BI101&lt;&gt;"",IF('Capacity summary'!$D$14="Yes",IF(COUNTBLANK('Capacity summary'!$H220:$BG220)&lt;52,IF('Capacity summary'!AV220&lt;&gt;"",$BI101*AV101,0),AV101*$BI101),AV101*$BI101),0)</f>
        <v>0</v>
      </c>
      <c r="CZ101" s="319">
        <f>IF($BI101&lt;&gt;"",IF('Capacity summary'!$D$14="Yes",IF(COUNTBLANK('Capacity summary'!$H220:$BG220)&lt;52,IF('Capacity summary'!AW220&lt;&gt;"",$BI101*AW101,0),AW101*$BI101),AW101*$BI101),0)</f>
        <v>0</v>
      </c>
      <c r="DA101" s="319">
        <f>IF($BI101&lt;&gt;"",IF('Capacity summary'!$D$14="Yes",IF(COUNTBLANK('Capacity summary'!$H220:$BG220)&lt;52,IF('Capacity summary'!AX220&lt;&gt;"",$BI101*AX101,0),AX101*$BI101),AX101*$BI101),0)</f>
        <v>0</v>
      </c>
      <c r="DB101" s="319">
        <f>IF($BI101&lt;&gt;"",IF('Capacity summary'!$D$14="Yes",IF(COUNTBLANK('Capacity summary'!$H220:$BG220)&lt;52,IF('Capacity summary'!AY220&lt;&gt;"",$BI101*AY101,0),AY101*$BI101),AY101*$BI101),0)</f>
        <v>0</v>
      </c>
      <c r="DC101" s="319">
        <f>IF($BI101&lt;&gt;"",IF('Capacity summary'!$D$14="Yes",IF(COUNTBLANK('Capacity summary'!$H220:$BG220)&lt;52,IF('Capacity summary'!AZ220&lt;&gt;"",$BI101*AZ101,0),AZ101*$BI101),AZ101*$BI101),0)</f>
        <v>0</v>
      </c>
      <c r="DD101" s="319">
        <f>IF($BI101&lt;&gt;"",IF('Capacity summary'!$D$14="Yes",IF(COUNTBLANK('Capacity summary'!$H220:$BG220)&lt;52,IF('Capacity summary'!BA220&lt;&gt;"",$BI101*BA101,0),BA101*$BI101),BA101*$BI101),0)</f>
        <v>0</v>
      </c>
      <c r="DE101" s="319">
        <f>IF($BI101&lt;&gt;"",IF('Capacity summary'!$D$14="Yes",IF(COUNTBLANK('Capacity summary'!$H220:$BG220)&lt;52,IF('Capacity summary'!BB220&lt;&gt;"",$BI101*BB101,0),BB101*$BI101),BB101*$BI101),0)</f>
        <v>0</v>
      </c>
      <c r="DF101" s="319">
        <f>IF($BI101&lt;&gt;"",IF('Capacity summary'!$D$14="Yes",IF(COUNTBLANK('Capacity summary'!$H220:$BG220)&lt;52,IF('Capacity summary'!BC220&lt;&gt;"",$BI101*BC101,0),BC101*$BI101),BC101*$BI101),0)</f>
        <v>0</v>
      </c>
      <c r="DG101" s="319">
        <f>IF($BI101&lt;&gt;"",IF('Capacity summary'!$D$14="Yes",IF(COUNTBLANK('Capacity summary'!$H220:$BG220)&lt;52,IF('Capacity summary'!BD220&lt;&gt;"",$BI101*BD101,0),BD101*$BI101),BD101*$BI101),0)</f>
        <v>0</v>
      </c>
      <c r="DH101" s="319">
        <f>IF($BI101&lt;&gt;"",IF('Capacity summary'!$D$14="Yes",IF(COUNTBLANK('Capacity summary'!$H220:$BG220)&lt;52,IF('Capacity summary'!BE220&lt;&gt;"",$BI101*BE101,0),BE101*$BI101),BE101*$BI101),0)</f>
        <v>0</v>
      </c>
      <c r="DI101" s="319">
        <f>IF($BI101&lt;&gt;"",IF('Capacity summary'!$D$14="Yes",IF(COUNTBLANK('Capacity summary'!$H220:$BG220)&lt;52,IF('Capacity summary'!BF220&lt;&gt;"",$BI101*BF101,0),BF101*$BI101),BF101*$BI101),0)</f>
        <v>0</v>
      </c>
      <c r="DJ101" s="319">
        <f>IF($BI101&lt;&gt;"",IF('Capacity summary'!$D$14="Yes",IF(COUNTBLANK('Capacity summary'!$H220:$BG220)&lt;52,IF('Capacity summary'!BG220&lt;&gt;"",$BI101*BG101,0),BG101*$BI101),BG101*$BI101),0)</f>
        <v>0</v>
      </c>
      <c r="DK101" s="5">
        <f t="shared" si="3"/>
        <v>0</v>
      </c>
      <c r="DL101" s="5" t="str">
        <f>Capacity!H113</f>
        <v/>
      </c>
    </row>
    <row r="102" spans="2:116" x14ac:dyDescent="0.2">
      <c r="B102" s="68"/>
      <c r="C102" s="68" t="str">
        <f>ROW(A98)&amp;". "&amp;Capacity!B114</f>
        <v xml:space="preserve">98. </v>
      </c>
      <c r="D102" s="68">
        <f>'Capacity setup'!C109</f>
        <v>0</v>
      </c>
      <c r="E102" s="68">
        <f>'Capacity setup'!D109</f>
        <v>0</v>
      </c>
      <c r="F102" s="68">
        <f>'Capacity setup'!E109</f>
        <v>0</v>
      </c>
      <c r="H102" s="68">
        <f ca="1">IF(AND(SUMIF(Capacity_Resource,$D102,'Critical resources (hide)'!U$6:U$105)+SUMIF(Capacity_Resource,$E102,'Critical resources (hide)'!U$6:U$105)+SUMIF(Capacity_Resource,$F102,'Critical resources (hide)'!U$6:U$105)&gt;0,$E$1=2),0,1)</f>
        <v>1</v>
      </c>
      <c r="I102" s="68">
        <f ca="1">IF(AND(SUMIF(Capacity_Resource,$D102,'Critical resources (hide)'!V$6:V$105)+SUMIF(Capacity_Resource,$E102,'Critical resources (hide)'!V$6:V$105)+SUMIF(Capacity_Resource,$F102,'Critical resources (hide)'!V$6:V$105)&gt;0,$E$1=2),0,1)</f>
        <v>1</v>
      </c>
      <c r="J102" s="68">
        <f ca="1">IF(AND(SUMIF(Capacity_Resource,$D102,'Critical resources (hide)'!W$6:W$105)+SUMIF(Capacity_Resource,$E102,'Critical resources (hide)'!W$6:W$105)+SUMIF(Capacity_Resource,$F102,'Critical resources (hide)'!W$6:W$105)&gt;0,$E$1=2),0,1)</f>
        <v>1</v>
      </c>
      <c r="K102" s="68">
        <f ca="1">IF(AND(SUMIF(Capacity_Resource,$D102,'Critical resources (hide)'!X$6:X$105)+SUMIF(Capacity_Resource,$E102,'Critical resources (hide)'!X$6:X$105)+SUMIF(Capacity_Resource,$F102,'Critical resources (hide)'!X$6:X$105)&gt;0,$E$1=2),0,1)</f>
        <v>1</v>
      </c>
      <c r="L102" s="68">
        <f ca="1">IF(AND(SUMIF(Capacity_Resource,$D102,'Critical resources (hide)'!Y$6:Y$105)+SUMIF(Capacity_Resource,$E102,'Critical resources (hide)'!Y$6:Y$105)+SUMIF(Capacity_Resource,$F102,'Critical resources (hide)'!Y$6:Y$105)&gt;0,$E$1=2),0,1)</f>
        <v>1</v>
      </c>
      <c r="M102" s="68">
        <f ca="1">IF(AND(SUMIF(Capacity_Resource,$D102,'Critical resources (hide)'!Z$6:Z$105)+SUMIF(Capacity_Resource,$E102,'Critical resources (hide)'!Z$6:Z$105)+SUMIF(Capacity_Resource,$F102,'Critical resources (hide)'!Z$6:Z$105)&gt;0,$E$1=2),0,1)</f>
        <v>1</v>
      </c>
      <c r="N102" s="68">
        <f ca="1">IF(AND(SUMIF(Capacity_Resource,$D102,'Critical resources (hide)'!AA$6:AA$105)+SUMIF(Capacity_Resource,$E102,'Critical resources (hide)'!AA$6:AA$105)+SUMIF(Capacity_Resource,$F102,'Critical resources (hide)'!AA$6:AA$105)&gt;0,$E$1=2),0,1)</f>
        <v>1</v>
      </c>
      <c r="O102" s="68">
        <f ca="1">IF(AND(SUMIF(Capacity_Resource,$D102,'Critical resources (hide)'!AB$6:AB$105)+SUMIF(Capacity_Resource,$E102,'Critical resources (hide)'!AB$6:AB$105)+SUMIF(Capacity_Resource,$F102,'Critical resources (hide)'!AB$6:AB$105)&gt;0,$E$1=2),0,1)</f>
        <v>1</v>
      </c>
      <c r="P102" s="68">
        <f ca="1">IF(AND(SUMIF(Capacity_Resource,$D102,'Critical resources (hide)'!AC$6:AC$105)+SUMIF(Capacity_Resource,$E102,'Critical resources (hide)'!AC$6:AC$105)+SUMIF(Capacity_Resource,$F102,'Critical resources (hide)'!AC$6:AC$105)&gt;0,$E$1=2),0,1)</f>
        <v>1</v>
      </c>
      <c r="Q102" s="68">
        <f ca="1">IF(AND(SUMIF(Capacity_Resource,$D102,'Critical resources (hide)'!AD$6:AD$105)+SUMIF(Capacity_Resource,$E102,'Critical resources (hide)'!AD$6:AD$105)+SUMIF(Capacity_Resource,$F102,'Critical resources (hide)'!AD$6:AD$105)&gt;0,$E$1=2),0,1)</f>
        <v>1</v>
      </c>
      <c r="R102" s="68">
        <f ca="1">IF(AND(SUMIF(Capacity_Resource,$D102,'Critical resources (hide)'!AE$6:AE$105)+SUMIF(Capacity_Resource,$E102,'Critical resources (hide)'!AE$6:AE$105)+SUMIF(Capacity_Resource,$F102,'Critical resources (hide)'!AE$6:AE$105)&gt;0,$E$1=2),0,1)</f>
        <v>1</v>
      </c>
      <c r="S102" s="68">
        <f ca="1">IF(AND(SUMIF(Capacity_Resource,$D102,'Critical resources (hide)'!AF$6:AF$105)+SUMIF(Capacity_Resource,$E102,'Critical resources (hide)'!AF$6:AF$105)+SUMIF(Capacity_Resource,$F102,'Critical resources (hide)'!AF$6:AF$105)&gt;0,$E$1=2),0,1)</f>
        <v>1</v>
      </c>
      <c r="T102" s="68">
        <f ca="1">IF(AND(SUMIF(Capacity_Resource,$D102,'Critical resources (hide)'!AG$6:AG$105)+SUMIF(Capacity_Resource,$E102,'Critical resources (hide)'!AG$6:AG$105)+SUMIF(Capacity_Resource,$F102,'Critical resources (hide)'!AG$6:AG$105)&gt;0,$E$1=2),0,1)</f>
        <v>1</v>
      </c>
      <c r="U102" s="68">
        <f ca="1">IF(AND(SUMIF(Capacity_Resource,$D102,'Critical resources (hide)'!AH$6:AH$105)+SUMIF(Capacity_Resource,$E102,'Critical resources (hide)'!AH$6:AH$105)+SUMIF(Capacity_Resource,$F102,'Critical resources (hide)'!AH$6:AH$105)&gt;0,$E$1=2),0,1)</f>
        <v>1</v>
      </c>
      <c r="V102" s="68">
        <f ca="1">IF(AND(SUMIF(Capacity_Resource,$D102,'Critical resources (hide)'!AI$6:AI$105)+SUMIF(Capacity_Resource,$E102,'Critical resources (hide)'!AI$6:AI$105)+SUMIF(Capacity_Resource,$F102,'Critical resources (hide)'!AI$6:AI$105)&gt;0,$E$1=2),0,1)</f>
        <v>1</v>
      </c>
      <c r="W102" s="68">
        <f ca="1">IF(AND(SUMIF(Capacity_Resource,$D102,'Critical resources (hide)'!AJ$6:AJ$105)+SUMIF(Capacity_Resource,$E102,'Critical resources (hide)'!AJ$6:AJ$105)+SUMIF(Capacity_Resource,$F102,'Critical resources (hide)'!AJ$6:AJ$105)&gt;0,$E$1=2),0,1)</f>
        <v>1</v>
      </c>
      <c r="X102" s="68">
        <f ca="1">IF(AND(SUMIF(Capacity_Resource,$D102,'Critical resources (hide)'!AK$6:AK$105)+SUMIF(Capacity_Resource,$E102,'Critical resources (hide)'!AK$6:AK$105)+SUMIF(Capacity_Resource,$F102,'Critical resources (hide)'!AK$6:AK$105)&gt;0,$E$1=2),0,1)</f>
        <v>1</v>
      </c>
      <c r="Y102" s="68">
        <f ca="1">IF(AND(SUMIF(Capacity_Resource,$D102,'Critical resources (hide)'!AL$6:AL$105)+SUMIF(Capacity_Resource,$E102,'Critical resources (hide)'!AL$6:AL$105)+SUMIF(Capacity_Resource,$F102,'Critical resources (hide)'!AL$6:AL$105)&gt;0,$E$1=2),0,1)</f>
        <v>1</v>
      </c>
      <c r="Z102" s="68">
        <f ca="1">IF(AND(SUMIF(Capacity_Resource,$D102,'Critical resources (hide)'!AM$6:AM$105)+SUMIF(Capacity_Resource,$E102,'Critical resources (hide)'!AM$6:AM$105)+SUMIF(Capacity_Resource,$F102,'Critical resources (hide)'!AM$6:AM$105)&gt;0,$E$1=2),0,1)</f>
        <v>1</v>
      </c>
      <c r="AA102" s="68">
        <f ca="1">IF(AND(SUMIF(Capacity_Resource,$D102,'Critical resources (hide)'!AN$6:AN$105)+SUMIF(Capacity_Resource,$E102,'Critical resources (hide)'!AN$6:AN$105)+SUMIF(Capacity_Resource,$F102,'Critical resources (hide)'!AN$6:AN$105)&gt;0,$E$1=2),0,1)</f>
        <v>1</v>
      </c>
      <c r="AB102" s="68">
        <f ca="1">IF(AND(SUMIF(Capacity_Resource,$D102,'Critical resources (hide)'!AO$6:AO$105)+SUMIF(Capacity_Resource,$E102,'Critical resources (hide)'!AO$6:AO$105)+SUMIF(Capacity_Resource,$F102,'Critical resources (hide)'!AO$6:AO$105)&gt;0,$E$1=2),0,1)</f>
        <v>1</v>
      </c>
      <c r="AC102" s="68">
        <f ca="1">IF(AND(SUMIF(Capacity_Resource,$D102,'Critical resources (hide)'!AP$6:AP$105)+SUMIF(Capacity_Resource,$E102,'Critical resources (hide)'!AP$6:AP$105)+SUMIF(Capacity_Resource,$F102,'Critical resources (hide)'!AP$6:AP$105)&gt;0,$E$1=2),0,1)</f>
        <v>1</v>
      </c>
      <c r="AD102" s="68">
        <f ca="1">IF(AND(SUMIF(Capacity_Resource,$D102,'Critical resources (hide)'!AQ$6:AQ$105)+SUMIF(Capacity_Resource,$E102,'Critical resources (hide)'!AQ$6:AQ$105)+SUMIF(Capacity_Resource,$F102,'Critical resources (hide)'!AQ$6:AQ$105)&gt;0,$E$1=2),0,1)</f>
        <v>1</v>
      </c>
      <c r="AE102" s="68">
        <f ca="1">IF(AND(SUMIF(Capacity_Resource,$D102,'Critical resources (hide)'!AR$6:AR$105)+SUMIF(Capacity_Resource,$E102,'Critical resources (hide)'!AR$6:AR$105)+SUMIF(Capacity_Resource,$F102,'Critical resources (hide)'!AR$6:AR$105)&gt;0,$E$1=2),0,1)</f>
        <v>1</v>
      </c>
      <c r="AF102" s="68">
        <f ca="1">IF(AND(SUMIF(Capacity_Resource,$D102,'Critical resources (hide)'!AS$6:AS$105)+SUMIF(Capacity_Resource,$E102,'Critical resources (hide)'!AS$6:AS$105)+SUMIF(Capacity_Resource,$F102,'Critical resources (hide)'!AS$6:AS$105)&gt;0,$E$1=2),0,1)</f>
        <v>1</v>
      </c>
      <c r="AG102" s="68">
        <f ca="1">IF(AND(SUMIF(Capacity_Resource,$D102,'Critical resources (hide)'!AT$6:AT$105)+SUMIF(Capacity_Resource,$E102,'Critical resources (hide)'!AT$6:AT$105)+SUMIF(Capacity_Resource,$F102,'Critical resources (hide)'!AT$6:AT$105)&gt;0,$E$1=2),0,1)</f>
        <v>1</v>
      </c>
      <c r="AH102" s="68">
        <f ca="1">IF(AND(SUMIF(Capacity_Resource,$D102,'Critical resources (hide)'!AU$6:AU$105)+SUMIF(Capacity_Resource,$E102,'Critical resources (hide)'!AU$6:AU$105)+SUMIF(Capacity_Resource,$F102,'Critical resources (hide)'!AU$6:AU$105)&gt;0,$E$1=2),0,1)</f>
        <v>1</v>
      </c>
      <c r="AI102" s="68">
        <f ca="1">IF(AND(SUMIF(Capacity_Resource,$D102,'Critical resources (hide)'!AV$6:AV$105)+SUMIF(Capacity_Resource,$E102,'Critical resources (hide)'!AV$6:AV$105)+SUMIF(Capacity_Resource,$F102,'Critical resources (hide)'!AV$6:AV$105)&gt;0,$E$1=2),0,1)</f>
        <v>1</v>
      </c>
      <c r="AJ102" s="68">
        <f ca="1">IF(AND(SUMIF(Capacity_Resource,$D102,'Critical resources (hide)'!AW$6:AW$105)+SUMIF(Capacity_Resource,$E102,'Critical resources (hide)'!AW$6:AW$105)+SUMIF(Capacity_Resource,$F102,'Critical resources (hide)'!AW$6:AW$105)&gt;0,$E$1=2),0,1)</f>
        <v>1</v>
      </c>
      <c r="AK102" s="68">
        <f ca="1">IF(AND(SUMIF(Capacity_Resource,$D102,'Critical resources (hide)'!AX$6:AX$105)+SUMIF(Capacity_Resource,$E102,'Critical resources (hide)'!AX$6:AX$105)+SUMIF(Capacity_Resource,$F102,'Critical resources (hide)'!AX$6:AX$105)&gt;0,$E$1=2),0,1)</f>
        <v>1</v>
      </c>
      <c r="AL102" s="68">
        <f ca="1">IF(AND(SUMIF(Capacity_Resource,$D102,'Critical resources (hide)'!AY$6:AY$105)+SUMIF(Capacity_Resource,$E102,'Critical resources (hide)'!AY$6:AY$105)+SUMIF(Capacity_Resource,$F102,'Critical resources (hide)'!AY$6:AY$105)&gt;0,$E$1=2),0,1)</f>
        <v>1</v>
      </c>
      <c r="AM102" s="68">
        <f ca="1">IF(AND(SUMIF(Capacity_Resource,$D102,'Critical resources (hide)'!AZ$6:AZ$105)+SUMIF(Capacity_Resource,$E102,'Critical resources (hide)'!AZ$6:AZ$105)+SUMIF(Capacity_Resource,$F102,'Critical resources (hide)'!AZ$6:AZ$105)&gt;0,$E$1=2),0,1)</f>
        <v>1</v>
      </c>
      <c r="AN102" s="68">
        <f ca="1">IF(AND(SUMIF(Capacity_Resource,$D102,'Critical resources (hide)'!BA$6:BA$105)+SUMIF(Capacity_Resource,$E102,'Critical resources (hide)'!BA$6:BA$105)+SUMIF(Capacity_Resource,$F102,'Critical resources (hide)'!BA$6:BA$105)&gt;0,$E$1=2),0,1)</f>
        <v>1</v>
      </c>
      <c r="AO102" s="68">
        <f ca="1">IF(AND(SUMIF(Capacity_Resource,$D102,'Critical resources (hide)'!BB$6:BB$105)+SUMIF(Capacity_Resource,$E102,'Critical resources (hide)'!BB$6:BB$105)+SUMIF(Capacity_Resource,$F102,'Critical resources (hide)'!BB$6:BB$105)&gt;0,$E$1=2),0,1)</f>
        <v>1</v>
      </c>
      <c r="AP102" s="68">
        <f ca="1">IF(AND(SUMIF(Capacity_Resource,$D102,'Critical resources (hide)'!BC$6:BC$105)+SUMIF(Capacity_Resource,$E102,'Critical resources (hide)'!BC$6:BC$105)+SUMIF(Capacity_Resource,$F102,'Critical resources (hide)'!BC$6:BC$105)&gt;0,$E$1=2),0,1)</f>
        <v>1</v>
      </c>
      <c r="AQ102" s="68">
        <f ca="1">IF(AND(SUMIF(Capacity_Resource,$D102,'Critical resources (hide)'!BD$6:BD$105)+SUMIF(Capacity_Resource,$E102,'Critical resources (hide)'!BD$6:BD$105)+SUMIF(Capacity_Resource,$F102,'Critical resources (hide)'!BD$6:BD$105)&gt;0,$E$1=2),0,1)</f>
        <v>1</v>
      </c>
      <c r="AR102" s="68">
        <f ca="1">IF(AND(SUMIF(Capacity_Resource,$D102,'Critical resources (hide)'!BE$6:BE$105)+SUMIF(Capacity_Resource,$E102,'Critical resources (hide)'!BE$6:BE$105)+SUMIF(Capacity_Resource,$F102,'Critical resources (hide)'!BE$6:BE$105)&gt;0,$E$1=2),0,1)</f>
        <v>1</v>
      </c>
      <c r="AS102" s="68">
        <f ca="1">IF(AND(SUMIF(Capacity_Resource,$D102,'Critical resources (hide)'!BF$6:BF$105)+SUMIF(Capacity_Resource,$E102,'Critical resources (hide)'!BF$6:BF$105)+SUMIF(Capacity_Resource,$F102,'Critical resources (hide)'!BF$6:BF$105)&gt;0,$E$1=2),0,1)</f>
        <v>1</v>
      </c>
      <c r="AT102" s="68">
        <f ca="1">IF(AND(SUMIF(Capacity_Resource,$D102,'Critical resources (hide)'!BG$6:BG$105)+SUMIF(Capacity_Resource,$E102,'Critical resources (hide)'!BG$6:BG$105)+SUMIF(Capacity_Resource,$F102,'Critical resources (hide)'!BG$6:BG$105)&gt;0,$E$1=2),0,1)</f>
        <v>1</v>
      </c>
      <c r="AU102" s="68">
        <f ca="1">IF(AND(SUMIF(Capacity_Resource,$D102,'Critical resources (hide)'!BH$6:BH$105)+SUMIF(Capacity_Resource,$E102,'Critical resources (hide)'!BH$6:BH$105)+SUMIF(Capacity_Resource,$F102,'Critical resources (hide)'!BH$6:BH$105)&gt;0,$E$1=2),0,1)</f>
        <v>1</v>
      </c>
      <c r="AV102" s="68">
        <f ca="1">IF(AND(SUMIF(Capacity_Resource,$D102,'Critical resources (hide)'!BI$6:BI$105)+SUMIF(Capacity_Resource,$E102,'Critical resources (hide)'!BI$6:BI$105)+SUMIF(Capacity_Resource,$F102,'Critical resources (hide)'!BI$6:BI$105)&gt;0,$E$1=2),0,1)</f>
        <v>1</v>
      </c>
      <c r="AW102" s="68">
        <f ca="1">IF(AND(SUMIF(Capacity_Resource,$D102,'Critical resources (hide)'!BJ$6:BJ$105)+SUMIF(Capacity_Resource,$E102,'Critical resources (hide)'!BJ$6:BJ$105)+SUMIF(Capacity_Resource,$F102,'Critical resources (hide)'!BJ$6:BJ$105)&gt;0,$E$1=2),0,1)</f>
        <v>1</v>
      </c>
      <c r="AX102" s="68">
        <f ca="1">IF(AND(SUMIF(Capacity_Resource,$D102,'Critical resources (hide)'!BK$6:BK$105)+SUMIF(Capacity_Resource,$E102,'Critical resources (hide)'!BK$6:BK$105)+SUMIF(Capacity_Resource,$F102,'Critical resources (hide)'!BK$6:BK$105)&gt;0,$E$1=2),0,1)</f>
        <v>1</v>
      </c>
      <c r="AY102" s="68">
        <f ca="1">IF(AND(SUMIF(Capacity_Resource,$D102,'Critical resources (hide)'!BL$6:BL$105)+SUMIF(Capacity_Resource,$E102,'Critical resources (hide)'!BL$6:BL$105)+SUMIF(Capacity_Resource,$F102,'Critical resources (hide)'!BL$6:BL$105)&gt;0,$E$1=2),0,1)</f>
        <v>1</v>
      </c>
      <c r="AZ102" s="68">
        <f ca="1">IF(AND(SUMIF(Capacity_Resource,$D102,'Critical resources (hide)'!BM$6:BM$105)+SUMIF(Capacity_Resource,$E102,'Critical resources (hide)'!BM$6:BM$105)+SUMIF(Capacity_Resource,$F102,'Critical resources (hide)'!BM$6:BM$105)&gt;0,$E$1=2),0,1)</f>
        <v>1</v>
      </c>
      <c r="BA102" s="68">
        <f ca="1">IF(AND(SUMIF(Capacity_Resource,$D102,'Critical resources (hide)'!BN$6:BN$105)+SUMIF(Capacity_Resource,$E102,'Critical resources (hide)'!BN$6:BN$105)+SUMIF(Capacity_Resource,$F102,'Critical resources (hide)'!BN$6:BN$105)&gt;0,$E$1=2),0,1)</f>
        <v>1</v>
      </c>
      <c r="BB102" s="68">
        <f ca="1">IF(AND(SUMIF(Capacity_Resource,$D102,'Critical resources (hide)'!BO$6:BO$105)+SUMIF(Capacity_Resource,$E102,'Critical resources (hide)'!BO$6:BO$105)+SUMIF(Capacity_Resource,$F102,'Critical resources (hide)'!BO$6:BO$105)&gt;0,$E$1=2),0,1)</f>
        <v>1</v>
      </c>
      <c r="BC102" s="68">
        <f ca="1">IF(AND(SUMIF(Capacity_Resource,$D102,'Critical resources (hide)'!BP$6:BP$105)+SUMIF(Capacity_Resource,$E102,'Critical resources (hide)'!BP$6:BP$105)+SUMIF(Capacity_Resource,$F102,'Critical resources (hide)'!BP$6:BP$105)&gt;0,$E$1=2),0,1)</f>
        <v>1</v>
      </c>
      <c r="BD102" s="68">
        <f ca="1">IF(AND(SUMIF(Capacity_Resource,$D102,'Critical resources (hide)'!BQ$6:BQ$105)+SUMIF(Capacity_Resource,$E102,'Critical resources (hide)'!BQ$6:BQ$105)+SUMIF(Capacity_Resource,$F102,'Critical resources (hide)'!BQ$6:BQ$105)&gt;0,$E$1=2),0,1)</f>
        <v>1</v>
      </c>
      <c r="BE102" s="68">
        <f ca="1">IF(AND(SUMIF(Capacity_Resource,$D102,'Critical resources (hide)'!BR$6:BR$105)+SUMIF(Capacity_Resource,$E102,'Critical resources (hide)'!BR$6:BR$105)+SUMIF(Capacity_Resource,$F102,'Critical resources (hide)'!BR$6:BR$105)&gt;0,$E$1=2),0,1)</f>
        <v>1</v>
      </c>
      <c r="BF102" s="68">
        <f ca="1">IF(AND(SUMIF(Capacity_Resource,$D102,'Critical resources (hide)'!BS$6:BS$105)+SUMIF(Capacity_Resource,$E102,'Critical resources (hide)'!BS$6:BS$105)+SUMIF(Capacity_Resource,$F102,'Critical resources (hide)'!BS$6:BS$105)&gt;0,$E$1=2),0,1)</f>
        <v>1</v>
      </c>
      <c r="BG102" s="68">
        <f ca="1">IF(AND(SUMIF(Capacity_Resource,$D102,'Critical resources (hide)'!BT$6:BT$105)+SUMIF(Capacity_Resource,$E102,'Critical resources (hide)'!BT$6:BT$105)+SUMIF(Capacity_Resource,$F102,'Critical resources (hide)'!BT$6:BT$105)&gt;0,$E$1=2),0,1)</f>
        <v>1</v>
      </c>
      <c r="BH102" s="68">
        <f>IF(ROW(C98)&lt;=Capacity!$A$16,IF('Capacity summary'!$D$14="No",SUM(H102:BG102),'Capacity summary'!$E221),0)</f>
        <v>0</v>
      </c>
      <c r="BI102" s="5" t="str">
        <f>IF(BH102&gt;0,IF(BH102&lt;Capacity!E114,Capacity!F114,Capacity!H114/'Capacity calculation (hide)'!BH102),"")</f>
        <v/>
      </c>
      <c r="BK102" s="319">
        <f>IF($BI102&lt;&gt;"",IF('Capacity summary'!$D$14="Yes",IF(COUNTBLANK('Capacity summary'!$H221:$BG221)&lt;52,IF('Capacity summary'!H221&lt;&gt;"",$BI102*H102,0),H102*$BI102),H102*$BI102),0)</f>
        <v>0</v>
      </c>
      <c r="BL102" s="319">
        <f>IF($BI102&lt;&gt;"",IF('Capacity summary'!$D$14="Yes",IF(COUNTBLANK('Capacity summary'!$H221:$BG221)&lt;52,IF('Capacity summary'!I221&lt;&gt;"",$BI102*I102,0),I102*$BI102),I102*$BI102),0)</f>
        <v>0</v>
      </c>
      <c r="BM102" s="319">
        <f>IF($BI102&lt;&gt;"",IF('Capacity summary'!$D$14="Yes",IF(COUNTBLANK('Capacity summary'!$H221:$BG221)&lt;52,IF('Capacity summary'!J221&lt;&gt;"",$BI102*J102,0),J102*$BI102),J102*$BI102),0)</f>
        <v>0</v>
      </c>
      <c r="BN102" s="319">
        <f>IF($BI102&lt;&gt;"",IF('Capacity summary'!$D$14="Yes",IF(COUNTBLANK('Capacity summary'!$H221:$BG221)&lt;52,IF('Capacity summary'!K221&lt;&gt;"",$BI102*K102,0),K102*$BI102),K102*$BI102),0)</f>
        <v>0</v>
      </c>
      <c r="BO102" s="319">
        <f>IF($BI102&lt;&gt;"",IF('Capacity summary'!$D$14="Yes",IF(COUNTBLANK('Capacity summary'!$H221:$BG221)&lt;52,IF('Capacity summary'!L221&lt;&gt;"",$BI102*L102,0),L102*$BI102),L102*$BI102),0)</f>
        <v>0</v>
      </c>
      <c r="BP102" s="319">
        <f>IF($BI102&lt;&gt;"",IF('Capacity summary'!$D$14="Yes",IF(COUNTBLANK('Capacity summary'!$H221:$BG221)&lt;52,IF('Capacity summary'!M221&lt;&gt;"",$BI102*M102,0),M102*$BI102),M102*$BI102),0)</f>
        <v>0</v>
      </c>
      <c r="BQ102" s="319">
        <f>IF($BI102&lt;&gt;"",IF('Capacity summary'!$D$14="Yes",IF(COUNTBLANK('Capacity summary'!$H221:$BG221)&lt;52,IF('Capacity summary'!N221&lt;&gt;"",$BI102*N102,0),N102*$BI102),N102*$BI102),0)</f>
        <v>0</v>
      </c>
      <c r="BR102" s="319">
        <f>IF($BI102&lt;&gt;"",IF('Capacity summary'!$D$14="Yes",IF(COUNTBLANK('Capacity summary'!$H221:$BG221)&lt;52,IF('Capacity summary'!O221&lt;&gt;"",$BI102*O102,0),O102*$BI102),O102*$BI102),0)</f>
        <v>0</v>
      </c>
      <c r="BS102" s="319">
        <f>IF($BI102&lt;&gt;"",IF('Capacity summary'!$D$14="Yes",IF(COUNTBLANK('Capacity summary'!$H221:$BG221)&lt;52,IF('Capacity summary'!P221&lt;&gt;"",$BI102*P102,0),P102*$BI102),P102*$BI102),0)</f>
        <v>0</v>
      </c>
      <c r="BT102" s="319">
        <f>IF($BI102&lt;&gt;"",IF('Capacity summary'!$D$14="Yes",IF(COUNTBLANK('Capacity summary'!$H221:$BG221)&lt;52,IF('Capacity summary'!Q221&lt;&gt;"",$BI102*Q102,0),Q102*$BI102),Q102*$BI102),0)</f>
        <v>0</v>
      </c>
      <c r="BU102" s="319">
        <f>IF($BI102&lt;&gt;"",IF('Capacity summary'!$D$14="Yes",IF(COUNTBLANK('Capacity summary'!$H221:$BG221)&lt;52,IF('Capacity summary'!R221&lt;&gt;"",$BI102*R102,0),R102*$BI102),R102*$BI102),0)</f>
        <v>0</v>
      </c>
      <c r="BV102" s="319">
        <f>IF($BI102&lt;&gt;"",IF('Capacity summary'!$D$14="Yes",IF(COUNTBLANK('Capacity summary'!$H221:$BG221)&lt;52,IF('Capacity summary'!S221&lt;&gt;"",$BI102*S102,0),S102*$BI102),S102*$BI102),0)</f>
        <v>0</v>
      </c>
      <c r="BW102" s="319">
        <f>IF($BI102&lt;&gt;"",IF('Capacity summary'!$D$14="Yes",IF(COUNTBLANK('Capacity summary'!$H221:$BG221)&lt;52,IF('Capacity summary'!T221&lt;&gt;"",$BI102*T102,0),T102*$BI102),T102*$BI102),0)</f>
        <v>0</v>
      </c>
      <c r="BX102" s="319">
        <f>IF($BI102&lt;&gt;"",IF('Capacity summary'!$D$14="Yes",IF(COUNTBLANK('Capacity summary'!$H221:$BG221)&lt;52,IF('Capacity summary'!U221&lt;&gt;"",$BI102*U102,0),U102*$BI102),U102*$BI102),0)</f>
        <v>0</v>
      </c>
      <c r="BY102" s="319">
        <f>IF($BI102&lt;&gt;"",IF('Capacity summary'!$D$14="Yes",IF(COUNTBLANK('Capacity summary'!$H221:$BG221)&lt;52,IF('Capacity summary'!V221&lt;&gt;"",$BI102*V102,0),V102*$BI102),V102*$BI102),0)</f>
        <v>0</v>
      </c>
      <c r="BZ102" s="319">
        <f>IF($BI102&lt;&gt;"",IF('Capacity summary'!$D$14="Yes",IF(COUNTBLANK('Capacity summary'!$H221:$BG221)&lt;52,IF('Capacity summary'!W221&lt;&gt;"",$BI102*W102,0),W102*$BI102),W102*$BI102),0)</f>
        <v>0</v>
      </c>
      <c r="CA102" s="319">
        <f>IF($BI102&lt;&gt;"",IF('Capacity summary'!$D$14="Yes",IF(COUNTBLANK('Capacity summary'!$H221:$BG221)&lt;52,IF('Capacity summary'!X221&lt;&gt;"",$BI102*X102,0),X102*$BI102),X102*$BI102),0)</f>
        <v>0</v>
      </c>
      <c r="CB102" s="319">
        <f>IF($BI102&lt;&gt;"",IF('Capacity summary'!$D$14="Yes",IF(COUNTBLANK('Capacity summary'!$H221:$BG221)&lt;52,IF('Capacity summary'!Y221&lt;&gt;"",$BI102*Y102,0),Y102*$BI102),Y102*$BI102),0)</f>
        <v>0</v>
      </c>
      <c r="CC102" s="319">
        <f>IF($BI102&lt;&gt;"",IF('Capacity summary'!$D$14="Yes",IF(COUNTBLANK('Capacity summary'!$H221:$BG221)&lt;52,IF('Capacity summary'!Z221&lt;&gt;"",$BI102*Z102,0),Z102*$BI102),Z102*$BI102),0)</f>
        <v>0</v>
      </c>
      <c r="CD102" s="319">
        <f>IF($BI102&lt;&gt;"",IF('Capacity summary'!$D$14="Yes",IF(COUNTBLANK('Capacity summary'!$H221:$BG221)&lt;52,IF('Capacity summary'!AA221&lt;&gt;"",$BI102*AA102,0),AA102*$BI102),AA102*$BI102),0)</f>
        <v>0</v>
      </c>
      <c r="CE102" s="319">
        <f>IF($BI102&lt;&gt;"",IF('Capacity summary'!$D$14="Yes",IF(COUNTBLANK('Capacity summary'!$H221:$BG221)&lt;52,IF('Capacity summary'!AB221&lt;&gt;"",$BI102*AB102,0),AB102*$BI102),AB102*$BI102),0)</f>
        <v>0</v>
      </c>
      <c r="CF102" s="319">
        <f>IF($BI102&lt;&gt;"",IF('Capacity summary'!$D$14="Yes",IF(COUNTBLANK('Capacity summary'!$H221:$BG221)&lt;52,IF('Capacity summary'!AC221&lt;&gt;"",$BI102*AC102,0),AC102*$BI102),AC102*$BI102),0)</f>
        <v>0</v>
      </c>
      <c r="CG102" s="319">
        <f>IF($BI102&lt;&gt;"",IF('Capacity summary'!$D$14="Yes",IF(COUNTBLANK('Capacity summary'!$H221:$BG221)&lt;52,IF('Capacity summary'!AD221&lt;&gt;"",$BI102*AD102,0),AD102*$BI102),AD102*$BI102),0)</f>
        <v>0</v>
      </c>
      <c r="CH102" s="319">
        <f>IF($BI102&lt;&gt;"",IF('Capacity summary'!$D$14="Yes",IF(COUNTBLANK('Capacity summary'!$H221:$BG221)&lt;52,IF('Capacity summary'!AE221&lt;&gt;"",$BI102*AE102,0),AE102*$BI102),AE102*$BI102),0)</f>
        <v>0</v>
      </c>
      <c r="CI102" s="319">
        <f>IF($BI102&lt;&gt;"",IF('Capacity summary'!$D$14="Yes",IF(COUNTBLANK('Capacity summary'!$H221:$BG221)&lt;52,IF('Capacity summary'!AF221&lt;&gt;"",$BI102*AF102,0),AF102*$BI102),AF102*$BI102),0)</f>
        <v>0</v>
      </c>
      <c r="CJ102" s="319">
        <f>IF($BI102&lt;&gt;"",IF('Capacity summary'!$D$14="Yes",IF(COUNTBLANK('Capacity summary'!$H221:$BG221)&lt;52,IF('Capacity summary'!AG221&lt;&gt;"",$BI102*AG102,0),AG102*$BI102),AG102*$BI102),0)</f>
        <v>0</v>
      </c>
      <c r="CK102" s="319">
        <f>IF($BI102&lt;&gt;"",IF('Capacity summary'!$D$14="Yes",IF(COUNTBLANK('Capacity summary'!$H221:$BG221)&lt;52,IF('Capacity summary'!AH221&lt;&gt;"",$BI102*AH102,0),AH102*$BI102),AH102*$BI102),0)</f>
        <v>0</v>
      </c>
      <c r="CL102" s="319">
        <f>IF($BI102&lt;&gt;"",IF('Capacity summary'!$D$14="Yes",IF(COUNTBLANK('Capacity summary'!$H221:$BG221)&lt;52,IF('Capacity summary'!AI221&lt;&gt;"",$BI102*AI102,0),AI102*$BI102),AI102*$BI102),0)</f>
        <v>0</v>
      </c>
      <c r="CM102" s="319">
        <f>IF($BI102&lt;&gt;"",IF('Capacity summary'!$D$14="Yes",IF(COUNTBLANK('Capacity summary'!$H221:$BG221)&lt;52,IF('Capacity summary'!AJ221&lt;&gt;"",$BI102*AJ102,0),AJ102*$BI102),AJ102*$BI102),0)</f>
        <v>0</v>
      </c>
      <c r="CN102" s="319">
        <f>IF($BI102&lt;&gt;"",IF('Capacity summary'!$D$14="Yes",IF(COUNTBLANK('Capacity summary'!$H221:$BG221)&lt;52,IF('Capacity summary'!AK221&lt;&gt;"",$BI102*AK102,0),AK102*$BI102),AK102*$BI102),0)</f>
        <v>0</v>
      </c>
      <c r="CO102" s="319">
        <f>IF($BI102&lt;&gt;"",IF('Capacity summary'!$D$14="Yes",IF(COUNTBLANK('Capacity summary'!$H221:$BG221)&lt;52,IF('Capacity summary'!AL221&lt;&gt;"",$BI102*AL102,0),AL102*$BI102),AL102*$BI102),0)</f>
        <v>0</v>
      </c>
      <c r="CP102" s="319">
        <f>IF($BI102&lt;&gt;"",IF('Capacity summary'!$D$14="Yes",IF(COUNTBLANK('Capacity summary'!$H221:$BG221)&lt;52,IF('Capacity summary'!AM221&lt;&gt;"",$BI102*AM102,0),AM102*$BI102),AM102*$BI102),0)</f>
        <v>0</v>
      </c>
      <c r="CQ102" s="319">
        <f>IF($BI102&lt;&gt;"",IF('Capacity summary'!$D$14="Yes",IF(COUNTBLANK('Capacity summary'!$H221:$BG221)&lt;52,IF('Capacity summary'!AN221&lt;&gt;"",$BI102*AN102,0),AN102*$BI102),AN102*$BI102),0)</f>
        <v>0</v>
      </c>
      <c r="CR102" s="319">
        <f>IF($BI102&lt;&gt;"",IF('Capacity summary'!$D$14="Yes",IF(COUNTBLANK('Capacity summary'!$H221:$BG221)&lt;52,IF('Capacity summary'!AO221&lt;&gt;"",$BI102*AO102,0),AO102*$BI102),AO102*$BI102),0)</f>
        <v>0</v>
      </c>
      <c r="CS102" s="319">
        <f>IF($BI102&lt;&gt;"",IF('Capacity summary'!$D$14="Yes",IF(COUNTBLANK('Capacity summary'!$H221:$BG221)&lt;52,IF('Capacity summary'!AP221&lt;&gt;"",$BI102*AP102,0),AP102*$BI102),AP102*$BI102),0)</f>
        <v>0</v>
      </c>
      <c r="CT102" s="319">
        <f>IF($BI102&lt;&gt;"",IF('Capacity summary'!$D$14="Yes",IF(COUNTBLANK('Capacity summary'!$H221:$BG221)&lt;52,IF('Capacity summary'!AQ221&lt;&gt;"",$BI102*AQ102,0),AQ102*$BI102),AQ102*$BI102),0)</f>
        <v>0</v>
      </c>
      <c r="CU102" s="319">
        <f>IF($BI102&lt;&gt;"",IF('Capacity summary'!$D$14="Yes",IF(COUNTBLANK('Capacity summary'!$H221:$BG221)&lt;52,IF('Capacity summary'!AR221&lt;&gt;"",$BI102*AR102,0),AR102*$BI102),AR102*$BI102),0)</f>
        <v>0</v>
      </c>
      <c r="CV102" s="319">
        <f>IF($BI102&lt;&gt;"",IF('Capacity summary'!$D$14="Yes",IF(COUNTBLANK('Capacity summary'!$H221:$BG221)&lt;52,IF('Capacity summary'!AS221&lt;&gt;"",$BI102*AS102,0),AS102*$BI102),AS102*$BI102),0)</f>
        <v>0</v>
      </c>
      <c r="CW102" s="319">
        <f>IF($BI102&lt;&gt;"",IF('Capacity summary'!$D$14="Yes",IF(COUNTBLANK('Capacity summary'!$H221:$BG221)&lt;52,IF('Capacity summary'!AT221&lt;&gt;"",$BI102*AT102,0),AT102*$BI102),AT102*$BI102),0)</f>
        <v>0</v>
      </c>
      <c r="CX102" s="319">
        <f>IF($BI102&lt;&gt;"",IF('Capacity summary'!$D$14="Yes",IF(COUNTBLANK('Capacity summary'!$H221:$BG221)&lt;52,IF('Capacity summary'!AU221&lt;&gt;"",$BI102*AU102,0),AU102*$BI102),AU102*$BI102),0)</f>
        <v>0</v>
      </c>
      <c r="CY102" s="319">
        <f>IF($BI102&lt;&gt;"",IF('Capacity summary'!$D$14="Yes",IF(COUNTBLANK('Capacity summary'!$H221:$BG221)&lt;52,IF('Capacity summary'!AV221&lt;&gt;"",$BI102*AV102,0),AV102*$BI102),AV102*$BI102),0)</f>
        <v>0</v>
      </c>
      <c r="CZ102" s="319">
        <f>IF($BI102&lt;&gt;"",IF('Capacity summary'!$D$14="Yes",IF(COUNTBLANK('Capacity summary'!$H221:$BG221)&lt;52,IF('Capacity summary'!AW221&lt;&gt;"",$BI102*AW102,0),AW102*$BI102),AW102*$BI102),0)</f>
        <v>0</v>
      </c>
      <c r="DA102" s="319">
        <f>IF($BI102&lt;&gt;"",IF('Capacity summary'!$D$14="Yes",IF(COUNTBLANK('Capacity summary'!$H221:$BG221)&lt;52,IF('Capacity summary'!AX221&lt;&gt;"",$BI102*AX102,0),AX102*$BI102),AX102*$BI102),0)</f>
        <v>0</v>
      </c>
      <c r="DB102" s="319">
        <f>IF($BI102&lt;&gt;"",IF('Capacity summary'!$D$14="Yes",IF(COUNTBLANK('Capacity summary'!$H221:$BG221)&lt;52,IF('Capacity summary'!AY221&lt;&gt;"",$BI102*AY102,0),AY102*$BI102),AY102*$BI102),0)</f>
        <v>0</v>
      </c>
      <c r="DC102" s="319">
        <f>IF($BI102&lt;&gt;"",IF('Capacity summary'!$D$14="Yes",IF(COUNTBLANK('Capacity summary'!$H221:$BG221)&lt;52,IF('Capacity summary'!AZ221&lt;&gt;"",$BI102*AZ102,0),AZ102*$BI102),AZ102*$BI102),0)</f>
        <v>0</v>
      </c>
      <c r="DD102" s="319">
        <f>IF($BI102&lt;&gt;"",IF('Capacity summary'!$D$14="Yes",IF(COUNTBLANK('Capacity summary'!$H221:$BG221)&lt;52,IF('Capacity summary'!BA221&lt;&gt;"",$BI102*BA102,0),BA102*$BI102),BA102*$BI102),0)</f>
        <v>0</v>
      </c>
      <c r="DE102" s="319">
        <f>IF($BI102&lt;&gt;"",IF('Capacity summary'!$D$14="Yes",IF(COUNTBLANK('Capacity summary'!$H221:$BG221)&lt;52,IF('Capacity summary'!BB221&lt;&gt;"",$BI102*BB102,0),BB102*$BI102),BB102*$BI102),0)</f>
        <v>0</v>
      </c>
      <c r="DF102" s="319">
        <f>IF($BI102&lt;&gt;"",IF('Capacity summary'!$D$14="Yes",IF(COUNTBLANK('Capacity summary'!$H221:$BG221)&lt;52,IF('Capacity summary'!BC221&lt;&gt;"",$BI102*BC102,0),BC102*$BI102),BC102*$BI102),0)</f>
        <v>0</v>
      </c>
      <c r="DG102" s="319">
        <f>IF($BI102&lt;&gt;"",IF('Capacity summary'!$D$14="Yes",IF(COUNTBLANK('Capacity summary'!$H221:$BG221)&lt;52,IF('Capacity summary'!BD221&lt;&gt;"",$BI102*BD102,0),BD102*$BI102),BD102*$BI102),0)</f>
        <v>0</v>
      </c>
      <c r="DH102" s="319">
        <f>IF($BI102&lt;&gt;"",IF('Capacity summary'!$D$14="Yes",IF(COUNTBLANK('Capacity summary'!$H221:$BG221)&lt;52,IF('Capacity summary'!BE221&lt;&gt;"",$BI102*BE102,0),BE102*$BI102),BE102*$BI102),0)</f>
        <v>0</v>
      </c>
      <c r="DI102" s="319">
        <f>IF($BI102&lt;&gt;"",IF('Capacity summary'!$D$14="Yes",IF(COUNTBLANK('Capacity summary'!$H221:$BG221)&lt;52,IF('Capacity summary'!BF221&lt;&gt;"",$BI102*BF102,0),BF102*$BI102),BF102*$BI102),0)</f>
        <v>0</v>
      </c>
      <c r="DJ102" s="319">
        <f>IF($BI102&lt;&gt;"",IF('Capacity summary'!$D$14="Yes",IF(COUNTBLANK('Capacity summary'!$H221:$BG221)&lt;52,IF('Capacity summary'!BG221&lt;&gt;"",$BI102*BG102,0),BG102*$BI102),BG102*$BI102),0)</f>
        <v>0</v>
      </c>
      <c r="DK102" s="5">
        <f t="shared" si="3"/>
        <v>0</v>
      </c>
      <c r="DL102" s="5" t="str">
        <f>Capacity!H114</f>
        <v/>
      </c>
    </row>
    <row r="103" spans="2:116" x14ac:dyDescent="0.2">
      <c r="B103" s="68"/>
      <c r="C103" s="68" t="str">
        <f>ROW(A99)&amp;". "&amp;Capacity!B115</f>
        <v xml:space="preserve">99. </v>
      </c>
      <c r="D103" s="68">
        <f>'Capacity setup'!C110</f>
        <v>0</v>
      </c>
      <c r="E103" s="68">
        <f>'Capacity setup'!D110</f>
        <v>0</v>
      </c>
      <c r="F103" s="68">
        <f>'Capacity setup'!E110</f>
        <v>0</v>
      </c>
      <c r="H103" s="68">
        <f ca="1">IF(AND(SUMIF(Capacity_Resource,$D103,'Critical resources (hide)'!U$6:U$105)+SUMIF(Capacity_Resource,$E103,'Critical resources (hide)'!U$6:U$105)+SUMIF(Capacity_Resource,$F103,'Critical resources (hide)'!U$6:U$105)&gt;0,$E$1=2),0,1)</f>
        <v>1</v>
      </c>
      <c r="I103" s="68">
        <f ca="1">IF(AND(SUMIF(Capacity_Resource,$D103,'Critical resources (hide)'!V$6:V$105)+SUMIF(Capacity_Resource,$E103,'Critical resources (hide)'!V$6:V$105)+SUMIF(Capacity_Resource,$F103,'Critical resources (hide)'!V$6:V$105)&gt;0,$E$1=2),0,1)</f>
        <v>1</v>
      </c>
      <c r="J103" s="68">
        <f ca="1">IF(AND(SUMIF(Capacity_Resource,$D103,'Critical resources (hide)'!W$6:W$105)+SUMIF(Capacity_Resource,$E103,'Critical resources (hide)'!W$6:W$105)+SUMIF(Capacity_Resource,$F103,'Critical resources (hide)'!W$6:W$105)&gt;0,$E$1=2),0,1)</f>
        <v>1</v>
      </c>
      <c r="K103" s="68">
        <f ca="1">IF(AND(SUMIF(Capacity_Resource,$D103,'Critical resources (hide)'!X$6:X$105)+SUMIF(Capacity_Resource,$E103,'Critical resources (hide)'!X$6:X$105)+SUMIF(Capacity_Resource,$F103,'Critical resources (hide)'!X$6:X$105)&gt;0,$E$1=2),0,1)</f>
        <v>1</v>
      </c>
      <c r="L103" s="68">
        <f ca="1">IF(AND(SUMIF(Capacity_Resource,$D103,'Critical resources (hide)'!Y$6:Y$105)+SUMIF(Capacity_Resource,$E103,'Critical resources (hide)'!Y$6:Y$105)+SUMIF(Capacity_Resource,$F103,'Critical resources (hide)'!Y$6:Y$105)&gt;0,$E$1=2),0,1)</f>
        <v>1</v>
      </c>
      <c r="M103" s="68">
        <f ca="1">IF(AND(SUMIF(Capacity_Resource,$D103,'Critical resources (hide)'!Z$6:Z$105)+SUMIF(Capacity_Resource,$E103,'Critical resources (hide)'!Z$6:Z$105)+SUMIF(Capacity_Resource,$F103,'Critical resources (hide)'!Z$6:Z$105)&gt;0,$E$1=2),0,1)</f>
        <v>1</v>
      </c>
      <c r="N103" s="68">
        <f ca="1">IF(AND(SUMIF(Capacity_Resource,$D103,'Critical resources (hide)'!AA$6:AA$105)+SUMIF(Capacity_Resource,$E103,'Critical resources (hide)'!AA$6:AA$105)+SUMIF(Capacity_Resource,$F103,'Critical resources (hide)'!AA$6:AA$105)&gt;0,$E$1=2),0,1)</f>
        <v>1</v>
      </c>
      <c r="O103" s="68">
        <f ca="1">IF(AND(SUMIF(Capacity_Resource,$D103,'Critical resources (hide)'!AB$6:AB$105)+SUMIF(Capacity_Resource,$E103,'Critical resources (hide)'!AB$6:AB$105)+SUMIF(Capacity_Resource,$F103,'Critical resources (hide)'!AB$6:AB$105)&gt;0,$E$1=2),0,1)</f>
        <v>1</v>
      </c>
      <c r="P103" s="68">
        <f ca="1">IF(AND(SUMIF(Capacity_Resource,$D103,'Critical resources (hide)'!AC$6:AC$105)+SUMIF(Capacity_Resource,$E103,'Critical resources (hide)'!AC$6:AC$105)+SUMIF(Capacity_Resource,$F103,'Critical resources (hide)'!AC$6:AC$105)&gt;0,$E$1=2),0,1)</f>
        <v>1</v>
      </c>
      <c r="Q103" s="68">
        <f ca="1">IF(AND(SUMIF(Capacity_Resource,$D103,'Critical resources (hide)'!AD$6:AD$105)+SUMIF(Capacity_Resource,$E103,'Critical resources (hide)'!AD$6:AD$105)+SUMIF(Capacity_Resource,$F103,'Critical resources (hide)'!AD$6:AD$105)&gt;0,$E$1=2),0,1)</f>
        <v>1</v>
      </c>
      <c r="R103" s="68">
        <f ca="1">IF(AND(SUMIF(Capacity_Resource,$D103,'Critical resources (hide)'!AE$6:AE$105)+SUMIF(Capacity_Resource,$E103,'Critical resources (hide)'!AE$6:AE$105)+SUMIF(Capacity_Resource,$F103,'Critical resources (hide)'!AE$6:AE$105)&gt;0,$E$1=2),0,1)</f>
        <v>1</v>
      </c>
      <c r="S103" s="68">
        <f ca="1">IF(AND(SUMIF(Capacity_Resource,$D103,'Critical resources (hide)'!AF$6:AF$105)+SUMIF(Capacity_Resource,$E103,'Critical resources (hide)'!AF$6:AF$105)+SUMIF(Capacity_Resource,$F103,'Critical resources (hide)'!AF$6:AF$105)&gt;0,$E$1=2),0,1)</f>
        <v>1</v>
      </c>
      <c r="T103" s="68">
        <f ca="1">IF(AND(SUMIF(Capacity_Resource,$D103,'Critical resources (hide)'!AG$6:AG$105)+SUMIF(Capacity_Resource,$E103,'Critical resources (hide)'!AG$6:AG$105)+SUMIF(Capacity_Resource,$F103,'Critical resources (hide)'!AG$6:AG$105)&gt;0,$E$1=2),0,1)</f>
        <v>1</v>
      </c>
      <c r="U103" s="68">
        <f ca="1">IF(AND(SUMIF(Capacity_Resource,$D103,'Critical resources (hide)'!AH$6:AH$105)+SUMIF(Capacity_Resource,$E103,'Critical resources (hide)'!AH$6:AH$105)+SUMIF(Capacity_Resource,$F103,'Critical resources (hide)'!AH$6:AH$105)&gt;0,$E$1=2),0,1)</f>
        <v>1</v>
      </c>
      <c r="V103" s="68">
        <f ca="1">IF(AND(SUMIF(Capacity_Resource,$D103,'Critical resources (hide)'!AI$6:AI$105)+SUMIF(Capacity_Resource,$E103,'Critical resources (hide)'!AI$6:AI$105)+SUMIF(Capacity_Resource,$F103,'Critical resources (hide)'!AI$6:AI$105)&gt;0,$E$1=2),0,1)</f>
        <v>1</v>
      </c>
      <c r="W103" s="68">
        <f ca="1">IF(AND(SUMIF(Capacity_Resource,$D103,'Critical resources (hide)'!AJ$6:AJ$105)+SUMIF(Capacity_Resource,$E103,'Critical resources (hide)'!AJ$6:AJ$105)+SUMIF(Capacity_Resource,$F103,'Critical resources (hide)'!AJ$6:AJ$105)&gt;0,$E$1=2),0,1)</f>
        <v>1</v>
      </c>
      <c r="X103" s="68">
        <f ca="1">IF(AND(SUMIF(Capacity_Resource,$D103,'Critical resources (hide)'!AK$6:AK$105)+SUMIF(Capacity_Resource,$E103,'Critical resources (hide)'!AK$6:AK$105)+SUMIF(Capacity_Resource,$F103,'Critical resources (hide)'!AK$6:AK$105)&gt;0,$E$1=2),0,1)</f>
        <v>1</v>
      </c>
      <c r="Y103" s="68">
        <f ca="1">IF(AND(SUMIF(Capacity_Resource,$D103,'Critical resources (hide)'!AL$6:AL$105)+SUMIF(Capacity_Resource,$E103,'Critical resources (hide)'!AL$6:AL$105)+SUMIF(Capacity_Resource,$F103,'Critical resources (hide)'!AL$6:AL$105)&gt;0,$E$1=2),0,1)</f>
        <v>1</v>
      </c>
      <c r="Z103" s="68">
        <f ca="1">IF(AND(SUMIF(Capacity_Resource,$D103,'Critical resources (hide)'!AM$6:AM$105)+SUMIF(Capacity_Resource,$E103,'Critical resources (hide)'!AM$6:AM$105)+SUMIF(Capacity_Resource,$F103,'Critical resources (hide)'!AM$6:AM$105)&gt;0,$E$1=2),0,1)</f>
        <v>1</v>
      </c>
      <c r="AA103" s="68">
        <f ca="1">IF(AND(SUMIF(Capacity_Resource,$D103,'Critical resources (hide)'!AN$6:AN$105)+SUMIF(Capacity_Resource,$E103,'Critical resources (hide)'!AN$6:AN$105)+SUMIF(Capacity_Resource,$F103,'Critical resources (hide)'!AN$6:AN$105)&gt;0,$E$1=2),0,1)</f>
        <v>1</v>
      </c>
      <c r="AB103" s="68">
        <f ca="1">IF(AND(SUMIF(Capacity_Resource,$D103,'Critical resources (hide)'!AO$6:AO$105)+SUMIF(Capacity_Resource,$E103,'Critical resources (hide)'!AO$6:AO$105)+SUMIF(Capacity_Resource,$F103,'Critical resources (hide)'!AO$6:AO$105)&gt;0,$E$1=2),0,1)</f>
        <v>1</v>
      </c>
      <c r="AC103" s="68">
        <f ca="1">IF(AND(SUMIF(Capacity_Resource,$D103,'Critical resources (hide)'!AP$6:AP$105)+SUMIF(Capacity_Resource,$E103,'Critical resources (hide)'!AP$6:AP$105)+SUMIF(Capacity_Resource,$F103,'Critical resources (hide)'!AP$6:AP$105)&gt;0,$E$1=2),0,1)</f>
        <v>1</v>
      </c>
      <c r="AD103" s="68">
        <f ca="1">IF(AND(SUMIF(Capacity_Resource,$D103,'Critical resources (hide)'!AQ$6:AQ$105)+SUMIF(Capacity_Resource,$E103,'Critical resources (hide)'!AQ$6:AQ$105)+SUMIF(Capacity_Resource,$F103,'Critical resources (hide)'!AQ$6:AQ$105)&gt;0,$E$1=2),0,1)</f>
        <v>1</v>
      </c>
      <c r="AE103" s="68">
        <f ca="1">IF(AND(SUMIF(Capacity_Resource,$D103,'Critical resources (hide)'!AR$6:AR$105)+SUMIF(Capacity_Resource,$E103,'Critical resources (hide)'!AR$6:AR$105)+SUMIF(Capacity_Resource,$F103,'Critical resources (hide)'!AR$6:AR$105)&gt;0,$E$1=2),0,1)</f>
        <v>1</v>
      </c>
      <c r="AF103" s="68">
        <f ca="1">IF(AND(SUMIF(Capacity_Resource,$D103,'Critical resources (hide)'!AS$6:AS$105)+SUMIF(Capacity_Resource,$E103,'Critical resources (hide)'!AS$6:AS$105)+SUMIF(Capacity_Resource,$F103,'Critical resources (hide)'!AS$6:AS$105)&gt;0,$E$1=2),0,1)</f>
        <v>1</v>
      </c>
      <c r="AG103" s="68">
        <f ca="1">IF(AND(SUMIF(Capacity_Resource,$D103,'Critical resources (hide)'!AT$6:AT$105)+SUMIF(Capacity_Resource,$E103,'Critical resources (hide)'!AT$6:AT$105)+SUMIF(Capacity_Resource,$F103,'Critical resources (hide)'!AT$6:AT$105)&gt;0,$E$1=2),0,1)</f>
        <v>1</v>
      </c>
      <c r="AH103" s="68">
        <f ca="1">IF(AND(SUMIF(Capacity_Resource,$D103,'Critical resources (hide)'!AU$6:AU$105)+SUMIF(Capacity_Resource,$E103,'Critical resources (hide)'!AU$6:AU$105)+SUMIF(Capacity_Resource,$F103,'Critical resources (hide)'!AU$6:AU$105)&gt;0,$E$1=2),0,1)</f>
        <v>1</v>
      </c>
      <c r="AI103" s="68">
        <f ca="1">IF(AND(SUMIF(Capacity_Resource,$D103,'Critical resources (hide)'!AV$6:AV$105)+SUMIF(Capacity_Resource,$E103,'Critical resources (hide)'!AV$6:AV$105)+SUMIF(Capacity_Resource,$F103,'Critical resources (hide)'!AV$6:AV$105)&gt;0,$E$1=2),0,1)</f>
        <v>1</v>
      </c>
      <c r="AJ103" s="68">
        <f ca="1">IF(AND(SUMIF(Capacity_Resource,$D103,'Critical resources (hide)'!AW$6:AW$105)+SUMIF(Capacity_Resource,$E103,'Critical resources (hide)'!AW$6:AW$105)+SUMIF(Capacity_Resource,$F103,'Critical resources (hide)'!AW$6:AW$105)&gt;0,$E$1=2),0,1)</f>
        <v>1</v>
      </c>
      <c r="AK103" s="68">
        <f ca="1">IF(AND(SUMIF(Capacity_Resource,$D103,'Critical resources (hide)'!AX$6:AX$105)+SUMIF(Capacity_Resource,$E103,'Critical resources (hide)'!AX$6:AX$105)+SUMIF(Capacity_Resource,$F103,'Critical resources (hide)'!AX$6:AX$105)&gt;0,$E$1=2),0,1)</f>
        <v>1</v>
      </c>
      <c r="AL103" s="68">
        <f ca="1">IF(AND(SUMIF(Capacity_Resource,$D103,'Critical resources (hide)'!AY$6:AY$105)+SUMIF(Capacity_Resource,$E103,'Critical resources (hide)'!AY$6:AY$105)+SUMIF(Capacity_Resource,$F103,'Critical resources (hide)'!AY$6:AY$105)&gt;0,$E$1=2),0,1)</f>
        <v>1</v>
      </c>
      <c r="AM103" s="68">
        <f ca="1">IF(AND(SUMIF(Capacity_Resource,$D103,'Critical resources (hide)'!AZ$6:AZ$105)+SUMIF(Capacity_Resource,$E103,'Critical resources (hide)'!AZ$6:AZ$105)+SUMIF(Capacity_Resource,$F103,'Critical resources (hide)'!AZ$6:AZ$105)&gt;0,$E$1=2),0,1)</f>
        <v>1</v>
      </c>
      <c r="AN103" s="68">
        <f ca="1">IF(AND(SUMIF(Capacity_Resource,$D103,'Critical resources (hide)'!BA$6:BA$105)+SUMIF(Capacity_Resource,$E103,'Critical resources (hide)'!BA$6:BA$105)+SUMIF(Capacity_Resource,$F103,'Critical resources (hide)'!BA$6:BA$105)&gt;0,$E$1=2),0,1)</f>
        <v>1</v>
      </c>
      <c r="AO103" s="68">
        <f ca="1">IF(AND(SUMIF(Capacity_Resource,$D103,'Critical resources (hide)'!BB$6:BB$105)+SUMIF(Capacity_Resource,$E103,'Critical resources (hide)'!BB$6:BB$105)+SUMIF(Capacity_Resource,$F103,'Critical resources (hide)'!BB$6:BB$105)&gt;0,$E$1=2),0,1)</f>
        <v>1</v>
      </c>
      <c r="AP103" s="68">
        <f ca="1">IF(AND(SUMIF(Capacity_Resource,$D103,'Critical resources (hide)'!BC$6:BC$105)+SUMIF(Capacity_Resource,$E103,'Critical resources (hide)'!BC$6:BC$105)+SUMIF(Capacity_Resource,$F103,'Critical resources (hide)'!BC$6:BC$105)&gt;0,$E$1=2),0,1)</f>
        <v>1</v>
      </c>
      <c r="AQ103" s="68">
        <f ca="1">IF(AND(SUMIF(Capacity_Resource,$D103,'Critical resources (hide)'!BD$6:BD$105)+SUMIF(Capacity_Resource,$E103,'Critical resources (hide)'!BD$6:BD$105)+SUMIF(Capacity_Resource,$F103,'Critical resources (hide)'!BD$6:BD$105)&gt;0,$E$1=2),0,1)</f>
        <v>1</v>
      </c>
      <c r="AR103" s="68">
        <f ca="1">IF(AND(SUMIF(Capacity_Resource,$D103,'Critical resources (hide)'!BE$6:BE$105)+SUMIF(Capacity_Resource,$E103,'Critical resources (hide)'!BE$6:BE$105)+SUMIF(Capacity_Resource,$F103,'Critical resources (hide)'!BE$6:BE$105)&gt;0,$E$1=2),0,1)</f>
        <v>1</v>
      </c>
      <c r="AS103" s="68">
        <f ca="1">IF(AND(SUMIF(Capacity_Resource,$D103,'Critical resources (hide)'!BF$6:BF$105)+SUMIF(Capacity_Resource,$E103,'Critical resources (hide)'!BF$6:BF$105)+SUMIF(Capacity_Resource,$F103,'Critical resources (hide)'!BF$6:BF$105)&gt;0,$E$1=2),0,1)</f>
        <v>1</v>
      </c>
      <c r="AT103" s="68">
        <f ca="1">IF(AND(SUMIF(Capacity_Resource,$D103,'Critical resources (hide)'!BG$6:BG$105)+SUMIF(Capacity_Resource,$E103,'Critical resources (hide)'!BG$6:BG$105)+SUMIF(Capacity_Resource,$F103,'Critical resources (hide)'!BG$6:BG$105)&gt;0,$E$1=2),0,1)</f>
        <v>1</v>
      </c>
      <c r="AU103" s="68">
        <f ca="1">IF(AND(SUMIF(Capacity_Resource,$D103,'Critical resources (hide)'!BH$6:BH$105)+SUMIF(Capacity_Resource,$E103,'Critical resources (hide)'!BH$6:BH$105)+SUMIF(Capacity_Resource,$F103,'Critical resources (hide)'!BH$6:BH$105)&gt;0,$E$1=2),0,1)</f>
        <v>1</v>
      </c>
      <c r="AV103" s="68">
        <f ca="1">IF(AND(SUMIF(Capacity_Resource,$D103,'Critical resources (hide)'!BI$6:BI$105)+SUMIF(Capacity_Resource,$E103,'Critical resources (hide)'!BI$6:BI$105)+SUMIF(Capacity_Resource,$F103,'Critical resources (hide)'!BI$6:BI$105)&gt;0,$E$1=2),0,1)</f>
        <v>1</v>
      </c>
      <c r="AW103" s="68">
        <f ca="1">IF(AND(SUMIF(Capacity_Resource,$D103,'Critical resources (hide)'!BJ$6:BJ$105)+SUMIF(Capacity_Resource,$E103,'Critical resources (hide)'!BJ$6:BJ$105)+SUMIF(Capacity_Resource,$F103,'Critical resources (hide)'!BJ$6:BJ$105)&gt;0,$E$1=2),0,1)</f>
        <v>1</v>
      </c>
      <c r="AX103" s="68">
        <f ca="1">IF(AND(SUMIF(Capacity_Resource,$D103,'Critical resources (hide)'!BK$6:BK$105)+SUMIF(Capacity_Resource,$E103,'Critical resources (hide)'!BK$6:BK$105)+SUMIF(Capacity_Resource,$F103,'Critical resources (hide)'!BK$6:BK$105)&gt;0,$E$1=2),0,1)</f>
        <v>1</v>
      </c>
      <c r="AY103" s="68">
        <f ca="1">IF(AND(SUMIF(Capacity_Resource,$D103,'Critical resources (hide)'!BL$6:BL$105)+SUMIF(Capacity_Resource,$E103,'Critical resources (hide)'!BL$6:BL$105)+SUMIF(Capacity_Resource,$F103,'Critical resources (hide)'!BL$6:BL$105)&gt;0,$E$1=2),0,1)</f>
        <v>1</v>
      </c>
      <c r="AZ103" s="68">
        <f ca="1">IF(AND(SUMIF(Capacity_Resource,$D103,'Critical resources (hide)'!BM$6:BM$105)+SUMIF(Capacity_Resource,$E103,'Critical resources (hide)'!BM$6:BM$105)+SUMIF(Capacity_Resource,$F103,'Critical resources (hide)'!BM$6:BM$105)&gt;0,$E$1=2),0,1)</f>
        <v>1</v>
      </c>
      <c r="BA103" s="68">
        <f ca="1">IF(AND(SUMIF(Capacity_Resource,$D103,'Critical resources (hide)'!BN$6:BN$105)+SUMIF(Capacity_Resource,$E103,'Critical resources (hide)'!BN$6:BN$105)+SUMIF(Capacity_Resource,$F103,'Critical resources (hide)'!BN$6:BN$105)&gt;0,$E$1=2),0,1)</f>
        <v>1</v>
      </c>
      <c r="BB103" s="68">
        <f ca="1">IF(AND(SUMIF(Capacity_Resource,$D103,'Critical resources (hide)'!BO$6:BO$105)+SUMIF(Capacity_Resource,$E103,'Critical resources (hide)'!BO$6:BO$105)+SUMIF(Capacity_Resource,$F103,'Critical resources (hide)'!BO$6:BO$105)&gt;0,$E$1=2),0,1)</f>
        <v>1</v>
      </c>
      <c r="BC103" s="68">
        <f ca="1">IF(AND(SUMIF(Capacity_Resource,$D103,'Critical resources (hide)'!BP$6:BP$105)+SUMIF(Capacity_Resource,$E103,'Critical resources (hide)'!BP$6:BP$105)+SUMIF(Capacity_Resource,$F103,'Critical resources (hide)'!BP$6:BP$105)&gt;0,$E$1=2),0,1)</f>
        <v>1</v>
      </c>
      <c r="BD103" s="68">
        <f ca="1">IF(AND(SUMIF(Capacity_Resource,$D103,'Critical resources (hide)'!BQ$6:BQ$105)+SUMIF(Capacity_Resource,$E103,'Critical resources (hide)'!BQ$6:BQ$105)+SUMIF(Capacity_Resource,$F103,'Critical resources (hide)'!BQ$6:BQ$105)&gt;0,$E$1=2),0,1)</f>
        <v>1</v>
      </c>
      <c r="BE103" s="68">
        <f ca="1">IF(AND(SUMIF(Capacity_Resource,$D103,'Critical resources (hide)'!BR$6:BR$105)+SUMIF(Capacity_Resource,$E103,'Critical resources (hide)'!BR$6:BR$105)+SUMIF(Capacity_Resource,$F103,'Critical resources (hide)'!BR$6:BR$105)&gt;0,$E$1=2),0,1)</f>
        <v>1</v>
      </c>
      <c r="BF103" s="68">
        <f ca="1">IF(AND(SUMIF(Capacity_Resource,$D103,'Critical resources (hide)'!BS$6:BS$105)+SUMIF(Capacity_Resource,$E103,'Critical resources (hide)'!BS$6:BS$105)+SUMIF(Capacity_Resource,$F103,'Critical resources (hide)'!BS$6:BS$105)&gt;0,$E$1=2),0,1)</f>
        <v>1</v>
      </c>
      <c r="BG103" s="68">
        <f ca="1">IF(AND(SUMIF(Capacity_Resource,$D103,'Critical resources (hide)'!BT$6:BT$105)+SUMIF(Capacity_Resource,$E103,'Critical resources (hide)'!BT$6:BT$105)+SUMIF(Capacity_Resource,$F103,'Critical resources (hide)'!BT$6:BT$105)&gt;0,$E$1=2),0,1)</f>
        <v>1</v>
      </c>
      <c r="BH103" s="68">
        <f>IF(ROW(C99)&lt;=Capacity!$A$16,IF('Capacity summary'!$D$14="No",SUM(H103:BG103),'Capacity summary'!$E222),0)</f>
        <v>0</v>
      </c>
      <c r="BI103" s="5" t="str">
        <f>IF(BH103&gt;0,IF(BH103&lt;Capacity!E115,Capacity!F115,Capacity!H115/'Capacity calculation (hide)'!BH103),"")</f>
        <v/>
      </c>
      <c r="BK103" s="319">
        <f>IF($BI103&lt;&gt;"",IF('Capacity summary'!$D$14="Yes",IF(COUNTBLANK('Capacity summary'!$H222:$BG222)&lt;52,IF('Capacity summary'!H222&lt;&gt;"",$BI103*H103,0),H103*$BI103),H103*$BI103),0)</f>
        <v>0</v>
      </c>
      <c r="BL103" s="319">
        <f>IF($BI103&lt;&gt;"",IF('Capacity summary'!$D$14="Yes",IF(COUNTBLANK('Capacity summary'!$H222:$BG222)&lt;52,IF('Capacity summary'!I222&lt;&gt;"",$BI103*I103,0),I103*$BI103),I103*$BI103),0)</f>
        <v>0</v>
      </c>
      <c r="BM103" s="319">
        <f>IF($BI103&lt;&gt;"",IF('Capacity summary'!$D$14="Yes",IF(COUNTBLANK('Capacity summary'!$H222:$BG222)&lt;52,IF('Capacity summary'!J222&lt;&gt;"",$BI103*J103,0),J103*$BI103),J103*$BI103),0)</f>
        <v>0</v>
      </c>
      <c r="BN103" s="319">
        <f>IF($BI103&lt;&gt;"",IF('Capacity summary'!$D$14="Yes",IF(COUNTBLANK('Capacity summary'!$H222:$BG222)&lt;52,IF('Capacity summary'!K222&lt;&gt;"",$BI103*K103,0),K103*$BI103),K103*$BI103),0)</f>
        <v>0</v>
      </c>
      <c r="BO103" s="319">
        <f>IF($BI103&lt;&gt;"",IF('Capacity summary'!$D$14="Yes",IF(COUNTBLANK('Capacity summary'!$H222:$BG222)&lt;52,IF('Capacity summary'!L222&lt;&gt;"",$BI103*L103,0),L103*$BI103),L103*$BI103),0)</f>
        <v>0</v>
      </c>
      <c r="BP103" s="319">
        <f>IF($BI103&lt;&gt;"",IF('Capacity summary'!$D$14="Yes",IF(COUNTBLANK('Capacity summary'!$H222:$BG222)&lt;52,IF('Capacity summary'!M222&lt;&gt;"",$BI103*M103,0),M103*$BI103),M103*$BI103),0)</f>
        <v>0</v>
      </c>
      <c r="BQ103" s="319">
        <f>IF($BI103&lt;&gt;"",IF('Capacity summary'!$D$14="Yes",IF(COUNTBLANK('Capacity summary'!$H222:$BG222)&lt;52,IF('Capacity summary'!N222&lt;&gt;"",$BI103*N103,0),N103*$BI103),N103*$BI103),0)</f>
        <v>0</v>
      </c>
      <c r="BR103" s="319">
        <f>IF($BI103&lt;&gt;"",IF('Capacity summary'!$D$14="Yes",IF(COUNTBLANK('Capacity summary'!$H222:$BG222)&lt;52,IF('Capacity summary'!O222&lt;&gt;"",$BI103*O103,0),O103*$BI103),O103*$BI103),0)</f>
        <v>0</v>
      </c>
      <c r="BS103" s="319">
        <f>IF($BI103&lt;&gt;"",IF('Capacity summary'!$D$14="Yes",IF(COUNTBLANK('Capacity summary'!$H222:$BG222)&lt;52,IF('Capacity summary'!P222&lt;&gt;"",$BI103*P103,0),P103*$BI103),P103*$BI103),0)</f>
        <v>0</v>
      </c>
      <c r="BT103" s="319">
        <f>IF($BI103&lt;&gt;"",IF('Capacity summary'!$D$14="Yes",IF(COUNTBLANK('Capacity summary'!$H222:$BG222)&lt;52,IF('Capacity summary'!Q222&lt;&gt;"",$BI103*Q103,0),Q103*$BI103),Q103*$BI103),0)</f>
        <v>0</v>
      </c>
      <c r="BU103" s="319">
        <f>IF($BI103&lt;&gt;"",IF('Capacity summary'!$D$14="Yes",IF(COUNTBLANK('Capacity summary'!$H222:$BG222)&lt;52,IF('Capacity summary'!R222&lt;&gt;"",$BI103*R103,0),R103*$BI103),R103*$BI103),0)</f>
        <v>0</v>
      </c>
      <c r="BV103" s="319">
        <f>IF($BI103&lt;&gt;"",IF('Capacity summary'!$D$14="Yes",IF(COUNTBLANK('Capacity summary'!$H222:$BG222)&lt;52,IF('Capacity summary'!S222&lt;&gt;"",$BI103*S103,0),S103*$BI103),S103*$BI103),0)</f>
        <v>0</v>
      </c>
      <c r="BW103" s="319">
        <f>IF($BI103&lt;&gt;"",IF('Capacity summary'!$D$14="Yes",IF(COUNTBLANK('Capacity summary'!$H222:$BG222)&lt;52,IF('Capacity summary'!T222&lt;&gt;"",$BI103*T103,0),T103*$BI103),T103*$BI103),0)</f>
        <v>0</v>
      </c>
      <c r="BX103" s="319">
        <f>IF($BI103&lt;&gt;"",IF('Capacity summary'!$D$14="Yes",IF(COUNTBLANK('Capacity summary'!$H222:$BG222)&lt;52,IF('Capacity summary'!U222&lt;&gt;"",$BI103*U103,0),U103*$BI103),U103*$BI103),0)</f>
        <v>0</v>
      </c>
      <c r="BY103" s="319">
        <f>IF($BI103&lt;&gt;"",IF('Capacity summary'!$D$14="Yes",IF(COUNTBLANK('Capacity summary'!$H222:$BG222)&lt;52,IF('Capacity summary'!V222&lt;&gt;"",$BI103*V103,0),V103*$BI103),V103*$BI103),0)</f>
        <v>0</v>
      </c>
      <c r="BZ103" s="319">
        <f>IF($BI103&lt;&gt;"",IF('Capacity summary'!$D$14="Yes",IF(COUNTBLANK('Capacity summary'!$H222:$BG222)&lt;52,IF('Capacity summary'!W222&lt;&gt;"",$BI103*W103,0),W103*$BI103),W103*$BI103),0)</f>
        <v>0</v>
      </c>
      <c r="CA103" s="319">
        <f>IF($BI103&lt;&gt;"",IF('Capacity summary'!$D$14="Yes",IF(COUNTBLANK('Capacity summary'!$H222:$BG222)&lt;52,IF('Capacity summary'!X222&lt;&gt;"",$BI103*X103,0),X103*$BI103),X103*$BI103),0)</f>
        <v>0</v>
      </c>
      <c r="CB103" s="319">
        <f>IF($BI103&lt;&gt;"",IF('Capacity summary'!$D$14="Yes",IF(COUNTBLANK('Capacity summary'!$H222:$BG222)&lt;52,IF('Capacity summary'!Y222&lt;&gt;"",$BI103*Y103,0),Y103*$BI103),Y103*$BI103),0)</f>
        <v>0</v>
      </c>
      <c r="CC103" s="319">
        <f>IF($BI103&lt;&gt;"",IF('Capacity summary'!$D$14="Yes",IF(COUNTBLANK('Capacity summary'!$H222:$BG222)&lt;52,IF('Capacity summary'!Z222&lt;&gt;"",$BI103*Z103,0),Z103*$BI103),Z103*$BI103),0)</f>
        <v>0</v>
      </c>
      <c r="CD103" s="319">
        <f>IF($BI103&lt;&gt;"",IF('Capacity summary'!$D$14="Yes",IF(COUNTBLANK('Capacity summary'!$H222:$BG222)&lt;52,IF('Capacity summary'!AA222&lt;&gt;"",$BI103*AA103,0),AA103*$BI103),AA103*$BI103),0)</f>
        <v>0</v>
      </c>
      <c r="CE103" s="319">
        <f>IF($BI103&lt;&gt;"",IF('Capacity summary'!$D$14="Yes",IF(COUNTBLANK('Capacity summary'!$H222:$BG222)&lt;52,IF('Capacity summary'!AB222&lt;&gt;"",$BI103*AB103,0),AB103*$BI103),AB103*$BI103),0)</f>
        <v>0</v>
      </c>
      <c r="CF103" s="319">
        <f>IF($BI103&lt;&gt;"",IF('Capacity summary'!$D$14="Yes",IF(COUNTBLANK('Capacity summary'!$H222:$BG222)&lt;52,IF('Capacity summary'!AC222&lt;&gt;"",$BI103*AC103,0),AC103*$BI103),AC103*$BI103),0)</f>
        <v>0</v>
      </c>
      <c r="CG103" s="319">
        <f>IF($BI103&lt;&gt;"",IF('Capacity summary'!$D$14="Yes",IF(COUNTBLANK('Capacity summary'!$H222:$BG222)&lt;52,IF('Capacity summary'!AD222&lt;&gt;"",$BI103*AD103,0),AD103*$BI103),AD103*$BI103),0)</f>
        <v>0</v>
      </c>
      <c r="CH103" s="319">
        <f>IF($BI103&lt;&gt;"",IF('Capacity summary'!$D$14="Yes",IF(COUNTBLANK('Capacity summary'!$H222:$BG222)&lt;52,IF('Capacity summary'!AE222&lt;&gt;"",$BI103*AE103,0),AE103*$BI103),AE103*$BI103),0)</f>
        <v>0</v>
      </c>
      <c r="CI103" s="319">
        <f>IF($BI103&lt;&gt;"",IF('Capacity summary'!$D$14="Yes",IF(COUNTBLANK('Capacity summary'!$H222:$BG222)&lt;52,IF('Capacity summary'!AF222&lt;&gt;"",$BI103*AF103,0),AF103*$BI103),AF103*$BI103),0)</f>
        <v>0</v>
      </c>
      <c r="CJ103" s="319">
        <f>IF($BI103&lt;&gt;"",IF('Capacity summary'!$D$14="Yes",IF(COUNTBLANK('Capacity summary'!$H222:$BG222)&lt;52,IF('Capacity summary'!AG222&lt;&gt;"",$BI103*AG103,0),AG103*$BI103),AG103*$BI103),0)</f>
        <v>0</v>
      </c>
      <c r="CK103" s="319">
        <f>IF($BI103&lt;&gt;"",IF('Capacity summary'!$D$14="Yes",IF(COUNTBLANK('Capacity summary'!$H222:$BG222)&lt;52,IF('Capacity summary'!AH222&lt;&gt;"",$BI103*AH103,0),AH103*$BI103),AH103*$BI103),0)</f>
        <v>0</v>
      </c>
      <c r="CL103" s="319">
        <f>IF($BI103&lt;&gt;"",IF('Capacity summary'!$D$14="Yes",IF(COUNTBLANK('Capacity summary'!$H222:$BG222)&lt;52,IF('Capacity summary'!AI222&lt;&gt;"",$BI103*AI103,0),AI103*$BI103),AI103*$BI103),0)</f>
        <v>0</v>
      </c>
      <c r="CM103" s="319">
        <f>IF($BI103&lt;&gt;"",IF('Capacity summary'!$D$14="Yes",IF(COUNTBLANK('Capacity summary'!$H222:$BG222)&lt;52,IF('Capacity summary'!AJ222&lt;&gt;"",$BI103*AJ103,0),AJ103*$BI103),AJ103*$BI103),0)</f>
        <v>0</v>
      </c>
      <c r="CN103" s="319">
        <f>IF($BI103&lt;&gt;"",IF('Capacity summary'!$D$14="Yes",IF(COUNTBLANK('Capacity summary'!$H222:$BG222)&lt;52,IF('Capacity summary'!AK222&lt;&gt;"",$BI103*AK103,0),AK103*$BI103),AK103*$BI103),0)</f>
        <v>0</v>
      </c>
      <c r="CO103" s="319">
        <f>IF($BI103&lt;&gt;"",IF('Capacity summary'!$D$14="Yes",IF(COUNTBLANK('Capacity summary'!$H222:$BG222)&lt;52,IF('Capacity summary'!AL222&lt;&gt;"",$BI103*AL103,0),AL103*$BI103),AL103*$BI103),0)</f>
        <v>0</v>
      </c>
      <c r="CP103" s="319">
        <f>IF($BI103&lt;&gt;"",IF('Capacity summary'!$D$14="Yes",IF(COUNTBLANK('Capacity summary'!$H222:$BG222)&lt;52,IF('Capacity summary'!AM222&lt;&gt;"",$BI103*AM103,0),AM103*$BI103),AM103*$BI103),0)</f>
        <v>0</v>
      </c>
      <c r="CQ103" s="319">
        <f>IF($BI103&lt;&gt;"",IF('Capacity summary'!$D$14="Yes",IF(COUNTBLANK('Capacity summary'!$H222:$BG222)&lt;52,IF('Capacity summary'!AN222&lt;&gt;"",$BI103*AN103,0),AN103*$BI103),AN103*$BI103),0)</f>
        <v>0</v>
      </c>
      <c r="CR103" s="319">
        <f>IF($BI103&lt;&gt;"",IF('Capacity summary'!$D$14="Yes",IF(COUNTBLANK('Capacity summary'!$H222:$BG222)&lt;52,IF('Capacity summary'!AO222&lt;&gt;"",$BI103*AO103,0),AO103*$BI103),AO103*$BI103),0)</f>
        <v>0</v>
      </c>
      <c r="CS103" s="319">
        <f>IF($BI103&lt;&gt;"",IF('Capacity summary'!$D$14="Yes",IF(COUNTBLANK('Capacity summary'!$H222:$BG222)&lt;52,IF('Capacity summary'!AP222&lt;&gt;"",$BI103*AP103,0),AP103*$BI103),AP103*$BI103),0)</f>
        <v>0</v>
      </c>
      <c r="CT103" s="319">
        <f>IF($BI103&lt;&gt;"",IF('Capacity summary'!$D$14="Yes",IF(COUNTBLANK('Capacity summary'!$H222:$BG222)&lt;52,IF('Capacity summary'!AQ222&lt;&gt;"",$BI103*AQ103,0),AQ103*$BI103),AQ103*$BI103),0)</f>
        <v>0</v>
      </c>
      <c r="CU103" s="319">
        <f>IF($BI103&lt;&gt;"",IF('Capacity summary'!$D$14="Yes",IF(COUNTBLANK('Capacity summary'!$H222:$BG222)&lt;52,IF('Capacity summary'!AR222&lt;&gt;"",$BI103*AR103,0),AR103*$BI103),AR103*$BI103),0)</f>
        <v>0</v>
      </c>
      <c r="CV103" s="319">
        <f>IF($BI103&lt;&gt;"",IF('Capacity summary'!$D$14="Yes",IF(COUNTBLANK('Capacity summary'!$H222:$BG222)&lt;52,IF('Capacity summary'!AS222&lt;&gt;"",$BI103*AS103,0),AS103*$BI103),AS103*$BI103),0)</f>
        <v>0</v>
      </c>
      <c r="CW103" s="319">
        <f>IF($BI103&lt;&gt;"",IF('Capacity summary'!$D$14="Yes",IF(COUNTBLANK('Capacity summary'!$H222:$BG222)&lt;52,IF('Capacity summary'!AT222&lt;&gt;"",$BI103*AT103,0),AT103*$BI103),AT103*$BI103),0)</f>
        <v>0</v>
      </c>
      <c r="CX103" s="319">
        <f>IF($BI103&lt;&gt;"",IF('Capacity summary'!$D$14="Yes",IF(COUNTBLANK('Capacity summary'!$H222:$BG222)&lt;52,IF('Capacity summary'!AU222&lt;&gt;"",$BI103*AU103,0),AU103*$BI103),AU103*$BI103),0)</f>
        <v>0</v>
      </c>
      <c r="CY103" s="319">
        <f>IF($BI103&lt;&gt;"",IF('Capacity summary'!$D$14="Yes",IF(COUNTBLANK('Capacity summary'!$H222:$BG222)&lt;52,IF('Capacity summary'!AV222&lt;&gt;"",$BI103*AV103,0),AV103*$BI103),AV103*$BI103),0)</f>
        <v>0</v>
      </c>
      <c r="CZ103" s="319">
        <f>IF($BI103&lt;&gt;"",IF('Capacity summary'!$D$14="Yes",IF(COUNTBLANK('Capacity summary'!$H222:$BG222)&lt;52,IF('Capacity summary'!AW222&lt;&gt;"",$BI103*AW103,0),AW103*$BI103),AW103*$BI103),0)</f>
        <v>0</v>
      </c>
      <c r="DA103" s="319">
        <f>IF($BI103&lt;&gt;"",IF('Capacity summary'!$D$14="Yes",IF(COUNTBLANK('Capacity summary'!$H222:$BG222)&lt;52,IF('Capacity summary'!AX222&lt;&gt;"",$BI103*AX103,0),AX103*$BI103),AX103*$BI103),0)</f>
        <v>0</v>
      </c>
      <c r="DB103" s="319">
        <f>IF($BI103&lt;&gt;"",IF('Capacity summary'!$D$14="Yes",IF(COUNTBLANK('Capacity summary'!$H222:$BG222)&lt;52,IF('Capacity summary'!AY222&lt;&gt;"",$BI103*AY103,0),AY103*$BI103),AY103*$BI103),0)</f>
        <v>0</v>
      </c>
      <c r="DC103" s="319">
        <f>IF($BI103&lt;&gt;"",IF('Capacity summary'!$D$14="Yes",IF(COUNTBLANK('Capacity summary'!$H222:$BG222)&lt;52,IF('Capacity summary'!AZ222&lt;&gt;"",$BI103*AZ103,0),AZ103*$BI103),AZ103*$BI103),0)</f>
        <v>0</v>
      </c>
      <c r="DD103" s="319">
        <f>IF($BI103&lt;&gt;"",IF('Capacity summary'!$D$14="Yes",IF(COUNTBLANK('Capacity summary'!$H222:$BG222)&lt;52,IF('Capacity summary'!BA222&lt;&gt;"",$BI103*BA103,0),BA103*$BI103),BA103*$BI103),0)</f>
        <v>0</v>
      </c>
      <c r="DE103" s="319">
        <f>IF($BI103&lt;&gt;"",IF('Capacity summary'!$D$14="Yes",IF(COUNTBLANK('Capacity summary'!$H222:$BG222)&lt;52,IF('Capacity summary'!BB222&lt;&gt;"",$BI103*BB103,0),BB103*$BI103),BB103*$BI103),0)</f>
        <v>0</v>
      </c>
      <c r="DF103" s="319">
        <f>IF($BI103&lt;&gt;"",IF('Capacity summary'!$D$14="Yes",IF(COUNTBLANK('Capacity summary'!$H222:$BG222)&lt;52,IF('Capacity summary'!BC222&lt;&gt;"",$BI103*BC103,0),BC103*$BI103),BC103*$BI103),0)</f>
        <v>0</v>
      </c>
      <c r="DG103" s="319">
        <f>IF($BI103&lt;&gt;"",IF('Capacity summary'!$D$14="Yes",IF(COUNTBLANK('Capacity summary'!$H222:$BG222)&lt;52,IF('Capacity summary'!BD222&lt;&gt;"",$BI103*BD103,0),BD103*$BI103),BD103*$BI103),0)</f>
        <v>0</v>
      </c>
      <c r="DH103" s="319">
        <f>IF($BI103&lt;&gt;"",IF('Capacity summary'!$D$14="Yes",IF(COUNTBLANK('Capacity summary'!$H222:$BG222)&lt;52,IF('Capacity summary'!BE222&lt;&gt;"",$BI103*BE103,0),BE103*$BI103),BE103*$BI103),0)</f>
        <v>0</v>
      </c>
      <c r="DI103" s="319">
        <f>IF($BI103&lt;&gt;"",IF('Capacity summary'!$D$14="Yes",IF(COUNTBLANK('Capacity summary'!$H222:$BG222)&lt;52,IF('Capacity summary'!BF222&lt;&gt;"",$BI103*BF103,0),BF103*$BI103),BF103*$BI103),0)</f>
        <v>0</v>
      </c>
      <c r="DJ103" s="319">
        <f>IF($BI103&lt;&gt;"",IF('Capacity summary'!$D$14="Yes",IF(COUNTBLANK('Capacity summary'!$H222:$BG222)&lt;52,IF('Capacity summary'!BG222&lt;&gt;"",$BI103*BG103,0),BG103*$BI103),BG103*$BI103),0)</f>
        <v>0</v>
      </c>
      <c r="DK103" s="5">
        <f t="shared" si="3"/>
        <v>0</v>
      </c>
      <c r="DL103" s="5" t="str">
        <f>Capacity!H115</f>
        <v/>
      </c>
    </row>
    <row r="104" spans="2:116" x14ac:dyDescent="0.2">
      <c r="B104" s="68"/>
      <c r="C104" s="68" t="str">
        <f>ROW(A100)&amp;". "&amp;Capacity!B116</f>
        <v xml:space="preserve">100. </v>
      </c>
      <c r="D104" s="68">
        <f>'Capacity setup'!C111</f>
        <v>0</v>
      </c>
      <c r="E104" s="68">
        <f>'Capacity setup'!D111</f>
        <v>0</v>
      </c>
      <c r="F104" s="68">
        <f>'Capacity setup'!E111</f>
        <v>0</v>
      </c>
      <c r="H104" s="68">
        <f ca="1">IF(AND(SUMIF(Capacity_Resource,$D104,'Critical resources (hide)'!U$6:U$105)+SUMIF(Capacity_Resource,$E104,'Critical resources (hide)'!U$6:U$105)+SUMIF(Capacity_Resource,$F104,'Critical resources (hide)'!U$6:U$105)&gt;0,$E$1=2),0,1)</f>
        <v>1</v>
      </c>
      <c r="I104" s="68">
        <f ca="1">IF(AND(SUMIF(Capacity_Resource,$D104,'Critical resources (hide)'!V$6:V$105)+SUMIF(Capacity_Resource,$E104,'Critical resources (hide)'!V$6:V$105)+SUMIF(Capacity_Resource,$F104,'Critical resources (hide)'!V$6:V$105)&gt;0,$E$1=2),0,1)</f>
        <v>1</v>
      </c>
      <c r="J104" s="68">
        <f ca="1">IF(AND(SUMIF(Capacity_Resource,$D104,'Critical resources (hide)'!W$6:W$105)+SUMIF(Capacity_Resource,$E104,'Critical resources (hide)'!W$6:W$105)+SUMIF(Capacity_Resource,$F104,'Critical resources (hide)'!W$6:W$105)&gt;0,$E$1=2),0,1)</f>
        <v>1</v>
      </c>
      <c r="K104" s="68">
        <f ca="1">IF(AND(SUMIF(Capacity_Resource,$D104,'Critical resources (hide)'!X$6:X$105)+SUMIF(Capacity_Resource,$E104,'Critical resources (hide)'!X$6:X$105)+SUMIF(Capacity_Resource,$F104,'Critical resources (hide)'!X$6:X$105)&gt;0,$E$1=2),0,1)</f>
        <v>1</v>
      </c>
      <c r="L104" s="68">
        <f ca="1">IF(AND(SUMIF(Capacity_Resource,$D104,'Critical resources (hide)'!Y$6:Y$105)+SUMIF(Capacity_Resource,$E104,'Critical resources (hide)'!Y$6:Y$105)+SUMIF(Capacity_Resource,$F104,'Critical resources (hide)'!Y$6:Y$105)&gt;0,$E$1=2),0,1)</f>
        <v>1</v>
      </c>
      <c r="M104" s="68">
        <f ca="1">IF(AND(SUMIF(Capacity_Resource,$D104,'Critical resources (hide)'!Z$6:Z$105)+SUMIF(Capacity_Resource,$E104,'Critical resources (hide)'!Z$6:Z$105)+SUMIF(Capacity_Resource,$F104,'Critical resources (hide)'!Z$6:Z$105)&gt;0,$E$1=2),0,1)</f>
        <v>1</v>
      </c>
      <c r="N104" s="68">
        <f ca="1">IF(AND(SUMIF(Capacity_Resource,$D104,'Critical resources (hide)'!AA$6:AA$105)+SUMIF(Capacity_Resource,$E104,'Critical resources (hide)'!AA$6:AA$105)+SUMIF(Capacity_Resource,$F104,'Critical resources (hide)'!AA$6:AA$105)&gt;0,$E$1=2),0,1)</f>
        <v>1</v>
      </c>
      <c r="O104" s="68">
        <f ca="1">IF(AND(SUMIF(Capacity_Resource,$D104,'Critical resources (hide)'!AB$6:AB$105)+SUMIF(Capacity_Resource,$E104,'Critical resources (hide)'!AB$6:AB$105)+SUMIF(Capacity_Resource,$F104,'Critical resources (hide)'!AB$6:AB$105)&gt;0,$E$1=2),0,1)</f>
        <v>1</v>
      </c>
      <c r="P104" s="68">
        <f ca="1">IF(AND(SUMIF(Capacity_Resource,$D104,'Critical resources (hide)'!AC$6:AC$105)+SUMIF(Capacity_Resource,$E104,'Critical resources (hide)'!AC$6:AC$105)+SUMIF(Capacity_Resource,$F104,'Critical resources (hide)'!AC$6:AC$105)&gt;0,$E$1=2),0,1)</f>
        <v>1</v>
      </c>
      <c r="Q104" s="68">
        <f ca="1">IF(AND(SUMIF(Capacity_Resource,$D104,'Critical resources (hide)'!AD$6:AD$105)+SUMIF(Capacity_Resource,$E104,'Critical resources (hide)'!AD$6:AD$105)+SUMIF(Capacity_Resource,$F104,'Critical resources (hide)'!AD$6:AD$105)&gt;0,$E$1=2),0,1)</f>
        <v>1</v>
      </c>
      <c r="R104" s="68">
        <f ca="1">IF(AND(SUMIF(Capacity_Resource,$D104,'Critical resources (hide)'!AE$6:AE$105)+SUMIF(Capacity_Resource,$E104,'Critical resources (hide)'!AE$6:AE$105)+SUMIF(Capacity_Resource,$F104,'Critical resources (hide)'!AE$6:AE$105)&gt;0,$E$1=2),0,1)</f>
        <v>1</v>
      </c>
      <c r="S104" s="68">
        <f ca="1">IF(AND(SUMIF(Capacity_Resource,$D104,'Critical resources (hide)'!AF$6:AF$105)+SUMIF(Capacity_Resource,$E104,'Critical resources (hide)'!AF$6:AF$105)+SUMIF(Capacity_Resource,$F104,'Critical resources (hide)'!AF$6:AF$105)&gt;0,$E$1=2),0,1)</f>
        <v>1</v>
      </c>
      <c r="T104" s="68">
        <f ca="1">IF(AND(SUMIF(Capacity_Resource,$D104,'Critical resources (hide)'!AG$6:AG$105)+SUMIF(Capacity_Resource,$E104,'Critical resources (hide)'!AG$6:AG$105)+SUMIF(Capacity_Resource,$F104,'Critical resources (hide)'!AG$6:AG$105)&gt;0,$E$1=2),0,1)</f>
        <v>1</v>
      </c>
      <c r="U104" s="68">
        <f ca="1">IF(AND(SUMIF(Capacity_Resource,$D104,'Critical resources (hide)'!AH$6:AH$105)+SUMIF(Capacity_Resource,$E104,'Critical resources (hide)'!AH$6:AH$105)+SUMIF(Capacity_Resource,$F104,'Critical resources (hide)'!AH$6:AH$105)&gt;0,$E$1=2),0,1)</f>
        <v>1</v>
      </c>
      <c r="V104" s="68">
        <f ca="1">IF(AND(SUMIF(Capacity_Resource,$D104,'Critical resources (hide)'!AI$6:AI$105)+SUMIF(Capacity_Resource,$E104,'Critical resources (hide)'!AI$6:AI$105)+SUMIF(Capacity_Resource,$F104,'Critical resources (hide)'!AI$6:AI$105)&gt;0,$E$1=2),0,1)</f>
        <v>1</v>
      </c>
      <c r="W104" s="68">
        <f ca="1">IF(AND(SUMIF(Capacity_Resource,$D104,'Critical resources (hide)'!AJ$6:AJ$105)+SUMIF(Capacity_Resource,$E104,'Critical resources (hide)'!AJ$6:AJ$105)+SUMIF(Capacity_Resource,$F104,'Critical resources (hide)'!AJ$6:AJ$105)&gt;0,$E$1=2),0,1)</f>
        <v>1</v>
      </c>
      <c r="X104" s="68">
        <f ca="1">IF(AND(SUMIF(Capacity_Resource,$D104,'Critical resources (hide)'!AK$6:AK$105)+SUMIF(Capacity_Resource,$E104,'Critical resources (hide)'!AK$6:AK$105)+SUMIF(Capacity_Resource,$F104,'Critical resources (hide)'!AK$6:AK$105)&gt;0,$E$1=2),0,1)</f>
        <v>1</v>
      </c>
      <c r="Y104" s="68">
        <f ca="1">IF(AND(SUMIF(Capacity_Resource,$D104,'Critical resources (hide)'!AL$6:AL$105)+SUMIF(Capacity_Resource,$E104,'Critical resources (hide)'!AL$6:AL$105)+SUMIF(Capacity_Resource,$F104,'Critical resources (hide)'!AL$6:AL$105)&gt;0,$E$1=2),0,1)</f>
        <v>1</v>
      </c>
      <c r="Z104" s="68">
        <f ca="1">IF(AND(SUMIF(Capacity_Resource,$D104,'Critical resources (hide)'!AM$6:AM$105)+SUMIF(Capacity_Resource,$E104,'Critical resources (hide)'!AM$6:AM$105)+SUMIF(Capacity_Resource,$F104,'Critical resources (hide)'!AM$6:AM$105)&gt;0,$E$1=2),0,1)</f>
        <v>1</v>
      </c>
      <c r="AA104" s="68">
        <f ca="1">IF(AND(SUMIF(Capacity_Resource,$D104,'Critical resources (hide)'!AN$6:AN$105)+SUMIF(Capacity_Resource,$E104,'Critical resources (hide)'!AN$6:AN$105)+SUMIF(Capacity_Resource,$F104,'Critical resources (hide)'!AN$6:AN$105)&gt;0,$E$1=2),0,1)</f>
        <v>1</v>
      </c>
      <c r="AB104" s="68">
        <f ca="1">IF(AND(SUMIF(Capacity_Resource,$D104,'Critical resources (hide)'!AO$6:AO$105)+SUMIF(Capacity_Resource,$E104,'Critical resources (hide)'!AO$6:AO$105)+SUMIF(Capacity_Resource,$F104,'Critical resources (hide)'!AO$6:AO$105)&gt;0,$E$1=2),0,1)</f>
        <v>1</v>
      </c>
      <c r="AC104" s="68">
        <f ca="1">IF(AND(SUMIF(Capacity_Resource,$D104,'Critical resources (hide)'!AP$6:AP$105)+SUMIF(Capacity_Resource,$E104,'Critical resources (hide)'!AP$6:AP$105)+SUMIF(Capacity_Resource,$F104,'Critical resources (hide)'!AP$6:AP$105)&gt;0,$E$1=2),0,1)</f>
        <v>1</v>
      </c>
      <c r="AD104" s="68">
        <f ca="1">IF(AND(SUMIF(Capacity_Resource,$D104,'Critical resources (hide)'!AQ$6:AQ$105)+SUMIF(Capacity_Resource,$E104,'Critical resources (hide)'!AQ$6:AQ$105)+SUMIF(Capacity_Resource,$F104,'Critical resources (hide)'!AQ$6:AQ$105)&gt;0,$E$1=2),0,1)</f>
        <v>1</v>
      </c>
      <c r="AE104" s="68">
        <f ca="1">IF(AND(SUMIF(Capacity_Resource,$D104,'Critical resources (hide)'!AR$6:AR$105)+SUMIF(Capacity_Resource,$E104,'Critical resources (hide)'!AR$6:AR$105)+SUMIF(Capacity_Resource,$F104,'Critical resources (hide)'!AR$6:AR$105)&gt;0,$E$1=2),0,1)</f>
        <v>1</v>
      </c>
      <c r="AF104" s="68">
        <f ca="1">IF(AND(SUMIF(Capacity_Resource,$D104,'Critical resources (hide)'!AS$6:AS$105)+SUMIF(Capacity_Resource,$E104,'Critical resources (hide)'!AS$6:AS$105)+SUMIF(Capacity_Resource,$F104,'Critical resources (hide)'!AS$6:AS$105)&gt;0,$E$1=2),0,1)</f>
        <v>1</v>
      </c>
      <c r="AG104" s="68">
        <f ca="1">IF(AND(SUMIF(Capacity_Resource,$D104,'Critical resources (hide)'!AT$6:AT$105)+SUMIF(Capacity_Resource,$E104,'Critical resources (hide)'!AT$6:AT$105)+SUMIF(Capacity_Resource,$F104,'Critical resources (hide)'!AT$6:AT$105)&gt;0,$E$1=2),0,1)</f>
        <v>1</v>
      </c>
      <c r="AH104" s="68">
        <f ca="1">IF(AND(SUMIF(Capacity_Resource,$D104,'Critical resources (hide)'!AU$6:AU$105)+SUMIF(Capacity_Resource,$E104,'Critical resources (hide)'!AU$6:AU$105)+SUMIF(Capacity_Resource,$F104,'Critical resources (hide)'!AU$6:AU$105)&gt;0,$E$1=2),0,1)</f>
        <v>1</v>
      </c>
      <c r="AI104" s="68">
        <f ca="1">IF(AND(SUMIF(Capacity_Resource,$D104,'Critical resources (hide)'!AV$6:AV$105)+SUMIF(Capacity_Resource,$E104,'Critical resources (hide)'!AV$6:AV$105)+SUMIF(Capacity_Resource,$F104,'Critical resources (hide)'!AV$6:AV$105)&gt;0,$E$1=2),0,1)</f>
        <v>1</v>
      </c>
      <c r="AJ104" s="68">
        <f ca="1">IF(AND(SUMIF(Capacity_Resource,$D104,'Critical resources (hide)'!AW$6:AW$105)+SUMIF(Capacity_Resource,$E104,'Critical resources (hide)'!AW$6:AW$105)+SUMIF(Capacity_Resource,$F104,'Critical resources (hide)'!AW$6:AW$105)&gt;0,$E$1=2),0,1)</f>
        <v>1</v>
      </c>
      <c r="AK104" s="68">
        <f ca="1">IF(AND(SUMIF(Capacity_Resource,$D104,'Critical resources (hide)'!AX$6:AX$105)+SUMIF(Capacity_Resource,$E104,'Critical resources (hide)'!AX$6:AX$105)+SUMIF(Capacity_Resource,$F104,'Critical resources (hide)'!AX$6:AX$105)&gt;0,$E$1=2),0,1)</f>
        <v>1</v>
      </c>
      <c r="AL104" s="68">
        <f ca="1">IF(AND(SUMIF(Capacity_Resource,$D104,'Critical resources (hide)'!AY$6:AY$105)+SUMIF(Capacity_Resource,$E104,'Critical resources (hide)'!AY$6:AY$105)+SUMIF(Capacity_Resource,$F104,'Critical resources (hide)'!AY$6:AY$105)&gt;0,$E$1=2),0,1)</f>
        <v>1</v>
      </c>
      <c r="AM104" s="68">
        <f ca="1">IF(AND(SUMIF(Capacity_Resource,$D104,'Critical resources (hide)'!AZ$6:AZ$105)+SUMIF(Capacity_Resource,$E104,'Critical resources (hide)'!AZ$6:AZ$105)+SUMIF(Capacity_Resource,$F104,'Critical resources (hide)'!AZ$6:AZ$105)&gt;0,$E$1=2),0,1)</f>
        <v>1</v>
      </c>
      <c r="AN104" s="68">
        <f ca="1">IF(AND(SUMIF(Capacity_Resource,$D104,'Critical resources (hide)'!BA$6:BA$105)+SUMIF(Capacity_Resource,$E104,'Critical resources (hide)'!BA$6:BA$105)+SUMIF(Capacity_Resource,$F104,'Critical resources (hide)'!BA$6:BA$105)&gt;0,$E$1=2),0,1)</f>
        <v>1</v>
      </c>
      <c r="AO104" s="68">
        <f ca="1">IF(AND(SUMIF(Capacity_Resource,$D104,'Critical resources (hide)'!BB$6:BB$105)+SUMIF(Capacity_Resource,$E104,'Critical resources (hide)'!BB$6:BB$105)+SUMIF(Capacity_Resource,$F104,'Critical resources (hide)'!BB$6:BB$105)&gt;0,$E$1=2),0,1)</f>
        <v>1</v>
      </c>
      <c r="AP104" s="68">
        <f ca="1">IF(AND(SUMIF(Capacity_Resource,$D104,'Critical resources (hide)'!BC$6:BC$105)+SUMIF(Capacity_Resource,$E104,'Critical resources (hide)'!BC$6:BC$105)+SUMIF(Capacity_Resource,$F104,'Critical resources (hide)'!BC$6:BC$105)&gt;0,$E$1=2),0,1)</f>
        <v>1</v>
      </c>
      <c r="AQ104" s="68">
        <f ca="1">IF(AND(SUMIF(Capacity_Resource,$D104,'Critical resources (hide)'!BD$6:BD$105)+SUMIF(Capacity_Resource,$E104,'Critical resources (hide)'!BD$6:BD$105)+SUMIF(Capacity_Resource,$F104,'Critical resources (hide)'!BD$6:BD$105)&gt;0,$E$1=2),0,1)</f>
        <v>1</v>
      </c>
      <c r="AR104" s="68">
        <f ca="1">IF(AND(SUMIF(Capacity_Resource,$D104,'Critical resources (hide)'!BE$6:BE$105)+SUMIF(Capacity_Resource,$E104,'Critical resources (hide)'!BE$6:BE$105)+SUMIF(Capacity_Resource,$F104,'Critical resources (hide)'!BE$6:BE$105)&gt;0,$E$1=2),0,1)</f>
        <v>1</v>
      </c>
      <c r="AS104" s="68">
        <f ca="1">IF(AND(SUMIF(Capacity_Resource,$D104,'Critical resources (hide)'!BF$6:BF$105)+SUMIF(Capacity_Resource,$E104,'Critical resources (hide)'!BF$6:BF$105)+SUMIF(Capacity_Resource,$F104,'Critical resources (hide)'!BF$6:BF$105)&gt;0,$E$1=2),0,1)</f>
        <v>1</v>
      </c>
      <c r="AT104" s="68">
        <f ca="1">IF(AND(SUMIF(Capacity_Resource,$D104,'Critical resources (hide)'!BG$6:BG$105)+SUMIF(Capacity_Resource,$E104,'Critical resources (hide)'!BG$6:BG$105)+SUMIF(Capacity_Resource,$F104,'Critical resources (hide)'!BG$6:BG$105)&gt;0,$E$1=2),0,1)</f>
        <v>1</v>
      </c>
      <c r="AU104" s="68">
        <f ca="1">IF(AND(SUMIF(Capacity_Resource,$D104,'Critical resources (hide)'!BH$6:BH$105)+SUMIF(Capacity_Resource,$E104,'Critical resources (hide)'!BH$6:BH$105)+SUMIF(Capacity_Resource,$F104,'Critical resources (hide)'!BH$6:BH$105)&gt;0,$E$1=2),0,1)</f>
        <v>1</v>
      </c>
      <c r="AV104" s="68">
        <f ca="1">IF(AND(SUMIF(Capacity_Resource,$D104,'Critical resources (hide)'!BI$6:BI$105)+SUMIF(Capacity_Resource,$E104,'Critical resources (hide)'!BI$6:BI$105)+SUMIF(Capacity_Resource,$F104,'Critical resources (hide)'!BI$6:BI$105)&gt;0,$E$1=2),0,1)</f>
        <v>1</v>
      </c>
      <c r="AW104" s="68">
        <f ca="1">IF(AND(SUMIF(Capacity_Resource,$D104,'Critical resources (hide)'!BJ$6:BJ$105)+SUMIF(Capacity_Resource,$E104,'Critical resources (hide)'!BJ$6:BJ$105)+SUMIF(Capacity_Resource,$F104,'Critical resources (hide)'!BJ$6:BJ$105)&gt;0,$E$1=2),0,1)</f>
        <v>1</v>
      </c>
      <c r="AX104" s="68">
        <f ca="1">IF(AND(SUMIF(Capacity_Resource,$D104,'Critical resources (hide)'!BK$6:BK$105)+SUMIF(Capacity_Resource,$E104,'Critical resources (hide)'!BK$6:BK$105)+SUMIF(Capacity_Resource,$F104,'Critical resources (hide)'!BK$6:BK$105)&gt;0,$E$1=2),0,1)</f>
        <v>1</v>
      </c>
      <c r="AY104" s="68">
        <f ca="1">IF(AND(SUMIF(Capacity_Resource,$D104,'Critical resources (hide)'!BL$6:BL$105)+SUMIF(Capacity_Resource,$E104,'Critical resources (hide)'!BL$6:BL$105)+SUMIF(Capacity_Resource,$F104,'Critical resources (hide)'!BL$6:BL$105)&gt;0,$E$1=2),0,1)</f>
        <v>1</v>
      </c>
      <c r="AZ104" s="68">
        <f ca="1">IF(AND(SUMIF(Capacity_Resource,$D104,'Critical resources (hide)'!BM$6:BM$105)+SUMIF(Capacity_Resource,$E104,'Critical resources (hide)'!BM$6:BM$105)+SUMIF(Capacity_Resource,$F104,'Critical resources (hide)'!BM$6:BM$105)&gt;0,$E$1=2),0,1)</f>
        <v>1</v>
      </c>
      <c r="BA104" s="68">
        <f ca="1">IF(AND(SUMIF(Capacity_Resource,$D104,'Critical resources (hide)'!BN$6:BN$105)+SUMIF(Capacity_Resource,$E104,'Critical resources (hide)'!BN$6:BN$105)+SUMIF(Capacity_Resource,$F104,'Critical resources (hide)'!BN$6:BN$105)&gt;0,$E$1=2),0,1)</f>
        <v>1</v>
      </c>
      <c r="BB104" s="68">
        <f ca="1">IF(AND(SUMIF(Capacity_Resource,$D104,'Critical resources (hide)'!BO$6:BO$105)+SUMIF(Capacity_Resource,$E104,'Critical resources (hide)'!BO$6:BO$105)+SUMIF(Capacity_Resource,$F104,'Critical resources (hide)'!BO$6:BO$105)&gt;0,$E$1=2),0,1)</f>
        <v>1</v>
      </c>
      <c r="BC104" s="68">
        <f ca="1">IF(AND(SUMIF(Capacity_Resource,$D104,'Critical resources (hide)'!BP$6:BP$105)+SUMIF(Capacity_Resource,$E104,'Critical resources (hide)'!BP$6:BP$105)+SUMIF(Capacity_Resource,$F104,'Critical resources (hide)'!BP$6:BP$105)&gt;0,$E$1=2),0,1)</f>
        <v>1</v>
      </c>
      <c r="BD104" s="68">
        <f ca="1">IF(AND(SUMIF(Capacity_Resource,$D104,'Critical resources (hide)'!BQ$6:BQ$105)+SUMIF(Capacity_Resource,$E104,'Critical resources (hide)'!BQ$6:BQ$105)+SUMIF(Capacity_Resource,$F104,'Critical resources (hide)'!BQ$6:BQ$105)&gt;0,$E$1=2),0,1)</f>
        <v>1</v>
      </c>
      <c r="BE104" s="68">
        <f ca="1">IF(AND(SUMIF(Capacity_Resource,$D104,'Critical resources (hide)'!BR$6:BR$105)+SUMIF(Capacity_Resource,$E104,'Critical resources (hide)'!BR$6:BR$105)+SUMIF(Capacity_Resource,$F104,'Critical resources (hide)'!BR$6:BR$105)&gt;0,$E$1=2),0,1)</f>
        <v>1</v>
      </c>
      <c r="BF104" s="68">
        <f ca="1">IF(AND(SUMIF(Capacity_Resource,$D104,'Critical resources (hide)'!BS$6:BS$105)+SUMIF(Capacity_Resource,$E104,'Critical resources (hide)'!BS$6:BS$105)+SUMIF(Capacity_Resource,$F104,'Critical resources (hide)'!BS$6:BS$105)&gt;0,$E$1=2),0,1)</f>
        <v>1</v>
      </c>
      <c r="BG104" s="68">
        <f ca="1">IF(AND(SUMIF(Capacity_Resource,$D104,'Critical resources (hide)'!BT$6:BT$105)+SUMIF(Capacity_Resource,$E104,'Critical resources (hide)'!BT$6:BT$105)+SUMIF(Capacity_Resource,$F104,'Critical resources (hide)'!BT$6:BT$105)&gt;0,$E$1=2),0,1)</f>
        <v>1</v>
      </c>
      <c r="BH104" s="68">
        <f>IF(ROW(C100)&lt;=Capacity!$A$16,IF('Capacity summary'!$D$14="No",SUM(H104:BG104),'Capacity summary'!$E223),0)</f>
        <v>0</v>
      </c>
      <c r="BI104" s="5" t="str">
        <f>IF(BH104&gt;0,IF(BH104&lt;Capacity!E116,Capacity!F116,Capacity!H116/'Capacity calculation (hide)'!BH104),"")</f>
        <v/>
      </c>
      <c r="BK104" s="319">
        <f>IF($BI104&lt;&gt;"",IF('Capacity summary'!$D$14="Yes",IF(COUNTBLANK('Capacity summary'!$H223:$BG223)&lt;52,IF('Capacity summary'!H223&lt;&gt;"",$BI104*H104,0),H104*$BI104),H104*$BI104),0)</f>
        <v>0</v>
      </c>
      <c r="BL104" s="319">
        <f>IF($BI104&lt;&gt;"",IF('Capacity summary'!$D$14="Yes",IF(COUNTBLANK('Capacity summary'!$H223:$BG223)&lt;52,IF('Capacity summary'!I223&lt;&gt;"",$BI104*I104,0),I104*$BI104),I104*$BI104),0)</f>
        <v>0</v>
      </c>
      <c r="BM104" s="319">
        <f>IF($BI104&lt;&gt;"",IF('Capacity summary'!$D$14="Yes",IF(COUNTBLANK('Capacity summary'!$H223:$BG223)&lt;52,IF('Capacity summary'!J223&lt;&gt;"",$BI104*J104,0),J104*$BI104),J104*$BI104),0)</f>
        <v>0</v>
      </c>
      <c r="BN104" s="319">
        <f>IF($BI104&lt;&gt;"",IF('Capacity summary'!$D$14="Yes",IF(COUNTBLANK('Capacity summary'!$H223:$BG223)&lt;52,IF('Capacity summary'!K223&lt;&gt;"",$BI104*K104,0),K104*$BI104),K104*$BI104),0)</f>
        <v>0</v>
      </c>
      <c r="BO104" s="319">
        <f>IF($BI104&lt;&gt;"",IF('Capacity summary'!$D$14="Yes",IF(COUNTBLANK('Capacity summary'!$H223:$BG223)&lt;52,IF('Capacity summary'!L223&lt;&gt;"",$BI104*L104,0),L104*$BI104),L104*$BI104),0)</f>
        <v>0</v>
      </c>
      <c r="BP104" s="319">
        <f>IF($BI104&lt;&gt;"",IF('Capacity summary'!$D$14="Yes",IF(COUNTBLANK('Capacity summary'!$H223:$BG223)&lt;52,IF('Capacity summary'!M223&lt;&gt;"",$BI104*M104,0),M104*$BI104),M104*$BI104),0)</f>
        <v>0</v>
      </c>
      <c r="BQ104" s="319">
        <f>IF($BI104&lt;&gt;"",IF('Capacity summary'!$D$14="Yes",IF(COUNTBLANK('Capacity summary'!$H223:$BG223)&lt;52,IF('Capacity summary'!N223&lt;&gt;"",$BI104*N104,0),N104*$BI104),N104*$BI104),0)</f>
        <v>0</v>
      </c>
      <c r="BR104" s="319">
        <f>IF($BI104&lt;&gt;"",IF('Capacity summary'!$D$14="Yes",IF(COUNTBLANK('Capacity summary'!$H223:$BG223)&lt;52,IF('Capacity summary'!O223&lt;&gt;"",$BI104*O104,0),O104*$BI104),O104*$BI104),0)</f>
        <v>0</v>
      </c>
      <c r="BS104" s="319">
        <f>IF($BI104&lt;&gt;"",IF('Capacity summary'!$D$14="Yes",IF(COUNTBLANK('Capacity summary'!$H223:$BG223)&lt;52,IF('Capacity summary'!P223&lt;&gt;"",$BI104*P104,0),P104*$BI104),P104*$BI104),0)</f>
        <v>0</v>
      </c>
      <c r="BT104" s="319">
        <f>IF($BI104&lt;&gt;"",IF('Capacity summary'!$D$14="Yes",IF(COUNTBLANK('Capacity summary'!$H223:$BG223)&lt;52,IF('Capacity summary'!Q223&lt;&gt;"",$BI104*Q104,0),Q104*$BI104),Q104*$BI104),0)</f>
        <v>0</v>
      </c>
      <c r="BU104" s="319">
        <f>IF($BI104&lt;&gt;"",IF('Capacity summary'!$D$14="Yes",IF(COUNTBLANK('Capacity summary'!$H223:$BG223)&lt;52,IF('Capacity summary'!R223&lt;&gt;"",$BI104*R104,0),R104*$BI104),R104*$BI104),0)</f>
        <v>0</v>
      </c>
      <c r="BV104" s="319">
        <f>IF($BI104&lt;&gt;"",IF('Capacity summary'!$D$14="Yes",IF(COUNTBLANK('Capacity summary'!$H223:$BG223)&lt;52,IF('Capacity summary'!S223&lt;&gt;"",$BI104*S104,0),S104*$BI104),S104*$BI104),0)</f>
        <v>0</v>
      </c>
      <c r="BW104" s="319">
        <f>IF($BI104&lt;&gt;"",IF('Capacity summary'!$D$14="Yes",IF(COUNTBLANK('Capacity summary'!$H223:$BG223)&lt;52,IF('Capacity summary'!T223&lt;&gt;"",$BI104*T104,0),T104*$BI104),T104*$BI104),0)</f>
        <v>0</v>
      </c>
      <c r="BX104" s="319">
        <f>IF($BI104&lt;&gt;"",IF('Capacity summary'!$D$14="Yes",IF(COUNTBLANK('Capacity summary'!$H223:$BG223)&lt;52,IF('Capacity summary'!U223&lt;&gt;"",$BI104*U104,0),U104*$BI104),U104*$BI104),0)</f>
        <v>0</v>
      </c>
      <c r="BY104" s="319">
        <f>IF($BI104&lt;&gt;"",IF('Capacity summary'!$D$14="Yes",IF(COUNTBLANK('Capacity summary'!$H223:$BG223)&lt;52,IF('Capacity summary'!V223&lt;&gt;"",$BI104*V104,0),V104*$BI104),V104*$BI104),0)</f>
        <v>0</v>
      </c>
      <c r="BZ104" s="319">
        <f>IF($BI104&lt;&gt;"",IF('Capacity summary'!$D$14="Yes",IF(COUNTBLANK('Capacity summary'!$H223:$BG223)&lt;52,IF('Capacity summary'!W223&lt;&gt;"",$BI104*W104,0),W104*$BI104),W104*$BI104),0)</f>
        <v>0</v>
      </c>
      <c r="CA104" s="319">
        <f>IF($BI104&lt;&gt;"",IF('Capacity summary'!$D$14="Yes",IF(COUNTBLANK('Capacity summary'!$H223:$BG223)&lt;52,IF('Capacity summary'!X223&lt;&gt;"",$BI104*X104,0),X104*$BI104),X104*$BI104),0)</f>
        <v>0</v>
      </c>
      <c r="CB104" s="319">
        <f>IF($BI104&lt;&gt;"",IF('Capacity summary'!$D$14="Yes",IF(COUNTBLANK('Capacity summary'!$H223:$BG223)&lt;52,IF('Capacity summary'!Y223&lt;&gt;"",$BI104*Y104,0),Y104*$BI104),Y104*$BI104),0)</f>
        <v>0</v>
      </c>
      <c r="CC104" s="319">
        <f>IF($BI104&lt;&gt;"",IF('Capacity summary'!$D$14="Yes",IF(COUNTBLANK('Capacity summary'!$H223:$BG223)&lt;52,IF('Capacity summary'!Z223&lt;&gt;"",$BI104*Z104,0),Z104*$BI104),Z104*$BI104),0)</f>
        <v>0</v>
      </c>
      <c r="CD104" s="319">
        <f>IF($BI104&lt;&gt;"",IF('Capacity summary'!$D$14="Yes",IF(COUNTBLANK('Capacity summary'!$H223:$BG223)&lt;52,IF('Capacity summary'!AA223&lt;&gt;"",$BI104*AA104,0),AA104*$BI104),AA104*$BI104),0)</f>
        <v>0</v>
      </c>
      <c r="CE104" s="319">
        <f>IF($BI104&lt;&gt;"",IF('Capacity summary'!$D$14="Yes",IF(COUNTBLANK('Capacity summary'!$H223:$BG223)&lt;52,IF('Capacity summary'!AB223&lt;&gt;"",$BI104*AB104,0),AB104*$BI104),AB104*$BI104),0)</f>
        <v>0</v>
      </c>
      <c r="CF104" s="319">
        <f>IF($BI104&lt;&gt;"",IF('Capacity summary'!$D$14="Yes",IF(COUNTBLANK('Capacity summary'!$H223:$BG223)&lt;52,IF('Capacity summary'!AC223&lt;&gt;"",$BI104*AC104,0),AC104*$BI104),AC104*$BI104),0)</f>
        <v>0</v>
      </c>
      <c r="CG104" s="319">
        <f>IF($BI104&lt;&gt;"",IF('Capacity summary'!$D$14="Yes",IF(COUNTBLANK('Capacity summary'!$H223:$BG223)&lt;52,IF('Capacity summary'!AD223&lt;&gt;"",$BI104*AD104,0),AD104*$BI104),AD104*$BI104),0)</f>
        <v>0</v>
      </c>
      <c r="CH104" s="319">
        <f>IF($BI104&lt;&gt;"",IF('Capacity summary'!$D$14="Yes",IF(COUNTBLANK('Capacity summary'!$H223:$BG223)&lt;52,IF('Capacity summary'!AE223&lt;&gt;"",$BI104*AE104,0),AE104*$BI104),AE104*$BI104),0)</f>
        <v>0</v>
      </c>
      <c r="CI104" s="319">
        <f>IF($BI104&lt;&gt;"",IF('Capacity summary'!$D$14="Yes",IF(COUNTBLANK('Capacity summary'!$H223:$BG223)&lt;52,IF('Capacity summary'!AF223&lt;&gt;"",$BI104*AF104,0),AF104*$BI104),AF104*$BI104),0)</f>
        <v>0</v>
      </c>
      <c r="CJ104" s="319">
        <f>IF($BI104&lt;&gt;"",IF('Capacity summary'!$D$14="Yes",IF(COUNTBLANK('Capacity summary'!$H223:$BG223)&lt;52,IF('Capacity summary'!AG223&lt;&gt;"",$BI104*AG104,0),AG104*$BI104),AG104*$BI104),0)</f>
        <v>0</v>
      </c>
      <c r="CK104" s="319">
        <f>IF($BI104&lt;&gt;"",IF('Capacity summary'!$D$14="Yes",IF(COUNTBLANK('Capacity summary'!$H223:$BG223)&lt;52,IF('Capacity summary'!AH223&lt;&gt;"",$BI104*AH104,0),AH104*$BI104),AH104*$BI104),0)</f>
        <v>0</v>
      </c>
      <c r="CL104" s="319">
        <f>IF($BI104&lt;&gt;"",IF('Capacity summary'!$D$14="Yes",IF(COUNTBLANK('Capacity summary'!$H223:$BG223)&lt;52,IF('Capacity summary'!AI223&lt;&gt;"",$BI104*AI104,0),AI104*$BI104),AI104*$BI104),0)</f>
        <v>0</v>
      </c>
      <c r="CM104" s="319">
        <f>IF($BI104&lt;&gt;"",IF('Capacity summary'!$D$14="Yes",IF(COUNTBLANK('Capacity summary'!$H223:$BG223)&lt;52,IF('Capacity summary'!AJ223&lt;&gt;"",$BI104*AJ104,0),AJ104*$BI104),AJ104*$BI104),0)</f>
        <v>0</v>
      </c>
      <c r="CN104" s="319">
        <f>IF($BI104&lt;&gt;"",IF('Capacity summary'!$D$14="Yes",IF(COUNTBLANK('Capacity summary'!$H223:$BG223)&lt;52,IF('Capacity summary'!AK223&lt;&gt;"",$BI104*AK104,0),AK104*$BI104),AK104*$BI104),0)</f>
        <v>0</v>
      </c>
      <c r="CO104" s="319">
        <f>IF($BI104&lt;&gt;"",IF('Capacity summary'!$D$14="Yes",IF(COUNTBLANK('Capacity summary'!$H223:$BG223)&lt;52,IF('Capacity summary'!AL223&lt;&gt;"",$BI104*AL104,0),AL104*$BI104),AL104*$BI104),0)</f>
        <v>0</v>
      </c>
      <c r="CP104" s="319">
        <f>IF($BI104&lt;&gt;"",IF('Capacity summary'!$D$14="Yes",IF(COUNTBLANK('Capacity summary'!$H223:$BG223)&lt;52,IF('Capacity summary'!AM223&lt;&gt;"",$BI104*AM104,0),AM104*$BI104),AM104*$BI104),0)</f>
        <v>0</v>
      </c>
      <c r="CQ104" s="319">
        <f>IF($BI104&lt;&gt;"",IF('Capacity summary'!$D$14="Yes",IF(COUNTBLANK('Capacity summary'!$H223:$BG223)&lt;52,IF('Capacity summary'!AN223&lt;&gt;"",$BI104*AN104,0),AN104*$BI104),AN104*$BI104),0)</f>
        <v>0</v>
      </c>
      <c r="CR104" s="319">
        <f>IF($BI104&lt;&gt;"",IF('Capacity summary'!$D$14="Yes",IF(COUNTBLANK('Capacity summary'!$H223:$BG223)&lt;52,IF('Capacity summary'!AO223&lt;&gt;"",$BI104*AO104,0),AO104*$BI104),AO104*$BI104),0)</f>
        <v>0</v>
      </c>
      <c r="CS104" s="319">
        <f>IF($BI104&lt;&gt;"",IF('Capacity summary'!$D$14="Yes",IF(COUNTBLANK('Capacity summary'!$H223:$BG223)&lt;52,IF('Capacity summary'!AP223&lt;&gt;"",$BI104*AP104,0),AP104*$BI104),AP104*$BI104),0)</f>
        <v>0</v>
      </c>
      <c r="CT104" s="319">
        <f>IF($BI104&lt;&gt;"",IF('Capacity summary'!$D$14="Yes",IF(COUNTBLANK('Capacity summary'!$H223:$BG223)&lt;52,IF('Capacity summary'!AQ223&lt;&gt;"",$BI104*AQ104,0),AQ104*$BI104),AQ104*$BI104),0)</f>
        <v>0</v>
      </c>
      <c r="CU104" s="319">
        <f>IF($BI104&lt;&gt;"",IF('Capacity summary'!$D$14="Yes",IF(COUNTBLANK('Capacity summary'!$H223:$BG223)&lt;52,IF('Capacity summary'!AR223&lt;&gt;"",$BI104*AR104,0),AR104*$BI104),AR104*$BI104),0)</f>
        <v>0</v>
      </c>
      <c r="CV104" s="319">
        <f>IF($BI104&lt;&gt;"",IF('Capacity summary'!$D$14="Yes",IF(COUNTBLANK('Capacity summary'!$H223:$BG223)&lt;52,IF('Capacity summary'!AS223&lt;&gt;"",$BI104*AS104,0),AS104*$BI104),AS104*$BI104),0)</f>
        <v>0</v>
      </c>
      <c r="CW104" s="319">
        <f>IF($BI104&lt;&gt;"",IF('Capacity summary'!$D$14="Yes",IF(COUNTBLANK('Capacity summary'!$H223:$BG223)&lt;52,IF('Capacity summary'!AT223&lt;&gt;"",$BI104*AT104,0),AT104*$BI104),AT104*$BI104),0)</f>
        <v>0</v>
      </c>
      <c r="CX104" s="319">
        <f>IF($BI104&lt;&gt;"",IF('Capacity summary'!$D$14="Yes",IF(COUNTBLANK('Capacity summary'!$H223:$BG223)&lt;52,IF('Capacity summary'!AU223&lt;&gt;"",$BI104*AU104,0),AU104*$BI104),AU104*$BI104),0)</f>
        <v>0</v>
      </c>
      <c r="CY104" s="319">
        <f>IF($BI104&lt;&gt;"",IF('Capacity summary'!$D$14="Yes",IF(COUNTBLANK('Capacity summary'!$H223:$BG223)&lt;52,IF('Capacity summary'!AV223&lt;&gt;"",$BI104*AV104,0),AV104*$BI104),AV104*$BI104),0)</f>
        <v>0</v>
      </c>
      <c r="CZ104" s="319">
        <f>IF($BI104&lt;&gt;"",IF('Capacity summary'!$D$14="Yes",IF(COUNTBLANK('Capacity summary'!$H223:$BG223)&lt;52,IF('Capacity summary'!AW223&lt;&gt;"",$BI104*AW104,0),AW104*$BI104),AW104*$BI104),0)</f>
        <v>0</v>
      </c>
      <c r="DA104" s="319">
        <f>IF($BI104&lt;&gt;"",IF('Capacity summary'!$D$14="Yes",IF(COUNTBLANK('Capacity summary'!$H223:$BG223)&lt;52,IF('Capacity summary'!AX223&lt;&gt;"",$BI104*AX104,0),AX104*$BI104),AX104*$BI104),0)</f>
        <v>0</v>
      </c>
      <c r="DB104" s="319">
        <f>IF($BI104&lt;&gt;"",IF('Capacity summary'!$D$14="Yes",IF(COUNTBLANK('Capacity summary'!$H223:$BG223)&lt;52,IF('Capacity summary'!AY223&lt;&gt;"",$BI104*AY104,0),AY104*$BI104),AY104*$BI104),0)</f>
        <v>0</v>
      </c>
      <c r="DC104" s="319">
        <f>IF($BI104&lt;&gt;"",IF('Capacity summary'!$D$14="Yes",IF(COUNTBLANK('Capacity summary'!$H223:$BG223)&lt;52,IF('Capacity summary'!AZ223&lt;&gt;"",$BI104*AZ104,0),AZ104*$BI104),AZ104*$BI104),0)</f>
        <v>0</v>
      </c>
      <c r="DD104" s="319">
        <f>IF($BI104&lt;&gt;"",IF('Capacity summary'!$D$14="Yes",IF(COUNTBLANK('Capacity summary'!$H223:$BG223)&lt;52,IF('Capacity summary'!BA223&lt;&gt;"",$BI104*BA104,0),BA104*$BI104),BA104*$BI104),0)</f>
        <v>0</v>
      </c>
      <c r="DE104" s="319">
        <f>IF($BI104&lt;&gt;"",IF('Capacity summary'!$D$14="Yes",IF(COUNTBLANK('Capacity summary'!$H223:$BG223)&lt;52,IF('Capacity summary'!BB223&lt;&gt;"",$BI104*BB104,0),BB104*$BI104),BB104*$BI104),0)</f>
        <v>0</v>
      </c>
      <c r="DF104" s="319">
        <f>IF($BI104&lt;&gt;"",IF('Capacity summary'!$D$14="Yes",IF(COUNTBLANK('Capacity summary'!$H223:$BG223)&lt;52,IF('Capacity summary'!BC223&lt;&gt;"",$BI104*BC104,0),BC104*$BI104),BC104*$BI104),0)</f>
        <v>0</v>
      </c>
      <c r="DG104" s="319">
        <f>IF($BI104&lt;&gt;"",IF('Capacity summary'!$D$14="Yes",IF(COUNTBLANK('Capacity summary'!$H223:$BG223)&lt;52,IF('Capacity summary'!BD223&lt;&gt;"",$BI104*BD104,0),BD104*$BI104),BD104*$BI104),0)</f>
        <v>0</v>
      </c>
      <c r="DH104" s="319">
        <f>IF($BI104&lt;&gt;"",IF('Capacity summary'!$D$14="Yes",IF(COUNTBLANK('Capacity summary'!$H223:$BG223)&lt;52,IF('Capacity summary'!BE223&lt;&gt;"",$BI104*BE104,0),BE104*$BI104),BE104*$BI104),0)</f>
        <v>0</v>
      </c>
      <c r="DI104" s="319">
        <f>IF($BI104&lt;&gt;"",IF('Capacity summary'!$D$14="Yes",IF(COUNTBLANK('Capacity summary'!$H223:$BG223)&lt;52,IF('Capacity summary'!BF223&lt;&gt;"",$BI104*BF104,0),BF104*$BI104),BF104*$BI104),0)</f>
        <v>0</v>
      </c>
      <c r="DJ104" s="319">
        <f>IF($BI104&lt;&gt;"",IF('Capacity summary'!$D$14="Yes",IF(COUNTBLANK('Capacity summary'!$H223:$BG223)&lt;52,IF('Capacity summary'!BG223&lt;&gt;"",$BI104*BG104,0),BG104*$BI104),BG104*$BI104),0)</f>
        <v>0</v>
      </c>
      <c r="DK104" s="5">
        <f t="shared" si="3"/>
        <v>0</v>
      </c>
      <c r="DL104" s="5" t="str">
        <f>Capacity!H116</f>
        <v/>
      </c>
    </row>
    <row r="105" spans="2:116" x14ac:dyDescent="0.2">
      <c r="B105" s="68"/>
    </row>
    <row r="106" spans="2:116" x14ac:dyDescent="0.2">
      <c r="B106" s="68"/>
    </row>
    <row r="107" spans="2:116" x14ac:dyDescent="0.2">
      <c r="B107" s="68"/>
    </row>
    <row r="108" spans="2:116" x14ac:dyDescent="0.2">
      <c r="B108" s="68"/>
      <c r="H108" s="68" t="s">
        <v>458</v>
      </c>
      <c r="I108" s="68"/>
      <c r="J108" s="68"/>
      <c r="K108" s="68"/>
      <c r="L108" s="68"/>
      <c r="M108" s="68"/>
      <c r="N108" s="68"/>
      <c r="O108" s="68"/>
      <c r="P108" s="68"/>
      <c r="Q108" s="68"/>
      <c r="R108" s="68"/>
      <c r="S108" s="68"/>
      <c r="T108" s="68"/>
      <c r="U108" s="68"/>
      <c r="V108" s="68"/>
      <c r="W108" s="68"/>
      <c r="X108" s="68"/>
      <c r="Y108" s="68"/>
      <c r="Z108" s="68"/>
      <c r="AA108" s="68"/>
      <c r="AB108" s="68"/>
      <c r="AC108" s="68"/>
      <c r="AD108" s="68"/>
      <c r="AE108" s="68"/>
      <c r="AF108" s="68"/>
      <c r="AG108" s="68"/>
      <c r="AH108" s="68"/>
      <c r="AI108" s="68"/>
      <c r="AJ108" s="68"/>
      <c r="AK108" s="68"/>
      <c r="AL108" s="68"/>
      <c r="AM108" s="68"/>
      <c r="AN108" s="68"/>
      <c r="AO108" s="68"/>
      <c r="AP108" s="68"/>
      <c r="AQ108" s="68"/>
      <c r="AR108" s="68"/>
      <c r="AS108" s="68"/>
      <c r="AT108" s="68"/>
      <c r="AU108" s="68"/>
      <c r="AV108" s="68"/>
      <c r="AW108" s="68"/>
      <c r="AX108" s="68"/>
      <c r="AY108" s="68"/>
      <c r="AZ108" s="68"/>
      <c r="BA108" s="68"/>
      <c r="BB108" s="68"/>
      <c r="BC108" s="68"/>
      <c r="BD108" s="68"/>
      <c r="BE108" s="68"/>
      <c r="BF108" s="68"/>
      <c r="BG108" s="68"/>
      <c r="BH108" s="68"/>
      <c r="BI108" s="68"/>
    </row>
    <row r="109" spans="2:116" ht="15" x14ac:dyDescent="0.25">
      <c r="B109" s="68"/>
      <c r="D109" s="2">
        <v>1</v>
      </c>
      <c r="E109" s="2">
        <v>2</v>
      </c>
      <c r="F109" s="2">
        <v>3</v>
      </c>
      <c r="H109" s="2">
        <v>1</v>
      </c>
      <c r="I109" s="2">
        <v>2</v>
      </c>
      <c r="J109" s="2">
        <v>3</v>
      </c>
      <c r="K109" s="2">
        <v>4</v>
      </c>
      <c r="L109" s="2">
        <v>5</v>
      </c>
      <c r="M109" s="2">
        <v>6</v>
      </c>
      <c r="N109" s="2">
        <v>7</v>
      </c>
      <c r="O109" s="2">
        <v>8</v>
      </c>
      <c r="P109" s="2">
        <v>9</v>
      </c>
      <c r="Q109" s="2">
        <v>10</v>
      </c>
      <c r="R109" s="2">
        <v>11</v>
      </c>
      <c r="S109" s="2">
        <v>12</v>
      </c>
      <c r="T109" s="2">
        <v>13</v>
      </c>
      <c r="U109" s="2">
        <v>14</v>
      </c>
      <c r="V109" s="2">
        <v>15</v>
      </c>
      <c r="W109" s="2">
        <v>16</v>
      </c>
      <c r="X109" s="2">
        <v>17</v>
      </c>
      <c r="Y109" s="2">
        <v>18</v>
      </c>
      <c r="Z109" s="2">
        <v>19</v>
      </c>
      <c r="AA109" s="2">
        <v>20</v>
      </c>
      <c r="AB109" s="2">
        <v>21</v>
      </c>
      <c r="AC109" s="2">
        <v>22</v>
      </c>
      <c r="AD109" s="2">
        <v>23</v>
      </c>
      <c r="AE109" s="2">
        <v>24</v>
      </c>
      <c r="AF109" s="2">
        <v>25</v>
      </c>
      <c r="AG109" s="2">
        <v>26</v>
      </c>
      <c r="AH109" s="2">
        <v>27</v>
      </c>
      <c r="AI109" s="2">
        <v>28</v>
      </c>
      <c r="AJ109" s="2">
        <v>29</v>
      </c>
      <c r="AK109" s="2">
        <v>30</v>
      </c>
      <c r="AL109" s="2">
        <v>31</v>
      </c>
      <c r="AM109" s="2">
        <v>32</v>
      </c>
      <c r="AN109" s="2">
        <v>33</v>
      </c>
      <c r="AO109" s="2">
        <v>34</v>
      </c>
      <c r="AP109" s="2">
        <v>35</v>
      </c>
      <c r="AQ109" s="2">
        <v>36</v>
      </c>
      <c r="AR109" s="2">
        <v>37</v>
      </c>
      <c r="AS109" s="2">
        <v>38</v>
      </c>
      <c r="AT109" s="2">
        <v>39</v>
      </c>
      <c r="AU109" s="2">
        <v>40</v>
      </c>
      <c r="AV109" s="2">
        <v>41</v>
      </c>
      <c r="AW109" s="2">
        <v>42</v>
      </c>
      <c r="AX109" s="2">
        <v>43</v>
      </c>
      <c r="AY109" s="2">
        <v>44</v>
      </c>
      <c r="AZ109" s="2">
        <v>45</v>
      </c>
      <c r="BA109" s="2">
        <v>46</v>
      </c>
      <c r="BB109" s="2">
        <v>47</v>
      </c>
      <c r="BC109" s="2">
        <v>48</v>
      </c>
      <c r="BD109" s="2">
        <v>49</v>
      </c>
      <c r="BE109" s="2">
        <v>50</v>
      </c>
      <c r="BF109" s="2">
        <v>51</v>
      </c>
      <c r="BG109" s="2">
        <v>52</v>
      </c>
      <c r="BH109" t="s">
        <v>491</v>
      </c>
      <c r="BI109" s="2" t="s">
        <v>459</v>
      </c>
      <c r="BJ109" s="2" t="s">
        <v>460</v>
      </c>
      <c r="BK109" s="2">
        <v>1</v>
      </c>
      <c r="BL109" s="2">
        <v>2</v>
      </c>
      <c r="BM109" s="2">
        <v>3</v>
      </c>
      <c r="BN109" s="2">
        <v>4</v>
      </c>
      <c r="BO109" s="2">
        <v>5</v>
      </c>
      <c r="BP109" s="2">
        <v>6</v>
      </c>
      <c r="BQ109" s="2">
        <v>7</v>
      </c>
      <c r="BR109" s="2">
        <v>8</v>
      </c>
      <c r="BS109" s="2">
        <v>9</v>
      </c>
      <c r="BT109" s="2">
        <v>10</v>
      </c>
      <c r="BU109" s="2">
        <v>11</v>
      </c>
      <c r="BV109" s="2">
        <v>12</v>
      </c>
      <c r="BW109" s="2">
        <v>13</v>
      </c>
      <c r="BX109" s="2">
        <v>14</v>
      </c>
      <c r="BY109" s="2">
        <v>15</v>
      </c>
      <c r="BZ109" s="2">
        <v>16</v>
      </c>
      <c r="CA109" s="2">
        <v>17</v>
      </c>
      <c r="CB109" s="2">
        <v>18</v>
      </c>
      <c r="CC109" s="2">
        <v>19</v>
      </c>
      <c r="CD109" s="2">
        <v>20</v>
      </c>
      <c r="CE109" s="2">
        <v>21</v>
      </c>
      <c r="CF109" s="2">
        <v>22</v>
      </c>
      <c r="CG109" s="2">
        <v>23</v>
      </c>
      <c r="CH109" s="2">
        <v>24</v>
      </c>
      <c r="CI109" s="2">
        <v>25</v>
      </c>
      <c r="CJ109" s="2">
        <v>26</v>
      </c>
      <c r="CK109" s="2">
        <v>27</v>
      </c>
      <c r="CL109" s="2">
        <v>28</v>
      </c>
      <c r="CM109" s="2">
        <v>29</v>
      </c>
      <c r="CN109" s="2">
        <v>30</v>
      </c>
      <c r="CO109" s="2">
        <v>31</v>
      </c>
      <c r="CP109" s="2">
        <v>32</v>
      </c>
      <c r="CQ109" s="2">
        <v>33</v>
      </c>
      <c r="CR109" s="2">
        <v>34</v>
      </c>
      <c r="CS109" s="2">
        <v>35</v>
      </c>
      <c r="CT109" s="2">
        <v>36</v>
      </c>
      <c r="CU109" s="2">
        <v>37</v>
      </c>
      <c r="CV109" s="2">
        <v>38</v>
      </c>
      <c r="CW109" s="2">
        <v>39</v>
      </c>
      <c r="CX109" s="2">
        <v>40</v>
      </c>
      <c r="CY109" s="2">
        <v>41</v>
      </c>
      <c r="CZ109" s="2">
        <v>42</v>
      </c>
      <c r="DA109" s="2">
        <v>43</v>
      </c>
      <c r="DB109" s="2">
        <v>44</v>
      </c>
      <c r="DC109" s="2">
        <v>45</v>
      </c>
      <c r="DD109" s="2">
        <v>46</v>
      </c>
      <c r="DE109" s="2">
        <v>47</v>
      </c>
      <c r="DF109" s="2">
        <v>48</v>
      </c>
      <c r="DG109" s="2">
        <v>49</v>
      </c>
      <c r="DH109" s="2">
        <v>50</v>
      </c>
      <c r="DI109" s="2">
        <v>51</v>
      </c>
      <c r="DJ109" s="2">
        <v>52</v>
      </c>
      <c r="DK109" s="2" t="s">
        <v>465</v>
      </c>
    </row>
    <row r="110" spans="2:116" x14ac:dyDescent="0.2">
      <c r="C110" t="s">
        <v>469</v>
      </c>
      <c r="H110" s="68"/>
      <c r="BJ110"/>
      <c r="BK110">
        <f ca="1">BK3</f>
        <v>18</v>
      </c>
      <c r="BL110" s="68">
        <f t="shared" ref="BL110:DJ110" ca="1" si="4">BL3</f>
        <v>19</v>
      </c>
      <c r="BM110" s="68">
        <f t="shared" ca="1" si="4"/>
        <v>20</v>
      </c>
      <c r="BN110" s="68">
        <f t="shared" ca="1" si="4"/>
        <v>21</v>
      </c>
      <c r="BO110" s="68">
        <f t="shared" ca="1" si="4"/>
        <v>22</v>
      </c>
      <c r="BP110" s="68">
        <f t="shared" ca="1" si="4"/>
        <v>23</v>
      </c>
      <c r="BQ110" s="68">
        <f t="shared" ca="1" si="4"/>
        <v>24</v>
      </c>
      <c r="BR110" s="68">
        <f t="shared" ca="1" si="4"/>
        <v>25</v>
      </c>
      <c r="BS110" s="68">
        <f t="shared" ca="1" si="4"/>
        <v>26</v>
      </c>
      <c r="BT110" s="68">
        <f t="shared" ca="1" si="4"/>
        <v>27</v>
      </c>
      <c r="BU110" s="68">
        <f t="shared" ca="1" si="4"/>
        <v>28</v>
      </c>
      <c r="BV110" s="68">
        <f t="shared" ca="1" si="4"/>
        <v>29</v>
      </c>
      <c r="BW110" s="68">
        <f t="shared" ca="1" si="4"/>
        <v>30</v>
      </c>
      <c r="BX110" s="68">
        <f t="shared" ca="1" si="4"/>
        <v>31</v>
      </c>
      <c r="BY110" s="68">
        <f t="shared" ca="1" si="4"/>
        <v>32</v>
      </c>
      <c r="BZ110" s="68">
        <f t="shared" ca="1" si="4"/>
        <v>33</v>
      </c>
      <c r="CA110" s="68">
        <f t="shared" ca="1" si="4"/>
        <v>34</v>
      </c>
      <c r="CB110" s="68">
        <f t="shared" ca="1" si="4"/>
        <v>35</v>
      </c>
      <c r="CC110" s="68">
        <f t="shared" ca="1" si="4"/>
        <v>36</v>
      </c>
      <c r="CD110" s="68">
        <f t="shared" ca="1" si="4"/>
        <v>37</v>
      </c>
      <c r="CE110" s="68">
        <f t="shared" ca="1" si="4"/>
        <v>38</v>
      </c>
      <c r="CF110" s="68">
        <f t="shared" ca="1" si="4"/>
        <v>39</v>
      </c>
      <c r="CG110" s="68">
        <f t="shared" ca="1" si="4"/>
        <v>40</v>
      </c>
      <c r="CH110" s="68">
        <f t="shared" ca="1" si="4"/>
        <v>41</v>
      </c>
      <c r="CI110" s="68">
        <f t="shared" ca="1" si="4"/>
        <v>42</v>
      </c>
      <c r="CJ110" s="68">
        <f t="shared" ca="1" si="4"/>
        <v>43</v>
      </c>
      <c r="CK110" s="68">
        <f t="shared" ca="1" si="4"/>
        <v>44</v>
      </c>
      <c r="CL110" s="68">
        <f t="shared" ca="1" si="4"/>
        <v>45</v>
      </c>
      <c r="CM110" s="68">
        <f t="shared" ca="1" si="4"/>
        <v>46</v>
      </c>
      <c r="CN110" s="68">
        <f t="shared" ca="1" si="4"/>
        <v>47</v>
      </c>
      <c r="CO110" s="68">
        <f t="shared" ca="1" si="4"/>
        <v>48</v>
      </c>
      <c r="CP110" s="68">
        <f t="shared" ca="1" si="4"/>
        <v>49</v>
      </c>
      <c r="CQ110" s="68">
        <f t="shared" ca="1" si="4"/>
        <v>50</v>
      </c>
      <c r="CR110" s="68">
        <f t="shared" ca="1" si="4"/>
        <v>51</v>
      </c>
      <c r="CS110" s="68">
        <f t="shared" ca="1" si="4"/>
        <v>52</v>
      </c>
      <c r="CT110" s="68">
        <f t="shared" ca="1" si="4"/>
        <v>1</v>
      </c>
      <c r="CU110" s="68">
        <f t="shared" ca="1" si="4"/>
        <v>2</v>
      </c>
      <c r="CV110" s="68">
        <f t="shared" ca="1" si="4"/>
        <v>3</v>
      </c>
      <c r="CW110" s="68">
        <f t="shared" ca="1" si="4"/>
        <v>4</v>
      </c>
      <c r="CX110" s="68">
        <f t="shared" ca="1" si="4"/>
        <v>5</v>
      </c>
      <c r="CY110" s="68">
        <f t="shared" ca="1" si="4"/>
        <v>6</v>
      </c>
      <c r="CZ110" s="68">
        <f t="shared" ca="1" si="4"/>
        <v>7</v>
      </c>
      <c r="DA110" s="68">
        <f t="shared" ca="1" si="4"/>
        <v>8</v>
      </c>
      <c r="DB110" s="68">
        <f t="shared" ca="1" si="4"/>
        <v>9</v>
      </c>
      <c r="DC110" s="68">
        <f t="shared" ca="1" si="4"/>
        <v>10</v>
      </c>
      <c r="DD110" s="68">
        <f t="shared" ca="1" si="4"/>
        <v>11</v>
      </c>
      <c r="DE110" s="68">
        <f t="shared" ca="1" si="4"/>
        <v>12</v>
      </c>
      <c r="DF110" s="68">
        <f t="shared" ca="1" si="4"/>
        <v>13</v>
      </c>
      <c r="DG110" s="68">
        <f t="shared" ca="1" si="4"/>
        <v>14</v>
      </c>
      <c r="DH110" s="68">
        <f t="shared" ca="1" si="4"/>
        <v>15</v>
      </c>
      <c r="DI110" s="68">
        <f t="shared" ca="1" si="4"/>
        <v>16</v>
      </c>
      <c r="DJ110" s="68">
        <f t="shared" ca="1" si="4"/>
        <v>17</v>
      </c>
    </row>
    <row r="111" spans="2:116" x14ac:dyDescent="0.2">
      <c r="C111" t="s">
        <v>58</v>
      </c>
      <c r="H111" s="68"/>
      <c r="I111" s="68"/>
      <c r="J111" s="68"/>
      <c r="K111" s="68"/>
      <c r="L111" s="68"/>
      <c r="M111" s="68"/>
      <c r="N111" s="68"/>
      <c r="O111" s="68"/>
      <c r="P111" s="68"/>
      <c r="Q111" s="68"/>
      <c r="R111" s="68"/>
      <c r="S111" s="68"/>
      <c r="T111" s="68"/>
      <c r="U111" s="68"/>
      <c r="V111" s="68"/>
      <c r="W111" s="68"/>
      <c r="X111" s="68"/>
      <c r="Y111" s="68"/>
      <c r="Z111" s="68"/>
      <c r="AA111" s="68"/>
      <c r="AB111" s="68"/>
      <c r="AC111" s="68"/>
      <c r="AD111" s="68"/>
      <c r="AE111" s="68"/>
      <c r="AF111" s="68"/>
      <c r="AG111" s="68"/>
      <c r="AH111" s="68"/>
      <c r="AI111" s="68"/>
      <c r="AJ111" s="68"/>
      <c r="AK111" s="68"/>
      <c r="AL111" s="68"/>
      <c r="AM111" s="68"/>
      <c r="AN111" s="68"/>
      <c r="AO111" s="68"/>
      <c r="AP111" s="68"/>
      <c r="AQ111" s="68"/>
      <c r="AR111" s="68"/>
      <c r="AS111" s="68"/>
      <c r="AT111" s="68"/>
      <c r="AU111" s="68"/>
      <c r="AV111" s="68"/>
      <c r="AW111" s="68"/>
      <c r="AX111" s="68"/>
      <c r="AY111" s="68"/>
      <c r="AZ111" s="68"/>
      <c r="BA111" s="68"/>
      <c r="BB111" s="68"/>
      <c r="BC111" s="68"/>
      <c r="BD111" s="68"/>
      <c r="BE111" s="68"/>
      <c r="BF111" s="68"/>
      <c r="BG111" s="68"/>
      <c r="BJ111"/>
      <c r="BK111" s="5">
        <f>SUM(BK112:BK211)</f>
        <v>0</v>
      </c>
      <c r="BL111" s="5">
        <f t="shared" ref="BL111:DK111" ca="1" si="5">SUM(BL112:BL211)</f>
        <v>4</v>
      </c>
      <c r="BM111" s="5">
        <f t="shared" si="5"/>
        <v>0</v>
      </c>
      <c r="BN111" s="5">
        <f t="shared" ca="1" si="5"/>
        <v>4</v>
      </c>
      <c r="BO111" s="5">
        <f t="shared" si="5"/>
        <v>0</v>
      </c>
      <c r="BP111" s="5">
        <f t="shared" ca="1" si="5"/>
        <v>4</v>
      </c>
      <c r="BQ111" s="5">
        <f t="shared" ca="1" si="5"/>
        <v>4</v>
      </c>
      <c r="BR111" s="5">
        <f t="shared" si="5"/>
        <v>0</v>
      </c>
      <c r="BS111" s="5">
        <f t="shared" ca="1" si="5"/>
        <v>3.6923076923076925</v>
      </c>
      <c r="BT111" s="5">
        <f t="shared" ca="1" si="5"/>
        <v>7.6923076923076925</v>
      </c>
      <c r="BU111" s="5">
        <f t="shared" ca="1" si="5"/>
        <v>4</v>
      </c>
      <c r="BV111" s="5">
        <f t="shared" si="5"/>
        <v>0</v>
      </c>
      <c r="BW111" s="5">
        <f t="shared" si="5"/>
        <v>0</v>
      </c>
      <c r="BX111" s="5">
        <f t="shared" ca="1" si="5"/>
        <v>7.6923076923076925</v>
      </c>
      <c r="BY111" s="5">
        <f t="shared" si="5"/>
        <v>0</v>
      </c>
      <c r="BZ111" s="5">
        <f t="shared" si="5"/>
        <v>0</v>
      </c>
      <c r="CA111" s="5">
        <f t="shared" si="5"/>
        <v>0</v>
      </c>
      <c r="CB111" s="5">
        <f t="shared" si="5"/>
        <v>0</v>
      </c>
      <c r="CC111" s="5">
        <f t="shared" si="5"/>
        <v>0</v>
      </c>
      <c r="CD111" s="5">
        <f t="shared" si="5"/>
        <v>0</v>
      </c>
      <c r="CE111" s="5">
        <f t="shared" si="5"/>
        <v>0</v>
      </c>
      <c r="CF111" s="5">
        <f t="shared" si="5"/>
        <v>0</v>
      </c>
      <c r="CG111" s="5">
        <f t="shared" si="5"/>
        <v>0</v>
      </c>
      <c r="CH111" s="5">
        <f t="shared" si="5"/>
        <v>0</v>
      </c>
      <c r="CI111" s="5">
        <f t="shared" si="5"/>
        <v>0</v>
      </c>
      <c r="CJ111" s="5">
        <f t="shared" ca="1" si="5"/>
        <v>3.6923076923076925</v>
      </c>
      <c r="CK111" s="5">
        <f t="shared" ca="1" si="5"/>
        <v>3.6923076923076925</v>
      </c>
      <c r="CL111" s="5">
        <f t="shared" ca="1" si="5"/>
        <v>7.6923076923076925</v>
      </c>
      <c r="CM111" s="5">
        <f t="shared" ca="1" si="5"/>
        <v>7.6923076923076925</v>
      </c>
      <c r="CN111" s="5">
        <f t="shared" ca="1" si="5"/>
        <v>3.6923076923076925</v>
      </c>
      <c r="CO111" s="5">
        <f t="shared" ca="1" si="5"/>
        <v>3.6923076923076925</v>
      </c>
      <c r="CP111" s="5">
        <f t="shared" ca="1" si="5"/>
        <v>3.6923076923076925</v>
      </c>
      <c r="CQ111" s="5">
        <f t="shared" ca="1" si="5"/>
        <v>3.6923076923076925</v>
      </c>
      <c r="CR111" s="5">
        <f t="shared" ca="1" si="5"/>
        <v>3.6923076923076925</v>
      </c>
      <c r="CS111" s="5">
        <f t="shared" ca="1" si="5"/>
        <v>3.6923076923076925</v>
      </c>
      <c r="CT111" s="5">
        <f t="shared" si="5"/>
        <v>0</v>
      </c>
      <c r="CU111" s="5">
        <f t="shared" ca="1" si="5"/>
        <v>4</v>
      </c>
      <c r="CV111" s="5">
        <f t="shared" si="5"/>
        <v>0</v>
      </c>
      <c r="CW111" s="5">
        <f t="shared" si="5"/>
        <v>0</v>
      </c>
      <c r="CX111" s="5">
        <f t="shared" si="5"/>
        <v>0</v>
      </c>
      <c r="CY111" s="5">
        <f t="shared" si="5"/>
        <v>0</v>
      </c>
      <c r="CZ111" s="5">
        <f t="shared" si="5"/>
        <v>0</v>
      </c>
      <c r="DA111" s="5">
        <f t="shared" si="5"/>
        <v>0</v>
      </c>
      <c r="DB111" s="5">
        <f t="shared" si="5"/>
        <v>0</v>
      </c>
      <c r="DC111" s="5">
        <f t="shared" si="5"/>
        <v>0</v>
      </c>
      <c r="DD111" s="5">
        <f t="shared" si="5"/>
        <v>0</v>
      </c>
      <c r="DE111" s="5">
        <f t="shared" si="5"/>
        <v>0</v>
      </c>
      <c r="DF111" s="5">
        <f t="shared" si="5"/>
        <v>0</v>
      </c>
      <c r="DG111" s="5">
        <f t="shared" si="5"/>
        <v>0</v>
      </c>
      <c r="DH111" s="5">
        <f t="shared" si="5"/>
        <v>0</v>
      </c>
      <c r="DI111" s="5">
        <f t="shared" si="5"/>
        <v>0</v>
      </c>
      <c r="DJ111" s="5">
        <f t="shared" si="5"/>
        <v>0</v>
      </c>
      <c r="DK111" s="5">
        <f t="shared" ca="1" si="5"/>
        <v>88</v>
      </c>
    </row>
    <row r="112" spans="2:116" x14ac:dyDescent="0.2">
      <c r="C112" t="str">
        <f>ROW(A1)&amp;". "&amp;Capacity!N17</f>
        <v>1. Ad Hoc 1</v>
      </c>
      <c r="D112" t="str">
        <f>'Capacity setup'!C118</f>
        <v>3. CT Scanner 1</v>
      </c>
      <c r="E112" s="68">
        <f>'Capacity setup'!D118</f>
        <v>0</v>
      </c>
      <c r="F112" s="68">
        <f>'Capacity setup'!E118</f>
        <v>0</v>
      </c>
      <c r="H112" s="68">
        <f ca="1">IF(AND(SUMIF(Capacity_Resource,$D112,'Critical resources (hide)'!U$6:U$105)+SUMIF(Capacity_Resource,$E112,'Critical resources (hide)'!U$6:U$105)+SUMIF(Capacity_Resource,$F112,'Critical resources (hide)'!U$6:U$105)&gt;0,$E$1=2),0,1)</f>
        <v>1</v>
      </c>
      <c r="I112" s="68">
        <f ca="1">IF(AND(SUMIF(Capacity_Resource,$D112,'Critical resources (hide)'!V$6:V$105)+SUMIF(Capacity_Resource,$E112,'Critical resources (hide)'!V$6:V$105)+SUMIF(Capacity_Resource,$F112,'Critical resources (hide)'!V$6:V$105)&gt;0,$E$1=2),0,1)</f>
        <v>1</v>
      </c>
      <c r="J112" s="68">
        <f ca="1">IF(AND(SUMIF(Capacity_Resource,$D112,'Critical resources (hide)'!W$6:W$105)+SUMIF(Capacity_Resource,$E112,'Critical resources (hide)'!W$6:W$105)+SUMIF(Capacity_Resource,$F112,'Critical resources (hide)'!W$6:W$105)&gt;0,$E$1=2),0,1)</f>
        <v>1</v>
      </c>
      <c r="K112" s="68">
        <f ca="1">IF(AND(SUMIF(Capacity_Resource,$D112,'Critical resources (hide)'!X$6:X$105)+SUMIF(Capacity_Resource,$E112,'Critical resources (hide)'!X$6:X$105)+SUMIF(Capacity_Resource,$F112,'Critical resources (hide)'!X$6:X$105)&gt;0,$E$1=2),0,1)</f>
        <v>1</v>
      </c>
      <c r="L112" s="68">
        <f ca="1">IF(AND(SUMIF(Capacity_Resource,$D112,'Critical resources (hide)'!Y$6:Y$105)+SUMIF(Capacity_Resource,$E112,'Critical resources (hide)'!Y$6:Y$105)+SUMIF(Capacity_Resource,$F112,'Critical resources (hide)'!Y$6:Y$105)&gt;0,$E$1=2),0,1)</f>
        <v>1</v>
      </c>
      <c r="M112" s="68">
        <f ca="1">IF(AND(SUMIF(Capacity_Resource,$D112,'Critical resources (hide)'!Z$6:Z$105)+SUMIF(Capacity_Resource,$E112,'Critical resources (hide)'!Z$6:Z$105)+SUMIF(Capacity_Resource,$F112,'Critical resources (hide)'!Z$6:Z$105)&gt;0,$E$1=2),0,1)</f>
        <v>1</v>
      </c>
      <c r="N112" s="68">
        <f ca="1">IF(AND(SUMIF(Capacity_Resource,$D112,'Critical resources (hide)'!AA$6:AA$105)+SUMIF(Capacity_Resource,$E112,'Critical resources (hide)'!AA$6:AA$105)+SUMIF(Capacity_Resource,$F112,'Critical resources (hide)'!AA$6:AA$105)&gt;0,$E$1=2),0,1)</f>
        <v>1</v>
      </c>
      <c r="O112" s="68">
        <f ca="1">IF(AND(SUMIF(Capacity_Resource,$D112,'Critical resources (hide)'!AB$6:AB$105)+SUMIF(Capacity_Resource,$E112,'Critical resources (hide)'!AB$6:AB$105)+SUMIF(Capacity_Resource,$F112,'Critical resources (hide)'!AB$6:AB$105)&gt;0,$E$1=2),0,1)</f>
        <v>1</v>
      </c>
      <c r="P112" s="68">
        <f ca="1">IF(AND(SUMIF(Capacity_Resource,$D112,'Critical resources (hide)'!AC$6:AC$105)+SUMIF(Capacity_Resource,$E112,'Critical resources (hide)'!AC$6:AC$105)+SUMIF(Capacity_Resource,$F112,'Critical resources (hide)'!AC$6:AC$105)&gt;0,$E$1=2),0,1)</f>
        <v>1</v>
      </c>
      <c r="Q112" s="68">
        <f ca="1">IF(AND(SUMIF(Capacity_Resource,$D112,'Critical resources (hide)'!AD$6:AD$105)+SUMIF(Capacity_Resource,$E112,'Critical resources (hide)'!AD$6:AD$105)+SUMIF(Capacity_Resource,$F112,'Critical resources (hide)'!AD$6:AD$105)&gt;0,$E$1=2),0,1)</f>
        <v>1</v>
      </c>
      <c r="R112" s="68">
        <f ca="1">IF(AND(SUMIF(Capacity_Resource,$D112,'Critical resources (hide)'!AE$6:AE$105)+SUMIF(Capacity_Resource,$E112,'Critical resources (hide)'!AE$6:AE$105)+SUMIF(Capacity_Resource,$F112,'Critical resources (hide)'!AE$6:AE$105)&gt;0,$E$1=2),0,1)</f>
        <v>1</v>
      </c>
      <c r="S112" s="68">
        <f ca="1">IF(AND(SUMIF(Capacity_Resource,$D112,'Critical resources (hide)'!AF$6:AF$105)+SUMIF(Capacity_Resource,$E112,'Critical resources (hide)'!AF$6:AF$105)+SUMIF(Capacity_Resource,$F112,'Critical resources (hide)'!AF$6:AF$105)&gt;0,$E$1=2),0,1)</f>
        <v>1</v>
      </c>
      <c r="T112" s="68">
        <f ca="1">IF(AND(SUMIF(Capacity_Resource,$D112,'Critical resources (hide)'!AG$6:AG$105)+SUMIF(Capacity_Resource,$E112,'Critical resources (hide)'!AG$6:AG$105)+SUMIF(Capacity_Resource,$F112,'Critical resources (hide)'!AG$6:AG$105)&gt;0,$E$1=2),0,1)</f>
        <v>1</v>
      </c>
      <c r="U112" s="68">
        <f ca="1">IF(AND(SUMIF(Capacity_Resource,$D112,'Critical resources (hide)'!AH$6:AH$105)+SUMIF(Capacity_Resource,$E112,'Critical resources (hide)'!AH$6:AH$105)+SUMIF(Capacity_Resource,$F112,'Critical resources (hide)'!AH$6:AH$105)&gt;0,$E$1=2),0,1)</f>
        <v>1</v>
      </c>
      <c r="V112" s="68">
        <f ca="1">IF(AND(SUMIF(Capacity_Resource,$D112,'Critical resources (hide)'!AI$6:AI$105)+SUMIF(Capacity_Resource,$E112,'Critical resources (hide)'!AI$6:AI$105)+SUMIF(Capacity_Resource,$F112,'Critical resources (hide)'!AI$6:AI$105)&gt;0,$E$1=2),0,1)</f>
        <v>1</v>
      </c>
      <c r="W112" s="68">
        <f ca="1">IF(AND(SUMIF(Capacity_Resource,$D112,'Critical resources (hide)'!AJ$6:AJ$105)+SUMIF(Capacity_Resource,$E112,'Critical resources (hide)'!AJ$6:AJ$105)+SUMIF(Capacity_Resource,$F112,'Critical resources (hide)'!AJ$6:AJ$105)&gt;0,$E$1=2),0,1)</f>
        <v>1</v>
      </c>
      <c r="X112" s="68">
        <f ca="1">IF(AND(SUMIF(Capacity_Resource,$D112,'Critical resources (hide)'!AK$6:AK$105)+SUMIF(Capacity_Resource,$E112,'Critical resources (hide)'!AK$6:AK$105)+SUMIF(Capacity_Resource,$F112,'Critical resources (hide)'!AK$6:AK$105)&gt;0,$E$1=2),0,1)</f>
        <v>1</v>
      </c>
      <c r="Y112" s="68">
        <f ca="1">IF(AND(SUMIF(Capacity_Resource,$D112,'Critical resources (hide)'!AL$6:AL$105)+SUMIF(Capacity_Resource,$E112,'Critical resources (hide)'!AL$6:AL$105)+SUMIF(Capacity_Resource,$F112,'Critical resources (hide)'!AL$6:AL$105)&gt;0,$E$1=2),0,1)</f>
        <v>1</v>
      </c>
      <c r="Z112" s="68">
        <f ca="1">IF(AND(SUMIF(Capacity_Resource,$D112,'Critical resources (hide)'!AM$6:AM$105)+SUMIF(Capacity_Resource,$E112,'Critical resources (hide)'!AM$6:AM$105)+SUMIF(Capacity_Resource,$F112,'Critical resources (hide)'!AM$6:AM$105)&gt;0,$E$1=2),0,1)</f>
        <v>1</v>
      </c>
      <c r="AA112" s="68">
        <f ca="1">IF(AND(SUMIF(Capacity_Resource,$D112,'Critical resources (hide)'!AN$6:AN$105)+SUMIF(Capacity_Resource,$E112,'Critical resources (hide)'!AN$6:AN$105)+SUMIF(Capacity_Resource,$F112,'Critical resources (hide)'!AN$6:AN$105)&gt;0,$E$1=2),0,1)</f>
        <v>1</v>
      </c>
      <c r="AB112" s="68">
        <f ca="1">IF(AND(SUMIF(Capacity_Resource,$D112,'Critical resources (hide)'!AO$6:AO$105)+SUMIF(Capacity_Resource,$E112,'Critical resources (hide)'!AO$6:AO$105)+SUMIF(Capacity_Resource,$F112,'Critical resources (hide)'!AO$6:AO$105)&gt;0,$E$1=2),0,1)</f>
        <v>1</v>
      </c>
      <c r="AC112" s="68">
        <f ca="1">IF(AND(SUMIF(Capacity_Resource,$D112,'Critical resources (hide)'!AP$6:AP$105)+SUMIF(Capacity_Resource,$E112,'Critical resources (hide)'!AP$6:AP$105)+SUMIF(Capacity_Resource,$F112,'Critical resources (hide)'!AP$6:AP$105)&gt;0,$E$1=2),0,1)</f>
        <v>1</v>
      </c>
      <c r="AD112" s="68">
        <f ca="1">IF(AND(SUMIF(Capacity_Resource,$D112,'Critical resources (hide)'!AQ$6:AQ$105)+SUMIF(Capacity_Resource,$E112,'Critical resources (hide)'!AQ$6:AQ$105)+SUMIF(Capacity_Resource,$F112,'Critical resources (hide)'!AQ$6:AQ$105)&gt;0,$E$1=2),0,1)</f>
        <v>1</v>
      </c>
      <c r="AE112" s="68">
        <f ca="1">IF(AND(SUMIF(Capacity_Resource,$D112,'Critical resources (hide)'!AR$6:AR$105)+SUMIF(Capacity_Resource,$E112,'Critical resources (hide)'!AR$6:AR$105)+SUMIF(Capacity_Resource,$F112,'Critical resources (hide)'!AR$6:AR$105)&gt;0,$E$1=2),0,1)</f>
        <v>1</v>
      </c>
      <c r="AF112" s="68">
        <f ca="1">IF(AND(SUMIF(Capacity_Resource,$D112,'Critical resources (hide)'!AS$6:AS$105)+SUMIF(Capacity_Resource,$E112,'Critical resources (hide)'!AS$6:AS$105)+SUMIF(Capacity_Resource,$F112,'Critical resources (hide)'!AS$6:AS$105)&gt;0,$E$1=2),0,1)</f>
        <v>1</v>
      </c>
      <c r="AG112" s="68">
        <f ca="1">IF(AND(SUMIF(Capacity_Resource,$D112,'Critical resources (hide)'!AT$6:AT$105)+SUMIF(Capacity_Resource,$E112,'Critical resources (hide)'!AT$6:AT$105)+SUMIF(Capacity_Resource,$F112,'Critical resources (hide)'!AT$6:AT$105)&gt;0,$E$1=2),0,1)</f>
        <v>1</v>
      </c>
      <c r="AH112" s="68">
        <f ca="1">IF(AND(SUMIF(Capacity_Resource,$D112,'Critical resources (hide)'!AU$6:AU$105)+SUMIF(Capacity_Resource,$E112,'Critical resources (hide)'!AU$6:AU$105)+SUMIF(Capacity_Resource,$F112,'Critical resources (hide)'!AU$6:AU$105)&gt;0,$E$1=2),0,1)</f>
        <v>1</v>
      </c>
      <c r="AI112" s="68">
        <f ca="1">IF(AND(SUMIF(Capacity_Resource,$D112,'Critical resources (hide)'!AV$6:AV$105)+SUMIF(Capacity_Resource,$E112,'Critical resources (hide)'!AV$6:AV$105)+SUMIF(Capacity_Resource,$F112,'Critical resources (hide)'!AV$6:AV$105)&gt;0,$E$1=2),0,1)</f>
        <v>1</v>
      </c>
      <c r="AJ112" s="68">
        <f ca="1">IF(AND(SUMIF(Capacity_Resource,$D112,'Critical resources (hide)'!AW$6:AW$105)+SUMIF(Capacity_Resource,$E112,'Critical resources (hide)'!AW$6:AW$105)+SUMIF(Capacity_Resource,$F112,'Critical resources (hide)'!AW$6:AW$105)&gt;0,$E$1=2),0,1)</f>
        <v>1</v>
      </c>
      <c r="AK112" s="68">
        <f ca="1">IF(AND(SUMIF(Capacity_Resource,$D112,'Critical resources (hide)'!AX$6:AX$105)+SUMIF(Capacity_Resource,$E112,'Critical resources (hide)'!AX$6:AX$105)+SUMIF(Capacity_Resource,$F112,'Critical resources (hide)'!AX$6:AX$105)&gt;0,$E$1=2),0,1)</f>
        <v>1</v>
      </c>
      <c r="AL112" s="68">
        <f ca="1">IF(AND(SUMIF(Capacity_Resource,$D112,'Critical resources (hide)'!AY$6:AY$105)+SUMIF(Capacity_Resource,$E112,'Critical resources (hide)'!AY$6:AY$105)+SUMIF(Capacity_Resource,$F112,'Critical resources (hide)'!AY$6:AY$105)&gt;0,$E$1=2),0,1)</f>
        <v>1</v>
      </c>
      <c r="AM112" s="68">
        <f ca="1">IF(AND(SUMIF(Capacity_Resource,$D112,'Critical resources (hide)'!AZ$6:AZ$105)+SUMIF(Capacity_Resource,$E112,'Critical resources (hide)'!AZ$6:AZ$105)+SUMIF(Capacity_Resource,$F112,'Critical resources (hide)'!AZ$6:AZ$105)&gt;0,$E$1=2),0,1)</f>
        <v>1</v>
      </c>
      <c r="AN112" s="68">
        <f ca="1">IF(AND(SUMIF(Capacity_Resource,$D112,'Critical resources (hide)'!BA$6:BA$105)+SUMIF(Capacity_Resource,$E112,'Critical resources (hide)'!BA$6:BA$105)+SUMIF(Capacity_Resource,$F112,'Critical resources (hide)'!BA$6:BA$105)&gt;0,$E$1=2),0,1)</f>
        <v>1</v>
      </c>
      <c r="AO112" s="68">
        <f ca="1">IF(AND(SUMIF(Capacity_Resource,$D112,'Critical resources (hide)'!BB$6:BB$105)+SUMIF(Capacity_Resource,$E112,'Critical resources (hide)'!BB$6:BB$105)+SUMIF(Capacity_Resource,$F112,'Critical resources (hide)'!BB$6:BB$105)&gt;0,$E$1=2),0,1)</f>
        <v>1</v>
      </c>
      <c r="AP112" s="68">
        <f ca="1">IF(AND(SUMIF(Capacity_Resource,$D112,'Critical resources (hide)'!BC$6:BC$105)+SUMIF(Capacity_Resource,$E112,'Critical resources (hide)'!BC$6:BC$105)+SUMIF(Capacity_Resource,$F112,'Critical resources (hide)'!BC$6:BC$105)&gt;0,$E$1=2),0,1)</f>
        <v>1</v>
      </c>
      <c r="AQ112" s="68">
        <f ca="1">IF(AND(SUMIF(Capacity_Resource,$D112,'Critical resources (hide)'!BD$6:BD$105)+SUMIF(Capacity_Resource,$E112,'Critical resources (hide)'!BD$6:BD$105)+SUMIF(Capacity_Resource,$F112,'Critical resources (hide)'!BD$6:BD$105)&gt;0,$E$1=2),0,1)</f>
        <v>1</v>
      </c>
      <c r="AR112" s="68">
        <f ca="1">IF(AND(SUMIF(Capacity_Resource,$D112,'Critical resources (hide)'!BE$6:BE$105)+SUMIF(Capacity_Resource,$E112,'Critical resources (hide)'!BE$6:BE$105)+SUMIF(Capacity_Resource,$F112,'Critical resources (hide)'!BE$6:BE$105)&gt;0,$E$1=2),0,1)</f>
        <v>1</v>
      </c>
      <c r="AS112" s="68">
        <f ca="1">IF(AND(SUMIF(Capacity_Resource,$D112,'Critical resources (hide)'!BF$6:BF$105)+SUMIF(Capacity_Resource,$E112,'Critical resources (hide)'!BF$6:BF$105)+SUMIF(Capacity_Resource,$F112,'Critical resources (hide)'!BF$6:BF$105)&gt;0,$E$1=2),0,1)</f>
        <v>1</v>
      </c>
      <c r="AT112" s="68">
        <f ca="1">IF(AND(SUMIF(Capacity_Resource,$D112,'Critical resources (hide)'!BG$6:BG$105)+SUMIF(Capacity_Resource,$E112,'Critical resources (hide)'!BG$6:BG$105)+SUMIF(Capacity_Resource,$F112,'Critical resources (hide)'!BG$6:BG$105)&gt;0,$E$1=2),0,1)</f>
        <v>1</v>
      </c>
      <c r="AU112" s="68">
        <f ca="1">IF(AND(SUMIF(Capacity_Resource,$D112,'Critical resources (hide)'!BH$6:BH$105)+SUMIF(Capacity_Resource,$E112,'Critical resources (hide)'!BH$6:BH$105)+SUMIF(Capacity_Resource,$F112,'Critical resources (hide)'!BH$6:BH$105)&gt;0,$E$1=2),0,1)</f>
        <v>1</v>
      </c>
      <c r="AV112" s="68">
        <f ca="1">IF(AND(SUMIF(Capacity_Resource,$D112,'Critical resources (hide)'!BI$6:BI$105)+SUMIF(Capacity_Resource,$E112,'Critical resources (hide)'!BI$6:BI$105)+SUMIF(Capacity_Resource,$F112,'Critical resources (hide)'!BI$6:BI$105)&gt;0,$E$1=2),0,1)</f>
        <v>1</v>
      </c>
      <c r="AW112" s="68">
        <f ca="1">IF(AND(SUMIF(Capacity_Resource,$D112,'Critical resources (hide)'!BJ$6:BJ$105)+SUMIF(Capacity_Resource,$E112,'Critical resources (hide)'!BJ$6:BJ$105)+SUMIF(Capacity_Resource,$F112,'Critical resources (hide)'!BJ$6:BJ$105)&gt;0,$E$1=2),0,1)</f>
        <v>1</v>
      </c>
      <c r="AX112" s="68">
        <f ca="1">IF(AND(SUMIF(Capacity_Resource,$D112,'Critical resources (hide)'!BK$6:BK$105)+SUMIF(Capacity_Resource,$E112,'Critical resources (hide)'!BK$6:BK$105)+SUMIF(Capacity_Resource,$F112,'Critical resources (hide)'!BK$6:BK$105)&gt;0,$E$1=2),0,1)</f>
        <v>1</v>
      </c>
      <c r="AY112" s="68">
        <f ca="1">IF(AND(SUMIF(Capacity_Resource,$D112,'Critical resources (hide)'!BL$6:BL$105)+SUMIF(Capacity_Resource,$E112,'Critical resources (hide)'!BL$6:BL$105)+SUMIF(Capacity_Resource,$F112,'Critical resources (hide)'!BL$6:BL$105)&gt;0,$E$1=2),0,1)</f>
        <v>1</v>
      </c>
      <c r="AZ112" s="68">
        <f ca="1">IF(AND(SUMIF(Capacity_Resource,$D112,'Critical resources (hide)'!BM$6:BM$105)+SUMIF(Capacity_Resource,$E112,'Critical resources (hide)'!BM$6:BM$105)+SUMIF(Capacity_Resource,$F112,'Critical resources (hide)'!BM$6:BM$105)&gt;0,$E$1=2),0,1)</f>
        <v>1</v>
      </c>
      <c r="BA112" s="68">
        <f ca="1">IF(AND(SUMIF(Capacity_Resource,$D112,'Critical resources (hide)'!BN$6:BN$105)+SUMIF(Capacity_Resource,$E112,'Critical resources (hide)'!BN$6:BN$105)+SUMIF(Capacity_Resource,$F112,'Critical resources (hide)'!BN$6:BN$105)&gt;0,$E$1=2),0,1)</f>
        <v>1</v>
      </c>
      <c r="BB112" s="68">
        <f ca="1">IF(AND(SUMIF(Capacity_Resource,$D112,'Critical resources (hide)'!BO$6:BO$105)+SUMIF(Capacity_Resource,$E112,'Critical resources (hide)'!BO$6:BO$105)+SUMIF(Capacity_Resource,$F112,'Critical resources (hide)'!BO$6:BO$105)&gt;0,$E$1=2),0,1)</f>
        <v>1</v>
      </c>
      <c r="BC112" s="68">
        <f ca="1">IF(AND(SUMIF(Capacity_Resource,$D112,'Critical resources (hide)'!BP$6:BP$105)+SUMIF(Capacity_Resource,$E112,'Critical resources (hide)'!BP$6:BP$105)+SUMIF(Capacity_Resource,$F112,'Critical resources (hide)'!BP$6:BP$105)&gt;0,$E$1=2),0,1)</f>
        <v>1</v>
      </c>
      <c r="BD112" s="68">
        <f ca="1">IF(AND(SUMIF(Capacity_Resource,$D112,'Critical resources (hide)'!BQ$6:BQ$105)+SUMIF(Capacity_Resource,$E112,'Critical resources (hide)'!BQ$6:BQ$105)+SUMIF(Capacity_Resource,$F112,'Critical resources (hide)'!BQ$6:BQ$105)&gt;0,$E$1=2),0,1)</f>
        <v>1</v>
      </c>
      <c r="BE112" s="68">
        <f ca="1">IF(AND(SUMIF(Capacity_Resource,$D112,'Critical resources (hide)'!BR$6:BR$105)+SUMIF(Capacity_Resource,$E112,'Critical resources (hide)'!BR$6:BR$105)+SUMIF(Capacity_Resource,$F112,'Critical resources (hide)'!BR$6:BR$105)&gt;0,$E$1=2),0,1)</f>
        <v>1</v>
      </c>
      <c r="BF112" s="68">
        <f ca="1">IF(AND(SUMIF(Capacity_Resource,$D112,'Critical resources (hide)'!BS$6:BS$105)+SUMIF(Capacity_Resource,$E112,'Critical resources (hide)'!BS$6:BS$105)+SUMIF(Capacity_Resource,$F112,'Critical resources (hide)'!BS$6:BS$105)&gt;0,$E$1=2),0,1)</f>
        <v>1</v>
      </c>
      <c r="BG112" s="68">
        <f ca="1">IF(AND(SUMIF(Capacity_Resource,$D112,'Critical resources (hide)'!BT$6:BT$105)+SUMIF(Capacity_Resource,$E112,'Critical resources (hide)'!BT$6:BT$105)+SUMIF(Capacity_Resource,$F112,'Critical resources (hide)'!BT$6:BT$105)&gt;0,$E$1=2),0,1)</f>
        <v>1</v>
      </c>
      <c r="BH112">
        <f>IF(ROW(A1)&lt;=Capacity!$M$16,IF('Capacity summary'!$C$14="No",SUM(H112:BG112),'Capacity summary'!$E24),0)</f>
        <v>10</v>
      </c>
      <c r="BI112">
        <f>IF(BH112&gt;0,IF(BH112&lt;Capacity!Q17,Capacity!R17,Capacity!T17/'Capacity calculation (hide)'!BH112),"")</f>
        <v>4</v>
      </c>
      <c r="BJ112" s="5"/>
      <c r="BK112" s="5">
        <f>IF($BI112&lt;&gt;"",IF('Capacity summary'!$C$14="Yes",IF(COUNTBLANK('Capacity summary'!$H24:$BG24)&lt;52,IF('Capacity summary'!H24&lt;&gt;"",$BI112*H112,0),H112*$BI112),H112*$BI112),0)</f>
        <v>0</v>
      </c>
      <c r="BL112" s="5">
        <f ca="1">IF($BI112&lt;&gt;"",IF('Capacity summary'!$C$14="Yes",IF(COUNTBLANK('Capacity summary'!$H24:$BG24)&lt;52,IF('Capacity summary'!I24&lt;&gt;"",$BI112*I112,0),I112*$BI112),I112*$BI112),0)</f>
        <v>4</v>
      </c>
      <c r="BM112" s="5">
        <f>IF($BI112&lt;&gt;"",IF('Capacity summary'!$C$14="Yes",IF(COUNTBLANK('Capacity summary'!$H24:$BG24)&lt;52,IF('Capacity summary'!J24&lt;&gt;"",$BI112*J112,0),J112*$BI112),J112*$BI112),0)</f>
        <v>0</v>
      </c>
      <c r="BN112" s="5">
        <f ca="1">IF($BI112&lt;&gt;"",IF('Capacity summary'!$C$14="Yes",IF(COUNTBLANK('Capacity summary'!$H24:$BG24)&lt;52,IF('Capacity summary'!K24&lt;&gt;"",$BI112*K112,0),K112*$BI112),K112*$BI112),0)</f>
        <v>4</v>
      </c>
      <c r="BO112" s="5">
        <f>IF($BI112&lt;&gt;"",IF('Capacity summary'!$C$14="Yes",IF(COUNTBLANK('Capacity summary'!$H24:$BG24)&lt;52,IF('Capacity summary'!L24&lt;&gt;"",$BI112*L112,0),L112*$BI112),L112*$BI112),0)</f>
        <v>0</v>
      </c>
      <c r="BP112" s="5">
        <f ca="1">IF($BI112&lt;&gt;"",IF('Capacity summary'!$C$14="Yes",IF(COUNTBLANK('Capacity summary'!$H24:$BG24)&lt;52,IF('Capacity summary'!M24&lt;&gt;"",$BI112*M112,0),M112*$BI112),M112*$BI112),0)</f>
        <v>4</v>
      </c>
      <c r="BQ112" s="5">
        <f ca="1">IF($BI112&lt;&gt;"",IF('Capacity summary'!$C$14="Yes",IF(COUNTBLANK('Capacity summary'!$H24:$BG24)&lt;52,IF('Capacity summary'!N24&lt;&gt;"",$BI112*N112,0),N112*$BI112),N112*$BI112),0)</f>
        <v>4</v>
      </c>
      <c r="BR112" s="5">
        <f>IF($BI112&lt;&gt;"",IF('Capacity summary'!$C$14="Yes",IF(COUNTBLANK('Capacity summary'!$H24:$BG24)&lt;52,IF('Capacity summary'!O24&lt;&gt;"",$BI112*O112,0),O112*$BI112),O112*$BI112),0)</f>
        <v>0</v>
      </c>
      <c r="BS112" s="5">
        <f>IF($BI112&lt;&gt;"",IF('Capacity summary'!$C$14="Yes",IF(COUNTBLANK('Capacity summary'!$H24:$BG24)&lt;52,IF('Capacity summary'!P24&lt;&gt;"",$BI112*P112,0),P112*$BI112),P112*$BI112),0)</f>
        <v>0</v>
      </c>
      <c r="BT112" s="5">
        <f ca="1">IF($BI112&lt;&gt;"",IF('Capacity summary'!$C$14="Yes",IF(COUNTBLANK('Capacity summary'!$H24:$BG24)&lt;52,IF('Capacity summary'!Q24&lt;&gt;"",$BI112*Q112,0),Q112*$BI112),Q112*$BI112),0)</f>
        <v>4</v>
      </c>
      <c r="BU112" s="5">
        <f ca="1">IF($BI112&lt;&gt;"",IF('Capacity summary'!$C$14="Yes",IF(COUNTBLANK('Capacity summary'!$H24:$BG24)&lt;52,IF('Capacity summary'!R24&lt;&gt;"",$BI112*R112,0),R112*$BI112),R112*$BI112),0)</f>
        <v>4</v>
      </c>
      <c r="BV112" s="5">
        <f>IF($BI112&lt;&gt;"",IF('Capacity summary'!$C$14="Yes",IF(COUNTBLANK('Capacity summary'!$H24:$BG24)&lt;52,IF('Capacity summary'!S24&lt;&gt;"",$BI112*S112,0),S112*$BI112),S112*$BI112),0)</f>
        <v>0</v>
      </c>
      <c r="BW112" s="5">
        <f>IF($BI112&lt;&gt;"",IF('Capacity summary'!$C$14="Yes",IF(COUNTBLANK('Capacity summary'!$H24:$BG24)&lt;52,IF('Capacity summary'!T24&lt;&gt;"",$BI112*T112,0),T112*$BI112),T112*$BI112),0)</f>
        <v>0</v>
      </c>
      <c r="BX112" s="5">
        <f ca="1">IF($BI112&lt;&gt;"",IF('Capacity summary'!$C$14="Yes",IF(COUNTBLANK('Capacity summary'!$H24:$BG24)&lt;52,IF('Capacity summary'!U24&lt;&gt;"",$BI112*U112,0),U112*$BI112),U112*$BI112),0)</f>
        <v>4</v>
      </c>
      <c r="BY112" s="5">
        <f>IF($BI112&lt;&gt;"",IF('Capacity summary'!$C$14="Yes",IF(COUNTBLANK('Capacity summary'!$H24:$BG24)&lt;52,IF('Capacity summary'!V24&lt;&gt;"",$BI112*V112,0),V112*$BI112),V112*$BI112),0)</f>
        <v>0</v>
      </c>
      <c r="BZ112" s="5">
        <f>IF($BI112&lt;&gt;"",IF('Capacity summary'!$C$14="Yes",IF(COUNTBLANK('Capacity summary'!$H24:$BG24)&lt;52,IF('Capacity summary'!W24&lt;&gt;"",$BI112*W112,0),W112*$BI112),W112*$BI112),0)</f>
        <v>0</v>
      </c>
      <c r="CA112" s="5">
        <f>IF($BI112&lt;&gt;"",IF('Capacity summary'!$C$14="Yes",IF(COUNTBLANK('Capacity summary'!$H24:$BG24)&lt;52,IF('Capacity summary'!X24&lt;&gt;"",$BI112*X112,0),X112*$BI112),X112*$BI112),0)</f>
        <v>0</v>
      </c>
      <c r="CB112" s="5">
        <f>IF($BI112&lt;&gt;"",IF('Capacity summary'!$C$14="Yes",IF(COUNTBLANK('Capacity summary'!$H24:$BG24)&lt;52,IF('Capacity summary'!Y24&lt;&gt;"",$BI112*Y112,0),Y112*$BI112),Y112*$BI112),0)</f>
        <v>0</v>
      </c>
      <c r="CC112" s="5">
        <f>IF($BI112&lt;&gt;"",IF('Capacity summary'!$C$14="Yes",IF(COUNTBLANK('Capacity summary'!$H24:$BG24)&lt;52,IF('Capacity summary'!Z24&lt;&gt;"",$BI112*Z112,0),Z112*$BI112),Z112*$BI112),0)</f>
        <v>0</v>
      </c>
      <c r="CD112" s="5">
        <f>IF($BI112&lt;&gt;"",IF('Capacity summary'!$C$14="Yes",IF(COUNTBLANK('Capacity summary'!$H24:$BG24)&lt;52,IF('Capacity summary'!AA24&lt;&gt;"",$BI112*AA112,0),AA112*$BI112),AA112*$BI112),0)</f>
        <v>0</v>
      </c>
      <c r="CE112" s="5">
        <f>IF($BI112&lt;&gt;"",IF('Capacity summary'!$C$14="Yes",IF(COUNTBLANK('Capacity summary'!$H24:$BG24)&lt;52,IF('Capacity summary'!AB24&lt;&gt;"",$BI112*AB112,0),AB112*$BI112),AB112*$BI112),0)</f>
        <v>0</v>
      </c>
      <c r="CF112" s="5">
        <f>IF($BI112&lt;&gt;"",IF('Capacity summary'!$C$14="Yes",IF(COUNTBLANK('Capacity summary'!$H24:$BG24)&lt;52,IF('Capacity summary'!AC24&lt;&gt;"",$BI112*AC112,0),AC112*$BI112),AC112*$BI112),0)</f>
        <v>0</v>
      </c>
      <c r="CG112" s="5">
        <f>IF($BI112&lt;&gt;"",IF('Capacity summary'!$C$14="Yes",IF(COUNTBLANK('Capacity summary'!$H24:$BG24)&lt;52,IF('Capacity summary'!AD24&lt;&gt;"",$BI112*AD112,0),AD112*$BI112),AD112*$BI112),0)</f>
        <v>0</v>
      </c>
      <c r="CH112" s="5">
        <f>IF($BI112&lt;&gt;"",IF('Capacity summary'!$C$14="Yes",IF(COUNTBLANK('Capacity summary'!$H24:$BG24)&lt;52,IF('Capacity summary'!AE24&lt;&gt;"",$BI112*AE112,0),AE112*$BI112),AE112*$BI112),0)</f>
        <v>0</v>
      </c>
      <c r="CI112" s="5">
        <f>IF($BI112&lt;&gt;"",IF('Capacity summary'!$C$14="Yes",IF(COUNTBLANK('Capacity summary'!$H24:$BG24)&lt;52,IF('Capacity summary'!AF24&lt;&gt;"",$BI112*AF112,0),AF112*$BI112),AF112*$BI112),0)</f>
        <v>0</v>
      </c>
      <c r="CJ112" s="5">
        <f>IF($BI112&lt;&gt;"",IF('Capacity summary'!$C$14="Yes",IF(COUNTBLANK('Capacity summary'!$H24:$BG24)&lt;52,IF('Capacity summary'!AG24&lt;&gt;"",$BI112*AG112,0),AG112*$BI112),AG112*$BI112),0)</f>
        <v>0</v>
      </c>
      <c r="CK112" s="5">
        <f>IF($BI112&lt;&gt;"",IF('Capacity summary'!$C$14="Yes",IF(COUNTBLANK('Capacity summary'!$H24:$BG24)&lt;52,IF('Capacity summary'!AH24&lt;&gt;"",$BI112*AH112,0),AH112*$BI112),AH112*$BI112),0)</f>
        <v>0</v>
      </c>
      <c r="CL112" s="5">
        <f ca="1">IF($BI112&lt;&gt;"",IF('Capacity summary'!$C$14="Yes",IF(COUNTBLANK('Capacity summary'!$H24:$BG24)&lt;52,IF('Capacity summary'!AI24&lt;&gt;"",$BI112*AI112,0),AI112*$BI112),AI112*$BI112),0)</f>
        <v>4</v>
      </c>
      <c r="CM112" s="5">
        <f ca="1">IF($BI112&lt;&gt;"",IF('Capacity summary'!$C$14="Yes",IF(COUNTBLANK('Capacity summary'!$H24:$BG24)&lt;52,IF('Capacity summary'!AJ24&lt;&gt;"",$BI112*AJ112,0),AJ112*$BI112),AJ112*$BI112),0)</f>
        <v>4</v>
      </c>
      <c r="CN112" s="5">
        <f>IF($BI112&lt;&gt;"",IF('Capacity summary'!$C$14="Yes",IF(COUNTBLANK('Capacity summary'!$H24:$BG24)&lt;52,IF('Capacity summary'!AK24&lt;&gt;"",$BI112*AK112,0),AK112*$BI112),AK112*$BI112),0)</f>
        <v>0</v>
      </c>
      <c r="CO112" s="5">
        <f>IF($BI112&lt;&gt;"",IF('Capacity summary'!$C$14="Yes",IF(COUNTBLANK('Capacity summary'!$H24:$BG24)&lt;52,IF('Capacity summary'!AL24&lt;&gt;"",$BI112*AL112,0),AL112*$BI112),AL112*$BI112),0)</f>
        <v>0</v>
      </c>
      <c r="CP112" s="5">
        <f>IF($BI112&lt;&gt;"",IF('Capacity summary'!$C$14="Yes",IF(COUNTBLANK('Capacity summary'!$H24:$BG24)&lt;52,IF('Capacity summary'!AM24&lt;&gt;"",$BI112*AM112,0),AM112*$BI112),AM112*$BI112),0)</f>
        <v>0</v>
      </c>
      <c r="CQ112" s="5">
        <f>IF($BI112&lt;&gt;"",IF('Capacity summary'!$C$14="Yes",IF(COUNTBLANK('Capacity summary'!$H24:$BG24)&lt;52,IF('Capacity summary'!AN24&lt;&gt;"",$BI112*AN112,0),AN112*$BI112),AN112*$BI112),0)</f>
        <v>0</v>
      </c>
      <c r="CR112" s="5">
        <f>IF($BI112&lt;&gt;"",IF('Capacity summary'!$C$14="Yes",IF(COUNTBLANK('Capacity summary'!$H24:$BG24)&lt;52,IF('Capacity summary'!AO24&lt;&gt;"",$BI112*AO112,0),AO112*$BI112),AO112*$BI112),0)</f>
        <v>0</v>
      </c>
      <c r="CS112" s="5">
        <f>IF($BI112&lt;&gt;"",IF('Capacity summary'!$C$14="Yes",IF(COUNTBLANK('Capacity summary'!$H24:$BG24)&lt;52,IF('Capacity summary'!AP24&lt;&gt;"",$BI112*AP112,0),AP112*$BI112),AP112*$BI112),0)</f>
        <v>0</v>
      </c>
      <c r="CT112" s="5">
        <f>IF($BI112&lt;&gt;"",IF('Capacity summary'!$C$14="Yes",IF(COUNTBLANK('Capacity summary'!$H24:$BG24)&lt;52,IF('Capacity summary'!AQ24&lt;&gt;"",$BI112*AQ112,0),AQ112*$BI112),AQ112*$BI112),0)</f>
        <v>0</v>
      </c>
      <c r="CU112" s="5">
        <f ca="1">IF($BI112&lt;&gt;"",IF('Capacity summary'!$C$14="Yes",IF(COUNTBLANK('Capacity summary'!$H24:$BG24)&lt;52,IF('Capacity summary'!AR24&lt;&gt;"",$BI112*AR112,0),AR112*$BI112),AR112*$BI112),0)</f>
        <v>4</v>
      </c>
      <c r="CV112" s="5">
        <f>IF($BI112&lt;&gt;"",IF('Capacity summary'!$C$14="Yes",IF(COUNTBLANK('Capacity summary'!$H24:$BG24)&lt;52,IF('Capacity summary'!AS24&lt;&gt;"",$BI112*AS112,0),AS112*$BI112),AS112*$BI112),0)</f>
        <v>0</v>
      </c>
      <c r="CW112" s="5">
        <f>IF($BI112&lt;&gt;"",IF('Capacity summary'!$C$14="Yes",IF(COUNTBLANK('Capacity summary'!$H24:$BG24)&lt;52,IF('Capacity summary'!AT24&lt;&gt;"",$BI112*AT112,0),AT112*$BI112),AT112*$BI112),0)</f>
        <v>0</v>
      </c>
      <c r="CX112" s="5">
        <f>IF($BI112&lt;&gt;"",IF('Capacity summary'!$C$14="Yes",IF(COUNTBLANK('Capacity summary'!$H24:$BG24)&lt;52,IF('Capacity summary'!AU24&lt;&gt;"",$BI112*AU112,0),AU112*$BI112),AU112*$BI112),0)</f>
        <v>0</v>
      </c>
      <c r="CY112" s="5">
        <f>IF($BI112&lt;&gt;"",IF('Capacity summary'!$C$14="Yes",IF(COUNTBLANK('Capacity summary'!$H24:$BG24)&lt;52,IF('Capacity summary'!AV24&lt;&gt;"",$BI112*AV112,0),AV112*$BI112),AV112*$BI112),0)</f>
        <v>0</v>
      </c>
      <c r="CZ112" s="5">
        <f>IF($BI112&lt;&gt;"",IF('Capacity summary'!$C$14="Yes",IF(COUNTBLANK('Capacity summary'!$H24:$BG24)&lt;52,IF('Capacity summary'!AW24&lt;&gt;"",$BI112*AW112,0),AW112*$BI112),AW112*$BI112),0)</f>
        <v>0</v>
      </c>
      <c r="DA112" s="5">
        <f>IF($BI112&lt;&gt;"",IF('Capacity summary'!$C$14="Yes",IF(COUNTBLANK('Capacity summary'!$H24:$BG24)&lt;52,IF('Capacity summary'!AX24&lt;&gt;"",$BI112*AX112,0),AX112*$BI112),AX112*$BI112),0)</f>
        <v>0</v>
      </c>
      <c r="DB112" s="5">
        <f>IF($BI112&lt;&gt;"",IF('Capacity summary'!$C$14="Yes",IF(COUNTBLANK('Capacity summary'!$H24:$BG24)&lt;52,IF('Capacity summary'!AY24&lt;&gt;"",$BI112*AY112,0),AY112*$BI112),AY112*$BI112),0)</f>
        <v>0</v>
      </c>
      <c r="DC112" s="5">
        <f>IF($BI112&lt;&gt;"",IF('Capacity summary'!$C$14="Yes",IF(COUNTBLANK('Capacity summary'!$H24:$BG24)&lt;52,IF('Capacity summary'!AZ24&lt;&gt;"",$BI112*AZ112,0),AZ112*$BI112),AZ112*$BI112),0)</f>
        <v>0</v>
      </c>
      <c r="DD112" s="5">
        <f>IF($BI112&lt;&gt;"",IF('Capacity summary'!$C$14="Yes",IF(COUNTBLANK('Capacity summary'!$H24:$BG24)&lt;52,IF('Capacity summary'!BA24&lt;&gt;"",$BI112*BA112,0),BA112*$BI112),BA112*$BI112),0)</f>
        <v>0</v>
      </c>
      <c r="DE112" s="5">
        <f>IF($BI112&lt;&gt;"",IF('Capacity summary'!$C$14="Yes",IF(COUNTBLANK('Capacity summary'!$H24:$BG24)&lt;52,IF('Capacity summary'!BB24&lt;&gt;"",$BI112*BB112,0),BB112*$BI112),BB112*$BI112),0)</f>
        <v>0</v>
      </c>
      <c r="DF112" s="5">
        <f>IF($BI112&lt;&gt;"",IF('Capacity summary'!$C$14="Yes",IF(COUNTBLANK('Capacity summary'!$H24:$BG24)&lt;52,IF('Capacity summary'!BC24&lt;&gt;"",$BI112*BC112,0),BC112*$BI112),BC112*$BI112),0)</f>
        <v>0</v>
      </c>
      <c r="DG112" s="5">
        <f>IF($BI112&lt;&gt;"",IF('Capacity summary'!$C$14="Yes",IF(COUNTBLANK('Capacity summary'!$H24:$BG24)&lt;52,IF('Capacity summary'!BD24&lt;&gt;"",$BI112*BD112,0),BD112*$BI112),BD112*$BI112),0)</f>
        <v>0</v>
      </c>
      <c r="DH112" s="5">
        <f>IF($BI112&lt;&gt;"",IF('Capacity summary'!$C$14="Yes",IF(COUNTBLANK('Capacity summary'!$H24:$BG24)&lt;52,IF('Capacity summary'!BE24&lt;&gt;"",$BI112*BE112,0),BE112*$BI112),BE112*$BI112),0)</f>
        <v>0</v>
      </c>
      <c r="DI112" s="5">
        <f>IF($BI112&lt;&gt;"",IF('Capacity summary'!$C$14="Yes",IF(COUNTBLANK('Capacity summary'!$H24:$BG24)&lt;52,IF('Capacity summary'!BF24&lt;&gt;"",$BI112*BF112,0),BF112*$BI112),BF112*$BI112),0)</f>
        <v>0</v>
      </c>
      <c r="DJ112" s="5">
        <f>IF($BI112&lt;&gt;"",IF('Capacity summary'!$C$14="Yes",IF(COUNTBLANK('Capacity summary'!$H24:$BG24)&lt;52,IF('Capacity summary'!BG24&lt;&gt;"",$BI112*BG112,0),BG112*$BI112),BG112*$BI112),0)</f>
        <v>0</v>
      </c>
      <c r="DK112" s="138">
        <f ca="1">SUM(BK112:DJ112)</f>
        <v>40</v>
      </c>
    </row>
    <row r="113" spans="3:115" x14ac:dyDescent="0.2">
      <c r="C113" s="68" t="str">
        <f>ROW(A2)&amp;". "&amp;Capacity!N18</f>
        <v>2. Ad Hoc 2</v>
      </c>
      <c r="D113" s="68" t="str">
        <f>'Capacity setup'!C119</f>
        <v>3. CT Scanner 1</v>
      </c>
      <c r="E113" s="68" t="str">
        <f>'Capacity setup'!D119</f>
        <v>2. Consultant: Ms Taylor</v>
      </c>
      <c r="F113" s="68">
        <f>'Capacity setup'!E119</f>
        <v>0</v>
      </c>
      <c r="H113" s="68">
        <f ca="1">IF(AND(SUMIF(Capacity_Resource,$D113,'Critical resources (hide)'!U$6:U$105)+SUMIF(Capacity_Resource,$E113,'Critical resources (hide)'!U$6:U$105)+SUMIF(Capacity_Resource,$F113,'Critical resources (hide)'!U$6:U$105)&gt;0,$E$1=2),0,1)</f>
        <v>1</v>
      </c>
      <c r="I113" s="68">
        <f ca="1">IF(AND(SUMIF(Capacity_Resource,$D113,'Critical resources (hide)'!V$6:V$105)+SUMIF(Capacity_Resource,$E113,'Critical resources (hide)'!V$6:V$105)+SUMIF(Capacity_Resource,$F113,'Critical resources (hide)'!V$6:V$105)&gt;0,$E$1=2),0,1)</f>
        <v>1</v>
      </c>
      <c r="J113" s="68">
        <f ca="1">IF(AND(SUMIF(Capacity_Resource,$D113,'Critical resources (hide)'!W$6:W$105)+SUMIF(Capacity_Resource,$E113,'Critical resources (hide)'!W$6:W$105)+SUMIF(Capacity_Resource,$F113,'Critical resources (hide)'!W$6:W$105)&gt;0,$E$1=2),0,1)</f>
        <v>1</v>
      </c>
      <c r="K113" s="68">
        <f ca="1">IF(AND(SUMIF(Capacity_Resource,$D113,'Critical resources (hide)'!X$6:X$105)+SUMIF(Capacity_Resource,$E113,'Critical resources (hide)'!X$6:X$105)+SUMIF(Capacity_Resource,$F113,'Critical resources (hide)'!X$6:X$105)&gt;0,$E$1=2),0,1)</f>
        <v>1</v>
      </c>
      <c r="L113" s="68">
        <f ca="1">IF(AND(SUMIF(Capacity_Resource,$D113,'Critical resources (hide)'!Y$6:Y$105)+SUMIF(Capacity_Resource,$E113,'Critical resources (hide)'!Y$6:Y$105)+SUMIF(Capacity_Resource,$F113,'Critical resources (hide)'!Y$6:Y$105)&gt;0,$E$1=2),0,1)</f>
        <v>1</v>
      </c>
      <c r="M113" s="68">
        <f ca="1">IF(AND(SUMIF(Capacity_Resource,$D113,'Critical resources (hide)'!Z$6:Z$105)+SUMIF(Capacity_Resource,$E113,'Critical resources (hide)'!Z$6:Z$105)+SUMIF(Capacity_Resource,$F113,'Critical resources (hide)'!Z$6:Z$105)&gt;0,$E$1=2),0,1)</f>
        <v>1</v>
      </c>
      <c r="N113" s="68">
        <f ca="1">IF(AND(SUMIF(Capacity_Resource,$D113,'Critical resources (hide)'!AA$6:AA$105)+SUMIF(Capacity_Resource,$E113,'Critical resources (hide)'!AA$6:AA$105)+SUMIF(Capacity_Resource,$F113,'Critical resources (hide)'!AA$6:AA$105)&gt;0,$E$1=2),0,1)</f>
        <v>1</v>
      </c>
      <c r="O113" s="68">
        <f ca="1">IF(AND(SUMIF(Capacity_Resource,$D113,'Critical resources (hide)'!AB$6:AB$105)+SUMIF(Capacity_Resource,$E113,'Critical resources (hide)'!AB$6:AB$105)+SUMIF(Capacity_Resource,$F113,'Critical resources (hide)'!AB$6:AB$105)&gt;0,$E$1=2),0,1)</f>
        <v>1</v>
      </c>
      <c r="P113" s="68">
        <f ca="1">IF(AND(SUMIF(Capacity_Resource,$D113,'Critical resources (hide)'!AC$6:AC$105)+SUMIF(Capacity_Resource,$E113,'Critical resources (hide)'!AC$6:AC$105)+SUMIF(Capacity_Resource,$F113,'Critical resources (hide)'!AC$6:AC$105)&gt;0,$E$1=2),0,1)</f>
        <v>1</v>
      </c>
      <c r="Q113" s="68">
        <f ca="1">IF(AND(SUMIF(Capacity_Resource,$D113,'Critical resources (hide)'!AD$6:AD$105)+SUMIF(Capacity_Resource,$E113,'Critical resources (hide)'!AD$6:AD$105)+SUMIF(Capacity_Resource,$F113,'Critical resources (hide)'!AD$6:AD$105)&gt;0,$E$1=2),0,1)</f>
        <v>1</v>
      </c>
      <c r="R113" s="68">
        <f ca="1">IF(AND(SUMIF(Capacity_Resource,$D113,'Critical resources (hide)'!AE$6:AE$105)+SUMIF(Capacity_Resource,$E113,'Critical resources (hide)'!AE$6:AE$105)+SUMIF(Capacity_Resource,$F113,'Critical resources (hide)'!AE$6:AE$105)&gt;0,$E$1=2),0,1)</f>
        <v>1</v>
      </c>
      <c r="S113" s="68">
        <f ca="1">IF(AND(SUMIF(Capacity_Resource,$D113,'Critical resources (hide)'!AF$6:AF$105)+SUMIF(Capacity_Resource,$E113,'Critical resources (hide)'!AF$6:AF$105)+SUMIF(Capacity_Resource,$F113,'Critical resources (hide)'!AF$6:AF$105)&gt;0,$E$1=2),0,1)</f>
        <v>1</v>
      </c>
      <c r="T113" s="68">
        <f ca="1">IF(AND(SUMIF(Capacity_Resource,$D113,'Critical resources (hide)'!AG$6:AG$105)+SUMIF(Capacity_Resource,$E113,'Critical resources (hide)'!AG$6:AG$105)+SUMIF(Capacity_Resource,$F113,'Critical resources (hide)'!AG$6:AG$105)&gt;0,$E$1=2),0,1)</f>
        <v>1</v>
      </c>
      <c r="U113" s="68">
        <f ca="1">IF(AND(SUMIF(Capacity_Resource,$D113,'Critical resources (hide)'!AH$6:AH$105)+SUMIF(Capacity_Resource,$E113,'Critical resources (hide)'!AH$6:AH$105)+SUMIF(Capacity_Resource,$F113,'Critical resources (hide)'!AH$6:AH$105)&gt;0,$E$1=2),0,1)</f>
        <v>1</v>
      </c>
      <c r="V113" s="68">
        <f ca="1">IF(AND(SUMIF(Capacity_Resource,$D113,'Critical resources (hide)'!AI$6:AI$105)+SUMIF(Capacity_Resource,$E113,'Critical resources (hide)'!AI$6:AI$105)+SUMIF(Capacity_Resource,$F113,'Critical resources (hide)'!AI$6:AI$105)&gt;0,$E$1=2),0,1)</f>
        <v>1</v>
      </c>
      <c r="W113" s="68">
        <f ca="1">IF(AND(SUMIF(Capacity_Resource,$D113,'Critical resources (hide)'!AJ$6:AJ$105)+SUMIF(Capacity_Resource,$E113,'Critical resources (hide)'!AJ$6:AJ$105)+SUMIF(Capacity_Resource,$F113,'Critical resources (hide)'!AJ$6:AJ$105)&gt;0,$E$1=2),0,1)</f>
        <v>1</v>
      </c>
      <c r="X113" s="68">
        <f ca="1">IF(AND(SUMIF(Capacity_Resource,$D113,'Critical resources (hide)'!AK$6:AK$105)+SUMIF(Capacity_Resource,$E113,'Critical resources (hide)'!AK$6:AK$105)+SUMIF(Capacity_Resource,$F113,'Critical resources (hide)'!AK$6:AK$105)&gt;0,$E$1=2),0,1)</f>
        <v>1</v>
      </c>
      <c r="Y113" s="68">
        <f ca="1">IF(AND(SUMIF(Capacity_Resource,$D113,'Critical resources (hide)'!AL$6:AL$105)+SUMIF(Capacity_Resource,$E113,'Critical resources (hide)'!AL$6:AL$105)+SUMIF(Capacity_Resource,$F113,'Critical resources (hide)'!AL$6:AL$105)&gt;0,$E$1=2),0,1)</f>
        <v>1</v>
      </c>
      <c r="Z113" s="68">
        <f ca="1">IF(AND(SUMIF(Capacity_Resource,$D113,'Critical resources (hide)'!AM$6:AM$105)+SUMIF(Capacity_Resource,$E113,'Critical resources (hide)'!AM$6:AM$105)+SUMIF(Capacity_Resource,$F113,'Critical resources (hide)'!AM$6:AM$105)&gt;0,$E$1=2),0,1)</f>
        <v>1</v>
      </c>
      <c r="AA113" s="68">
        <f ca="1">IF(AND(SUMIF(Capacity_Resource,$D113,'Critical resources (hide)'!AN$6:AN$105)+SUMIF(Capacity_Resource,$E113,'Critical resources (hide)'!AN$6:AN$105)+SUMIF(Capacity_Resource,$F113,'Critical resources (hide)'!AN$6:AN$105)&gt;0,$E$1=2),0,1)</f>
        <v>1</v>
      </c>
      <c r="AB113" s="68">
        <f ca="1">IF(AND(SUMIF(Capacity_Resource,$D113,'Critical resources (hide)'!AO$6:AO$105)+SUMIF(Capacity_Resource,$E113,'Critical resources (hide)'!AO$6:AO$105)+SUMIF(Capacity_Resource,$F113,'Critical resources (hide)'!AO$6:AO$105)&gt;0,$E$1=2),0,1)</f>
        <v>1</v>
      </c>
      <c r="AC113" s="68">
        <f ca="1">IF(AND(SUMIF(Capacity_Resource,$D113,'Critical resources (hide)'!AP$6:AP$105)+SUMIF(Capacity_Resource,$E113,'Critical resources (hide)'!AP$6:AP$105)+SUMIF(Capacity_Resource,$F113,'Critical resources (hide)'!AP$6:AP$105)&gt;0,$E$1=2),0,1)</f>
        <v>1</v>
      </c>
      <c r="AD113" s="68">
        <f ca="1">IF(AND(SUMIF(Capacity_Resource,$D113,'Critical resources (hide)'!AQ$6:AQ$105)+SUMIF(Capacity_Resource,$E113,'Critical resources (hide)'!AQ$6:AQ$105)+SUMIF(Capacity_Resource,$F113,'Critical resources (hide)'!AQ$6:AQ$105)&gt;0,$E$1=2),0,1)</f>
        <v>1</v>
      </c>
      <c r="AE113" s="68">
        <f ca="1">IF(AND(SUMIF(Capacity_Resource,$D113,'Critical resources (hide)'!AR$6:AR$105)+SUMIF(Capacity_Resource,$E113,'Critical resources (hide)'!AR$6:AR$105)+SUMIF(Capacity_Resource,$F113,'Critical resources (hide)'!AR$6:AR$105)&gt;0,$E$1=2),0,1)</f>
        <v>1</v>
      </c>
      <c r="AF113" s="68">
        <f ca="1">IF(AND(SUMIF(Capacity_Resource,$D113,'Critical resources (hide)'!AS$6:AS$105)+SUMIF(Capacity_Resource,$E113,'Critical resources (hide)'!AS$6:AS$105)+SUMIF(Capacity_Resource,$F113,'Critical resources (hide)'!AS$6:AS$105)&gt;0,$E$1=2),0,1)</f>
        <v>1</v>
      </c>
      <c r="AG113" s="68">
        <f ca="1">IF(AND(SUMIF(Capacity_Resource,$D113,'Critical resources (hide)'!AT$6:AT$105)+SUMIF(Capacity_Resource,$E113,'Critical resources (hide)'!AT$6:AT$105)+SUMIF(Capacity_Resource,$F113,'Critical resources (hide)'!AT$6:AT$105)&gt;0,$E$1=2),0,1)</f>
        <v>1</v>
      </c>
      <c r="AH113" s="68">
        <f ca="1">IF(AND(SUMIF(Capacity_Resource,$D113,'Critical resources (hide)'!AU$6:AU$105)+SUMIF(Capacity_Resource,$E113,'Critical resources (hide)'!AU$6:AU$105)+SUMIF(Capacity_Resource,$F113,'Critical resources (hide)'!AU$6:AU$105)&gt;0,$E$1=2),0,1)</f>
        <v>1</v>
      </c>
      <c r="AI113" s="68">
        <f ca="1">IF(AND(SUMIF(Capacity_Resource,$D113,'Critical resources (hide)'!AV$6:AV$105)+SUMIF(Capacity_Resource,$E113,'Critical resources (hide)'!AV$6:AV$105)+SUMIF(Capacity_Resource,$F113,'Critical resources (hide)'!AV$6:AV$105)&gt;0,$E$1=2),0,1)</f>
        <v>1</v>
      </c>
      <c r="AJ113" s="68">
        <f ca="1">IF(AND(SUMIF(Capacity_Resource,$D113,'Critical resources (hide)'!AW$6:AW$105)+SUMIF(Capacity_Resource,$E113,'Critical resources (hide)'!AW$6:AW$105)+SUMIF(Capacity_Resource,$F113,'Critical resources (hide)'!AW$6:AW$105)&gt;0,$E$1=2),0,1)</f>
        <v>1</v>
      </c>
      <c r="AK113" s="68">
        <f ca="1">IF(AND(SUMIF(Capacity_Resource,$D113,'Critical resources (hide)'!AX$6:AX$105)+SUMIF(Capacity_Resource,$E113,'Critical resources (hide)'!AX$6:AX$105)+SUMIF(Capacity_Resource,$F113,'Critical resources (hide)'!AX$6:AX$105)&gt;0,$E$1=2),0,1)</f>
        <v>1</v>
      </c>
      <c r="AL113" s="68">
        <f ca="1">IF(AND(SUMIF(Capacity_Resource,$D113,'Critical resources (hide)'!AY$6:AY$105)+SUMIF(Capacity_Resource,$E113,'Critical resources (hide)'!AY$6:AY$105)+SUMIF(Capacity_Resource,$F113,'Critical resources (hide)'!AY$6:AY$105)&gt;0,$E$1=2),0,1)</f>
        <v>1</v>
      </c>
      <c r="AM113" s="68">
        <f ca="1">IF(AND(SUMIF(Capacity_Resource,$D113,'Critical resources (hide)'!AZ$6:AZ$105)+SUMIF(Capacity_Resource,$E113,'Critical resources (hide)'!AZ$6:AZ$105)+SUMIF(Capacity_Resource,$F113,'Critical resources (hide)'!AZ$6:AZ$105)&gt;0,$E$1=2),0,1)</f>
        <v>1</v>
      </c>
      <c r="AN113" s="68">
        <f ca="1">IF(AND(SUMIF(Capacity_Resource,$D113,'Critical resources (hide)'!BA$6:BA$105)+SUMIF(Capacity_Resource,$E113,'Critical resources (hide)'!BA$6:BA$105)+SUMIF(Capacity_Resource,$F113,'Critical resources (hide)'!BA$6:BA$105)&gt;0,$E$1=2),0,1)</f>
        <v>1</v>
      </c>
      <c r="AO113" s="68">
        <f ca="1">IF(AND(SUMIF(Capacity_Resource,$D113,'Critical resources (hide)'!BB$6:BB$105)+SUMIF(Capacity_Resource,$E113,'Critical resources (hide)'!BB$6:BB$105)+SUMIF(Capacity_Resource,$F113,'Critical resources (hide)'!BB$6:BB$105)&gt;0,$E$1=2),0,1)</f>
        <v>1</v>
      </c>
      <c r="AP113" s="68">
        <f ca="1">IF(AND(SUMIF(Capacity_Resource,$D113,'Critical resources (hide)'!BC$6:BC$105)+SUMIF(Capacity_Resource,$E113,'Critical resources (hide)'!BC$6:BC$105)+SUMIF(Capacity_Resource,$F113,'Critical resources (hide)'!BC$6:BC$105)&gt;0,$E$1=2),0,1)</f>
        <v>1</v>
      </c>
      <c r="AQ113" s="68">
        <f ca="1">IF(AND(SUMIF(Capacity_Resource,$D113,'Critical resources (hide)'!BD$6:BD$105)+SUMIF(Capacity_Resource,$E113,'Critical resources (hide)'!BD$6:BD$105)+SUMIF(Capacity_Resource,$F113,'Critical resources (hide)'!BD$6:BD$105)&gt;0,$E$1=2),0,1)</f>
        <v>1</v>
      </c>
      <c r="AR113" s="68">
        <f ca="1">IF(AND(SUMIF(Capacity_Resource,$D113,'Critical resources (hide)'!BE$6:BE$105)+SUMIF(Capacity_Resource,$E113,'Critical resources (hide)'!BE$6:BE$105)+SUMIF(Capacity_Resource,$F113,'Critical resources (hide)'!BE$6:BE$105)&gt;0,$E$1=2),0,1)</f>
        <v>1</v>
      </c>
      <c r="AS113" s="68">
        <f ca="1">IF(AND(SUMIF(Capacity_Resource,$D113,'Critical resources (hide)'!BF$6:BF$105)+SUMIF(Capacity_Resource,$E113,'Critical resources (hide)'!BF$6:BF$105)+SUMIF(Capacity_Resource,$F113,'Critical resources (hide)'!BF$6:BF$105)&gt;0,$E$1=2),0,1)</f>
        <v>1</v>
      </c>
      <c r="AT113" s="68">
        <f ca="1">IF(AND(SUMIF(Capacity_Resource,$D113,'Critical resources (hide)'!BG$6:BG$105)+SUMIF(Capacity_Resource,$E113,'Critical resources (hide)'!BG$6:BG$105)+SUMIF(Capacity_Resource,$F113,'Critical resources (hide)'!BG$6:BG$105)&gt;0,$E$1=2),0,1)</f>
        <v>1</v>
      </c>
      <c r="AU113" s="68">
        <f ca="1">IF(AND(SUMIF(Capacity_Resource,$D113,'Critical resources (hide)'!BH$6:BH$105)+SUMIF(Capacity_Resource,$E113,'Critical resources (hide)'!BH$6:BH$105)+SUMIF(Capacity_Resource,$F113,'Critical resources (hide)'!BH$6:BH$105)&gt;0,$E$1=2),0,1)</f>
        <v>1</v>
      </c>
      <c r="AV113" s="68">
        <f ca="1">IF(AND(SUMIF(Capacity_Resource,$D113,'Critical resources (hide)'!BI$6:BI$105)+SUMIF(Capacity_Resource,$E113,'Critical resources (hide)'!BI$6:BI$105)+SUMIF(Capacity_Resource,$F113,'Critical resources (hide)'!BI$6:BI$105)&gt;0,$E$1=2),0,1)</f>
        <v>1</v>
      </c>
      <c r="AW113" s="68">
        <f ca="1">IF(AND(SUMIF(Capacity_Resource,$D113,'Critical resources (hide)'!BJ$6:BJ$105)+SUMIF(Capacity_Resource,$E113,'Critical resources (hide)'!BJ$6:BJ$105)+SUMIF(Capacity_Resource,$F113,'Critical resources (hide)'!BJ$6:BJ$105)&gt;0,$E$1=2),0,1)</f>
        <v>1</v>
      </c>
      <c r="AX113" s="68">
        <f ca="1">IF(AND(SUMIF(Capacity_Resource,$D113,'Critical resources (hide)'!BK$6:BK$105)+SUMIF(Capacity_Resource,$E113,'Critical resources (hide)'!BK$6:BK$105)+SUMIF(Capacity_Resource,$F113,'Critical resources (hide)'!BK$6:BK$105)&gt;0,$E$1=2),0,1)</f>
        <v>1</v>
      </c>
      <c r="AY113" s="68">
        <f ca="1">IF(AND(SUMIF(Capacity_Resource,$D113,'Critical resources (hide)'!BL$6:BL$105)+SUMIF(Capacity_Resource,$E113,'Critical resources (hide)'!BL$6:BL$105)+SUMIF(Capacity_Resource,$F113,'Critical resources (hide)'!BL$6:BL$105)&gt;0,$E$1=2),0,1)</f>
        <v>1</v>
      </c>
      <c r="AZ113" s="68">
        <f ca="1">IF(AND(SUMIF(Capacity_Resource,$D113,'Critical resources (hide)'!BM$6:BM$105)+SUMIF(Capacity_Resource,$E113,'Critical resources (hide)'!BM$6:BM$105)+SUMIF(Capacity_Resource,$F113,'Critical resources (hide)'!BM$6:BM$105)&gt;0,$E$1=2),0,1)</f>
        <v>1</v>
      </c>
      <c r="BA113" s="68">
        <f ca="1">IF(AND(SUMIF(Capacity_Resource,$D113,'Critical resources (hide)'!BN$6:BN$105)+SUMIF(Capacity_Resource,$E113,'Critical resources (hide)'!BN$6:BN$105)+SUMIF(Capacity_Resource,$F113,'Critical resources (hide)'!BN$6:BN$105)&gt;0,$E$1=2),0,1)</f>
        <v>1</v>
      </c>
      <c r="BB113" s="68">
        <f ca="1">IF(AND(SUMIF(Capacity_Resource,$D113,'Critical resources (hide)'!BO$6:BO$105)+SUMIF(Capacity_Resource,$E113,'Critical resources (hide)'!BO$6:BO$105)+SUMIF(Capacity_Resource,$F113,'Critical resources (hide)'!BO$6:BO$105)&gt;0,$E$1=2),0,1)</f>
        <v>1</v>
      </c>
      <c r="BC113" s="68">
        <f ca="1">IF(AND(SUMIF(Capacity_Resource,$D113,'Critical resources (hide)'!BP$6:BP$105)+SUMIF(Capacity_Resource,$E113,'Critical resources (hide)'!BP$6:BP$105)+SUMIF(Capacity_Resource,$F113,'Critical resources (hide)'!BP$6:BP$105)&gt;0,$E$1=2),0,1)</f>
        <v>1</v>
      </c>
      <c r="BD113" s="68">
        <f ca="1">IF(AND(SUMIF(Capacity_Resource,$D113,'Critical resources (hide)'!BQ$6:BQ$105)+SUMIF(Capacity_Resource,$E113,'Critical resources (hide)'!BQ$6:BQ$105)+SUMIF(Capacity_Resource,$F113,'Critical resources (hide)'!BQ$6:BQ$105)&gt;0,$E$1=2),0,1)</f>
        <v>1</v>
      </c>
      <c r="BE113" s="68">
        <f ca="1">IF(AND(SUMIF(Capacity_Resource,$D113,'Critical resources (hide)'!BR$6:BR$105)+SUMIF(Capacity_Resource,$E113,'Critical resources (hide)'!BR$6:BR$105)+SUMIF(Capacity_Resource,$F113,'Critical resources (hide)'!BR$6:BR$105)&gt;0,$E$1=2),0,1)</f>
        <v>1</v>
      </c>
      <c r="BF113" s="68">
        <f ca="1">IF(AND(SUMIF(Capacity_Resource,$D113,'Critical resources (hide)'!BS$6:BS$105)+SUMIF(Capacity_Resource,$E113,'Critical resources (hide)'!BS$6:BS$105)+SUMIF(Capacity_Resource,$F113,'Critical resources (hide)'!BS$6:BS$105)&gt;0,$E$1=2),0,1)</f>
        <v>1</v>
      </c>
      <c r="BG113" s="68">
        <f ca="1">IF(AND(SUMIF(Capacity_Resource,$D113,'Critical resources (hide)'!BT$6:BT$105)+SUMIF(Capacity_Resource,$E113,'Critical resources (hide)'!BT$6:BT$105)+SUMIF(Capacity_Resource,$F113,'Critical resources (hide)'!BT$6:BT$105)&gt;0,$E$1=2),0,1)</f>
        <v>1</v>
      </c>
      <c r="BH113" s="68">
        <f>IF(ROW(A2)&lt;=Capacity!$M$16,IF('Capacity summary'!$C$14="No",SUM(H113:BG113),'Capacity summary'!$E25),0)</f>
        <v>13</v>
      </c>
      <c r="BI113" s="68">
        <f>IF(BH113&gt;0,IF(BH113&lt;Capacity!Q18,Capacity!R18,Capacity!T18/'Capacity calculation (hide)'!BH113),"")</f>
        <v>3.6923076923076925</v>
      </c>
      <c r="BJ113" s="5"/>
      <c r="BK113" s="5">
        <f>IF($BI113&lt;&gt;"",IF('Capacity summary'!$C$14="Yes",IF(COUNTBLANK('Capacity summary'!$H25:$BG25)&lt;52,IF('Capacity summary'!H25&lt;&gt;"",$BI113*H113,0),H113*$BI113),H113*$BI113),0)</f>
        <v>0</v>
      </c>
      <c r="BL113" s="5">
        <f>IF($BI113&lt;&gt;"",IF('Capacity summary'!$C$14="Yes",IF(COUNTBLANK('Capacity summary'!$H25:$BG25)&lt;52,IF('Capacity summary'!I25&lt;&gt;"",$BI113*I113,0),I113*$BI113),I113*$BI113),0)</f>
        <v>0</v>
      </c>
      <c r="BM113" s="5">
        <f>IF($BI113&lt;&gt;"",IF('Capacity summary'!$C$14="Yes",IF(COUNTBLANK('Capacity summary'!$H25:$BG25)&lt;52,IF('Capacity summary'!J25&lt;&gt;"",$BI113*J113,0),J113*$BI113),J113*$BI113),0)</f>
        <v>0</v>
      </c>
      <c r="BN113" s="5">
        <f>IF($BI113&lt;&gt;"",IF('Capacity summary'!$C$14="Yes",IF(COUNTBLANK('Capacity summary'!$H25:$BG25)&lt;52,IF('Capacity summary'!K25&lt;&gt;"",$BI113*K113,0),K113*$BI113),K113*$BI113),0)</f>
        <v>0</v>
      </c>
      <c r="BO113" s="5">
        <f>IF($BI113&lt;&gt;"",IF('Capacity summary'!$C$14="Yes",IF(COUNTBLANK('Capacity summary'!$H25:$BG25)&lt;52,IF('Capacity summary'!L25&lt;&gt;"",$BI113*L113,0),L113*$BI113),L113*$BI113),0)</f>
        <v>0</v>
      </c>
      <c r="BP113" s="5">
        <f>IF($BI113&lt;&gt;"",IF('Capacity summary'!$C$14="Yes",IF(COUNTBLANK('Capacity summary'!$H25:$BG25)&lt;52,IF('Capacity summary'!M25&lt;&gt;"",$BI113*M113,0),M113*$BI113),M113*$BI113),0)</f>
        <v>0</v>
      </c>
      <c r="BQ113" s="5">
        <f>IF($BI113&lt;&gt;"",IF('Capacity summary'!$C$14="Yes",IF(COUNTBLANK('Capacity summary'!$H25:$BG25)&lt;52,IF('Capacity summary'!N25&lt;&gt;"",$BI113*N113,0),N113*$BI113),N113*$BI113),0)</f>
        <v>0</v>
      </c>
      <c r="BR113" s="5">
        <f>IF($BI113&lt;&gt;"",IF('Capacity summary'!$C$14="Yes",IF(COUNTBLANK('Capacity summary'!$H25:$BG25)&lt;52,IF('Capacity summary'!O25&lt;&gt;"",$BI113*O113,0),O113*$BI113),O113*$BI113),0)</f>
        <v>0</v>
      </c>
      <c r="BS113" s="5">
        <f ca="1">IF($BI113&lt;&gt;"",IF('Capacity summary'!$C$14="Yes",IF(COUNTBLANK('Capacity summary'!$H25:$BG25)&lt;52,IF('Capacity summary'!P25&lt;&gt;"",$BI113*P113,0),P113*$BI113),P113*$BI113),0)</f>
        <v>3.6923076923076925</v>
      </c>
      <c r="BT113" s="5">
        <f ca="1">IF($BI113&lt;&gt;"",IF('Capacity summary'!$C$14="Yes",IF(COUNTBLANK('Capacity summary'!$H25:$BG25)&lt;52,IF('Capacity summary'!Q25&lt;&gt;"",$BI113*Q113,0),Q113*$BI113),Q113*$BI113),0)</f>
        <v>3.6923076923076925</v>
      </c>
      <c r="BU113" s="5">
        <f>IF($BI113&lt;&gt;"",IF('Capacity summary'!$C$14="Yes",IF(COUNTBLANK('Capacity summary'!$H25:$BG25)&lt;52,IF('Capacity summary'!R25&lt;&gt;"",$BI113*R113,0),R113*$BI113),R113*$BI113),0)</f>
        <v>0</v>
      </c>
      <c r="BV113" s="5">
        <f>IF($BI113&lt;&gt;"",IF('Capacity summary'!$C$14="Yes",IF(COUNTBLANK('Capacity summary'!$H25:$BG25)&lt;52,IF('Capacity summary'!S25&lt;&gt;"",$BI113*S113,0),S113*$BI113),S113*$BI113),0)</f>
        <v>0</v>
      </c>
      <c r="BW113" s="5">
        <f>IF($BI113&lt;&gt;"",IF('Capacity summary'!$C$14="Yes",IF(COUNTBLANK('Capacity summary'!$H25:$BG25)&lt;52,IF('Capacity summary'!T25&lt;&gt;"",$BI113*T113,0),T113*$BI113),T113*$BI113),0)</f>
        <v>0</v>
      </c>
      <c r="BX113" s="5">
        <f ca="1">IF($BI113&lt;&gt;"",IF('Capacity summary'!$C$14="Yes",IF(COUNTBLANK('Capacity summary'!$H25:$BG25)&lt;52,IF('Capacity summary'!U25&lt;&gt;"",$BI113*U113,0),U113*$BI113),U113*$BI113),0)</f>
        <v>3.6923076923076925</v>
      </c>
      <c r="BY113" s="5">
        <f>IF($BI113&lt;&gt;"",IF('Capacity summary'!$C$14="Yes",IF(COUNTBLANK('Capacity summary'!$H25:$BG25)&lt;52,IF('Capacity summary'!V25&lt;&gt;"",$BI113*V113,0),V113*$BI113),V113*$BI113),0)</f>
        <v>0</v>
      </c>
      <c r="BZ113" s="5">
        <f>IF($BI113&lt;&gt;"",IF('Capacity summary'!$C$14="Yes",IF(COUNTBLANK('Capacity summary'!$H25:$BG25)&lt;52,IF('Capacity summary'!W25&lt;&gt;"",$BI113*W113,0),W113*$BI113),W113*$BI113),0)</f>
        <v>0</v>
      </c>
      <c r="CA113" s="5">
        <f>IF($BI113&lt;&gt;"",IF('Capacity summary'!$C$14="Yes",IF(COUNTBLANK('Capacity summary'!$H25:$BG25)&lt;52,IF('Capacity summary'!X25&lt;&gt;"",$BI113*X113,0),X113*$BI113),X113*$BI113),0)</f>
        <v>0</v>
      </c>
      <c r="CB113" s="5">
        <f>IF($BI113&lt;&gt;"",IF('Capacity summary'!$C$14="Yes",IF(COUNTBLANK('Capacity summary'!$H25:$BG25)&lt;52,IF('Capacity summary'!Y25&lt;&gt;"",$BI113*Y113,0),Y113*$BI113),Y113*$BI113),0)</f>
        <v>0</v>
      </c>
      <c r="CC113" s="5">
        <f>IF($BI113&lt;&gt;"",IF('Capacity summary'!$C$14="Yes",IF(COUNTBLANK('Capacity summary'!$H25:$BG25)&lt;52,IF('Capacity summary'!Z25&lt;&gt;"",$BI113*Z113,0),Z113*$BI113),Z113*$BI113),0)</f>
        <v>0</v>
      </c>
      <c r="CD113" s="5">
        <f>IF($BI113&lt;&gt;"",IF('Capacity summary'!$C$14="Yes",IF(COUNTBLANK('Capacity summary'!$H25:$BG25)&lt;52,IF('Capacity summary'!AA25&lt;&gt;"",$BI113*AA113,0),AA113*$BI113),AA113*$BI113),0)</f>
        <v>0</v>
      </c>
      <c r="CE113" s="5">
        <f>IF($BI113&lt;&gt;"",IF('Capacity summary'!$C$14="Yes",IF(COUNTBLANK('Capacity summary'!$H25:$BG25)&lt;52,IF('Capacity summary'!AB25&lt;&gt;"",$BI113*AB113,0),AB113*$BI113),AB113*$BI113),0)</f>
        <v>0</v>
      </c>
      <c r="CF113" s="5">
        <f>IF($BI113&lt;&gt;"",IF('Capacity summary'!$C$14="Yes",IF(COUNTBLANK('Capacity summary'!$H25:$BG25)&lt;52,IF('Capacity summary'!AC25&lt;&gt;"",$BI113*AC113,0),AC113*$BI113),AC113*$BI113),0)</f>
        <v>0</v>
      </c>
      <c r="CG113" s="5">
        <f>IF($BI113&lt;&gt;"",IF('Capacity summary'!$C$14="Yes",IF(COUNTBLANK('Capacity summary'!$H25:$BG25)&lt;52,IF('Capacity summary'!AD25&lt;&gt;"",$BI113*AD113,0),AD113*$BI113),AD113*$BI113),0)</f>
        <v>0</v>
      </c>
      <c r="CH113" s="5">
        <f>IF($BI113&lt;&gt;"",IF('Capacity summary'!$C$14="Yes",IF(COUNTBLANK('Capacity summary'!$H25:$BG25)&lt;52,IF('Capacity summary'!AE25&lt;&gt;"",$BI113*AE113,0),AE113*$BI113),AE113*$BI113),0)</f>
        <v>0</v>
      </c>
      <c r="CI113" s="5">
        <f>IF($BI113&lt;&gt;"",IF('Capacity summary'!$C$14="Yes",IF(COUNTBLANK('Capacity summary'!$H25:$BG25)&lt;52,IF('Capacity summary'!AF25&lt;&gt;"",$BI113*AF113,0),AF113*$BI113),AF113*$BI113),0)</f>
        <v>0</v>
      </c>
      <c r="CJ113" s="5">
        <f ca="1">IF($BI113&lt;&gt;"",IF('Capacity summary'!$C$14="Yes",IF(COUNTBLANK('Capacity summary'!$H25:$BG25)&lt;52,IF('Capacity summary'!AG25&lt;&gt;"",$BI113*AG113,0),AG113*$BI113),AG113*$BI113),0)</f>
        <v>3.6923076923076925</v>
      </c>
      <c r="CK113" s="5">
        <f ca="1">IF($BI113&lt;&gt;"",IF('Capacity summary'!$C$14="Yes",IF(COUNTBLANK('Capacity summary'!$H25:$BG25)&lt;52,IF('Capacity summary'!AH25&lt;&gt;"",$BI113*AH113,0),AH113*$BI113),AH113*$BI113),0)</f>
        <v>3.6923076923076925</v>
      </c>
      <c r="CL113" s="5">
        <f ca="1">IF($BI113&lt;&gt;"",IF('Capacity summary'!$C$14="Yes",IF(COUNTBLANK('Capacity summary'!$H25:$BG25)&lt;52,IF('Capacity summary'!AI25&lt;&gt;"",$BI113*AI113,0),AI113*$BI113),AI113*$BI113),0)</f>
        <v>3.6923076923076925</v>
      </c>
      <c r="CM113" s="5">
        <f ca="1">IF($BI113&lt;&gt;"",IF('Capacity summary'!$C$14="Yes",IF(COUNTBLANK('Capacity summary'!$H25:$BG25)&lt;52,IF('Capacity summary'!AJ25&lt;&gt;"",$BI113*AJ113,0),AJ113*$BI113),AJ113*$BI113),0)</f>
        <v>3.6923076923076925</v>
      </c>
      <c r="CN113" s="5">
        <f ca="1">IF($BI113&lt;&gt;"",IF('Capacity summary'!$C$14="Yes",IF(COUNTBLANK('Capacity summary'!$H25:$BG25)&lt;52,IF('Capacity summary'!AK25&lt;&gt;"",$BI113*AK113,0),AK113*$BI113),AK113*$BI113),0)</f>
        <v>3.6923076923076925</v>
      </c>
      <c r="CO113" s="5">
        <f ca="1">IF($BI113&lt;&gt;"",IF('Capacity summary'!$C$14="Yes",IF(COUNTBLANK('Capacity summary'!$H25:$BG25)&lt;52,IF('Capacity summary'!AL25&lt;&gt;"",$BI113*AL113,0),AL113*$BI113),AL113*$BI113),0)</f>
        <v>3.6923076923076925</v>
      </c>
      <c r="CP113" s="5">
        <f ca="1">IF($BI113&lt;&gt;"",IF('Capacity summary'!$C$14="Yes",IF(COUNTBLANK('Capacity summary'!$H25:$BG25)&lt;52,IF('Capacity summary'!AM25&lt;&gt;"",$BI113*AM113,0),AM113*$BI113),AM113*$BI113),0)</f>
        <v>3.6923076923076925</v>
      </c>
      <c r="CQ113" s="5">
        <f ca="1">IF($BI113&lt;&gt;"",IF('Capacity summary'!$C$14="Yes",IF(COUNTBLANK('Capacity summary'!$H25:$BG25)&lt;52,IF('Capacity summary'!AN25&lt;&gt;"",$BI113*AN113,0),AN113*$BI113),AN113*$BI113),0)</f>
        <v>3.6923076923076925</v>
      </c>
      <c r="CR113" s="5">
        <f ca="1">IF($BI113&lt;&gt;"",IF('Capacity summary'!$C$14="Yes",IF(COUNTBLANK('Capacity summary'!$H25:$BG25)&lt;52,IF('Capacity summary'!AO25&lt;&gt;"",$BI113*AO113,0),AO113*$BI113),AO113*$BI113),0)</f>
        <v>3.6923076923076925</v>
      </c>
      <c r="CS113" s="5">
        <f ca="1">IF($BI113&lt;&gt;"",IF('Capacity summary'!$C$14="Yes",IF(COUNTBLANK('Capacity summary'!$H25:$BG25)&lt;52,IF('Capacity summary'!AP25&lt;&gt;"",$BI113*AP113,0),AP113*$BI113),AP113*$BI113),0)</f>
        <v>3.6923076923076925</v>
      </c>
      <c r="CT113" s="5">
        <f>IF($BI113&lt;&gt;"",IF('Capacity summary'!$C$14="Yes",IF(COUNTBLANK('Capacity summary'!$H25:$BG25)&lt;52,IF('Capacity summary'!AQ25&lt;&gt;"",$BI113*AQ113,0),AQ113*$BI113),AQ113*$BI113),0)</f>
        <v>0</v>
      </c>
      <c r="CU113" s="5">
        <f>IF($BI113&lt;&gt;"",IF('Capacity summary'!$C$14="Yes",IF(COUNTBLANK('Capacity summary'!$H25:$BG25)&lt;52,IF('Capacity summary'!AR25&lt;&gt;"",$BI113*AR113,0),AR113*$BI113),AR113*$BI113),0)</f>
        <v>0</v>
      </c>
      <c r="CV113" s="5">
        <f>IF($BI113&lt;&gt;"",IF('Capacity summary'!$C$14="Yes",IF(COUNTBLANK('Capacity summary'!$H25:$BG25)&lt;52,IF('Capacity summary'!AS25&lt;&gt;"",$BI113*AS113,0),AS113*$BI113),AS113*$BI113),0)</f>
        <v>0</v>
      </c>
      <c r="CW113" s="5">
        <f>IF($BI113&lt;&gt;"",IF('Capacity summary'!$C$14="Yes",IF(COUNTBLANK('Capacity summary'!$H25:$BG25)&lt;52,IF('Capacity summary'!AT25&lt;&gt;"",$BI113*AT113,0),AT113*$BI113),AT113*$BI113),0)</f>
        <v>0</v>
      </c>
      <c r="CX113" s="5">
        <f>IF($BI113&lt;&gt;"",IF('Capacity summary'!$C$14="Yes",IF(COUNTBLANK('Capacity summary'!$H25:$BG25)&lt;52,IF('Capacity summary'!AU25&lt;&gt;"",$BI113*AU113,0),AU113*$BI113),AU113*$BI113),0)</f>
        <v>0</v>
      </c>
      <c r="CY113" s="5">
        <f>IF($BI113&lt;&gt;"",IF('Capacity summary'!$C$14="Yes",IF(COUNTBLANK('Capacity summary'!$H25:$BG25)&lt;52,IF('Capacity summary'!AV25&lt;&gt;"",$BI113*AV113,0),AV113*$BI113),AV113*$BI113),0)</f>
        <v>0</v>
      </c>
      <c r="CZ113" s="5">
        <f>IF($BI113&lt;&gt;"",IF('Capacity summary'!$C$14="Yes",IF(COUNTBLANK('Capacity summary'!$H25:$BG25)&lt;52,IF('Capacity summary'!AW25&lt;&gt;"",$BI113*AW113,0),AW113*$BI113),AW113*$BI113),0)</f>
        <v>0</v>
      </c>
      <c r="DA113" s="5">
        <f>IF($BI113&lt;&gt;"",IF('Capacity summary'!$C$14="Yes",IF(COUNTBLANK('Capacity summary'!$H25:$BG25)&lt;52,IF('Capacity summary'!AX25&lt;&gt;"",$BI113*AX113,0),AX113*$BI113),AX113*$BI113),0)</f>
        <v>0</v>
      </c>
      <c r="DB113" s="5">
        <f>IF($BI113&lt;&gt;"",IF('Capacity summary'!$C$14="Yes",IF(COUNTBLANK('Capacity summary'!$H25:$BG25)&lt;52,IF('Capacity summary'!AY25&lt;&gt;"",$BI113*AY113,0),AY113*$BI113),AY113*$BI113),0)</f>
        <v>0</v>
      </c>
      <c r="DC113" s="5">
        <f>IF($BI113&lt;&gt;"",IF('Capacity summary'!$C$14="Yes",IF(COUNTBLANK('Capacity summary'!$H25:$BG25)&lt;52,IF('Capacity summary'!AZ25&lt;&gt;"",$BI113*AZ113,0),AZ113*$BI113),AZ113*$BI113),0)</f>
        <v>0</v>
      </c>
      <c r="DD113" s="5">
        <f>IF($BI113&lt;&gt;"",IF('Capacity summary'!$C$14="Yes",IF(COUNTBLANK('Capacity summary'!$H25:$BG25)&lt;52,IF('Capacity summary'!BA25&lt;&gt;"",$BI113*BA113,0),BA113*$BI113),BA113*$BI113),0)</f>
        <v>0</v>
      </c>
      <c r="DE113" s="5">
        <f>IF($BI113&lt;&gt;"",IF('Capacity summary'!$C$14="Yes",IF(COUNTBLANK('Capacity summary'!$H25:$BG25)&lt;52,IF('Capacity summary'!BB25&lt;&gt;"",$BI113*BB113,0),BB113*$BI113),BB113*$BI113),0)</f>
        <v>0</v>
      </c>
      <c r="DF113" s="5">
        <f>IF($BI113&lt;&gt;"",IF('Capacity summary'!$C$14="Yes",IF(COUNTBLANK('Capacity summary'!$H25:$BG25)&lt;52,IF('Capacity summary'!BC25&lt;&gt;"",$BI113*BC113,0),BC113*$BI113),BC113*$BI113),0)</f>
        <v>0</v>
      </c>
      <c r="DG113" s="5">
        <f>IF($BI113&lt;&gt;"",IF('Capacity summary'!$C$14="Yes",IF(COUNTBLANK('Capacity summary'!$H25:$BG25)&lt;52,IF('Capacity summary'!BD25&lt;&gt;"",$BI113*BD113,0),BD113*$BI113),BD113*$BI113),0)</f>
        <v>0</v>
      </c>
      <c r="DH113" s="5">
        <f>IF($BI113&lt;&gt;"",IF('Capacity summary'!$C$14="Yes",IF(COUNTBLANK('Capacity summary'!$H25:$BG25)&lt;52,IF('Capacity summary'!BE25&lt;&gt;"",$BI113*BE113,0),BE113*$BI113),BE113*$BI113),0)</f>
        <v>0</v>
      </c>
      <c r="DI113" s="5">
        <f>IF($BI113&lt;&gt;"",IF('Capacity summary'!$C$14="Yes",IF(COUNTBLANK('Capacity summary'!$H25:$BG25)&lt;52,IF('Capacity summary'!BF25&lt;&gt;"",$BI113*BF113,0),BF113*$BI113),BF113*$BI113),0)</f>
        <v>0</v>
      </c>
      <c r="DJ113" s="5">
        <f>IF($BI113&lt;&gt;"",IF('Capacity summary'!$C$14="Yes",IF(COUNTBLANK('Capacity summary'!$H25:$BG25)&lt;52,IF('Capacity summary'!BG25&lt;&gt;"",$BI113*BG113,0),BG113*$BI113),BG113*$BI113),0)</f>
        <v>0</v>
      </c>
      <c r="DK113" s="138">
        <f t="shared" ref="DK113:DK176" ca="1" si="6">SUM(BK113:DJ113)</f>
        <v>48.000000000000007</v>
      </c>
    </row>
    <row r="114" spans="3:115" x14ac:dyDescent="0.2">
      <c r="C114" s="68" t="str">
        <f>ROW(A3)&amp;". "&amp;Capacity!N19</f>
        <v xml:space="preserve">3. </v>
      </c>
      <c r="D114" s="68">
        <f>'Capacity setup'!C120</f>
        <v>0</v>
      </c>
      <c r="E114" s="68">
        <f>'Capacity setup'!D120</f>
        <v>0</v>
      </c>
      <c r="F114" s="68">
        <f>'Capacity setup'!E120</f>
        <v>0</v>
      </c>
      <c r="H114" s="68">
        <f ca="1">IF(AND(SUMIF(Capacity_Resource,$D114,'Critical resources (hide)'!U$6:U$105)+SUMIF(Capacity_Resource,$E114,'Critical resources (hide)'!U$6:U$105)+SUMIF(Capacity_Resource,$F114,'Critical resources (hide)'!U$6:U$105)&gt;0,$E$1=2),0,1)</f>
        <v>1</v>
      </c>
      <c r="I114" s="68">
        <f ca="1">IF(AND(SUMIF(Capacity_Resource,$D114,'Critical resources (hide)'!V$6:V$105)+SUMIF(Capacity_Resource,$E114,'Critical resources (hide)'!V$6:V$105)+SUMIF(Capacity_Resource,$F114,'Critical resources (hide)'!V$6:V$105)&gt;0,$E$1=2),0,1)</f>
        <v>1</v>
      </c>
      <c r="J114" s="68">
        <f ca="1">IF(AND(SUMIF(Capacity_Resource,$D114,'Critical resources (hide)'!W$6:W$105)+SUMIF(Capacity_Resource,$E114,'Critical resources (hide)'!W$6:W$105)+SUMIF(Capacity_Resource,$F114,'Critical resources (hide)'!W$6:W$105)&gt;0,$E$1=2),0,1)</f>
        <v>1</v>
      </c>
      <c r="K114" s="68">
        <f ca="1">IF(AND(SUMIF(Capacity_Resource,$D114,'Critical resources (hide)'!X$6:X$105)+SUMIF(Capacity_Resource,$E114,'Critical resources (hide)'!X$6:X$105)+SUMIF(Capacity_Resource,$F114,'Critical resources (hide)'!X$6:X$105)&gt;0,$E$1=2),0,1)</f>
        <v>1</v>
      </c>
      <c r="L114" s="68">
        <f ca="1">IF(AND(SUMIF(Capacity_Resource,$D114,'Critical resources (hide)'!Y$6:Y$105)+SUMIF(Capacity_Resource,$E114,'Critical resources (hide)'!Y$6:Y$105)+SUMIF(Capacity_Resource,$F114,'Critical resources (hide)'!Y$6:Y$105)&gt;0,$E$1=2),0,1)</f>
        <v>1</v>
      </c>
      <c r="M114" s="68">
        <f ca="1">IF(AND(SUMIF(Capacity_Resource,$D114,'Critical resources (hide)'!Z$6:Z$105)+SUMIF(Capacity_Resource,$E114,'Critical resources (hide)'!Z$6:Z$105)+SUMIF(Capacity_Resource,$F114,'Critical resources (hide)'!Z$6:Z$105)&gt;0,$E$1=2),0,1)</f>
        <v>1</v>
      </c>
      <c r="N114" s="68">
        <f ca="1">IF(AND(SUMIF(Capacity_Resource,$D114,'Critical resources (hide)'!AA$6:AA$105)+SUMIF(Capacity_Resource,$E114,'Critical resources (hide)'!AA$6:AA$105)+SUMIF(Capacity_Resource,$F114,'Critical resources (hide)'!AA$6:AA$105)&gt;0,$E$1=2),0,1)</f>
        <v>1</v>
      </c>
      <c r="O114" s="68">
        <f ca="1">IF(AND(SUMIF(Capacity_Resource,$D114,'Critical resources (hide)'!AB$6:AB$105)+SUMIF(Capacity_Resource,$E114,'Critical resources (hide)'!AB$6:AB$105)+SUMIF(Capacity_Resource,$F114,'Critical resources (hide)'!AB$6:AB$105)&gt;0,$E$1=2),0,1)</f>
        <v>1</v>
      </c>
      <c r="P114" s="68">
        <f ca="1">IF(AND(SUMIF(Capacity_Resource,$D114,'Critical resources (hide)'!AC$6:AC$105)+SUMIF(Capacity_Resource,$E114,'Critical resources (hide)'!AC$6:AC$105)+SUMIF(Capacity_Resource,$F114,'Critical resources (hide)'!AC$6:AC$105)&gt;0,$E$1=2),0,1)</f>
        <v>1</v>
      </c>
      <c r="Q114" s="68">
        <f ca="1">IF(AND(SUMIF(Capacity_Resource,$D114,'Critical resources (hide)'!AD$6:AD$105)+SUMIF(Capacity_Resource,$E114,'Critical resources (hide)'!AD$6:AD$105)+SUMIF(Capacity_Resource,$F114,'Critical resources (hide)'!AD$6:AD$105)&gt;0,$E$1=2),0,1)</f>
        <v>1</v>
      </c>
      <c r="R114" s="68">
        <f ca="1">IF(AND(SUMIF(Capacity_Resource,$D114,'Critical resources (hide)'!AE$6:AE$105)+SUMIF(Capacity_Resource,$E114,'Critical resources (hide)'!AE$6:AE$105)+SUMIF(Capacity_Resource,$F114,'Critical resources (hide)'!AE$6:AE$105)&gt;0,$E$1=2),0,1)</f>
        <v>1</v>
      </c>
      <c r="S114" s="68">
        <f ca="1">IF(AND(SUMIF(Capacity_Resource,$D114,'Critical resources (hide)'!AF$6:AF$105)+SUMIF(Capacity_Resource,$E114,'Critical resources (hide)'!AF$6:AF$105)+SUMIF(Capacity_Resource,$F114,'Critical resources (hide)'!AF$6:AF$105)&gt;0,$E$1=2),0,1)</f>
        <v>1</v>
      </c>
      <c r="T114" s="68">
        <f ca="1">IF(AND(SUMIF(Capacity_Resource,$D114,'Critical resources (hide)'!AG$6:AG$105)+SUMIF(Capacity_Resource,$E114,'Critical resources (hide)'!AG$6:AG$105)+SUMIF(Capacity_Resource,$F114,'Critical resources (hide)'!AG$6:AG$105)&gt;0,$E$1=2),0,1)</f>
        <v>1</v>
      </c>
      <c r="U114" s="68">
        <f ca="1">IF(AND(SUMIF(Capacity_Resource,$D114,'Critical resources (hide)'!AH$6:AH$105)+SUMIF(Capacity_Resource,$E114,'Critical resources (hide)'!AH$6:AH$105)+SUMIF(Capacity_Resource,$F114,'Critical resources (hide)'!AH$6:AH$105)&gt;0,$E$1=2),0,1)</f>
        <v>1</v>
      </c>
      <c r="V114" s="68">
        <f ca="1">IF(AND(SUMIF(Capacity_Resource,$D114,'Critical resources (hide)'!AI$6:AI$105)+SUMIF(Capacity_Resource,$E114,'Critical resources (hide)'!AI$6:AI$105)+SUMIF(Capacity_Resource,$F114,'Critical resources (hide)'!AI$6:AI$105)&gt;0,$E$1=2),0,1)</f>
        <v>1</v>
      </c>
      <c r="W114" s="68">
        <f ca="1">IF(AND(SUMIF(Capacity_Resource,$D114,'Critical resources (hide)'!AJ$6:AJ$105)+SUMIF(Capacity_Resource,$E114,'Critical resources (hide)'!AJ$6:AJ$105)+SUMIF(Capacity_Resource,$F114,'Critical resources (hide)'!AJ$6:AJ$105)&gt;0,$E$1=2),0,1)</f>
        <v>1</v>
      </c>
      <c r="X114" s="68">
        <f ca="1">IF(AND(SUMIF(Capacity_Resource,$D114,'Critical resources (hide)'!AK$6:AK$105)+SUMIF(Capacity_Resource,$E114,'Critical resources (hide)'!AK$6:AK$105)+SUMIF(Capacity_Resource,$F114,'Critical resources (hide)'!AK$6:AK$105)&gt;0,$E$1=2),0,1)</f>
        <v>1</v>
      </c>
      <c r="Y114" s="68">
        <f ca="1">IF(AND(SUMIF(Capacity_Resource,$D114,'Critical resources (hide)'!AL$6:AL$105)+SUMIF(Capacity_Resource,$E114,'Critical resources (hide)'!AL$6:AL$105)+SUMIF(Capacity_Resource,$F114,'Critical resources (hide)'!AL$6:AL$105)&gt;0,$E$1=2),0,1)</f>
        <v>1</v>
      </c>
      <c r="Z114" s="68">
        <f ca="1">IF(AND(SUMIF(Capacity_Resource,$D114,'Critical resources (hide)'!AM$6:AM$105)+SUMIF(Capacity_Resource,$E114,'Critical resources (hide)'!AM$6:AM$105)+SUMIF(Capacity_Resource,$F114,'Critical resources (hide)'!AM$6:AM$105)&gt;0,$E$1=2),0,1)</f>
        <v>1</v>
      </c>
      <c r="AA114" s="68">
        <f ca="1">IF(AND(SUMIF(Capacity_Resource,$D114,'Critical resources (hide)'!AN$6:AN$105)+SUMIF(Capacity_Resource,$E114,'Critical resources (hide)'!AN$6:AN$105)+SUMIF(Capacity_Resource,$F114,'Critical resources (hide)'!AN$6:AN$105)&gt;0,$E$1=2),0,1)</f>
        <v>1</v>
      </c>
      <c r="AB114" s="68">
        <f ca="1">IF(AND(SUMIF(Capacity_Resource,$D114,'Critical resources (hide)'!AO$6:AO$105)+SUMIF(Capacity_Resource,$E114,'Critical resources (hide)'!AO$6:AO$105)+SUMIF(Capacity_Resource,$F114,'Critical resources (hide)'!AO$6:AO$105)&gt;0,$E$1=2),0,1)</f>
        <v>1</v>
      </c>
      <c r="AC114" s="68">
        <f ca="1">IF(AND(SUMIF(Capacity_Resource,$D114,'Critical resources (hide)'!AP$6:AP$105)+SUMIF(Capacity_Resource,$E114,'Critical resources (hide)'!AP$6:AP$105)+SUMIF(Capacity_Resource,$F114,'Critical resources (hide)'!AP$6:AP$105)&gt;0,$E$1=2),0,1)</f>
        <v>1</v>
      </c>
      <c r="AD114" s="68">
        <f ca="1">IF(AND(SUMIF(Capacity_Resource,$D114,'Critical resources (hide)'!AQ$6:AQ$105)+SUMIF(Capacity_Resource,$E114,'Critical resources (hide)'!AQ$6:AQ$105)+SUMIF(Capacity_Resource,$F114,'Critical resources (hide)'!AQ$6:AQ$105)&gt;0,$E$1=2),0,1)</f>
        <v>1</v>
      </c>
      <c r="AE114" s="68">
        <f ca="1">IF(AND(SUMIF(Capacity_Resource,$D114,'Critical resources (hide)'!AR$6:AR$105)+SUMIF(Capacity_Resource,$E114,'Critical resources (hide)'!AR$6:AR$105)+SUMIF(Capacity_Resource,$F114,'Critical resources (hide)'!AR$6:AR$105)&gt;0,$E$1=2),0,1)</f>
        <v>1</v>
      </c>
      <c r="AF114" s="68">
        <f ca="1">IF(AND(SUMIF(Capacity_Resource,$D114,'Critical resources (hide)'!AS$6:AS$105)+SUMIF(Capacity_Resource,$E114,'Critical resources (hide)'!AS$6:AS$105)+SUMIF(Capacity_Resource,$F114,'Critical resources (hide)'!AS$6:AS$105)&gt;0,$E$1=2),0,1)</f>
        <v>1</v>
      </c>
      <c r="AG114" s="68">
        <f ca="1">IF(AND(SUMIF(Capacity_Resource,$D114,'Critical resources (hide)'!AT$6:AT$105)+SUMIF(Capacity_Resource,$E114,'Critical resources (hide)'!AT$6:AT$105)+SUMIF(Capacity_Resource,$F114,'Critical resources (hide)'!AT$6:AT$105)&gt;0,$E$1=2),0,1)</f>
        <v>1</v>
      </c>
      <c r="AH114" s="68">
        <f ca="1">IF(AND(SUMIF(Capacity_Resource,$D114,'Critical resources (hide)'!AU$6:AU$105)+SUMIF(Capacity_Resource,$E114,'Critical resources (hide)'!AU$6:AU$105)+SUMIF(Capacity_Resource,$F114,'Critical resources (hide)'!AU$6:AU$105)&gt;0,$E$1=2),0,1)</f>
        <v>1</v>
      </c>
      <c r="AI114" s="68">
        <f ca="1">IF(AND(SUMIF(Capacity_Resource,$D114,'Critical resources (hide)'!AV$6:AV$105)+SUMIF(Capacity_Resource,$E114,'Critical resources (hide)'!AV$6:AV$105)+SUMIF(Capacity_Resource,$F114,'Critical resources (hide)'!AV$6:AV$105)&gt;0,$E$1=2),0,1)</f>
        <v>1</v>
      </c>
      <c r="AJ114" s="68">
        <f ca="1">IF(AND(SUMIF(Capacity_Resource,$D114,'Critical resources (hide)'!AW$6:AW$105)+SUMIF(Capacity_Resource,$E114,'Critical resources (hide)'!AW$6:AW$105)+SUMIF(Capacity_Resource,$F114,'Critical resources (hide)'!AW$6:AW$105)&gt;0,$E$1=2),0,1)</f>
        <v>1</v>
      </c>
      <c r="AK114" s="68">
        <f ca="1">IF(AND(SUMIF(Capacity_Resource,$D114,'Critical resources (hide)'!AX$6:AX$105)+SUMIF(Capacity_Resource,$E114,'Critical resources (hide)'!AX$6:AX$105)+SUMIF(Capacity_Resource,$F114,'Critical resources (hide)'!AX$6:AX$105)&gt;0,$E$1=2),0,1)</f>
        <v>1</v>
      </c>
      <c r="AL114" s="68">
        <f ca="1">IF(AND(SUMIF(Capacity_Resource,$D114,'Critical resources (hide)'!AY$6:AY$105)+SUMIF(Capacity_Resource,$E114,'Critical resources (hide)'!AY$6:AY$105)+SUMIF(Capacity_Resource,$F114,'Critical resources (hide)'!AY$6:AY$105)&gt;0,$E$1=2),0,1)</f>
        <v>1</v>
      </c>
      <c r="AM114" s="68">
        <f ca="1">IF(AND(SUMIF(Capacity_Resource,$D114,'Critical resources (hide)'!AZ$6:AZ$105)+SUMIF(Capacity_Resource,$E114,'Critical resources (hide)'!AZ$6:AZ$105)+SUMIF(Capacity_Resource,$F114,'Critical resources (hide)'!AZ$6:AZ$105)&gt;0,$E$1=2),0,1)</f>
        <v>1</v>
      </c>
      <c r="AN114" s="68">
        <f ca="1">IF(AND(SUMIF(Capacity_Resource,$D114,'Critical resources (hide)'!BA$6:BA$105)+SUMIF(Capacity_Resource,$E114,'Critical resources (hide)'!BA$6:BA$105)+SUMIF(Capacity_Resource,$F114,'Critical resources (hide)'!BA$6:BA$105)&gt;0,$E$1=2),0,1)</f>
        <v>1</v>
      </c>
      <c r="AO114" s="68">
        <f ca="1">IF(AND(SUMIF(Capacity_Resource,$D114,'Critical resources (hide)'!BB$6:BB$105)+SUMIF(Capacity_Resource,$E114,'Critical resources (hide)'!BB$6:BB$105)+SUMIF(Capacity_Resource,$F114,'Critical resources (hide)'!BB$6:BB$105)&gt;0,$E$1=2),0,1)</f>
        <v>1</v>
      </c>
      <c r="AP114" s="68">
        <f ca="1">IF(AND(SUMIF(Capacity_Resource,$D114,'Critical resources (hide)'!BC$6:BC$105)+SUMIF(Capacity_Resource,$E114,'Critical resources (hide)'!BC$6:BC$105)+SUMIF(Capacity_Resource,$F114,'Critical resources (hide)'!BC$6:BC$105)&gt;0,$E$1=2),0,1)</f>
        <v>1</v>
      </c>
      <c r="AQ114" s="68">
        <f ca="1">IF(AND(SUMIF(Capacity_Resource,$D114,'Critical resources (hide)'!BD$6:BD$105)+SUMIF(Capacity_Resource,$E114,'Critical resources (hide)'!BD$6:BD$105)+SUMIF(Capacity_Resource,$F114,'Critical resources (hide)'!BD$6:BD$105)&gt;0,$E$1=2),0,1)</f>
        <v>1</v>
      </c>
      <c r="AR114" s="68">
        <f ca="1">IF(AND(SUMIF(Capacity_Resource,$D114,'Critical resources (hide)'!BE$6:BE$105)+SUMIF(Capacity_Resource,$E114,'Critical resources (hide)'!BE$6:BE$105)+SUMIF(Capacity_Resource,$F114,'Critical resources (hide)'!BE$6:BE$105)&gt;0,$E$1=2),0,1)</f>
        <v>1</v>
      </c>
      <c r="AS114" s="68">
        <f ca="1">IF(AND(SUMIF(Capacity_Resource,$D114,'Critical resources (hide)'!BF$6:BF$105)+SUMIF(Capacity_Resource,$E114,'Critical resources (hide)'!BF$6:BF$105)+SUMIF(Capacity_Resource,$F114,'Critical resources (hide)'!BF$6:BF$105)&gt;0,$E$1=2),0,1)</f>
        <v>1</v>
      </c>
      <c r="AT114" s="68">
        <f ca="1">IF(AND(SUMIF(Capacity_Resource,$D114,'Critical resources (hide)'!BG$6:BG$105)+SUMIF(Capacity_Resource,$E114,'Critical resources (hide)'!BG$6:BG$105)+SUMIF(Capacity_Resource,$F114,'Critical resources (hide)'!BG$6:BG$105)&gt;0,$E$1=2),0,1)</f>
        <v>1</v>
      </c>
      <c r="AU114" s="68">
        <f ca="1">IF(AND(SUMIF(Capacity_Resource,$D114,'Critical resources (hide)'!BH$6:BH$105)+SUMIF(Capacity_Resource,$E114,'Critical resources (hide)'!BH$6:BH$105)+SUMIF(Capacity_Resource,$F114,'Critical resources (hide)'!BH$6:BH$105)&gt;0,$E$1=2),0,1)</f>
        <v>1</v>
      </c>
      <c r="AV114" s="68">
        <f ca="1">IF(AND(SUMIF(Capacity_Resource,$D114,'Critical resources (hide)'!BI$6:BI$105)+SUMIF(Capacity_Resource,$E114,'Critical resources (hide)'!BI$6:BI$105)+SUMIF(Capacity_Resource,$F114,'Critical resources (hide)'!BI$6:BI$105)&gt;0,$E$1=2),0,1)</f>
        <v>1</v>
      </c>
      <c r="AW114" s="68">
        <f ca="1">IF(AND(SUMIF(Capacity_Resource,$D114,'Critical resources (hide)'!BJ$6:BJ$105)+SUMIF(Capacity_Resource,$E114,'Critical resources (hide)'!BJ$6:BJ$105)+SUMIF(Capacity_Resource,$F114,'Critical resources (hide)'!BJ$6:BJ$105)&gt;0,$E$1=2),0,1)</f>
        <v>1</v>
      </c>
      <c r="AX114" s="68">
        <f ca="1">IF(AND(SUMIF(Capacity_Resource,$D114,'Critical resources (hide)'!BK$6:BK$105)+SUMIF(Capacity_Resource,$E114,'Critical resources (hide)'!BK$6:BK$105)+SUMIF(Capacity_Resource,$F114,'Critical resources (hide)'!BK$6:BK$105)&gt;0,$E$1=2),0,1)</f>
        <v>1</v>
      </c>
      <c r="AY114" s="68">
        <f ca="1">IF(AND(SUMIF(Capacity_Resource,$D114,'Critical resources (hide)'!BL$6:BL$105)+SUMIF(Capacity_Resource,$E114,'Critical resources (hide)'!BL$6:BL$105)+SUMIF(Capacity_Resource,$F114,'Critical resources (hide)'!BL$6:BL$105)&gt;0,$E$1=2),0,1)</f>
        <v>1</v>
      </c>
      <c r="AZ114" s="68">
        <f ca="1">IF(AND(SUMIF(Capacity_Resource,$D114,'Critical resources (hide)'!BM$6:BM$105)+SUMIF(Capacity_Resource,$E114,'Critical resources (hide)'!BM$6:BM$105)+SUMIF(Capacity_Resource,$F114,'Critical resources (hide)'!BM$6:BM$105)&gt;0,$E$1=2),0,1)</f>
        <v>1</v>
      </c>
      <c r="BA114" s="68">
        <f ca="1">IF(AND(SUMIF(Capacity_Resource,$D114,'Critical resources (hide)'!BN$6:BN$105)+SUMIF(Capacity_Resource,$E114,'Critical resources (hide)'!BN$6:BN$105)+SUMIF(Capacity_Resource,$F114,'Critical resources (hide)'!BN$6:BN$105)&gt;0,$E$1=2),0,1)</f>
        <v>1</v>
      </c>
      <c r="BB114" s="68">
        <f ca="1">IF(AND(SUMIF(Capacity_Resource,$D114,'Critical resources (hide)'!BO$6:BO$105)+SUMIF(Capacity_Resource,$E114,'Critical resources (hide)'!BO$6:BO$105)+SUMIF(Capacity_Resource,$F114,'Critical resources (hide)'!BO$6:BO$105)&gt;0,$E$1=2),0,1)</f>
        <v>1</v>
      </c>
      <c r="BC114" s="68">
        <f ca="1">IF(AND(SUMIF(Capacity_Resource,$D114,'Critical resources (hide)'!BP$6:BP$105)+SUMIF(Capacity_Resource,$E114,'Critical resources (hide)'!BP$6:BP$105)+SUMIF(Capacity_Resource,$F114,'Critical resources (hide)'!BP$6:BP$105)&gt;0,$E$1=2),0,1)</f>
        <v>1</v>
      </c>
      <c r="BD114" s="68">
        <f ca="1">IF(AND(SUMIF(Capacity_Resource,$D114,'Critical resources (hide)'!BQ$6:BQ$105)+SUMIF(Capacity_Resource,$E114,'Critical resources (hide)'!BQ$6:BQ$105)+SUMIF(Capacity_Resource,$F114,'Critical resources (hide)'!BQ$6:BQ$105)&gt;0,$E$1=2),0,1)</f>
        <v>1</v>
      </c>
      <c r="BE114" s="68">
        <f ca="1">IF(AND(SUMIF(Capacity_Resource,$D114,'Critical resources (hide)'!BR$6:BR$105)+SUMIF(Capacity_Resource,$E114,'Critical resources (hide)'!BR$6:BR$105)+SUMIF(Capacity_Resource,$F114,'Critical resources (hide)'!BR$6:BR$105)&gt;0,$E$1=2),0,1)</f>
        <v>1</v>
      </c>
      <c r="BF114" s="68">
        <f ca="1">IF(AND(SUMIF(Capacity_Resource,$D114,'Critical resources (hide)'!BS$6:BS$105)+SUMIF(Capacity_Resource,$E114,'Critical resources (hide)'!BS$6:BS$105)+SUMIF(Capacity_Resource,$F114,'Critical resources (hide)'!BS$6:BS$105)&gt;0,$E$1=2),0,1)</f>
        <v>1</v>
      </c>
      <c r="BG114" s="68">
        <f ca="1">IF(AND(SUMIF(Capacity_Resource,$D114,'Critical resources (hide)'!BT$6:BT$105)+SUMIF(Capacity_Resource,$E114,'Critical resources (hide)'!BT$6:BT$105)+SUMIF(Capacity_Resource,$F114,'Critical resources (hide)'!BT$6:BT$105)&gt;0,$E$1=2),0,1)</f>
        <v>1</v>
      </c>
      <c r="BH114" s="68">
        <f>IF(ROW(A3)&lt;=Capacity!$M$16,IF('Capacity summary'!$C$14="No",SUM(H114:BG114),'Capacity summary'!$E26),0)</f>
        <v>0</v>
      </c>
      <c r="BI114" s="68" t="str">
        <f>IF(BH114&gt;0,IF(BH114&lt;Capacity!Q19,Capacity!R19,Capacity!T19/'Capacity calculation (hide)'!BH114),"")</f>
        <v/>
      </c>
      <c r="BJ114" s="5"/>
      <c r="BK114" s="5">
        <f>IF($BI114&lt;&gt;"",IF('Capacity summary'!$C$14="Yes",IF(COUNTBLANK('Capacity summary'!$H26:$BG26)&lt;52,IF('Capacity summary'!H26&lt;&gt;"",$BI114*H114,0),H114*$BI114),H114*$BI114),0)</f>
        <v>0</v>
      </c>
      <c r="BL114" s="5">
        <f>IF($BI114&lt;&gt;"",IF('Capacity summary'!$C$14="Yes",IF(COUNTBLANK('Capacity summary'!$H26:$BG26)&lt;52,IF('Capacity summary'!I26&lt;&gt;"",$BI114*I114,0),I114*$BI114),I114*$BI114),0)</f>
        <v>0</v>
      </c>
      <c r="BM114" s="5">
        <f>IF($BI114&lt;&gt;"",IF('Capacity summary'!$C$14="Yes",IF(COUNTBLANK('Capacity summary'!$H26:$BG26)&lt;52,IF('Capacity summary'!J26&lt;&gt;"",$BI114*J114,0),J114*$BI114),J114*$BI114),0)</f>
        <v>0</v>
      </c>
      <c r="BN114" s="5">
        <f>IF($BI114&lt;&gt;"",IF('Capacity summary'!$C$14="Yes",IF(COUNTBLANK('Capacity summary'!$H26:$BG26)&lt;52,IF('Capacity summary'!K26&lt;&gt;"",$BI114*K114,0),K114*$BI114),K114*$BI114),0)</f>
        <v>0</v>
      </c>
      <c r="BO114" s="5">
        <f>IF($BI114&lt;&gt;"",IF('Capacity summary'!$C$14="Yes",IF(COUNTBLANK('Capacity summary'!$H26:$BG26)&lt;52,IF('Capacity summary'!L26&lt;&gt;"",$BI114*L114,0),L114*$BI114),L114*$BI114),0)</f>
        <v>0</v>
      </c>
      <c r="BP114" s="5">
        <f>IF($BI114&lt;&gt;"",IF('Capacity summary'!$C$14="Yes",IF(COUNTBLANK('Capacity summary'!$H26:$BG26)&lt;52,IF('Capacity summary'!M26&lt;&gt;"",$BI114*M114,0),M114*$BI114),M114*$BI114),0)</f>
        <v>0</v>
      </c>
      <c r="BQ114" s="5">
        <f>IF($BI114&lt;&gt;"",IF('Capacity summary'!$C$14="Yes",IF(COUNTBLANK('Capacity summary'!$H26:$BG26)&lt;52,IF('Capacity summary'!N26&lt;&gt;"",$BI114*N114,0),N114*$BI114),N114*$BI114),0)</f>
        <v>0</v>
      </c>
      <c r="BR114" s="5">
        <f>IF($BI114&lt;&gt;"",IF('Capacity summary'!$C$14="Yes",IF(COUNTBLANK('Capacity summary'!$H26:$BG26)&lt;52,IF('Capacity summary'!O26&lt;&gt;"",$BI114*O114,0),O114*$BI114),O114*$BI114),0)</f>
        <v>0</v>
      </c>
      <c r="BS114" s="5">
        <f>IF($BI114&lt;&gt;"",IF('Capacity summary'!$C$14="Yes",IF(COUNTBLANK('Capacity summary'!$H26:$BG26)&lt;52,IF('Capacity summary'!P26&lt;&gt;"",$BI114*P114,0),P114*$BI114),P114*$BI114),0)</f>
        <v>0</v>
      </c>
      <c r="BT114" s="5">
        <f>IF($BI114&lt;&gt;"",IF('Capacity summary'!$C$14="Yes",IF(COUNTBLANK('Capacity summary'!$H26:$BG26)&lt;52,IF('Capacity summary'!Q26&lt;&gt;"",$BI114*Q114,0),Q114*$BI114),Q114*$BI114),0)</f>
        <v>0</v>
      </c>
      <c r="BU114" s="5">
        <f>IF($BI114&lt;&gt;"",IF('Capacity summary'!$C$14="Yes",IF(COUNTBLANK('Capacity summary'!$H26:$BG26)&lt;52,IF('Capacity summary'!R26&lt;&gt;"",$BI114*R114,0),R114*$BI114),R114*$BI114),0)</f>
        <v>0</v>
      </c>
      <c r="BV114" s="5">
        <f>IF($BI114&lt;&gt;"",IF('Capacity summary'!$C$14="Yes",IF(COUNTBLANK('Capacity summary'!$H26:$BG26)&lt;52,IF('Capacity summary'!S26&lt;&gt;"",$BI114*S114,0),S114*$BI114),S114*$BI114),0)</f>
        <v>0</v>
      </c>
      <c r="BW114" s="5">
        <f>IF($BI114&lt;&gt;"",IF('Capacity summary'!$C$14="Yes",IF(COUNTBLANK('Capacity summary'!$H26:$BG26)&lt;52,IF('Capacity summary'!T26&lt;&gt;"",$BI114*T114,0),T114*$BI114),T114*$BI114),0)</f>
        <v>0</v>
      </c>
      <c r="BX114" s="5">
        <f>IF($BI114&lt;&gt;"",IF('Capacity summary'!$C$14="Yes",IF(COUNTBLANK('Capacity summary'!$H26:$BG26)&lt;52,IF('Capacity summary'!U26&lt;&gt;"",$BI114*U114,0),U114*$BI114),U114*$BI114),0)</f>
        <v>0</v>
      </c>
      <c r="BY114" s="5">
        <f>IF($BI114&lt;&gt;"",IF('Capacity summary'!$C$14="Yes",IF(COUNTBLANK('Capacity summary'!$H26:$BG26)&lt;52,IF('Capacity summary'!V26&lt;&gt;"",$BI114*V114,0),V114*$BI114),V114*$BI114),0)</f>
        <v>0</v>
      </c>
      <c r="BZ114" s="5">
        <f>IF($BI114&lt;&gt;"",IF('Capacity summary'!$C$14="Yes",IF(COUNTBLANK('Capacity summary'!$H26:$BG26)&lt;52,IF('Capacity summary'!W26&lt;&gt;"",$BI114*W114,0),W114*$BI114),W114*$BI114),0)</f>
        <v>0</v>
      </c>
      <c r="CA114" s="5">
        <f>IF($BI114&lt;&gt;"",IF('Capacity summary'!$C$14="Yes",IF(COUNTBLANK('Capacity summary'!$H26:$BG26)&lt;52,IF('Capacity summary'!X26&lt;&gt;"",$BI114*X114,0),X114*$BI114),X114*$BI114),0)</f>
        <v>0</v>
      </c>
      <c r="CB114" s="5">
        <f>IF($BI114&lt;&gt;"",IF('Capacity summary'!$C$14="Yes",IF(COUNTBLANK('Capacity summary'!$H26:$BG26)&lt;52,IF('Capacity summary'!Y26&lt;&gt;"",$BI114*Y114,0),Y114*$BI114),Y114*$BI114),0)</f>
        <v>0</v>
      </c>
      <c r="CC114" s="5">
        <f>IF($BI114&lt;&gt;"",IF('Capacity summary'!$C$14="Yes",IF(COUNTBLANK('Capacity summary'!$H26:$BG26)&lt;52,IF('Capacity summary'!Z26&lt;&gt;"",$BI114*Z114,0),Z114*$BI114),Z114*$BI114),0)</f>
        <v>0</v>
      </c>
      <c r="CD114" s="5">
        <f>IF($BI114&lt;&gt;"",IF('Capacity summary'!$C$14="Yes",IF(COUNTBLANK('Capacity summary'!$H26:$BG26)&lt;52,IF('Capacity summary'!AA26&lt;&gt;"",$BI114*AA114,0),AA114*$BI114),AA114*$BI114),0)</f>
        <v>0</v>
      </c>
      <c r="CE114" s="5">
        <f>IF($BI114&lt;&gt;"",IF('Capacity summary'!$C$14="Yes",IF(COUNTBLANK('Capacity summary'!$H26:$BG26)&lt;52,IF('Capacity summary'!AB26&lt;&gt;"",$BI114*AB114,0),AB114*$BI114),AB114*$BI114),0)</f>
        <v>0</v>
      </c>
      <c r="CF114" s="5">
        <f>IF($BI114&lt;&gt;"",IF('Capacity summary'!$C$14="Yes",IF(COUNTBLANK('Capacity summary'!$H26:$BG26)&lt;52,IF('Capacity summary'!AC26&lt;&gt;"",$BI114*AC114,0),AC114*$BI114),AC114*$BI114),0)</f>
        <v>0</v>
      </c>
      <c r="CG114" s="5">
        <f>IF($BI114&lt;&gt;"",IF('Capacity summary'!$C$14="Yes",IF(COUNTBLANK('Capacity summary'!$H26:$BG26)&lt;52,IF('Capacity summary'!AD26&lt;&gt;"",$BI114*AD114,0),AD114*$BI114),AD114*$BI114),0)</f>
        <v>0</v>
      </c>
      <c r="CH114" s="5">
        <f>IF($BI114&lt;&gt;"",IF('Capacity summary'!$C$14="Yes",IF(COUNTBLANK('Capacity summary'!$H26:$BG26)&lt;52,IF('Capacity summary'!AE26&lt;&gt;"",$BI114*AE114,0),AE114*$BI114),AE114*$BI114),0)</f>
        <v>0</v>
      </c>
      <c r="CI114" s="5">
        <f>IF($BI114&lt;&gt;"",IF('Capacity summary'!$C$14="Yes",IF(COUNTBLANK('Capacity summary'!$H26:$BG26)&lt;52,IF('Capacity summary'!AF26&lt;&gt;"",$BI114*AF114,0),AF114*$BI114),AF114*$BI114),0)</f>
        <v>0</v>
      </c>
      <c r="CJ114" s="5">
        <f>IF($BI114&lt;&gt;"",IF('Capacity summary'!$C$14="Yes",IF(COUNTBLANK('Capacity summary'!$H26:$BG26)&lt;52,IF('Capacity summary'!AG26&lt;&gt;"",$BI114*AG114,0),AG114*$BI114),AG114*$BI114),0)</f>
        <v>0</v>
      </c>
      <c r="CK114" s="5">
        <f>IF($BI114&lt;&gt;"",IF('Capacity summary'!$C$14="Yes",IF(COUNTBLANK('Capacity summary'!$H26:$BG26)&lt;52,IF('Capacity summary'!AH26&lt;&gt;"",$BI114*AH114,0),AH114*$BI114),AH114*$BI114),0)</f>
        <v>0</v>
      </c>
      <c r="CL114" s="5">
        <f>IF($BI114&lt;&gt;"",IF('Capacity summary'!$C$14="Yes",IF(COUNTBLANK('Capacity summary'!$H26:$BG26)&lt;52,IF('Capacity summary'!AI26&lt;&gt;"",$BI114*AI114,0),AI114*$BI114),AI114*$BI114),0)</f>
        <v>0</v>
      </c>
      <c r="CM114" s="5">
        <f>IF($BI114&lt;&gt;"",IF('Capacity summary'!$C$14="Yes",IF(COUNTBLANK('Capacity summary'!$H26:$BG26)&lt;52,IF('Capacity summary'!AJ26&lt;&gt;"",$BI114*AJ114,0),AJ114*$BI114),AJ114*$BI114),0)</f>
        <v>0</v>
      </c>
      <c r="CN114" s="5">
        <f>IF($BI114&lt;&gt;"",IF('Capacity summary'!$C$14="Yes",IF(COUNTBLANK('Capacity summary'!$H26:$BG26)&lt;52,IF('Capacity summary'!AK26&lt;&gt;"",$BI114*AK114,0),AK114*$BI114),AK114*$BI114),0)</f>
        <v>0</v>
      </c>
      <c r="CO114" s="5">
        <f>IF($BI114&lt;&gt;"",IF('Capacity summary'!$C$14="Yes",IF(COUNTBLANK('Capacity summary'!$H26:$BG26)&lt;52,IF('Capacity summary'!AL26&lt;&gt;"",$BI114*AL114,0),AL114*$BI114),AL114*$BI114),0)</f>
        <v>0</v>
      </c>
      <c r="CP114" s="5">
        <f>IF($BI114&lt;&gt;"",IF('Capacity summary'!$C$14="Yes",IF(COUNTBLANK('Capacity summary'!$H26:$BG26)&lt;52,IF('Capacity summary'!AM26&lt;&gt;"",$BI114*AM114,0),AM114*$BI114),AM114*$BI114),0)</f>
        <v>0</v>
      </c>
      <c r="CQ114" s="5">
        <f>IF($BI114&lt;&gt;"",IF('Capacity summary'!$C$14="Yes",IF(COUNTBLANK('Capacity summary'!$H26:$BG26)&lt;52,IF('Capacity summary'!AN26&lt;&gt;"",$BI114*AN114,0),AN114*$BI114),AN114*$BI114),0)</f>
        <v>0</v>
      </c>
      <c r="CR114" s="5">
        <f>IF($BI114&lt;&gt;"",IF('Capacity summary'!$C$14="Yes",IF(COUNTBLANK('Capacity summary'!$H26:$BG26)&lt;52,IF('Capacity summary'!AO26&lt;&gt;"",$BI114*AO114,0),AO114*$BI114),AO114*$BI114),0)</f>
        <v>0</v>
      </c>
      <c r="CS114" s="5">
        <f>IF($BI114&lt;&gt;"",IF('Capacity summary'!$C$14="Yes",IF(COUNTBLANK('Capacity summary'!$H26:$BG26)&lt;52,IF('Capacity summary'!AP26&lt;&gt;"",$BI114*AP114,0),AP114*$BI114),AP114*$BI114),0)</f>
        <v>0</v>
      </c>
      <c r="CT114" s="5">
        <f>IF($BI114&lt;&gt;"",IF('Capacity summary'!$C$14="Yes",IF(COUNTBLANK('Capacity summary'!$H26:$BG26)&lt;52,IF('Capacity summary'!AQ26&lt;&gt;"",$BI114*AQ114,0),AQ114*$BI114),AQ114*$BI114),0)</f>
        <v>0</v>
      </c>
      <c r="CU114" s="5">
        <f>IF($BI114&lt;&gt;"",IF('Capacity summary'!$C$14="Yes",IF(COUNTBLANK('Capacity summary'!$H26:$BG26)&lt;52,IF('Capacity summary'!AR26&lt;&gt;"",$BI114*AR114,0),AR114*$BI114),AR114*$BI114),0)</f>
        <v>0</v>
      </c>
      <c r="CV114" s="5">
        <f>IF($BI114&lt;&gt;"",IF('Capacity summary'!$C$14="Yes",IF(COUNTBLANK('Capacity summary'!$H26:$BG26)&lt;52,IF('Capacity summary'!AS26&lt;&gt;"",$BI114*AS114,0),AS114*$BI114),AS114*$BI114),0)</f>
        <v>0</v>
      </c>
      <c r="CW114" s="5">
        <f>IF($BI114&lt;&gt;"",IF('Capacity summary'!$C$14="Yes",IF(COUNTBLANK('Capacity summary'!$H26:$BG26)&lt;52,IF('Capacity summary'!AT26&lt;&gt;"",$BI114*AT114,0),AT114*$BI114),AT114*$BI114),0)</f>
        <v>0</v>
      </c>
      <c r="CX114" s="5">
        <f>IF($BI114&lt;&gt;"",IF('Capacity summary'!$C$14="Yes",IF(COUNTBLANK('Capacity summary'!$H26:$BG26)&lt;52,IF('Capacity summary'!AU26&lt;&gt;"",$BI114*AU114,0),AU114*$BI114),AU114*$BI114),0)</f>
        <v>0</v>
      </c>
      <c r="CY114" s="5">
        <f>IF($BI114&lt;&gt;"",IF('Capacity summary'!$C$14="Yes",IF(COUNTBLANK('Capacity summary'!$H26:$BG26)&lt;52,IF('Capacity summary'!AV26&lt;&gt;"",$BI114*AV114,0),AV114*$BI114),AV114*$BI114),0)</f>
        <v>0</v>
      </c>
      <c r="CZ114" s="5">
        <f>IF($BI114&lt;&gt;"",IF('Capacity summary'!$C$14="Yes",IF(COUNTBLANK('Capacity summary'!$H26:$BG26)&lt;52,IF('Capacity summary'!AW26&lt;&gt;"",$BI114*AW114,0),AW114*$BI114),AW114*$BI114),0)</f>
        <v>0</v>
      </c>
      <c r="DA114" s="5">
        <f>IF($BI114&lt;&gt;"",IF('Capacity summary'!$C$14="Yes",IF(COUNTBLANK('Capacity summary'!$H26:$BG26)&lt;52,IF('Capacity summary'!AX26&lt;&gt;"",$BI114*AX114,0),AX114*$BI114),AX114*$BI114),0)</f>
        <v>0</v>
      </c>
      <c r="DB114" s="5">
        <f>IF($BI114&lt;&gt;"",IF('Capacity summary'!$C$14="Yes",IF(COUNTBLANK('Capacity summary'!$H26:$BG26)&lt;52,IF('Capacity summary'!AY26&lt;&gt;"",$BI114*AY114,0),AY114*$BI114),AY114*$BI114),0)</f>
        <v>0</v>
      </c>
      <c r="DC114" s="5">
        <f>IF($BI114&lt;&gt;"",IF('Capacity summary'!$C$14="Yes",IF(COUNTBLANK('Capacity summary'!$H26:$BG26)&lt;52,IF('Capacity summary'!AZ26&lt;&gt;"",$BI114*AZ114,0),AZ114*$BI114),AZ114*$BI114),0)</f>
        <v>0</v>
      </c>
      <c r="DD114" s="5">
        <f>IF($BI114&lt;&gt;"",IF('Capacity summary'!$C$14="Yes",IF(COUNTBLANK('Capacity summary'!$H26:$BG26)&lt;52,IF('Capacity summary'!BA26&lt;&gt;"",$BI114*BA114,0),BA114*$BI114),BA114*$BI114),0)</f>
        <v>0</v>
      </c>
      <c r="DE114" s="5">
        <f>IF($BI114&lt;&gt;"",IF('Capacity summary'!$C$14="Yes",IF(COUNTBLANK('Capacity summary'!$H26:$BG26)&lt;52,IF('Capacity summary'!BB26&lt;&gt;"",$BI114*BB114,0),BB114*$BI114),BB114*$BI114),0)</f>
        <v>0</v>
      </c>
      <c r="DF114" s="5">
        <f>IF($BI114&lt;&gt;"",IF('Capacity summary'!$C$14="Yes",IF(COUNTBLANK('Capacity summary'!$H26:$BG26)&lt;52,IF('Capacity summary'!BC26&lt;&gt;"",$BI114*BC114,0),BC114*$BI114),BC114*$BI114),0)</f>
        <v>0</v>
      </c>
      <c r="DG114" s="5">
        <f>IF($BI114&lt;&gt;"",IF('Capacity summary'!$C$14="Yes",IF(COUNTBLANK('Capacity summary'!$H26:$BG26)&lt;52,IF('Capacity summary'!BD26&lt;&gt;"",$BI114*BD114,0),BD114*$BI114),BD114*$BI114),0)</f>
        <v>0</v>
      </c>
      <c r="DH114" s="5">
        <f>IF($BI114&lt;&gt;"",IF('Capacity summary'!$C$14="Yes",IF(COUNTBLANK('Capacity summary'!$H26:$BG26)&lt;52,IF('Capacity summary'!BE26&lt;&gt;"",$BI114*BE114,0),BE114*$BI114),BE114*$BI114),0)</f>
        <v>0</v>
      </c>
      <c r="DI114" s="5">
        <f>IF($BI114&lt;&gt;"",IF('Capacity summary'!$C$14="Yes",IF(COUNTBLANK('Capacity summary'!$H26:$BG26)&lt;52,IF('Capacity summary'!BF26&lt;&gt;"",$BI114*BF114,0),BF114*$BI114),BF114*$BI114),0)</f>
        <v>0</v>
      </c>
      <c r="DJ114" s="5">
        <f>IF($BI114&lt;&gt;"",IF('Capacity summary'!$C$14="Yes",IF(COUNTBLANK('Capacity summary'!$H26:$BG26)&lt;52,IF('Capacity summary'!BG26&lt;&gt;"",$BI114*BG114,0),BG114*$BI114),BG114*$BI114),0)</f>
        <v>0</v>
      </c>
      <c r="DK114" s="138">
        <f t="shared" si="6"/>
        <v>0</v>
      </c>
    </row>
    <row r="115" spans="3:115" x14ac:dyDescent="0.2">
      <c r="C115" s="68" t="str">
        <f>ROW(A4)&amp;". "&amp;Capacity!N20</f>
        <v xml:space="preserve">4. </v>
      </c>
      <c r="D115" s="68">
        <f>'Capacity setup'!C121</f>
        <v>0</v>
      </c>
      <c r="E115" s="68">
        <f>'Capacity setup'!D121</f>
        <v>0</v>
      </c>
      <c r="F115" s="68">
        <f>'Capacity setup'!E121</f>
        <v>0</v>
      </c>
      <c r="H115" s="68">
        <f ca="1">IF(AND(SUMIF(Capacity_Resource,$D115,'Critical resources (hide)'!U$6:U$105)+SUMIF(Capacity_Resource,$E115,'Critical resources (hide)'!U$6:U$105)+SUMIF(Capacity_Resource,$F115,'Critical resources (hide)'!U$6:U$105)&gt;0,$E$1=2),0,1)</f>
        <v>1</v>
      </c>
      <c r="I115" s="68">
        <f ca="1">IF(AND(SUMIF(Capacity_Resource,$D115,'Critical resources (hide)'!V$6:V$105)+SUMIF(Capacity_Resource,$E115,'Critical resources (hide)'!V$6:V$105)+SUMIF(Capacity_Resource,$F115,'Critical resources (hide)'!V$6:V$105)&gt;0,$E$1=2),0,1)</f>
        <v>1</v>
      </c>
      <c r="J115" s="68">
        <f ca="1">IF(AND(SUMIF(Capacity_Resource,$D115,'Critical resources (hide)'!W$6:W$105)+SUMIF(Capacity_Resource,$E115,'Critical resources (hide)'!W$6:W$105)+SUMIF(Capacity_Resource,$F115,'Critical resources (hide)'!W$6:W$105)&gt;0,$E$1=2),0,1)</f>
        <v>1</v>
      </c>
      <c r="K115" s="68">
        <f ca="1">IF(AND(SUMIF(Capacity_Resource,$D115,'Critical resources (hide)'!X$6:X$105)+SUMIF(Capacity_Resource,$E115,'Critical resources (hide)'!X$6:X$105)+SUMIF(Capacity_Resource,$F115,'Critical resources (hide)'!X$6:X$105)&gt;0,$E$1=2),0,1)</f>
        <v>1</v>
      </c>
      <c r="L115" s="68">
        <f ca="1">IF(AND(SUMIF(Capacity_Resource,$D115,'Critical resources (hide)'!Y$6:Y$105)+SUMIF(Capacity_Resource,$E115,'Critical resources (hide)'!Y$6:Y$105)+SUMIF(Capacity_Resource,$F115,'Critical resources (hide)'!Y$6:Y$105)&gt;0,$E$1=2),0,1)</f>
        <v>1</v>
      </c>
      <c r="M115" s="68">
        <f ca="1">IF(AND(SUMIF(Capacity_Resource,$D115,'Critical resources (hide)'!Z$6:Z$105)+SUMIF(Capacity_Resource,$E115,'Critical resources (hide)'!Z$6:Z$105)+SUMIF(Capacity_Resource,$F115,'Critical resources (hide)'!Z$6:Z$105)&gt;0,$E$1=2),0,1)</f>
        <v>1</v>
      </c>
      <c r="N115" s="68">
        <f ca="1">IF(AND(SUMIF(Capacity_Resource,$D115,'Critical resources (hide)'!AA$6:AA$105)+SUMIF(Capacity_Resource,$E115,'Critical resources (hide)'!AA$6:AA$105)+SUMIF(Capacity_Resource,$F115,'Critical resources (hide)'!AA$6:AA$105)&gt;0,$E$1=2),0,1)</f>
        <v>1</v>
      </c>
      <c r="O115" s="68">
        <f ca="1">IF(AND(SUMIF(Capacity_Resource,$D115,'Critical resources (hide)'!AB$6:AB$105)+SUMIF(Capacity_Resource,$E115,'Critical resources (hide)'!AB$6:AB$105)+SUMIF(Capacity_Resource,$F115,'Critical resources (hide)'!AB$6:AB$105)&gt;0,$E$1=2),0,1)</f>
        <v>1</v>
      </c>
      <c r="P115" s="68">
        <f ca="1">IF(AND(SUMIF(Capacity_Resource,$D115,'Critical resources (hide)'!AC$6:AC$105)+SUMIF(Capacity_Resource,$E115,'Critical resources (hide)'!AC$6:AC$105)+SUMIF(Capacity_Resource,$F115,'Critical resources (hide)'!AC$6:AC$105)&gt;0,$E$1=2),0,1)</f>
        <v>1</v>
      </c>
      <c r="Q115" s="68">
        <f ca="1">IF(AND(SUMIF(Capacity_Resource,$D115,'Critical resources (hide)'!AD$6:AD$105)+SUMIF(Capacity_Resource,$E115,'Critical resources (hide)'!AD$6:AD$105)+SUMIF(Capacity_Resource,$F115,'Critical resources (hide)'!AD$6:AD$105)&gt;0,$E$1=2),0,1)</f>
        <v>1</v>
      </c>
      <c r="R115" s="68">
        <f ca="1">IF(AND(SUMIF(Capacity_Resource,$D115,'Critical resources (hide)'!AE$6:AE$105)+SUMIF(Capacity_Resource,$E115,'Critical resources (hide)'!AE$6:AE$105)+SUMIF(Capacity_Resource,$F115,'Critical resources (hide)'!AE$6:AE$105)&gt;0,$E$1=2),0,1)</f>
        <v>1</v>
      </c>
      <c r="S115" s="68">
        <f ca="1">IF(AND(SUMIF(Capacity_Resource,$D115,'Critical resources (hide)'!AF$6:AF$105)+SUMIF(Capacity_Resource,$E115,'Critical resources (hide)'!AF$6:AF$105)+SUMIF(Capacity_Resource,$F115,'Critical resources (hide)'!AF$6:AF$105)&gt;0,$E$1=2),0,1)</f>
        <v>1</v>
      </c>
      <c r="T115" s="68">
        <f ca="1">IF(AND(SUMIF(Capacity_Resource,$D115,'Critical resources (hide)'!AG$6:AG$105)+SUMIF(Capacity_Resource,$E115,'Critical resources (hide)'!AG$6:AG$105)+SUMIF(Capacity_Resource,$F115,'Critical resources (hide)'!AG$6:AG$105)&gt;0,$E$1=2),0,1)</f>
        <v>1</v>
      </c>
      <c r="U115" s="68">
        <f ca="1">IF(AND(SUMIF(Capacity_Resource,$D115,'Critical resources (hide)'!AH$6:AH$105)+SUMIF(Capacity_Resource,$E115,'Critical resources (hide)'!AH$6:AH$105)+SUMIF(Capacity_Resource,$F115,'Critical resources (hide)'!AH$6:AH$105)&gt;0,$E$1=2),0,1)</f>
        <v>1</v>
      </c>
      <c r="V115" s="68">
        <f ca="1">IF(AND(SUMIF(Capacity_Resource,$D115,'Critical resources (hide)'!AI$6:AI$105)+SUMIF(Capacity_Resource,$E115,'Critical resources (hide)'!AI$6:AI$105)+SUMIF(Capacity_Resource,$F115,'Critical resources (hide)'!AI$6:AI$105)&gt;0,$E$1=2),0,1)</f>
        <v>1</v>
      </c>
      <c r="W115" s="68">
        <f ca="1">IF(AND(SUMIF(Capacity_Resource,$D115,'Critical resources (hide)'!AJ$6:AJ$105)+SUMIF(Capacity_Resource,$E115,'Critical resources (hide)'!AJ$6:AJ$105)+SUMIF(Capacity_Resource,$F115,'Critical resources (hide)'!AJ$6:AJ$105)&gt;0,$E$1=2),0,1)</f>
        <v>1</v>
      </c>
      <c r="X115" s="68">
        <f ca="1">IF(AND(SUMIF(Capacity_Resource,$D115,'Critical resources (hide)'!AK$6:AK$105)+SUMIF(Capacity_Resource,$E115,'Critical resources (hide)'!AK$6:AK$105)+SUMIF(Capacity_Resource,$F115,'Critical resources (hide)'!AK$6:AK$105)&gt;0,$E$1=2),0,1)</f>
        <v>1</v>
      </c>
      <c r="Y115" s="68">
        <f ca="1">IF(AND(SUMIF(Capacity_Resource,$D115,'Critical resources (hide)'!AL$6:AL$105)+SUMIF(Capacity_Resource,$E115,'Critical resources (hide)'!AL$6:AL$105)+SUMIF(Capacity_Resource,$F115,'Critical resources (hide)'!AL$6:AL$105)&gt;0,$E$1=2),0,1)</f>
        <v>1</v>
      </c>
      <c r="Z115" s="68">
        <f ca="1">IF(AND(SUMIF(Capacity_Resource,$D115,'Critical resources (hide)'!AM$6:AM$105)+SUMIF(Capacity_Resource,$E115,'Critical resources (hide)'!AM$6:AM$105)+SUMIF(Capacity_Resource,$F115,'Critical resources (hide)'!AM$6:AM$105)&gt;0,$E$1=2),0,1)</f>
        <v>1</v>
      </c>
      <c r="AA115" s="68">
        <f ca="1">IF(AND(SUMIF(Capacity_Resource,$D115,'Critical resources (hide)'!AN$6:AN$105)+SUMIF(Capacity_Resource,$E115,'Critical resources (hide)'!AN$6:AN$105)+SUMIF(Capacity_Resource,$F115,'Critical resources (hide)'!AN$6:AN$105)&gt;0,$E$1=2),0,1)</f>
        <v>1</v>
      </c>
      <c r="AB115" s="68">
        <f ca="1">IF(AND(SUMIF(Capacity_Resource,$D115,'Critical resources (hide)'!AO$6:AO$105)+SUMIF(Capacity_Resource,$E115,'Critical resources (hide)'!AO$6:AO$105)+SUMIF(Capacity_Resource,$F115,'Critical resources (hide)'!AO$6:AO$105)&gt;0,$E$1=2),0,1)</f>
        <v>1</v>
      </c>
      <c r="AC115" s="68">
        <f ca="1">IF(AND(SUMIF(Capacity_Resource,$D115,'Critical resources (hide)'!AP$6:AP$105)+SUMIF(Capacity_Resource,$E115,'Critical resources (hide)'!AP$6:AP$105)+SUMIF(Capacity_Resource,$F115,'Critical resources (hide)'!AP$6:AP$105)&gt;0,$E$1=2),0,1)</f>
        <v>1</v>
      </c>
      <c r="AD115" s="68">
        <f ca="1">IF(AND(SUMIF(Capacity_Resource,$D115,'Critical resources (hide)'!AQ$6:AQ$105)+SUMIF(Capacity_Resource,$E115,'Critical resources (hide)'!AQ$6:AQ$105)+SUMIF(Capacity_Resource,$F115,'Critical resources (hide)'!AQ$6:AQ$105)&gt;0,$E$1=2),0,1)</f>
        <v>1</v>
      </c>
      <c r="AE115" s="68">
        <f ca="1">IF(AND(SUMIF(Capacity_Resource,$D115,'Critical resources (hide)'!AR$6:AR$105)+SUMIF(Capacity_Resource,$E115,'Critical resources (hide)'!AR$6:AR$105)+SUMIF(Capacity_Resource,$F115,'Critical resources (hide)'!AR$6:AR$105)&gt;0,$E$1=2),0,1)</f>
        <v>1</v>
      </c>
      <c r="AF115" s="68">
        <f ca="1">IF(AND(SUMIF(Capacity_Resource,$D115,'Critical resources (hide)'!AS$6:AS$105)+SUMIF(Capacity_Resource,$E115,'Critical resources (hide)'!AS$6:AS$105)+SUMIF(Capacity_Resource,$F115,'Critical resources (hide)'!AS$6:AS$105)&gt;0,$E$1=2),0,1)</f>
        <v>1</v>
      </c>
      <c r="AG115" s="68">
        <f ca="1">IF(AND(SUMIF(Capacity_Resource,$D115,'Critical resources (hide)'!AT$6:AT$105)+SUMIF(Capacity_Resource,$E115,'Critical resources (hide)'!AT$6:AT$105)+SUMIF(Capacity_Resource,$F115,'Critical resources (hide)'!AT$6:AT$105)&gt;0,$E$1=2),0,1)</f>
        <v>1</v>
      </c>
      <c r="AH115" s="68">
        <f ca="1">IF(AND(SUMIF(Capacity_Resource,$D115,'Critical resources (hide)'!AU$6:AU$105)+SUMIF(Capacity_Resource,$E115,'Critical resources (hide)'!AU$6:AU$105)+SUMIF(Capacity_Resource,$F115,'Critical resources (hide)'!AU$6:AU$105)&gt;0,$E$1=2),0,1)</f>
        <v>1</v>
      </c>
      <c r="AI115" s="68">
        <f ca="1">IF(AND(SUMIF(Capacity_Resource,$D115,'Critical resources (hide)'!AV$6:AV$105)+SUMIF(Capacity_Resource,$E115,'Critical resources (hide)'!AV$6:AV$105)+SUMIF(Capacity_Resource,$F115,'Critical resources (hide)'!AV$6:AV$105)&gt;0,$E$1=2),0,1)</f>
        <v>1</v>
      </c>
      <c r="AJ115" s="68">
        <f ca="1">IF(AND(SUMIF(Capacity_Resource,$D115,'Critical resources (hide)'!AW$6:AW$105)+SUMIF(Capacity_Resource,$E115,'Critical resources (hide)'!AW$6:AW$105)+SUMIF(Capacity_Resource,$F115,'Critical resources (hide)'!AW$6:AW$105)&gt;0,$E$1=2),0,1)</f>
        <v>1</v>
      </c>
      <c r="AK115" s="68">
        <f ca="1">IF(AND(SUMIF(Capacity_Resource,$D115,'Critical resources (hide)'!AX$6:AX$105)+SUMIF(Capacity_Resource,$E115,'Critical resources (hide)'!AX$6:AX$105)+SUMIF(Capacity_Resource,$F115,'Critical resources (hide)'!AX$6:AX$105)&gt;0,$E$1=2),0,1)</f>
        <v>1</v>
      </c>
      <c r="AL115" s="68">
        <f ca="1">IF(AND(SUMIF(Capacity_Resource,$D115,'Critical resources (hide)'!AY$6:AY$105)+SUMIF(Capacity_Resource,$E115,'Critical resources (hide)'!AY$6:AY$105)+SUMIF(Capacity_Resource,$F115,'Critical resources (hide)'!AY$6:AY$105)&gt;0,$E$1=2),0,1)</f>
        <v>1</v>
      </c>
      <c r="AM115" s="68">
        <f ca="1">IF(AND(SUMIF(Capacity_Resource,$D115,'Critical resources (hide)'!AZ$6:AZ$105)+SUMIF(Capacity_Resource,$E115,'Critical resources (hide)'!AZ$6:AZ$105)+SUMIF(Capacity_Resource,$F115,'Critical resources (hide)'!AZ$6:AZ$105)&gt;0,$E$1=2),0,1)</f>
        <v>1</v>
      </c>
      <c r="AN115" s="68">
        <f ca="1">IF(AND(SUMIF(Capacity_Resource,$D115,'Critical resources (hide)'!BA$6:BA$105)+SUMIF(Capacity_Resource,$E115,'Critical resources (hide)'!BA$6:BA$105)+SUMIF(Capacity_Resource,$F115,'Critical resources (hide)'!BA$6:BA$105)&gt;0,$E$1=2),0,1)</f>
        <v>1</v>
      </c>
      <c r="AO115" s="68">
        <f ca="1">IF(AND(SUMIF(Capacity_Resource,$D115,'Critical resources (hide)'!BB$6:BB$105)+SUMIF(Capacity_Resource,$E115,'Critical resources (hide)'!BB$6:BB$105)+SUMIF(Capacity_Resource,$F115,'Critical resources (hide)'!BB$6:BB$105)&gt;0,$E$1=2),0,1)</f>
        <v>1</v>
      </c>
      <c r="AP115" s="68">
        <f ca="1">IF(AND(SUMIF(Capacity_Resource,$D115,'Critical resources (hide)'!BC$6:BC$105)+SUMIF(Capacity_Resource,$E115,'Critical resources (hide)'!BC$6:BC$105)+SUMIF(Capacity_Resource,$F115,'Critical resources (hide)'!BC$6:BC$105)&gt;0,$E$1=2),0,1)</f>
        <v>1</v>
      </c>
      <c r="AQ115" s="68">
        <f ca="1">IF(AND(SUMIF(Capacity_Resource,$D115,'Critical resources (hide)'!BD$6:BD$105)+SUMIF(Capacity_Resource,$E115,'Critical resources (hide)'!BD$6:BD$105)+SUMIF(Capacity_Resource,$F115,'Critical resources (hide)'!BD$6:BD$105)&gt;0,$E$1=2),0,1)</f>
        <v>1</v>
      </c>
      <c r="AR115" s="68">
        <f ca="1">IF(AND(SUMIF(Capacity_Resource,$D115,'Critical resources (hide)'!BE$6:BE$105)+SUMIF(Capacity_Resource,$E115,'Critical resources (hide)'!BE$6:BE$105)+SUMIF(Capacity_Resource,$F115,'Critical resources (hide)'!BE$6:BE$105)&gt;0,$E$1=2),0,1)</f>
        <v>1</v>
      </c>
      <c r="AS115" s="68">
        <f ca="1">IF(AND(SUMIF(Capacity_Resource,$D115,'Critical resources (hide)'!BF$6:BF$105)+SUMIF(Capacity_Resource,$E115,'Critical resources (hide)'!BF$6:BF$105)+SUMIF(Capacity_Resource,$F115,'Critical resources (hide)'!BF$6:BF$105)&gt;0,$E$1=2),0,1)</f>
        <v>1</v>
      </c>
      <c r="AT115" s="68">
        <f ca="1">IF(AND(SUMIF(Capacity_Resource,$D115,'Critical resources (hide)'!BG$6:BG$105)+SUMIF(Capacity_Resource,$E115,'Critical resources (hide)'!BG$6:BG$105)+SUMIF(Capacity_Resource,$F115,'Critical resources (hide)'!BG$6:BG$105)&gt;0,$E$1=2),0,1)</f>
        <v>1</v>
      </c>
      <c r="AU115" s="68">
        <f ca="1">IF(AND(SUMIF(Capacity_Resource,$D115,'Critical resources (hide)'!BH$6:BH$105)+SUMIF(Capacity_Resource,$E115,'Critical resources (hide)'!BH$6:BH$105)+SUMIF(Capacity_Resource,$F115,'Critical resources (hide)'!BH$6:BH$105)&gt;0,$E$1=2),0,1)</f>
        <v>1</v>
      </c>
      <c r="AV115" s="68">
        <f ca="1">IF(AND(SUMIF(Capacity_Resource,$D115,'Critical resources (hide)'!BI$6:BI$105)+SUMIF(Capacity_Resource,$E115,'Critical resources (hide)'!BI$6:BI$105)+SUMIF(Capacity_Resource,$F115,'Critical resources (hide)'!BI$6:BI$105)&gt;0,$E$1=2),0,1)</f>
        <v>1</v>
      </c>
      <c r="AW115" s="68">
        <f ca="1">IF(AND(SUMIF(Capacity_Resource,$D115,'Critical resources (hide)'!BJ$6:BJ$105)+SUMIF(Capacity_Resource,$E115,'Critical resources (hide)'!BJ$6:BJ$105)+SUMIF(Capacity_Resource,$F115,'Critical resources (hide)'!BJ$6:BJ$105)&gt;0,$E$1=2),0,1)</f>
        <v>1</v>
      </c>
      <c r="AX115" s="68">
        <f ca="1">IF(AND(SUMIF(Capacity_Resource,$D115,'Critical resources (hide)'!BK$6:BK$105)+SUMIF(Capacity_Resource,$E115,'Critical resources (hide)'!BK$6:BK$105)+SUMIF(Capacity_Resource,$F115,'Critical resources (hide)'!BK$6:BK$105)&gt;0,$E$1=2),0,1)</f>
        <v>1</v>
      </c>
      <c r="AY115" s="68">
        <f ca="1">IF(AND(SUMIF(Capacity_Resource,$D115,'Critical resources (hide)'!BL$6:BL$105)+SUMIF(Capacity_Resource,$E115,'Critical resources (hide)'!BL$6:BL$105)+SUMIF(Capacity_Resource,$F115,'Critical resources (hide)'!BL$6:BL$105)&gt;0,$E$1=2),0,1)</f>
        <v>1</v>
      </c>
      <c r="AZ115" s="68">
        <f ca="1">IF(AND(SUMIF(Capacity_Resource,$D115,'Critical resources (hide)'!BM$6:BM$105)+SUMIF(Capacity_Resource,$E115,'Critical resources (hide)'!BM$6:BM$105)+SUMIF(Capacity_Resource,$F115,'Critical resources (hide)'!BM$6:BM$105)&gt;0,$E$1=2),0,1)</f>
        <v>1</v>
      </c>
      <c r="BA115" s="68">
        <f ca="1">IF(AND(SUMIF(Capacity_Resource,$D115,'Critical resources (hide)'!BN$6:BN$105)+SUMIF(Capacity_Resource,$E115,'Critical resources (hide)'!BN$6:BN$105)+SUMIF(Capacity_Resource,$F115,'Critical resources (hide)'!BN$6:BN$105)&gt;0,$E$1=2),0,1)</f>
        <v>1</v>
      </c>
      <c r="BB115" s="68">
        <f ca="1">IF(AND(SUMIF(Capacity_Resource,$D115,'Critical resources (hide)'!BO$6:BO$105)+SUMIF(Capacity_Resource,$E115,'Critical resources (hide)'!BO$6:BO$105)+SUMIF(Capacity_Resource,$F115,'Critical resources (hide)'!BO$6:BO$105)&gt;0,$E$1=2),0,1)</f>
        <v>1</v>
      </c>
      <c r="BC115" s="68">
        <f ca="1">IF(AND(SUMIF(Capacity_Resource,$D115,'Critical resources (hide)'!BP$6:BP$105)+SUMIF(Capacity_Resource,$E115,'Critical resources (hide)'!BP$6:BP$105)+SUMIF(Capacity_Resource,$F115,'Critical resources (hide)'!BP$6:BP$105)&gt;0,$E$1=2),0,1)</f>
        <v>1</v>
      </c>
      <c r="BD115" s="68">
        <f ca="1">IF(AND(SUMIF(Capacity_Resource,$D115,'Critical resources (hide)'!BQ$6:BQ$105)+SUMIF(Capacity_Resource,$E115,'Critical resources (hide)'!BQ$6:BQ$105)+SUMIF(Capacity_Resource,$F115,'Critical resources (hide)'!BQ$6:BQ$105)&gt;0,$E$1=2),0,1)</f>
        <v>1</v>
      </c>
      <c r="BE115" s="68">
        <f ca="1">IF(AND(SUMIF(Capacity_Resource,$D115,'Critical resources (hide)'!BR$6:BR$105)+SUMIF(Capacity_Resource,$E115,'Critical resources (hide)'!BR$6:BR$105)+SUMIF(Capacity_Resource,$F115,'Critical resources (hide)'!BR$6:BR$105)&gt;0,$E$1=2),0,1)</f>
        <v>1</v>
      </c>
      <c r="BF115" s="68">
        <f ca="1">IF(AND(SUMIF(Capacity_Resource,$D115,'Critical resources (hide)'!BS$6:BS$105)+SUMIF(Capacity_Resource,$E115,'Critical resources (hide)'!BS$6:BS$105)+SUMIF(Capacity_Resource,$F115,'Critical resources (hide)'!BS$6:BS$105)&gt;0,$E$1=2),0,1)</f>
        <v>1</v>
      </c>
      <c r="BG115" s="68">
        <f ca="1">IF(AND(SUMIF(Capacity_Resource,$D115,'Critical resources (hide)'!BT$6:BT$105)+SUMIF(Capacity_Resource,$E115,'Critical resources (hide)'!BT$6:BT$105)+SUMIF(Capacity_Resource,$F115,'Critical resources (hide)'!BT$6:BT$105)&gt;0,$E$1=2),0,1)</f>
        <v>1</v>
      </c>
      <c r="BH115" s="68">
        <f>IF(ROW(A4)&lt;=Capacity!$M$16,IF('Capacity summary'!$C$14="No",SUM(H115:BG115),'Capacity summary'!$E27),0)</f>
        <v>0</v>
      </c>
      <c r="BI115" s="68" t="str">
        <f>IF(BH115&gt;0,IF(BH115&lt;Capacity!Q20,Capacity!R20,Capacity!T20/'Capacity calculation (hide)'!BH115),"")</f>
        <v/>
      </c>
      <c r="BJ115" s="5"/>
      <c r="BK115" s="5">
        <f>IF($BI115&lt;&gt;"",IF('Capacity summary'!$C$14="Yes",IF(COUNTBLANK('Capacity summary'!$H27:$BG27)&lt;52,IF('Capacity summary'!H27&lt;&gt;"",$BI115*H115,0),H115*$BI115),H115*$BI115),0)</f>
        <v>0</v>
      </c>
      <c r="BL115" s="5">
        <f>IF($BI115&lt;&gt;"",IF('Capacity summary'!$C$14="Yes",IF(COUNTBLANK('Capacity summary'!$H27:$BG27)&lt;52,IF('Capacity summary'!I27&lt;&gt;"",$BI115*I115,0),I115*$BI115),I115*$BI115),0)</f>
        <v>0</v>
      </c>
      <c r="BM115" s="5">
        <f>IF($BI115&lt;&gt;"",IF('Capacity summary'!$C$14="Yes",IF(COUNTBLANK('Capacity summary'!$H27:$BG27)&lt;52,IF('Capacity summary'!J27&lt;&gt;"",$BI115*J115,0),J115*$BI115),J115*$BI115),0)</f>
        <v>0</v>
      </c>
      <c r="BN115" s="5">
        <f>IF($BI115&lt;&gt;"",IF('Capacity summary'!$C$14="Yes",IF(COUNTBLANK('Capacity summary'!$H27:$BG27)&lt;52,IF('Capacity summary'!K27&lt;&gt;"",$BI115*K115,0),K115*$BI115),K115*$BI115),0)</f>
        <v>0</v>
      </c>
      <c r="BO115" s="5">
        <f>IF($BI115&lt;&gt;"",IF('Capacity summary'!$C$14="Yes",IF(COUNTBLANK('Capacity summary'!$H27:$BG27)&lt;52,IF('Capacity summary'!L27&lt;&gt;"",$BI115*L115,0),L115*$BI115),L115*$BI115),0)</f>
        <v>0</v>
      </c>
      <c r="BP115" s="5">
        <f>IF($BI115&lt;&gt;"",IF('Capacity summary'!$C$14="Yes",IF(COUNTBLANK('Capacity summary'!$H27:$BG27)&lt;52,IF('Capacity summary'!M27&lt;&gt;"",$BI115*M115,0),M115*$BI115),M115*$BI115),0)</f>
        <v>0</v>
      </c>
      <c r="BQ115" s="5">
        <f>IF($BI115&lt;&gt;"",IF('Capacity summary'!$C$14="Yes",IF(COUNTBLANK('Capacity summary'!$H27:$BG27)&lt;52,IF('Capacity summary'!N27&lt;&gt;"",$BI115*N115,0),N115*$BI115),N115*$BI115),0)</f>
        <v>0</v>
      </c>
      <c r="BR115" s="5">
        <f>IF($BI115&lt;&gt;"",IF('Capacity summary'!$C$14="Yes",IF(COUNTBLANK('Capacity summary'!$H27:$BG27)&lt;52,IF('Capacity summary'!O27&lt;&gt;"",$BI115*O115,0),O115*$BI115),O115*$BI115),0)</f>
        <v>0</v>
      </c>
      <c r="BS115" s="5">
        <f>IF($BI115&lt;&gt;"",IF('Capacity summary'!$C$14="Yes",IF(COUNTBLANK('Capacity summary'!$H27:$BG27)&lt;52,IF('Capacity summary'!P27&lt;&gt;"",$BI115*P115,0),P115*$BI115),P115*$BI115),0)</f>
        <v>0</v>
      </c>
      <c r="BT115" s="5">
        <f>IF($BI115&lt;&gt;"",IF('Capacity summary'!$C$14="Yes",IF(COUNTBLANK('Capacity summary'!$H27:$BG27)&lt;52,IF('Capacity summary'!Q27&lt;&gt;"",$BI115*Q115,0),Q115*$BI115),Q115*$BI115),0)</f>
        <v>0</v>
      </c>
      <c r="BU115" s="5">
        <f>IF($BI115&lt;&gt;"",IF('Capacity summary'!$C$14="Yes",IF(COUNTBLANK('Capacity summary'!$H27:$BG27)&lt;52,IF('Capacity summary'!R27&lt;&gt;"",$BI115*R115,0),R115*$BI115),R115*$BI115),0)</f>
        <v>0</v>
      </c>
      <c r="BV115" s="5">
        <f>IF($BI115&lt;&gt;"",IF('Capacity summary'!$C$14="Yes",IF(COUNTBLANK('Capacity summary'!$H27:$BG27)&lt;52,IF('Capacity summary'!S27&lt;&gt;"",$BI115*S115,0),S115*$BI115),S115*$BI115),0)</f>
        <v>0</v>
      </c>
      <c r="BW115" s="5">
        <f>IF($BI115&lt;&gt;"",IF('Capacity summary'!$C$14="Yes",IF(COUNTBLANK('Capacity summary'!$H27:$BG27)&lt;52,IF('Capacity summary'!T27&lt;&gt;"",$BI115*T115,0),T115*$BI115),T115*$BI115),0)</f>
        <v>0</v>
      </c>
      <c r="BX115" s="5">
        <f>IF($BI115&lt;&gt;"",IF('Capacity summary'!$C$14="Yes",IF(COUNTBLANK('Capacity summary'!$H27:$BG27)&lt;52,IF('Capacity summary'!U27&lt;&gt;"",$BI115*U115,0),U115*$BI115),U115*$BI115),0)</f>
        <v>0</v>
      </c>
      <c r="BY115" s="5">
        <f>IF($BI115&lt;&gt;"",IF('Capacity summary'!$C$14="Yes",IF(COUNTBLANK('Capacity summary'!$H27:$BG27)&lt;52,IF('Capacity summary'!V27&lt;&gt;"",$BI115*V115,0),V115*$BI115),V115*$BI115),0)</f>
        <v>0</v>
      </c>
      <c r="BZ115" s="5">
        <f>IF($BI115&lt;&gt;"",IF('Capacity summary'!$C$14="Yes",IF(COUNTBLANK('Capacity summary'!$H27:$BG27)&lt;52,IF('Capacity summary'!W27&lt;&gt;"",$BI115*W115,0),W115*$BI115),W115*$BI115),0)</f>
        <v>0</v>
      </c>
      <c r="CA115" s="5">
        <f>IF($BI115&lt;&gt;"",IF('Capacity summary'!$C$14="Yes",IF(COUNTBLANK('Capacity summary'!$H27:$BG27)&lt;52,IF('Capacity summary'!X27&lt;&gt;"",$BI115*X115,0),X115*$BI115),X115*$BI115),0)</f>
        <v>0</v>
      </c>
      <c r="CB115" s="5">
        <f>IF($BI115&lt;&gt;"",IF('Capacity summary'!$C$14="Yes",IF(COUNTBLANK('Capacity summary'!$H27:$BG27)&lt;52,IF('Capacity summary'!Y27&lt;&gt;"",$BI115*Y115,0),Y115*$BI115),Y115*$BI115),0)</f>
        <v>0</v>
      </c>
      <c r="CC115" s="5">
        <f>IF($BI115&lt;&gt;"",IF('Capacity summary'!$C$14="Yes",IF(COUNTBLANK('Capacity summary'!$H27:$BG27)&lt;52,IF('Capacity summary'!Z27&lt;&gt;"",$BI115*Z115,0),Z115*$BI115),Z115*$BI115),0)</f>
        <v>0</v>
      </c>
      <c r="CD115" s="5">
        <f>IF($BI115&lt;&gt;"",IF('Capacity summary'!$C$14="Yes",IF(COUNTBLANK('Capacity summary'!$H27:$BG27)&lt;52,IF('Capacity summary'!AA27&lt;&gt;"",$BI115*AA115,0),AA115*$BI115),AA115*$BI115),0)</f>
        <v>0</v>
      </c>
      <c r="CE115" s="5">
        <f>IF($BI115&lt;&gt;"",IF('Capacity summary'!$C$14="Yes",IF(COUNTBLANK('Capacity summary'!$H27:$BG27)&lt;52,IF('Capacity summary'!AB27&lt;&gt;"",$BI115*AB115,0),AB115*$BI115),AB115*$BI115),0)</f>
        <v>0</v>
      </c>
      <c r="CF115" s="5">
        <f>IF($BI115&lt;&gt;"",IF('Capacity summary'!$C$14="Yes",IF(COUNTBLANK('Capacity summary'!$H27:$BG27)&lt;52,IF('Capacity summary'!AC27&lt;&gt;"",$BI115*AC115,0),AC115*$BI115),AC115*$BI115),0)</f>
        <v>0</v>
      </c>
      <c r="CG115" s="5">
        <f>IF($BI115&lt;&gt;"",IF('Capacity summary'!$C$14="Yes",IF(COUNTBLANK('Capacity summary'!$H27:$BG27)&lt;52,IF('Capacity summary'!AD27&lt;&gt;"",$BI115*AD115,0),AD115*$BI115),AD115*$BI115),0)</f>
        <v>0</v>
      </c>
      <c r="CH115" s="5">
        <f>IF($BI115&lt;&gt;"",IF('Capacity summary'!$C$14="Yes",IF(COUNTBLANK('Capacity summary'!$H27:$BG27)&lt;52,IF('Capacity summary'!AE27&lt;&gt;"",$BI115*AE115,0),AE115*$BI115),AE115*$BI115),0)</f>
        <v>0</v>
      </c>
      <c r="CI115" s="5">
        <f>IF($BI115&lt;&gt;"",IF('Capacity summary'!$C$14="Yes",IF(COUNTBLANK('Capacity summary'!$H27:$BG27)&lt;52,IF('Capacity summary'!AF27&lt;&gt;"",$BI115*AF115,0),AF115*$BI115),AF115*$BI115),0)</f>
        <v>0</v>
      </c>
      <c r="CJ115" s="5">
        <f>IF($BI115&lt;&gt;"",IF('Capacity summary'!$C$14="Yes",IF(COUNTBLANK('Capacity summary'!$H27:$BG27)&lt;52,IF('Capacity summary'!AG27&lt;&gt;"",$BI115*AG115,0),AG115*$BI115),AG115*$BI115),0)</f>
        <v>0</v>
      </c>
      <c r="CK115" s="5">
        <f>IF($BI115&lt;&gt;"",IF('Capacity summary'!$C$14="Yes",IF(COUNTBLANK('Capacity summary'!$H27:$BG27)&lt;52,IF('Capacity summary'!AH27&lt;&gt;"",$BI115*AH115,0),AH115*$BI115),AH115*$BI115),0)</f>
        <v>0</v>
      </c>
      <c r="CL115" s="5">
        <f>IF($BI115&lt;&gt;"",IF('Capacity summary'!$C$14="Yes",IF(COUNTBLANK('Capacity summary'!$H27:$BG27)&lt;52,IF('Capacity summary'!AI27&lt;&gt;"",$BI115*AI115,0),AI115*$BI115),AI115*$BI115),0)</f>
        <v>0</v>
      </c>
      <c r="CM115" s="5">
        <f>IF($BI115&lt;&gt;"",IF('Capacity summary'!$C$14="Yes",IF(COUNTBLANK('Capacity summary'!$H27:$BG27)&lt;52,IF('Capacity summary'!AJ27&lt;&gt;"",$BI115*AJ115,0),AJ115*$BI115),AJ115*$BI115),0)</f>
        <v>0</v>
      </c>
      <c r="CN115" s="5">
        <f>IF($BI115&lt;&gt;"",IF('Capacity summary'!$C$14="Yes",IF(COUNTBLANK('Capacity summary'!$H27:$BG27)&lt;52,IF('Capacity summary'!AK27&lt;&gt;"",$BI115*AK115,0),AK115*$BI115),AK115*$BI115),0)</f>
        <v>0</v>
      </c>
      <c r="CO115" s="5">
        <f>IF($BI115&lt;&gt;"",IF('Capacity summary'!$C$14="Yes",IF(COUNTBLANK('Capacity summary'!$H27:$BG27)&lt;52,IF('Capacity summary'!AL27&lt;&gt;"",$BI115*AL115,0),AL115*$BI115),AL115*$BI115),0)</f>
        <v>0</v>
      </c>
      <c r="CP115" s="5">
        <f>IF($BI115&lt;&gt;"",IF('Capacity summary'!$C$14="Yes",IF(COUNTBLANK('Capacity summary'!$H27:$BG27)&lt;52,IF('Capacity summary'!AM27&lt;&gt;"",$BI115*AM115,0),AM115*$BI115),AM115*$BI115),0)</f>
        <v>0</v>
      </c>
      <c r="CQ115" s="5">
        <f>IF($BI115&lt;&gt;"",IF('Capacity summary'!$C$14="Yes",IF(COUNTBLANK('Capacity summary'!$H27:$BG27)&lt;52,IF('Capacity summary'!AN27&lt;&gt;"",$BI115*AN115,0),AN115*$BI115),AN115*$BI115),0)</f>
        <v>0</v>
      </c>
      <c r="CR115" s="5">
        <f>IF($BI115&lt;&gt;"",IF('Capacity summary'!$C$14="Yes",IF(COUNTBLANK('Capacity summary'!$H27:$BG27)&lt;52,IF('Capacity summary'!AO27&lt;&gt;"",$BI115*AO115,0),AO115*$BI115),AO115*$BI115),0)</f>
        <v>0</v>
      </c>
      <c r="CS115" s="5">
        <f>IF($BI115&lt;&gt;"",IF('Capacity summary'!$C$14="Yes",IF(COUNTBLANK('Capacity summary'!$H27:$BG27)&lt;52,IF('Capacity summary'!AP27&lt;&gt;"",$BI115*AP115,0),AP115*$BI115),AP115*$BI115),0)</f>
        <v>0</v>
      </c>
      <c r="CT115" s="5">
        <f>IF($BI115&lt;&gt;"",IF('Capacity summary'!$C$14="Yes",IF(COUNTBLANK('Capacity summary'!$H27:$BG27)&lt;52,IF('Capacity summary'!AQ27&lt;&gt;"",$BI115*AQ115,0),AQ115*$BI115),AQ115*$BI115),0)</f>
        <v>0</v>
      </c>
      <c r="CU115" s="5">
        <f>IF($BI115&lt;&gt;"",IF('Capacity summary'!$C$14="Yes",IF(COUNTBLANK('Capacity summary'!$H27:$BG27)&lt;52,IF('Capacity summary'!AR27&lt;&gt;"",$BI115*AR115,0),AR115*$BI115),AR115*$BI115),0)</f>
        <v>0</v>
      </c>
      <c r="CV115" s="5">
        <f>IF($BI115&lt;&gt;"",IF('Capacity summary'!$C$14="Yes",IF(COUNTBLANK('Capacity summary'!$H27:$BG27)&lt;52,IF('Capacity summary'!AS27&lt;&gt;"",$BI115*AS115,0),AS115*$BI115),AS115*$BI115),0)</f>
        <v>0</v>
      </c>
      <c r="CW115" s="5">
        <f>IF($BI115&lt;&gt;"",IF('Capacity summary'!$C$14="Yes",IF(COUNTBLANK('Capacity summary'!$H27:$BG27)&lt;52,IF('Capacity summary'!AT27&lt;&gt;"",$BI115*AT115,0),AT115*$BI115),AT115*$BI115),0)</f>
        <v>0</v>
      </c>
      <c r="CX115" s="5">
        <f>IF($BI115&lt;&gt;"",IF('Capacity summary'!$C$14="Yes",IF(COUNTBLANK('Capacity summary'!$H27:$BG27)&lt;52,IF('Capacity summary'!AU27&lt;&gt;"",$BI115*AU115,0),AU115*$BI115),AU115*$BI115),0)</f>
        <v>0</v>
      </c>
      <c r="CY115" s="5">
        <f>IF($BI115&lt;&gt;"",IF('Capacity summary'!$C$14="Yes",IF(COUNTBLANK('Capacity summary'!$H27:$BG27)&lt;52,IF('Capacity summary'!AV27&lt;&gt;"",$BI115*AV115,0),AV115*$BI115),AV115*$BI115),0)</f>
        <v>0</v>
      </c>
      <c r="CZ115" s="5">
        <f>IF($BI115&lt;&gt;"",IF('Capacity summary'!$C$14="Yes",IF(COUNTBLANK('Capacity summary'!$H27:$BG27)&lt;52,IF('Capacity summary'!AW27&lt;&gt;"",$BI115*AW115,0),AW115*$BI115),AW115*$BI115),0)</f>
        <v>0</v>
      </c>
      <c r="DA115" s="5">
        <f>IF($BI115&lt;&gt;"",IF('Capacity summary'!$C$14="Yes",IF(COUNTBLANK('Capacity summary'!$H27:$BG27)&lt;52,IF('Capacity summary'!AX27&lt;&gt;"",$BI115*AX115,0),AX115*$BI115),AX115*$BI115),0)</f>
        <v>0</v>
      </c>
      <c r="DB115" s="5">
        <f>IF($BI115&lt;&gt;"",IF('Capacity summary'!$C$14="Yes",IF(COUNTBLANK('Capacity summary'!$H27:$BG27)&lt;52,IF('Capacity summary'!AY27&lt;&gt;"",$BI115*AY115,0),AY115*$BI115),AY115*$BI115),0)</f>
        <v>0</v>
      </c>
      <c r="DC115" s="5">
        <f>IF($BI115&lt;&gt;"",IF('Capacity summary'!$C$14="Yes",IF(COUNTBLANK('Capacity summary'!$H27:$BG27)&lt;52,IF('Capacity summary'!AZ27&lt;&gt;"",$BI115*AZ115,0),AZ115*$BI115),AZ115*$BI115),0)</f>
        <v>0</v>
      </c>
      <c r="DD115" s="5">
        <f>IF($BI115&lt;&gt;"",IF('Capacity summary'!$C$14="Yes",IF(COUNTBLANK('Capacity summary'!$H27:$BG27)&lt;52,IF('Capacity summary'!BA27&lt;&gt;"",$BI115*BA115,0),BA115*$BI115),BA115*$BI115),0)</f>
        <v>0</v>
      </c>
      <c r="DE115" s="5">
        <f>IF($BI115&lt;&gt;"",IF('Capacity summary'!$C$14="Yes",IF(COUNTBLANK('Capacity summary'!$H27:$BG27)&lt;52,IF('Capacity summary'!BB27&lt;&gt;"",$BI115*BB115,0),BB115*$BI115),BB115*$BI115),0)</f>
        <v>0</v>
      </c>
      <c r="DF115" s="5">
        <f>IF($BI115&lt;&gt;"",IF('Capacity summary'!$C$14="Yes",IF(COUNTBLANK('Capacity summary'!$H27:$BG27)&lt;52,IF('Capacity summary'!BC27&lt;&gt;"",$BI115*BC115,0),BC115*$BI115),BC115*$BI115),0)</f>
        <v>0</v>
      </c>
      <c r="DG115" s="5">
        <f>IF($BI115&lt;&gt;"",IF('Capacity summary'!$C$14="Yes",IF(COUNTBLANK('Capacity summary'!$H27:$BG27)&lt;52,IF('Capacity summary'!BD27&lt;&gt;"",$BI115*BD115,0),BD115*$BI115),BD115*$BI115),0)</f>
        <v>0</v>
      </c>
      <c r="DH115" s="5">
        <f>IF($BI115&lt;&gt;"",IF('Capacity summary'!$C$14="Yes",IF(COUNTBLANK('Capacity summary'!$H27:$BG27)&lt;52,IF('Capacity summary'!BE27&lt;&gt;"",$BI115*BE115,0),BE115*$BI115),BE115*$BI115),0)</f>
        <v>0</v>
      </c>
      <c r="DI115" s="5">
        <f>IF($BI115&lt;&gt;"",IF('Capacity summary'!$C$14="Yes",IF(COUNTBLANK('Capacity summary'!$H27:$BG27)&lt;52,IF('Capacity summary'!BF27&lt;&gt;"",$BI115*BF115,0),BF115*$BI115),BF115*$BI115),0)</f>
        <v>0</v>
      </c>
      <c r="DJ115" s="5">
        <f>IF($BI115&lt;&gt;"",IF('Capacity summary'!$C$14="Yes",IF(COUNTBLANK('Capacity summary'!$H27:$BG27)&lt;52,IF('Capacity summary'!BG27&lt;&gt;"",$BI115*BG115,0),BG115*$BI115),BG115*$BI115),0)</f>
        <v>0</v>
      </c>
      <c r="DK115" s="138">
        <f t="shared" si="6"/>
        <v>0</v>
      </c>
    </row>
    <row r="116" spans="3:115" x14ac:dyDescent="0.2">
      <c r="C116" s="68" t="str">
        <f>ROW(A5)&amp;". "&amp;Capacity!N21</f>
        <v xml:space="preserve">5. </v>
      </c>
      <c r="D116" s="68">
        <f>'Capacity setup'!C122</f>
        <v>0</v>
      </c>
      <c r="E116" s="68">
        <f>'Capacity setup'!D122</f>
        <v>0</v>
      </c>
      <c r="F116" s="68">
        <f>'Capacity setup'!E122</f>
        <v>0</v>
      </c>
      <c r="H116" s="68">
        <f ca="1">IF(AND(SUMIF(Capacity_Resource,$D116,'Critical resources (hide)'!U$6:U$105)+SUMIF(Capacity_Resource,$E116,'Critical resources (hide)'!U$6:U$105)+SUMIF(Capacity_Resource,$F116,'Critical resources (hide)'!U$6:U$105)&gt;0,$E$1=2),0,1)</f>
        <v>1</v>
      </c>
      <c r="I116" s="68">
        <f ca="1">IF(AND(SUMIF(Capacity_Resource,$D116,'Critical resources (hide)'!V$6:V$105)+SUMIF(Capacity_Resource,$E116,'Critical resources (hide)'!V$6:V$105)+SUMIF(Capacity_Resource,$F116,'Critical resources (hide)'!V$6:V$105)&gt;0,$E$1=2),0,1)</f>
        <v>1</v>
      </c>
      <c r="J116" s="68">
        <f ca="1">IF(AND(SUMIF(Capacity_Resource,$D116,'Critical resources (hide)'!W$6:W$105)+SUMIF(Capacity_Resource,$E116,'Critical resources (hide)'!W$6:W$105)+SUMIF(Capacity_Resource,$F116,'Critical resources (hide)'!W$6:W$105)&gt;0,$E$1=2),0,1)</f>
        <v>1</v>
      </c>
      <c r="K116" s="68">
        <f ca="1">IF(AND(SUMIF(Capacity_Resource,$D116,'Critical resources (hide)'!X$6:X$105)+SUMIF(Capacity_Resource,$E116,'Critical resources (hide)'!X$6:X$105)+SUMIF(Capacity_Resource,$F116,'Critical resources (hide)'!X$6:X$105)&gt;0,$E$1=2),0,1)</f>
        <v>1</v>
      </c>
      <c r="L116" s="68">
        <f ca="1">IF(AND(SUMIF(Capacity_Resource,$D116,'Critical resources (hide)'!Y$6:Y$105)+SUMIF(Capacity_Resource,$E116,'Critical resources (hide)'!Y$6:Y$105)+SUMIF(Capacity_Resource,$F116,'Critical resources (hide)'!Y$6:Y$105)&gt;0,$E$1=2),0,1)</f>
        <v>1</v>
      </c>
      <c r="M116" s="68">
        <f ca="1">IF(AND(SUMIF(Capacity_Resource,$D116,'Critical resources (hide)'!Z$6:Z$105)+SUMIF(Capacity_Resource,$E116,'Critical resources (hide)'!Z$6:Z$105)+SUMIF(Capacity_Resource,$F116,'Critical resources (hide)'!Z$6:Z$105)&gt;0,$E$1=2),0,1)</f>
        <v>1</v>
      </c>
      <c r="N116" s="68">
        <f ca="1">IF(AND(SUMIF(Capacity_Resource,$D116,'Critical resources (hide)'!AA$6:AA$105)+SUMIF(Capacity_Resource,$E116,'Critical resources (hide)'!AA$6:AA$105)+SUMIF(Capacity_Resource,$F116,'Critical resources (hide)'!AA$6:AA$105)&gt;0,$E$1=2),0,1)</f>
        <v>1</v>
      </c>
      <c r="O116" s="68">
        <f ca="1">IF(AND(SUMIF(Capacity_Resource,$D116,'Critical resources (hide)'!AB$6:AB$105)+SUMIF(Capacity_Resource,$E116,'Critical resources (hide)'!AB$6:AB$105)+SUMIF(Capacity_Resource,$F116,'Critical resources (hide)'!AB$6:AB$105)&gt;0,$E$1=2),0,1)</f>
        <v>1</v>
      </c>
      <c r="P116" s="68">
        <f ca="1">IF(AND(SUMIF(Capacity_Resource,$D116,'Critical resources (hide)'!AC$6:AC$105)+SUMIF(Capacity_Resource,$E116,'Critical resources (hide)'!AC$6:AC$105)+SUMIF(Capacity_Resource,$F116,'Critical resources (hide)'!AC$6:AC$105)&gt;0,$E$1=2),0,1)</f>
        <v>1</v>
      </c>
      <c r="Q116" s="68">
        <f ca="1">IF(AND(SUMIF(Capacity_Resource,$D116,'Critical resources (hide)'!AD$6:AD$105)+SUMIF(Capacity_Resource,$E116,'Critical resources (hide)'!AD$6:AD$105)+SUMIF(Capacity_Resource,$F116,'Critical resources (hide)'!AD$6:AD$105)&gt;0,$E$1=2),0,1)</f>
        <v>1</v>
      </c>
      <c r="R116" s="68">
        <f ca="1">IF(AND(SUMIF(Capacity_Resource,$D116,'Critical resources (hide)'!AE$6:AE$105)+SUMIF(Capacity_Resource,$E116,'Critical resources (hide)'!AE$6:AE$105)+SUMIF(Capacity_Resource,$F116,'Critical resources (hide)'!AE$6:AE$105)&gt;0,$E$1=2),0,1)</f>
        <v>1</v>
      </c>
      <c r="S116" s="68">
        <f ca="1">IF(AND(SUMIF(Capacity_Resource,$D116,'Critical resources (hide)'!AF$6:AF$105)+SUMIF(Capacity_Resource,$E116,'Critical resources (hide)'!AF$6:AF$105)+SUMIF(Capacity_Resource,$F116,'Critical resources (hide)'!AF$6:AF$105)&gt;0,$E$1=2),0,1)</f>
        <v>1</v>
      </c>
      <c r="T116" s="68">
        <f ca="1">IF(AND(SUMIF(Capacity_Resource,$D116,'Critical resources (hide)'!AG$6:AG$105)+SUMIF(Capacity_Resource,$E116,'Critical resources (hide)'!AG$6:AG$105)+SUMIF(Capacity_Resource,$F116,'Critical resources (hide)'!AG$6:AG$105)&gt;0,$E$1=2),0,1)</f>
        <v>1</v>
      </c>
      <c r="U116" s="68">
        <f ca="1">IF(AND(SUMIF(Capacity_Resource,$D116,'Critical resources (hide)'!AH$6:AH$105)+SUMIF(Capacity_Resource,$E116,'Critical resources (hide)'!AH$6:AH$105)+SUMIF(Capacity_Resource,$F116,'Critical resources (hide)'!AH$6:AH$105)&gt;0,$E$1=2),0,1)</f>
        <v>1</v>
      </c>
      <c r="V116" s="68">
        <f ca="1">IF(AND(SUMIF(Capacity_Resource,$D116,'Critical resources (hide)'!AI$6:AI$105)+SUMIF(Capacity_Resource,$E116,'Critical resources (hide)'!AI$6:AI$105)+SUMIF(Capacity_Resource,$F116,'Critical resources (hide)'!AI$6:AI$105)&gt;0,$E$1=2),0,1)</f>
        <v>1</v>
      </c>
      <c r="W116" s="68">
        <f ca="1">IF(AND(SUMIF(Capacity_Resource,$D116,'Critical resources (hide)'!AJ$6:AJ$105)+SUMIF(Capacity_Resource,$E116,'Critical resources (hide)'!AJ$6:AJ$105)+SUMIF(Capacity_Resource,$F116,'Critical resources (hide)'!AJ$6:AJ$105)&gt;0,$E$1=2),0,1)</f>
        <v>1</v>
      </c>
      <c r="X116" s="68">
        <f ca="1">IF(AND(SUMIF(Capacity_Resource,$D116,'Critical resources (hide)'!AK$6:AK$105)+SUMIF(Capacity_Resource,$E116,'Critical resources (hide)'!AK$6:AK$105)+SUMIF(Capacity_Resource,$F116,'Critical resources (hide)'!AK$6:AK$105)&gt;0,$E$1=2),0,1)</f>
        <v>1</v>
      </c>
      <c r="Y116" s="68">
        <f ca="1">IF(AND(SUMIF(Capacity_Resource,$D116,'Critical resources (hide)'!AL$6:AL$105)+SUMIF(Capacity_Resource,$E116,'Critical resources (hide)'!AL$6:AL$105)+SUMIF(Capacity_Resource,$F116,'Critical resources (hide)'!AL$6:AL$105)&gt;0,$E$1=2),0,1)</f>
        <v>1</v>
      </c>
      <c r="Z116" s="68">
        <f ca="1">IF(AND(SUMIF(Capacity_Resource,$D116,'Critical resources (hide)'!AM$6:AM$105)+SUMIF(Capacity_Resource,$E116,'Critical resources (hide)'!AM$6:AM$105)+SUMIF(Capacity_Resource,$F116,'Critical resources (hide)'!AM$6:AM$105)&gt;0,$E$1=2),0,1)</f>
        <v>1</v>
      </c>
      <c r="AA116" s="68">
        <f ca="1">IF(AND(SUMIF(Capacity_Resource,$D116,'Critical resources (hide)'!AN$6:AN$105)+SUMIF(Capacity_Resource,$E116,'Critical resources (hide)'!AN$6:AN$105)+SUMIF(Capacity_Resource,$F116,'Critical resources (hide)'!AN$6:AN$105)&gt;0,$E$1=2),0,1)</f>
        <v>1</v>
      </c>
      <c r="AB116" s="68">
        <f ca="1">IF(AND(SUMIF(Capacity_Resource,$D116,'Critical resources (hide)'!AO$6:AO$105)+SUMIF(Capacity_Resource,$E116,'Critical resources (hide)'!AO$6:AO$105)+SUMIF(Capacity_Resource,$F116,'Critical resources (hide)'!AO$6:AO$105)&gt;0,$E$1=2),0,1)</f>
        <v>1</v>
      </c>
      <c r="AC116" s="68">
        <f ca="1">IF(AND(SUMIF(Capacity_Resource,$D116,'Critical resources (hide)'!AP$6:AP$105)+SUMIF(Capacity_Resource,$E116,'Critical resources (hide)'!AP$6:AP$105)+SUMIF(Capacity_Resource,$F116,'Critical resources (hide)'!AP$6:AP$105)&gt;0,$E$1=2),0,1)</f>
        <v>1</v>
      </c>
      <c r="AD116" s="68">
        <f ca="1">IF(AND(SUMIF(Capacity_Resource,$D116,'Critical resources (hide)'!AQ$6:AQ$105)+SUMIF(Capacity_Resource,$E116,'Critical resources (hide)'!AQ$6:AQ$105)+SUMIF(Capacity_Resource,$F116,'Critical resources (hide)'!AQ$6:AQ$105)&gt;0,$E$1=2),0,1)</f>
        <v>1</v>
      </c>
      <c r="AE116" s="68">
        <f ca="1">IF(AND(SUMIF(Capacity_Resource,$D116,'Critical resources (hide)'!AR$6:AR$105)+SUMIF(Capacity_Resource,$E116,'Critical resources (hide)'!AR$6:AR$105)+SUMIF(Capacity_Resource,$F116,'Critical resources (hide)'!AR$6:AR$105)&gt;0,$E$1=2),0,1)</f>
        <v>1</v>
      </c>
      <c r="AF116" s="68">
        <f ca="1">IF(AND(SUMIF(Capacity_Resource,$D116,'Critical resources (hide)'!AS$6:AS$105)+SUMIF(Capacity_Resource,$E116,'Critical resources (hide)'!AS$6:AS$105)+SUMIF(Capacity_Resource,$F116,'Critical resources (hide)'!AS$6:AS$105)&gt;0,$E$1=2),0,1)</f>
        <v>1</v>
      </c>
      <c r="AG116" s="68">
        <f ca="1">IF(AND(SUMIF(Capacity_Resource,$D116,'Critical resources (hide)'!AT$6:AT$105)+SUMIF(Capacity_Resource,$E116,'Critical resources (hide)'!AT$6:AT$105)+SUMIF(Capacity_Resource,$F116,'Critical resources (hide)'!AT$6:AT$105)&gt;0,$E$1=2),0,1)</f>
        <v>1</v>
      </c>
      <c r="AH116" s="68">
        <f ca="1">IF(AND(SUMIF(Capacity_Resource,$D116,'Critical resources (hide)'!AU$6:AU$105)+SUMIF(Capacity_Resource,$E116,'Critical resources (hide)'!AU$6:AU$105)+SUMIF(Capacity_Resource,$F116,'Critical resources (hide)'!AU$6:AU$105)&gt;0,$E$1=2),0,1)</f>
        <v>1</v>
      </c>
      <c r="AI116" s="68">
        <f ca="1">IF(AND(SUMIF(Capacity_Resource,$D116,'Critical resources (hide)'!AV$6:AV$105)+SUMIF(Capacity_Resource,$E116,'Critical resources (hide)'!AV$6:AV$105)+SUMIF(Capacity_Resource,$F116,'Critical resources (hide)'!AV$6:AV$105)&gt;0,$E$1=2),0,1)</f>
        <v>1</v>
      </c>
      <c r="AJ116" s="68">
        <f ca="1">IF(AND(SUMIF(Capacity_Resource,$D116,'Critical resources (hide)'!AW$6:AW$105)+SUMIF(Capacity_Resource,$E116,'Critical resources (hide)'!AW$6:AW$105)+SUMIF(Capacity_Resource,$F116,'Critical resources (hide)'!AW$6:AW$105)&gt;0,$E$1=2),0,1)</f>
        <v>1</v>
      </c>
      <c r="AK116" s="68">
        <f ca="1">IF(AND(SUMIF(Capacity_Resource,$D116,'Critical resources (hide)'!AX$6:AX$105)+SUMIF(Capacity_Resource,$E116,'Critical resources (hide)'!AX$6:AX$105)+SUMIF(Capacity_Resource,$F116,'Critical resources (hide)'!AX$6:AX$105)&gt;0,$E$1=2),0,1)</f>
        <v>1</v>
      </c>
      <c r="AL116" s="68">
        <f ca="1">IF(AND(SUMIF(Capacity_Resource,$D116,'Critical resources (hide)'!AY$6:AY$105)+SUMIF(Capacity_Resource,$E116,'Critical resources (hide)'!AY$6:AY$105)+SUMIF(Capacity_Resource,$F116,'Critical resources (hide)'!AY$6:AY$105)&gt;0,$E$1=2),0,1)</f>
        <v>1</v>
      </c>
      <c r="AM116" s="68">
        <f ca="1">IF(AND(SUMIF(Capacity_Resource,$D116,'Critical resources (hide)'!AZ$6:AZ$105)+SUMIF(Capacity_Resource,$E116,'Critical resources (hide)'!AZ$6:AZ$105)+SUMIF(Capacity_Resource,$F116,'Critical resources (hide)'!AZ$6:AZ$105)&gt;0,$E$1=2),0,1)</f>
        <v>1</v>
      </c>
      <c r="AN116" s="68">
        <f ca="1">IF(AND(SUMIF(Capacity_Resource,$D116,'Critical resources (hide)'!BA$6:BA$105)+SUMIF(Capacity_Resource,$E116,'Critical resources (hide)'!BA$6:BA$105)+SUMIF(Capacity_Resource,$F116,'Critical resources (hide)'!BA$6:BA$105)&gt;0,$E$1=2),0,1)</f>
        <v>1</v>
      </c>
      <c r="AO116" s="68">
        <f ca="1">IF(AND(SUMIF(Capacity_Resource,$D116,'Critical resources (hide)'!BB$6:BB$105)+SUMIF(Capacity_Resource,$E116,'Critical resources (hide)'!BB$6:BB$105)+SUMIF(Capacity_Resource,$F116,'Critical resources (hide)'!BB$6:BB$105)&gt;0,$E$1=2),0,1)</f>
        <v>1</v>
      </c>
      <c r="AP116" s="68">
        <f ca="1">IF(AND(SUMIF(Capacity_Resource,$D116,'Critical resources (hide)'!BC$6:BC$105)+SUMIF(Capacity_Resource,$E116,'Critical resources (hide)'!BC$6:BC$105)+SUMIF(Capacity_Resource,$F116,'Critical resources (hide)'!BC$6:BC$105)&gt;0,$E$1=2),0,1)</f>
        <v>1</v>
      </c>
      <c r="AQ116" s="68">
        <f ca="1">IF(AND(SUMIF(Capacity_Resource,$D116,'Critical resources (hide)'!BD$6:BD$105)+SUMIF(Capacity_Resource,$E116,'Critical resources (hide)'!BD$6:BD$105)+SUMIF(Capacity_Resource,$F116,'Critical resources (hide)'!BD$6:BD$105)&gt;0,$E$1=2),0,1)</f>
        <v>1</v>
      </c>
      <c r="AR116" s="68">
        <f ca="1">IF(AND(SUMIF(Capacity_Resource,$D116,'Critical resources (hide)'!BE$6:BE$105)+SUMIF(Capacity_Resource,$E116,'Critical resources (hide)'!BE$6:BE$105)+SUMIF(Capacity_Resource,$F116,'Critical resources (hide)'!BE$6:BE$105)&gt;0,$E$1=2),0,1)</f>
        <v>1</v>
      </c>
      <c r="AS116" s="68">
        <f ca="1">IF(AND(SUMIF(Capacity_Resource,$D116,'Critical resources (hide)'!BF$6:BF$105)+SUMIF(Capacity_Resource,$E116,'Critical resources (hide)'!BF$6:BF$105)+SUMIF(Capacity_Resource,$F116,'Critical resources (hide)'!BF$6:BF$105)&gt;0,$E$1=2),0,1)</f>
        <v>1</v>
      </c>
      <c r="AT116" s="68">
        <f ca="1">IF(AND(SUMIF(Capacity_Resource,$D116,'Critical resources (hide)'!BG$6:BG$105)+SUMIF(Capacity_Resource,$E116,'Critical resources (hide)'!BG$6:BG$105)+SUMIF(Capacity_Resource,$F116,'Critical resources (hide)'!BG$6:BG$105)&gt;0,$E$1=2),0,1)</f>
        <v>1</v>
      </c>
      <c r="AU116" s="68">
        <f ca="1">IF(AND(SUMIF(Capacity_Resource,$D116,'Critical resources (hide)'!BH$6:BH$105)+SUMIF(Capacity_Resource,$E116,'Critical resources (hide)'!BH$6:BH$105)+SUMIF(Capacity_Resource,$F116,'Critical resources (hide)'!BH$6:BH$105)&gt;0,$E$1=2),0,1)</f>
        <v>1</v>
      </c>
      <c r="AV116" s="68">
        <f ca="1">IF(AND(SUMIF(Capacity_Resource,$D116,'Critical resources (hide)'!BI$6:BI$105)+SUMIF(Capacity_Resource,$E116,'Critical resources (hide)'!BI$6:BI$105)+SUMIF(Capacity_Resource,$F116,'Critical resources (hide)'!BI$6:BI$105)&gt;0,$E$1=2),0,1)</f>
        <v>1</v>
      </c>
      <c r="AW116" s="68">
        <f ca="1">IF(AND(SUMIF(Capacity_Resource,$D116,'Critical resources (hide)'!BJ$6:BJ$105)+SUMIF(Capacity_Resource,$E116,'Critical resources (hide)'!BJ$6:BJ$105)+SUMIF(Capacity_Resource,$F116,'Critical resources (hide)'!BJ$6:BJ$105)&gt;0,$E$1=2),0,1)</f>
        <v>1</v>
      </c>
      <c r="AX116" s="68">
        <f ca="1">IF(AND(SUMIF(Capacity_Resource,$D116,'Critical resources (hide)'!BK$6:BK$105)+SUMIF(Capacity_Resource,$E116,'Critical resources (hide)'!BK$6:BK$105)+SUMIF(Capacity_Resource,$F116,'Critical resources (hide)'!BK$6:BK$105)&gt;0,$E$1=2),0,1)</f>
        <v>1</v>
      </c>
      <c r="AY116" s="68">
        <f ca="1">IF(AND(SUMIF(Capacity_Resource,$D116,'Critical resources (hide)'!BL$6:BL$105)+SUMIF(Capacity_Resource,$E116,'Critical resources (hide)'!BL$6:BL$105)+SUMIF(Capacity_Resource,$F116,'Critical resources (hide)'!BL$6:BL$105)&gt;0,$E$1=2),0,1)</f>
        <v>1</v>
      </c>
      <c r="AZ116" s="68">
        <f ca="1">IF(AND(SUMIF(Capacity_Resource,$D116,'Critical resources (hide)'!BM$6:BM$105)+SUMIF(Capacity_Resource,$E116,'Critical resources (hide)'!BM$6:BM$105)+SUMIF(Capacity_Resource,$F116,'Critical resources (hide)'!BM$6:BM$105)&gt;0,$E$1=2),0,1)</f>
        <v>1</v>
      </c>
      <c r="BA116" s="68">
        <f ca="1">IF(AND(SUMIF(Capacity_Resource,$D116,'Critical resources (hide)'!BN$6:BN$105)+SUMIF(Capacity_Resource,$E116,'Critical resources (hide)'!BN$6:BN$105)+SUMIF(Capacity_Resource,$F116,'Critical resources (hide)'!BN$6:BN$105)&gt;0,$E$1=2),0,1)</f>
        <v>1</v>
      </c>
      <c r="BB116" s="68">
        <f ca="1">IF(AND(SUMIF(Capacity_Resource,$D116,'Critical resources (hide)'!BO$6:BO$105)+SUMIF(Capacity_Resource,$E116,'Critical resources (hide)'!BO$6:BO$105)+SUMIF(Capacity_Resource,$F116,'Critical resources (hide)'!BO$6:BO$105)&gt;0,$E$1=2),0,1)</f>
        <v>1</v>
      </c>
      <c r="BC116" s="68">
        <f ca="1">IF(AND(SUMIF(Capacity_Resource,$D116,'Critical resources (hide)'!BP$6:BP$105)+SUMIF(Capacity_Resource,$E116,'Critical resources (hide)'!BP$6:BP$105)+SUMIF(Capacity_Resource,$F116,'Critical resources (hide)'!BP$6:BP$105)&gt;0,$E$1=2),0,1)</f>
        <v>1</v>
      </c>
      <c r="BD116" s="68">
        <f ca="1">IF(AND(SUMIF(Capacity_Resource,$D116,'Critical resources (hide)'!BQ$6:BQ$105)+SUMIF(Capacity_Resource,$E116,'Critical resources (hide)'!BQ$6:BQ$105)+SUMIF(Capacity_Resource,$F116,'Critical resources (hide)'!BQ$6:BQ$105)&gt;0,$E$1=2),0,1)</f>
        <v>1</v>
      </c>
      <c r="BE116" s="68">
        <f ca="1">IF(AND(SUMIF(Capacity_Resource,$D116,'Critical resources (hide)'!BR$6:BR$105)+SUMIF(Capacity_Resource,$E116,'Critical resources (hide)'!BR$6:BR$105)+SUMIF(Capacity_Resource,$F116,'Critical resources (hide)'!BR$6:BR$105)&gt;0,$E$1=2),0,1)</f>
        <v>1</v>
      </c>
      <c r="BF116" s="68">
        <f ca="1">IF(AND(SUMIF(Capacity_Resource,$D116,'Critical resources (hide)'!BS$6:BS$105)+SUMIF(Capacity_Resource,$E116,'Critical resources (hide)'!BS$6:BS$105)+SUMIF(Capacity_Resource,$F116,'Critical resources (hide)'!BS$6:BS$105)&gt;0,$E$1=2),0,1)</f>
        <v>1</v>
      </c>
      <c r="BG116" s="68">
        <f ca="1">IF(AND(SUMIF(Capacity_Resource,$D116,'Critical resources (hide)'!BT$6:BT$105)+SUMIF(Capacity_Resource,$E116,'Critical resources (hide)'!BT$6:BT$105)+SUMIF(Capacity_Resource,$F116,'Critical resources (hide)'!BT$6:BT$105)&gt;0,$E$1=2),0,1)</f>
        <v>1</v>
      </c>
      <c r="BH116" s="68">
        <f>IF(ROW(A5)&lt;=Capacity!$M$16,IF('Capacity summary'!$C$14="No",SUM(H116:BG116),'Capacity summary'!$E28),0)</f>
        <v>0</v>
      </c>
      <c r="BI116" s="68" t="str">
        <f>IF(BH116&gt;0,IF(BH116&lt;Capacity!Q21,Capacity!R21,Capacity!T21/'Capacity calculation (hide)'!BH116),"")</f>
        <v/>
      </c>
      <c r="BJ116" s="5"/>
      <c r="BK116" s="5">
        <f>IF($BI116&lt;&gt;"",IF('Capacity summary'!$C$14="Yes",IF(COUNTBLANK('Capacity summary'!$H28:$BG28)&lt;52,IF('Capacity summary'!H28&lt;&gt;"",$BI116*H116,0),H116*$BI116),H116*$BI116),0)</f>
        <v>0</v>
      </c>
      <c r="BL116" s="5">
        <f>IF($BI116&lt;&gt;"",IF('Capacity summary'!$C$14="Yes",IF(COUNTBLANK('Capacity summary'!$H28:$BG28)&lt;52,IF('Capacity summary'!I28&lt;&gt;"",$BI116*I116,0),I116*$BI116),I116*$BI116),0)</f>
        <v>0</v>
      </c>
      <c r="BM116" s="5">
        <f>IF($BI116&lt;&gt;"",IF('Capacity summary'!$C$14="Yes",IF(COUNTBLANK('Capacity summary'!$H28:$BG28)&lt;52,IF('Capacity summary'!J28&lt;&gt;"",$BI116*J116,0),J116*$BI116),J116*$BI116),0)</f>
        <v>0</v>
      </c>
      <c r="BN116" s="5">
        <f>IF($BI116&lt;&gt;"",IF('Capacity summary'!$C$14="Yes",IF(COUNTBLANK('Capacity summary'!$H28:$BG28)&lt;52,IF('Capacity summary'!K28&lt;&gt;"",$BI116*K116,0),K116*$BI116),K116*$BI116),0)</f>
        <v>0</v>
      </c>
      <c r="BO116" s="5">
        <f>IF($BI116&lt;&gt;"",IF('Capacity summary'!$C$14="Yes",IF(COUNTBLANK('Capacity summary'!$H28:$BG28)&lt;52,IF('Capacity summary'!L28&lt;&gt;"",$BI116*L116,0),L116*$BI116),L116*$BI116),0)</f>
        <v>0</v>
      </c>
      <c r="BP116" s="5">
        <f>IF($BI116&lt;&gt;"",IF('Capacity summary'!$C$14="Yes",IF(COUNTBLANK('Capacity summary'!$H28:$BG28)&lt;52,IF('Capacity summary'!M28&lt;&gt;"",$BI116*M116,0),M116*$BI116),M116*$BI116),0)</f>
        <v>0</v>
      </c>
      <c r="BQ116" s="5">
        <f>IF($BI116&lt;&gt;"",IF('Capacity summary'!$C$14="Yes",IF(COUNTBLANK('Capacity summary'!$H28:$BG28)&lt;52,IF('Capacity summary'!N28&lt;&gt;"",$BI116*N116,0),N116*$BI116),N116*$BI116),0)</f>
        <v>0</v>
      </c>
      <c r="BR116" s="5">
        <f>IF($BI116&lt;&gt;"",IF('Capacity summary'!$C$14="Yes",IF(COUNTBLANK('Capacity summary'!$H28:$BG28)&lt;52,IF('Capacity summary'!O28&lt;&gt;"",$BI116*O116,0),O116*$BI116),O116*$BI116),0)</f>
        <v>0</v>
      </c>
      <c r="BS116" s="5">
        <f>IF($BI116&lt;&gt;"",IF('Capacity summary'!$C$14="Yes",IF(COUNTBLANK('Capacity summary'!$H28:$BG28)&lt;52,IF('Capacity summary'!P28&lt;&gt;"",$BI116*P116,0),P116*$BI116),P116*$BI116),0)</f>
        <v>0</v>
      </c>
      <c r="BT116" s="5">
        <f>IF($BI116&lt;&gt;"",IF('Capacity summary'!$C$14="Yes",IF(COUNTBLANK('Capacity summary'!$H28:$BG28)&lt;52,IF('Capacity summary'!Q28&lt;&gt;"",$BI116*Q116,0),Q116*$BI116),Q116*$BI116),0)</f>
        <v>0</v>
      </c>
      <c r="BU116" s="5">
        <f>IF($BI116&lt;&gt;"",IF('Capacity summary'!$C$14="Yes",IF(COUNTBLANK('Capacity summary'!$H28:$BG28)&lt;52,IF('Capacity summary'!R28&lt;&gt;"",$BI116*R116,0),R116*$BI116),R116*$BI116),0)</f>
        <v>0</v>
      </c>
      <c r="BV116" s="5">
        <f>IF($BI116&lt;&gt;"",IF('Capacity summary'!$C$14="Yes",IF(COUNTBLANK('Capacity summary'!$H28:$BG28)&lt;52,IF('Capacity summary'!S28&lt;&gt;"",$BI116*S116,0),S116*$BI116),S116*$BI116),0)</f>
        <v>0</v>
      </c>
      <c r="BW116" s="5">
        <f>IF($BI116&lt;&gt;"",IF('Capacity summary'!$C$14="Yes",IF(COUNTBLANK('Capacity summary'!$H28:$BG28)&lt;52,IF('Capacity summary'!T28&lt;&gt;"",$BI116*T116,0),T116*$BI116),T116*$BI116),0)</f>
        <v>0</v>
      </c>
      <c r="BX116" s="5">
        <f>IF($BI116&lt;&gt;"",IF('Capacity summary'!$C$14="Yes",IF(COUNTBLANK('Capacity summary'!$H28:$BG28)&lt;52,IF('Capacity summary'!U28&lt;&gt;"",$BI116*U116,0),U116*$BI116),U116*$BI116),0)</f>
        <v>0</v>
      </c>
      <c r="BY116" s="5">
        <f>IF($BI116&lt;&gt;"",IF('Capacity summary'!$C$14="Yes",IF(COUNTBLANK('Capacity summary'!$H28:$BG28)&lt;52,IF('Capacity summary'!V28&lt;&gt;"",$BI116*V116,0),V116*$BI116),V116*$BI116),0)</f>
        <v>0</v>
      </c>
      <c r="BZ116" s="5">
        <f>IF($BI116&lt;&gt;"",IF('Capacity summary'!$C$14="Yes",IF(COUNTBLANK('Capacity summary'!$H28:$BG28)&lt;52,IF('Capacity summary'!W28&lt;&gt;"",$BI116*W116,0),W116*$BI116),W116*$BI116),0)</f>
        <v>0</v>
      </c>
      <c r="CA116" s="5">
        <f>IF($BI116&lt;&gt;"",IF('Capacity summary'!$C$14="Yes",IF(COUNTBLANK('Capacity summary'!$H28:$BG28)&lt;52,IF('Capacity summary'!X28&lt;&gt;"",$BI116*X116,0),X116*$BI116),X116*$BI116),0)</f>
        <v>0</v>
      </c>
      <c r="CB116" s="5">
        <f>IF($BI116&lt;&gt;"",IF('Capacity summary'!$C$14="Yes",IF(COUNTBLANK('Capacity summary'!$H28:$BG28)&lt;52,IF('Capacity summary'!Y28&lt;&gt;"",$BI116*Y116,0),Y116*$BI116),Y116*$BI116),0)</f>
        <v>0</v>
      </c>
      <c r="CC116" s="5">
        <f>IF($BI116&lt;&gt;"",IF('Capacity summary'!$C$14="Yes",IF(COUNTBLANK('Capacity summary'!$H28:$BG28)&lt;52,IF('Capacity summary'!Z28&lt;&gt;"",$BI116*Z116,0),Z116*$BI116),Z116*$BI116),0)</f>
        <v>0</v>
      </c>
      <c r="CD116" s="5">
        <f>IF($BI116&lt;&gt;"",IF('Capacity summary'!$C$14="Yes",IF(COUNTBLANK('Capacity summary'!$H28:$BG28)&lt;52,IF('Capacity summary'!AA28&lt;&gt;"",$BI116*AA116,0),AA116*$BI116),AA116*$BI116),0)</f>
        <v>0</v>
      </c>
      <c r="CE116" s="5">
        <f>IF($BI116&lt;&gt;"",IF('Capacity summary'!$C$14="Yes",IF(COUNTBLANK('Capacity summary'!$H28:$BG28)&lt;52,IF('Capacity summary'!AB28&lt;&gt;"",$BI116*AB116,0),AB116*$BI116),AB116*$BI116),0)</f>
        <v>0</v>
      </c>
      <c r="CF116" s="5">
        <f>IF($BI116&lt;&gt;"",IF('Capacity summary'!$C$14="Yes",IF(COUNTBLANK('Capacity summary'!$H28:$BG28)&lt;52,IF('Capacity summary'!AC28&lt;&gt;"",$BI116*AC116,0),AC116*$BI116),AC116*$BI116),0)</f>
        <v>0</v>
      </c>
      <c r="CG116" s="5">
        <f>IF($BI116&lt;&gt;"",IF('Capacity summary'!$C$14="Yes",IF(COUNTBLANK('Capacity summary'!$H28:$BG28)&lt;52,IF('Capacity summary'!AD28&lt;&gt;"",$BI116*AD116,0),AD116*$BI116),AD116*$BI116),0)</f>
        <v>0</v>
      </c>
      <c r="CH116" s="5">
        <f>IF($BI116&lt;&gt;"",IF('Capacity summary'!$C$14="Yes",IF(COUNTBLANK('Capacity summary'!$H28:$BG28)&lt;52,IF('Capacity summary'!AE28&lt;&gt;"",$BI116*AE116,0),AE116*$BI116),AE116*$BI116),0)</f>
        <v>0</v>
      </c>
      <c r="CI116" s="5">
        <f>IF($BI116&lt;&gt;"",IF('Capacity summary'!$C$14="Yes",IF(COUNTBLANK('Capacity summary'!$H28:$BG28)&lt;52,IF('Capacity summary'!AF28&lt;&gt;"",$BI116*AF116,0),AF116*$BI116),AF116*$BI116),0)</f>
        <v>0</v>
      </c>
      <c r="CJ116" s="5">
        <f>IF($BI116&lt;&gt;"",IF('Capacity summary'!$C$14="Yes",IF(COUNTBLANK('Capacity summary'!$H28:$BG28)&lt;52,IF('Capacity summary'!AG28&lt;&gt;"",$BI116*AG116,0),AG116*$BI116),AG116*$BI116),0)</f>
        <v>0</v>
      </c>
      <c r="CK116" s="5">
        <f>IF($BI116&lt;&gt;"",IF('Capacity summary'!$C$14="Yes",IF(COUNTBLANK('Capacity summary'!$H28:$BG28)&lt;52,IF('Capacity summary'!AH28&lt;&gt;"",$BI116*AH116,0),AH116*$BI116),AH116*$BI116),0)</f>
        <v>0</v>
      </c>
      <c r="CL116" s="5">
        <f>IF($BI116&lt;&gt;"",IF('Capacity summary'!$C$14="Yes",IF(COUNTBLANK('Capacity summary'!$H28:$BG28)&lt;52,IF('Capacity summary'!AI28&lt;&gt;"",$BI116*AI116,0),AI116*$BI116),AI116*$BI116),0)</f>
        <v>0</v>
      </c>
      <c r="CM116" s="5">
        <f>IF($BI116&lt;&gt;"",IF('Capacity summary'!$C$14="Yes",IF(COUNTBLANK('Capacity summary'!$H28:$BG28)&lt;52,IF('Capacity summary'!AJ28&lt;&gt;"",$BI116*AJ116,0),AJ116*$BI116),AJ116*$BI116),0)</f>
        <v>0</v>
      </c>
      <c r="CN116" s="5">
        <f>IF($BI116&lt;&gt;"",IF('Capacity summary'!$C$14="Yes",IF(COUNTBLANK('Capacity summary'!$H28:$BG28)&lt;52,IF('Capacity summary'!AK28&lt;&gt;"",$BI116*AK116,0),AK116*$BI116),AK116*$BI116),0)</f>
        <v>0</v>
      </c>
      <c r="CO116" s="5">
        <f>IF($BI116&lt;&gt;"",IF('Capacity summary'!$C$14="Yes",IF(COUNTBLANK('Capacity summary'!$H28:$BG28)&lt;52,IF('Capacity summary'!AL28&lt;&gt;"",$BI116*AL116,0),AL116*$BI116),AL116*$BI116),0)</f>
        <v>0</v>
      </c>
      <c r="CP116" s="5">
        <f>IF($BI116&lt;&gt;"",IF('Capacity summary'!$C$14="Yes",IF(COUNTBLANK('Capacity summary'!$H28:$BG28)&lt;52,IF('Capacity summary'!AM28&lt;&gt;"",$BI116*AM116,0),AM116*$BI116),AM116*$BI116),0)</f>
        <v>0</v>
      </c>
      <c r="CQ116" s="5">
        <f>IF($BI116&lt;&gt;"",IF('Capacity summary'!$C$14="Yes",IF(COUNTBLANK('Capacity summary'!$H28:$BG28)&lt;52,IF('Capacity summary'!AN28&lt;&gt;"",$BI116*AN116,0),AN116*$BI116),AN116*$BI116),0)</f>
        <v>0</v>
      </c>
      <c r="CR116" s="5">
        <f>IF($BI116&lt;&gt;"",IF('Capacity summary'!$C$14="Yes",IF(COUNTBLANK('Capacity summary'!$H28:$BG28)&lt;52,IF('Capacity summary'!AO28&lt;&gt;"",$BI116*AO116,0),AO116*$BI116),AO116*$BI116),0)</f>
        <v>0</v>
      </c>
      <c r="CS116" s="5">
        <f>IF($BI116&lt;&gt;"",IF('Capacity summary'!$C$14="Yes",IF(COUNTBLANK('Capacity summary'!$H28:$BG28)&lt;52,IF('Capacity summary'!AP28&lt;&gt;"",$BI116*AP116,0),AP116*$BI116),AP116*$BI116),0)</f>
        <v>0</v>
      </c>
      <c r="CT116" s="5">
        <f>IF($BI116&lt;&gt;"",IF('Capacity summary'!$C$14="Yes",IF(COUNTBLANK('Capacity summary'!$H28:$BG28)&lt;52,IF('Capacity summary'!AQ28&lt;&gt;"",$BI116*AQ116,0),AQ116*$BI116),AQ116*$BI116),0)</f>
        <v>0</v>
      </c>
      <c r="CU116" s="5">
        <f>IF($BI116&lt;&gt;"",IF('Capacity summary'!$C$14="Yes",IF(COUNTBLANK('Capacity summary'!$H28:$BG28)&lt;52,IF('Capacity summary'!AR28&lt;&gt;"",$BI116*AR116,0),AR116*$BI116),AR116*$BI116),0)</f>
        <v>0</v>
      </c>
      <c r="CV116" s="5">
        <f>IF($BI116&lt;&gt;"",IF('Capacity summary'!$C$14="Yes",IF(COUNTBLANK('Capacity summary'!$H28:$BG28)&lt;52,IF('Capacity summary'!AS28&lt;&gt;"",$BI116*AS116,0),AS116*$BI116),AS116*$BI116),0)</f>
        <v>0</v>
      </c>
      <c r="CW116" s="5">
        <f>IF($BI116&lt;&gt;"",IF('Capacity summary'!$C$14="Yes",IF(COUNTBLANK('Capacity summary'!$H28:$BG28)&lt;52,IF('Capacity summary'!AT28&lt;&gt;"",$BI116*AT116,0),AT116*$BI116),AT116*$BI116),0)</f>
        <v>0</v>
      </c>
      <c r="CX116" s="5">
        <f>IF($BI116&lt;&gt;"",IF('Capacity summary'!$C$14="Yes",IF(COUNTBLANK('Capacity summary'!$H28:$BG28)&lt;52,IF('Capacity summary'!AU28&lt;&gt;"",$BI116*AU116,0),AU116*$BI116),AU116*$BI116),0)</f>
        <v>0</v>
      </c>
      <c r="CY116" s="5">
        <f>IF($BI116&lt;&gt;"",IF('Capacity summary'!$C$14="Yes",IF(COUNTBLANK('Capacity summary'!$H28:$BG28)&lt;52,IF('Capacity summary'!AV28&lt;&gt;"",$BI116*AV116,0),AV116*$BI116),AV116*$BI116),0)</f>
        <v>0</v>
      </c>
      <c r="CZ116" s="5">
        <f>IF($BI116&lt;&gt;"",IF('Capacity summary'!$C$14="Yes",IF(COUNTBLANK('Capacity summary'!$H28:$BG28)&lt;52,IF('Capacity summary'!AW28&lt;&gt;"",$BI116*AW116,0),AW116*$BI116),AW116*$BI116),0)</f>
        <v>0</v>
      </c>
      <c r="DA116" s="5">
        <f>IF($BI116&lt;&gt;"",IF('Capacity summary'!$C$14="Yes",IF(COUNTBLANK('Capacity summary'!$H28:$BG28)&lt;52,IF('Capacity summary'!AX28&lt;&gt;"",$BI116*AX116,0),AX116*$BI116),AX116*$BI116),0)</f>
        <v>0</v>
      </c>
      <c r="DB116" s="5">
        <f>IF($BI116&lt;&gt;"",IF('Capacity summary'!$C$14="Yes",IF(COUNTBLANK('Capacity summary'!$H28:$BG28)&lt;52,IF('Capacity summary'!AY28&lt;&gt;"",$BI116*AY116,0),AY116*$BI116),AY116*$BI116),0)</f>
        <v>0</v>
      </c>
      <c r="DC116" s="5">
        <f>IF($BI116&lt;&gt;"",IF('Capacity summary'!$C$14="Yes",IF(COUNTBLANK('Capacity summary'!$H28:$BG28)&lt;52,IF('Capacity summary'!AZ28&lt;&gt;"",$BI116*AZ116,0),AZ116*$BI116),AZ116*$BI116),0)</f>
        <v>0</v>
      </c>
      <c r="DD116" s="5">
        <f>IF($BI116&lt;&gt;"",IF('Capacity summary'!$C$14="Yes",IF(COUNTBLANK('Capacity summary'!$H28:$BG28)&lt;52,IF('Capacity summary'!BA28&lt;&gt;"",$BI116*BA116,0),BA116*$BI116),BA116*$BI116),0)</f>
        <v>0</v>
      </c>
      <c r="DE116" s="5">
        <f>IF($BI116&lt;&gt;"",IF('Capacity summary'!$C$14="Yes",IF(COUNTBLANK('Capacity summary'!$H28:$BG28)&lt;52,IF('Capacity summary'!BB28&lt;&gt;"",$BI116*BB116,0),BB116*$BI116),BB116*$BI116),0)</f>
        <v>0</v>
      </c>
      <c r="DF116" s="5">
        <f>IF($BI116&lt;&gt;"",IF('Capacity summary'!$C$14="Yes",IF(COUNTBLANK('Capacity summary'!$H28:$BG28)&lt;52,IF('Capacity summary'!BC28&lt;&gt;"",$BI116*BC116,0),BC116*$BI116),BC116*$BI116),0)</f>
        <v>0</v>
      </c>
      <c r="DG116" s="5">
        <f>IF($BI116&lt;&gt;"",IF('Capacity summary'!$C$14="Yes",IF(COUNTBLANK('Capacity summary'!$H28:$BG28)&lt;52,IF('Capacity summary'!BD28&lt;&gt;"",$BI116*BD116,0),BD116*$BI116),BD116*$BI116),0)</f>
        <v>0</v>
      </c>
      <c r="DH116" s="5">
        <f>IF($BI116&lt;&gt;"",IF('Capacity summary'!$C$14="Yes",IF(COUNTBLANK('Capacity summary'!$H28:$BG28)&lt;52,IF('Capacity summary'!BE28&lt;&gt;"",$BI116*BE116,0),BE116*$BI116),BE116*$BI116),0)</f>
        <v>0</v>
      </c>
      <c r="DI116" s="5">
        <f>IF($BI116&lt;&gt;"",IF('Capacity summary'!$C$14="Yes",IF(COUNTBLANK('Capacity summary'!$H28:$BG28)&lt;52,IF('Capacity summary'!BF28&lt;&gt;"",$BI116*BF116,0),BF116*$BI116),BF116*$BI116),0)</f>
        <v>0</v>
      </c>
      <c r="DJ116" s="5">
        <f>IF($BI116&lt;&gt;"",IF('Capacity summary'!$C$14="Yes",IF(COUNTBLANK('Capacity summary'!$H28:$BG28)&lt;52,IF('Capacity summary'!BG28&lt;&gt;"",$BI116*BG116,0),BG116*$BI116),BG116*$BI116),0)</f>
        <v>0</v>
      </c>
      <c r="DK116" s="138">
        <f t="shared" si="6"/>
        <v>0</v>
      </c>
    </row>
    <row r="117" spans="3:115" x14ac:dyDescent="0.2">
      <c r="C117" s="68" t="str">
        <f>ROW(A6)&amp;". "&amp;Capacity!N22</f>
        <v xml:space="preserve">6. </v>
      </c>
      <c r="D117" s="68">
        <f>'Capacity setup'!C123</f>
        <v>0</v>
      </c>
      <c r="E117" s="68">
        <f>'Capacity setup'!D123</f>
        <v>0</v>
      </c>
      <c r="F117" s="68">
        <f>'Capacity setup'!E123</f>
        <v>0</v>
      </c>
      <c r="H117" s="68">
        <f ca="1">IF(AND(SUMIF(Capacity_Resource,$D117,'Critical resources (hide)'!U$6:U$105)+SUMIF(Capacity_Resource,$E117,'Critical resources (hide)'!U$6:U$105)+SUMIF(Capacity_Resource,$F117,'Critical resources (hide)'!U$6:U$105)&gt;0,$E$1=2),0,1)</f>
        <v>1</v>
      </c>
      <c r="I117" s="68">
        <f ca="1">IF(AND(SUMIF(Capacity_Resource,$D117,'Critical resources (hide)'!V$6:V$105)+SUMIF(Capacity_Resource,$E117,'Critical resources (hide)'!V$6:V$105)+SUMIF(Capacity_Resource,$F117,'Critical resources (hide)'!V$6:V$105)&gt;0,$E$1=2),0,1)</f>
        <v>1</v>
      </c>
      <c r="J117" s="68">
        <f ca="1">IF(AND(SUMIF(Capacity_Resource,$D117,'Critical resources (hide)'!W$6:W$105)+SUMIF(Capacity_Resource,$E117,'Critical resources (hide)'!W$6:W$105)+SUMIF(Capacity_Resource,$F117,'Critical resources (hide)'!W$6:W$105)&gt;0,$E$1=2),0,1)</f>
        <v>1</v>
      </c>
      <c r="K117" s="68">
        <f ca="1">IF(AND(SUMIF(Capacity_Resource,$D117,'Critical resources (hide)'!X$6:X$105)+SUMIF(Capacity_Resource,$E117,'Critical resources (hide)'!X$6:X$105)+SUMIF(Capacity_Resource,$F117,'Critical resources (hide)'!X$6:X$105)&gt;0,$E$1=2),0,1)</f>
        <v>1</v>
      </c>
      <c r="L117" s="68">
        <f ca="1">IF(AND(SUMIF(Capacity_Resource,$D117,'Critical resources (hide)'!Y$6:Y$105)+SUMIF(Capacity_Resource,$E117,'Critical resources (hide)'!Y$6:Y$105)+SUMIF(Capacity_Resource,$F117,'Critical resources (hide)'!Y$6:Y$105)&gt;0,$E$1=2),0,1)</f>
        <v>1</v>
      </c>
      <c r="M117" s="68">
        <f ca="1">IF(AND(SUMIF(Capacity_Resource,$D117,'Critical resources (hide)'!Z$6:Z$105)+SUMIF(Capacity_Resource,$E117,'Critical resources (hide)'!Z$6:Z$105)+SUMIF(Capacity_Resource,$F117,'Critical resources (hide)'!Z$6:Z$105)&gt;0,$E$1=2),0,1)</f>
        <v>1</v>
      </c>
      <c r="N117" s="68">
        <f ca="1">IF(AND(SUMIF(Capacity_Resource,$D117,'Critical resources (hide)'!AA$6:AA$105)+SUMIF(Capacity_Resource,$E117,'Critical resources (hide)'!AA$6:AA$105)+SUMIF(Capacity_Resource,$F117,'Critical resources (hide)'!AA$6:AA$105)&gt;0,$E$1=2),0,1)</f>
        <v>1</v>
      </c>
      <c r="O117" s="68">
        <f ca="1">IF(AND(SUMIF(Capacity_Resource,$D117,'Critical resources (hide)'!AB$6:AB$105)+SUMIF(Capacity_Resource,$E117,'Critical resources (hide)'!AB$6:AB$105)+SUMIF(Capacity_Resource,$F117,'Critical resources (hide)'!AB$6:AB$105)&gt;0,$E$1=2),0,1)</f>
        <v>1</v>
      </c>
      <c r="P117" s="68">
        <f ca="1">IF(AND(SUMIF(Capacity_Resource,$D117,'Critical resources (hide)'!AC$6:AC$105)+SUMIF(Capacity_Resource,$E117,'Critical resources (hide)'!AC$6:AC$105)+SUMIF(Capacity_Resource,$F117,'Critical resources (hide)'!AC$6:AC$105)&gt;0,$E$1=2),0,1)</f>
        <v>1</v>
      </c>
      <c r="Q117" s="68">
        <f ca="1">IF(AND(SUMIF(Capacity_Resource,$D117,'Critical resources (hide)'!AD$6:AD$105)+SUMIF(Capacity_Resource,$E117,'Critical resources (hide)'!AD$6:AD$105)+SUMIF(Capacity_Resource,$F117,'Critical resources (hide)'!AD$6:AD$105)&gt;0,$E$1=2),0,1)</f>
        <v>1</v>
      </c>
      <c r="R117" s="68">
        <f ca="1">IF(AND(SUMIF(Capacity_Resource,$D117,'Critical resources (hide)'!AE$6:AE$105)+SUMIF(Capacity_Resource,$E117,'Critical resources (hide)'!AE$6:AE$105)+SUMIF(Capacity_Resource,$F117,'Critical resources (hide)'!AE$6:AE$105)&gt;0,$E$1=2),0,1)</f>
        <v>1</v>
      </c>
      <c r="S117" s="68">
        <f ca="1">IF(AND(SUMIF(Capacity_Resource,$D117,'Critical resources (hide)'!AF$6:AF$105)+SUMIF(Capacity_Resource,$E117,'Critical resources (hide)'!AF$6:AF$105)+SUMIF(Capacity_Resource,$F117,'Critical resources (hide)'!AF$6:AF$105)&gt;0,$E$1=2),0,1)</f>
        <v>1</v>
      </c>
      <c r="T117" s="68">
        <f ca="1">IF(AND(SUMIF(Capacity_Resource,$D117,'Critical resources (hide)'!AG$6:AG$105)+SUMIF(Capacity_Resource,$E117,'Critical resources (hide)'!AG$6:AG$105)+SUMIF(Capacity_Resource,$F117,'Critical resources (hide)'!AG$6:AG$105)&gt;0,$E$1=2),0,1)</f>
        <v>1</v>
      </c>
      <c r="U117" s="68">
        <f ca="1">IF(AND(SUMIF(Capacity_Resource,$D117,'Critical resources (hide)'!AH$6:AH$105)+SUMIF(Capacity_Resource,$E117,'Critical resources (hide)'!AH$6:AH$105)+SUMIF(Capacity_Resource,$F117,'Critical resources (hide)'!AH$6:AH$105)&gt;0,$E$1=2),0,1)</f>
        <v>1</v>
      </c>
      <c r="V117" s="68">
        <f ca="1">IF(AND(SUMIF(Capacity_Resource,$D117,'Critical resources (hide)'!AI$6:AI$105)+SUMIF(Capacity_Resource,$E117,'Critical resources (hide)'!AI$6:AI$105)+SUMIF(Capacity_Resource,$F117,'Critical resources (hide)'!AI$6:AI$105)&gt;0,$E$1=2),0,1)</f>
        <v>1</v>
      </c>
      <c r="W117" s="68">
        <f ca="1">IF(AND(SUMIF(Capacity_Resource,$D117,'Critical resources (hide)'!AJ$6:AJ$105)+SUMIF(Capacity_Resource,$E117,'Critical resources (hide)'!AJ$6:AJ$105)+SUMIF(Capacity_Resource,$F117,'Critical resources (hide)'!AJ$6:AJ$105)&gt;0,$E$1=2),0,1)</f>
        <v>1</v>
      </c>
      <c r="X117" s="68">
        <f ca="1">IF(AND(SUMIF(Capacity_Resource,$D117,'Critical resources (hide)'!AK$6:AK$105)+SUMIF(Capacity_Resource,$E117,'Critical resources (hide)'!AK$6:AK$105)+SUMIF(Capacity_Resource,$F117,'Critical resources (hide)'!AK$6:AK$105)&gt;0,$E$1=2),0,1)</f>
        <v>1</v>
      </c>
      <c r="Y117" s="68">
        <f ca="1">IF(AND(SUMIF(Capacity_Resource,$D117,'Critical resources (hide)'!AL$6:AL$105)+SUMIF(Capacity_Resource,$E117,'Critical resources (hide)'!AL$6:AL$105)+SUMIF(Capacity_Resource,$F117,'Critical resources (hide)'!AL$6:AL$105)&gt;0,$E$1=2),0,1)</f>
        <v>1</v>
      </c>
      <c r="Z117" s="68">
        <f ca="1">IF(AND(SUMIF(Capacity_Resource,$D117,'Critical resources (hide)'!AM$6:AM$105)+SUMIF(Capacity_Resource,$E117,'Critical resources (hide)'!AM$6:AM$105)+SUMIF(Capacity_Resource,$F117,'Critical resources (hide)'!AM$6:AM$105)&gt;0,$E$1=2),0,1)</f>
        <v>1</v>
      </c>
      <c r="AA117" s="68">
        <f ca="1">IF(AND(SUMIF(Capacity_Resource,$D117,'Critical resources (hide)'!AN$6:AN$105)+SUMIF(Capacity_Resource,$E117,'Critical resources (hide)'!AN$6:AN$105)+SUMIF(Capacity_Resource,$F117,'Critical resources (hide)'!AN$6:AN$105)&gt;0,$E$1=2),0,1)</f>
        <v>1</v>
      </c>
      <c r="AB117" s="68">
        <f ca="1">IF(AND(SUMIF(Capacity_Resource,$D117,'Critical resources (hide)'!AO$6:AO$105)+SUMIF(Capacity_Resource,$E117,'Critical resources (hide)'!AO$6:AO$105)+SUMIF(Capacity_Resource,$F117,'Critical resources (hide)'!AO$6:AO$105)&gt;0,$E$1=2),0,1)</f>
        <v>1</v>
      </c>
      <c r="AC117" s="68">
        <f ca="1">IF(AND(SUMIF(Capacity_Resource,$D117,'Critical resources (hide)'!AP$6:AP$105)+SUMIF(Capacity_Resource,$E117,'Critical resources (hide)'!AP$6:AP$105)+SUMIF(Capacity_Resource,$F117,'Critical resources (hide)'!AP$6:AP$105)&gt;0,$E$1=2),0,1)</f>
        <v>1</v>
      </c>
      <c r="AD117" s="68">
        <f ca="1">IF(AND(SUMIF(Capacity_Resource,$D117,'Critical resources (hide)'!AQ$6:AQ$105)+SUMIF(Capacity_Resource,$E117,'Critical resources (hide)'!AQ$6:AQ$105)+SUMIF(Capacity_Resource,$F117,'Critical resources (hide)'!AQ$6:AQ$105)&gt;0,$E$1=2),0,1)</f>
        <v>1</v>
      </c>
      <c r="AE117" s="68">
        <f ca="1">IF(AND(SUMIF(Capacity_Resource,$D117,'Critical resources (hide)'!AR$6:AR$105)+SUMIF(Capacity_Resource,$E117,'Critical resources (hide)'!AR$6:AR$105)+SUMIF(Capacity_Resource,$F117,'Critical resources (hide)'!AR$6:AR$105)&gt;0,$E$1=2),0,1)</f>
        <v>1</v>
      </c>
      <c r="AF117" s="68">
        <f ca="1">IF(AND(SUMIF(Capacity_Resource,$D117,'Critical resources (hide)'!AS$6:AS$105)+SUMIF(Capacity_Resource,$E117,'Critical resources (hide)'!AS$6:AS$105)+SUMIF(Capacity_Resource,$F117,'Critical resources (hide)'!AS$6:AS$105)&gt;0,$E$1=2),0,1)</f>
        <v>1</v>
      </c>
      <c r="AG117" s="68">
        <f ca="1">IF(AND(SUMIF(Capacity_Resource,$D117,'Critical resources (hide)'!AT$6:AT$105)+SUMIF(Capacity_Resource,$E117,'Critical resources (hide)'!AT$6:AT$105)+SUMIF(Capacity_Resource,$F117,'Critical resources (hide)'!AT$6:AT$105)&gt;0,$E$1=2),0,1)</f>
        <v>1</v>
      </c>
      <c r="AH117" s="68">
        <f ca="1">IF(AND(SUMIF(Capacity_Resource,$D117,'Critical resources (hide)'!AU$6:AU$105)+SUMIF(Capacity_Resource,$E117,'Critical resources (hide)'!AU$6:AU$105)+SUMIF(Capacity_Resource,$F117,'Critical resources (hide)'!AU$6:AU$105)&gt;0,$E$1=2),0,1)</f>
        <v>1</v>
      </c>
      <c r="AI117" s="68">
        <f ca="1">IF(AND(SUMIF(Capacity_Resource,$D117,'Critical resources (hide)'!AV$6:AV$105)+SUMIF(Capacity_Resource,$E117,'Critical resources (hide)'!AV$6:AV$105)+SUMIF(Capacity_Resource,$F117,'Critical resources (hide)'!AV$6:AV$105)&gt;0,$E$1=2),0,1)</f>
        <v>1</v>
      </c>
      <c r="AJ117" s="68">
        <f ca="1">IF(AND(SUMIF(Capacity_Resource,$D117,'Critical resources (hide)'!AW$6:AW$105)+SUMIF(Capacity_Resource,$E117,'Critical resources (hide)'!AW$6:AW$105)+SUMIF(Capacity_Resource,$F117,'Critical resources (hide)'!AW$6:AW$105)&gt;0,$E$1=2),0,1)</f>
        <v>1</v>
      </c>
      <c r="AK117" s="68">
        <f ca="1">IF(AND(SUMIF(Capacity_Resource,$D117,'Critical resources (hide)'!AX$6:AX$105)+SUMIF(Capacity_Resource,$E117,'Critical resources (hide)'!AX$6:AX$105)+SUMIF(Capacity_Resource,$F117,'Critical resources (hide)'!AX$6:AX$105)&gt;0,$E$1=2),0,1)</f>
        <v>1</v>
      </c>
      <c r="AL117" s="68">
        <f ca="1">IF(AND(SUMIF(Capacity_Resource,$D117,'Critical resources (hide)'!AY$6:AY$105)+SUMIF(Capacity_Resource,$E117,'Critical resources (hide)'!AY$6:AY$105)+SUMIF(Capacity_Resource,$F117,'Critical resources (hide)'!AY$6:AY$105)&gt;0,$E$1=2),0,1)</f>
        <v>1</v>
      </c>
      <c r="AM117" s="68">
        <f ca="1">IF(AND(SUMIF(Capacity_Resource,$D117,'Critical resources (hide)'!AZ$6:AZ$105)+SUMIF(Capacity_Resource,$E117,'Critical resources (hide)'!AZ$6:AZ$105)+SUMIF(Capacity_Resource,$F117,'Critical resources (hide)'!AZ$6:AZ$105)&gt;0,$E$1=2),0,1)</f>
        <v>1</v>
      </c>
      <c r="AN117" s="68">
        <f ca="1">IF(AND(SUMIF(Capacity_Resource,$D117,'Critical resources (hide)'!BA$6:BA$105)+SUMIF(Capacity_Resource,$E117,'Critical resources (hide)'!BA$6:BA$105)+SUMIF(Capacity_Resource,$F117,'Critical resources (hide)'!BA$6:BA$105)&gt;0,$E$1=2),0,1)</f>
        <v>1</v>
      </c>
      <c r="AO117" s="68">
        <f ca="1">IF(AND(SUMIF(Capacity_Resource,$D117,'Critical resources (hide)'!BB$6:BB$105)+SUMIF(Capacity_Resource,$E117,'Critical resources (hide)'!BB$6:BB$105)+SUMIF(Capacity_Resource,$F117,'Critical resources (hide)'!BB$6:BB$105)&gt;0,$E$1=2),0,1)</f>
        <v>1</v>
      </c>
      <c r="AP117" s="68">
        <f ca="1">IF(AND(SUMIF(Capacity_Resource,$D117,'Critical resources (hide)'!BC$6:BC$105)+SUMIF(Capacity_Resource,$E117,'Critical resources (hide)'!BC$6:BC$105)+SUMIF(Capacity_Resource,$F117,'Critical resources (hide)'!BC$6:BC$105)&gt;0,$E$1=2),0,1)</f>
        <v>1</v>
      </c>
      <c r="AQ117" s="68">
        <f ca="1">IF(AND(SUMIF(Capacity_Resource,$D117,'Critical resources (hide)'!BD$6:BD$105)+SUMIF(Capacity_Resource,$E117,'Critical resources (hide)'!BD$6:BD$105)+SUMIF(Capacity_Resource,$F117,'Critical resources (hide)'!BD$6:BD$105)&gt;0,$E$1=2),0,1)</f>
        <v>1</v>
      </c>
      <c r="AR117" s="68">
        <f ca="1">IF(AND(SUMIF(Capacity_Resource,$D117,'Critical resources (hide)'!BE$6:BE$105)+SUMIF(Capacity_Resource,$E117,'Critical resources (hide)'!BE$6:BE$105)+SUMIF(Capacity_Resource,$F117,'Critical resources (hide)'!BE$6:BE$105)&gt;0,$E$1=2),0,1)</f>
        <v>1</v>
      </c>
      <c r="AS117" s="68">
        <f ca="1">IF(AND(SUMIF(Capacity_Resource,$D117,'Critical resources (hide)'!BF$6:BF$105)+SUMIF(Capacity_Resource,$E117,'Critical resources (hide)'!BF$6:BF$105)+SUMIF(Capacity_Resource,$F117,'Critical resources (hide)'!BF$6:BF$105)&gt;0,$E$1=2),0,1)</f>
        <v>1</v>
      </c>
      <c r="AT117" s="68">
        <f ca="1">IF(AND(SUMIF(Capacity_Resource,$D117,'Critical resources (hide)'!BG$6:BG$105)+SUMIF(Capacity_Resource,$E117,'Critical resources (hide)'!BG$6:BG$105)+SUMIF(Capacity_Resource,$F117,'Critical resources (hide)'!BG$6:BG$105)&gt;0,$E$1=2),0,1)</f>
        <v>1</v>
      </c>
      <c r="AU117" s="68">
        <f ca="1">IF(AND(SUMIF(Capacity_Resource,$D117,'Critical resources (hide)'!BH$6:BH$105)+SUMIF(Capacity_Resource,$E117,'Critical resources (hide)'!BH$6:BH$105)+SUMIF(Capacity_Resource,$F117,'Critical resources (hide)'!BH$6:BH$105)&gt;0,$E$1=2),0,1)</f>
        <v>1</v>
      </c>
      <c r="AV117" s="68">
        <f ca="1">IF(AND(SUMIF(Capacity_Resource,$D117,'Critical resources (hide)'!BI$6:BI$105)+SUMIF(Capacity_Resource,$E117,'Critical resources (hide)'!BI$6:BI$105)+SUMIF(Capacity_Resource,$F117,'Critical resources (hide)'!BI$6:BI$105)&gt;0,$E$1=2),0,1)</f>
        <v>1</v>
      </c>
      <c r="AW117" s="68">
        <f ca="1">IF(AND(SUMIF(Capacity_Resource,$D117,'Critical resources (hide)'!BJ$6:BJ$105)+SUMIF(Capacity_Resource,$E117,'Critical resources (hide)'!BJ$6:BJ$105)+SUMIF(Capacity_Resource,$F117,'Critical resources (hide)'!BJ$6:BJ$105)&gt;0,$E$1=2),0,1)</f>
        <v>1</v>
      </c>
      <c r="AX117" s="68">
        <f ca="1">IF(AND(SUMIF(Capacity_Resource,$D117,'Critical resources (hide)'!BK$6:BK$105)+SUMIF(Capacity_Resource,$E117,'Critical resources (hide)'!BK$6:BK$105)+SUMIF(Capacity_Resource,$F117,'Critical resources (hide)'!BK$6:BK$105)&gt;0,$E$1=2),0,1)</f>
        <v>1</v>
      </c>
      <c r="AY117" s="68">
        <f ca="1">IF(AND(SUMIF(Capacity_Resource,$D117,'Critical resources (hide)'!BL$6:BL$105)+SUMIF(Capacity_Resource,$E117,'Critical resources (hide)'!BL$6:BL$105)+SUMIF(Capacity_Resource,$F117,'Critical resources (hide)'!BL$6:BL$105)&gt;0,$E$1=2),0,1)</f>
        <v>1</v>
      </c>
      <c r="AZ117" s="68">
        <f ca="1">IF(AND(SUMIF(Capacity_Resource,$D117,'Critical resources (hide)'!BM$6:BM$105)+SUMIF(Capacity_Resource,$E117,'Critical resources (hide)'!BM$6:BM$105)+SUMIF(Capacity_Resource,$F117,'Critical resources (hide)'!BM$6:BM$105)&gt;0,$E$1=2),0,1)</f>
        <v>1</v>
      </c>
      <c r="BA117" s="68">
        <f ca="1">IF(AND(SUMIF(Capacity_Resource,$D117,'Critical resources (hide)'!BN$6:BN$105)+SUMIF(Capacity_Resource,$E117,'Critical resources (hide)'!BN$6:BN$105)+SUMIF(Capacity_Resource,$F117,'Critical resources (hide)'!BN$6:BN$105)&gt;0,$E$1=2),0,1)</f>
        <v>1</v>
      </c>
      <c r="BB117" s="68">
        <f ca="1">IF(AND(SUMIF(Capacity_Resource,$D117,'Critical resources (hide)'!BO$6:BO$105)+SUMIF(Capacity_Resource,$E117,'Critical resources (hide)'!BO$6:BO$105)+SUMIF(Capacity_Resource,$F117,'Critical resources (hide)'!BO$6:BO$105)&gt;0,$E$1=2),0,1)</f>
        <v>1</v>
      </c>
      <c r="BC117" s="68">
        <f ca="1">IF(AND(SUMIF(Capacity_Resource,$D117,'Critical resources (hide)'!BP$6:BP$105)+SUMIF(Capacity_Resource,$E117,'Critical resources (hide)'!BP$6:BP$105)+SUMIF(Capacity_Resource,$F117,'Critical resources (hide)'!BP$6:BP$105)&gt;0,$E$1=2),0,1)</f>
        <v>1</v>
      </c>
      <c r="BD117" s="68">
        <f ca="1">IF(AND(SUMIF(Capacity_Resource,$D117,'Critical resources (hide)'!BQ$6:BQ$105)+SUMIF(Capacity_Resource,$E117,'Critical resources (hide)'!BQ$6:BQ$105)+SUMIF(Capacity_Resource,$F117,'Critical resources (hide)'!BQ$6:BQ$105)&gt;0,$E$1=2),0,1)</f>
        <v>1</v>
      </c>
      <c r="BE117" s="68">
        <f ca="1">IF(AND(SUMIF(Capacity_Resource,$D117,'Critical resources (hide)'!BR$6:BR$105)+SUMIF(Capacity_Resource,$E117,'Critical resources (hide)'!BR$6:BR$105)+SUMIF(Capacity_Resource,$F117,'Critical resources (hide)'!BR$6:BR$105)&gt;0,$E$1=2),0,1)</f>
        <v>1</v>
      </c>
      <c r="BF117" s="68">
        <f ca="1">IF(AND(SUMIF(Capacity_Resource,$D117,'Critical resources (hide)'!BS$6:BS$105)+SUMIF(Capacity_Resource,$E117,'Critical resources (hide)'!BS$6:BS$105)+SUMIF(Capacity_Resource,$F117,'Critical resources (hide)'!BS$6:BS$105)&gt;0,$E$1=2),0,1)</f>
        <v>1</v>
      </c>
      <c r="BG117" s="68">
        <f ca="1">IF(AND(SUMIF(Capacity_Resource,$D117,'Critical resources (hide)'!BT$6:BT$105)+SUMIF(Capacity_Resource,$E117,'Critical resources (hide)'!BT$6:BT$105)+SUMIF(Capacity_Resource,$F117,'Critical resources (hide)'!BT$6:BT$105)&gt;0,$E$1=2),0,1)</f>
        <v>1</v>
      </c>
      <c r="BH117" s="68">
        <f>IF(ROW(A6)&lt;=Capacity!$M$16,IF('Capacity summary'!$C$14="No",SUM(H117:BG117),'Capacity summary'!$E29),0)</f>
        <v>0</v>
      </c>
      <c r="BI117" s="68" t="str">
        <f>IF(BH117&gt;0,IF(BH117&lt;Capacity!Q22,Capacity!R22,Capacity!T22/'Capacity calculation (hide)'!BH117),"")</f>
        <v/>
      </c>
      <c r="BJ117" s="5"/>
      <c r="BK117" s="5">
        <f>IF($BI117&lt;&gt;"",IF('Capacity summary'!$C$14="Yes",IF(COUNTBLANK('Capacity summary'!$H29:$BG29)&lt;52,IF('Capacity summary'!H29&lt;&gt;"",$BI117*H117,0),H117*$BI117),H117*$BI117),0)</f>
        <v>0</v>
      </c>
      <c r="BL117" s="5">
        <f>IF($BI117&lt;&gt;"",IF('Capacity summary'!$C$14="Yes",IF(COUNTBLANK('Capacity summary'!$H29:$BG29)&lt;52,IF('Capacity summary'!I29&lt;&gt;"",$BI117*I117,0),I117*$BI117),I117*$BI117),0)</f>
        <v>0</v>
      </c>
      <c r="BM117" s="5">
        <f>IF($BI117&lt;&gt;"",IF('Capacity summary'!$C$14="Yes",IF(COUNTBLANK('Capacity summary'!$H29:$BG29)&lt;52,IF('Capacity summary'!J29&lt;&gt;"",$BI117*J117,0),J117*$BI117),J117*$BI117),0)</f>
        <v>0</v>
      </c>
      <c r="BN117" s="5">
        <f>IF($BI117&lt;&gt;"",IF('Capacity summary'!$C$14="Yes",IF(COUNTBLANK('Capacity summary'!$H29:$BG29)&lt;52,IF('Capacity summary'!K29&lt;&gt;"",$BI117*K117,0),K117*$BI117),K117*$BI117),0)</f>
        <v>0</v>
      </c>
      <c r="BO117" s="5">
        <f>IF($BI117&lt;&gt;"",IF('Capacity summary'!$C$14="Yes",IF(COUNTBLANK('Capacity summary'!$H29:$BG29)&lt;52,IF('Capacity summary'!L29&lt;&gt;"",$BI117*L117,0),L117*$BI117),L117*$BI117),0)</f>
        <v>0</v>
      </c>
      <c r="BP117" s="5">
        <f>IF($BI117&lt;&gt;"",IF('Capacity summary'!$C$14="Yes",IF(COUNTBLANK('Capacity summary'!$H29:$BG29)&lt;52,IF('Capacity summary'!M29&lt;&gt;"",$BI117*M117,0),M117*$BI117),M117*$BI117),0)</f>
        <v>0</v>
      </c>
      <c r="BQ117" s="5">
        <f>IF($BI117&lt;&gt;"",IF('Capacity summary'!$C$14="Yes",IF(COUNTBLANK('Capacity summary'!$H29:$BG29)&lt;52,IF('Capacity summary'!N29&lt;&gt;"",$BI117*N117,0),N117*$BI117),N117*$BI117),0)</f>
        <v>0</v>
      </c>
      <c r="BR117" s="5">
        <f>IF($BI117&lt;&gt;"",IF('Capacity summary'!$C$14="Yes",IF(COUNTBLANK('Capacity summary'!$H29:$BG29)&lt;52,IF('Capacity summary'!O29&lt;&gt;"",$BI117*O117,0),O117*$BI117),O117*$BI117),0)</f>
        <v>0</v>
      </c>
      <c r="BS117" s="5">
        <f>IF($BI117&lt;&gt;"",IF('Capacity summary'!$C$14="Yes",IF(COUNTBLANK('Capacity summary'!$H29:$BG29)&lt;52,IF('Capacity summary'!P29&lt;&gt;"",$BI117*P117,0),P117*$BI117),P117*$BI117),0)</f>
        <v>0</v>
      </c>
      <c r="BT117" s="5">
        <f>IF($BI117&lt;&gt;"",IF('Capacity summary'!$C$14="Yes",IF(COUNTBLANK('Capacity summary'!$H29:$BG29)&lt;52,IF('Capacity summary'!Q29&lt;&gt;"",$BI117*Q117,0),Q117*$BI117),Q117*$BI117),0)</f>
        <v>0</v>
      </c>
      <c r="BU117" s="5">
        <f>IF($BI117&lt;&gt;"",IF('Capacity summary'!$C$14="Yes",IF(COUNTBLANK('Capacity summary'!$H29:$BG29)&lt;52,IF('Capacity summary'!R29&lt;&gt;"",$BI117*R117,0),R117*$BI117),R117*$BI117),0)</f>
        <v>0</v>
      </c>
      <c r="BV117" s="5">
        <f>IF($BI117&lt;&gt;"",IF('Capacity summary'!$C$14="Yes",IF(COUNTBLANK('Capacity summary'!$H29:$BG29)&lt;52,IF('Capacity summary'!S29&lt;&gt;"",$BI117*S117,0),S117*$BI117),S117*$BI117),0)</f>
        <v>0</v>
      </c>
      <c r="BW117" s="5">
        <f>IF($BI117&lt;&gt;"",IF('Capacity summary'!$C$14="Yes",IF(COUNTBLANK('Capacity summary'!$H29:$BG29)&lt;52,IF('Capacity summary'!T29&lt;&gt;"",$BI117*T117,0),T117*$BI117),T117*$BI117),0)</f>
        <v>0</v>
      </c>
      <c r="BX117" s="5">
        <f>IF($BI117&lt;&gt;"",IF('Capacity summary'!$C$14="Yes",IF(COUNTBLANK('Capacity summary'!$H29:$BG29)&lt;52,IF('Capacity summary'!U29&lt;&gt;"",$BI117*U117,0),U117*$BI117),U117*$BI117),0)</f>
        <v>0</v>
      </c>
      <c r="BY117" s="5">
        <f>IF($BI117&lt;&gt;"",IF('Capacity summary'!$C$14="Yes",IF(COUNTBLANK('Capacity summary'!$H29:$BG29)&lt;52,IF('Capacity summary'!V29&lt;&gt;"",$BI117*V117,0),V117*$BI117),V117*$BI117),0)</f>
        <v>0</v>
      </c>
      <c r="BZ117" s="5">
        <f>IF($BI117&lt;&gt;"",IF('Capacity summary'!$C$14="Yes",IF(COUNTBLANK('Capacity summary'!$H29:$BG29)&lt;52,IF('Capacity summary'!W29&lt;&gt;"",$BI117*W117,0),W117*$BI117),W117*$BI117),0)</f>
        <v>0</v>
      </c>
      <c r="CA117" s="5">
        <f>IF($BI117&lt;&gt;"",IF('Capacity summary'!$C$14="Yes",IF(COUNTBLANK('Capacity summary'!$H29:$BG29)&lt;52,IF('Capacity summary'!X29&lt;&gt;"",$BI117*X117,0),X117*$BI117),X117*$BI117),0)</f>
        <v>0</v>
      </c>
      <c r="CB117" s="5">
        <f>IF($BI117&lt;&gt;"",IF('Capacity summary'!$C$14="Yes",IF(COUNTBLANK('Capacity summary'!$H29:$BG29)&lt;52,IF('Capacity summary'!Y29&lt;&gt;"",$BI117*Y117,0),Y117*$BI117),Y117*$BI117),0)</f>
        <v>0</v>
      </c>
      <c r="CC117" s="5">
        <f>IF($BI117&lt;&gt;"",IF('Capacity summary'!$C$14="Yes",IF(COUNTBLANK('Capacity summary'!$H29:$BG29)&lt;52,IF('Capacity summary'!Z29&lt;&gt;"",$BI117*Z117,0),Z117*$BI117),Z117*$BI117),0)</f>
        <v>0</v>
      </c>
      <c r="CD117" s="5">
        <f>IF($BI117&lt;&gt;"",IF('Capacity summary'!$C$14="Yes",IF(COUNTBLANK('Capacity summary'!$H29:$BG29)&lt;52,IF('Capacity summary'!AA29&lt;&gt;"",$BI117*AA117,0),AA117*$BI117),AA117*$BI117),0)</f>
        <v>0</v>
      </c>
      <c r="CE117" s="5">
        <f>IF($BI117&lt;&gt;"",IF('Capacity summary'!$C$14="Yes",IF(COUNTBLANK('Capacity summary'!$H29:$BG29)&lt;52,IF('Capacity summary'!AB29&lt;&gt;"",$BI117*AB117,0),AB117*$BI117),AB117*$BI117),0)</f>
        <v>0</v>
      </c>
      <c r="CF117" s="5">
        <f>IF($BI117&lt;&gt;"",IF('Capacity summary'!$C$14="Yes",IF(COUNTBLANK('Capacity summary'!$H29:$BG29)&lt;52,IF('Capacity summary'!AC29&lt;&gt;"",$BI117*AC117,0),AC117*$BI117),AC117*$BI117),0)</f>
        <v>0</v>
      </c>
      <c r="CG117" s="5">
        <f>IF($BI117&lt;&gt;"",IF('Capacity summary'!$C$14="Yes",IF(COUNTBLANK('Capacity summary'!$H29:$BG29)&lt;52,IF('Capacity summary'!AD29&lt;&gt;"",$BI117*AD117,0),AD117*$BI117),AD117*$BI117),0)</f>
        <v>0</v>
      </c>
      <c r="CH117" s="5">
        <f>IF($BI117&lt;&gt;"",IF('Capacity summary'!$C$14="Yes",IF(COUNTBLANK('Capacity summary'!$H29:$BG29)&lt;52,IF('Capacity summary'!AE29&lt;&gt;"",$BI117*AE117,0),AE117*$BI117),AE117*$BI117),0)</f>
        <v>0</v>
      </c>
      <c r="CI117" s="5">
        <f>IF($BI117&lt;&gt;"",IF('Capacity summary'!$C$14="Yes",IF(COUNTBLANK('Capacity summary'!$H29:$BG29)&lt;52,IF('Capacity summary'!AF29&lt;&gt;"",$BI117*AF117,0),AF117*$BI117),AF117*$BI117),0)</f>
        <v>0</v>
      </c>
      <c r="CJ117" s="5">
        <f>IF($BI117&lt;&gt;"",IF('Capacity summary'!$C$14="Yes",IF(COUNTBLANK('Capacity summary'!$H29:$BG29)&lt;52,IF('Capacity summary'!AG29&lt;&gt;"",$BI117*AG117,0),AG117*$BI117),AG117*$BI117),0)</f>
        <v>0</v>
      </c>
      <c r="CK117" s="5">
        <f>IF($BI117&lt;&gt;"",IF('Capacity summary'!$C$14="Yes",IF(COUNTBLANK('Capacity summary'!$H29:$BG29)&lt;52,IF('Capacity summary'!AH29&lt;&gt;"",$BI117*AH117,0),AH117*$BI117),AH117*$BI117),0)</f>
        <v>0</v>
      </c>
      <c r="CL117" s="5">
        <f>IF($BI117&lt;&gt;"",IF('Capacity summary'!$C$14="Yes",IF(COUNTBLANK('Capacity summary'!$H29:$BG29)&lt;52,IF('Capacity summary'!AI29&lt;&gt;"",$BI117*AI117,0),AI117*$BI117),AI117*$BI117),0)</f>
        <v>0</v>
      </c>
      <c r="CM117" s="5">
        <f>IF($BI117&lt;&gt;"",IF('Capacity summary'!$C$14="Yes",IF(COUNTBLANK('Capacity summary'!$H29:$BG29)&lt;52,IF('Capacity summary'!AJ29&lt;&gt;"",$BI117*AJ117,0),AJ117*$BI117),AJ117*$BI117),0)</f>
        <v>0</v>
      </c>
      <c r="CN117" s="5">
        <f>IF($BI117&lt;&gt;"",IF('Capacity summary'!$C$14="Yes",IF(COUNTBLANK('Capacity summary'!$H29:$BG29)&lt;52,IF('Capacity summary'!AK29&lt;&gt;"",$BI117*AK117,0),AK117*$BI117),AK117*$BI117),0)</f>
        <v>0</v>
      </c>
      <c r="CO117" s="5">
        <f>IF($BI117&lt;&gt;"",IF('Capacity summary'!$C$14="Yes",IF(COUNTBLANK('Capacity summary'!$H29:$BG29)&lt;52,IF('Capacity summary'!AL29&lt;&gt;"",$BI117*AL117,0),AL117*$BI117),AL117*$BI117),0)</f>
        <v>0</v>
      </c>
      <c r="CP117" s="5">
        <f>IF($BI117&lt;&gt;"",IF('Capacity summary'!$C$14="Yes",IF(COUNTBLANK('Capacity summary'!$H29:$BG29)&lt;52,IF('Capacity summary'!AM29&lt;&gt;"",$BI117*AM117,0),AM117*$BI117),AM117*$BI117),0)</f>
        <v>0</v>
      </c>
      <c r="CQ117" s="5">
        <f>IF($BI117&lt;&gt;"",IF('Capacity summary'!$C$14="Yes",IF(COUNTBLANK('Capacity summary'!$H29:$BG29)&lt;52,IF('Capacity summary'!AN29&lt;&gt;"",$BI117*AN117,0),AN117*$BI117),AN117*$BI117),0)</f>
        <v>0</v>
      </c>
      <c r="CR117" s="5">
        <f>IF($BI117&lt;&gt;"",IF('Capacity summary'!$C$14="Yes",IF(COUNTBLANK('Capacity summary'!$H29:$BG29)&lt;52,IF('Capacity summary'!AO29&lt;&gt;"",$BI117*AO117,0),AO117*$BI117),AO117*$BI117),0)</f>
        <v>0</v>
      </c>
      <c r="CS117" s="5">
        <f>IF($BI117&lt;&gt;"",IF('Capacity summary'!$C$14="Yes",IF(COUNTBLANK('Capacity summary'!$H29:$BG29)&lt;52,IF('Capacity summary'!AP29&lt;&gt;"",$BI117*AP117,0),AP117*$BI117),AP117*$BI117),0)</f>
        <v>0</v>
      </c>
      <c r="CT117" s="5">
        <f>IF($BI117&lt;&gt;"",IF('Capacity summary'!$C$14="Yes",IF(COUNTBLANK('Capacity summary'!$H29:$BG29)&lt;52,IF('Capacity summary'!AQ29&lt;&gt;"",$BI117*AQ117,0),AQ117*$BI117),AQ117*$BI117),0)</f>
        <v>0</v>
      </c>
      <c r="CU117" s="5">
        <f>IF($BI117&lt;&gt;"",IF('Capacity summary'!$C$14="Yes",IF(COUNTBLANK('Capacity summary'!$H29:$BG29)&lt;52,IF('Capacity summary'!AR29&lt;&gt;"",$BI117*AR117,0),AR117*$BI117),AR117*$BI117),0)</f>
        <v>0</v>
      </c>
      <c r="CV117" s="5">
        <f>IF($BI117&lt;&gt;"",IF('Capacity summary'!$C$14="Yes",IF(COUNTBLANK('Capacity summary'!$H29:$BG29)&lt;52,IF('Capacity summary'!AS29&lt;&gt;"",$BI117*AS117,0),AS117*$BI117),AS117*$BI117),0)</f>
        <v>0</v>
      </c>
      <c r="CW117" s="5">
        <f>IF($BI117&lt;&gt;"",IF('Capacity summary'!$C$14="Yes",IF(COUNTBLANK('Capacity summary'!$H29:$BG29)&lt;52,IF('Capacity summary'!AT29&lt;&gt;"",$BI117*AT117,0),AT117*$BI117),AT117*$BI117),0)</f>
        <v>0</v>
      </c>
      <c r="CX117" s="5">
        <f>IF($BI117&lt;&gt;"",IF('Capacity summary'!$C$14="Yes",IF(COUNTBLANK('Capacity summary'!$H29:$BG29)&lt;52,IF('Capacity summary'!AU29&lt;&gt;"",$BI117*AU117,0),AU117*$BI117),AU117*$BI117),0)</f>
        <v>0</v>
      </c>
      <c r="CY117" s="5">
        <f>IF($BI117&lt;&gt;"",IF('Capacity summary'!$C$14="Yes",IF(COUNTBLANK('Capacity summary'!$H29:$BG29)&lt;52,IF('Capacity summary'!AV29&lt;&gt;"",$BI117*AV117,0),AV117*$BI117),AV117*$BI117),0)</f>
        <v>0</v>
      </c>
      <c r="CZ117" s="5">
        <f>IF($BI117&lt;&gt;"",IF('Capacity summary'!$C$14="Yes",IF(COUNTBLANK('Capacity summary'!$H29:$BG29)&lt;52,IF('Capacity summary'!AW29&lt;&gt;"",$BI117*AW117,0),AW117*$BI117),AW117*$BI117),0)</f>
        <v>0</v>
      </c>
      <c r="DA117" s="5">
        <f>IF($BI117&lt;&gt;"",IF('Capacity summary'!$C$14="Yes",IF(COUNTBLANK('Capacity summary'!$H29:$BG29)&lt;52,IF('Capacity summary'!AX29&lt;&gt;"",$BI117*AX117,0),AX117*$BI117),AX117*$BI117),0)</f>
        <v>0</v>
      </c>
      <c r="DB117" s="5">
        <f>IF($BI117&lt;&gt;"",IF('Capacity summary'!$C$14="Yes",IF(COUNTBLANK('Capacity summary'!$H29:$BG29)&lt;52,IF('Capacity summary'!AY29&lt;&gt;"",$BI117*AY117,0),AY117*$BI117),AY117*$BI117),0)</f>
        <v>0</v>
      </c>
      <c r="DC117" s="5">
        <f>IF($BI117&lt;&gt;"",IF('Capacity summary'!$C$14="Yes",IF(COUNTBLANK('Capacity summary'!$H29:$BG29)&lt;52,IF('Capacity summary'!AZ29&lt;&gt;"",$BI117*AZ117,0),AZ117*$BI117),AZ117*$BI117),0)</f>
        <v>0</v>
      </c>
      <c r="DD117" s="5">
        <f>IF($BI117&lt;&gt;"",IF('Capacity summary'!$C$14="Yes",IF(COUNTBLANK('Capacity summary'!$H29:$BG29)&lt;52,IF('Capacity summary'!BA29&lt;&gt;"",$BI117*BA117,0),BA117*$BI117),BA117*$BI117),0)</f>
        <v>0</v>
      </c>
      <c r="DE117" s="5">
        <f>IF($BI117&lt;&gt;"",IF('Capacity summary'!$C$14="Yes",IF(COUNTBLANK('Capacity summary'!$H29:$BG29)&lt;52,IF('Capacity summary'!BB29&lt;&gt;"",$BI117*BB117,0),BB117*$BI117),BB117*$BI117),0)</f>
        <v>0</v>
      </c>
      <c r="DF117" s="5">
        <f>IF($BI117&lt;&gt;"",IF('Capacity summary'!$C$14="Yes",IF(COUNTBLANK('Capacity summary'!$H29:$BG29)&lt;52,IF('Capacity summary'!BC29&lt;&gt;"",$BI117*BC117,0),BC117*$BI117),BC117*$BI117),0)</f>
        <v>0</v>
      </c>
      <c r="DG117" s="5">
        <f>IF($BI117&lt;&gt;"",IF('Capacity summary'!$C$14="Yes",IF(COUNTBLANK('Capacity summary'!$H29:$BG29)&lt;52,IF('Capacity summary'!BD29&lt;&gt;"",$BI117*BD117,0),BD117*$BI117),BD117*$BI117),0)</f>
        <v>0</v>
      </c>
      <c r="DH117" s="5">
        <f>IF($BI117&lt;&gt;"",IF('Capacity summary'!$C$14="Yes",IF(COUNTBLANK('Capacity summary'!$H29:$BG29)&lt;52,IF('Capacity summary'!BE29&lt;&gt;"",$BI117*BE117,0),BE117*$BI117),BE117*$BI117),0)</f>
        <v>0</v>
      </c>
      <c r="DI117" s="5">
        <f>IF($BI117&lt;&gt;"",IF('Capacity summary'!$C$14="Yes",IF(COUNTBLANK('Capacity summary'!$H29:$BG29)&lt;52,IF('Capacity summary'!BF29&lt;&gt;"",$BI117*BF117,0),BF117*$BI117),BF117*$BI117),0)</f>
        <v>0</v>
      </c>
      <c r="DJ117" s="5">
        <f>IF($BI117&lt;&gt;"",IF('Capacity summary'!$C$14="Yes",IF(COUNTBLANK('Capacity summary'!$H29:$BG29)&lt;52,IF('Capacity summary'!BG29&lt;&gt;"",$BI117*BG117,0),BG117*$BI117),BG117*$BI117),0)</f>
        <v>0</v>
      </c>
      <c r="DK117" s="138">
        <f t="shared" si="6"/>
        <v>0</v>
      </c>
    </row>
    <row r="118" spans="3:115" x14ac:dyDescent="0.2">
      <c r="C118" s="68" t="str">
        <f>ROW(A7)&amp;". "&amp;Capacity!N23</f>
        <v xml:space="preserve">7. </v>
      </c>
      <c r="D118" s="68">
        <f>'Capacity setup'!C124</f>
        <v>0</v>
      </c>
      <c r="E118" s="68">
        <f>'Capacity setup'!D124</f>
        <v>0</v>
      </c>
      <c r="F118" s="68">
        <f>'Capacity setup'!E124</f>
        <v>0</v>
      </c>
      <c r="H118" s="68">
        <f ca="1">IF(AND(SUMIF(Capacity_Resource,$D118,'Critical resources (hide)'!U$6:U$105)+SUMIF(Capacity_Resource,$E118,'Critical resources (hide)'!U$6:U$105)+SUMIF(Capacity_Resource,$F118,'Critical resources (hide)'!U$6:U$105)&gt;0,$E$1=2),0,1)</f>
        <v>1</v>
      </c>
      <c r="I118" s="68">
        <f ca="1">IF(AND(SUMIF(Capacity_Resource,$D118,'Critical resources (hide)'!V$6:V$105)+SUMIF(Capacity_Resource,$E118,'Critical resources (hide)'!V$6:V$105)+SUMIF(Capacity_Resource,$F118,'Critical resources (hide)'!V$6:V$105)&gt;0,$E$1=2),0,1)</f>
        <v>1</v>
      </c>
      <c r="J118" s="68">
        <f ca="1">IF(AND(SUMIF(Capacity_Resource,$D118,'Critical resources (hide)'!W$6:W$105)+SUMIF(Capacity_Resource,$E118,'Critical resources (hide)'!W$6:W$105)+SUMIF(Capacity_Resource,$F118,'Critical resources (hide)'!W$6:W$105)&gt;0,$E$1=2),0,1)</f>
        <v>1</v>
      </c>
      <c r="K118" s="68">
        <f ca="1">IF(AND(SUMIF(Capacity_Resource,$D118,'Critical resources (hide)'!X$6:X$105)+SUMIF(Capacity_Resource,$E118,'Critical resources (hide)'!X$6:X$105)+SUMIF(Capacity_Resource,$F118,'Critical resources (hide)'!X$6:X$105)&gt;0,$E$1=2),0,1)</f>
        <v>1</v>
      </c>
      <c r="L118" s="68">
        <f ca="1">IF(AND(SUMIF(Capacity_Resource,$D118,'Critical resources (hide)'!Y$6:Y$105)+SUMIF(Capacity_Resource,$E118,'Critical resources (hide)'!Y$6:Y$105)+SUMIF(Capacity_Resource,$F118,'Critical resources (hide)'!Y$6:Y$105)&gt;0,$E$1=2),0,1)</f>
        <v>1</v>
      </c>
      <c r="M118" s="68">
        <f ca="1">IF(AND(SUMIF(Capacity_Resource,$D118,'Critical resources (hide)'!Z$6:Z$105)+SUMIF(Capacity_Resource,$E118,'Critical resources (hide)'!Z$6:Z$105)+SUMIF(Capacity_Resource,$F118,'Critical resources (hide)'!Z$6:Z$105)&gt;0,$E$1=2),0,1)</f>
        <v>1</v>
      </c>
      <c r="N118" s="68">
        <f ca="1">IF(AND(SUMIF(Capacity_Resource,$D118,'Critical resources (hide)'!AA$6:AA$105)+SUMIF(Capacity_Resource,$E118,'Critical resources (hide)'!AA$6:AA$105)+SUMIF(Capacity_Resource,$F118,'Critical resources (hide)'!AA$6:AA$105)&gt;0,$E$1=2),0,1)</f>
        <v>1</v>
      </c>
      <c r="O118" s="68">
        <f ca="1">IF(AND(SUMIF(Capacity_Resource,$D118,'Critical resources (hide)'!AB$6:AB$105)+SUMIF(Capacity_Resource,$E118,'Critical resources (hide)'!AB$6:AB$105)+SUMIF(Capacity_Resource,$F118,'Critical resources (hide)'!AB$6:AB$105)&gt;0,$E$1=2),0,1)</f>
        <v>1</v>
      </c>
      <c r="P118" s="68">
        <f ca="1">IF(AND(SUMIF(Capacity_Resource,$D118,'Critical resources (hide)'!AC$6:AC$105)+SUMIF(Capacity_Resource,$E118,'Critical resources (hide)'!AC$6:AC$105)+SUMIF(Capacity_Resource,$F118,'Critical resources (hide)'!AC$6:AC$105)&gt;0,$E$1=2),0,1)</f>
        <v>1</v>
      </c>
      <c r="Q118" s="68">
        <f ca="1">IF(AND(SUMIF(Capacity_Resource,$D118,'Critical resources (hide)'!AD$6:AD$105)+SUMIF(Capacity_Resource,$E118,'Critical resources (hide)'!AD$6:AD$105)+SUMIF(Capacity_Resource,$F118,'Critical resources (hide)'!AD$6:AD$105)&gt;0,$E$1=2),0,1)</f>
        <v>1</v>
      </c>
      <c r="R118" s="68">
        <f ca="1">IF(AND(SUMIF(Capacity_Resource,$D118,'Critical resources (hide)'!AE$6:AE$105)+SUMIF(Capacity_Resource,$E118,'Critical resources (hide)'!AE$6:AE$105)+SUMIF(Capacity_Resource,$F118,'Critical resources (hide)'!AE$6:AE$105)&gt;0,$E$1=2),0,1)</f>
        <v>1</v>
      </c>
      <c r="S118" s="68">
        <f ca="1">IF(AND(SUMIF(Capacity_Resource,$D118,'Critical resources (hide)'!AF$6:AF$105)+SUMIF(Capacity_Resource,$E118,'Critical resources (hide)'!AF$6:AF$105)+SUMIF(Capacity_Resource,$F118,'Critical resources (hide)'!AF$6:AF$105)&gt;0,$E$1=2),0,1)</f>
        <v>1</v>
      </c>
      <c r="T118" s="68">
        <f ca="1">IF(AND(SUMIF(Capacity_Resource,$D118,'Critical resources (hide)'!AG$6:AG$105)+SUMIF(Capacity_Resource,$E118,'Critical resources (hide)'!AG$6:AG$105)+SUMIF(Capacity_Resource,$F118,'Critical resources (hide)'!AG$6:AG$105)&gt;0,$E$1=2),0,1)</f>
        <v>1</v>
      </c>
      <c r="U118" s="68">
        <f ca="1">IF(AND(SUMIF(Capacity_Resource,$D118,'Critical resources (hide)'!AH$6:AH$105)+SUMIF(Capacity_Resource,$E118,'Critical resources (hide)'!AH$6:AH$105)+SUMIF(Capacity_Resource,$F118,'Critical resources (hide)'!AH$6:AH$105)&gt;0,$E$1=2),0,1)</f>
        <v>1</v>
      </c>
      <c r="V118" s="68">
        <f ca="1">IF(AND(SUMIF(Capacity_Resource,$D118,'Critical resources (hide)'!AI$6:AI$105)+SUMIF(Capacity_Resource,$E118,'Critical resources (hide)'!AI$6:AI$105)+SUMIF(Capacity_Resource,$F118,'Critical resources (hide)'!AI$6:AI$105)&gt;0,$E$1=2),0,1)</f>
        <v>1</v>
      </c>
      <c r="W118" s="68">
        <f ca="1">IF(AND(SUMIF(Capacity_Resource,$D118,'Critical resources (hide)'!AJ$6:AJ$105)+SUMIF(Capacity_Resource,$E118,'Critical resources (hide)'!AJ$6:AJ$105)+SUMIF(Capacity_Resource,$F118,'Critical resources (hide)'!AJ$6:AJ$105)&gt;0,$E$1=2),0,1)</f>
        <v>1</v>
      </c>
      <c r="X118" s="68">
        <f ca="1">IF(AND(SUMIF(Capacity_Resource,$D118,'Critical resources (hide)'!AK$6:AK$105)+SUMIF(Capacity_Resource,$E118,'Critical resources (hide)'!AK$6:AK$105)+SUMIF(Capacity_Resource,$F118,'Critical resources (hide)'!AK$6:AK$105)&gt;0,$E$1=2),0,1)</f>
        <v>1</v>
      </c>
      <c r="Y118" s="68">
        <f ca="1">IF(AND(SUMIF(Capacity_Resource,$D118,'Critical resources (hide)'!AL$6:AL$105)+SUMIF(Capacity_Resource,$E118,'Critical resources (hide)'!AL$6:AL$105)+SUMIF(Capacity_Resource,$F118,'Critical resources (hide)'!AL$6:AL$105)&gt;0,$E$1=2),0,1)</f>
        <v>1</v>
      </c>
      <c r="Z118" s="68">
        <f ca="1">IF(AND(SUMIF(Capacity_Resource,$D118,'Critical resources (hide)'!AM$6:AM$105)+SUMIF(Capacity_Resource,$E118,'Critical resources (hide)'!AM$6:AM$105)+SUMIF(Capacity_Resource,$F118,'Critical resources (hide)'!AM$6:AM$105)&gt;0,$E$1=2),0,1)</f>
        <v>1</v>
      </c>
      <c r="AA118" s="68">
        <f ca="1">IF(AND(SUMIF(Capacity_Resource,$D118,'Critical resources (hide)'!AN$6:AN$105)+SUMIF(Capacity_Resource,$E118,'Critical resources (hide)'!AN$6:AN$105)+SUMIF(Capacity_Resource,$F118,'Critical resources (hide)'!AN$6:AN$105)&gt;0,$E$1=2),0,1)</f>
        <v>1</v>
      </c>
      <c r="AB118" s="68">
        <f ca="1">IF(AND(SUMIF(Capacity_Resource,$D118,'Critical resources (hide)'!AO$6:AO$105)+SUMIF(Capacity_Resource,$E118,'Critical resources (hide)'!AO$6:AO$105)+SUMIF(Capacity_Resource,$F118,'Critical resources (hide)'!AO$6:AO$105)&gt;0,$E$1=2),0,1)</f>
        <v>1</v>
      </c>
      <c r="AC118" s="68">
        <f ca="1">IF(AND(SUMIF(Capacity_Resource,$D118,'Critical resources (hide)'!AP$6:AP$105)+SUMIF(Capacity_Resource,$E118,'Critical resources (hide)'!AP$6:AP$105)+SUMIF(Capacity_Resource,$F118,'Critical resources (hide)'!AP$6:AP$105)&gt;0,$E$1=2),0,1)</f>
        <v>1</v>
      </c>
      <c r="AD118" s="68">
        <f ca="1">IF(AND(SUMIF(Capacity_Resource,$D118,'Critical resources (hide)'!AQ$6:AQ$105)+SUMIF(Capacity_Resource,$E118,'Critical resources (hide)'!AQ$6:AQ$105)+SUMIF(Capacity_Resource,$F118,'Critical resources (hide)'!AQ$6:AQ$105)&gt;0,$E$1=2),0,1)</f>
        <v>1</v>
      </c>
      <c r="AE118" s="68">
        <f ca="1">IF(AND(SUMIF(Capacity_Resource,$D118,'Critical resources (hide)'!AR$6:AR$105)+SUMIF(Capacity_Resource,$E118,'Critical resources (hide)'!AR$6:AR$105)+SUMIF(Capacity_Resource,$F118,'Critical resources (hide)'!AR$6:AR$105)&gt;0,$E$1=2),0,1)</f>
        <v>1</v>
      </c>
      <c r="AF118" s="68">
        <f ca="1">IF(AND(SUMIF(Capacity_Resource,$D118,'Critical resources (hide)'!AS$6:AS$105)+SUMIF(Capacity_Resource,$E118,'Critical resources (hide)'!AS$6:AS$105)+SUMIF(Capacity_Resource,$F118,'Critical resources (hide)'!AS$6:AS$105)&gt;0,$E$1=2),0,1)</f>
        <v>1</v>
      </c>
      <c r="AG118" s="68">
        <f ca="1">IF(AND(SUMIF(Capacity_Resource,$D118,'Critical resources (hide)'!AT$6:AT$105)+SUMIF(Capacity_Resource,$E118,'Critical resources (hide)'!AT$6:AT$105)+SUMIF(Capacity_Resource,$F118,'Critical resources (hide)'!AT$6:AT$105)&gt;0,$E$1=2),0,1)</f>
        <v>1</v>
      </c>
      <c r="AH118" s="68">
        <f ca="1">IF(AND(SUMIF(Capacity_Resource,$D118,'Critical resources (hide)'!AU$6:AU$105)+SUMIF(Capacity_Resource,$E118,'Critical resources (hide)'!AU$6:AU$105)+SUMIF(Capacity_Resource,$F118,'Critical resources (hide)'!AU$6:AU$105)&gt;0,$E$1=2),0,1)</f>
        <v>1</v>
      </c>
      <c r="AI118" s="68">
        <f ca="1">IF(AND(SUMIF(Capacity_Resource,$D118,'Critical resources (hide)'!AV$6:AV$105)+SUMIF(Capacity_Resource,$E118,'Critical resources (hide)'!AV$6:AV$105)+SUMIF(Capacity_Resource,$F118,'Critical resources (hide)'!AV$6:AV$105)&gt;0,$E$1=2),0,1)</f>
        <v>1</v>
      </c>
      <c r="AJ118" s="68">
        <f ca="1">IF(AND(SUMIF(Capacity_Resource,$D118,'Critical resources (hide)'!AW$6:AW$105)+SUMIF(Capacity_Resource,$E118,'Critical resources (hide)'!AW$6:AW$105)+SUMIF(Capacity_Resource,$F118,'Critical resources (hide)'!AW$6:AW$105)&gt;0,$E$1=2),0,1)</f>
        <v>1</v>
      </c>
      <c r="AK118" s="68">
        <f ca="1">IF(AND(SUMIF(Capacity_Resource,$D118,'Critical resources (hide)'!AX$6:AX$105)+SUMIF(Capacity_Resource,$E118,'Critical resources (hide)'!AX$6:AX$105)+SUMIF(Capacity_Resource,$F118,'Critical resources (hide)'!AX$6:AX$105)&gt;0,$E$1=2),0,1)</f>
        <v>1</v>
      </c>
      <c r="AL118" s="68">
        <f ca="1">IF(AND(SUMIF(Capacity_Resource,$D118,'Critical resources (hide)'!AY$6:AY$105)+SUMIF(Capacity_Resource,$E118,'Critical resources (hide)'!AY$6:AY$105)+SUMIF(Capacity_Resource,$F118,'Critical resources (hide)'!AY$6:AY$105)&gt;0,$E$1=2),0,1)</f>
        <v>1</v>
      </c>
      <c r="AM118" s="68">
        <f ca="1">IF(AND(SUMIF(Capacity_Resource,$D118,'Critical resources (hide)'!AZ$6:AZ$105)+SUMIF(Capacity_Resource,$E118,'Critical resources (hide)'!AZ$6:AZ$105)+SUMIF(Capacity_Resource,$F118,'Critical resources (hide)'!AZ$6:AZ$105)&gt;0,$E$1=2),0,1)</f>
        <v>1</v>
      </c>
      <c r="AN118" s="68">
        <f ca="1">IF(AND(SUMIF(Capacity_Resource,$D118,'Critical resources (hide)'!BA$6:BA$105)+SUMIF(Capacity_Resource,$E118,'Critical resources (hide)'!BA$6:BA$105)+SUMIF(Capacity_Resource,$F118,'Critical resources (hide)'!BA$6:BA$105)&gt;0,$E$1=2),0,1)</f>
        <v>1</v>
      </c>
      <c r="AO118" s="68">
        <f ca="1">IF(AND(SUMIF(Capacity_Resource,$D118,'Critical resources (hide)'!BB$6:BB$105)+SUMIF(Capacity_Resource,$E118,'Critical resources (hide)'!BB$6:BB$105)+SUMIF(Capacity_Resource,$F118,'Critical resources (hide)'!BB$6:BB$105)&gt;0,$E$1=2),0,1)</f>
        <v>1</v>
      </c>
      <c r="AP118" s="68">
        <f ca="1">IF(AND(SUMIF(Capacity_Resource,$D118,'Critical resources (hide)'!BC$6:BC$105)+SUMIF(Capacity_Resource,$E118,'Critical resources (hide)'!BC$6:BC$105)+SUMIF(Capacity_Resource,$F118,'Critical resources (hide)'!BC$6:BC$105)&gt;0,$E$1=2),0,1)</f>
        <v>1</v>
      </c>
      <c r="AQ118" s="68">
        <f ca="1">IF(AND(SUMIF(Capacity_Resource,$D118,'Critical resources (hide)'!BD$6:BD$105)+SUMIF(Capacity_Resource,$E118,'Critical resources (hide)'!BD$6:BD$105)+SUMIF(Capacity_Resource,$F118,'Critical resources (hide)'!BD$6:BD$105)&gt;0,$E$1=2),0,1)</f>
        <v>1</v>
      </c>
      <c r="AR118" s="68">
        <f ca="1">IF(AND(SUMIF(Capacity_Resource,$D118,'Critical resources (hide)'!BE$6:BE$105)+SUMIF(Capacity_Resource,$E118,'Critical resources (hide)'!BE$6:BE$105)+SUMIF(Capacity_Resource,$F118,'Critical resources (hide)'!BE$6:BE$105)&gt;0,$E$1=2),0,1)</f>
        <v>1</v>
      </c>
      <c r="AS118" s="68">
        <f ca="1">IF(AND(SUMIF(Capacity_Resource,$D118,'Critical resources (hide)'!BF$6:BF$105)+SUMIF(Capacity_Resource,$E118,'Critical resources (hide)'!BF$6:BF$105)+SUMIF(Capacity_Resource,$F118,'Critical resources (hide)'!BF$6:BF$105)&gt;0,$E$1=2),0,1)</f>
        <v>1</v>
      </c>
      <c r="AT118" s="68">
        <f ca="1">IF(AND(SUMIF(Capacity_Resource,$D118,'Critical resources (hide)'!BG$6:BG$105)+SUMIF(Capacity_Resource,$E118,'Critical resources (hide)'!BG$6:BG$105)+SUMIF(Capacity_Resource,$F118,'Critical resources (hide)'!BG$6:BG$105)&gt;0,$E$1=2),0,1)</f>
        <v>1</v>
      </c>
      <c r="AU118" s="68">
        <f ca="1">IF(AND(SUMIF(Capacity_Resource,$D118,'Critical resources (hide)'!BH$6:BH$105)+SUMIF(Capacity_Resource,$E118,'Critical resources (hide)'!BH$6:BH$105)+SUMIF(Capacity_Resource,$F118,'Critical resources (hide)'!BH$6:BH$105)&gt;0,$E$1=2),0,1)</f>
        <v>1</v>
      </c>
      <c r="AV118" s="68">
        <f ca="1">IF(AND(SUMIF(Capacity_Resource,$D118,'Critical resources (hide)'!BI$6:BI$105)+SUMIF(Capacity_Resource,$E118,'Critical resources (hide)'!BI$6:BI$105)+SUMIF(Capacity_Resource,$F118,'Critical resources (hide)'!BI$6:BI$105)&gt;0,$E$1=2),0,1)</f>
        <v>1</v>
      </c>
      <c r="AW118" s="68">
        <f ca="1">IF(AND(SUMIF(Capacity_Resource,$D118,'Critical resources (hide)'!BJ$6:BJ$105)+SUMIF(Capacity_Resource,$E118,'Critical resources (hide)'!BJ$6:BJ$105)+SUMIF(Capacity_Resource,$F118,'Critical resources (hide)'!BJ$6:BJ$105)&gt;0,$E$1=2),0,1)</f>
        <v>1</v>
      </c>
      <c r="AX118" s="68">
        <f ca="1">IF(AND(SUMIF(Capacity_Resource,$D118,'Critical resources (hide)'!BK$6:BK$105)+SUMIF(Capacity_Resource,$E118,'Critical resources (hide)'!BK$6:BK$105)+SUMIF(Capacity_Resource,$F118,'Critical resources (hide)'!BK$6:BK$105)&gt;0,$E$1=2),0,1)</f>
        <v>1</v>
      </c>
      <c r="AY118" s="68">
        <f ca="1">IF(AND(SUMIF(Capacity_Resource,$D118,'Critical resources (hide)'!BL$6:BL$105)+SUMIF(Capacity_Resource,$E118,'Critical resources (hide)'!BL$6:BL$105)+SUMIF(Capacity_Resource,$F118,'Critical resources (hide)'!BL$6:BL$105)&gt;0,$E$1=2),0,1)</f>
        <v>1</v>
      </c>
      <c r="AZ118" s="68">
        <f ca="1">IF(AND(SUMIF(Capacity_Resource,$D118,'Critical resources (hide)'!BM$6:BM$105)+SUMIF(Capacity_Resource,$E118,'Critical resources (hide)'!BM$6:BM$105)+SUMIF(Capacity_Resource,$F118,'Critical resources (hide)'!BM$6:BM$105)&gt;0,$E$1=2),0,1)</f>
        <v>1</v>
      </c>
      <c r="BA118" s="68">
        <f ca="1">IF(AND(SUMIF(Capacity_Resource,$D118,'Critical resources (hide)'!BN$6:BN$105)+SUMIF(Capacity_Resource,$E118,'Critical resources (hide)'!BN$6:BN$105)+SUMIF(Capacity_Resource,$F118,'Critical resources (hide)'!BN$6:BN$105)&gt;0,$E$1=2),0,1)</f>
        <v>1</v>
      </c>
      <c r="BB118" s="68">
        <f ca="1">IF(AND(SUMIF(Capacity_Resource,$D118,'Critical resources (hide)'!BO$6:BO$105)+SUMIF(Capacity_Resource,$E118,'Critical resources (hide)'!BO$6:BO$105)+SUMIF(Capacity_Resource,$F118,'Critical resources (hide)'!BO$6:BO$105)&gt;0,$E$1=2),0,1)</f>
        <v>1</v>
      </c>
      <c r="BC118" s="68">
        <f ca="1">IF(AND(SUMIF(Capacity_Resource,$D118,'Critical resources (hide)'!BP$6:BP$105)+SUMIF(Capacity_Resource,$E118,'Critical resources (hide)'!BP$6:BP$105)+SUMIF(Capacity_Resource,$F118,'Critical resources (hide)'!BP$6:BP$105)&gt;0,$E$1=2),0,1)</f>
        <v>1</v>
      </c>
      <c r="BD118" s="68">
        <f ca="1">IF(AND(SUMIF(Capacity_Resource,$D118,'Critical resources (hide)'!BQ$6:BQ$105)+SUMIF(Capacity_Resource,$E118,'Critical resources (hide)'!BQ$6:BQ$105)+SUMIF(Capacity_Resource,$F118,'Critical resources (hide)'!BQ$6:BQ$105)&gt;0,$E$1=2),0,1)</f>
        <v>1</v>
      </c>
      <c r="BE118" s="68">
        <f ca="1">IF(AND(SUMIF(Capacity_Resource,$D118,'Critical resources (hide)'!BR$6:BR$105)+SUMIF(Capacity_Resource,$E118,'Critical resources (hide)'!BR$6:BR$105)+SUMIF(Capacity_Resource,$F118,'Critical resources (hide)'!BR$6:BR$105)&gt;0,$E$1=2),0,1)</f>
        <v>1</v>
      </c>
      <c r="BF118" s="68">
        <f ca="1">IF(AND(SUMIF(Capacity_Resource,$D118,'Critical resources (hide)'!BS$6:BS$105)+SUMIF(Capacity_Resource,$E118,'Critical resources (hide)'!BS$6:BS$105)+SUMIF(Capacity_Resource,$F118,'Critical resources (hide)'!BS$6:BS$105)&gt;0,$E$1=2),0,1)</f>
        <v>1</v>
      </c>
      <c r="BG118" s="68">
        <f ca="1">IF(AND(SUMIF(Capacity_Resource,$D118,'Critical resources (hide)'!BT$6:BT$105)+SUMIF(Capacity_Resource,$E118,'Critical resources (hide)'!BT$6:BT$105)+SUMIF(Capacity_Resource,$F118,'Critical resources (hide)'!BT$6:BT$105)&gt;0,$E$1=2),0,1)</f>
        <v>1</v>
      </c>
      <c r="BH118" s="68">
        <f>IF(ROW(A7)&lt;=Capacity!$M$16,IF('Capacity summary'!$C$14="No",SUM(H118:BG118),'Capacity summary'!$E30),0)</f>
        <v>0</v>
      </c>
      <c r="BI118" s="68" t="str">
        <f>IF(BH118&gt;0,IF(BH118&lt;Capacity!Q23,Capacity!R23,Capacity!T23/'Capacity calculation (hide)'!BH118),"")</f>
        <v/>
      </c>
      <c r="BJ118" s="5"/>
      <c r="BK118" s="5">
        <f>IF($BI118&lt;&gt;"",IF('Capacity summary'!$C$14="Yes",IF(COUNTBLANK('Capacity summary'!$H30:$BG30)&lt;52,IF('Capacity summary'!H30&lt;&gt;"",$BI118*H118,0),H118*$BI118),H118*$BI118),0)</f>
        <v>0</v>
      </c>
      <c r="BL118" s="5">
        <f>IF($BI118&lt;&gt;"",IF('Capacity summary'!$C$14="Yes",IF(COUNTBLANK('Capacity summary'!$H30:$BG30)&lt;52,IF('Capacity summary'!I30&lt;&gt;"",$BI118*I118,0),I118*$BI118),I118*$BI118),0)</f>
        <v>0</v>
      </c>
      <c r="BM118" s="5">
        <f>IF($BI118&lt;&gt;"",IF('Capacity summary'!$C$14="Yes",IF(COUNTBLANK('Capacity summary'!$H30:$BG30)&lt;52,IF('Capacity summary'!J30&lt;&gt;"",$BI118*J118,0),J118*$BI118),J118*$BI118),0)</f>
        <v>0</v>
      </c>
      <c r="BN118" s="5">
        <f>IF($BI118&lt;&gt;"",IF('Capacity summary'!$C$14="Yes",IF(COUNTBLANK('Capacity summary'!$H30:$BG30)&lt;52,IF('Capacity summary'!K30&lt;&gt;"",$BI118*K118,0),K118*$BI118),K118*$BI118),0)</f>
        <v>0</v>
      </c>
      <c r="BO118" s="5">
        <f>IF($BI118&lt;&gt;"",IF('Capacity summary'!$C$14="Yes",IF(COUNTBLANK('Capacity summary'!$H30:$BG30)&lt;52,IF('Capacity summary'!L30&lt;&gt;"",$BI118*L118,0),L118*$BI118),L118*$BI118),0)</f>
        <v>0</v>
      </c>
      <c r="BP118" s="5">
        <f>IF($BI118&lt;&gt;"",IF('Capacity summary'!$C$14="Yes",IF(COUNTBLANK('Capacity summary'!$H30:$BG30)&lt;52,IF('Capacity summary'!M30&lt;&gt;"",$BI118*M118,0),M118*$BI118),M118*$BI118),0)</f>
        <v>0</v>
      </c>
      <c r="BQ118" s="5">
        <f>IF($BI118&lt;&gt;"",IF('Capacity summary'!$C$14="Yes",IF(COUNTBLANK('Capacity summary'!$H30:$BG30)&lt;52,IF('Capacity summary'!N30&lt;&gt;"",$BI118*N118,0),N118*$BI118),N118*$BI118),0)</f>
        <v>0</v>
      </c>
      <c r="BR118" s="5">
        <f>IF($BI118&lt;&gt;"",IF('Capacity summary'!$C$14="Yes",IF(COUNTBLANK('Capacity summary'!$H30:$BG30)&lt;52,IF('Capacity summary'!O30&lt;&gt;"",$BI118*O118,0),O118*$BI118),O118*$BI118),0)</f>
        <v>0</v>
      </c>
      <c r="BS118" s="5">
        <f>IF($BI118&lt;&gt;"",IF('Capacity summary'!$C$14="Yes",IF(COUNTBLANK('Capacity summary'!$H30:$BG30)&lt;52,IF('Capacity summary'!P30&lt;&gt;"",$BI118*P118,0),P118*$BI118),P118*$BI118),0)</f>
        <v>0</v>
      </c>
      <c r="BT118" s="5">
        <f>IF($BI118&lt;&gt;"",IF('Capacity summary'!$C$14="Yes",IF(COUNTBLANK('Capacity summary'!$H30:$BG30)&lt;52,IF('Capacity summary'!Q30&lt;&gt;"",$BI118*Q118,0),Q118*$BI118),Q118*$BI118),0)</f>
        <v>0</v>
      </c>
      <c r="BU118" s="5">
        <f>IF($BI118&lt;&gt;"",IF('Capacity summary'!$C$14="Yes",IF(COUNTBLANK('Capacity summary'!$H30:$BG30)&lt;52,IF('Capacity summary'!R30&lt;&gt;"",$BI118*R118,0),R118*$BI118),R118*$BI118),0)</f>
        <v>0</v>
      </c>
      <c r="BV118" s="5">
        <f>IF($BI118&lt;&gt;"",IF('Capacity summary'!$C$14="Yes",IF(COUNTBLANK('Capacity summary'!$H30:$BG30)&lt;52,IF('Capacity summary'!S30&lt;&gt;"",$BI118*S118,0),S118*$BI118),S118*$BI118),0)</f>
        <v>0</v>
      </c>
      <c r="BW118" s="5">
        <f>IF($BI118&lt;&gt;"",IF('Capacity summary'!$C$14="Yes",IF(COUNTBLANK('Capacity summary'!$H30:$BG30)&lt;52,IF('Capacity summary'!T30&lt;&gt;"",$BI118*T118,0),T118*$BI118),T118*$BI118),0)</f>
        <v>0</v>
      </c>
      <c r="BX118" s="5">
        <f>IF($BI118&lt;&gt;"",IF('Capacity summary'!$C$14="Yes",IF(COUNTBLANK('Capacity summary'!$H30:$BG30)&lt;52,IF('Capacity summary'!U30&lt;&gt;"",$BI118*U118,0),U118*$BI118),U118*$BI118),0)</f>
        <v>0</v>
      </c>
      <c r="BY118" s="5">
        <f>IF($BI118&lt;&gt;"",IF('Capacity summary'!$C$14="Yes",IF(COUNTBLANK('Capacity summary'!$H30:$BG30)&lt;52,IF('Capacity summary'!V30&lt;&gt;"",$BI118*V118,0),V118*$BI118),V118*$BI118),0)</f>
        <v>0</v>
      </c>
      <c r="BZ118" s="5">
        <f>IF($BI118&lt;&gt;"",IF('Capacity summary'!$C$14="Yes",IF(COUNTBLANK('Capacity summary'!$H30:$BG30)&lt;52,IF('Capacity summary'!W30&lt;&gt;"",$BI118*W118,0),W118*$BI118),W118*$BI118),0)</f>
        <v>0</v>
      </c>
      <c r="CA118" s="5">
        <f>IF($BI118&lt;&gt;"",IF('Capacity summary'!$C$14="Yes",IF(COUNTBLANK('Capacity summary'!$H30:$BG30)&lt;52,IF('Capacity summary'!X30&lt;&gt;"",$BI118*X118,0),X118*$BI118),X118*$BI118),0)</f>
        <v>0</v>
      </c>
      <c r="CB118" s="5">
        <f>IF($BI118&lt;&gt;"",IF('Capacity summary'!$C$14="Yes",IF(COUNTBLANK('Capacity summary'!$H30:$BG30)&lt;52,IF('Capacity summary'!Y30&lt;&gt;"",$BI118*Y118,0),Y118*$BI118),Y118*$BI118),0)</f>
        <v>0</v>
      </c>
      <c r="CC118" s="5">
        <f>IF($BI118&lt;&gt;"",IF('Capacity summary'!$C$14="Yes",IF(COUNTBLANK('Capacity summary'!$H30:$BG30)&lt;52,IF('Capacity summary'!Z30&lt;&gt;"",$BI118*Z118,0),Z118*$BI118),Z118*$BI118),0)</f>
        <v>0</v>
      </c>
      <c r="CD118" s="5">
        <f>IF($BI118&lt;&gt;"",IF('Capacity summary'!$C$14="Yes",IF(COUNTBLANK('Capacity summary'!$H30:$BG30)&lt;52,IF('Capacity summary'!AA30&lt;&gt;"",$BI118*AA118,0),AA118*$BI118),AA118*$BI118),0)</f>
        <v>0</v>
      </c>
      <c r="CE118" s="5">
        <f>IF($BI118&lt;&gt;"",IF('Capacity summary'!$C$14="Yes",IF(COUNTBLANK('Capacity summary'!$H30:$BG30)&lt;52,IF('Capacity summary'!AB30&lt;&gt;"",$BI118*AB118,0),AB118*$BI118),AB118*$BI118),0)</f>
        <v>0</v>
      </c>
      <c r="CF118" s="5">
        <f>IF($BI118&lt;&gt;"",IF('Capacity summary'!$C$14="Yes",IF(COUNTBLANK('Capacity summary'!$H30:$BG30)&lt;52,IF('Capacity summary'!AC30&lt;&gt;"",$BI118*AC118,0),AC118*$BI118),AC118*$BI118),0)</f>
        <v>0</v>
      </c>
      <c r="CG118" s="5">
        <f>IF($BI118&lt;&gt;"",IF('Capacity summary'!$C$14="Yes",IF(COUNTBLANK('Capacity summary'!$H30:$BG30)&lt;52,IF('Capacity summary'!AD30&lt;&gt;"",$BI118*AD118,0),AD118*$BI118),AD118*$BI118),0)</f>
        <v>0</v>
      </c>
      <c r="CH118" s="5">
        <f>IF($BI118&lt;&gt;"",IF('Capacity summary'!$C$14="Yes",IF(COUNTBLANK('Capacity summary'!$H30:$BG30)&lt;52,IF('Capacity summary'!AE30&lt;&gt;"",$BI118*AE118,0),AE118*$BI118),AE118*$BI118),0)</f>
        <v>0</v>
      </c>
      <c r="CI118" s="5">
        <f>IF($BI118&lt;&gt;"",IF('Capacity summary'!$C$14="Yes",IF(COUNTBLANK('Capacity summary'!$H30:$BG30)&lt;52,IF('Capacity summary'!AF30&lt;&gt;"",$BI118*AF118,0),AF118*$BI118),AF118*$BI118),0)</f>
        <v>0</v>
      </c>
      <c r="CJ118" s="5">
        <f>IF($BI118&lt;&gt;"",IF('Capacity summary'!$C$14="Yes",IF(COUNTBLANK('Capacity summary'!$H30:$BG30)&lt;52,IF('Capacity summary'!AG30&lt;&gt;"",$BI118*AG118,0),AG118*$BI118),AG118*$BI118),0)</f>
        <v>0</v>
      </c>
      <c r="CK118" s="5">
        <f>IF($BI118&lt;&gt;"",IF('Capacity summary'!$C$14="Yes",IF(COUNTBLANK('Capacity summary'!$H30:$BG30)&lt;52,IF('Capacity summary'!AH30&lt;&gt;"",$BI118*AH118,0),AH118*$BI118),AH118*$BI118),0)</f>
        <v>0</v>
      </c>
      <c r="CL118" s="5">
        <f>IF($BI118&lt;&gt;"",IF('Capacity summary'!$C$14="Yes",IF(COUNTBLANK('Capacity summary'!$H30:$BG30)&lt;52,IF('Capacity summary'!AI30&lt;&gt;"",$BI118*AI118,0),AI118*$BI118),AI118*$BI118),0)</f>
        <v>0</v>
      </c>
      <c r="CM118" s="5">
        <f>IF($BI118&lt;&gt;"",IF('Capacity summary'!$C$14="Yes",IF(COUNTBLANK('Capacity summary'!$H30:$BG30)&lt;52,IF('Capacity summary'!AJ30&lt;&gt;"",$BI118*AJ118,0),AJ118*$BI118),AJ118*$BI118),0)</f>
        <v>0</v>
      </c>
      <c r="CN118" s="5">
        <f>IF($BI118&lt;&gt;"",IF('Capacity summary'!$C$14="Yes",IF(COUNTBLANK('Capacity summary'!$H30:$BG30)&lt;52,IF('Capacity summary'!AK30&lt;&gt;"",$BI118*AK118,0),AK118*$BI118),AK118*$BI118),0)</f>
        <v>0</v>
      </c>
      <c r="CO118" s="5">
        <f>IF($BI118&lt;&gt;"",IF('Capacity summary'!$C$14="Yes",IF(COUNTBLANK('Capacity summary'!$H30:$BG30)&lt;52,IF('Capacity summary'!AL30&lt;&gt;"",$BI118*AL118,0),AL118*$BI118),AL118*$BI118),0)</f>
        <v>0</v>
      </c>
      <c r="CP118" s="5">
        <f>IF($BI118&lt;&gt;"",IF('Capacity summary'!$C$14="Yes",IF(COUNTBLANK('Capacity summary'!$H30:$BG30)&lt;52,IF('Capacity summary'!AM30&lt;&gt;"",$BI118*AM118,0),AM118*$BI118),AM118*$BI118),0)</f>
        <v>0</v>
      </c>
      <c r="CQ118" s="5">
        <f>IF($BI118&lt;&gt;"",IF('Capacity summary'!$C$14="Yes",IF(COUNTBLANK('Capacity summary'!$H30:$BG30)&lt;52,IF('Capacity summary'!AN30&lt;&gt;"",$BI118*AN118,0),AN118*$BI118),AN118*$BI118),0)</f>
        <v>0</v>
      </c>
      <c r="CR118" s="5">
        <f>IF($BI118&lt;&gt;"",IF('Capacity summary'!$C$14="Yes",IF(COUNTBLANK('Capacity summary'!$H30:$BG30)&lt;52,IF('Capacity summary'!AO30&lt;&gt;"",$BI118*AO118,0),AO118*$BI118),AO118*$BI118),0)</f>
        <v>0</v>
      </c>
      <c r="CS118" s="5">
        <f>IF($BI118&lt;&gt;"",IF('Capacity summary'!$C$14="Yes",IF(COUNTBLANK('Capacity summary'!$H30:$BG30)&lt;52,IF('Capacity summary'!AP30&lt;&gt;"",$BI118*AP118,0),AP118*$BI118),AP118*$BI118),0)</f>
        <v>0</v>
      </c>
      <c r="CT118" s="5">
        <f>IF($BI118&lt;&gt;"",IF('Capacity summary'!$C$14="Yes",IF(COUNTBLANK('Capacity summary'!$H30:$BG30)&lt;52,IF('Capacity summary'!AQ30&lt;&gt;"",$BI118*AQ118,0),AQ118*$BI118),AQ118*$BI118),0)</f>
        <v>0</v>
      </c>
      <c r="CU118" s="5">
        <f>IF($BI118&lt;&gt;"",IF('Capacity summary'!$C$14="Yes",IF(COUNTBLANK('Capacity summary'!$H30:$BG30)&lt;52,IF('Capacity summary'!AR30&lt;&gt;"",$BI118*AR118,0),AR118*$BI118),AR118*$BI118),0)</f>
        <v>0</v>
      </c>
      <c r="CV118" s="5">
        <f>IF($BI118&lt;&gt;"",IF('Capacity summary'!$C$14="Yes",IF(COUNTBLANK('Capacity summary'!$H30:$BG30)&lt;52,IF('Capacity summary'!AS30&lt;&gt;"",$BI118*AS118,0),AS118*$BI118),AS118*$BI118),0)</f>
        <v>0</v>
      </c>
      <c r="CW118" s="5">
        <f>IF($BI118&lt;&gt;"",IF('Capacity summary'!$C$14="Yes",IF(COUNTBLANK('Capacity summary'!$H30:$BG30)&lt;52,IF('Capacity summary'!AT30&lt;&gt;"",$BI118*AT118,0),AT118*$BI118),AT118*$BI118),0)</f>
        <v>0</v>
      </c>
      <c r="CX118" s="5">
        <f>IF($BI118&lt;&gt;"",IF('Capacity summary'!$C$14="Yes",IF(COUNTBLANK('Capacity summary'!$H30:$BG30)&lt;52,IF('Capacity summary'!AU30&lt;&gt;"",$BI118*AU118,0),AU118*$BI118),AU118*$BI118),0)</f>
        <v>0</v>
      </c>
      <c r="CY118" s="5">
        <f>IF($BI118&lt;&gt;"",IF('Capacity summary'!$C$14="Yes",IF(COUNTBLANK('Capacity summary'!$H30:$BG30)&lt;52,IF('Capacity summary'!AV30&lt;&gt;"",$BI118*AV118,0),AV118*$BI118),AV118*$BI118),0)</f>
        <v>0</v>
      </c>
      <c r="CZ118" s="5">
        <f>IF($BI118&lt;&gt;"",IF('Capacity summary'!$C$14="Yes",IF(COUNTBLANK('Capacity summary'!$H30:$BG30)&lt;52,IF('Capacity summary'!AW30&lt;&gt;"",$BI118*AW118,0),AW118*$BI118),AW118*$BI118),0)</f>
        <v>0</v>
      </c>
      <c r="DA118" s="5">
        <f>IF($BI118&lt;&gt;"",IF('Capacity summary'!$C$14="Yes",IF(COUNTBLANK('Capacity summary'!$H30:$BG30)&lt;52,IF('Capacity summary'!AX30&lt;&gt;"",$BI118*AX118,0),AX118*$BI118),AX118*$BI118),0)</f>
        <v>0</v>
      </c>
      <c r="DB118" s="5">
        <f>IF($BI118&lt;&gt;"",IF('Capacity summary'!$C$14="Yes",IF(COUNTBLANK('Capacity summary'!$H30:$BG30)&lt;52,IF('Capacity summary'!AY30&lt;&gt;"",$BI118*AY118,0),AY118*$BI118),AY118*$BI118),0)</f>
        <v>0</v>
      </c>
      <c r="DC118" s="5">
        <f>IF($BI118&lt;&gt;"",IF('Capacity summary'!$C$14="Yes",IF(COUNTBLANK('Capacity summary'!$H30:$BG30)&lt;52,IF('Capacity summary'!AZ30&lt;&gt;"",$BI118*AZ118,0),AZ118*$BI118),AZ118*$BI118),0)</f>
        <v>0</v>
      </c>
      <c r="DD118" s="5">
        <f>IF($BI118&lt;&gt;"",IF('Capacity summary'!$C$14="Yes",IF(COUNTBLANK('Capacity summary'!$H30:$BG30)&lt;52,IF('Capacity summary'!BA30&lt;&gt;"",$BI118*BA118,0),BA118*$BI118),BA118*$BI118),0)</f>
        <v>0</v>
      </c>
      <c r="DE118" s="5">
        <f>IF($BI118&lt;&gt;"",IF('Capacity summary'!$C$14="Yes",IF(COUNTBLANK('Capacity summary'!$H30:$BG30)&lt;52,IF('Capacity summary'!BB30&lt;&gt;"",$BI118*BB118,0),BB118*$BI118),BB118*$BI118),0)</f>
        <v>0</v>
      </c>
      <c r="DF118" s="5">
        <f>IF($BI118&lt;&gt;"",IF('Capacity summary'!$C$14="Yes",IF(COUNTBLANK('Capacity summary'!$H30:$BG30)&lt;52,IF('Capacity summary'!BC30&lt;&gt;"",$BI118*BC118,0),BC118*$BI118),BC118*$BI118),0)</f>
        <v>0</v>
      </c>
      <c r="DG118" s="5">
        <f>IF($BI118&lt;&gt;"",IF('Capacity summary'!$C$14="Yes",IF(COUNTBLANK('Capacity summary'!$H30:$BG30)&lt;52,IF('Capacity summary'!BD30&lt;&gt;"",$BI118*BD118,0),BD118*$BI118),BD118*$BI118),0)</f>
        <v>0</v>
      </c>
      <c r="DH118" s="5">
        <f>IF($BI118&lt;&gt;"",IF('Capacity summary'!$C$14="Yes",IF(COUNTBLANK('Capacity summary'!$H30:$BG30)&lt;52,IF('Capacity summary'!BE30&lt;&gt;"",$BI118*BE118,0),BE118*$BI118),BE118*$BI118),0)</f>
        <v>0</v>
      </c>
      <c r="DI118" s="5">
        <f>IF($BI118&lt;&gt;"",IF('Capacity summary'!$C$14="Yes",IF(COUNTBLANK('Capacity summary'!$H30:$BG30)&lt;52,IF('Capacity summary'!BF30&lt;&gt;"",$BI118*BF118,0),BF118*$BI118),BF118*$BI118),0)</f>
        <v>0</v>
      </c>
      <c r="DJ118" s="5">
        <f>IF($BI118&lt;&gt;"",IF('Capacity summary'!$C$14="Yes",IF(COUNTBLANK('Capacity summary'!$H30:$BG30)&lt;52,IF('Capacity summary'!BG30&lt;&gt;"",$BI118*BG118,0),BG118*$BI118),BG118*$BI118),0)</f>
        <v>0</v>
      </c>
      <c r="DK118" s="138">
        <f t="shared" si="6"/>
        <v>0</v>
      </c>
    </row>
    <row r="119" spans="3:115" x14ac:dyDescent="0.2">
      <c r="C119" s="68" t="str">
        <f>ROW(A8)&amp;". "&amp;Capacity!N24</f>
        <v xml:space="preserve">8. </v>
      </c>
      <c r="D119" s="68">
        <f>'Capacity setup'!C125</f>
        <v>0</v>
      </c>
      <c r="E119" s="68">
        <f>'Capacity setup'!D125</f>
        <v>0</v>
      </c>
      <c r="F119" s="68">
        <f>'Capacity setup'!E125</f>
        <v>0</v>
      </c>
      <c r="H119" s="68">
        <f ca="1">IF(AND(SUMIF(Capacity_Resource,$D119,'Critical resources (hide)'!U$6:U$105)+SUMIF(Capacity_Resource,$E119,'Critical resources (hide)'!U$6:U$105)+SUMIF(Capacity_Resource,$F119,'Critical resources (hide)'!U$6:U$105)&gt;0,$E$1=2),0,1)</f>
        <v>1</v>
      </c>
      <c r="I119" s="68">
        <f ca="1">IF(AND(SUMIF(Capacity_Resource,$D119,'Critical resources (hide)'!V$6:V$105)+SUMIF(Capacity_Resource,$E119,'Critical resources (hide)'!V$6:V$105)+SUMIF(Capacity_Resource,$F119,'Critical resources (hide)'!V$6:V$105)&gt;0,$E$1=2),0,1)</f>
        <v>1</v>
      </c>
      <c r="J119" s="68">
        <f ca="1">IF(AND(SUMIF(Capacity_Resource,$D119,'Critical resources (hide)'!W$6:W$105)+SUMIF(Capacity_Resource,$E119,'Critical resources (hide)'!W$6:W$105)+SUMIF(Capacity_Resource,$F119,'Critical resources (hide)'!W$6:W$105)&gt;0,$E$1=2),0,1)</f>
        <v>1</v>
      </c>
      <c r="K119" s="68">
        <f ca="1">IF(AND(SUMIF(Capacity_Resource,$D119,'Critical resources (hide)'!X$6:X$105)+SUMIF(Capacity_Resource,$E119,'Critical resources (hide)'!X$6:X$105)+SUMIF(Capacity_Resource,$F119,'Critical resources (hide)'!X$6:X$105)&gt;0,$E$1=2),0,1)</f>
        <v>1</v>
      </c>
      <c r="L119" s="68">
        <f ca="1">IF(AND(SUMIF(Capacity_Resource,$D119,'Critical resources (hide)'!Y$6:Y$105)+SUMIF(Capacity_Resource,$E119,'Critical resources (hide)'!Y$6:Y$105)+SUMIF(Capacity_Resource,$F119,'Critical resources (hide)'!Y$6:Y$105)&gt;0,$E$1=2),0,1)</f>
        <v>1</v>
      </c>
      <c r="M119" s="68">
        <f ca="1">IF(AND(SUMIF(Capacity_Resource,$D119,'Critical resources (hide)'!Z$6:Z$105)+SUMIF(Capacity_Resource,$E119,'Critical resources (hide)'!Z$6:Z$105)+SUMIF(Capacity_Resource,$F119,'Critical resources (hide)'!Z$6:Z$105)&gt;0,$E$1=2),0,1)</f>
        <v>1</v>
      </c>
      <c r="N119" s="68">
        <f ca="1">IF(AND(SUMIF(Capacity_Resource,$D119,'Critical resources (hide)'!AA$6:AA$105)+SUMIF(Capacity_Resource,$E119,'Critical resources (hide)'!AA$6:AA$105)+SUMIF(Capacity_Resource,$F119,'Critical resources (hide)'!AA$6:AA$105)&gt;0,$E$1=2),0,1)</f>
        <v>1</v>
      </c>
      <c r="O119" s="68">
        <f ca="1">IF(AND(SUMIF(Capacity_Resource,$D119,'Critical resources (hide)'!AB$6:AB$105)+SUMIF(Capacity_Resource,$E119,'Critical resources (hide)'!AB$6:AB$105)+SUMIF(Capacity_Resource,$F119,'Critical resources (hide)'!AB$6:AB$105)&gt;0,$E$1=2),0,1)</f>
        <v>1</v>
      </c>
      <c r="P119" s="68">
        <f ca="1">IF(AND(SUMIF(Capacity_Resource,$D119,'Critical resources (hide)'!AC$6:AC$105)+SUMIF(Capacity_Resource,$E119,'Critical resources (hide)'!AC$6:AC$105)+SUMIF(Capacity_Resource,$F119,'Critical resources (hide)'!AC$6:AC$105)&gt;0,$E$1=2),0,1)</f>
        <v>1</v>
      </c>
      <c r="Q119" s="68">
        <f ca="1">IF(AND(SUMIF(Capacity_Resource,$D119,'Critical resources (hide)'!AD$6:AD$105)+SUMIF(Capacity_Resource,$E119,'Critical resources (hide)'!AD$6:AD$105)+SUMIF(Capacity_Resource,$F119,'Critical resources (hide)'!AD$6:AD$105)&gt;0,$E$1=2),0,1)</f>
        <v>1</v>
      </c>
      <c r="R119" s="68">
        <f ca="1">IF(AND(SUMIF(Capacity_Resource,$D119,'Critical resources (hide)'!AE$6:AE$105)+SUMIF(Capacity_Resource,$E119,'Critical resources (hide)'!AE$6:AE$105)+SUMIF(Capacity_Resource,$F119,'Critical resources (hide)'!AE$6:AE$105)&gt;0,$E$1=2),0,1)</f>
        <v>1</v>
      </c>
      <c r="S119" s="68">
        <f ca="1">IF(AND(SUMIF(Capacity_Resource,$D119,'Critical resources (hide)'!AF$6:AF$105)+SUMIF(Capacity_Resource,$E119,'Critical resources (hide)'!AF$6:AF$105)+SUMIF(Capacity_Resource,$F119,'Critical resources (hide)'!AF$6:AF$105)&gt;0,$E$1=2),0,1)</f>
        <v>1</v>
      </c>
      <c r="T119" s="68">
        <f ca="1">IF(AND(SUMIF(Capacity_Resource,$D119,'Critical resources (hide)'!AG$6:AG$105)+SUMIF(Capacity_Resource,$E119,'Critical resources (hide)'!AG$6:AG$105)+SUMIF(Capacity_Resource,$F119,'Critical resources (hide)'!AG$6:AG$105)&gt;0,$E$1=2),0,1)</f>
        <v>1</v>
      </c>
      <c r="U119" s="68">
        <f ca="1">IF(AND(SUMIF(Capacity_Resource,$D119,'Critical resources (hide)'!AH$6:AH$105)+SUMIF(Capacity_Resource,$E119,'Critical resources (hide)'!AH$6:AH$105)+SUMIF(Capacity_Resource,$F119,'Critical resources (hide)'!AH$6:AH$105)&gt;0,$E$1=2),0,1)</f>
        <v>1</v>
      </c>
      <c r="V119" s="68">
        <f ca="1">IF(AND(SUMIF(Capacity_Resource,$D119,'Critical resources (hide)'!AI$6:AI$105)+SUMIF(Capacity_Resource,$E119,'Critical resources (hide)'!AI$6:AI$105)+SUMIF(Capacity_Resource,$F119,'Critical resources (hide)'!AI$6:AI$105)&gt;0,$E$1=2),0,1)</f>
        <v>1</v>
      </c>
      <c r="W119" s="68">
        <f ca="1">IF(AND(SUMIF(Capacity_Resource,$D119,'Critical resources (hide)'!AJ$6:AJ$105)+SUMIF(Capacity_Resource,$E119,'Critical resources (hide)'!AJ$6:AJ$105)+SUMIF(Capacity_Resource,$F119,'Critical resources (hide)'!AJ$6:AJ$105)&gt;0,$E$1=2),0,1)</f>
        <v>1</v>
      </c>
      <c r="X119" s="68">
        <f ca="1">IF(AND(SUMIF(Capacity_Resource,$D119,'Critical resources (hide)'!AK$6:AK$105)+SUMIF(Capacity_Resource,$E119,'Critical resources (hide)'!AK$6:AK$105)+SUMIF(Capacity_Resource,$F119,'Critical resources (hide)'!AK$6:AK$105)&gt;0,$E$1=2),0,1)</f>
        <v>1</v>
      </c>
      <c r="Y119" s="68">
        <f ca="1">IF(AND(SUMIF(Capacity_Resource,$D119,'Critical resources (hide)'!AL$6:AL$105)+SUMIF(Capacity_Resource,$E119,'Critical resources (hide)'!AL$6:AL$105)+SUMIF(Capacity_Resource,$F119,'Critical resources (hide)'!AL$6:AL$105)&gt;0,$E$1=2),0,1)</f>
        <v>1</v>
      </c>
      <c r="Z119" s="68">
        <f ca="1">IF(AND(SUMIF(Capacity_Resource,$D119,'Critical resources (hide)'!AM$6:AM$105)+SUMIF(Capacity_Resource,$E119,'Critical resources (hide)'!AM$6:AM$105)+SUMIF(Capacity_Resource,$F119,'Critical resources (hide)'!AM$6:AM$105)&gt;0,$E$1=2),0,1)</f>
        <v>1</v>
      </c>
      <c r="AA119" s="68">
        <f ca="1">IF(AND(SUMIF(Capacity_Resource,$D119,'Critical resources (hide)'!AN$6:AN$105)+SUMIF(Capacity_Resource,$E119,'Critical resources (hide)'!AN$6:AN$105)+SUMIF(Capacity_Resource,$F119,'Critical resources (hide)'!AN$6:AN$105)&gt;0,$E$1=2),0,1)</f>
        <v>1</v>
      </c>
      <c r="AB119" s="68">
        <f ca="1">IF(AND(SUMIF(Capacity_Resource,$D119,'Critical resources (hide)'!AO$6:AO$105)+SUMIF(Capacity_Resource,$E119,'Critical resources (hide)'!AO$6:AO$105)+SUMIF(Capacity_Resource,$F119,'Critical resources (hide)'!AO$6:AO$105)&gt;0,$E$1=2),0,1)</f>
        <v>1</v>
      </c>
      <c r="AC119" s="68">
        <f ca="1">IF(AND(SUMIF(Capacity_Resource,$D119,'Critical resources (hide)'!AP$6:AP$105)+SUMIF(Capacity_Resource,$E119,'Critical resources (hide)'!AP$6:AP$105)+SUMIF(Capacity_Resource,$F119,'Critical resources (hide)'!AP$6:AP$105)&gt;0,$E$1=2),0,1)</f>
        <v>1</v>
      </c>
      <c r="AD119" s="68">
        <f ca="1">IF(AND(SUMIF(Capacity_Resource,$D119,'Critical resources (hide)'!AQ$6:AQ$105)+SUMIF(Capacity_Resource,$E119,'Critical resources (hide)'!AQ$6:AQ$105)+SUMIF(Capacity_Resource,$F119,'Critical resources (hide)'!AQ$6:AQ$105)&gt;0,$E$1=2),0,1)</f>
        <v>1</v>
      </c>
      <c r="AE119" s="68">
        <f ca="1">IF(AND(SUMIF(Capacity_Resource,$D119,'Critical resources (hide)'!AR$6:AR$105)+SUMIF(Capacity_Resource,$E119,'Critical resources (hide)'!AR$6:AR$105)+SUMIF(Capacity_Resource,$F119,'Critical resources (hide)'!AR$6:AR$105)&gt;0,$E$1=2),0,1)</f>
        <v>1</v>
      </c>
      <c r="AF119" s="68">
        <f ca="1">IF(AND(SUMIF(Capacity_Resource,$D119,'Critical resources (hide)'!AS$6:AS$105)+SUMIF(Capacity_Resource,$E119,'Critical resources (hide)'!AS$6:AS$105)+SUMIF(Capacity_Resource,$F119,'Critical resources (hide)'!AS$6:AS$105)&gt;0,$E$1=2),0,1)</f>
        <v>1</v>
      </c>
      <c r="AG119" s="68">
        <f ca="1">IF(AND(SUMIF(Capacity_Resource,$D119,'Critical resources (hide)'!AT$6:AT$105)+SUMIF(Capacity_Resource,$E119,'Critical resources (hide)'!AT$6:AT$105)+SUMIF(Capacity_Resource,$F119,'Critical resources (hide)'!AT$6:AT$105)&gt;0,$E$1=2),0,1)</f>
        <v>1</v>
      </c>
      <c r="AH119" s="68">
        <f ca="1">IF(AND(SUMIF(Capacity_Resource,$D119,'Critical resources (hide)'!AU$6:AU$105)+SUMIF(Capacity_Resource,$E119,'Critical resources (hide)'!AU$6:AU$105)+SUMIF(Capacity_Resource,$F119,'Critical resources (hide)'!AU$6:AU$105)&gt;0,$E$1=2),0,1)</f>
        <v>1</v>
      </c>
      <c r="AI119" s="68">
        <f ca="1">IF(AND(SUMIF(Capacity_Resource,$D119,'Critical resources (hide)'!AV$6:AV$105)+SUMIF(Capacity_Resource,$E119,'Critical resources (hide)'!AV$6:AV$105)+SUMIF(Capacity_Resource,$F119,'Critical resources (hide)'!AV$6:AV$105)&gt;0,$E$1=2),0,1)</f>
        <v>1</v>
      </c>
      <c r="AJ119" s="68">
        <f ca="1">IF(AND(SUMIF(Capacity_Resource,$D119,'Critical resources (hide)'!AW$6:AW$105)+SUMIF(Capacity_Resource,$E119,'Critical resources (hide)'!AW$6:AW$105)+SUMIF(Capacity_Resource,$F119,'Critical resources (hide)'!AW$6:AW$105)&gt;0,$E$1=2),0,1)</f>
        <v>1</v>
      </c>
      <c r="AK119" s="68">
        <f ca="1">IF(AND(SUMIF(Capacity_Resource,$D119,'Critical resources (hide)'!AX$6:AX$105)+SUMIF(Capacity_Resource,$E119,'Critical resources (hide)'!AX$6:AX$105)+SUMIF(Capacity_Resource,$F119,'Critical resources (hide)'!AX$6:AX$105)&gt;0,$E$1=2),0,1)</f>
        <v>1</v>
      </c>
      <c r="AL119" s="68">
        <f ca="1">IF(AND(SUMIF(Capacity_Resource,$D119,'Critical resources (hide)'!AY$6:AY$105)+SUMIF(Capacity_Resource,$E119,'Critical resources (hide)'!AY$6:AY$105)+SUMIF(Capacity_Resource,$F119,'Critical resources (hide)'!AY$6:AY$105)&gt;0,$E$1=2),0,1)</f>
        <v>1</v>
      </c>
      <c r="AM119" s="68">
        <f ca="1">IF(AND(SUMIF(Capacity_Resource,$D119,'Critical resources (hide)'!AZ$6:AZ$105)+SUMIF(Capacity_Resource,$E119,'Critical resources (hide)'!AZ$6:AZ$105)+SUMIF(Capacity_Resource,$F119,'Critical resources (hide)'!AZ$6:AZ$105)&gt;0,$E$1=2),0,1)</f>
        <v>1</v>
      </c>
      <c r="AN119" s="68">
        <f ca="1">IF(AND(SUMIF(Capacity_Resource,$D119,'Critical resources (hide)'!BA$6:BA$105)+SUMIF(Capacity_Resource,$E119,'Critical resources (hide)'!BA$6:BA$105)+SUMIF(Capacity_Resource,$F119,'Critical resources (hide)'!BA$6:BA$105)&gt;0,$E$1=2),0,1)</f>
        <v>1</v>
      </c>
      <c r="AO119" s="68">
        <f ca="1">IF(AND(SUMIF(Capacity_Resource,$D119,'Critical resources (hide)'!BB$6:BB$105)+SUMIF(Capacity_Resource,$E119,'Critical resources (hide)'!BB$6:BB$105)+SUMIF(Capacity_Resource,$F119,'Critical resources (hide)'!BB$6:BB$105)&gt;0,$E$1=2),0,1)</f>
        <v>1</v>
      </c>
      <c r="AP119" s="68">
        <f ca="1">IF(AND(SUMIF(Capacity_Resource,$D119,'Critical resources (hide)'!BC$6:BC$105)+SUMIF(Capacity_Resource,$E119,'Critical resources (hide)'!BC$6:BC$105)+SUMIF(Capacity_Resource,$F119,'Critical resources (hide)'!BC$6:BC$105)&gt;0,$E$1=2),0,1)</f>
        <v>1</v>
      </c>
      <c r="AQ119" s="68">
        <f ca="1">IF(AND(SUMIF(Capacity_Resource,$D119,'Critical resources (hide)'!BD$6:BD$105)+SUMIF(Capacity_Resource,$E119,'Critical resources (hide)'!BD$6:BD$105)+SUMIF(Capacity_Resource,$F119,'Critical resources (hide)'!BD$6:BD$105)&gt;0,$E$1=2),0,1)</f>
        <v>1</v>
      </c>
      <c r="AR119" s="68">
        <f ca="1">IF(AND(SUMIF(Capacity_Resource,$D119,'Critical resources (hide)'!BE$6:BE$105)+SUMIF(Capacity_Resource,$E119,'Critical resources (hide)'!BE$6:BE$105)+SUMIF(Capacity_Resource,$F119,'Critical resources (hide)'!BE$6:BE$105)&gt;0,$E$1=2),0,1)</f>
        <v>1</v>
      </c>
      <c r="AS119" s="68">
        <f ca="1">IF(AND(SUMIF(Capacity_Resource,$D119,'Critical resources (hide)'!BF$6:BF$105)+SUMIF(Capacity_Resource,$E119,'Critical resources (hide)'!BF$6:BF$105)+SUMIF(Capacity_Resource,$F119,'Critical resources (hide)'!BF$6:BF$105)&gt;0,$E$1=2),0,1)</f>
        <v>1</v>
      </c>
      <c r="AT119" s="68">
        <f ca="1">IF(AND(SUMIF(Capacity_Resource,$D119,'Critical resources (hide)'!BG$6:BG$105)+SUMIF(Capacity_Resource,$E119,'Critical resources (hide)'!BG$6:BG$105)+SUMIF(Capacity_Resource,$F119,'Critical resources (hide)'!BG$6:BG$105)&gt;0,$E$1=2),0,1)</f>
        <v>1</v>
      </c>
      <c r="AU119" s="68">
        <f ca="1">IF(AND(SUMIF(Capacity_Resource,$D119,'Critical resources (hide)'!BH$6:BH$105)+SUMIF(Capacity_Resource,$E119,'Critical resources (hide)'!BH$6:BH$105)+SUMIF(Capacity_Resource,$F119,'Critical resources (hide)'!BH$6:BH$105)&gt;0,$E$1=2),0,1)</f>
        <v>1</v>
      </c>
      <c r="AV119" s="68">
        <f ca="1">IF(AND(SUMIF(Capacity_Resource,$D119,'Critical resources (hide)'!BI$6:BI$105)+SUMIF(Capacity_Resource,$E119,'Critical resources (hide)'!BI$6:BI$105)+SUMIF(Capacity_Resource,$F119,'Critical resources (hide)'!BI$6:BI$105)&gt;0,$E$1=2),0,1)</f>
        <v>1</v>
      </c>
      <c r="AW119" s="68">
        <f ca="1">IF(AND(SUMIF(Capacity_Resource,$D119,'Critical resources (hide)'!BJ$6:BJ$105)+SUMIF(Capacity_Resource,$E119,'Critical resources (hide)'!BJ$6:BJ$105)+SUMIF(Capacity_Resource,$F119,'Critical resources (hide)'!BJ$6:BJ$105)&gt;0,$E$1=2),0,1)</f>
        <v>1</v>
      </c>
      <c r="AX119" s="68">
        <f ca="1">IF(AND(SUMIF(Capacity_Resource,$D119,'Critical resources (hide)'!BK$6:BK$105)+SUMIF(Capacity_Resource,$E119,'Critical resources (hide)'!BK$6:BK$105)+SUMIF(Capacity_Resource,$F119,'Critical resources (hide)'!BK$6:BK$105)&gt;0,$E$1=2),0,1)</f>
        <v>1</v>
      </c>
      <c r="AY119" s="68">
        <f ca="1">IF(AND(SUMIF(Capacity_Resource,$D119,'Critical resources (hide)'!BL$6:BL$105)+SUMIF(Capacity_Resource,$E119,'Critical resources (hide)'!BL$6:BL$105)+SUMIF(Capacity_Resource,$F119,'Critical resources (hide)'!BL$6:BL$105)&gt;0,$E$1=2),0,1)</f>
        <v>1</v>
      </c>
      <c r="AZ119" s="68">
        <f ca="1">IF(AND(SUMIF(Capacity_Resource,$D119,'Critical resources (hide)'!BM$6:BM$105)+SUMIF(Capacity_Resource,$E119,'Critical resources (hide)'!BM$6:BM$105)+SUMIF(Capacity_Resource,$F119,'Critical resources (hide)'!BM$6:BM$105)&gt;0,$E$1=2),0,1)</f>
        <v>1</v>
      </c>
      <c r="BA119" s="68">
        <f ca="1">IF(AND(SUMIF(Capacity_Resource,$D119,'Critical resources (hide)'!BN$6:BN$105)+SUMIF(Capacity_Resource,$E119,'Critical resources (hide)'!BN$6:BN$105)+SUMIF(Capacity_Resource,$F119,'Critical resources (hide)'!BN$6:BN$105)&gt;0,$E$1=2),0,1)</f>
        <v>1</v>
      </c>
      <c r="BB119" s="68">
        <f ca="1">IF(AND(SUMIF(Capacity_Resource,$D119,'Critical resources (hide)'!BO$6:BO$105)+SUMIF(Capacity_Resource,$E119,'Critical resources (hide)'!BO$6:BO$105)+SUMIF(Capacity_Resource,$F119,'Critical resources (hide)'!BO$6:BO$105)&gt;0,$E$1=2),0,1)</f>
        <v>1</v>
      </c>
      <c r="BC119" s="68">
        <f ca="1">IF(AND(SUMIF(Capacity_Resource,$D119,'Critical resources (hide)'!BP$6:BP$105)+SUMIF(Capacity_Resource,$E119,'Critical resources (hide)'!BP$6:BP$105)+SUMIF(Capacity_Resource,$F119,'Critical resources (hide)'!BP$6:BP$105)&gt;0,$E$1=2),0,1)</f>
        <v>1</v>
      </c>
      <c r="BD119" s="68">
        <f ca="1">IF(AND(SUMIF(Capacity_Resource,$D119,'Critical resources (hide)'!BQ$6:BQ$105)+SUMIF(Capacity_Resource,$E119,'Critical resources (hide)'!BQ$6:BQ$105)+SUMIF(Capacity_Resource,$F119,'Critical resources (hide)'!BQ$6:BQ$105)&gt;0,$E$1=2),0,1)</f>
        <v>1</v>
      </c>
      <c r="BE119" s="68">
        <f ca="1">IF(AND(SUMIF(Capacity_Resource,$D119,'Critical resources (hide)'!BR$6:BR$105)+SUMIF(Capacity_Resource,$E119,'Critical resources (hide)'!BR$6:BR$105)+SUMIF(Capacity_Resource,$F119,'Critical resources (hide)'!BR$6:BR$105)&gt;0,$E$1=2),0,1)</f>
        <v>1</v>
      </c>
      <c r="BF119" s="68">
        <f ca="1">IF(AND(SUMIF(Capacity_Resource,$D119,'Critical resources (hide)'!BS$6:BS$105)+SUMIF(Capacity_Resource,$E119,'Critical resources (hide)'!BS$6:BS$105)+SUMIF(Capacity_Resource,$F119,'Critical resources (hide)'!BS$6:BS$105)&gt;0,$E$1=2),0,1)</f>
        <v>1</v>
      </c>
      <c r="BG119" s="68">
        <f ca="1">IF(AND(SUMIF(Capacity_Resource,$D119,'Critical resources (hide)'!BT$6:BT$105)+SUMIF(Capacity_Resource,$E119,'Critical resources (hide)'!BT$6:BT$105)+SUMIF(Capacity_Resource,$F119,'Critical resources (hide)'!BT$6:BT$105)&gt;0,$E$1=2),0,1)</f>
        <v>1</v>
      </c>
      <c r="BH119" s="68">
        <f>IF(ROW(A8)&lt;=Capacity!$M$16,IF('Capacity summary'!$C$14="No",SUM(H119:BG119),'Capacity summary'!$E31),0)</f>
        <v>0</v>
      </c>
      <c r="BI119" s="68" t="str">
        <f>IF(BH119&gt;0,IF(BH119&lt;Capacity!Q24,Capacity!R24,Capacity!T24/'Capacity calculation (hide)'!BH119),"")</f>
        <v/>
      </c>
      <c r="BJ119" s="5"/>
      <c r="BK119" s="5">
        <f>IF($BI119&lt;&gt;"",IF('Capacity summary'!$C$14="Yes",IF(COUNTBLANK('Capacity summary'!$H31:$BG31)&lt;52,IF('Capacity summary'!H31&lt;&gt;"",$BI119*H119,0),H119*$BI119),H119*$BI119),0)</f>
        <v>0</v>
      </c>
      <c r="BL119" s="5">
        <f>IF($BI119&lt;&gt;"",IF('Capacity summary'!$C$14="Yes",IF(COUNTBLANK('Capacity summary'!$H31:$BG31)&lt;52,IF('Capacity summary'!I31&lt;&gt;"",$BI119*I119,0),I119*$BI119),I119*$BI119),0)</f>
        <v>0</v>
      </c>
      <c r="BM119" s="5">
        <f>IF($BI119&lt;&gt;"",IF('Capacity summary'!$C$14="Yes",IF(COUNTBLANK('Capacity summary'!$H31:$BG31)&lt;52,IF('Capacity summary'!J31&lt;&gt;"",$BI119*J119,0),J119*$BI119),J119*$BI119),0)</f>
        <v>0</v>
      </c>
      <c r="BN119" s="5">
        <f>IF($BI119&lt;&gt;"",IF('Capacity summary'!$C$14="Yes",IF(COUNTBLANK('Capacity summary'!$H31:$BG31)&lt;52,IF('Capacity summary'!K31&lt;&gt;"",$BI119*K119,0),K119*$BI119),K119*$BI119),0)</f>
        <v>0</v>
      </c>
      <c r="BO119" s="5">
        <f>IF($BI119&lt;&gt;"",IF('Capacity summary'!$C$14="Yes",IF(COUNTBLANK('Capacity summary'!$H31:$BG31)&lt;52,IF('Capacity summary'!L31&lt;&gt;"",$BI119*L119,0),L119*$BI119),L119*$BI119),0)</f>
        <v>0</v>
      </c>
      <c r="BP119" s="5">
        <f>IF($BI119&lt;&gt;"",IF('Capacity summary'!$C$14="Yes",IF(COUNTBLANK('Capacity summary'!$H31:$BG31)&lt;52,IF('Capacity summary'!M31&lt;&gt;"",$BI119*M119,0),M119*$BI119),M119*$BI119),0)</f>
        <v>0</v>
      </c>
      <c r="BQ119" s="5">
        <f>IF($BI119&lt;&gt;"",IF('Capacity summary'!$C$14="Yes",IF(COUNTBLANK('Capacity summary'!$H31:$BG31)&lt;52,IF('Capacity summary'!N31&lt;&gt;"",$BI119*N119,0),N119*$BI119),N119*$BI119),0)</f>
        <v>0</v>
      </c>
      <c r="BR119" s="5">
        <f>IF($BI119&lt;&gt;"",IF('Capacity summary'!$C$14="Yes",IF(COUNTBLANK('Capacity summary'!$H31:$BG31)&lt;52,IF('Capacity summary'!O31&lt;&gt;"",$BI119*O119,0),O119*$BI119),O119*$BI119),0)</f>
        <v>0</v>
      </c>
      <c r="BS119" s="5">
        <f>IF($BI119&lt;&gt;"",IF('Capacity summary'!$C$14="Yes",IF(COUNTBLANK('Capacity summary'!$H31:$BG31)&lt;52,IF('Capacity summary'!P31&lt;&gt;"",$BI119*P119,0),P119*$BI119),P119*$BI119),0)</f>
        <v>0</v>
      </c>
      <c r="BT119" s="5">
        <f>IF($BI119&lt;&gt;"",IF('Capacity summary'!$C$14="Yes",IF(COUNTBLANK('Capacity summary'!$H31:$BG31)&lt;52,IF('Capacity summary'!Q31&lt;&gt;"",$BI119*Q119,0),Q119*$BI119),Q119*$BI119),0)</f>
        <v>0</v>
      </c>
      <c r="BU119" s="5">
        <f>IF($BI119&lt;&gt;"",IF('Capacity summary'!$C$14="Yes",IF(COUNTBLANK('Capacity summary'!$H31:$BG31)&lt;52,IF('Capacity summary'!R31&lt;&gt;"",$BI119*R119,0),R119*$BI119),R119*$BI119),0)</f>
        <v>0</v>
      </c>
      <c r="BV119" s="5">
        <f>IF($BI119&lt;&gt;"",IF('Capacity summary'!$C$14="Yes",IF(COUNTBLANK('Capacity summary'!$H31:$BG31)&lt;52,IF('Capacity summary'!S31&lt;&gt;"",$BI119*S119,0),S119*$BI119),S119*$BI119),0)</f>
        <v>0</v>
      </c>
      <c r="BW119" s="5">
        <f>IF($BI119&lt;&gt;"",IF('Capacity summary'!$C$14="Yes",IF(COUNTBLANK('Capacity summary'!$H31:$BG31)&lt;52,IF('Capacity summary'!T31&lt;&gt;"",$BI119*T119,0),T119*$BI119),T119*$BI119),0)</f>
        <v>0</v>
      </c>
      <c r="BX119" s="5">
        <f>IF($BI119&lt;&gt;"",IF('Capacity summary'!$C$14="Yes",IF(COUNTBLANK('Capacity summary'!$H31:$BG31)&lt;52,IF('Capacity summary'!U31&lt;&gt;"",$BI119*U119,0),U119*$BI119),U119*$BI119),0)</f>
        <v>0</v>
      </c>
      <c r="BY119" s="5">
        <f>IF($BI119&lt;&gt;"",IF('Capacity summary'!$C$14="Yes",IF(COUNTBLANK('Capacity summary'!$H31:$BG31)&lt;52,IF('Capacity summary'!V31&lt;&gt;"",$BI119*V119,0),V119*$BI119),V119*$BI119),0)</f>
        <v>0</v>
      </c>
      <c r="BZ119" s="5">
        <f>IF($BI119&lt;&gt;"",IF('Capacity summary'!$C$14="Yes",IF(COUNTBLANK('Capacity summary'!$H31:$BG31)&lt;52,IF('Capacity summary'!W31&lt;&gt;"",$BI119*W119,0),W119*$BI119),W119*$BI119),0)</f>
        <v>0</v>
      </c>
      <c r="CA119" s="5">
        <f>IF($BI119&lt;&gt;"",IF('Capacity summary'!$C$14="Yes",IF(COUNTBLANK('Capacity summary'!$H31:$BG31)&lt;52,IF('Capacity summary'!X31&lt;&gt;"",$BI119*X119,0),X119*$BI119),X119*$BI119),0)</f>
        <v>0</v>
      </c>
      <c r="CB119" s="5">
        <f>IF($BI119&lt;&gt;"",IF('Capacity summary'!$C$14="Yes",IF(COUNTBLANK('Capacity summary'!$H31:$BG31)&lt;52,IF('Capacity summary'!Y31&lt;&gt;"",$BI119*Y119,0),Y119*$BI119),Y119*$BI119),0)</f>
        <v>0</v>
      </c>
      <c r="CC119" s="5">
        <f>IF($BI119&lt;&gt;"",IF('Capacity summary'!$C$14="Yes",IF(COUNTBLANK('Capacity summary'!$H31:$BG31)&lt;52,IF('Capacity summary'!Z31&lt;&gt;"",$BI119*Z119,0),Z119*$BI119),Z119*$BI119),0)</f>
        <v>0</v>
      </c>
      <c r="CD119" s="5">
        <f>IF($BI119&lt;&gt;"",IF('Capacity summary'!$C$14="Yes",IF(COUNTBLANK('Capacity summary'!$H31:$BG31)&lt;52,IF('Capacity summary'!AA31&lt;&gt;"",$BI119*AA119,0),AA119*$BI119),AA119*$BI119),0)</f>
        <v>0</v>
      </c>
      <c r="CE119" s="5">
        <f>IF($BI119&lt;&gt;"",IF('Capacity summary'!$C$14="Yes",IF(COUNTBLANK('Capacity summary'!$H31:$BG31)&lt;52,IF('Capacity summary'!AB31&lt;&gt;"",$BI119*AB119,0),AB119*$BI119),AB119*$BI119),0)</f>
        <v>0</v>
      </c>
      <c r="CF119" s="5">
        <f>IF($BI119&lt;&gt;"",IF('Capacity summary'!$C$14="Yes",IF(COUNTBLANK('Capacity summary'!$H31:$BG31)&lt;52,IF('Capacity summary'!AC31&lt;&gt;"",$BI119*AC119,0),AC119*$BI119),AC119*$BI119),0)</f>
        <v>0</v>
      </c>
      <c r="CG119" s="5">
        <f>IF($BI119&lt;&gt;"",IF('Capacity summary'!$C$14="Yes",IF(COUNTBLANK('Capacity summary'!$H31:$BG31)&lt;52,IF('Capacity summary'!AD31&lt;&gt;"",$BI119*AD119,0),AD119*$BI119),AD119*$BI119),0)</f>
        <v>0</v>
      </c>
      <c r="CH119" s="5">
        <f>IF($BI119&lt;&gt;"",IF('Capacity summary'!$C$14="Yes",IF(COUNTBLANK('Capacity summary'!$H31:$BG31)&lt;52,IF('Capacity summary'!AE31&lt;&gt;"",$BI119*AE119,0),AE119*$BI119),AE119*$BI119),0)</f>
        <v>0</v>
      </c>
      <c r="CI119" s="5">
        <f>IF($BI119&lt;&gt;"",IF('Capacity summary'!$C$14="Yes",IF(COUNTBLANK('Capacity summary'!$H31:$BG31)&lt;52,IF('Capacity summary'!AF31&lt;&gt;"",$BI119*AF119,0),AF119*$BI119),AF119*$BI119),0)</f>
        <v>0</v>
      </c>
      <c r="CJ119" s="5">
        <f>IF($BI119&lt;&gt;"",IF('Capacity summary'!$C$14="Yes",IF(COUNTBLANK('Capacity summary'!$H31:$BG31)&lt;52,IF('Capacity summary'!AG31&lt;&gt;"",$BI119*AG119,0),AG119*$BI119),AG119*$BI119),0)</f>
        <v>0</v>
      </c>
      <c r="CK119" s="5">
        <f>IF($BI119&lt;&gt;"",IF('Capacity summary'!$C$14="Yes",IF(COUNTBLANK('Capacity summary'!$H31:$BG31)&lt;52,IF('Capacity summary'!AH31&lt;&gt;"",$BI119*AH119,0),AH119*$BI119),AH119*$BI119),0)</f>
        <v>0</v>
      </c>
      <c r="CL119" s="5">
        <f>IF($BI119&lt;&gt;"",IF('Capacity summary'!$C$14="Yes",IF(COUNTBLANK('Capacity summary'!$H31:$BG31)&lt;52,IF('Capacity summary'!AI31&lt;&gt;"",$BI119*AI119,0),AI119*$BI119),AI119*$BI119),0)</f>
        <v>0</v>
      </c>
      <c r="CM119" s="5">
        <f>IF($BI119&lt;&gt;"",IF('Capacity summary'!$C$14="Yes",IF(COUNTBLANK('Capacity summary'!$H31:$BG31)&lt;52,IF('Capacity summary'!AJ31&lt;&gt;"",$BI119*AJ119,0),AJ119*$BI119),AJ119*$BI119),0)</f>
        <v>0</v>
      </c>
      <c r="CN119" s="5">
        <f>IF($BI119&lt;&gt;"",IF('Capacity summary'!$C$14="Yes",IF(COUNTBLANK('Capacity summary'!$H31:$BG31)&lt;52,IF('Capacity summary'!AK31&lt;&gt;"",$BI119*AK119,0),AK119*$BI119),AK119*$BI119),0)</f>
        <v>0</v>
      </c>
      <c r="CO119" s="5">
        <f>IF($BI119&lt;&gt;"",IF('Capacity summary'!$C$14="Yes",IF(COUNTBLANK('Capacity summary'!$H31:$BG31)&lt;52,IF('Capacity summary'!AL31&lt;&gt;"",$BI119*AL119,0),AL119*$BI119),AL119*$BI119),0)</f>
        <v>0</v>
      </c>
      <c r="CP119" s="5">
        <f>IF($BI119&lt;&gt;"",IF('Capacity summary'!$C$14="Yes",IF(COUNTBLANK('Capacity summary'!$H31:$BG31)&lt;52,IF('Capacity summary'!AM31&lt;&gt;"",$BI119*AM119,0),AM119*$BI119),AM119*$BI119),0)</f>
        <v>0</v>
      </c>
      <c r="CQ119" s="5">
        <f>IF($BI119&lt;&gt;"",IF('Capacity summary'!$C$14="Yes",IF(COUNTBLANK('Capacity summary'!$H31:$BG31)&lt;52,IF('Capacity summary'!AN31&lt;&gt;"",$BI119*AN119,0),AN119*$BI119),AN119*$BI119),0)</f>
        <v>0</v>
      </c>
      <c r="CR119" s="5">
        <f>IF($BI119&lt;&gt;"",IF('Capacity summary'!$C$14="Yes",IF(COUNTBLANK('Capacity summary'!$H31:$BG31)&lt;52,IF('Capacity summary'!AO31&lt;&gt;"",$BI119*AO119,0),AO119*$BI119),AO119*$BI119),0)</f>
        <v>0</v>
      </c>
      <c r="CS119" s="5">
        <f>IF($BI119&lt;&gt;"",IF('Capacity summary'!$C$14="Yes",IF(COUNTBLANK('Capacity summary'!$H31:$BG31)&lt;52,IF('Capacity summary'!AP31&lt;&gt;"",$BI119*AP119,0),AP119*$BI119),AP119*$BI119),0)</f>
        <v>0</v>
      </c>
      <c r="CT119" s="5">
        <f>IF($BI119&lt;&gt;"",IF('Capacity summary'!$C$14="Yes",IF(COUNTBLANK('Capacity summary'!$H31:$BG31)&lt;52,IF('Capacity summary'!AQ31&lt;&gt;"",$BI119*AQ119,0),AQ119*$BI119),AQ119*$BI119),0)</f>
        <v>0</v>
      </c>
      <c r="CU119" s="5">
        <f>IF($BI119&lt;&gt;"",IF('Capacity summary'!$C$14="Yes",IF(COUNTBLANK('Capacity summary'!$H31:$BG31)&lt;52,IF('Capacity summary'!AR31&lt;&gt;"",$BI119*AR119,0),AR119*$BI119),AR119*$BI119),0)</f>
        <v>0</v>
      </c>
      <c r="CV119" s="5">
        <f>IF($BI119&lt;&gt;"",IF('Capacity summary'!$C$14="Yes",IF(COUNTBLANK('Capacity summary'!$H31:$BG31)&lt;52,IF('Capacity summary'!AS31&lt;&gt;"",$BI119*AS119,0),AS119*$BI119),AS119*$BI119),0)</f>
        <v>0</v>
      </c>
      <c r="CW119" s="5">
        <f>IF($BI119&lt;&gt;"",IF('Capacity summary'!$C$14="Yes",IF(COUNTBLANK('Capacity summary'!$H31:$BG31)&lt;52,IF('Capacity summary'!AT31&lt;&gt;"",$BI119*AT119,0),AT119*$BI119),AT119*$BI119),0)</f>
        <v>0</v>
      </c>
      <c r="CX119" s="5">
        <f>IF($BI119&lt;&gt;"",IF('Capacity summary'!$C$14="Yes",IF(COUNTBLANK('Capacity summary'!$H31:$BG31)&lt;52,IF('Capacity summary'!AU31&lt;&gt;"",$BI119*AU119,0),AU119*$BI119),AU119*$BI119),0)</f>
        <v>0</v>
      </c>
      <c r="CY119" s="5">
        <f>IF($BI119&lt;&gt;"",IF('Capacity summary'!$C$14="Yes",IF(COUNTBLANK('Capacity summary'!$H31:$BG31)&lt;52,IF('Capacity summary'!AV31&lt;&gt;"",$BI119*AV119,0),AV119*$BI119),AV119*$BI119),0)</f>
        <v>0</v>
      </c>
      <c r="CZ119" s="5">
        <f>IF($BI119&lt;&gt;"",IF('Capacity summary'!$C$14="Yes",IF(COUNTBLANK('Capacity summary'!$H31:$BG31)&lt;52,IF('Capacity summary'!AW31&lt;&gt;"",$BI119*AW119,0),AW119*$BI119),AW119*$BI119),0)</f>
        <v>0</v>
      </c>
      <c r="DA119" s="5">
        <f>IF($BI119&lt;&gt;"",IF('Capacity summary'!$C$14="Yes",IF(COUNTBLANK('Capacity summary'!$H31:$BG31)&lt;52,IF('Capacity summary'!AX31&lt;&gt;"",$BI119*AX119,0),AX119*$BI119),AX119*$BI119),0)</f>
        <v>0</v>
      </c>
      <c r="DB119" s="5">
        <f>IF($BI119&lt;&gt;"",IF('Capacity summary'!$C$14="Yes",IF(COUNTBLANK('Capacity summary'!$H31:$BG31)&lt;52,IF('Capacity summary'!AY31&lt;&gt;"",$BI119*AY119,0),AY119*$BI119),AY119*$BI119),0)</f>
        <v>0</v>
      </c>
      <c r="DC119" s="5">
        <f>IF($BI119&lt;&gt;"",IF('Capacity summary'!$C$14="Yes",IF(COUNTBLANK('Capacity summary'!$H31:$BG31)&lt;52,IF('Capacity summary'!AZ31&lt;&gt;"",$BI119*AZ119,0),AZ119*$BI119),AZ119*$BI119),0)</f>
        <v>0</v>
      </c>
      <c r="DD119" s="5">
        <f>IF($BI119&lt;&gt;"",IF('Capacity summary'!$C$14="Yes",IF(COUNTBLANK('Capacity summary'!$H31:$BG31)&lt;52,IF('Capacity summary'!BA31&lt;&gt;"",$BI119*BA119,0),BA119*$BI119),BA119*$BI119),0)</f>
        <v>0</v>
      </c>
      <c r="DE119" s="5">
        <f>IF($BI119&lt;&gt;"",IF('Capacity summary'!$C$14="Yes",IF(COUNTBLANK('Capacity summary'!$H31:$BG31)&lt;52,IF('Capacity summary'!BB31&lt;&gt;"",$BI119*BB119,0),BB119*$BI119),BB119*$BI119),0)</f>
        <v>0</v>
      </c>
      <c r="DF119" s="5">
        <f>IF($BI119&lt;&gt;"",IF('Capacity summary'!$C$14="Yes",IF(COUNTBLANK('Capacity summary'!$H31:$BG31)&lt;52,IF('Capacity summary'!BC31&lt;&gt;"",$BI119*BC119,0),BC119*$BI119),BC119*$BI119),0)</f>
        <v>0</v>
      </c>
      <c r="DG119" s="5">
        <f>IF($BI119&lt;&gt;"",IF('Capacity summary'!$C$14="Yes",IF(COUNTBLANK('Capacity summary'!$H31:$BG31)&lt;52,IF('Capacity summary'!BD31&lt;&gt;"",$BI119*BD119,0),BD119*$BI119),BD119*$BI119),0)</f>
        <v>0</v>
      </c>
      <c r="DH119" s="5">
        <f>IF($BI119&lt;&gt;"",IF('Capacity summary'!$C$14="Yes",IF(COUNTBLANK('Capacity summary'!$H31:$BG31)&lt;52,IF('Capacity summary'!BE31&lt;&gt;"",$BI119*BE119,0),BE119*$BI119),BE119*$BI119),0)</f>
        <v>0</v>
      </c>
      <c r="DI119" s="5">
        <f>IF($BI119&lt;&gt;"",IF('Capacity summary'!$C$14="Yes",IF(COUNTBLANK('Capacity summary'!$H31:$BG31)&lt;52,IF('Capacity summary'!BF31&lt;&gt;"",$BI119*BF119,0),BF119*$BI119),BF119*$BI119),0)</f>
        <v>0</v>
      </c>
      <c r="DJ119" s="5">
        <f>IF($BI119&lt;&gt;"",IF('Capacity summary'!$C$14="Yes",IF(COUNTBLANK('Capacity summary'!$H31:$BG31)&lt;52,IF('Capacity summary'!BG31&lt;&gt;"",$BI119*BG119,0),BG119*$BI119),BG119*$BI119),0)</f>
        <v>0</v>
      </c>
      <c r="DK119" s="138">
        <f t="shared" si="6"/>
        <v>0</v>
      </c>
    </row>
    <row r="120" spans="3:115" x14ac:dyDescent="0.2">
      <c r="C120" s="68" t="str">
        <f>ROW(A9)&amp;". "&amp;Capacity!N25</f>
        <v xml:space="preserve">9. </v>
      </c>
      <c r="D120" s="68">
        <f>'Capacity setup'!C126</f>
        <v>0</v>
      </c>
      <c r="E120" s="68">
        <f>'Capacity setup'!D126</f>
        <v>0</v>
      </c>
      <c r="F120" s="68">
        <f>'Capacity setup'!E126</f>
        <v>0</v>
      </c>
      <c r="H120" s="68">
        <f ca="1">IF(AND(SUMIF(Capacity_Resource,$D120,'Critical resources (hide)'!U$6:U$105)+SUMIF(Capacity_Resource,$E120,'Critical resources (hide)'!U$6:U$105)+SUMIF(Capacity_Resource,$F120,'Critical resources (hide)'!U$6:U$105)&gt;0,$E$1=2),0,1)</f>
        <v>1</v>
      </c>
      <c r="I120" s="68">
        <f ca="1">IF(AND(SUMIF(Capacity_Resource,$D120,'Critical resources (hide)'!V$6:V$105)+SUMIF(Capacity_Resource,$E120,'Critical resources (hide)'!V$6:V$105)+SUMIF(Capacity_Resource,$F120,'Critical resources (hide)'!V$6:V$105)&gt;0,$E$1=2),0,1)</f>
        <v>1</v>
      </c>
      <c r="J120" s="68">
        <f ca="1">IF(AND(SUMIF(Capacity_Resource,$D120,'Critical resources (hide)'!W$6:W$105)+SUMIF(Capacity_Resource,$E120,'Critical resources (hide)'!W$6:W$105)+SUMIF(Capacity_Resource,$F120,'Critical resources (hide)'!W$6:W$105)&gt;0,$E$1=2),0,1)</f>
        <v>1</v>
      </c>
      <c r="K120" s="68">
        <f ca="1">IF(AND(SUMIF(Capacity_Resource,$D120,'Critical resources (hide)'!X$6:X$105)+SUMIF(Capacity_Resource,$E120,'Critical resources (hide)'!X$6:X$105)+SUMIF(Capacity_Resource,$F120,'Critical resources (hide)'!X$6:X$105)&gt;0,$E$1=2),0,1)</f>
        <v>1</v>
      </c>
      <c r="L120" s="68">
        <f ca="1">IF(AND(SUMIF(Capacity_Resource,$D120,'Critical resources (hide)'!Y$6:Y$105)+SUMIF(Capacity_Resource,$E120,'Critical resources (hide)'!Y$6:Y$105)+SUMIF(Capacity_Resource,$F120,'Critical resources (hide)'!Y$6:Y$105)&gt;0,$E$1=2),0,1)</f>
        <v>1</v>
      </c>
      <c r="M120" s="68">
        <f ca="1">IF(AND(SUMIF(Capacity_Resource,$D120,'Critical resources (hide)'!Z$6:Z$105)+SUMIF(Capacity_Resource,$E120,'Critical resources (hide)'!Z$6:Z$105)+SUMIF(Capacity_Resource,$F120,'Critical resources (hide)'!Z$6:Z$105)&gt;0,$E$1=2),0,1)</f>
        <v>1</v>
      </c>
      <c r="N120" s="68">
        <f ca="1">IF(AND(SUMIF(Capacity_Resource,$D120,'Critical resources (hide)'!AA$6:AA$105)+SUMIF(Capacity_Resource,$E120,'Critical resources (hide)'!AA$6:AA$105)+SUMIF(Capacity_Resource,$F120,'Critical resources (hide)'!AA$6:AA$105)&gt;0,$E$1=2),0,1)</f>
        <v>1</v>
      </c>
      <c r="O120" s="68">
        <f ca="1">IF(AND(SUMIF(Capacity_Resource,$D120,'Critical resources (hide)'!AB$6:AB$105)+SUMIF(Capacity_Resource,$E120,'Critical resources (hide)'!AB$6:AB$105)+SUMIF(Capacity_Resource,$F120,'Critical resources (hide)'!AB$6:AB$105)&gt;0,$E$1=2),0,1)</f>
        <v>1</v>
      </c>
      <c r="P120" s="68">
        <f ca="1">IF(AND(SUMIF(Capacity_Resource,$D120,'Critical resources (hide)'!AC$6:AC$105)+SUMIF(Capacity_Resource,$E120,'Critical resources (hide)'!AC$6:AC$105)+SUMIF(Capacity_Resource,$F120,'Critical resources (hide)'!AC$6:AC$105)&gt;0,$E$1=2),0,1)</f>
        <v>1</v>
      </c>
      <c r="Q120" s="68">
        <f ca="1">IF(AND(SUMIF(Capacity_Resource,$D120,'Critical resources (hide)'!AD$6:AD$105)+SUMIF(Capacity_Resource,$E120,'Critical resources (hide)'!AD$6:AD$105)+SUMIF(Capacity_Resource,$F120,'Critical resources (hide)'!AD$6:AD$105)&gt;0,$E$1=2),0,1)</f>
        <v>1</v>
      </c>
      <c r="R120" s="68">
        <f ca="1">IF(AND(SUMIF(Capacity_Resource,$D120,'Critical resources (hide)'!AE$6:AE$105)+SUMIF(Capacity_Resource,$E120,'Critical resources (hide)'!AE$6:AE$105)+SUMIF(Capacity_Resource,$F120,'Critical resources (hide)'!AE$6:AE$105)&gt;0,$E$1=2),0,1)</f>
        <v>1</v>
      </c>
      <c r="S120" s="68">
        <f ca="1">IF(AND(SUMIF(Capacity_Resource,$D120,'Critical resources (hide)'!AF$6:AF$105)+SUMIF(Capacity_Resource,$E120,'Critical resources (hide)'!AF$6:AF$105)+SUMIF(Capacity_Resource,$F120,'Critical resources (hide)'!AF$6:AF$105)&gt;0,$E$1=2),0,1)</f>
        <v>1</v>
      </c>
      <c r="T120" s="68">
        <f ca="1">IF(AND(SUMIF(Capacity_Resource,$D120,'Critical resources (hide)'!AG$6:AG$105)+SUMIF(Capacity_Resource,$E120,'Critical resources (hide)'!AG$6:AG$105)+SUMIF(Capacity_Resource,$F120,'Critical resources (hide)'!AG$6:AG$105)&gt;0,$E$1=2),0,1)</f>
        <v>1</v>
      </c>
      <c r="U120" s="68">
        <f ca="1">IF(AND(SUMIF(Capacity_Resource,$D120,'Critical resources (hide)'!AH$6:AH$105)+SUMIF(Capacity_Resource,$E120,'Critical resources (hide)'!AH$6:AH$105)+SUMIF(Capacity_Resource,$F120,'Critical resources (hide)'!AH$6:AH$105)&gt;0,$E$1=2),0,1)</f>
        <v>1</v>
      </c>
      <c r="V120" s="68">
        <f ca="1">IF(AND(SUMIF(Capacity_Resource,$D120,'Critical resources (hide)'!AI$6:AI$105)+SUMIF(Capacity_Resource,$E120,'Critical resources (hide)'!AI$6:AI$105)+SUMIF(Capacity_Resource,$F120,'Critical resources (hide)'!AI$6:AI$105)&gt;0,$E$1=2),0,1)</f>
        <v>1</v>
      </c>
      <c r="W120" s="68">
        <f ca="1">IF(AND(SUMIF(Capacity_Resource,$D120,'Critical resources (hide)'!AJ$6:AJ$105)+SUMIF(Capacity_Resource,$E120,'Critical resources (hide)'!AJ$6:AJ$105)+SUMIF(Capacity_Resource,$F120,'Critical resources (hide)'!AJ$6:AJ$105)&gt;0,$E$1=2),0,1)</f>
        <v>1</v>
      </c>
      <c r="X120" s="68">
        <f ca="1">IF(AND(SUMIF(Capacity_Resource,$D120,'Critical resources (hide)'!AK$6:AK$105)+SUMIF(Capacity_Resource,$E120,'Critical resources (hide)'!AK$6:AK$105)+SUMIF(Capacity_Resource,$F120,'Critical resources (hide)'!AK$6:AK$105)&gt;0,$E$1=2),0,1)</f>
        <v>1</v>
      </c>
      <c r="Y120" s="68">
        <f ca="1">IF(AND(SUMIF(Capacity_Resource,$D120,'Critical resources (hide)'!AL$6:AL$105)+SUMIF(Capacity_Resource,$E120,'Critical resources (hide)'!AL$6:AL$105)+SUMIF(Capacity_Resource,$F120,'Critical resources (hide)'!AL$6:AL$105)&gt;0,$E$1=2),0,1)</f>
        <v>1</v>
      </c>
      <c r="Z120" s="68">
        <f ca="1">IF(AND(SUMIF(Capacity_Resource,$D120,'Critical resources (hide)'!AM$6:AM$105)+SUMIF(Capacity_Resource,$E120,'Critical resources (hide)'!AM$6:AM$105)+SUMIF(Capacity_Resource,$F120,'Critical resources (hide)'!AM$6:AM$105)&gt;0,$E$1=2),0,1)</f>
        <v>1</v>
      </c>
      <c r="AA120" s="68">
        <f ca="1">IF(AND(SUMIF(Capacity_Resource,$D120,'Critical resources (hide)'!AN$6:AN$105)+SUMIF(Capacity_Resource,$E120,'Critical resources (hide)'!AN$6:AN$105)+SUMIF(Capacity_Resource,$F120,'Critical resources (hide)'!AN$6:AN$105)&gt;0,$E$1=2),0,1)</f>
        <v>1</v>
      </c>
      <c r="AB120" s="68">
        <f ca="1">IF(AND(SUMIF(Capacity_Resource,$D120,'Critical resources (hide)'!AO$6:AO$105)+SUMIF(Capacity_Resource,$E120,'Critical resources (hide)'!AO$6:AO$105)+SUMIF(Capacity_Resource,$F120,'Critical resources (hide)'!AO$6:AO$105)&gt;0,$E$1=2),0,1)</f>
        <v>1</v>
      </c>
      <c r="AC120" s="68">
        <f ca="1">IF(AND(SUMIF(Capacity_Resource,$D120,'Critical resources (hide)'!AP$6:AP$105)+SUMIF(Capacity_Resource,$E120,'Critical resources (hide)'!AP$6:AP$105)+SUMIF(Capacity_Resource,$F120,'Critical resources (hide)'!AP$6:AP$105)&gt;0,$E$1=2),0,1)</f>
        <v>1</v>
      </c>
      <c r="AD120" s="68">
        <f ca="1">IF(AND(SUMIF(Capacity_Resource,$D120,'Critical resources (hide)'!AQ$6:AQ$105)+SUMIF(Capacity_Resource,$E120,'Critical resources (hide)'!AQ$6:AQ$105)+SUMIF(Capacity_Resource,$F120,'Critical resources (hide)'!AQ$6:AQ$105)&gt;0,$E$1=2),0,1)</f>
        <v>1</v>
      </c>
      <c r="AE120" s="68">
        <f ca="1">IF(AND(SUMIF(Capacity_Resource,$D120,'Critical resources (hide)'!AR$6:AR$105)+SUMIF(Capacity_Resource,$E120,'Critical resources (hide)'!AR$6:AR$105)+SUMIF(Capacity_Resource,$F120,'Critical resources (hide)'!AR$6:AR$105)&gt;0,$E$1=2),0,1)</f>
        <v>1</v>
      </c>
      <c r="AF120" s="68">
        <f ca="1">IF(AND(SUMIF(Capacity_Resource,$D120,'Critical resources (hide)'!AS$6:AS$105)+SUMIF(Capacity_Resource,$E120,'Critical resources (hide)'!AS$6:AS$105)+SUMIF(Capacity_Resource,$F120,'Critical resources (hide)'!AS$6:AS$105)&gt;0,$E$1=2),0,1)</f>
        <v>1</v>
      </c>
      <c r="AG120" s="68">
        <f ca="1">IF(AND(SUMIF(Capacity_Resource,$D120,'Critical resources (hide)'!AT$6:AT$105)+SUMIF(Capacity_Resource,$E120,'Critical resources (hide)'!AT$6:AT$105)+SUMIF(Capacity_Resource,$F120,'Critical resources (hide)'!AT$6:AT$105)&gt;0,$E$1=2),0,1)</f>
        <v>1</v>
      </c>
      <c r="AH120" s="68">
        <f ca="1">IF(AND(SUMIF(Capacity_Resource,$D120,'Critical resources (hide)'!AU$6:AU$105)+SUMIF(Capacity_Resource,$E120,'Critical resources (hide)'!AU$6:AU$105)+SUMIF(Capacity_Resource,$F120,'Critical resources (hide)'!AU$6:AU$105)&gt;0,$E$1=2),0,1)</f>
        <v>1</v>
      </c>
      <c r="AI120" s="68">
        <f ca="1">IF(AND(SUMIF(Capacity_Resource,$D120,'Critical resources (hide)'!AV$6:AV$105)+SUMIF(Capacity_Resource,$E120,'Critical resources (hide)'!AV$6:AV$105)+SUMIF(Capacity_Resource,$F120,'Critical resources (hide)'!AV$6:AV$105)&gt;0,$E$1=2),0,1)</f>
        <v>1</v>
      </c>
      <c r="AJ120" s="68">
        <f ca="1">IF(AND(SUMIF(Capacity_Resource,$D120,'Critical resources (hide)'!AW$6:AW$105)+SUMIF(Capacity_Resource,$E120,'Critical resources (hide)'!AW$6:AW$105)+SUMIF(Capacity_Resource,$F120,'Critical resources (hide)'!AW$6:AW$105)&gt;0,$E$1=2),0,1)</f>
        <v>1</v>
      </c>
      <c r="AK120" s="68">
        <f ca="1">IF(AND(SUMIF(Capacity_Resource,$D120,'Critical resources (hide)'!AX$6:AX$105)+SUMIF(Capacity_Resource,$E120,'Critical resources (hide)'!AX$6:AX$105)+SUMIF(Capacity_Resource,$F120,'Critical resources (hide)'!AX$6:AX$105)&gt;0,$E$1=2),0,1)</f>
        <v>1</v>
      </c>
      <c r="AL120" s="68">
        <f ca="1">IF(AND(SUMIF(Capacity_Resource,$D120,'Critical resources (hide)'!AY$6:AY$105)+SUMIF(Capacity_Resource,$E120,'Critical resources (hide)'!AY$6:AY$105)+SUMIF(Capacity_Resource,$F120,'Critical resources (hide)'!AY$6:AY$105)&gt;0,$E$1=2),0,1)</f>
        <v>1</v>
      </c>
      <c r="AM120" s="68">
        <f ca="1">IF(AND(SUMIF(Capacity_Resource,$D120,'Critical resources (hide)'!AZ$6:AZ$105)+SUMIF(Capacity_Resource,$E120,'Critical resources (hide)'!AZ$6:AZ$105)+SUMIF(Capacity_Resource,$F120,'Critical resources (hide)'!AZ$6:AZ$105)&gt;0,$E$1=2),0,1)</f>
        <v>1</v>
      </c>
      <c r="AN120" s="68">
        <f ca="1">IF(AND(SUMIF(Capacity_Resource,$D120,'Critical resources (hide)'!BA$6:BA$105)+SUMIF(Capacity_Resource,$E120,'Critical resources (hide)'!BA$6:BA$105)+SUMIF(Capacity_Resource,$F120,'Critical resources (hide)'!BA$6:BA$105)&gt;0,$E$1=2),0,1)</f>
        <v>1</v>
      </c>
      <c r="AO120" s="68">
        <f ca="1">IF(AND(SUMIF(Capacity_Resource,$D120,'Critical resources (hide)'!BB$6:BB$105)+SUMIF(Capacity_Resource,$E120,'Critical resources (hide)'!BB$6:BB$105)+SUMIF(Capacity_Resource,$F120,'Critical resources (hide)'!BB$6:BB$105)&gt;0,$E$1=2),0,1)</f>
        <v>1</v>
      </c>
      <c r="AP120" s="68">
        <f ca="1">IF(AND(SUMIF(Capacity_Resource,$D120,'Critical resources (hide)'!BC$6:BC$105)+SUMIF(Capacity_Resource,$E120,'Critical resources (hide)'!BC$6:BC$105)+SUMIF(Capacity_Resource,$F120,'Critical resources (hide)'!BC$6:BC$105)&gt;0,$E$1=2),0,1)</f>
        <v>1</v>
      </c>
      <c r="AQ120" s="68">
        <f ca="1">IF(AND(SUMIF(Capacity_Resource,$D120,'Critical resources (hide)'!BD$6:BD$105)+SUMIF(Capacity_Resource,$E120,'Critical resources (hide)'!BD$6:BD$105)+SUMIF(Capacity_Resource,$F120,'Critical resources (hide)'!BD$6:BD$105)&gt;0,$E$1=2),0,1)</f>
        <v>1</v>
      </c>
      <c r="AR120" s="68">
        <f ca="1">IF(AND(SUMIF(Capacity_Resource,$D120,'Critical resources (hide)'!BE$6:BE$105)+SUMIF(Capacity_Resource,$E120,'Critical resources (hide)'!BE$6:BE$105)+SUMIF(Capacity_Resource,$F120,'Critical resources (hide)'!BE$6:BE$105)&gt;0,$E$1=2),0,1)</f>
        <v>1</v>
      </c>
      <c r="AS120" s="68">
        <f ca="1">IF(AND(SUMIF(Capacity_Resource,$D120,'Critical resources (hide)'!BF$6:BF$105)+SUMIF(Capacity_Resource,$E120,'Critical resources (hide)'!BF$6:BF$105)+SUMIF(Capacity_Resource,$F120,'Critical resources (hide)'!BF$6:BF$105)&gt;0,$E$1=2),0,1)</f>
        <v>1</v>
      </c>
      <c r="AT120" s="68">
        <f ca="1">IF(AND(SUMIF(Capacity_Resource,$D120,'Critical resources (hide)'!BG$6:BG$105)+SUMIF(Capacity_Resource,$E120,'Critical resources (hide)'!BG$6:BG$105)+SUMIF(Capacity_Resource,$F120,'Critical resources (hide)'!BG$6:BG$105)&gt;0,$E$1=2),0,1)</f>
        <v>1</v>
      </c>
      <c r="AU120" s="68">
        <f ca="1">IF(AND(SUMIF(Capacity_Resource,$D120,'Critical resources (hide)'!BH$6:BH$105)+SUMIF(Capacity_Resource,$E120,'Critical resources (hide)'!BH$6:BH$105)+SUMIF(Capacity_Resource,$F120,'Critical resources (hide)'!BH$6:BH$105)&gt;0,$E$1=2),0,1)</f>
        <v>1</v>
      </c>
      <c r="AV120" s="68">
        <f ca="1">IF(AND(SUMIF(Capacity_Resource,$D120,'Critical resources (hide)'!BI$6:BI$105)+SUMIF(Capacity_Resource,$E120,'Critical resources (hide)'!BI$6:BI$105)+SUMIF(Capacity_Resource,$F120,'Critical resources (hide)'!BI$6:BI$105)&gt;0,$E$1=2),0,1)</f>
        <v>1</v>
      </c>
      <c r="AW120" s="68">
        <f ca="1">IF(AND(SUMIF(Capacity_Resource,$D120,'Critical resources (hide)'!BJ$6:BJ$105)+SUMIF(Capacity_Resource,$E120,'Critical resources (hide)'!BJ$6:BJ$105)+SUMIF(Capacity_Resource,$F120,'Critical resources (hide)'!BJ$6:BJ$105)&gt;0,$E$1=2),0,1)</f>
        <v>1</v>
      </c>
      <c r="AX120" s="68">
        <f ca="1">IF(AND(SUMIF(Capacity_Resource,$D120,'Critical resources (hide)'!BK$6:BK$105)+SUMIF(Capacity_Resource,$E120,'Critical resources (hide)'!BK$6:BK$105)+SUMIF(Capacity_Resource,$F120,'Critical resources (hide)'!BK$6:BK$105)&gt;0,$E$1=2),0,1)</f>
        <v>1</v>
      </c>
      <c r="AY120" s="68">
        <f ca="1">IF(AND(SUMIF(Capacity_Resource,$D120,'Critical resources (hide)'!BL$6:BL$105)+SUMIF(Capacity_Resource,$E120,'Critical resources (hide)'!BL$6:BL$105)+SUMIF(Capacity_Resource,$F120,'Critical resources (hide)'!BL$6:BL$105)&gt;0,$E$1=2),0,1)</f>
        <v>1</v>
      </c>
      <c r="AZ120" s="68">
        <f ca="1">IF(AND(SUMIF(Capacity_Resource,$D120,'Critical resources (hide)'!BM$6:BM$105)+SUMIF(Capacity_Resource,$E120,'Critical resources (hide)'!BM$6:BM$105)+SUMIF(Capacity_Resource,$F120,'Critical resources (hide)'!BM$6:BM$105)&gt;0,$E$1=2),0,1)</f>
        <v>1</v>
      </c>
      <c r="BA120" s="68">
        <f ca="1">IF(AND(SUMIF(Capacity_Resource,$D120,'Critical resources (hide)'!BN$6:BN$105)+SUMIF(Capacity_Resource,$E120,'Critical resources (hide)'!BN$6:BN$105)+SUMIF(Capacity_Resource,$F120,'Critical resources (hide)'!BN$6:BN$105)&gt;0,$E$1=2),0,1)</f>
        <v>1</v>
      </c>
      <c r="BB120" s="68">
        <f ca="1">IF(AND(SUMIF(Capacity_Resource,$D120,'Critical resources (hide)'!BO$6:BO$105)+SUMIF(Capacity_Resource,$E120,'Critical resources (hide)'!BO$6:BO$105)+SUMIF(Capacity_Resource,$F120,'Critical resources (hide)'!BO$6:BO$105)&gt;0,$E$1=2),0,1)</f>
        <v>1</v>
      </c>
      <c r="BC120" s="68">
        <f ca="1">IF(AND(SUMIF(Capacity_Resource,$D120,'Critical resources (hide)'!BP$6:BP$105)+SUMIF(Capacity_Resource,$E120,'Critical resources (hide)'!BP$6:BP$105)+SUMIF(Capacity_Resource,$F120,'Critical resources (hide)'!BP$6:BP$105)&gt;0,$E$1=2),0,1)</f>
        <v>1</v>
      </c>
      <c r="BD120" s="68">
        <f ca="1">IF(AND(SUMIF(Capacity_Resource,$D120,'Critical resources (hide)'!BQ$6:BQ$105)+SUMIF(Capacity_Resource,$E120,'Critical resources (hide)'!BQ$6:BQ$105)+SUMIF(Capacity_Resource,$F120,'Critical resources (hide)'!BQ$6:BQ$105)&gt;0,$E$1=2),0,1)</f>
        <v>1</v>
      </c>
      <c r="BE120" s="68">
        <f ca="1">IF(AND(SUMIF(Capacity_Resource,$D120,'Critical resources (hide)'!BR$6:BR$105)+SUMIF(Capacity_Resource,$E120,'Critical resources (hide)'!BR$6:BR$105)+SUMIF(Capacity_Resource,$F120,'Critical resources (hide)'!BR$6:BR$105)&gt;0,$E$1=2),0,1)</f>
        <v>1</v>
      </c>
      <c r="BF120" s="68">
        <f ca="1">IF(AND(SUMIF(Capacity_Resource,$D120,'Critical resources (hide)'!BS$6:BS$105)+SUMIF(Capacity_Resource,$E120,'Critical resources (hide)'!BS$6:BS$105)+SUMIF(Capacity_Resource,$F120,'Critical resources (hide)'!BS$6:BS$105)&gt;0,$E$1=2),0,1)</f>
        <v>1</v>
      </c>
      <c r="BG120" s="68">
        <f ca="1">IF(AND(SUMIF(Capacity_Resource,$D120,'Critical resources (hide)'!BT$6:BT$105)+SUMIF(Capacity_Resource,$E120,'Critical resources (hide)'!BT$6:BT$105)+SUMIF(Capacity_Resource,$F120,'Critical resources (hide)'!BT$6:BT$105)&gt;0,$E$1=2),0,1)</f>
        <v>1</v>
      </c>
      <c r="BH120" s="68">
        <f>IF(ROW(A9)&lt;=Capacity!$M$16,IF('Capacity summary'!$C$14="No",SUM(H120:BG120),'Capacity summary'!$E32),0)</f>
        <v>0</v>
      </c>
      <c r="BI120" s="68" t="str">
        <f>IF(BH120&gt;0,IF(BH120&lt;Capacity!Q25,Capacity!R25,Capacity!T25/'Capacity calculation (hide)'!BH120),"")</f>
        <v/>
      </c>
      <c r="BJ120" s="5"/>
      <c r="BK120" s="5">
        <f>IF($BI120&lt;&gt;"",IF('Capacity summary'!$C$14="Yes",IF(COUNTBLANK('Capacity summary'!$H32:$BG32)&lt;52,IF('Capacity summary'!H32&lt;&gt;"",$BI120*H120,0),H120*$BI120),H120*$BI120),0)</f>
        <v>0</v>
      </c>
      <c r="BL120" s="5">
        <f>IF($BI120&lt;&gt;"",IF('Capacity summary'!$C$14="Yes",IF(COUNTBLANK('Capacity summary'!$H32:$BG32)&lt;52,IF('Capacity summary'!I32&lt;&gt;"",$BI120*I120,0),I120*$BI120),I120*$BI120),0)</f>
        <v>0</v>
      </c>
      <c r="BM120" s="5">
        <f>IF($BI120&lt;&gt;"",IF('Capacity summary'!$C$14="Yes",IF(COUNTBLANK('Capacity summary'!$H32:$BG32)&lt;52,IF('Capacity summary'!J32&lt;&gt;"",$BI120*J120,0),J120*$BI120),J120*$BI120),0)</f>
        <v>0</v>
      </c>
      <c r="BN120" s="5">
        <f>IF($BI120&lt;&gt;"",IF('Capacity summary'!$C$14="Yes",IF(COUNTBLANK('Capacity summary'!$H32:$BG32)&lt;52,IF('Capacity summary'!K32&lt;&gt;"",$BI120*K120,0),K120*$BI120),K120*$BI120),0)</f>
        <v>0</v>
      </c>
      <c r="BO120" s="5">
        <f>IF($BI120&lt;&gt;"",IF('Capacity summary'!$C$14="Yes",IF(COUNTBLANK('Capacity summary'!$H32:$BG32)&lt;52,IF('Capacity summary'!L32&lt;&gt;"",$BI120*L120,0),L120*$BI120),L120*$BI120),0)</f>
        <v>0</v>
      </c>
      <c r="BP120" s="5">
        <f>IF($BI120&lt;&gt;"",IF('Capacity summary'!$C$14="Yes",IF(COUNTBLANK('Capacity summary'!$H32:$BG32)&lt;52,IF('Capacity summary'!M32&lt;&gt;"",$BI120*M120,0),M120*$BI120),M120*$BI120),0)</f>
        <v>0</v>
      </c>
      <c r="BQ120" s="5">
        <f>IF($BI120&lt;&gt;"",IF('Capacity summary'!$C$14="Yes",IF(COUNTBLANK('Capacity summary'!$H32:$BG32)&lt;52,IF('Capacity summary'!N32&lt;&gt;"",$BI120*N120,0),N120*$BI120),N120*$BI120),0)</f>
        <v>0</v>
      </c>
      <c r="BR120" s="5">
        <f>IF($BI120&lt;&gt;"",IF('Capacity summary'!$C$14="Yes",IF(COUNTBLANK('Capacity summary'!$H32:$BG32)&lt;52,IF('Capacity summary'!O32&lt;&gt;"",$BI120*O120,0),O120*$BI120),O120*$BI120),0)</f>
        <v>0</v>
      </c>
      <c r="BS120" s="5">
        <f>IF($BI120&lt;&gt;"",IF('Capacity summary'!$C$14="Yes",IF(COUNTBLANK('Capacity summary'!$H32:$BG32)&lt;52,IF('Capacity summary'!P32&lt;&gt;"",$BI120*P120,0),P120*$BI120),P120*$BI120),0)</f>
        <v>0</v>
      </c>
      <c r="BT120" s="5">
        <f>IF($BI120&lt;&gt;"",IF('Capacity summary'!$C$14="Yes",IF(COUNTBLANK('Capacity summary'!$H32:$BG32)&lt;52,IF('Capacity summary'!Q32&lt;&gt;"",$BI120*Q120,0),Q120*$BI120),Q120*$BI120),0)</f>
        <v>0</v>
      </c>
      <c r="BU120" s="5">
        <f>IF($BI120&lt;&gt;"",IF('Capacity summary'!$C$14="Yes",IF(COUNTBLANK('Capacity summary'!$H32:$BG32)&lt;52,IF('Capacity summary'!R32&lt;&gt;"",$BI120*R120,0),R120*$BI120),R120*$BI120),0)</f>
        <v>0</v>
      </c>
      <c r="BV120" s="5">
        <f>IF($BI120&lt;&gt;"",IF('Capacity summary'!$C$14="Yes",IF(COUNTBLANK('Capacity summary'!$H32:$BG32)&lt;52,IF('Capacity summary'!S32&lt;&gt;"",$BI120*S120,0),S120*$BI120),S120*$BI120),0)</f>
        <v>0</v>
      </c>
      <c r="BW120" s="5">
        <f>IF($BI120&lt;&gt;"",IF('Capacity summary'!$C$14="Yes",IF(COUNTBLANK('Capacity summary'!$H32:$BG32)&lt;52,IF('Capacity summary'!T32&lt;&gt;"",$BI120*T120,0),T120*$BI120),T120*$BI120),0)</f>
        <v>0</v>
      </c>
      <c r="BX120" s="5">
        <f>IF($BI120&lt;&gt;"",IF('Capacity summary'!$C$14="Yes",IF(COUNTBLANK('Capacity summary'!$H32:$BG32)&lt;52,IF('Capacity summary'!U32&lt;&gt;"",$BI120*U120,0),U120*$BI120),U120*$BI120),0)</f>
        <v>0</v>
      </c>
      <c r="BY120" s="5">
        <f>IF($BI120&lt;&gt;"",IF('Capacity summary'!$C$14="Yes",IF(COUNTBLANK('Capacity summary'!$H32:$BG32)&lt;52,IF('Capacity summary'!V32&lt;&gt;"",$BI120*V120,0),V120*$BI120),V120*$BI120),0)</f>
        <v>0</v>
      </c>
      <c r="BZ120" s="5">
        <f>IF($BI120&lt;&gt;"",IF('Capacity summary'!$C$14="Yes",IF(COUNTBLANK('Capacity summary'!$H32:$BG32)&lt;52,IF('Capacity summary'!W32&lt;&gt;"",$BI120*W120,0),W120*$BI120),W120*$BI120),0)</f>
        <v>0</v>
      </c>
      <c r="CA120" s="5">
        <f>IF($BI120&lt;&gt;"",IF('Capacity summary'!$C$14="Yes",IF(COUNTBLANK('Capacity summary'!$H32:$BG32)&lt;52,IF('Capacity summary'!X32&lt;&gt;"",$BI120*X120,0),X120*$BI120),X120*$BI120),0)</f>
        <v>0</v>
      </c>
      <c r="CB120" s="5">
        <f>IF($BI120&lt;&gt;"",IF('Capacity summary'!$C$14="Yes",IF(COUNTBLANK('Capacity summary'!$H32:$BG32)&lt;52,IF('Capacity summary'!Y32&lt;&gt;"",$BI120*Y120,0),Y120*$BI120),Y120*$BI120),0)</f>
        <v>0</v>
      </c>
      <c r="CC120" s="5">
        <f>IF($BI120&lt;&gt;"",IF('Capacity summary'!$C$14="Yes",IF(COUNTBLANK('Capacity summary'!$H32:$BG32)&lt;52,IF('Capacity summary'!Z32&lt;&gt;"",$BI120*Z120,0),Z120*$BI120),Z120*$BI120),0)</f>
        <v>0</v>
      </c>
      <c r="CD120" s="5">
        <f>IF($BI120&lt;&gt;"",IF('Capacity summary'!$C$14="Yes",IF(COUNTBLANK('Capacity summary'!$H32:$BG32)&lt;52,IF('Capacity summary'!AA32&lt;&gt;"",$BI120*AA120,0),AA120*$BI120),AA120*$BI120),0)</f>
        <v>0</v>
      </c>
      <c r="CE120" s="5">
        <f>IF($BI120&lt;&gt;"",IF('Capacity summary'!$C$14="Yes",IF(COUNTBLANK('Capacity summary'!$H32:$BG32)&lt;52,IF('Capacity summary'!AB32&lt;&gt;"",$BI120*AB120,0),AB120*$BI120),AB120*$BI120),0)</f>
        <v>0</v>
      </c>
      <c r="CF120" s="5">
        <f>IF($BI120&lt;&gt;"",IF('Capacity summary'!$C$14="Yes",IF(COUNTBLANK('Capacity summary'!$H32:$BG32)&lt;52,IF('Capacity summary'!AC32&lt;&gt;"",$BI120*AC120,0),AC120*$BI120),AC120*$BI120),0)</f>
        <v>0</v>
      </c>
      <c r="CG120" s="5">
        <f>IF($BI120&lt;&gt;"",IF('Capacity summary'!$C$14="Yes",IF(COUNTBLANK('Capacity summary'!$H32:$BG32)&lt;52,IF('Capacity summary'!AD32&lt;&gt;"",$BI120*AD120,0),AD120*$BI120),AD120*$BI120),0)</f>
        <v>0</v>
      </c>
      <c r="CH120" s="5">
        <f>IF($BI120&lt;&gt;"",IF('Capacity summary'!$C$14="Yes",IF(COUNTBLANK('Capacity summary'!$H32:$BG32)&lt;52,IF('Capacity summary'!AE32&lt;&gt;"",$BI120*AE120,0),AE120*$BI120),AE120*$BI120),0)</f>
        <v>0</v>
      </c>
      <c r="CI120" s="5">
        <f>IF($BI120&lt;&gt;"",IF('Capacity summary'!$C$14="Yes",IF(COUNTBLANK('Capacity summary'!$H32:$BG32)&lt;52,IF('Capacity summary'!AF32&lt;&gt;"",$BI120*AF120,0),AF120*$BI120),AF120*$BI120),0)</f>
        <v>0</v>
      </c>
      <c r="CJ120" s="5">
        <f>IF($BI120&lt;&gt;"",IF('Capacity summary'!$C$14="Yes",IF(COUNTBLANK('Capacity summary'!$H32:$BG32)&lt;52,IF('Capacity summary'!AG32&lt;&gt;"",$BI120*AG120,0),AG120*$BI120),AG120*$BI120),0)</f>
        <v>0</v>
      </c>
      <c r="CK120" s="5">
        <f>IF($BI120&lt;&gt;"",IF('Capacity summary'!$C$14="Yes",IF(COUNTBLANK('Capacity summary'!$H32:$BG32)&lt;52,IF('Capacity summary'!AH32&lt;&gt;"",$BI120*AH120,0),AH120*$BI120),AH120*$BI120),0)</f>
        <v>0</v>
      </c>
      <c r="CL120" s="5">
        <f>IF($BI120&lt;&gt;"",IF('Capacity summary'!$C$14="Yes",IF(COUNTBLANK('Capacity summary'!$H32:$BG32)&lt;52,IF('Capacity summary'!AI32&lt;&gt;"",$BI120*AI120,0),AI120*$BI120),AI120*$BI120),0)</f>
        <v>0</v>
      </c>
      <c r="CM120" s="5">
        <f>IF($BI120&lt;&gt;"",IF('Capacity summary'!$C$14="Yes",IF(COUNTBLANK('Capacity summary'!$H32:$BG32)&lt;52,IF('Capacity summary'!AJ32&lt;&gt;"",$BI120*AJ120,0),AJ120*$BI120),AJ120*$BI120),0)</f>
        <v>0</v>
      </c>
      <c r="CN120" s="5">
        <f>IF($BI120&lt;&gt;"",IF('Capacity summary'!$C$14="Yes",IF(COUNTBLANK('Capacity summary'!$H32:$BG32)&lt;52,IF('Capacity summary'!AK32&lt;&gt;"",$BI120*AK120,0),AK120*$BI120),AK120*$BI120),0)</f>
        <v>0</v>
      </c>
      <c r="CO120" s="5">
        <f>IF($BI120&lt;&gt;"",IF('Capacity summary'!$C$14="Yes",IF(COUNTBLANK('Capacity summary'!$H32:$BG32)&lt;52,IF('Capacity summary'!AL32&lt;&gt;"",$BI120*AL120,0),AL120*$BI120),AL120*$BI120),0)</f>
        <v>0</v>
      </c>
      <c r="CP120" s="5">
        <f>IF($BI120&lt;&gt;"",IF('Capacity summary'!$C$14="Yes",IF(COUNTBLANK('Capacity summary'!$H32:$BG32)&lt;52,IF('Capacity summary'!AM32&lt;&gt;"",$BI120*AM120,0),AM120*$BI120),AM120*$BI120),0)</f>
        <v>0</v>
      </c>
      <c r="CQ120" s="5">
        <f>IF($BI120&lt;&gt;"",IF('Capacity summary'!$C$14="Yes",IF(COUNTBLANK('Capacity summary'!$H32:$BG32)&lt;52,IF('Capacity summary'!AN32&lt;&gt;"",$BI120*AN120,0),AN120*$BI120),AN120*$BI120),0)</f>
        <v>0</v>
      </c>
      <c r="CR120" s="5">
        <f>IF($BI120&lt;&gt;"",IF('Capacity summary'!$C$14="Yes",IF(COUNTBLANK('Capacity summary'!$H32:$BG32)&lt;52,IF('Capacity summary'!AO32&lt;&gt;"",$BI120*AO120,0),AO120*$BI120),AO120*$BI120),0)</f>
        <v>0</v>
      </c>
      <c r="CS120" s="5">
        <f>IF($BI120&lt;&gt;"",IF('Capacity summary'!$C$14="Yes",IF(COUNTBLANK('Capacity summary'!$H32:$BG32)&lt;52,IF('Capacity summary'!AP32&lt;&gt;"",$BI120*AP120,0),AP120*$BI120),AP120*$BI120),0)</f>
        <v>0</v>
      </c>
      <c r="CT120" s="5">
        <f>IF($BI120&lt;&gt;"",IF('Capacity summary'!$C$14="Yes",IF(COUNTBLANK('Capacity summary'!$H32:$BG32)&lt;52,IF('Capacity summary'!AQ32&lt;&gt;"",$BI120*AQ120,0),AQ120*$BI120),AQ120*$BI120),0)</f>
        <v>0</v>
      </c>
      <c r="CU120" s="5">
        <f>IF($BI120&lt;&gt;"",IF('Capacity summary'!$C$14="Yes",IF(COUNTBLANK('Capacity summary'!$H32:$BG32)&lt;52,IF('Capacity summary'!AR32&lt;&gt;"",$BI120*AR120,0),AR120*$BI120),AR120*$BI120),0)</f>
        <v>0</v>
      </c>
      <c r="CV120" s="5">
        <f>IF($BI120&lt;&gt;"",IF('Capacity summary'!$C$14="Yes",IF(COUNTBLANK('Capacity summary'!$H32:$BG32)&lt;52,IF('Capacity summary'!AS32&lt;&gt;"",$BI120*AS120,0),AS120*$BI120),AS120*$BI120),0)</f>
        <v>0</v>
      </c>
      <c r="CW120" s="5">
        <f>IF($BI120&lt;&gt;"",IF('Capacity summary'!$C$14="Yes",IF(COUNTBLANK('Capacity summary'!$H32:$BG32)&lt;52,IF('Capacity summary'!AT32&lt;&gt;"",$BI120*AT120,0),AT120*$BI120),AT120*$BI120),0)</f>
        <v>0</v>
      </c>
      <c r="CX120" s="5">
        <f>IF($BI120&lt;&gt;"",IF('Capacity summary'!$C$14="Yes",IF(COUNTBLANK('Capacity summary'!$H32:$BG32)&lt;52,IF('Capacity summary'!AU32&lt;&gt;"",$BI120*AU120,0),AU120*$BI120),AU120*$BI120),0)</f>
        <v>0</v>
      </c>
      <c r="CY120" s="5">
        <f>IF($BI120&lt;&gt;"",IF('Capacity summary'!$C$14="Yes",IF(COUNTBLANK('Capacity summary'!$H32:$BG32)&lt;52,IF('Capacity summary'!AV32&lt;&gt;"",$BI120*AV120,0),AV120*$BI120),AV120*$BI120),0)</f>
        <v>0</v>
      </c>
      <c r="CZ120" s="5">
        <f>IF($BI120&lt;&gt;"",IF('Capacity summary'!$C$14="Yes",IF(COUNTBLANK('Capacity summary'!$H32:$BG32)&lt;52,IF('Capacity summary'!AW32&lt;&gt;"",$BI120*AW120,0),AW120*$BI120),AW120*$BI120),0)</f>
        <v>0</v>
      </c>
      <c r="DA120" s="5">
        <f>IF($BI120&lt;&gt;"",IF('Capacity summary'!$C$14="Yes",IF(COUNTBLANK('Capacity summary'!$H32:$BG32)&lt;52,IF('Capacity summary'!AX32&lt;&gt;"",$BI120*AX120,0),AX120*$BI120),AX120*$BI120),0)</f>
        <v>0</v>
      </c>
      <c r="DB120" s="5">
        <f>IF($BI120&lt;&gt;"",IF('Capacity summary'!$C$14="Yes",IF(COUNTBLANK('Capacity summary'!$H32:$BG32)&lt;52,IF('Capacity summary'!AY32&lt;&gt;"",$BI120*AY120,0),AY120*$BI120),AY120*$BI120),0)</f>
        <v>0</v>
      </c>
      <c r="DC120" s="5">
        <f>IF($BI120&lt;&gt;"",IF('Capacity summary'!$C$14="Yes",IF(COUNTBLANK('Capacity summary'!$H32:$BG32)&lt;52,IF('Capacity summary'!AZ32&lt;&gt;"",$BI120*AZ120,0),AZ120*$BI120),AZ120*$BI120),0)</f>
        <v>0</v>
      </c>
      <c r="DD120" s="5">
        <f>IF($BI120&lt;&gt;"",IF('Capacity summary'!$C$14="Yes",IF(COUNTBLANK('Capacity summary'!$H32:$BG32)&lt;52,IF('Capacity summary'!BA32&lt;&gt;"",$BI120*BA120,0),BA120*$BI120),BA120*$BI120),0)</f>
        <v>0</v>
      </c>
      <c r="DE120" s="5">
        <f>IF($BI120&lt;&gt;"",IF('Capacity summary'!$C$14="Yes",IF(COUNTBLANK('Capacity summary'!$H32:$BG32)&lt;52,IF('Capacity summary'!BB32&lt;&gt;"",$BI120*BB120,0),BB120*$BI120),BB120*$BI120),0)</f>
        <v>0</v>
      </c>
      <c r="DF120" s="5">
        <f>IF($BI120&lt;&gt;"",IF('Capacity summary'!$C$14="Yes",IF(COUNTBLANK('Capacity summary'!$H32:$BG32)&lt;52,IF('Capacity summary'!BC32&lt;&gt;"",$BI120*BC120,0),BC120*$BI120),BC120*$BI120),0)</f>
        <v>0</v>
      </c>
      <c r="DG120" s="5">
        <f>IF($BI120&lt;&gt;"",IF('Capacity summary'!$C$14="Yes",IF(COUNTBLANK('Capacity summary'!$H32:$BG32)&lt;52,IF('Capacity summary'!BD32&lt;&gt;"",$BI120*BD120,0),BD120*$BI120),BD120*$BI120),0)</f>
        <v>0</v>
      </c>
      <c r="DH120" s="5">
        <f>IF($BI120&lt;&gt;"",IF('Capacity summary'!$C$14="Yes",IF(COUNTBLANK('Capacity summary'!$H32:$BG32)&lt;52,IF('Capacity summary'!BE32&lt;&gt;"",$BI120*BE120,0),BE120*$BI120),BE120*$BI120),0)</f>
        <v>0</v>
      </c>
      <c r="DI120" s="5">
        <f>IF($BI120&lt;&gt;"",IF('Capacity summary'!$C$14="Yes",IF(COUNTBLANK('Capacity summary'!$H32:$BG32)&lt;52,IF('Capacity summary'!BF32&lt;&gt;"",$BI120*BF120,0),BF120*$BI120),BF120*$BI120),0)</f>
        <v>0</v>
      </c>
      <c r="DJ120" s="5">
        <f>IF($BI120&lt;&gt;"",IF('Capacity summary'!$C$14="Yes",IF(COUNTBLANK('Capacity summary'!$H32:$BG32)&lt;52,IF('Capacity summary'!BG32&lt;&gt;"",$BI120*BG120,0),BG120*$BI120),BG120*$BI120),0)</f>
        <v>0</v>
      </c>
      <c r="DK120" s="138">
        <f t="shared" si="6"/>
        <v>0</v>
      </c>
    </row>
    <row r="121" spans="3:115" x14ac:dyDescent="0.2">
      <c r="C121" s="68" t="str">
        <f>ROW(A10)&amp;". "&amp;Capacity!N26</f>
        <v xml:space="preserve">10. </v>
      </c>
      <c r="D121" s="68">
        <f>'Capacity setup'!C127</f>
        <v>0</v>
      </c>
      <c r="E121" s="68">
        <f>'Capacity setup'!D127</f>
        <v>0</v>
      </c>
      <c r="F121" s="68">
        <f>'Capacity setup'!E127</f>
        <v>0</v>
      </c>
      <c r="H121" s="68">
        <f ca="1">IF(AND(SUMIF(Capacity_Resource,$D121,'Critical resources (hide)'!U$6:U$105)+SUMIF(Capacity_Resource,$E121,'Critical resources (hide)'!U$6:U$105)+SUMIF(Capacity_Resource,$F121,'Critical resources (hide)'!U$6:U$105)&gt;0,$E$1=2),0,1)</f>
        <v>1</v>
      </c>
      <c r="I121" s="68">
        <f ca="1">IF(AND(SUMIF(Capacity_Resource,$D121,'Critical resources (hide)'!V$6:V$105)+SUMIF(Capacity_Resource,$E121,'Critical resources (hide)'!V$6:V$105)+SUMIF(Capacity_Resource,$F121,'Critical resources (hide)'!V$6:V$105)&gt;0,$E$1=2),0,1)</f>
        <v>1</v>
      </c>
      <c r="J121" s="68">
        <f ca="1">IF(AND(SUMIF(Capacity_Resource,$D121,'Critical resources (hide)'!W$6:W$105)+SUMIF(Capacity_Resource,$E121,'Critical resources (hide)'!W$6:W$105)+SUMIF(Capacity_Resource,$F121,'Critical resources (hide)'!W$6:W$105)&gt;0,$E$1=2),0,1)</f>
        <v>1</v>
      </c>
      <c r="K121" s="68">
        <f ca="1">IF(AND(SUMIF(Capacity_Resource,$D121,'Critical resources (hide)'!X$6:X$105)+SUMIF(Capacity_Resource,$E121,'Critical resources (hide)'!X$6:X$105)+SUMIF(Capacity_Resource,$F121,'Critical resources (hide)'!X$6:X$105)&gt;0,$E$1=2),0,1)</f>
        <v>1</v>
      </c>
      <c r="L121" s="68">
        <f ca="1">IF(AND(SUMIF(Capacity_Resource,$D121,'Critical resources (hide)'!Y$6:Y$105)+SUMIF(Capacity_Resource,$E121,'Critical resources (hide)'!Y$6:Y$105)+SUMIF(Capacity_Resource,$F121,'Critical resources (hide)'!Y$6:Y$105)&gt;0,$E$1=2),0,1)</f>
        <v>1</v>
      </c>
      <c r="M121" s="68">
        <f ca="1">IF(AND(SUMIF(Capacity_Resource,$D121,'Critical resources (hide)'!Z$6:Z$105)+SUMIF(Capacity_Resource,$E121,'Critical resources (hide)'!Z$6:Z$105)+SUMIF(Capacity_Resource,$F121,'Critical resources (hide)'!Z$6:Z$105)&gt;0,$E$1=2),0,1)</f>
        <v>1</v>
      </c>
      <c r="N121" s="68">
        <f ca="1">IF(AND(SUMIF(Capacity_Resource,$D121,'Critical resources (hide)'!AA$6:AA$105)+SUMIF(Capacity_Resource,$E121,'Critical resources (hide)'!AA$6:AA$105)+SUMIF(Capacity_Resource,$F121,'Critical resources (hide)'!AA$6:AA$105)&gt;0,$E$1=2),0,1)</f>
        <v>1</v>
      </c>
      <c r="O121" s="68">
        <f ca="1">IF(AND(SUMIF(Capacity_Resource,$D121,'Critical resources (hide)'!AB$6:AB$105)+SUMIF(Capacity_Resource,$E121,'Critical resources (hide)'!AB$6:AB$105)+SUMIF(Capacity_Resource,$F121,'Critical resources (hide)'!AB$6:AB$105)&gt;0,$E$1=2),0,1)</f>
        <v>1</v>
      </c>
      <c r="P121" s="68">
        <f ca="1">IF(AND(SUMIF(Capacity_Resource,$D121,'Critical resources (hide)'!AC$6:AC$105)+SUMIF(Capacity_Resource,$E121,'Critical resources (hide)'!AC$6:AC$105)+SUMIF(Capacity_Resource,$F121,'Critical resources (hide)'!AC$6:AC$105)&gt;0,$E$1=2),0,1)</f>
        <v>1</v>
      </c>
      <c r="Q121" s="68">
        <f ca="1">IF(AND(SUMIF(Capacity_Resource,$D121,'Critical resources (hide)'!AD$6:AD$105)+SUMIF(Capacity_Resource,$E121,'Critical resources (hide)'!AD$6:AD$105)+SUMIF(Capacity_Resource,$F121,'Critical resources (hide)'!AD$6:AD$105)&gt;0,$E$1=2),0,1)</f>
        <v>1</v>
      </c>
      <c r="R121" s="68">
        <f ca="1">IF(AND(SUMIF(Capacity_Resource,$D121,'Critical resources (hide)'!AE$6:AE$105)+SUMIF(Capacity_Resource,$E121,'Critical resources (hide)'!AE$6:AE$105)+SUMIF(Capacity_Resource,$F121,'Critical resources (hide)'!AE$6:AE$105)&gt;0,$E$1=2),0,1)</f>
        <v>1</v>
      </c>
      <c r="S121" s="68">
        <f ca="1">IF(AND(SUMIF(Capacity_Resource,$D121,'Critical resources (hide)'!AF$6:AF$105)+SUMIF(Capacity_Resource,$E121,'Critical resources (hide)'!AF$6:AF$105)+SUMIF(Capacity_Resource,$F121,'Critical resources (hide)'!AF$6:AF$105)&gt;0,$E$1=2),0,1)</f>
        <v>1</v>
      </c>
      <c r="T121" s="68">
        <f ca="1">IF(AND(SUMIF(Capacity_Resource,$D121,'Critical resources (hide)'!AG$6:AG$105)+SUMIF(Capacity_Resource,$E121,'Critical resources (hide)'!AG$6:AG$105)+SUMIF(Capacity_Resource,$F121,'Critical resources (hide)'!AG$6:AG$105)&gt;0,$E$1=2),0,1)</f>
        <v>1</v>
      </c>
      <c r="U121" s="68">
        <f ca="1">IF(AND(SUMIF(Capacity_Resource,$D121,'Critical resources (hide)'!AH$6:AH$105)+SUMIF(Capacity_Resource,$E121,'Critical resources (hide)'!AH$6:AH$105)+SUMIF(Capacity_Resource,$F121,'Critical resources (hide)'!AH$6:AH$105)&gt;0,$E$1=2),0,1)</f>
        <v>1</v>
      </c>
      <c r="V121" s="68">
        <f ca="1">IF(AND(SUMIF(Capacity_Resource,$D121,'Critical resources (hide)'!AI$6:AI$105)+SUMIF(Capacity_Resource,$E121,'Critical resources (hide)'!AI$6:AI$105)+SUMIF(Capacity_Resource,$F121,'Critical resources (hide)'!AI$6:AI$105)&gt;0,$E$1=2),0,1)</f>
        <v>1</v>
      </c>
      <c r="W121" s="68">
        <f ca="1">IF(AND(SUMIF(Capacity_Resource,$D121,'Critical resources (hide)'!AJ$6:AJ$105)+SUMIF(Capacity_Resource,$E121,'Critical resources (hide)'!AJ$6:AJ$105)+SUMIF(Capacity_Resource,$F121,'Critical resources (hide)'!AJ$6:AJ$105)&gt;0,$E$1=2),0,1)</f>
        <v>1</v>
      </c>
      <c r="X121" s="68">
        <f ca="1">IF(AND(SUMIF(Capacity_Resource,$D121,'Critical resources (hide)'!AK$6:AK$105)+SUMIF(Capacity_Resource,$E121,'Critical resources (hide)'!AK$6:AK$105)+SUMIF(Capacity_Resource,$F121,'Critical resources (hide)'!AK$6:AK$105)&gt;0,$E$1=2),0,1)</f>
        <v>1</v>
      </c>
      <c r="Y121" s="68">
        <f ca="1">IF(AND(SUMIF(Capacity_Resource,$D121,'Critical resources (hide)'!AL$6:AL$105)+SUMIF(Capacity_Resource,$E121,'Critical resources (hide)'!AL$6:AL$105)+SUMIF(Capacity_Resource,$F121,'Critical resources (hide)'!AL$6:AL$105)&gt;0,$E$1=2),0,1)</f>
        <v>1</v>
      </c>
      <c r="Z121" s="68">
        <f ca="1">IF(AND(SUMIF(Capacity_Resource,$D121,'Critical resources (hide)'!AM$6:AM$105)+SUMIF(Capacity_Resource,$E121,'Critical resources (hide)'!AM$6:AM$105)+SUMIF(Capacity_Resource,$F121,'Critical resources (hide)'!AM$6:AM$105)&gt;0,$E$1=2),0,1)</f>
        <v>1</v>
      </c>
      <c r="AA121" s="68">
        <f ca="1">IF(AND(SUMIF(Capacity_Resource,$D121,'Critical resources (hide)'!AN$6:AN$105)+SUMIF(Capacity_Resource,$E121,'Critical resources (hide)'!AN$6:AN$105)+SUMIF(Capacity_Resource,$F121,'Critical resources (hide)'!AN$6:AN$105)&gt;0,$E$1=2),0,1)</f>
        <v>1</v>
      </c>
      <c r="AB121" s="68">
        <f ca="1">IF(AND(SUMIF(Capacity_Resource,$D121,'Critical resources (hide)'!AO$6:AO$105)+SUMIF(Capacity_Resource,$E121,'Critical resources (hide)'!AO$6:AO$105)+SUMIF(Capacity_Resource,$F121,'Critical resources (hide)'!AO$6:AO$105)&gt;0,$E$1=2),0,1)</f>
        <v>1</v>
      </c>
      <c r="AC121" s="68">
        <f ca="1">IF(AND(SUMIF(Capacity_Resource,$D121,'Critical resources (hide)'!AP$6:AP$105)+SUMIF(Capacity_Resource,$E121,'Critical resources (hide)'!AP$6:AP$105)+SUMIF(Capacity_Resource,$F121,'Critical resources (hide)'!AP$6:AP$105)&gt;0,$E$1=2),0,1)</f>
        <v>1</v>
      </c>
      <c r="AD121" s="68">
        <f ca="1">IF(AND(SUMIF(Capacity_Resource,$D121,'Critical resources (hide)'!AQ$6:AQ$105)+SUMIF(Capacity_Resource,$E121,'Critical resources (hide)'!AQ$6:AQ$105)+SUMIF(Capacity_Resource,$F121,'Critical resources (hide)'!AQ$6:AQ$105)&gt;0,$E$1=2),0,1)</f>
        <v>1</v>
      </c>
      <c r="AE121" s="68">
        <f ca="1">IF(AND(SUMIF(Capacity_Resource,$D121,'Critical resources (hide)'!AR$6:AR$105)+SUMIF(Capacity_Resource,$E121,'Critical resources (hide)'!AR$6:AR$105)+SUMIF(Capacity_Resource,$F121,'Critical resources (hide)'!AR$6:AR$105)&gt;0,$E$1=2),0,1)</f>
        <v>1</v>
      </c>
      <c r="AF121" s="68">
        <f ca="1">IF(AND(SUMIF(Capacity_Resource,$D121,'Critical resources (hide)'!AS$6:AS$105)+SUMIF(Capacity_Resource,$E121,'Critical resources (hide)'!AS$6:AS$105)+SUMIF(Capacity_Resource,$F121,'Critical resources (hide)'!AS$6:AS$105)&gt;0,$E$1=2),0,1)</f>
        <v>1</v>
      </c>
      <c r="AG121" s="68">
        <f ca="1">IF(AND(SUMIF(Capacity_Resource,$D121,'Critical resources (hide)'!AT$6:AT$105)+SUMIF(Capacity_Resource,$E121,'Critical resources (hide)'!AT$6:AT$105)+SUMIF(Capacity_Resource,$F121,'Critical resources (hide)'!AT$6:AT$105)&gt;0,$E$1=2),0,1)</f>
        <v>1</v>
      </c>
      <c r="AH121" s="68">
        <f ca="1">IF(AND(SUMIF(Capacity_Resource,$D121,'Critical resources (hide)'!AU$6:AU$105)+SUMIF(Capacity_Resource,$E121,'Critical resources (hide)'!AU$6:AU$105)+SUMIF(Capacity_Resource,$F121,'Critical resources (hide)'!AU$6:AU$105)&gt;0,$E$1=2),0,1)</f>
        <v>1</v>
      </c>
      <c r="AI121" s="68">
        <f ca="1">IF(AND(SUMIF(Capacity_Resource,$D121,'Critical resources (hide)'!AV$6:AV$105)+SUMIF(Capacity_Resource,$E121,'Critical resources (hide)'!AV$6:AV$105)+SUMIF(Capacity_Resource,$F121,'Critical resources (hide)'!AV$6:AV$105)&gt;0,$E$1=2),0,1)</f>
        <v>1</v>
      </c>
      <c r="AJ121" s="68">
        <f ca="1">IF(AND(SUMIF(Capacity_Resource,$D121,'Critical resources (hide)'!AW$6:AW$105)+SUMIF(Capacity_Resource,$E121,'Critical resources (hide)'!AW$6:AW$105)+SUMIF(Capacity_Resource,$F121,'Critical resources (hide)'!AW$6:AW$105)&gt;0,$E$1=2),0,1)</f>
        <v>1</v>
      </c>
      <c r="AK121" s="68">
        <f ca="1">IF(AND(SUMIF(Capacity_Resource,$D121,'Critical resources (hide)'!AX$6:AX$105)+SUMIF(Capacity_Resource,$E121,'Critical resources (hide)'!AX$6:AX$105)+SUMIF(Capacity_Resource,$F121,'Critical resources (hide)'!AX$6:AX$105)&gt;0,$E$1=2),0,1)</f>
        <v>1</v>
      </c>
      <c r="AL121" s="68">
        <f ca="1">IF(AND(SUMIF(Capacity_Resource,$D121,'Critical resources (hide)'!AY$6:AY$105)+SUMIF(Capacity_Resource,$E121,'Critical resources (hide)'!AY$6:AY$105)+SUMIF(Capacity_Resource,$F121,'Critical resources (hide)'!AY$6:AY$105)&gt;0,$E$1=2),0,1)</f>
        <v>1</v>
      </c>
      <c r="AM121" s="68">
        <f ca="1">IF(AND(SUMIF(Capacity_Resource,$D121,'Critical resources (hide)'!AZ$6:AZ$105)+SUMIF(Capacity_Resource,$E121,'Critical resources (hide)'!AZ$6:AZ$105)+SUMIF(Capacity_Resource,$F121,'Critical resources (hide)'!AZ$6:AZ$105)&gt;0,$E$1=2),0,1)</f>
        <v>1</v>
      </c>
      <c r="AN121" s="68">
        <f ca="1">IF(AND(SUMIF(Capacity_Resource,$D121,'Critical resources (hide)'!BA$6:BA$105)+SUMIF(Capacity_Resource,$E121,'Critical resources (hide)'!BA$6:BA$105)+SUMIF(Capacity_Resource,$F121,'Critical resources (hide)'!BA$6:BA$105)&gt;0,$E$1=2),0,1)</f>
        <v>1</v>
      </c>
      <c r="AO121" s="68">
        <f ca="1">IF(AND(SUMIF(Capacity_Resource,$D121,'Critical resources (hide)'!BB$6:BB$105)+SUMIF(Capacity_Resource,$E121,'Critical resources (hide)'!BB$6:BB$105)+SUMIF(Capacity_Resource,$F121,'Critical resources (hide)'!BB$6:BB$105)&gt;0,$E$1=2),0,1)</f>
        <v>1</v>
      </c>
      <c r="AP121" s="68">
        <f ca="1">IF(AND(SUMIF(Capacity_Resource,$D121,'Critical resources (hide)'!BC$6:BC$105)+SUMIF(Capacity_Resource,$E121,'Critical resources (hide)'!BC$6:BC$105)+SUMIF(Capacity_Resource,$F121,'Critical resources (hide)'!BC$6:BC$105)&gt;0,$E$1=2),0,1)</f>
        <v>1</v>
      </c>
      <c r="AQ121" s="68">
        <f ca="1">IF(AND(SUMIF(Capacity_Resource,$D121,'Critical resources (hide)'!BD$6:BD$105)+SUMIF(Capacity_Resource,$E121,'Critical resources (hide)'!BD$6:BD$105)+SUMIF(Capacity_Resource,$F121,'Critical resources (hide)'!BD$6:BD$105)&gt;0,$E$1=2),0,1)</f>
        <v>1</v>
      </c>
      <c r="AR121" s="68">
        <f ca="1">IF(AND(SUMIF(Capacity_Resource,$D121,'Critical resources (hide)'!BE$6:BE$105)+SUMIF(Capacity_Resource,$E121,'Critical resources (hide)'!BE$6:BE$105)+SUMIF(Capacity_Resource,$F121,'Critical resources (hide)'!BE$6:BE$105)&gt;0,$E$1=2),0,1)</f>
        <v>1</v>
      </c>
      <c r="AS121" s="68">
        <f ca="1">IF(AND(SUMIF(Capacity_Resource,$D121,'Critical resources (hide)'!BF$6:BF$105)+SUMIF(Capacity_Resource,$E121,'Critical resources (hide)'!BF$6:BF$105)+SUMIF(Capacity_Resource,$F121,'Critical resources (hide)'!BF$6:BF$105)&gt;0,$E$1=2),0,1)</f>
        <v>1</v>
      </c>
      <c r="AT121" s="68">
        <f ca="1">IF(AND(SUMIF(Capacity_Resource,$D121,'Critical resources (hide)'!BG$6:BG$105)+SUMIF(Capacity_Resource,$E121,'Critical resources (hide)'!BG$6:BG$105)+SUMIF(Capacity_Resource,$F121,'Critical resources (hide)'!BG$6:BG$105)&gt;0,$E$1=2),0,1)</f>
        <v>1</v>
      </c>
      <c r="AU121" s="68">
        <f ca="1">IF(AND(SUMIF(Capacity_Resource,$D121,'Critical resources (hide)'!BH$6:BH$105)+SUMIF(Capacity_Resource,$E121,'Critical resources (hide)'!BH$6:BH$105)+SUMIF(Capacity_Resource,$F121,'Critical resources (hide)'!BH$6:BH$105)&gt;0,$E$1=2),0,1)</f>
        <v>1</v>
      </c>
      <c r="AV121" s="68">
        <f ca="1">IF(AND(SUMIF(Capacity_Resource,$D121,'Critical resources (hide)'!BI$6:BI$105)+SUMIF(Capacity_Resource,$E121,'Critical resources (hide)'!BI$6:BI$105)+SUMIF(Capacity_Resource,$F121,'Critical resources (hide)'!BI$6:BI$105)&gt;0,$E$1=2),0,1)</f>
        <v>1</v>
      </c>
      <c r="AW121" s="68">
        <f ca="1">IF(AND(SUMIF(Capacity_Resource,$D121,'Critical resources (hide)'!BJ$6:BJ$105)+SUMIF(Capacity_Resource,$E121,'Critical resources (hide)'!BJ$6:BJ$105)+SUMIF(Capacity_Resource,$F121,'Critical resources (hide)'!BJ$6:BJ$105)&gt;0,$E$1=2),0,1)</f>
        <v>1</v>
      </c>
      <c r="AX121" s="68">
        <f ca="1">IF(AND(SUMIF(Capacity_Resource,$D121,'Critical resources (hide)'!BK$6:BK$105)+SUMIF(Capacity_Resource,$E121,'Critical resources (hide)'!BK$6:BK$105)+SUMIF(Capacity_Resource,$F121,'Critical resources (hide)'!BK$6:BK$105)&gt;0,$E$1=2),0,1)</f>
        <v>1</v>
      </c>
      <c r="AY121" s="68">
        <f ca="1">IF(AND(SUMIF(Capacity_Resource,$D121,'Critical resources (hide)'!BL$6:BL$105)+SUMIF(Capacity_Resource,$E121,'Critical resources (hide)'!BL$6:BL$105)+SUMIF(Capacity_Resource,$F121,'Critical resources (hide)'!BL$6:BL$105)&gt;0,$E$1=2),0,1)</f>
        <v>1</v>
      </c>
      <c r="AZ121" s="68">
        <f ca="1">IF(AND(SUMIF(Capacity_Resource,$D121,'Critical resources (hide)'!BM$6:BM$105)+SUMIF(Capacity_Resource,$E121,'Critical resources (hide)'!BM$6:BM$105)+SUMIF(Capacity_Resource,$F121,'Critical resources (hide)'!BM$6:BM$105)&gt;0,$E$1=2),0,1)</f>
        <v>1</v>
      </c>
      <c r="BA121" s="68">
        <f ca="1">IF(AND(SUMIF(Capacity_Resource,$D121,'Critical resources (hide)'!BN$6:BN$105)+SUMIF(Capacity_Resource,$E121,'Critical resources (hide)'!BN$6:BN$105)+SUMIF(Capacity_Resource,$F121,'Critical resources (hide)'!BN$6:BN$105)&gt;0,$E$1=2),0,1)</f>
        <v>1</v>
      </c>
      <c r="BB121" s="68">
        <f ca="1">IF(AND(SUMIF(Capacity_Resource,$D121,'Critical resources (hide)'!BO$6:BO$105)+SUMIF(Capacity_Resource,$E121,'Critical resources (hide)'!BO$6:BO$105)+SUMIF(Capacity_Resource,$F121,'Critical resources (hide)'!BO$6:BO$105)&gt;0,$E$1=2),0,1)</f>
        <v>1</v>
      </c>
      <c r="BC121" s="68">
        <f ca="1">IF(AND(SUMIF(Capacity_Resource,$D121,'Critical resources (hide)'!BP$6:BP$105)+SUMIF(Capacity_Resource,$E121,'Critical resources (hide)'!BP$6:BP$105)+SUMIF(Capacity_Resource,$F121,'Critical resources (hide)'!BP$6:BP$105)&gt;0,$E$1=2),0,1)</f>
        <v>1</v>
      </c>
      <c r="BD121" s="68">
        <f ca="1">IF(AND(SUMIF(Capacity_Resource,$D121,'Critical resources (hide)'!BQ$6:BQ$105)+SUMIF(Capacity_Resource,$E121,'Critical resources (hide)'!BQ$6:BQ$105)+SUMIF(Capacity_Resource,$F121,'Critical resources (hide)'!BQ$6:BQ$105)&gt;0,$E$1=2),0,1)</f>
        <v>1</v>
      </c>
      <c r="BE121" s="68">
        <f ca="1">IF(AND(SUMIF(Capacity_Resource,$D121,'Critical resources (hide)'!BR$6:BR$105)+SUMIF(Capacity_Resource,$E121,'Critical resources (hide)'!BR$6:BR$105)+SUMIF(Capacity_Resource,$F121,'Critical resources (hide)'!BR$6:BR$105)&gt;0,$E$1=2),0,1)</f>
        <v>1</v>
      </c>
      <c r="BF121" s="68">
        <f ca="1">IF(AND(SUMIF(Capacity_Resource,$D121,'Critical resources (hide)'!BS$6:BS$105)+SUMIF(Capacity_Resource,$E121,'Critical resources (hide)'!BS$6:BS$105)+SUMIF(Capacity_Resource,$F121,'Critical resources (hide)'!BS$6:BS$105)&gt;0,$E$1=2),0,1)</f>
        <v>1</v>
      </c>
      <c r="BG121" s="68">
        <f ca="1">IF(AND(SUMIF(Capacity_Resource,$D121,'Critical resources (hide)'!BT$6:BT$105)+SUMIF(Capacity_Resource,$E121,'Critical resources (hide)'!BT$6:BT$105)+SUMIF(Capacity_Resource,$F121,'Critical resources (hide)'!BT$6:BT$105)&gt;0,$E$1=2),0,1)</f>
        <v>1</v>
      </c>
      <c r="BH121" s="68">
        <f>IF(ROW(A10)&lt;=Capacity!$M$16,IF('Capacity summary'!$C$14="No",SUM(H121:BG121),'Capacity summary'!$E33),0)</f>
        <v>0</v>
      </c>
      <c r="BI121" s="68" t="str">
        <f>IF(BH121&gt;0,IF(BH121&lt;Capacity!Q26,Capacity!R26,Capacity!T26/'Capacity calculation (hide)'!BH121),"")</f>
        <v/>
      </c>
      <c r="BJ121" s="5"/>
      <c r="BK121" s="5">
        <f>IF($BI121&lt;&gt;"",IF('Capacity summary'!$C$14="Yes",IF(COUNTBLANK('Capacity summary'!$H33:$BG33)&lt;52,IF('Capacity summary'!H33&lt;&gt;"",$BI121*H121,0),H121*$BI121),H121*$BI121),0)</f>
        <v>0</v>
      </c>
      <c r="BL121" s="5">
        <f>IF($BI121&lt;&gt;"",IF('Capacity summary'!$C$14="Yes",IF(COUNTBLANK('Capacity summary'!$H33:$BG33)&lt;52,IF('Capacity summary'!I33&lt;&gt;"",$BI121*I121,0),I121*$BI121),I121*$BI121),0)</f>
        <v>0</v>
      </c>
      <c r="BM121" s="5">
        <f>IF($BI121&lt;&gt;"",IF('Capacity summary'!$C$14="Yes",IF(COUNTBLANK('Capacity summary'!$H33:$BG33)&lt;52,IF('Capacity summary'!J33&lt;&gt;"",$BI121*J121,0),J121*$BI121),J121*$BI121),0)</f>
        <v>0</v>
      </c>
      <c r="BN121" s="5">
        <f>IF($BI121&lt;&gt;"",IF('Capacity summary'!$C$14="Yes",IF(COUNTBLANK('Capacity summary'!$H33:$BG33)&lt;52,IF('Capacity summary'!K33&lt;&gt;"",$BI121*K121,0),K121*$BI121),K121*$BI121),0)</f>
        <v>0</v>
      </c>
      <c r="BO121" s="5">
        <f>IF($BI121&lt;&gt;"",IF('Capacity summary'!$C$14="Yes",IF(COUNTBLANK('Capacity summary'!$H33:$BG33)&lt;52,IF('Capacity summary'!L33&lt;&gt;"",$BI121*L121,0),L121*$BI121),L121*$BI121),0)</f>
        <v>0</v>
      </c>
      <c r="BP121" s="5">
        <f>IF($BI121&lt;&gt;"",IF('Capacity summary'!$C$14="Yes",IF(COUNTBLANK('Capacity summary'!$H33:$BG33)&lt;52,IF('Capacity summary'!M33&lt;&gt;"",$BI121*M121,0),M121*$BI121),M121*$BI121),0)</f>
        <v>0</v>
      </c>
      <c r="BQ121" s="5">
        <f>IF($BI121&lt;&gt;"",IF('Capacity summary'!$C$14="Yes",IF(COUNTBLANK('Capacity summary'!$H33:$BG33)&lt;52,IF('Capacity summary'!N33&lt;&gt;"",$BI121*N121,0),N121*$BI121),N121*$BI121),0)</f>
        <v>0</v>
      </c>
      <c r="BR121" s="5">
        <f>IF($BI121&lt;&gt;"",IF('Capacity summary'!$C$14="Yes",IF(COUNTBLANK('Capacity summary'!$H33:$BG33)&lt;52,IF('Capacity summary'!O33&lt;&gt;"",$BI121*O121,0),O121*$BI121),O121*$BI121),0)</f>
        <v>0</v>
      </c>
      <c r="BS121" s="5">
        <f>IF($BI121&lt;&gt;"",IF('Capacity summary'!$C$14="Yes",IF(COUNTBLANK('Capacity summary'!$H33:$BG33)&lt;52,IF('Capacity summary'!P33&lt;&gt;"",$BI121*P121,0),P121*$BI121),P121*$BI121),0)</f>
        <v>0</v>
      </c>
      <c r="BT121" s="5">
        <f>IF($BI121&lt;&gt;"",IF('Capacity summary'!$C$14="Yes",IF(COUNTBLANK('Capacity summary'!$H33:$BG33)&lt;52,IF('Capacity summary'!Q33&lt;&gt;"",$BI121*Q121,0),Q121*$BI121),Q121*$BI121),0)</f>
        <v>0</v>
      </c>
      <c r="BU121" s="5">
        <f>IF($BI121&lt;&gt;"",IF('Capacity summary'!$C$14="Yes",IF(COUNTBLANK('Capacity summary'!$H33:$BG33)&lt;52,IF('Capacity summary'!R33&lt;&gt;"",$BI121*R121,0),R121*$BI121),R121*$BI121),0)</f>
        <v>0</v>
      </c>
      <c r="BV121" s="5">
        <f>IF($BI121&lt;&gt;"",IF('Capacity summary'!$C$14="Yes",IF(COUNTBLANK('Capacity summary'!$H33:$BG33)&lt;52,IF('Capacity summary'!S33&lt;&gt;"",$BI121*S121,0),S121*$BI121),S121*$BI121),0)</f>
        <v>0</v>
      </c>
      <c r="BW121" s="5">
        <f>IF($BI121&lt;&gt;"",IF('Capacity summary'!$C$14="Yes",IF(COUNTBLANK('Capacity summary'!$H33:$BG33)&lt;52,IF('Capacity summary'!T33&lt;&gt;"",$BI121*T121,0),T121*$BI121),T121*$BI121),0)</f>
        <v>0</v>
      </c>
      <c r="BX121" s="5">
        <f>IF($BI121&lt;&gt;"",IF('Capacity summary'!$C$14="Yes",IF(COUNTBLANK('Capacity summary'!$H33:$BG33)&lt;52,IF('Capacity summary'!U33&lt;&gt;"",$BI121*U121,0),U121*$BI121),U121*$BI121),0)</f>
        <v>0</v>
      </c>
      <c r="BY121" s="5">
        <f>IF($BI121&lt;&gt;"",IF('Capacity summary'!$C$14="Yes",IF(COUNTBLANK('Capacity summary'!$H33:$BG33)&lt;52,IF('Capacity summary'!V33&lt;&gt;"",$BI121*V121,0),V121*$BI121),V121*$BI121),0)</f>
        <v>0</v>
      </c>
      <c r="BZ121" s="5">
        <f>IF($BI121&lt;&gt;"",IF('Capacity summary'!$C$14="Yes",IF(COUNTBLANK('Capacity summary'!$H33:$BG33)&lt;52,IF('Capacity summary'!W33&lt;&gt;"",$BI121*W121,0),W121*$BI121),W121*$BI121),0)</f>
        <v>0</v>
      </c>
      <c r="CA121" s="5">
        <f>IF($BI121&lt;&gt;"",IF('Capacity summary'!$C$14="Yes",IF(COUNTBLANK('Capacity summary'!$H33:$BG33)&lt;52,IF('Capacity summary'!X33&lt;&gt;"",$BI121*X121,0),X121*$BI121),X121*$BI121),0)</f>
        <v>0</v>
      </c>
      <c r="CB121" s="5">
        <f>IF($BI121&lt;&gt;"",IF('Capacity summary'!$C$14="Yes",IF(COUNTBLANK('Capacity summary'!$H33:$BG33)&lt;52,IF('Capacity summary'!Y33&lt;&gt;"",$BI121*Y121,0),Y121*$BI121),Y121*$BI121),0)</f>
        <v>0</v>
      </c>
      <c r="CC121" s="5">
        <f>IF($BI121&lt;&gt;"",IF('Capacity summary'!$C$14="Yes",IF(COUNTBLANK('Capacity summary'!$H33:$BG33)&lt;52,IF('Capacity summary'!Z33&lt;&gt;"",$BI121*Z121,0),Z121*$BI121),Z121*$BI121),0)</f>
        <v>0</v>
      </c>
      <c r="CD121" s="5">
        <f>IF($BI121&lt;&gt;"",IF('Capacity summary'!$C$14="Yes",IF(COUNTBLANK('Capacity summary'!$H33:$BG33)&lt;52,IF('Capacity summary'!AA33&lt;&gt;"",$BI121*AA121,0),AA121*$BI121),AA121*$BI121),0)</f>
        <v>0</v>
      </c>
      <c r="CE121" s="5">
        <f>IF($BI121&lt;&gt;"",IF('Capacity summary'!$C$14="Yes",IF(COUNTBLANK('Capacity summary'!$H33:$BG33)&lt;52,IF('Capacity summary'!AB33&lt;&gt;"",$BI121*AB121,0),AB121*$BI121),AB121*$BI121),0)</f>
        <v>0</v>
      </c>
      <c r="CF121" s="5">
        <f>IF($BI121&lt;&gt;"",IF('Capacity summary'!$C$14="Yes",IF(COUNTBLANK('Capacity summary'!$H33:$BG33)&lt;52,IF('Capacity summary'!AC33&lt;&gt;"",$BI121*AC121,0),AC121*$BI121),AC121*$BI121),0)</f>
        <v>0</v>
      </c>
      <c r="CG121" s="5">
        <f>IF($BI121&lt;&gt;"",IF('Capacity summary'!$C$14="Yes",IF(COUNTBLANK('Capacity summary'!$H33:$BG33)&lt;52,IF('Capacity summary'!AD33&lt;&gt;"",$BI121*AD121,0),AD121*$BI121),AD121*$BI121),0)</f>
        <v>0</v>
      </c>
      <c r="CH121" s="5">
        <f>IF($BI121&lt;&gt;"",IF('Capacity summary'!$C$14="Yes",IF(COUNTBLANK('Capacity summary'!$H33:$BG33)&lt;52,IF('Capacity summary'!AE33&lt;&gt;"",$BI121*AE121,0),AE121*$BI121),AE121*$BI121),0)</f>
        <v>0</v>
      </c>
      <c r="CI121" s="5">
        <f>IF($BI121&lt;&gt;"",IF('Capacity summary'!$C$14="Yes",IF(COUNTBLANK('Capacity summary'!$H33:$BG33)&lt;52,IF('Capacity summary'!AF33&lt;&gt;"",$BI121*AF121,0),AF121*$BI121),AF121*$BI121),0)</f>
        <v>0</v>
      </c>
      <c r="CJ121" s="5">
        <f>IF($BI121&lt;&gt;"",IF('Capacity summary'!$C$14="Yes",IF(COUNTBLANK('Capacity summary'!$H33:$BG33)&lt;52,IF('Capacity summary'!AG33&lt;&gt;"",$BI121*AG121,0),AG121*$BI121),AG121*$BI121),0)</f>
        <v>0</v>
      </c>
      <c r="CK121" s="5">
        <f>IF($BI121&lt;&gt;"",IF('Capacity summary'!$C$14="Yes",IF(COUNTBLANK('Capacity summary'!$H33:$BG33)&lt;52,IF('Capacity summary'!AH33&lt;&gt;"",$BI121*AH121,0),AH121*$BI121),AH121*$BI121),0)</f>
        <v>0</v>
      </c>
      <c r="CL121" s="5">
        <f>IF($BI121&lt;&gt;"",IF('Capacity summary'!$C$14="Yes",IF(COUNTBLANK('Capacity summary'!$H33:$BG33)&lt;52,IF('Capacity summary'!AI33&lt;&gt;"",$BI121*AI121,0),AI121*$BI121),AI121*$BI121),0)</f>
        <v>0</v>
      </c>
      <c r="CM121" s="5">
        <f>IF($BI121&lt;&gt;"",IF('Capacity summary'!$C$14="Yes",IF(COUNTBLANK('Capacity summary'!$H33:$BG33)&lt;52,IF('Capacity summary'!AJ33&lt;&gt;"",$BI121*AJ121,0),AJ121*$BI121),AJ121*$BI121),0)</f>
        <v>0</v>
      </c>
      <c r="CN121" s="5">
        <f>IF($BI121&lt;&gt;"",IF('Capacity summary'!$C$14="Yes",IF(COUNTBLANK('Capacity summary'!$H33:$BG33)&lt;52,IF('Capacity summary'!AK33&lt;&gt;"",$BI121*AK121,0),AK121*$BI121),AK121*$BI121),0)</f>
        <v>0</v>
      </c>
      <c r="CO121" s="5">
        <f>IF($BI121&lt;&gt;"",IF('Capacity summary'!$C$14="Yes",IF(COUNTBLANK('Capacity summary'!$H33:$BG33)&lt;52,IF('Capacity summary'!AL33&lt;&gt;"",$BI121*AL121,0),AL121*$BI121),AL121*$BI121),0)</f>
        <v>0</v>
      </c>
      <c r="CP121" s="5">
        <f>IF($BI121&lt;&gt;"",IF('Capacity summary'!$C$14="Yes",IF(COUNTBLANK('Capacity summary'!$H33:$BG33)&lt;52,IF('Capacity summary'!AM33&lt;&gt;"",$BI121*AM121,0),AM121*$BI121),AM121*$BI121),0)</f>
        <v>0</v>
      </c>
      <c r="CQ121" s="5">
        <f>IF($BI121&lt;&gt;"",IF('Capacity summary'!$C$14="Yes",IF(COUNTBLANK('Capacity summary'!$H33:$BG33)&lt;52,IF('Capacity summary'!AN33&lt;&gt;"",$BI121*AN121,0),AN121*$BI121),AN121*$BI121),0)</f>
        <v>0</v>
      </c>
      <c r="CR121" s="5">
        <f>IF($BI121&lt;&gt;"",IF('Capacity summary'!$C$14="Yes",IF(COUNTBLANK('Capacity summary'!$H33:$BG33)&lt;52,IF('Capacity summary'!AO33&lt;&gt;"",$BI121*AO121,0),AO121*$BI121),AO121*$BI121),0)</f>
        <v>0</v>
      </c>
      <c r="CS121" s="5">
        <f>IF($BI121&lt;&gt;"",IF('Capacity summary'!$C$14="Yes",IF(COUNTBLANK('Capacity summary'!$H33:$BG33)&lt;52,IF('Capacity summary'!AP33&lt;&gt;"",$BI121*AP121,0),AP121*$BI121),AP121*$BI121),0)</f>
        <v>0</v>
      </c>
      <c r="CT121" s="5">
        <f>IF($BI121&lt;&gt;"",IF('Capacity summary'!$C$14="Yes",IF(COUNTBLANK('Capacity summary'!$H33:$BG33)&lt;52,IF('Capacity summary'!AQ33&lt;&gt;"",$BI121*AQ121,0),AQ121*$BI121),AQ121*$BI121),0)</f>
        <v>0</v>
      </c>
      <c r="CU121" s="5">
        <f>IF($BI121&lt;&gt;"",IF('Capacity summary'!$C$14="Yes",IF(COUNTBLANK('Capacity summary'!$H33:$BG33)&lt;52,IF('Capacity summary'!AR33&lt;&gt;"",$BI121*AR121,0),AR121*$BI121),AR121*$BI121),0)</f>
        <v>0</v>
      </c>
      <c r="CV121" s="5">
        <f>IF($BI121&lt;&gt;"",IF('Capacity summary'!$C$14="Yes",IF(COUNTBLANK('Capacity summary'!$H33:$BG33)&lt;52,IF('Capacity summary'!AS33&lt;&gt;"",$BI121*AS121,0),AS121*$BI121),AS121*$BI121),0)</f>
        <v>0</v>
      </c>
      <c r="CW121" s="5">
        <f>IF($BI121&lt;&gt;"",IF('Capacity summary'!$C$14="Yes",IF(COUNTBLANK('Capacity summary'!$H33:$BG33)&lt;52,IF('Capacity summary'!AT33&lt;&gt;"",$BI121*AT121,0),AT121*$BI121),AT121*$BI121),0)</f>
        <v>0</v>
      </c>
      <c r="CX121" s="5">
        <f>IF($BI121&lt;&gt;"",IF('Capacity summary'!$C$14="Yes",IF(COUNTBLANK('Capacity summary'!$H33:$BG33)&lt;52,IF('Capacity summary'!AU33&lt;&gt;"",$BI121*AU121,0),AU121*$BI121),AU121*$BI121),0)</f>
        <v>0</v>
      </c>
      <c r="CY121" s="5">
        <f>IF($BI121&lt;&gt;"",IF('Capacity summary'!$C$14="Yes",IF(COUNTBLANK('Capacity summary'!$H33:$BG33)&lt;52,IF('Capacity summary'!AV33&lt;&gt;"",$BI121*AV121,0),AV121*$BI121),AV121*$BI121),0)</f>
        <v>0</v>
      </c>
      <c r="CZ121" s="5">
        <f>IF($BI121&lt;&gt;"",IF('Capacity summary'!$C$14="Yes",IF(COUNTBLANK('Capacity summary'!$H33:$BG33)&lt;52,IF('Capacity summary'!AW33&lt;&gt;"",$BI121*AW121,0),AW121*$BI121),AW121*$BI121),0)</f>
        <v>0</v>
      </c>
      <c r="DA121" s="5">
        <f>IF($BI121&lt;&gt;"",IF('Capacity summary'!$C$14="Yes",IF(COUNTBLANK('Capacity summary'!$H33:$BG33)&lt;52,IF('Capacity summary'!AX33&lt;&gt;"",$BI121*AX121,0),AX121*$BI121),AX121*$BI121),0)</f>
        <v>0</v>
      </c>
      <c r="DB121" s="5">
        <f>IF($BI121&lt;&gt;"",IF('Capacity summary'!$C$14="Yes",IF(COUNTBLANK('Capacity summary'!$H33:$BG33)&lt;52,IF('Capacity summary'!AY33&lt;&gt;"",$BI121*AY121,0),AY121*$BI121),AY121*$BI121),0)</f>
        <v>0</v>
      </c>
      <c r="DC121" s="5">
        <f>IF($BI121&lt;&gt;"",IF('Capacity summary'!$C$14="Yes",IF(COUNTBLANK('Capacity summary'!$H33:$BG33)&lt;52,IF('Capacity summary'!AZ33&lt;&gt;"",$BI121*AZ121,0),AZ121*$BI121),AZ121*$BI121),0)</f>
        <v>0</v>
      </c>
      <c r="DD121" s="5">
        <f>IF($BI121&lt;&gt;"",IF('Capacity summary'!$C$14="Yes",IF(COUNTBLANK('Capacity summary'!$H33:$BG33)&lt;52,IF('Capacity summary'!BA33&lt;&gt;"",$BI121*BA121,0),BA121*$BI121),BA121*$BI121),0)</f>
        <v>0</v>
      </c>
      <c r="DE121" s="5">
        <f>IF($BI121&lt;&gt;"",IF('Capacity summary'!$C$14="Yes",IF(COUNTBLANK('Capacity summary'!$H33:$BG33)&lt;52,IF('Capacity summary'!BB33&lt;&gt;"",$BI121*BB121,0),BB121*$BI121),BB121*$BI121),0)</f>
        <v>0</v>
      </c>
      <c r="DF121" s="5">
        <f>IF($BI121&lt;&gt;"",IF('Capacity summary'!$C$14="Yes",IF(COUNTBLANK('Capacity summary'!$H33:$BG33)&lt;52,IF('Capacity summary'!BC33&lt;&gt;"",$BI121*BC121,0),BC121*$BI121),BC121*$BI121),0)</f>
        <v>0</v>
      </c>
      <c r="DG121" s="5">
        <f>IF($BI121&lt;&gt;"",IF('Capacity summary'!$C$14="Yes",IF(COUNTBLANK('Capacity summary'!$H33:$BG33)&lt;52,IF('Capacity summary'!BD33&lt;&gt;"",$BI121*BD121,0),BD121*$BI121),BD121*$BI121),0)</f>
        <v>0</v>
      </c>
      <c r="DH121" s="5">
        <f>IF($BI121&lt;&gt;"",IF('Capacity summary'!$C$14="Yes",IF(COUNTBLANK('Capacity summary'!$H33:$BG33)&lt;52,IF('Capacity summary'!BE33&lt;&gt;"",$BI121*BE121,0),BE121*$BI121),BE121*$BI121),0)</f>
        <v>0</v>
      </c>
      <c r="DI121" s="5">
        <f>IF($BI121&lt;&gt;"",IF('Capacity summary'!$C$14="Yes",IF(COUNTBLANK('Capacity summary'!$H33:$BG33)&lt;52,IF('Capacity summary'!BF33&lt;&gt;"",$BI121*BF121,0),BF121*$BI121),BF121*$BI121),0)</f>
        <v>0</v>
      </c>
      <c r="DJ121" s="5">
        <f>IF($BI121&lt;&gt;"",IF('Capacity summary'!$C$14="Yes",IF(COUNTBLANK('Capacity summary'!$H33:$BG33)&lt;52,IF('Capacity summary'!BG33&lt;&gt;"",$BI121*BG121,0),BG121*$BI121),BG121*$BI121),0)</f>
        <v>0</v>
      </c>
      <c r="DK121" s="138">
        <f t="shared" si="6"/>
        <v>0</v>
      </c>
    </row>
    <row r="122" spans="3:115" x14ac:dyDescent="0.2">
      <c r="C122" s="68" t="str">
        <f>ROW(A11)&amp;". "&amp;Capacity!N27</f>
        <v xml:space="preserve">11. </v>
      </c>
      <c r="D122" s="68">
        <f>'Capacity setup'!C128</f>
        <v>0</v>
      </c>
      <c r="E122" s="68">
        <f>'Capacity setup'!D128</f>
        <v>0</v>
      </c>
      <c r="F122" s="68">
        <f>'Capacity setup'!E128</f>
        <v>0</v>
      </c>
      <c r="H122" s="68">
        <f ca="1">IF(AND(SUMIF(Capacity_Resource,$D122,'Critical resources (hide)'!U$6:U$105)+SUMIF(Capacity_Resource,$E122,'Critical resources (hide)'!U$6:U$105)+SUMIF(Capacity_Resource,$F122,'Critical resources (hide)'!U$6:U$105)&gt;0,$E$1=2),0,1)</f>
        <v>1</v>
      </c>
      <c r="I122" s="68">
        <f ca="1">IF(AND(SUMIF(Capacity_Resource,$D122,'Critical resources (hide)'!V$6:V$105)+SUMIF(Capacity_Resource,$E122,'Critical resources (hide)'!V$6:V$105)+SUMIF(Capacity_Resource,$F122,'Critical resources (hide)'!V$6:V$105)&gt;0,$E$1=2),0,1)</f>
        <v>1</v>
      </c>
      <c r="J122" s="68">
        <f ca="1">IF(AND(SUMIF(Capacity_Resource,$D122,'Critical resources (hide)'!W$6:W$105)+SUMIF(Capacity_Resource,$E122,'Critical resources (hide)'!W$6:W$105)+SUMIF(Capacity_Resource,$F122,'Critical resources (hide)'!W$6:W$105)&gt;0,$E$1=2),0,1)</f>
        <v>1</v>
      </c>
      <c r="K122" s="68">
        <f ca="1">IF(AND(SUMIF(Capacity_Resource,$D122,'Critical resources (hide)'!X$6:X$105)+SUMIF(Capacity_Resource,$E122,'Critical resources (hide)'!X$6:X$105)+SUMIF(Capacity_Resource,$F122,'Critical resources (hide)'!X$6:X$105)&gt;0,$E$1=2),0,1)</f>
        <v>1</v>
      </c>
      <c r="L122" s="68">
        <f ca="1">IF(AND(SUMIF(Capacity_Resource,$D122,'Critical resources (hide)'!Y$6:Y$105)+SUMIF(Capacity_Resource,$E122,'Critical resources (hide)'!Y$6:Y$105)+SUMIF(Capacity_Resource,$F122,'Critical resources (hide)'!Y$6:Y$105)&gt;0,$E$1=2),0,1)</f>
        <v>1</v>
      </c>
      <c r="M122" s="68">
        <f ca="1">IF(AND(SUMIF(Capacity_Resource,$D122,'Critical resources (hide)'!Z$6:Z$105)+SUMIF(Capacity_Resource,$E122,'Critical resources (hide)'!Z$6:Z$105)+SUMIF(Capacity_Resource,$F122,'Critical resources (hide)'!Z$6:Z$105)&gt;0,$E$1=2),0,1)</f>
        <v>1</v>
      </c>
      <c r="N122" s="68">
        <f ca="1">IF(AND(SUMIF(Capacity_Resource,$D122,'Critical resources (hide)'!AA$6:AA$105)+SUMIF(Capacity_Resource,$E122,'Critical resources (hide)'!AA$6:AA$105)+SUMIF(Capacity_Resource,$F122,'Critical resources (hide)'!AA$6:AA$105)&gt;0,$E$1=2),0,1)</f>
        <v>1</v>
      </c>
      <c r="O122" s="68">
        <f ca="1">IF(AND(SUMIF(Capacity_Resource,$D122,'Critical resources (hide)'!AB$6:AB$105)+SUMIF(Capacity_Resource,$E122,'Critical resources (hide)'!AB$6:AB$105)+SUMIF(Capacity_Resource,$F122,'Critical resources (hide)'!AB$6:AB$105)&gt;0,$E$1=2),0,1)</f>
        <v>1</v>
      </c>
      <c r="P122" s="68">
        <f ca="1">IF(AND(SUMIF(Capacity_Resource,$D122,'Critical resources (hide)'!AC$6:AC$105)+SUMIF(Capacity_Resource,$E122,'Critical resources (hide)'!AC$6:AC$105)+SUMIF(Capacity_Resource,$F122,'Critical resources (hide)'!AC$6:AC$105)&gt;0,$E$1=2),0,1)</f>
        <v>1</v>
      </c>
      <c r="Q122" s="68">
        <f ca="1">IF(AND(SUMIF(Capacity_Resource,$D122,'Critical resources (hide)'!AD$6:AD$105)+SUMIF(Capacity_Resource,$E122,'Critical resources (hide)'!AD$6:AD$105)+SUMIF(Capacity_Resource,$F122,'Critical resources (hide)'!AD$6:AD$105)&gt;0,$E$1=2),0,1)</f>
        <v>1</v>
      </c>
      <c r="R122" s="68">
        <f ca="1">IF(AND(SUMIF(Capacity_Resource,$D122,'Critical resources (hide)'!AE$6:AE$105)+SUMIF(Capacity_Resource,$E122,'Critical resources (hide)'!AE$6:AE$105)+SUMIF(Capacity_Resource,$F122,'Critical resources (hide)'!AE$6:AE$105)&gt;0,$E$1=2),0,1)</f>
        <v>1</v>
      </c>
      <c r="S122" s="68">
        <f ca="1">IF(AND(SUMIF(Capacity_Resource,$D122,'Critical resources (hide)'!AF$6:AF$105)+SUMIF(Capacity_Resource,$E122,'Critical resources (hide)'!AF$6:AF$105)+SUMIF(Capacity_Resource,$F122,'Critical resources (hide)'!AF$6:AF$105)&gt;0,$E$1=2),0,1)</f>
        <v>1</v>
      </c>
      <c r="T122" s="68">
        <f ca="1">IF(AND(SUMIF(Capacity_Resource,$D122,'Critical resources (hide)'!AG$6:AG$105)+SUMIF(Capacity_Resource,$E122,'Critical resources (hide)'!AG$6:AG$105)+SUMIF(Capacity_Resource,$F122,'Critical resources (hide)'!AG$6:AG$105)&gt;0,$E$1=2),0,1)</f>
        <v>1</v>
      </c>
      <c r="U122" s="68">
        <f ca="1">IF(AND(SUMIF(Capacity_Resource,$D122,'Critical resources (hide)'!AH$6:AH$105)+SUMIF(Capacity_Resource,$E122,'Critical resources (hide)'!AH$6:AH$105)+SUMIF(Capacity_Resource,$F122,'Critical resources (hide)'!AH$6:AH$105)&gt;0,$E$1=2),0,1)</f>
        <v>1</v>
      </c>
      <c r="V122" s="68">
        <f ca="1">IF(AND(SUMIF(Capacity_Resource,$D122,'Critical resources (hide)'!AI$6:AI$105)+SUMIF(Capacity_Resource,$E122,'Critical resources (hide)'!AI$6:AI$105)+SUMIF(Capacity_Resource,$F122,'Critical resources (hide)'!AI$6:AI$105)&gt;0,$E$1=2),0,1)</f>
        <v>1</v>
      </c>
      <c r="W122" s="68">
        <f ca="1">IF(AND(SUMIF(Capacity_Resource,$D122,'Critical resources (hide)'!AJ$6:AJ$105)+SUMIF(Capacity_Resource,$E122,'Critical resources (hide)'!AJ$6:AJ$105)+SUMIF(Capacity_Resource,$F122,'Critical resources (hide)'!AJ$6:AJ$105)&gt;0,$E$1=2),0,1)</f>
        <v>1</v>
      </c>
      <c r="X122" s="68">
        <f ca="1">IF(AND(SUMIF(Capacity_Resource,$D122,'Critical resources (hide)'!AK$6:AK$105)+SUMIF(Capacity_Resource,$E122,'Critical resources (hide)'!AK$6:AK$105)+SUMIF(Capacity_Resource,$F122,'Critical resources (hide)'!AK$6:AK$105)&gt;0,$E$1=2),0,1)</f>
        <v>1</v>
      </c>
      <c r="Y122" s="68">
        <f ca="1">IF(AND(SUMIF(Capacity_Resource,$D122,'Critical resources (hide)'!AL$6:AL$105)+SUMIF(Capacity_Resource,$E122,'Critical resources (hide)'!AL$6:AL$105)+SUMIF(Capacity_Resource,$F122,'Critical resources (hide)'!AL$6:AL$105)&gt;0,$E$1=2),0,1)</f>
        <v>1</v>
      </c>
      <c r="Z122" s="68">
        <f ca="1">IF(AND(SUMIF(Capacity_Resource,$D122,'Critical resources (hide)'!AM$6:AM$105)+SUMIF(Capacity_Resource,$E122,'Critical resources (hide)'!AM$6:AM$105)+SUMIF(Capacity_Resource,$F122,'Critical resources (hide)'!AM$6:AM$105)&gt;0,$E$1=2),0,1)</f>
        <v>1</v>
      </c>
      <c r="AA122" s="68">
        <f ca="1">IF(AND(SUMIF(Capacity_Resource,$D122,'Critical resources (hide)'!AN$6:AN$105)+SUMIF(Capacity_Resource,$E122,'Critical resources (hide)'!AN$6:AN$105)+SUMIF(Capacity_Resource,$F122,'Critical resources (hide)'!AN$6:AN$105)&gt;0,$E$1=2),0,1)</f>
        <v>1</v>
      </c>
      <c r="AB122" s="68">
        <f ca="1">IF(AND(SUMIF(Capacity_Resource,$D122,'Critical resources (hide)'!AO$6:AO$105)+SUMIF(Capacity_Resource,$E122,'Critical resources (hide)'!AO$6:AO$105)+SUMIF(Capacity_Resource,$F122,'Critical resources (hide)'!AO$6:AO$105)&gt;0,$E$1=2),0,1)</f>
        <v>1</v>
      </c>
      <c r="AC122" s="68">
        <f ca="1">IF(AND(SUMIF(Capacity_Resource,$D122,'Critical resources (hide)'!AP$6:AP$105)+SUMIF(Capacity_Resource,$E122,'Critical resources (hide)'!AP$6:AP$105)+SUMIF(Capacity_Resource,$F122,'Critical resources (hide)'!AP$6:AP$105)&gt;0,$E$1=2),0,1)</f>
        <v>1</v>
      </c>
      <c r="AD122" s="68">
        <f ca="1">IF(AND(SUMIF(Capacity_Resource,$D122,'Critical resources (hide)'!AQ$6:AQ$105)+SUMIF(Capacity_Resource,$E122,'Critical resources (hide)'!AQ$6:AQ$105)+SUMIF(Capacity_Resource,$F122,'Critical resources (hide)'!AQ$6:AQ$105)&gt;0,$E$1=2),0,1)</f>
        <v>1</v>
      </c>
      <c r="AE122" s="68">
        <f ca="1">IF(AND(SUMIF(Capacity_Resource,$D122,'Critical resources (hide)'!AR$6:AR$105)+SUMIF(Capacity_Resource,$E122,'Critical resources (hide)'!AR$6:AR$105)+SUMIF(Capacity_Resource,$F122,'Critical resources (hide)'!AR$6:AR$105)&gt;0,$E$1=2),0,1)</f>
        <v>1</v>
      </c>
      <c r="AF122" s="68">
        <f ca="1">IF(AND(SUMIF(Capacity_Resource,$D122,'Critical resources (hide)'!AS$6:AS$105)+SUMIF(Capacity_Resource,$E122,'Critical resources (hide)'!AS$6:AS$105)+SUMIF(Capacity_Resource,$F122,'Critical resources (hide)'!AS$6:AS$105)&gt;0,$E$1=2),0,1)</f>
        <v>1</v>
      </c>
      <c r="AG122" s="68">
        <f ca="1">IF(AND(SUMIF(Capacity_Resource,$D122,'Critical resources (hide)'!AT$6:AT$105)+SUMIF(Capacity_Resource,$E122,'Critical resources (hide)'!AT$6:AT$105)+SUMIF(Capacity_Resource,$F122,'Critical resources (hide)'!AT$6:AT$105)&gt;0,$E$1=2),0,1)</f>
        <v>1</v>
      </c>
      <c r="AH122" s="68">
        <f ca="1">IF(AND(SUMIF(Capacity_Resource,$D122,'Critical resources (hide)'!AU$6:AU$105)+SUMIF(Capacity_Resource,$E122,'Critical resources (hide)'!AU$6:AU$105)+SUMIF(Capacity_Resource,$F122,'Critical resources (hide)'!AU$6:AU$105)&gt;0,$E$1=2),0,1)</f>
        <v>1</v>
      </c>
      <c r="AI122" s="68">
        <f ca="1">IF(AND(SUMIF(Capacity_Resource,$D122,'Critical resources (hide)'!AV$6:AV$105)+SUMIF(Capacity_Resource,$E122,'Critical resources (hide)'!AV$6:AV$105)+SUMIF(Capacity_Resource,$F122,'Critical resources (hide)'!AV$6:AV$105)&gt;0,$E$1=2),0,1)</f>
        <v>1</v>
      </c>
      <c r="AJ122" s="68">
        <f ca="1">IF(AND(SUMIF(Capacity_Resource,$D122,'Critical resources (hide)'!AW$6:AW$105)+SUMIF(Capacity_Resource,$E122,'Critical resources (hide)'!AW$6:AW$105)+SUMIF(Capacity_Resource,$F122,'Critical resources (hide)'!AW$6:AW$105)&gt;0,$E$1=2),0,1)</f>
        <v>1</v>
      </c>
      <c r="AK122" s="68">
        <f ca="1">IF(AND(SUMIF(Capacity_Resource,$D122,'Critical resources (hide)'!AX$6:AX$105)+SUMIF(Capacity_Resource,$E122,'Critical resources (hide)'!AX$6:AX$105)+SUMIF(Capacity_Resource,$F122,'Critical resources (hide)'!AX$6:AX$105)&gt;0,$E$1=2),0,1)</f>
        <v>1</v>
      </c>
      <c r="AL122" s="68">
        <f ca="1">IF(AND(SUMIF(Capacity_Resource,$D122,'Critical resources (hide)'!AY$6:AY$105)+SUMIF(Capacity_Resource,$E122,'Critical resources (hide)'!AY$6:AY$105)+SUMIF(Capacity_Resource,$F122,'Critical resources (hide)'!AY$6:AY$105)&gt;0,$E$1=2),0,1)</f>
        <v>1</v>
      </c>
      <c r="AM122" s="68">
        <f ca="1">IF(AND(SUMIF(Capacity_Resource,$D122,'Critical resources (hide)'!AZ$6:AZ$105)+SUMIF(Capacity_Resource,$E122,'Critical resources (hide)'!AZ$6:AZ$105)+SUMIF(Capacity_Resource,$F122,'Critical resources (hide)'!AZ$6:AZ$105)&gt;0,$E$1=2),0,1)</f>
        <v>1</v>
      </c>
      <c r="AN122" s="68">
        <f ca="1">IF(AND(SUMIF(Capacity_Resource,$D122,'Critical resources (hide)'!BA$6:BA$105)+SUMIF(Capacity_Resource,$E122,'Critical resources (hide)'!BA$6:BA$105)+SUMIF(Capacity_Resource,$F122,'Critical resources (hide)'!BA$6:BA$105)&gt;0,$E$1=2),0,1)</f>
        <v>1</v>
      </c>
      <c r="AO122" s="68">
        <f ca="1">IF(AND(SUMIF(Capacity_Resource,$D122,'Critical resources (hide)'!BB$6:BB$105)+SUMIF(Capacity_Resource,$E122,'Critical resources (hide)'!BB$6:BB$105)+SUMIF(Capacity_Resource,$F122,'Critical resources (hide)'!BB$6:BB$105)&gt;0,$E$1=2),0,1)</f>
        <v>1</v>
      </c>
      <c r="AP122" s="68">
        <f ca="1">IF(AND(SUMIF(Capacity_Resource,$D122,'Critical resources (hide)'!BC$6:BC$105)+SUMIF(Capacity_Resource,$E122,'Critical resources (hide)'!BC$6:BC$105)+SUMIF(Capacity_Resource,$F122,'Critical resources (hide)'!BC$6:BC$105)&gt;0,$E$1=2),0,1)</f>
        <v>1</v>
      </c>
      <c r="AQ122" s="68">
        <f ca="1">IF(AND(SUMIF(Capacity_Resource,$D122,'Critical resources (hide)'!BD$6:BD$105)+SUMIF(Capacity_Resource,$E122,'Critical resources (hide)'!BD$6:BD$105)+SUMIF(Capacity_Resource,$F122,'Critical resources (hide)'!BD$6:BD$105)&gt;0,$E$1=2),0,1)</f>
        <v>1</v>
      </c>
      <c r="AR122" s="68">
        <f ca="1">IF(AND(SUMIF(Capacity_Resource,$D122,'Critical resources (hide)'!BE$6:BE$105)+SUMIF(Capacity_Resource,$E122,'Critical resources (hide)'!BE$6:BE$105)+SUMIF(Capacity_Resource,$F122,'Critical resources (hide)'!BE$6:BE$105)&gt;0,$E$1=2),0,1)</f>
        <v>1</v>
      </c>
      <c r="AS122" s="68">
        <f ca="1">IF(AND(SUMIF(Capacity_Resource,$D122,'Critical resources (hide)'!BF$6:BF$105)+SUMIF(Capacity_Resource,$E122,'Critical resources (hide)'!BF$6:BF$105)+SUMIF(Capacity_Resource,$F122,'Critical resources (hide)'!BF$6:BF$105)&gt;0,$E$1=2),0,1)</f>
        <v>1</v>
      </c>
      <c r="AT122" s="68">
        <f ca="1">IF(AND(SUMIF(Capacity_Resource,$D122,'Critical resources (hide)'!BG$6:BG$105)+SUMIF(Capacity_Resource,$E122,'Critical resources (hide)'!BG$6:BG$105)+SUMIF(Capacity_Resource,$F122,'Critical resources (hide)'!BG$6:BG$105)&gt;0,$E$1=2),0,1)</f>
        <v>1</v>
      </c>
      <c r="AU122" s="68">
        <f ca="1">IF(AND(SUMIF(Capacity_Resource,$D122,'Critical resources (hide)'!BH$6:BH$105)+SUMIF(Capacity_Resource,$E122,'Critical resources (hide)'!BH$6:BH$105)+SUMIF(Capacity_Resource,$F122,'Critical resources (hide)'!BH$6:BH$105)&gt;0,$E$1=2),0,1)</f>
        <v>1</v>
      </c>
      <c r="AV122" s="68">
        <f ca="1">IF(AND(SUMIF(Capacity_Resource,$D122,'Critical resources (hide)'!BI$6:BI$105)+SUMIF(Capacity_Resource,$E122,'Critical resources (hide)'!BI$6:BI$105)+SUMIF(Capacity_Resource,$F122,'Critical resources (hide)'!BI$6:BI$105)&gt;0,$E$1=2),0,1)</f>
        <v>1</v>
      </c>
      <c r="AW122" s="68">
        <f ca="1">IF(AND(SUMIF(Capacity_Resource,$D122,'Critical resources (hide)'!BJ$6:BJ$105)+SUMIF(Capacity_Resource,$E122,'Critical resources (hide)'!BJ$6:BJ$105)+SUMIF(Capacity_Resource,$F122,'Critical resources (hide)'!BJ$6:BJ$105)&gt;0,$E$1=2),0,1)</f>
        <v>1</v>
      </c>
      <c r="AX122" s="68">
        <f ca="1">IF(AND(SUMIF(Capacity_Resource,$D122,'Critical resources (hide)'!BK$6:BK$105)+SUMIF(Capacity_Resource,$E122,'Critical resources (hide)'!BK$6:BK$105)+SUMIF(Capacity_Resource,$F122,'Critical resources (hide)'!BK$6:BK$105)&gt;0,$E$1=2),0,1)</f>
        <v>1</v>
      </c>
      <c r="AY122" s="68">
        <f ca="1">IF(AND(SUMIF(Capacity_Resource,$D122,'Critical resources (hide)'!BL$6:BL$105)+SUMIF(Capacity_Resource,$E122,'Critical resources (hide)'!BL$6:BL$105)+SUMIF(Capacity_Resource,$F122,'Critical resources (hide)'!BL$6:BL$105)&gt;0,$E$1=2),0,1)</f>
        <v>1</v>
      </c>
      <c r="AZ122" s="68">
        <f ca="1">IF(AND(SUMIF(Capacity_Resource,$D122,'Critical resources (hide)'!BM$6:BM$105)+SUMIF(Capacity_Resource,$E122,'Critical resources (hide)'!BM$6:BM$105)+SUMIF(Capacity_Resource,$F122,'Critical resources (hide)'!BM$6:BM$105)&gt;0,$E$1=2),0,1)</f>
        <v>1</v>
      </c>
      <c r="BA122" s="68">
        <f ca="1">IF(AND(SUMIF(Capacity_Resource,$D122,'Critical resources (hide)'!BN$6:BN$105)+SUMIF(Capacity_Resource,$E122,'Critical resources (hide)'!BN$6:BN$105)+SUMIF(Capacity_Resource,$F122,'Critical resources (hide)'!BN$6:BN$105)&gt;0,$E$1=2),0,1)</f>
        <v>1</v>
      </c>
      <c r="BB122" s="68">
        <f ca="1">IF(AND(SUMIF(Capacity_Resource,$D122,'Critical resources (hide)'!BO$6:BO$105)+SUMIF(Capacity_Resource,$E122,'Critical resources (hide)'!BO$6:BO$105)+SUMIF(Capacity_Resource,$F122,'Critical resources (hide)'!BO$6:BO$105)&gt;0,$E$1=2),0,1)</f>
        <v>1</v>
      </c>
      <c r="BC122" s="68">
        <f ca="1">IF(AND(SUMIF(Capacity_Resource,$D122,'Critical resources (hide)'!BP$6:BP$105)+SUMIF(Capacity_Resource,$E122,'Critical resources (hide)'!BP$6:BP$105)+SUMIF(Capacity_Resource,$F122,'Critical resources (hide)'!BP$6:BP$105)&gt;0,$E$1=2),0,1)</f>
        <v>1</v>
      </c>
      <c r="BD122" s="68">
        <f ca="1">IF(AND(SUMIF(Capacity_Resource,$D122,'Critical resources (hide)'!BQ$6:BQ$105)+SUMIF(Capacity_Resource,$E122,'Critical resources (hide)'!BQ$6:BQ$105)+SUMIF(Capacity_Resource,$F122,'Critical resources (hide)'!BQ$6:BQ$105)&gt;0,$E$1=2),0,1)</f>
        <v>1</v>
      </c>
      <c r="BE122" s="68">
        <f ca="1">IF(AND(SUMIF(Capacity_Resource,$D122,'Critical resources (hide)'!BR$6:BR$105)+SUMIF(Capacity_Resource,$E122,'Critical resources (hide)'!BR$6:BR$105)+SUMIF(Capacity_Resource,$F122,'Critical resources (hide)'!BR$6:BR$105)&gt;0,$E$1=2),0,1)</f>
        <v>1</v>
      </c>
      <c r="BF122" s="68">
        <f ca="1">IF(AND(SUMIF(Capacity_Resource,$D122,'Critical resources (hide)'!BS$6:BS$105)+SUMIF(Capacity_Resource,$E122,'Critical resources (hide)'!BS$6:BS$105)+SUMIF(Capacity_Resource,$F122,'Critical resources (hide)'!BS$6:BS$105)&gt;0,$E$1=2),0,1)</f>
        <v>1</v>
      </c>
      <c r="BG122" s="68">
        <f ca="1">IF(AND(SUMIF(Capacity_Resource,$D122,'Critical resources (hide)'!BT$6:BT$105)+SUMIF(Capacity_Resource,$E122,'Critical resources (hide)'!BT$6:BT$105)+SUMIF(Capacity_Resource,$F122,'Critical resources (hide)'!BT$6:BT$105)&gt;0,$E$1=2),0,1)</f>
        <v>1</v>
      </c>
      <c r="BH122" s="68">
        <f>IF(ROW(A11)&lt;=Capacity!$M$16,IF('Capacity summary'!$C$14="No",SUM(H122:BG122),'Capacity summary'!$E34),0)</f>
        <v>0</v>
      </c>
      <c r="BI122" s="68" t="str">
        <f>IF(BH122&gt;0,IF(BH122&lt;Capacity!Q27,Capacity!R27,Capacity!T27/'Capacity calculation (hide)'!BH122),"")</f>
        <v/>
      </c>
      <c r="BJ122" s="5"/>
      <c r="BK122" s="5">
        <f>IF($BI122&lt;&gt;"",IF('Capacity summary'!$C$14="Yes",IF(COUNTBLANK('Capacity summary'!$H34:$BG34)&lt;52,IF('Capacity summary'!H34&lt;&gt;"",$BI122*H122,0),H122*$BI122),H122*$BI122),0)</f>
        <v>0</v>
      </c>
      <c r="BL122" s="5">
        <f>IF($BI122&lt;&gt;"",IF('Capacity summary'!$C$14="Yes",IF(COUNTBLANK('Capacity summary'!$H34:$BG34)&lt;52,IF('Capacity summary'!I34&lt;&gt;"",$BI122*I122,0),I122*$BI122),I122*$BI122),0)</f>
        <v>0</v>
      </c>
      <c r="BM122" s="5">
        <f>IF($BI122&lt;&gt;"",IF('Capacity summary'!$C$14="Yes",IF(COUNTBLANK('Capacity summary'!$H34:$BG34)&lt;52,IF('Capacity summary'!J34&lt;&gt;"",$BI122*J122,0),J122*$BI122),J122*$BI122),0)</f>
        <v>0</v>
      </c>
      <c r="BN122" s="5">
        <f>IF($BI122&lt;&gt;"",IF('Capacity summary'!$C$14="Yes",IF(COUNTBLANK('Capacity summary'!$H34:$BG34)&lt;52,IF('Capacity summary'!K34&lt;&gt;"",$BI122*K122,0),K122*$BI122),K122*$BI122),0)</f>
        <v>0</v>
      </c>
      <c r="BO122" s="5">
        <f>IF($BI122&lt;&gt;"",IF('Capacity summary'!$C$14="Yes",IF(COUNTBLANK('Capacity summary'!$H34:$BG34)&lt;52,IF('Capacity summary'!L34&lt;&gt;"",$BI122*L122,0),L122*$BI122),L122*$BI122),0)</f>
        <v>0</v>
      </c>
      <c r="BP122" s="5">
        <f>IF($BI122&lt;&gt;"",IF('Capacity summary'!$C$14="Yes",IF(COUNTBLANK('Capacity summary'!$H34:$BG34)&lt;52,IF('Capacity summary'!M34&lt;&gt;"",$BI122*M122,0),M122*$BI122),M122*$BI122),0)</f>
        <v>0</v>
      </c>
      <c r="BQ122" s="5">
        <f>IF($BI122&lt;&gt;"",IF('Capacity summary'!$C$14="Yes",IF(COUNTBLANK('Capacity summary'!$H34:$BG34)&lt;52,IF('Capacity summary'!N34&lt;&gt;"",$BI122*N122,0),N122*$BI122),N122*$BI122),0)</f>
        <v>0</v>
      </c>
      <c r="BR122" s="5">
        <f>IF($BI122&lt;&gt;"",IF('Capacity summary'!$C$14="Yes",IF(COUNTBLANK('Capacity summary'!$H34:$BG34)&lt;52,IF('Capacity summary'!O34&lt;&gt;"",$BI122*O122,0),O122*$BI122),O122*$BI122),0)</f>
        <v>0</v>
      </c>
      <c r="BS122" s="5">
        <f>IF($BI122&lt;&gt;"",IF('Capacity summary'!$C$14="Yes",IF(COUNTBLANK('Capacity summary'!$H34:$BG34)&lt;52,IF('Capacity summary'!P34&lt;&gt;"",$BI122*P122,0),P122*$BI122),P122*$BI122),0)</f>
        <v>0</v>
      </c>
      <c r="BT122" s="5">
        <f>IF($BI122&lt;&gt;"",IF('Capacity summary'!$C$14="Yes",IF(COUNTBLANK('Capacity summary'!$H34:$BG34)&lt;52,IF('Capacity summary'!Q34&lt;&gt;"",$BI122*Q122,0),Q122*$BI122),Q122*$BI122),0)</f>
        <v>0</v>
      </c>
      <c r="BU122" s="5">
        <f>IF($BI122&lt;&gt;"",IF('Capacity summary'!$C$14="Yes",IF(COUNTBLANK('Capacity summary'!$H34:$BG34)&lt;52,IF('Capacity summary'!R34&lt;&gt;"",$BI122*R122,0),R122*$BI122),R122*$BI122),0)</f>
        <v>0</v>
      </c>
      <c r="BV122" s="5">
        <f>IF($BI122&lt;&gt;"",IF('Capacity summary'!$C$14="Yes",IF(COUNTBLANK('Capacity summary'!$H34:$BG34)&lt;52,IF('Capacity summary'!S34&lt;&gt;"",$BI122*S122,0),S122*$BI122),S122*$BI122),0)</f>
        <v>0</v>
      </c>
      <c r="BW122" s="5">
        <f>IF($BI122&lt;&gt;"",IF('Capacity summary'!$C$14="Yes",IF(COUNTBLANK('Capacity summary'!$H34:$BG34)&lt;52,IF('Capacity summary'!T34&lt;&gt;"",$BI122*T122,0),T122*$BI122),T122*$BI122),0)</f>
        <v>0</v>
      </c>
      <c r="BX122" s="5">
        <f>IF($BI122&lt;&gt;"",IF('Capacity summary'!$C$14="Yes",IF(COUNTBLANK('Capacity summary'!$H34:$BG34)&lt;52,IF('Capacity summary'!U34&lt;&gt;"",$BI122*U122,0),U122*$BI122),U122*$BI122),0)</f>
        <v>0</v>
      </c>
      <c r="BY122" s="5">
        <f>IF($BI122&lt;&gt;"",IF('Capacity summary'!$C$14="Yes",IF(COUNTBLANK('Capacity summary'!$H34:$BG34)&lt;52,IF('Capacity summary'!V34&lt;&gt;"",$BI122*V122,0),V122*$BI122),V122*$BI122),0)</f>
        <v>0</v>
      </c>
      <c r="BZ122" s="5">
        <f>IF($BI122&lt;&gt;"",IF('Capacity summary'!$C$14="Yes",IF(COUNTBLANK('Capacity summary'!$H34:$BG34)&lt;52,IF('Capacity summary'!W34&lt;&gt;"",$BI122*W122,0),W122*$BI122),W122*$BI122),0)</f>
        <v>0</v>
      </c>
      <c r="CA122" s="5">
        <f>IF($BI122&lt;&gt;"",IF('Capacity summary'!$C$14="Yes",IF(COUNTBLANK('Capacity summary'!$H34:$BG34)&lt;52,IF('Capacity summary'!X34&lt;&gt;"",$BI122*X122,0),X122*$BI122),X122*$BI122),0)</f>
        <v>0</v>
      </c>
      <c r="CB122" s="5">
        <f>IF($BI122&lt;&gt;"",IF('Capacity summary'!$C$14="Yes",IF(COUNTBLANK('Capacity summary'!$H34:$BG34)&lt;52,IF('Capacity summary'!Y34&lt;&gt;"",$BI122*Y122,0),Y122*$BI122),Y122*$BI122),0)</f>
        <v>0</v>
      </c>
      <c r="CC122" s="5">
        <f>IF($BI122&lt;&gt;"",IF('Capacity summary'!$C$14="Yes",IF(COUNTBLANK('Capacity summary'!$H34:$BG34)&lt;52,IF('Capacity summary'!Z34&lt;&gt;"",$BI122*Z122,0),Z122*$BI122),Z122*$BI122),0)</f>
        <v>0</v>
      </c>
      <c r="CD122" s="5">
        <f>IF($BI122&lt;&gt;"",IF('Capacity summary'!$C$14="Yes",IF(COUNTBLANK('Capacity summary'!$H34:$BG34)&lt;52,IF('Capacity summary'!AA34&lt;&gt;"",$BI122*AA122,0),AA122*$BI122),AA122*$BI122),0)</f>
        <v>0</v>
      </c>
      <c r="CE122" s="5">
        <f>IF($BI122&lt;&gt;"",IF('Capacity summary'!$C$14="Yes",IF(COUNTBLANK('Capacity summary'!$H34:$BG34)&lt;52,IF('Capacity summary'!AB34&lt;&gt;"",$BI122*AB122,0),AB122*$BI122),AB122*$BI122),0)</f>
        <v>0</v>
      </c>
      <c r="CF122" s="5">
        <f>IF($BI122&lt;&gt;"",IF('Capacity summary'!$C$14="Yes",IF(COUNTBLANK('Capacity summary'!$H34:$BG34)&lt;52,IF('Capacity summary'!AC34&lt;&gt;"",$BI122*AC122,0),AC122*$BI122),AC122*$BI122),0)</f>
        <v>0</v>
      </c>
      <c r="CG122" s="5">
        <f>IF($BI122&lt;&gt;"",IF('Capacity summary'!$C$14="Yes",IF(COUNTBLANK('Capacity summary'!$H34:$BG34)&lt;52,IF('Capacity summary'!AD34&lt;&gt;"",$BI122*AD122,0),AD122*$BI122),AD122*$BI122),0)</f>
        <v>0</v>
      </c>
      <c r="CH122" s="5">
        <f>IF($BI122&lt;&gt;"",IF('Capacity summary'!$C$14="Yes",IF(COUNTBLANK('Capacity summary'!$H34:$BG34)&lt;52,IF('Capacity summary'!AE34&lt;&gt;"",$BI122*AE122,0),AE122*$BI122),AE122*$BI122),0)</f>
        <v>0</v>
      </c>
      <c r="CI122" s="5">
        <f>IF($BI122&lt;&gt;"",IF('Capacity summary'!$C$14="Yes",IF(COUNTBLANK('Capacity summary'!$H34:$BG34)&lt;52,IF('Capacity summary'!AF34&lt;&gt;"",$BI122*AF122,0),AF122*$BI122),AF122*$BI122),0)</f>
        <v>0</v>
      </c>
      <c r="CJ122" s="5">
        <f>IF($BI122&lt;&gt;"",IF('Capacity summary'!$C$14="Yes",IF(COUNTBLANK('Capacity summary'!$H34:$BG34)&lt;52,IF('Capacity summary'!AG34&lt;&gt;"",$BI122*AG122,0),AG122*$BI122),AG122*$BI122),0)</f>
        <v>0</v>
      </c>
      <c r="CK122" s="5">
        <f>IF($BI122&lt;&gt;"",IF('Capacity summary'!$C$14="Yes",IF(COUNTBLANK('Capacity summary'!$H34:$BG34)&lt;52,IF('Capacity summary'!AH34&lt;&gt;"",$BI122*AH122,0),AH122*$BI122),AH122*$BI122),0)</f>
        <v>0</v>
      </c>
      <c r="CL122" s="5">
        <f>IF($BI122&lt;&gt;"",IF('Capacity summary'!$C$14="Yes",IF(COUNTBLANK('Capacity summary'!$H34:$BG34)&lt;52,IF('Capacity summary'!AI34&lt;&gt;"",$BI122*AI122,0),AI122*$BI122),AI122*$BI122),0)</f>
        <v>0</v>
      </c>
      <c r="CM122" s="5">
        <f>IF($BI122&lt;&gt;"",IF('Capacity summary'!$C$14="Yes",IF(COUNTBLANK('Capacity summary'!$H34:$BG34)&lt;52,IF('Capacity summary'!AJ34&lt;&gt;"",$BI122*AJ122,0),AJ122*$BI122),AJ122*$BI122),0)</f>
        <v>0</v>
      </c>
      <c r="CN122" s="5">
        <f>IF($BI122&lt;&gt;"",IF('Capacity summary'!$C$14="Yes",IF(COUNTBLANK('Capacity summary'!$H34:$BG34)&lt;52,IF('Capacity summary'!AK34&lt;&gt;"",$BI122*AK122,0),AK122*$BI122),AK122*$BI122),0)</f>
        <v>0</v>
      </c>
      <c r="CO122" s="5">
        <f>IF($BI122&lt;&gt;"",IF('Capacity summary'!$C$14="Yes",IF(COUNTBLANK('Capacity summary'!$H34:$BG34)&lt;52,IF('Capacity summary'!AL34&lt;&gt;"",$BI122*AL122,0),AL122*$BI122),AL122*$BI122),0)</f>
        <v>0</v>
      </c>
      <c r="CP122" s="5">
        <f>IF($BI122&lt;&gt;"",IF('Capacity summary'!$C$14="Yes",IF(COUNTBLANK('Capacity summary'!$H34:$BG34)&lt;52,IF('Capacity summary'!AM34&lt;&gt;"",$BI122*AM122,0),AM122*$BI122),AM122*$BI122),0)</f>
        <v>0</v>
      </c>
      <c r="CQ122" s="5">
        <f>IF($BI122&lt;&gt;"",IF('Capacity summary'!$C$14="Yes",IF(COUNTBLANK('Capacity summary'!$H34:$BG34)&lt;52,IF('Capacity summary'!AN34&lt;&gt;"",$BI122*AN122,0),AN122*$BI122),AN122*$BI122),0)</f>
        <v>0</v>
      </c>
      <c r="CR122" s="5">
        <f>IF($BI122&lt;&gt;"",IF('Capacity summary'!$C$14="Yes",IF(COUNTBLANK('Capacity summary'!$H34:$BG34)&lt;52,IF('Capacity summary'!AO34&lt;&gt;"",$BI122*AO122,0),AO122*$BI122),AO122*$BI122),0)</f>
        <v>0</v>
      </c>
      <c r="CS122" s="5">
        <f>IF($BI122&lt;&gt;"",IF('Capacity summary'!$C$14="Yes",IF(COUNTBLANK('Capacity summary'!$H34:$BG34)&lt;52,IF('Capacity summary'!AP34&lt;&gt;"",$BI122*AP122,0),AP122*$BI122),AP122*$BI122),0)</f>
        <v>0</v>
      </c>
      <c r="CT122" s="5">
        <f>IF($BI122&lt;&gt;"",IF('Capacity summary'!$C$14="Yes",IF(COUNTBLANK('Capacity summary'!$H34:$BG34)&lt;52,IF('Capacity summary'!AQ34&lt;&gt;"",$BI122*AQ122,0),AQ122*$BI122),AQ122*$BI122),0)</f>
        <v>0</v>
      </c>
      <c r="CU122" s="5">
        <f>IF($BI122&lt;&gt;"",IF('Capacity summary'!$C$14="Yes",IF(COUNTBLANK('Capacity summary'!$H34:$BG34)&lt;52,IF('Capacity summary'!AR34&lt;&gt;"",$BI122*AR122,0),AR122*$BI122),AR122*$BI122),0)</f>
        <v>0</v>
      </c>
      <c r="CV122" s="5">
        <f>IF($BI122&lt;&gt;"",IF('Capacity summary'!$C$14="Yes",IF(COUNTBLANK('Capacity summary'!$H34:$BG34)&lt;52,IF('Capacity summary'!AS34&lt;&gt;"",$BI122*AS122,0),AS122*$BI122),AS122*$BI122),0)</f>
        <v>0</v>
      </c>
      <c r="CW122" s="5">
        <f>IF($BI122&lt;&gt;"",IF('Capacity summary'!$C$14="Yes",IF(COUNTBLANK('Capacity summary'!$H34:$BG34)&lt;52,IF('Capacity summary'!AT34&lt;&gt;"",$BI122*AT122,0),AT122*$BI122),AT122*$BI122),0)</f>
        <v>0</v>
      </c>
      <c r="CX122" s="5">
        <f>IF($BI122&lt;&gt;"",IF('Capacity summary'!$C$14="Yes",IF(COUNTBLANK('Capacity summary'!$H34:$BG34)&lt;52,IF('Capacity summary'!AU34&lt;&gt;"",$BI122*AU122,0),AU122*$BI122),AU122*$BI122),0)</f>
        <v>0</v>
      </c>
      <c r="CY122" s="5">
        <f>IF($BI122&lt;&gt;"",IF('Capacity summary'!$C$14="Yes",IF(COUNTBLANK('Capacity summary'!$H34:$BG34)&lt;52,IF('Capacity summary'!AV34&lt;&gt;"",$BI122*AV122,0),AV122*$BI122),AV122*$BI122),0)</f>
        <v>0</v>
      </c>
      <c r="CZ122" s="5">
        <f>IF($BI122&lt;&gt;"",IF('Capacity summary'!$C$14="Yes",IF(COUNTBLANK('Capacity summary'!$H34:$BG34)&lt;52,IF('Capacity summary'!AW34&lt;&gt;"",$BI122*AW122,0),AW122*$BI122),AW122*$BI122),0)</f>
        <v>0</v>
      </c>
      <c r="DA122" s="5">
        <f>IF($BI122&lt;&gt;"",IF('Capacity summary'!$C$14="Yes",IF(COUNTBLANK('Capacity summary'!$H34:$BG34)&lt;52,IF('Capacity summary'!AX34&lt;&gt;"",$BI122*AX122,0),AX122*$BI122),AX122*$BI122),0)</f>
        <v>0</v>
      </c>
      <c r="DB122" s="5">
        <f>IF($BI122&lt;&gt;"",IF('Capacity summary'!$C$14="Yes",IF(COUNTBLANK('Capacity summary'!$H34:$BG34)&lt;52,IF('Capacity summary'!AY34&lt;&gt;"",$BI122*AY122,0),AY122*$BI122),AY122*$BI122),0)</f>
        <v>0</v>
      </c>
      <c r="DC122" s="5">
        <f>IF($BI122&lt;&gt;"",IF('Capacity summary'!$C$14="Yes",IF(COUNTBLANK('Capacity summary'!$H34:$BG34)&lt;52,IF('Capacity summary'!AZ34&lt;&gt;"",$BI122*AZ122,0),AZ122*$BI122),AZ122*$BI122),0)</f>
        <v>0</v>
      </c>
      <c r="DD122" s="5">
        <f>IF($BI122&lt;&gt;"",IF('Capacity summary'!$C$14="Yes",IF(COUNTBLANK('Capacity summary'!$H34:$BG34)&lt;52,IF('Capacity summary'!BA34&lt;&gt;"",$BI122*BA122,0),BA122*$BI122),BA122*$BI122),0)</f>
        <v>0</v>
      </c>
      <c r="DE122" s="5">
        <f>IF($BI122&lt;&gt;"",IF('Capacity summary'!$C$14="Yes",IF(COUNTBLANK('Capacity summary'!$H34:$BG34)&lt;52,IF('Capacity summary'!BB34&lt;&gt;"",$BI122*BB122,0),BB122*$BI122),BB122*$BI122),0)</f>
        <v>0</v>
      </c>
      <c r="DF122" s="5">
        <f>IF($BI122&lt;&gt;"",IF('Capacity summary'!$C$14="Yes",IF(COUNTBLANK('Capacity summary'!$H34:$BG34)&lt;52,IF('Capacity summary'!BC34&lt;&gt;"",$BI122*BC122,0),BC122*$BI122),BC122*$BI122),0)</f>
        <v>0</v>
      </c>
      <c r="DG122" s="5">
        <f>IF($BI122&lt;&gt;"",IF('Capacity summary'!$C$14="Yes",IF(COUNTBLANK('Capacity summary'!$H34:$BG34)&lt;52,IF('Capacity summary'!BD34&lt;&gt;"",$BI122*BD122,0),BD122*$BI122),BD122*$BI122),0)</f>
        <v>0</v>
      </c>
      <c r="DH122" s="5">
        <f>IF($BI122&lt;&gt;"",IF('Capacity summary'!$C$14="Yes",IF(COUNTBLANK('Capacity summary'!$H34:$BG34)&lt;52,IF('Capacity summary'!BE34&lt;&gt;"",$BI122*BE122,0),BE122*$BI122),BE122*$BI122),0)</f>
        <v>0</v>
      </c>
      <c r="DI122" s="5">
        <f>IF($BI122&lt;&gt;"",IF('Capacity summary'!$C$14="Yes",IF(COUNTBLANK('Capacity summary'!$H34:$BG34)&lt;52,IF('Capacity summary'!BF34&lt;&gt;"",$BI122*BF122,0),BF122*$BI122),BF122*$BI122),0)</f>
        <v>0</v>
      </c>
      <c r="DJ122" s="5">
        <f>IF($BI122&lt;&gt;"",IF('Capacity summary'!$C$14="Yes",IF(COUNTBLANK('Capacity summary'!$H34:$BG34)&lt;52,IF('Capacity summary'!BG34&lt;&gt;"",$BI122*BG122,0),BG122*$BI122),BG122*$BI122),0)</f>
        <v>0</v>
      </c>
      <c r="DK122" s="138">
        <f t="shared" si="6"/>
        <v>0</v>
      </c>
    </row>
    <row r="123" spans="3:115" x14ac:dyDescent="0.2">
      <c r="C123" s="68" t="str">
        <f>ROW(A12)&amp;". "&amp;Capacity!N28</f>
        <v xml:space="preserve">12. </v>
      </c>
      <c r="D123" s="68">
        <f>'Capacity setup'!C129</f>
        <v>0</v>
      </c>
      <c r="E123" s="68">
        <f>'Capacity setup'!D129</f>
        <v>0</v>
      </c>
      <c r="F123" s="68">
        <f>'Capacity setup'!E129</f>
        <v>0</v>
      </c>
      <c r="H123" s="68">
        <f ca="1">IF(AND(SUMIF(Capacity_Resource,$D123,'Critical resources (hide)'!U$6:U$105)+SUMIF(Capacity_Resource,$E123,'Critical resources (hide)'!U$6:U$105)+SUMIF(Capacity_Resource,$F123,'Critical resources (hide)'!U$6:U$105)&gt;0,$E$1=2),0,1)</f>
        <v>1</v>
      </c>
      <c r="I123" s="68">
        <f ca="1">IF(AND(SUMIF(Capacity_Resource,$D123,'Critical resources (hide)'!V$6:V$105)+SUMIF(Capacity_Resource,$E123,'Critical resources (hide)'!V$6:V$105)+SUMIF(Capacity_Resource,$F123,'Critical resources (hide)'!V$6:V$105)&gt;0,$E$1=2),0,1)</f>
        <v>1</v>
      </c>
      <c r="J123" s="68">
        <f ca="1">IF(AND(SUMIF(Capacity_Resource,$D123,'Critical resources (hide)'!W$6:W$105)+SUMIF(Capacity_Resource,$E123,'Critical resources (hide)'!W$6:W$105)+SUMIF(Capacity_Resource,$F123,'Critical resources (hide)'!W$6:W$105)&gt;0,$E$1=2),0,1)</f>
        <v>1</v>
      </c>
      <c r="K123" s="68">
        <f ca="1">IF(AND(SUMIF(Capacity_Resource,$D123,'Critical resources (hide)'!X$6:X$105)+SUMIF(Capacity_Resource,$E123,'Critical resources (hide)'!X$6:X$105)+SUMIF(Capacity_Resource,$F123,'Critical resources (hide)'!X$6:X$105)&gt;0,$E$1=2),0,1)</f>
        <v>1</v>
      </c>
      <c r="L123" s="68">
        <f ca="1">IF(AND(SUMIF(Capacity_Resource,$D123,'Critical resources (hide)'!Y$6:Y$105)+SUMIF(Capacity_Resource,$E123,'Critical resources (hide)'!Y$6:Y$105)+SUMIF(Capacity_Resource,$F123,'Critical resources (hide)'!Y$6:Y$105)&gt;0,$E$1=2),0,1)</f>
        <v>1</v>
      </c>
      <c r="M123" s="68">
        <f ca="1">IF(AND(SUMIF(Capacity_Resource,$D123,'Critical resources (hide)'!Z$6:Z$105)+SUMIF(Capacity_Resource,$E123,'Critical resources (hide)'!Z$6:Z$105)+SUMIF(Capacity_Resource,$F123,'Critical resources (hide)'!Z$6:Z$105)&gt;0,$E$1=2),0,1)</f>
        <v>1</v>
      </c>
      <c r="N123" s="68">
        <f ca="1">IF(AND(SUMIF(Capacity_Resource,$D123,'Critical resources (hide)'!AA$6:AA$105)+SUMIF(Capacity_Resource,$E123,'Critical resources (hide)'!AA$6:AA$105)+SUMIF(Capacity_Resource,$F123,'Critical resources (hide)'!AA$6:AA$105)&gt;0,$E$1=2),0,1)</f>
        <v>1</v>
      </c>
      <c r="O123" s="68">
        <f ca="1">IF(AND(SUMIF(Capacity_Resource,$D123,'Critical resources (hide)'!AB$6:AB$105)+SUMIF(Capacity_Resource,$E123,'Critical resources (hide)'!AB$6:AB$105)+SUMIF(Capacity_Resource,$F123,'Critical resources (hide)'!AB$6:AB$105)&gt;0,$E$1=2),0,1)</f>
        <v>1</v>
      </c>
      <c r="P123" s="68">
        <f ca="1">IF(AND(SUMIF(Capacity_Resource,$D123,'Critical resources (hide)'!AC$6:AC$105)+SUMIF(Capacity_Resource,$E123,'Critical resources (hide)'!AC$6:AC$105)+SUMIF(Capacity_Resource,$F123,'Critical resources (hide)'!AC$6:AC$105)&gt;0,$E$1=2),0,1)</f>
        <v>1</v>
      </c>
      <c r="Q123" s="68">
        <f ca="1">IF(AND(SUMIF(Capacity_Resource,$D123,'Critical resources (hide)'!AD$6:AD$105)+SUMIF(Capacity_Resource,$E123,'Critical resources (hide)'!AD$6:AD$105)+SUMIF(Capacity_Resource,$F123,'Critical resources (hide)'!AD$6:AD$105)&gt;0,$E$1=2),0,1)</f>
        <v>1</v>
      </c>
      <c r="R123" s="68">
        <f ca="1">IF(AND(SUMIF(Capacity_Resource,$D123,'Critical resources (hide)'!AE$6:AE$105)+SUMIF(Capacity_Resource,$E123,'Critical resources (hide)'!AE$6:AE$105)+SUMIF(Capacity_Resource,$F123,'Critical resources (hide)'!AE$6:AE$105)&gt;0,$E$1=2),0,1)</f>
        <v>1</v>
      </c>
      <c r="S123" s="68">
        <f ca="1">IF(AND(SUMIF(Capacity_Resource,$D123,'Critical resources (hide)'!AF$6:AF$105)+SUMIF(Capacity_Resource,$E123,'Critical resources (hide)'!AF$6:AF$105)+SUMIF(Capacity_Resource,$F123,'Critical resources (hide)'!AF$6:AF$105)&gt;0,$E$1=2),0,1)</f>
        <v>1</v>
      </c>
      <c r="T123" s="68">
        <f ca="1">IF(AND(SUMIF(Capacity_Resource,$D123,'Critical resources (hide)'!AG$6:AG$105)+SUMIF(Capacity_Resource,$E123,'Critical resources (hide)'!AG$6:AG$105)+SUMIF(Capacity_Resource,$F123,'Critical resources (hide)'!AG$6:AG$105)&gt;0,$E$1=2),0,1)</f>
        <v>1</v>
      </c>
      <c r="U123" s="68">
        <f ca="1">IF(AND(SUMIF(Capacity_Resource,$D123,'Critical resources (hide)'!AH$6:AH$105)+SUMIF(Capacity_Resource,$E123,'Critical resources (hide)'!AH$6:AH$105)+SUMIF(Capacity_Resource,$F123,'Critical resources (hide)'!AH$6:AH$105)&gt;0,$E$1=2),0,1)</f>
        <v>1</v>
      </c>
      <c r="V123" s="68">
        <f ca="1">IF(AND(SUMIF(Capacity_Resource,$D123,'Critical resources (hide)'!AI$6:AI$105)+SUMIF(Capacity_Resource,$E123,'Critical resources (hide)'!AI$6:AI$105)+SUMIF(Capacity_Resource,$F123,'Critical resources (hide)'!AI$6:AI$105)&gt;0,$E$1=2),0,1)</f>
        <v>1</v>
      </c>
      <c r="W123" s="68">
        <f ca="1">IF(AND(SUMIF(Capacity_Resource,$D123,'Critical resources (hide)'!AJ$6:AJ$105)+SUMIF(Capacity_Resource,$E123,'Critical resources (hide)'!AJ$6:AJ$105)+SUMIF(Capacity_Resource,$F123,'Critical resources (hide)'!AJ$6:AJ$105)&gt;0,$E$1=2),0,1)</f>
        <v>1</v>
      </c>
      <c r="X123" s="68">
        <f ca="1">IF(AND(SUMIF(Capacity_Resource,$D123,'Critical resources (hide)'!AK$6:AK$105)+SUMIF(Capacity_Resource,$E123,'Critical resources (hide)'!AK$6:AK$105)+SUMIF(Capacity_Resource,$F123,'Critical resources (hide)'!AK$6:AK$105)&gt;0,$E$1=2),0,1)</f>
        <v>1</v>
      </c>
      <c r="Y123" s="68">
        <f ca="1">IF(AND(SUMIF(Capacity_Resource,$D123,'Critical resources (hide)'!AL$6:AL$105)+SUMIF(Capacity_Resource,$E123,'Critical resources (hide)'!AL$6:AL$105)+SUMIF(Capacity_Resource,$F123,'Critical resources (hide)'!AL$6:AL$105)&gt;0,$E$1=2),0,1)</f>
        <v>1</v>
      </c>
      <c r="Z123" s="68">
        <f ca="1">IF(AND(SUMIF(Capacity_Resource,$D123,'Critical resources (hide)'!AM$6:AM$105)+SUMIF(Capacity_Resource,$E123,'Critical resources (hide)'!AM$6:AM$105)+SUMIF(Capacity_Resource,$F123,'Critical resources (hide)'!AM$6:AM$105)&gt;0,$E$1=2),0,1)</f>
        <v>1</v>
      </c>
      <c r="AA123" s="68">
        <f ca="1">IF(AND(SUMIF(Capacity_Resource,$D123,'Critical resources (hide)'!AN$6:AN$105)+SUMIF(Capacity_Resource,$E123,'Critical resources (hide)'!AN$6:AN$105)+SUMIF(Capacity_Resource,$F123,'Critical resources (hide)'!AN$6:AN$105)&gt;0,$E$1=2),0,1)</f>
        <v>1</v>
      </c>
      <c r="AB123" s="68">
        <f ca="1">IF(AND(SUMIF(Capacity_Resource,$D123,'Critical resources (hide)'!AO$6:AO$105)+SUMIF(Capacity_Resource,$E123,'Critical resources (hide)'!AO$6:AO$105)+SUMIF(Capacity_Resource,$F123,'Critical resources (hide)'!AO$6:AO$105)&gt;0,$E$1=2),0,1)</f>
        <v>1</v>
      </c>
      <c r="AC123" s="68">
        <f ca="1">IF(AND(SUMIF(Capacity_Resource,$D123,'Critical resources (hide)'!AP$6:AP$105)+SUMIF(Capacity_Resource,$E123,'Critical resources (hide)'!AP$6:AP$105)+SUMIF(Capacity_Resource,$F123,'Critical resources (hide)'!AP$6:AP$105)&gt;0,$E$1=2),0,1)</f>
        <v>1</v>
      </c>
      <c r="AD123" s="68">
        <f ca="1">IF(AND(SUMIF(Capacity_Resource,$D123,'Critical resources (hide)'!AQ$6:AQ$105)+SUMIF(Capacity_Resource,$E123,'Critical resources (hide)'!AQ$6:AQ$105)+SUMIF(Capacity_Resource,$F123,'Critical resources (hide)'!AQ$6:AQ$105)&gt;0,$E$1=2),0,1)</f>
        <v>1</v>
      </c>
      <c r="AE123" s="68">
        <f ca="1">IF(AND(SUMIF(Capacity_Resource,$D123,'Critical resources (hide)'!AR$6:AR$105)+SUMIF(Capacity_Resource,$E123,'Critical resources (hide)'!AR$6:AR$105)+SUMIF(Capacity_Resource,$F123,'Critical resources (hide)'!AR$6:AR$105)&gt;0,$E$1=2),0,1)</f>
        <v>1</v>
      </c>
      <c r="AF123" s="68">
        <f ca="1">IF(AND(SUMIF(Capacity_Resource,$D123,'Critical resources (hide)'!AS$6:AS$105)+SUMIF(Capacity_Resource,$E123,'Critical resources (hide)'!AS$6:AS$105)+SUMIF(Capacity_Resource,$F123,'Critical resources (hide)'!AS$6:AS$105)&gt;0,$E$1=2),0,1)</f>
        <v>1</v>
      </c>
      <c r="AG123" s="68">
        <f ca="1">IF(AND(SUMIF(Capacity_Resource,$D123,'Critical resources (hide)'!AT$6:AT$105)+SUMIF(Capacity_Resource,$E123,'Critical resources (hide)'!AT$6:AT$105)+SUMIF(Capacity_Resource,$F123,'Critical resources (hide)'!AT$6:AT$105)&gt;0,$E$1=2),0,1)</f>
        <v>1</v>
      </c>
      <c r="AH123" s="68">
        <f ca="1">IF(AND(SUMIF(Capacity_Resource,$D123,'Critical resources (hide)'!AU$6:AU$105)+SUMIF(Capacity_Resource,$E123,'Critical resources (hide)'!AU$6:AU$105)+SUMIF(Capacity_Resource,$F123,'Critical resources (hide)'!AU$6:AU$105)&gt;0,$E$1=2),0,1)</f>
        <v>1</v>
      </c>
      <c r="AI123" s="68">
        <f ca="1">IF(AND(SUMIF(Capacity_Resource,$D123,'Critical resources (hide)'!AV$6:AV$105)+SUMIF(Capacity_Resource,$E123,'Critical resources (hide)'!AV$6:AV$105)+SUMIF(Capacity_Resource,$F123,'Critical resources (hide)'!AV$6:AV$105)&gt;0,$E$1=2),0,1)</f>
        <v>1</v>
      </c>
      <c r="AJ123" s="68">
        <f ca="1">IF(AND(SUMIF(Capacity_Resource,$D123,'Critical resources (hide)'!AW$6:AW$105)+SUMIF(Capacity_Resource,$E123,'Critical resources (hide)'!AW$6:AW$105)+SUMIF(Capacity_Resource,$F123,'Critical resources (hide)'!AW$6:AW$105)&gt;0,$E$1=2),0,1)</f>
        <v>1</v>
      </c>
      <c r="AK123" s="68">
        <f ca="1">IF(AND(SUMIF(Capacity_Resource,$D123,'Critical resources (hide)'!AX$6:AX$105)+SUMIF(Capacity_Resource,$E123,'Critical resources (hide)'!AX$6:AX$105)+SUMIF(Capacity_Resource,$F123,'Critical resources (hide)'!AX$6:AX$105)&gt;0,$E$1=2),0,1)</f>
        <v>1</v>
      </c>
      <c r="AL123" s="68">
        <f ca="1">IF(AND(SUMIF(Capacity_Resource,$D123,'Critical resources (hide)'!AY$6:AY$105)+SUMIF(Capacity_Resource,$E123,'Critical resources (hide)'!AY$6:AY$105)+SUMIF(Capacity_Resource,$F123,'Critical resources (hide)'!AY$6:AY$105)&gt;0,$E$1=2),0,1)</f>
        <v>1</v>
      </c>
      <c r="AM123" s="68">
        <f ca="1">IF(AND(SUMIF(Capacity_Resource,$D123,'Critical resources (hide)'!AZ$6:AZ$105)+SUMIF(Capacity_Resource,$E123,'Critical resources (hide)'!AZ$6:AZ$105)+SUMIF(Capacity_Resource,$F123,'Critical resources (hide)'!AZ$6:AZ$105)&gt;0,$E$1=2),0,1)</f>
        <v>1</v>
      </c>
      <c r="AN123" s="68">
        <f ca="1">IF(AND(SUMIF(Capacity_Resource,$D123,'Critical resources (hide)'!BA$6:BA$105)+SUMIF(Capacity_Resource,$E123,'Critical resources (hide)'!BA$6:BA$105)+SUMIF(Capacity_Resource,$F123,'Critical resources (hide)'!BA$6:BA$105)&gt;0,$E$1=2),0,1)</f>
        <v>1</v>
      </c>
      <c r="AO123" s="68">
        <f ca="1">IF(AND(SUMIF(Capacity_Resource,$D123,'Critical resources (hide)'!BB$6:BB$105)+SUMIF(Capacity_Resource,$E123,'Critical resources (hide)'!BB$6:BB$105)+SUMIF(Capacity_Resource,$F123,'Critical resources (hide)'!BB$6:BB$105)&gt;0,$E$1=2),0,1)</f>
        <v>1</v>
      </c>
      <c r="AP123" s="68">
        <f ca="1">IF(AND(SUMIF(Capacity_Resource,$D123,'Critical resources (hide)'!BC$6:BC$105)+SUMIF(Capacity_Resource,$E123,'Critical resources (hide)'!BC$6:BC$105)+SUMIF(Capacity_Resource,$F123,'Critical resources (hide)'!BC$6:BC$105)&gt;0,$E$1=2),0,1)</f>
        <v>1</v>
      </c>
      <c r="AQ123" s="68">
        <f ca="1">IF(AND(SUMIF(Capacity_Resource,$D123,'Critical resources (hide)'!BD$6:BD$105)+SUMIF(Capacity_Resource,$E123,'Critical resources (hide)'!BD$6:BD$105)+SUMIF(Capacity_Resource,$F123,'Critical resources (hide)'!BD$6:BD$105)&gt;0,$E$1=2),0,1)</f>
        <v>1</v>
      </c>
      <c r="AR123" s="68">
        <f ca="1">IF(AND(SUMIF(Capacity_Resource,$D123,'Critical resources (hide)'!BE$6:BE$105)+SUMIF(Capacity_Resource,$E123,'Critical resources (hide)'!BE$6:BE$105)+SUMIF(Capacity_Resource,$F123,'Critical resources (hide)'!BE$6:BE$105)&gt;0,$E$1=2),0,1)</f>
        <v>1</v>
      </c>
      <c r="AS123" s="68">
        <f ca="1">IF(AND(SUMIF(Capacity_Resource,$D123,'Critical resources (hide)'!BF$6:BF$105)+SUMIF(Capacity_Resource,$E123,'Critical resources (hide)'!BF$6:BF$105)+SUMIF(Capacity_Resource,$F123,'Critical resources (hide)'!BF$6:BF$105)&gt;0,$E$1=2),0,1)</f>
        <v>1</v>
      </c>
      <c r="AT123" s="68">
        <f ca="1">IF(AND(SUMIF(Capacity_Resource,$D123,'Critical resources (hide)'!BG$6:BG$105)+SUMIF(Capacity_Resource,$E123,'Critical resources (hide)'!BG$6:BG$105)+SUMIF(Capacity_Resource,$F123,'Critical resources (hide)'!BG$6:BG$105)&gt;0,$E$1=2),0,1)</f>
        <v>1</v>
      </c>
      <c r="AU123" s="68">
        <f ca="1">IF(AND(SUMIF(Capacity_Resource,$D123,'Critical resources (hide)'!BH$6:BH$105)+SUMIF(Capacity_Resource,$E123,'Critical resources (hide)'!BH$6:BH$105)+SUMIF(Capacity_Resource,$F123,'Critical resources (hide)'!BH$6:BH$105)&gt;0,$E$1=2),0,1)</f>
        <v>1</v>
      </c>
      <c r="AV123" s="68">
        <f ca="1">IF(AND(SUMIF(Capacity_Resource,$D123,'Critical resources (hide)'!BI$6:BI$105)+SUMIF(Capacity_Resource,$E123,'Critical resources (hide)'!BI$6:BI$105)+SUMIF(Capacity_Resource,$F123,'Critical resources (hide)'!BI$6:BI$105)&gt;0,$E$1=2),0,1)</f>
        <v>1</v>
      </c>
      <c r="AW123" s="68">
        <f ca="1">IF(AND(SUMIF(Capacity_Resource,$D123,'Critical resources (hide)'!BJ$6:BJ$105)+SUMIF(Capacity_Resource,$E123,'Critical resources (hide)'!BJ$6:BJ$105)+SUMIF(Capacity_Resource,$F123,'Critical resources (hide)'!BJ$6:BJ$105)&gt;0,$E$1=2),0,1)</f>
        <v>1</v>
      </c>
      <c r="AX123" s="68">
        <f ca="1">IF(AND(SUMIF(Capacity_Resource,$D123,'Critical resources (hide)'!BK$6:BK$105)+SUMIF(Capacity_Resource,$E123,'Critical resources (hide)'!BK$6:BK$105)+SUMIF(Capacity_Resource,$F123,'Critical resources (hide)'!BK$6:BK$105)&gt;0,$E$1=2),0,1)</f>
        <v>1</v>
      </c>
      <c r="AY123" s="68">
        <f ca="1">IF(AND(SUMIF(Capacity_Resource,$D123,'Critical resources (hide)'!BL$6:BL$105)+SUMIF(Capacity_Resource,$E123,'Critical resources (hide)'!BL$6:BL$105)+SUMIF(Capacity_Resource,$F123,'Critical resources (hide)'!BL$6:BL$105)&gt;0,$E$1=2),0,1)</f>
        <v>1</v>
      </c>
      <c r="AZ123" s="68">
        <f ca="1">IF(AND(SUMIF(Capacity_Resource,$D123,'Critical resources (hide)'!BM$6:BM$105)+SUMIF(Capacity_Resource,$E123,'Critical resources (hide)'!BM$6:BM$105)+SUMIF(Capacity_Resource,$F123,'Critical resources (hide)'!BM$6:BM$105)&gt;0,$E$1=2),0,1)</f>
        <v>1</v>
      </c>
      <c r="BA123" s="68">
        <f ca="1">IF(AND(SUMIF(Capacity_Resource,$D123,'Critical resources (hide)'!BN$6:BN$105)+SUMIF(Capacity_Resource,$E123,'Critical resources (hide)'!BN$6:BN$105)+SUMIF(Capacity_Resource,$F123,'Critical resources (hide)'!BN$6:BN$105)&gt;0,$E$1=2),0,1)</f>
        <v>1</v>
      </c>
      <c r="BB123" s="68">
        <f ca="1">IF(AND(SUMIF(Capacity_Resource,$D123,'Critical resources (hide)'!BO$6:BO$105)+SUMIF(Capacity_Resource,$E123,'Critical resources (hide)'!BO$6:BO$105)+SUMIF(Capacity_Resource,$F123,'Critical resources (hide)'!BO$6:BO$105)&gt;0,$E$1=2),0,1)</f>
        <v>1</v>
      </c>
      <c r="BC123" s="68">
        <f ca="1">IF(AND(SUMIF(Capacity_Resource,$D123,'Critical resources (hide)'!BP$6:BP$105)+SUMIF(Capacity_Resource,$E123,'Critical resources (hide)'!BP$6:BP$105)+SUMIF(Capacity_Resource,$F123,'Critical resources (hide)'!BP$6:BP$105)&gt;0,$E$1=2),0,1)</f>
        <v>1</v>
      </c>
      <c r="BD123" s="68">
        <f ca="1">IF(AND(SUMIF(Capacity_Resource,$D123,'Critical resources (hide)'!BQ$6:BQ$105)+SUMIF(Capacity_Resource,$E123,'Critical resources (hide)'!BQ$6:BQ$105)+SUMIF(Capacity_Resource,$F123,'Critical resources (hide)'!BQ$6:BQ$105)&gt;0,$E$1=2),0,1)</f>
        <v>1</v>
      </c>
      <c r="BE123" s="68">
        <f ca="1">IF(AND(SUMIF(Capacity_Resource,$D123,'Critical resources (hide)'!BR$6:BR$105)+SUMIF(Capacity_Resource,$E123,'Critical resources (hide)'!BR$6:BR$105)+SUMIF(Capacity_Resource,$F123,'Critical resources (hide)'!BR$6:BR$105)&gt;0,$E$1=2),0,1)</f>
        <v>1</v>
      </c>
      <c r="BF123" s="68">
        <f ca="1">IF(AND(SUMIF(Capacity_Resource,$D123,'Critical resources (hide)'!BS$6:BS$105)+SUMIF(Capacity_Resource,$E123,'Critical resources (hide)'!BS$6:BS$105)+SUMIF(Capacity_Resource,$F123,'Critical resources (hide)'!BS$6:BS$105)&gt;0,$E$1=2),0,1)</f>
        <v>1</v>
      </c>
      <c r="BG123" s="68">
        <f ca="1">IF(AND(SUMIF(Capacity_Resource,$D123,'Critical resources (hide)'!BT$6:BT$105)+SUMIF(Capacity_Resource,$E123,'Critical resources (hide)'!BT$6:BT$105)+SUMIF(Capacity_Resource,$F123,'Critical resources (hide)'!BT$6:BT$105)&gt;0,$E$1=2),0,1)</f>
        <v>1</v>
      </c>
      <c r="BH123" s="68">
        <f>IF(ROW(A12)&lt;=Capacity!$M$16,IF('Capacity summary'!$C$14="No",SUM(H123:BG123),'Capacity summary'!$E35),0)</f>
        <v>0</v>
      </c>
      <c r="BI123" s="68" t="str">
        <f>IF(BH123&gt;0,IF(BH123&lt;Capacity!Q28,Capacity!R28,Capacity!T28/'Capacity calculation (hide)'!BH123),"")</f>
        <v/>
      </c>
      <c r="BJ123" s="5"/>
      <c r="BK123" s="5">
        <f>IF($BI123&lt;&gt;"",IF('Capacity summary'!$C$14="Yes",IF(COUNTBLANK('Capacity summary'!$H35:$BG35)&lt;52,IF('Capacity summary'!H35&lt;&gt;"",$BI123*H123,0),H123*$BI123),H123*$BI123),0)</f>
        <v>0</v>
      </c>
      <c r="BL123" s="5">
        <f>IF($BI123&lt;&gt;"",IF('Capacity summary'!$C$14="Yes",IF(COUNTBLANK('Capacity summary'!$H35:$BG35)&lt;52,IF('Capacity summary'!I35&lt;&gt;"",$BI123*I123,0),I123*$BI123),I123*$BI123),0)</f>
        <v>0</v>
      </c>
      <c r="BM123" s="5">
        <f>IF($BI123&lt;&gt;"",IF('Capacity summary'!$C$14="Yes",IF(COUNTBLANK('Capacity summary'!$H35:$BG35)&lt;52,IF('Capacity summary'!J35&lt;&gt;"",$BI123*J123,0),J123*$BI123),J123*$BI123),0)</f>
        <v>0</v>
      </c>
      <c r="BN123" s="5">
        <f>IF($BI123&lt;&gt;"",IF('Capacity summary'!$C$14="Yes",IF(COUNTBLANK('Capacity summary'!$H35:$BG35)&lt;52,IF('Capacity summary'!K35&lt;&gt;"",$BI123*K123,0),K123*$BI123),K123*$BI123),0)</f>
        <v>0</v>
      </c>
      <c r="BO123" s="5">
        <f>IF($BI123&lt;&gt;"",IF('Capacity summary'!$C$14="Yes",IF(COUNTBLANK('Capacity summary'!$H35:$BG35)&lt;52,IF('Capacity summary'!L35&lt;&gt;"",$BI123*L123,0),L123*$BI123),L123*$BI123),0)</f>
        <v>0</v>
      </c>
      <c r="BP123" s="5">
        <f>IF($BI123&lt;&gt;"",IF('Capacity summary'!$C$14="Yes",IF(COUNTBLANK('Capacity summary'!$H35:$BG35)&lt;52,IF('Capacity summary'!M35&lt;&gt;"",$BI123*M123,0),M123*$BI123),M123*$BI123),0)</f>
        <v>0</v>
      </c>
      <c r="BQ123" s="5">
        <f>IF($BI123&lt;&gt;"",IF('Capacity summary'!$C$14="Yes",IF(COUNTBLANK('Capacity summary'!$H35:$BG35)&lt;52,IF('Capacity summary'!N35&lt;&gt;"",$BI123*N123,0),N123*$BI123),N123*$BI123),0)</f>
        <v>0</v>
      </c>
      <c r="BR123" s="5">
        <f>IF($BI123&lt;&gt;"",IF('Capacity summary'!$C$14="Yes",IF(COUNTBLANK('Capacity summary'!$H35:$BG35)&lt;52,IF('Capacity summary'!O35&lt;&gt;"",$BI123*O123,0),O123*$BI123),O123*$BI123),0)</f>
        <v>0</v>
      </c>
      <c r="BS123" s="5">
        <f>IF($BI123&lt;&gt;"",IF('Capacity summary'!$C$14="Yes",IF(COUNTBLANK('Capacity summary'!$H35:$BG35)&lt;52,IF('Capacity summary'!P35&lt;&gt;"",$BI123*P123,0),P123*$BI123),P123*$BI123),0)</f>
        <v>0</v>
      </c>
      <c r="BT123" s="5">
        <f>IF($BI123&lt;&gt;"",IF('Capacity summary'!$C$14="Yes",IF(COUNTBLANK('Capacity summary'!$H35:$BG35)&lt;52,IF('Capacity summary'!Q35&lt;&gt;"",$BI123*Q123,0),Q123*$BI123),Q123*$BI123),0)</f>
        <v>0</v>
      </c>
      <c r="BU123" s="5">
        <f>IF($BI123&lt;&gt;"",IF('Capacity summary'!$C$14="Yes",IF(COUNTBLANK('Capacity summary'!$H35:$BG35)&lt;52,IF('Capacity summary'!R35&lt;&gt;"",$BI123*R123,0),R123*$BI123),R123*$BI123),0)</f>
        <v>0</v>
      </c>
      <c r="BV123" s="5">
        <f>IF($BI123&lt;&gt;"",IF('Capacity summary'!$C$14="Yes",IF(COUNTBLANK('Capacity summary'!$H35:$BG35)&lt;52,IF('Capacity summary'!S35&lt;&gt;"",$BI123*S123,0),S123*$BI123),S123*$BI123),0)</f>
        <v>0</v>
      </c>
      <c r="BW123" s="5">
        <f>IF($BI123&lt;&gt;"",IF('Capacity summary'!$C$14="Yes",IF(COUNTBLANK('Capacity summary'!$H35:$BG35)&lt;52,IF('Capacity summary'!T35&lt;&gt;"",$BI123*T123,0),T123*$BI123),T123*$BI123),0)</f>
        <v>0</v>
      </c>
      <c r="BX123" s="5">
        <f>IF($BI123&lt;&gt;"",IF('Capacity summary'!$C$14="Yes",IF(COUNTBLANK('Capacity summary'!$H35:$BG35)&lt;52,IF('Capacity summary'!U35&lt;&gt;"",$BI123*U123,0),U123*$BI123),U123*$BI123),0)</f>
        <v>0</v>
      </c>
      <c r="BY123" s="5">
        <f>IF($BI123&lt;&gt;"",IF('Capacity summary'!$C$14="Yes",IF(COUNTBLANK('Capacity summary'!$H35:$BG35)&lt;52,IF('Capacity summary'!V35&lt;&gt;"",$BI123*V123,0),V123*$BI123),V123*$BI123),0)</f>
        <v>0</v>
      </c>
      <c r="BZ123" s="5">
        <f>IF($BI123&lt;&gt;"",IF('Capacity summary'!$C$14="Yes",IF(COUNTBLANK('Capacity summary'!$H35:$BG35)&lt;52,IF('Capacity summary'!W35&lt;&gt;"",$BI123*W123,0),W123*$BI123),W123*$BI123),0)</f>
        <v>0</v>
      </c>
      <c r="CA123" s="5">
        <f>IF($BI123&lt;&gt;"",IF('Capacity summary'!$C$14="Yes",IF(COUNTBLANK('Capacity summary'!$H35:$BG35)&lt;52,IF('Capacity summary'!X35&lt;&gt;"",$BI123*X123,0),X123*$BI123),X123*$BI123),0)</f>
        <v>0</v>
      </c>
      <c r="CB123" s="5">
        <f>IF($BI123&lt;&gt;"",IF('Capacity summary'!$C$14="Yes",IF(COUNTBLANK('Capacity summary'!$H35:$BG35)&lt;52,IF('Capacity summary'!Y35&lt;&gt;"",$BI123*Y123,0),Y123*$BI123),Y123*$BI123),0)</f>
        <v>0</v>
      </c>
      <c r="CC123" s="5">
        <f>IF($BI123&lt;&gt;"",IF('Capacity summary'!$C$14="Yes",IF(COUNTBLANK('Capacity summary'!$H35:$BG35)&lt;52,IF('Capacity summary'!Z35&lt;&gt;"",$BI123*Z123,0),Z123*$BI123),Z123*$BI123),0)</f>
        <v>0</v>
      </c>
      <c r="CD123" s="5">
        <f>IF($BI123&lt;&gt;"",IF('Capacity summary'!$C$14="Yes",IF(COUNTBLANK('Capacity summary'!$H35:$BG35)&lt;52,IF('Capacity summary'!AA35&lt;&gt;"",$BI123*AA123,0),AA123*$BI123),AA123*$BI123),0)</f>
        <v>0</v>
      </c>
      <c r="CE123" s="5">
        <f>IF($BI123&lt;&gt;"",IF('Capacity summary'!$C$14="Yes",IF(COUNTBLANK('Capacity summary'!$H35:$BG35)&lt;52,IF('Capacity summary'!AB35&lt;&gt;"",$BI123*AB123,0),AB123*$BI123),AB123*$BI123),0)</f>
        <v>0</v>
      </c>
      <c r="CF123" s="5">
        <f>IF($BI123&lt;&gt;"",IF('Capacity summary'!$C$14="Yes",IF(COUNTBLANK('Capacity summary'!$H35:$BG35)&lt;52,IF('Capacity summary'!AC35&lt;&gt;"",$BI123*AC123,0),AC123*$BI123),AC123*$BI123),0)</f>
        <v>0</v>
      </c>
      <c r="CG123" s="5">
        <f>IF($BI123&lt;&gt;"",IF('Capacity summary'!$C$14="Yes",IF(COUNTBLANK('Capacity summary'!$H35:$BG35)&lt;52,IF('Capacity summary'!AD35&lt;&gt;"",$BI123*AD123,0),AD123*$BI123),AD123*$BI123),0)</f>
        <v>0</v>
      </c>
      <c r="CH123" s="5">
        <f>IF($BI123&lt;&gt;"",IF('Capacity summary'!$C$14="Yes",IF(COUNTBLANK('Capacity summary'!$H35:$BG35)&lt;52,IF('Capacity summary'!AE35&lt;&gt;"",$BI123*AE123,0),AE123*$BI123),AE123*$BI123),0)</f>
        <v>0</v>
      </c>
      <c r="CI123" s="5">
        <f>IF($BI123&lt;&gt;"",IF('Capacity summary'!$C$14="Yes",IF(COUNTBLANK('Capacity summary'!$H35:$BG35)&lt;52,IF('Capacity summary'!AF35&lt;&gt;"",$BI123*AF123,0),AF123*$BI123),AF123*$BI123),0)</f>
        <v>0</v>
      </c>
      <c r="CJ123" s="5">
        <f>IF($BI123&lt;&gt;"",IF('Capacity summary'!$C$14="Yes",IF(COUNTBLANK('Capacity summary'!$H35:$BG35)&lt;52,IF('Capacity summary'!AG35&lt;&gt;"",$BI123*AG123,0),AG123*$BI123),AG123*$BI123),0)</f>
        <v>0</v>
      </c>
      <c r="CK123" s="5">
        <f>IF($BI123&lt;&gt;"",IF('Capacity summary'!$C$14="Yes",IF(COUNTBLANK('Capacity summary'!$H35:$BG35)&lt;52,IF('Capacity summary'!AH35&lt;&gt;"",$BI123*AH123,0),AH123*$BI123),AH123*$BI123),0)</f>
        <v>0</v>
      </c>
      <c r="CL123" s="5">
        <f>IF($BI123&lt;&gt;"",IF('Capacity summary'!$C$14="Yes",IF(COUNTBLANK('Capacity summary'!$H35:$BG35)&lt;52,IF('Capacity summary'!AI35&lt;&gt;"",$BI123*AI123,0),AI123*$BI123),AI123*$BI123),0)</f>
        <v>0</v>
      </c>
      <c r="CM123" s="5">
        <f>IF($BI123&lt;&gt;"",IF('Capacity summary'!$C$14="Yes",IF(COUNTBLANK('Capacity summary'!$H35:$BG35)&lt;52,IF('Capacity summary'!AJ35&lt;&gt;"",$BI123*AJ123,0),AJ123*$BI123),AJ123*$BI123),0)</f>
        <v>0</v>
      </c>
      <c r="CN123" s="5">
        <f>IF($BI123&lt;&gt;"",IF('Capacity summary'!$C$14="Yes",IF(COUNTBLANK('Capacity summary'!$H35:$BG35)&lt;52,IF('Capacity summary'!AK35&lt;&gt;"",$BI123*AK123,0),AK123*$BI123),AK123*$BI123),0)</f>
        <v>0</v>
      </c>
      <c r="CO123" s="5">
        <f>IF($BI123&lt;&gt;"",IF('Capacity summary'!$C$14="Yes",IF(COUNTBLANK('Capacity summary'!$H35:$BG35)&lt;52,IF('Capacity summary'!AL35&lt;&gt;"",$BI123*AL123,0),AL123*$BI123),AL123*$BI123),0)</f>
        <v>0</v>
      </c>
      <c r="CP123" s="5">
        <f>IF($BI123&lt;&gt;"",IF('Capacity summary'!$C$14="Yes",IF(COUNTBLANK('Capacity summary'!$H35:$BG35)&lt;52,IF('Capacity summary'!AM35&lt;&gt;"",$BI123*AM123,0),AM123*$BI123),AM123*$BI123),0)</f>
        <v>0</v>
      </c>
      <c r="CQ123" s="5">
        <f>IF($BI123&lt;&gt;"",IF('Capacity summary'!$C$14="Yes",IF(COUNTBLANK('Capacity summary'!$H35:$BG35)&lt;52,IF('Capacity summary'!AN35&lt;&gt;"",$BI123*AN123,0),AN123*$BI123),AN123*$BI123),0)</f>
        <v>0</v>
      </c>
      <c r="CR123" s="5">
        <f>IF($BI123&lt;&gt;"",IF('Capacity summary'!$C$14="Yes",IF(COUNTBLANK('Capacity summary'!$H35:$BG35)&lt;52,IF('Capacity summary'!AO35&lt;&gt;"",$BI123*AO123,0),AO123*$BI123),AO123*$BI123),0)</f>
        <v>0</v>
      </c>
      <c r="CS123" s="5">
        <f>IF($BI123&lt;&gt;"",IF('Capacity summary'!$C$14="Yes",IF(COUNTBLANK('Capacity summary'!$H35:$BG35)&lt;52,IF('Capacity summary'!AP35&lt;&gt;"",$BI123*AP123,0),AP123*$BI123),AP123*$BI123),0)</f>
        <v>0</v>
      </c>
      <c r="CT123" s="5">
        <f>IF($BI123&lt;&gt;"",IF('Capacity summary'!$C$14="Yes",IF(COUNTBLANK('Capacity summary'!$H35:$BG35)&lt;52,IF('Capacity summary'!AQ35&lt;&gt;"",$BI123*AQ123,0),AQ123*$BI123),AQ123*$BI123),0)</f>
        <v>0</v>
      </c>
      <c r="CU123" s="5">
        <f>IF($BI123&lt;&gt;"",IF('Capacity summary'!$C$14="Yes",IF(COUNTBLANK('Capacity summary'!$H35:$BG35)&lt;52,IF('Capacity summary'!AR35&lt;&gt;"",$BI123*AR123,0),AR123*$BI123),AR123*$BI123),0)</f>
        <v>0</v>
      </c>
      <c r="CV123" s="5">
        <f>IF($BI123&lt;&gt;"",IF('Capacity summary'!$C$14="Yes",IF(COUNTBLANK('Capacity summary'!$H35:$BG35)&lt;52,IF('Capacity summary'!AS35&lt;&gt;"",$BI123*AS123,0),AS123*$BI123),AS123*$BI123),0)</f>
        <v>0</v>
      </c>
      <c r="CW123" s="5">
        <f>IF($BI123&lt;&gt;"",IF('Capacity summary'!$C$14="Yes",IF(COUNTBLANK('Capacity summary'!$H35:$BG35)&lt;52,IF('Capacity summary'!AT35&lt;&gt;"",$BI123*AT123,0),AT123*$BI123),AT123*$BI123),0)</f>
        <v>0</v>
      </c>
      <c r="CX123" s="5">
        <f>IF($BI123&lt;&gt;"",IF('Capacity summary'!$C$14="Yes",IF(COUNTBLANK('Capacity summary'!$H35:$BG35)&lt;52,IF('Capacity summary'!AU35&lt;&gt;"",$BI123*AU123,0),AU123*$BI123),AU123*$BI123),0)</f>
        <v>0</v>
      </c>
      <c r="CY123" s="5">
        <f>IF($BI123&lt;&gt;"",IF('Capacity summary'!$C$14="Yes",IF(COUNTBLANK('Capacity summary'!$H35:$BG35)&lt;52,IF('Capacity summary'!AV35&lt;&gt;"",$BI123*AV123,0),AV123*$BI123),AV123*$BI123),0)</f>
        <v>0</v>
      </c>
      <c r="CZ123" s="5">
        <f>IF($BI123&lt;&gt;"",IF('Capacity summary'!$C$14="Yes",IF(COUNTBLANK('Capacity summary'!$H35:$BG35)&lt;52,IF('Capacity summary'!AW35&lt;&gt;"",$BI123*AW123,0),AW123*$BI123),AW123*$BI123),0)</f>
        <v>0</v>
      </c>
      <c r="DA123" s="5">
        <f>IF($BI123&lt;&gt;"",IF('Capacity summary'!$C$14="Yes",IF(COUNTBLANK('Capacity summary'!$H35:$BG35)&lt;52,IF('Capacity summary'!AX35&lt;&gt;"",$BI123*AX123,0),AX123*$BI123),AX123*$BI123),0)</f>
        <v>0</v>
      </c>
      <c r="DB123" s="5">
        <f>IF($BI123&lt;&gt;"",IF('Capacity summary'!$C$14="Yes",IF(COUNTBLANK('Capacity summary'!$H35:$BG35)&lt;52,IF('Capacity summary'!AY35&lt;&gt;"",$BI123*AY123,0),AY123*$BI123),AY123*$BI123),0)</f>
        <v>0</v>
      </c>
      <c r="DC123" s="5">
        <f>IF($BI123&lt;&gt;"",IF('Capacity summary'!$C$14="Yes",IF(COUNTBLANK('Capacity summary'!$H35:$BG35)&lt;52,IF('Capacity summary'!AZ35&lt;&gt;"",$BI123*AZ123,0),AZ123*$BI123),AZ123*$BI123),0)</f>
        <v>0</v>
      </c>
      <c r="DD123" s="5">
        <f>IF($BI123&lt;&gt;"",IF('Capacity summary'!$C$14="Yes",IF(COUNTBLANK('Capacity summary'!$H35:$BG35)&lt;52,IF('Capacity summary'!BA35&lt;&gt;"",$BI123*BA123,0),BA123*$BI123),BA123*$BI123),0)</f>
        <v>0</v>
      </c>
      <c r="DE123" s="5">
        <f>IF($BI123&lt;&gt;"",IF('Capacity summary'!$C$14="Yes",IF(COUNTBLANK('Capacity summary'!$H35:$BG35)&lt;52,IF('Capacity summary'!BB35&lt;&gt;"",$BI123*BB123,0),BB123*$BI123),BB123*$BI123),0)</f>
        <v>0</v>
      </c>
      <c r="DF123" s="5">
        <f>IF($BI123&lt;&gt;"",IF('Capacity summary'!$C$14="Yes",IF(COUNTBLANK('Capacity summary'!$H35:$BG35)&lt;52,IF('Capacity summary'!BC35&lt;&gt;"",$BI123*BC123,0),BC123*$BI123),BC123*$BI123),0)</f>
        <v>0</v>
      </c>
      <c r="DG123" s="5">
        <f>IF($BI123&lt;&gt;"",IF('Capacity summary'!$C$14="Yes",IF(COUNTBLANK('Capacity summary'!$H35:$BG35)&lt;52,IF('Capacity summary'!BD35&lt;&gt;"",$BI123*BD123,0),BD123*$BI123),BD123*$BI123),0)</f>
        <v>0</v>
      </c>
      <c r="DH123" s="5">
        <f>IF($BI123&lt;&gt;"",IF('Capacity summary'!$C$14="Yes",IF(COUNTBLANK('Capacity summary'!$H35:$BG35)&lt;52,IF('Capacity summary'!BE35&lt;&gt;"",$BI123*BE123,0),BE123*$BI123),BE123*$BI123),0)</f>
        <v>0</v>
      </c>
      <c r="DI123" s="5">
        <f>IF($BI123&lt;&gt;"",IF('Capacity summary'!$C$14="Yes",IF(COUNTBLANK('Capacity summary'!$H35:$BG35)&lt;52,IF('Capacity summary'!BF35&lt;&gt;"",$BI123*BF123,0),BF123*$BI123),BF123*$BI123),0)</f>
        <v>0</v>
      </c>
      <c r="DJ123" s="5">
        <f>IF($BI123&lt;&gt;"",IF('Capacity summary'!$C$14="Yes",IF(COUNTBLANK('Capacity summary'!$H35:$BG35)&lt;52,IF('Capacity summary'!BG35&lt;&gt;"",$BI123*BG123,0),BG123*$BI123),BG123*$BI123),0)</f>
        <v>0</v>
      </c>
      <c r="DK123" s="138">
        <f t="shared" si="6"/>
        <v>0</v>
      </c>
    </row>
    <row r="124" spans="3:115" x14ac:dyDescent="0.2">
      <c r="C124" s="68" t="str">
        <f>ROW(A13)&amp;". "&amp;Capacity!N29</f>
        <v xml:space="preserve">13. </v>
      </c>
      <c r="D124" s="68">
        <f>'Capacity setup'!C130</f>
        <v>0</v>
      </c>
      <c r="E124" s="68">
        <f>'Capacity setup'!D130</f>
        <v>0</v>
      </c>
      <c r="F124" s="68">
        <f>'Capacity setup'!E130</f>
        <v>0</v>
      </c>
      <c r="H124" s="68">
        <f ca="1">IF(AND(SUMIF(Capacity_Resource,$D124,'Critical resources (hide)'!U$6:U$105)+SUMIF(Capacity_Resource,$E124,'Critical resources (hide)'!U$6:U$105)+SUMIF(Capacity_Resource,$F124,'Critical resources (hide)'!U$6:U$105)&gt;0,$E$1=2),0,1)</f>
        <v>1</v>
      </c>
      <c r="I124" s="68">
        <f ca="1">IF(AND(SUMIF(Capacity_Resource,$D124,'Critical resources (hide)'!V$6:V$105)+SUMIF(Capacity_Resource,$E124,'Critical resources (hide)'!V$6:V$105)+SUMIF(Capacity_Resource,$F124,'Critical resources (hide)'!V$6:V$105)&gt;0,$E$1=2),0,1)</f>
        <v>1</v>
      </c>
      <c r="J124" s="68">
        <f ca="1">IF(AND(SUMIF(Capacity_Resource,$D124,'Critical resources (hide)'!W$6:W$105)+SUMIF(Capacity_Resource,$E124,'Critical resources (hide)'!W$6:W$105)+SUMIF(Capacity_Resource,$F124,'Critical resources (hide)'!W$6:W$105)&gt;0,$E$1=2),0,1)</f>
        <v>1</v>
      </c>
      <c r="K124" s="68">
        <f ca="1">IF(AND(SUMIF(Capacity_Resource,$D124,'Critical resources (hide)'!X$6:X$105)+SUMIF(Capacity_Resource,$E124,'Critical resources (hide)'!X$6:X$105)+SUMIF(Capacity_Resource,$F124,'Critical resources (hide)'!X$6:X$105)&gt;0,$E$1=2),0,1)</f>
        <v>1</v>
      </c>
      <c r="L124" s="68">
        <f ca="1">IF(AND(SUMIF(Capacity_Resource,$D124,'Critical resources (hide)'!Y$6:Y$105)+SUMIF(Capacity_Resource,$E124,'Critical resources (hide)'!Y$6:Y$105)+SUMIF(Capacity_Resource,$F124,'Critical resources (hide)'!Y$6:Y$105)&gt;0,$E$1=2),0,1)</f>
        <v>1</v>
      </c>
      <c r="M124" s="68">
        <f ca="1">IF(AND(SUMIF(Capacity_Resource,$D124,'Critical resources (hide)'!Z$6:Z$105)+SUMIF(Capacity_Resource,$E124,'Critical resources (hide)'!Z$6:Z$105)+SUMIF(Capacity_Resource,$F124,'Critical resources (hide)'!Z$6:Z$105)&gt;0,$E$1=2),0,1)</f>
        <v>1</v>
      </c>
      <c r="N124" s="68">
        <f ca="1">IF(AND(SUMIF(Capacity_Resource,$D124,'Critical resources (hide)'!AA$6:AA$105)+SUMIF(Capacity_Resource,$E124,'Critical resources (hide)'!AA$6:AA$105)+SUMIF(Capacity_Resource,$F124,'Critical resources (hide)'!AA$6:AA$105)&gt;0,$E$1=2),0,1)</f>
        <v>1</v>
      </c>
      <c r="O124" s="68">
        <f ca="1">IF(AND(SUMIF(Capacity_Resource,$D124,'Critical resources (hide)'!AB$6:AB$105)+SUMIF(Capacity_Resource,$E124,'Critical resources (hide)'!AB$6:AB$105)+SUMIF(Capacity_Resource,$F124,'Critical resources (hide)'!AB$6:AB$105)&gt;0,$E$1=2),0,1)</f>
        <v>1</v>
      </c>
      <c r="P124" s="68">
        <f ca="1">IF(AND(SUMIF(Capacity_Resource,$D124,'Critical resources (hide)'!AC$6:AC$105)+SUMIF(Capacity_Resource,$E124,'Critical resources (hide)'!AC$6:AC$105)+SUMIF(Capacity_Resource,$F124,'Critical resources (hide)'!AC$6:AC$105)&gt;0,$E$1=2),0,1)</f>
        <v>1</v>
      </c>
      <c r="Q124" s="68">
        <f ca="1">IF(AND(SUMIF(Capacity_Resource,$D124,'Critical resources (hide)'!AD$6:AD$105)+SUMIF(Capacity_Resource,$E124,'Critical resources (hide)'!AD$6:AD$105)+SUMIF(Capacity_Resource,$F124,'Critical resources (hide)'!AD$6:AD$105)&gt;0,$E$1=2),0,1)</f>
        <v>1</v>
      </c>
      <c r="R124" s="68">
        <f ca="1">IF(AND(SUMIF(Capacity_Resource,$D124,'Critical resources (hide)'!AE$6:AE$105)+SUMIF(Capacity_Resource,$E124,'Critical resources (hide)'!AE$6:AE$105)+SUMIF(Capacity_Resource,$F124,'Critical resources (hide)'!AE$6:AE$105)&gt;0,$E$1=2),0,1)</f>
        <v>1</v>
      </c>
      <c r="S124" s="68">
        <f ca="1">IF(AND(SUMIF(Capacity_Resource,$D124,'Critical resources (hide)'!AF$6:AF$105)+SUMIF(Capacity_Resource,$E124,'Critical resources (hide)'!AF$6:AF$105)+SUMIF(Capacity_Resource,$F124,'Critical resources (hide)'!AF$6:AF$105)&gt;0,$E$1=2),0,1)</f>
        <v>1</v>
      </c>
      <c r="T124" s="68">
        <f ca="1">IF(AND(SUMIF(Capacity_Resource,$D124,'Critical resources (hide)'!AG$6:AG$105)+SUMIF(Capacity_Resource,$E124,'Critical resources (hide)'!AG$6:AG$105)+SUMIF(Capacity_Resource,$F124,'Critical resources (hide)'!AG$6:AG$105)&gt;0,$E$1=2),0,1)</f>
        <v>1</v>
      </c>
      <c r="U124" s="68">
        <f ca="1">IF(AND(SUMIF(Capacity_Resource,$D124,'Critical resources (hide)'!AH$6:AH$105)+SUMIF(Capacity_Resource,$E124,'Critical resources (hide)'!AH$6:AH$105)+SUMIF(Capacity_Resource,$F124,'Critical resources (hide)'!AH$6:AH$105)&gt;0,$E$1=2),0,1)</f>
        <v>1</v>
      </c>
      <c r="V124" s="68">
        <f ca="1">IF(AND(SUMIF(Capacity_Resource,$D124,'Critical resources (hide)'!AI$6:AI$105)+SUMIF(Capacity_Resource,$E124,'Critical resources (hide)'!AI$6:AI$105)+SUMIF(Capacity_Resource,$F124,'Critical resources (hide)'!AI$6:AI$105)&gt;0,$E$1=2),0,1)</f>
        <v>1</v>
      </c>
      <c r="W124" s="68">
        <f ca="1">IF(AND(SUMIF(Capacity_Resource,$D124,'Critical resources (hide)'!AJ$6:AJ$105)+SUMIF(Capacity_Resource,$E124,'Critical resources (hide)'!AJ$6:AJ$105)+SUMIF(Capacity_Resource,$F124,'Critical resources (hide)'!AJ$6:AJ$105)&gt;0,$E$1=2),0,1)</f>
        <v>1</v>
      </c>
      <c r="X124" s="68">
        <f ca="1">IF(AND(SUMIF(Capacity_Resource,$D124,'Critical resources (hide)'!AK$6:AK$105)+SUMIF(Capacity_Resource,$E124,'Critical resources (hide)'!AK$6:AK$105)+SUMIF(Capacity_Resource,$F124,'Critical resources (hide)'!AK$6:AK$105)&gt;0,$E$1=2),0,1)</f>
        <v>1</v>
      </c>
      <c r="Y124" s="68">
        <f ca="1">IF(AND(SUMIF(Capacity_Resource,$D124,'Critical resources (hide)'!AL$6:AL$105)+SUMIF(Capacity_Resource,$E124,'Critical resources (hide)'!AL$6:AL$105)+SUMIF(Capacity_Resource,$F124,'Critical resources (hide)'!AL$6:AL$105)&gt;0,$E$1=2),0,1)</f>
        <v>1</v>
      </c>
      <c r="Z124" s="68">
        <f ca="1">IF(AND(SUMIF(Capacity_Resource,$D124,'Critical resources (hide)'!AM$6:AM$105)+SUMIF(Capacity_Resource,$E124,'Critical resources (hide)'!AM$6:AM$105)+SUMIF(Capacity_Resource,$F124,'Critical resources (hide)'!AM$6:AM$105)&gt;0,$E$1=2),0,1)</f>
        <v>1</v>
      </c>
      <c r="AA124" s="68">
        <f ca="1">IF(AND(SUMIF(Capacity_Resource,$D124,'Critical resources (hide)'!AN$6:AN$105)+SUMIF(Capacity_Resource,$E124,'Critical resources (hide)'!AN$6:AN$105)+SUMIF(Capacity_Resource,$F124,'Critical resources (hide)'!AN$6:AN$105)&gt;0,$E$1=2),0,1)</f>
        <v>1</v>
      </c>
      <c r="AB124" s="68">
        <f ca="1">IF(AND(SUMIF(Capacity_Resource,$D124,'Critical resources (hide)'!AO$6:AO$105)+SUMIF(Capacity_Resource,$E124,'Critical resources (hide)'!AO$6:AO$105)+SUMIF(Capacity_Resource,$F124,'Critical resources (hide)'!AO$6:AO$105)&gt;0,$E$1=2),0,1)</f>
        <v>1</v>
      </c>
      <c r="AC124" s="68">
        <f ca="1">IF(AND(SUMIF(Capacity_Resource,$D124,'Critical resources (hide)'!AP$6:AP$105)+SUMIF(Capacity_Resource,$E124,'Critical resources (hide)'!AP$6:AP$105)+SUMIF(Capacity_Resource,$F124,'Critical resources (hide)'!AP$6:AP$105)&gt;0,$E$1=2),0,1)</f>
        <v>1</v>
      </c>
      <c r="AD124" s="68">
        <f ca="1">IF(AND(SUMIF(Capacity_Resource,$D124,'Critical resources (hide)'!AQ$6:AQ$105)+SUMIF(Capacity_Resource,$E124,'Critical resources (hide)'!AQ$6:AQ$105)+SUMIF(Capacity_Resource,$F124,'Critical resources (hide)'!AQ$6:AQ$105)&gt;0,$E$1=2),0,1)</f>
        <v>1</v>
      </c>
      <c r="AE124" s="68">
        <f ca="1">IF(AND(SUMIF(Capacity_Resource,$D124,'Critical resources (hide)'!AR$6:AR$105)+SUMIF(Capacity_Resource,$E124,'Critical resources (hide)'!AR$6:AR$105)+SUMIF(Capacity_Resource,$F124,'Critical resources (hide)'!AR$6:AR$105)&gt;0,$E$1=2),0,1)</f>
        <v>1</v>
      </c>
      <c r="AF124" s="68">
        <f ca="1">IF(AND(SUMIF(Capacity_Resource,$D124,'Critical resources (hide)'!AS$6:AS$105)+SUMIF(Capacity_Resource,$E124,'Critical resources (hide)'!AS$6:AS$105)+SUMIF(Capacity_Resource,$F124,'Critical resources (hide)'!AS$6:AS$105)&gt;0,$E$1=2),0,1)</f>
        <v>1</v>
      </c>
      <c r="AG124" s="68">
        <f ca="1">IF(AND(SUMIF(Capacity_Resource,$D124,'Critical resources (hide)'!AT$6:AT$105)+SUMIF(Capacity_Resource,$E124,'Critical resources (hide)'!AT$6:AT$105)+SUMIF(Capacity_Resource,$F124,'Critical resources (hide)'!AT$6:AT$105)&gt;0,$E$1=2),0,1)</f>
        <v>1</v>
      </c>
      <c r="AH124" s="68">
        <f ca="1">IF(AND(SUMIF(Capacity_Resource,$D124,'Critical resources (hide)'!AU$6:AU$105)+SUMIF(Capacity_Resource,$E124,'Critical resources (hide)'!AU$6:AU$105)+SUMIF(Capacity_Resource,$F124,'Critical resources (hide)'!AU$6:AU$105)&gt;0,$E$1=2),0,1)</f>
        <v>1</v>
      </c>
      <c r="AI124" s="68">
        <f ca="1">IF(AND(SUMIF(Capacity_Resource,$D124,'Critical resources (hide)'!AV$6:AV$105)+SUMIF(Capacity_Resource,$E124,'Critical resources (hide)'!AV$6:AV$105)+SUMIF(Capacity_Resource,$F124,'Critical resources (hide)'!AV$6:AV$105)&gt;0,$E$1=2),0,1)</f>
        <v>1</v>
      </c>
      <c r="AJ124" s="68">
        <f ca="1">IF(AND(SUMIF(Capacity_Resource,$D124,'Critical resources (hide)'!AW$6:AW$105)+SUMIF(Capacity_Resource,$E124,'Critical resources (hide)'!AW$6:AW$105)+SUMIF(Capacity_Resource,$F124,'Critical resources (hide)'!AW$6:AW$105)&gt;0,$E$1=2),0,1)</f>
        <v>1</v>
      </c>
      <c r="AK124" s="68">
        <f ca="1">IF(AND(SUMIF(Capacity_Resource,$D124,'Critical resources (hide)'!AX$6:AX$105)+SUMIF(Capacity_Resource,$E124,'Critical resources (hide)'!AX$6:AX$105)+SUMIF(Capacity_Resource,$F124,'Critical resources (hide)'!AX$6:AX$105)&gt;0,$E$1=2),0,1)</f>
        <v>1</v>
      </c>
      <c r="AL124" s="68">
        <f ca="1">IF(AND(SUMIF(Capacity_Resource,$D124,'Critical resources (hide)'!AY$6:AY$105)+SUMIF(Capacity_Resource,$E124,'Critical resources (hide)'!AY$6:AY$105)+SUMIF(Capacity_Resource,$F124,'Critical resources (hide)'!AY$6:AY$105)&gt;0,$E$1=2),0,1)</f>
        <v>1</v>
      </c>
      <c r="AM124" s="68">
        <f ca="1">IF(AND(SUMIF(Capacity_Resource,$D124,'Critical resources (hide)'!AZ$6:AZ$105)+SUMIF(Capacity_Resource,$E124,'Critical resources (hide)'!AZ$6:AZ$105)+SUMIF(Capacity_Resource,$F124,'Critical resources (hide)'!AZ$6:AZ$105)&gt;0,$E$1=2),0,1)</f>
        <v>1</v>
      </c>
      <c r="AN124" s="68">
        <f ca="1">IF(AND(SUMIF(Capacity_Resource,$D124,'Critical resources (hide)'!BA$6:BA$105)+SUMIF(Capacity_Resource,$E124,'Critical resources (hide)'!BA$6:BA$105)+SUMIF(Capacity_Resource,$F124,'Critical resources (hide)'!BA$6:BA$105)&gt;0,$E$1=2),0,1)</f>
        <v>1</v>
      </c>
      <c r="AO124" s="68">
        <f ca="1">IF(AND(SUMIF(Capacity_Resource,$D124,'Critical resources (hide)'!BB$6:BB$105)+SUMIF(Capacity_Resource,$E124,'Critical resources (hide)'!BB$6:BB$105)+SUMIF(Capacity_Resource,$F124,'Critical resources (hide)'!BB$6:BB$105)&gt;0,$E$1=2),0,1)</f>
        <v>1</v>
      </c>
      <c r="AP124" s="68">
        <f ca="1">IF(AND(SUMIF(Capacity_Resource,$D124,'Critical resources (hide)'!BC$6:BC$105)+SUMIF(Capacity_Resource,$E124,'Critical resources (hide)'!BC$6:BC$105)+SUMIF(Capacity_Resource,$F124,'Critical resources (hide)'!BC$6:BC$105)&gt;0,$E$1=2),0,1)</f>
        <v>1</v>
      </c>
      <c r="AQ124" s="68">
        <f ca="1">IF(AND(SUMIF(Capacity_Resource,$D124,'Critical resources (hide)'!BD$6:BD$105)+SUMIF(Capacity_Resource,$E124,'Critical resources (hide)'!BD$6:BD$105)+SUMIF(Capacity_Resource,$F124,'Critical resources (hide)'!BD$6:BD$105)&gt;0,$E$1=2),0,1)</f>
        <v>1</v>
      </c>
      <c r="AR124" s="68">
        <f ca="1">IF(AND(SUMIF(Capacity_Resource,$D124,'Critical resources (hide)'!BE$6:BE$105)+SUMIF(Capacity_Resource,$E124,'Critical resources (hide)'!BE$6:BE$105)+SUMIF(Capacity_Resource,$F124,'Critical resources (hide)'!BE$6:BE$105)&gt;0,$E$1=2),0,1)</f>
        <v>1</v>
      </c>
      <c r="AS124" s="68">
        <f ca="1">IF(AND(SUMIF(Capacity_Resource,$D124,'Critical resources (hide)'!BF$6:BF$105)+SUMIF(Capacity_Resource,$E124,'Critical resources (hide)'!BF$6:BF$105)+SUMIF(Capacity_Resource,$F124,'Critical resources (hide)'!BF$6:BF$105)&gt;0,$E$1=2),0,1)</f>
        <v>1</v>
      </c>
      <c r="AT124" s="68">
        <f ca="1">IF(AND(SUMIF(Capacity_Resource,$D124,'Critical resources (hide)'!BG$6:BG$105)+SUMIF(Capacity_Resource,$E124,'Critical resources (hide)'!BG$6:BG$105)+SUMIF(Capacity_Resource,$F124,'Critical resources (hide)'!BG$6:BG$105)&gt;0,$E$1=2),0,1)</f>
        <v>1</v>
      </c>
      <c r="AU124" s="68">
        <f ca="1">IF(AND(SUMIF(Capacity_Resource,$D124,'Critical resources (hide)'!BH$6:BH$105)+SUMIF(Capacity_Resource,$E124,'Critical resources (hide)'!BH$6:BH$105)+SUMIF(Capacity_Resource,$F124,'Critical resources (hide)'!BH$6:BH$105)&gt;0,$E$1=2),0,1)</f>
        <v>1</v>
      </c>
      <c r="AV124" s="68">
        <f ca="1">IF(AND(SUMIF(Capacity_Resource,$D124,'Critical resources (hide)'!BI$6:BI$105)+SUMIF(Capacity_Resource,$E124,'Critical resources (hide)'!BI$6:BI$105)+SUMIF(Capacity_Resource,$F124,'Critical resources (hide)'!BI$6:BI$105)&gt;0,$E$1=2),0,1)</f>
        <v>1</v>
      </c>
      <c r="AW124" s="68">
        <f ca="1">IF(AND(SUMIF(Capacity_Resource,$D124,'Critical resources (hide)'!BJ$6:BJ$105)+SUMIF(Capacity_Resource,$E124,'Critical resources (hide)'!BJ$6:BJ$105)+SUMIF(Capacity_Resource,$F124,'Critical resources (hide)'!BJ$6:BJ$105)&gt;0,$E$1=2),0,1)</f>
        <v>1</v>
      </c>
      <c r="AX124" s="68">
        <f ca="1">IF(AND(SUMIF(Capacity_Resource,$D124,'Critical resources (hide)'!BK$6:BK$105)+SUMIF(Capacity_Resource,$E124,'Critical resources (hide)'!BK$6:BK$105)+SUMIF(Capacity_Resource,$F124,'Critical resources (hide)'!BK$6:BK$105)&gt;0,$E$1=2),0,1)</f>
        <v>1</v>
      </c>
      <c r="AY124" s="68">
        <f ca="1">IF(AND(SUMIF(Capacity_Resource,$D124,'Critical resources (hide)'!BL$6:BL$105)+SUMIF(Capacity_Resource,$E124,'Critical resources (hide)'!BL$6:BL$105)+SUMIF(Capacity_Resource,$F124,'Critical resources (hide)'!BL$6:BL$105)&gt;0,$E$1=2),0,1)</f>
        <v>1</v>
      </c>
      <c r="AZ124" s="68">
        <f ca="1">IF(AND(SUMIF(Capacity_Resource,$D124,'Critical resources (hide)'!BM$6:BM$105)+SUMIF(Capacity_Resource,$E124,'Critical resources (hide)'!BM$6:BM$105)+SUMIF(Capacity_Resource,$F124,'Critical resources (hide)'!BM$6:BM$105)&gt;0,$E$1=2),0,1)</f>
        <v>1</v>
      </c>
      <c r="BA124" s="68">
        <f ca="1">IF(AND(SUMIF(Capacity_Resource,$D124,'Critical resources (hide)'!BN$6:BN$105)+SUMIF(Capacity_Resource,$E124,'Critical resources (hide)'!BN$6:BN$105)+SUMIF(Capacity_Resource,$F124,'Critical resources (hide)'!BN$6:BN$105)&gt;0,$E$1=2),0,1)</f>
        <v>1</v>
      </c>
      <c r="BB124" s="68">
        <f ca="1">IF(AND(SUMIF(Capacity_Resource,$D124,'Critical resources (hide)'!BO$6:BO$105)+SUMIF(Capacity_Resource,$E124,'Critical resources (hide)'!BO$6:BO$105)+SUMIF(Capacity_Resource,$F124,'Critical resources (hide)'!BO$6:BO$105)&gt;0,$E$1=2),0,1)</f>
        <v>1</v>
      </c>
      <c r="BC124" s="68">
        <f ca="1">IF(AND(SUMIF(Capacity_Resource,$D124,'Critical resources (hide)'!BP$6:BP$105)+SUMIF(Capacity_Resource,$E124,'Critical resources (hide)'!BP$6:BP$105)+SUMIF(Capacity_Resource,$F124,'Critical resources (hide)'!BP$6:BP$105)&gt;0,$E$1=2),0,1)</f>
        <v>1</v>
      </c>
      <c r="BD124" s="68">
        <f ca="1">IF(AND(SUMIF(Capacity_Resource,$D124,'Critical resources (hide)'!BQ$6:BQ$105)+SUMIF(Capacity_Resource,$E124,'Critical resources (hide)'!BQ$6:BQ$105)+SUMIF(Capacity_Resource,$F124,'Critical resources (hide)'!BQ$6:BQ$105)&gt;0,$E$1=2),0,1)</f>
        <v>1</v>
      </c>
      <c r="BE124" s="68">
        <f ca="1">IF(AND(SUMIF(Capacity_Resource,$D124,'Critical resources (hide)'!BR$6:BR$105)+SUMIF(Capacity_Resource,$E124,'Critical resources (hide)'!BR$6:BR$105)+SUMIF(Capacity_Resource,$F124,'Critical resources (hide)'!BR$6:BR$105)&gt;0,$E$1=2),0,1)</f>
        <v>1</v>
      </c>
      <c r="BF124" s="68">
        <f ca="1">IF(AND(SUMIF(Capacity_Resource,$D124,'Critical resources (hide)'!BS$6:BS$105)+SUMIF(Capacity_Resource,$E124,'Critical resources (hide)'!BS$6:BS$105)+SUMIF(Capacity_Resource,$F124,'Critical resources (hide)'!BS$6:BS$105)&gt;0,$E$1=2),0,1)</f>
        <v>1</v>
      </c>
      <c r="BG124" s="68">
        <f ca="1">IF(AND(SUMIF(Capacity_Resource,$D124,'Critical resources (hide)'!BT$6:BT$105)+SUMIF(Capacity_Resource,$E124,'Critical resources (hide)'!BT$6:BT$105)+SUMIF(Capacity_Resource,$F124,'Critical resources (hide)'!BT$6:BT$105)&gt;0,$E$1=2),0,1)</f>
        <v>1</v>
      </c>
      <c r="BH124" s="68">
        <f>IF(ROW(A13)&lt;=Capacity!$M$16,IF('Capacity summary'!$C$14="No",SUM(H124:BG124),'Capacity summary'!$E36),0)</f>
        <v>0</v>
      </c>
      <c r="BI124" s="68" t="str">
        <f>IF(BH124&gt;0,IF(BH124&lt;Capacity!Q29,Capacity!R29,Capacity!T29/'Capacity calculation (hide)'!BH124),"")</f>
        <v/>
      </c>
      <c r="BJ124" s="5"/>
      <c r="BK124" s="5">
        <f>IF($BI124&lt;&gt;"",IF('Capacity summary'!$C$14="Yes",IF(COUNTBLANK('Capacity summary'!$H36:$BG36)&lt;52,IF('Capacity summary'!H36&lt;&gt;"",$BI124*H124,0),H124*$BI124),H124*$BI124),0)</f>
        <v>0</v>
      </c>
      <c r="BL124" s="5">
        <f>IF($BI124&lt;&gt;"",IF('Capacity summary'!$C$14="Yes",IF(COUNTBLANK('Capacity summary'!$H36:$BG36)&lt;52,IF('Capacity summary'!I36&lt;&gt;"",$BI124*I124,0),I124*$BI124),I124*$BI124),0)</f>
        <v>0</v>
      </c>
      <c r="BM124" s="5">
        <f>IF($BI124&lt;&gt;"",IF('Capacity summary'!$C$14="Yes",IF(COUNTBLANK('Capacity summary'!$H36:$BG36)&lt;52,IF('Capacity summary'!J36&lt;&gt;"",$BI124*J124,0),J124*$BI124),J124*$BI124),0)</f>
        <v>0</v>
      </c>
      <c r="BN124" s="5">
        <f>IF($BI124&lt;&gt;"",IF('Capacity summary'!$C$14="Yes",IF(COUNTBLANK('Capacity summary'!$H36:$BG36)&lt;52,IF('Capacity summary'!K36&lt;&gt;"",$BI124*K124,0),K124*$BI124),K124*$BI124),0)</f>
        <v>0</v>
      </c>
      <c r="BO124" s="5">
        <f>IF($BI124&lt;&gt;"",IF('Capacity summary'!$C$14="Yes",IF(COUNTBLANK('Capacity summary'!$H36:$BG36)&lt;52,IF('Capacity summary'!L36&lt;&gt;"",$BI124*L124,0),L124*$BI124),L124*$BI124),0)</f>
        <v>0</v>
      </c>
      <c r="BP124" s="5">
        <f>IF($BI124&lt;&gt;"",IF('Capacity summary'!$C$14="Yes",IF(COUNTBLANK('Capacity summary'!$H36:$BG36)&lt;52,IF('Capacity summary'!M36&lt;&gt;"",$BI124*M124,0),M124*$BI124),M124*$BI124),0)</f>
        <v>0</v>
      </c>
      <c r="BQ124" s="5">
        <f>IF($BI124&lt;&gt;"",IF('Capacity summary'!$C$14="Yes",IF(COUNTBLANK('Capacity summary'!$H36:$BG36)&lt;52,IF('Capacity summary'!N36&lt;&gt;"",$BI124*N124,0),N124*$BI124),N124*$BI124),0)</f>
        <v>0</v>
      </c>
      <c r="BR124" s="5">
        <f>IF($BI124&lt;&gt;"",IF('Capacity summary'!$C$14="Yes",IF(COUNTBLANK('Capacity summary'!$H36:$BG36)&lt;52,IF('Capacity summary'!O36&lt;&gt;"",$BI124*O124,0),O124*$BI124),O124*$BI124),0)</f>
        <v>0</v>
      </c>
      <c r="BS124" s="5">
        <f>IF($BI124&lt;&gt;"",IF('Capacity summary'!$C$14="Yes",IF(COUNTBLANK('Capacity summary'!$H36:$BG36)&lt;52,IF('Capacity summary'!P36&lt;&gt;"",$BI124*P124,0),P124*$BI124),P124*$BI124),0)</f>
        <v>0</v>
      </c>
      <c r="BT124" s="5">
        <f>IF($BI124&lt;&gt;"",IF('Capacity summary'!$C$14="Yes",IF(COUNTBLANK('Capacity summary'!$H36:$BG36)&lt;52,IF('Capacity summary'!Q36&lt;&gt;"",$BI124*Q124,0),Q124*$BI124),Q124*$BI124),0)</f>
        <v>0</v>
      </c>
      <c r="BU124" s="5">
        <f>IF($BI124&lt;&gt;"",IF('Capacity summary'!$C$14="Yes",IF(COUNTBLANK('Capacity summary'!$H36:$BG36)&lt;52,IF('Capacity summary'!R36&lt;&gt;"",$BI124*R124,0),R124*$BI124),R124*$BI124),0)</f>
        <v>0</v>
      </c>
      <c r="BV124" s="5">
        <f>IF($BI124&lt;&gt;"",IF('Capacity summary'!$C$14="Yes",IF(COUNTBLANK('Capacity summary'!$H36:$BG36)&lt;52,IF('Capacity summary'!S36&lt;&gt;"",$BI124*S124,0),S124*$BI124),S124*$BI124),0)</f>
        <v>0</v>
      </c>
      <c r="BW124" s="5">
        <f>IF($BI124&lt;&gt;"",IF('Capacity summary'!$C$14="Yes",IF(COUNTBLANK('Capacity summary'!$H36:$BG36)&lt;52,IF('Capacity summary'!T36&lt;&gt;"",$BI124*T124,0),T124*$BI124),T124*$BI124),0)</f>
        <v>0</v>
      </c>
      <c r="BX124" s="5">
        <f>IF($BI124&lt;&gt;"",IF('Capacity summary'!$C$14="Yes",IF(COUNTBLANK('Capacity summary'!$H36:$BG36)&lt;52,IF('Capacity summary'!U36&lt;&gt;"",$BI124*U124,0),U124*$BI124),U124*$BI124),0)</f>
        <v>0</v>
      </c>
      <c r="BY124" s="5">
        <f>IF($BI124&lt;&gt;"",IF('Capacity summary'!$C$14="Yes",IF(COUNTBLANK('Capacity summary'!$H36:$BG36)&lt;52,IF('Capacity summary'!V36&lt;&gt;"",$BI124*V124,0),V124*$BI124),V124*$BI124),0)</f>
        <v>0</v>
      </c>
      <c r="BZ124" s="5">
        <f>IF($BI124&lt;&gt;"",IF('Capacity summary'!$C$14="Yes",IF(COUNTBLANK('Capacity summary'!$H36:$BG36)&lt;52,IF('Capacity summary'!W36&lt;&gt;"",$BI124*W124,0),W124*$BI124),W124*$BI124),0)</f>
        <v>0</v>
      </c>
      <c r="CA124" s="5">
        <f>IF($BI124&lt;&gt;"",IF('Capacity summary'!$C$14="Yes",IF(COUNTBLANK('Capacity summary'!$H36:$BG36)&lt;52,IF('Capacity summary'!X36&lt;&gt;"",$BI124*X124,0),X124*$BI124),X124*$BI124),0)</f>
        <v>0</v>
      </c>
      <c r="CB124" s="5">
        <f>IF($BI124&lt;&gt;"",IF('Capacity summary'!$C$14="Yes",IF(COUNTBLANK('Capacity summary'!$H36:$BG36)&lt;52,IF('Capacity summary'!Y36&lt;&gt;"",$BI124*Y124,0),Y124*$BI124),Y124*$BI124),0)</f>
        <v>0</v>
      </c>
      <c r="CC124" s="5">
        <f>IF($BI124&lt;&gt;"",IF('Capacity summary'!$C$14="Yes",IF(COUNTBLANK('Capacity summary'!$H36:$BG36)&lt;52,IF('Capacity summary'!Z36&lt;&gt;"",$BI124*Z124,0),Z124*$BI124),Z124*$BI124),0)</f>
        <v>0</v>
      </c>
      <c r="CD124" s="5">
        <f>IF($BI124&lt;&gt;"",IF('Capacity summary'!$C$14="Yes",IF(COUNTBLANK('Capacity summary'!$H36:$BG36)&lt;52,IF('Capacity summary'!AA36&lt;&gt;"",$BI124*AA124,0),AA124*$BI124),AA124*$BI124),0)</f>
        <v>0</v>
      </c>
      <c r="CE124" s="5">
        <f>IF($BI124&lt;&gt;"",IF('Capacity summary'!$C$14="Yes",IF(COUNTBLANK('Capacity summary'!$H36:$BG36)&lt;52,IF('Capacity summary'!AB36&lt;&gt;"",$BI124*AB124,0),AB124*$BI124),AB124*$BI124),0)</f>
        <v>0</v>
      </c>
      <c r="CF124" s="5">
        <f>IF($BI124&lt;&gt;"",IF('Capacity summary'!$C$14="Yes",IF(COUNTBLANK('Capacity summary'!$H36:$BG36)&lt;52,IF('Capacity summary'!AC36&lt;&gt;"",$BI124*AC124,0),AC124*$BI124),AC124*$BI124),0)</f>
        <v>0</v>
      </c>
      <c r="CG124" s="5">
        <f>IF($BI124&lt;&gt;"",IF('Capacity summary'!$C$14="Yes",IF(COUNTBLANK('Capacity summary'!$H36:$BG36)&lt;52,IF('Capacity summary'!AD36&lt;&gt;"",$BI124*AD124,0),AD124*$BI124),AD124*$BI124),0)</f>
        <v>0</v>
      </c>
      <c r="CH124" s="5">
        <f>IF($BI124&lt;&gt;"",IF('Capacity summary'!$C$14="Yes",IF(COUNTBLANK('Capacity summary'!$H36:$BG36)&lt;52,IF('Capacity summary'!AE36&lt;&gt;"",$BI124*AE124,0),AE124*$BI124),AE124*$BI124),0)</f>
        <v>0</v>
      </c>
      <c r="CI124" s="5">
        <f>IF($BI124&lt;&gt;"",IF('Capacity summary'!$C$14="Yes",IF(COUNTBLANK('Capacity summary'!$H36:$BG36)&lt;52,IF('Capacity summary'!AF36&lt;&gt;"",$BI124*AF124,0),AF124*$BI124),AF124*$BI124),0)</f>
        <v>0</v>
      </c>
      <c r="CJ124" s="5">
        <f>IF($BI124&lt;&gt;"",IF('Capacity summary'!$C$14="Yes",IF(COUNTBLANK('Capacity summary'!$H36:$BG36)&lt;52,IF('Capacity summary'!AG36&lt;&gt;"",$BI124*AG124,0),AG124*$BI124),AG124*$BI124),0)</f>
        <v>0</v>
      </c>
      <c r="CK124" s="5">
        <f>IF($BI124&lt;&gt;"",IF('Capacity summary'!$C$14="Yes",IF(COUNTBLANK('Capacity summary'!$H36:$BG36)&lt;52,IF('Capacity summary'!AH36&lt;&gt;"",$BI124*AH124,0),AH124*$BI124),AH124*$BI124),0)</f>
        <v>0</v>
      </c>
      <c r="CL124" s="5">
        <f>IF($BI124&lt;&gt;"",IF('Capacity summary'!$C$14="Yes",IF(COUNTBLANK('Capacity summary'!$H36:$BG36)&lt;52,IF('Capacity summary'!AI36&lt;&gt;"",$BI124*AI124,0),AI124*$BI124),AI124*$BI124),0)</f>
        <v>0</v>
      </c>
      <c r="CM124" s="5">
        <f>IF($BI124&lt;&gt;"",IF('Capacity summary'!$C$14="Yes",IF(COUNTBLANK('Capacity summary'!$H36:$BG36)&lt;52,IF('Capacity summary'!AJ36&lt;&gt;"",$BI124*AJ124,0),AJ124*$BI124),AJ124*$BI124),0)</f>
        <v>0</v>
      </c>
      <c r="CN124" s="5">
        <f>IF($BI124&lt;&gt;"",IF('Capacity summary'!$C$14="Yes",IF(COUNTBLANK('Capacity summary'!$H36:$BG36)&lt;52,IF('Capacity summary'!AK36&lt;&gt;"",$BI124*AK124,0),AK124*$BI124),AK124*$BI124),0)</f>
        <v>0</v>
      </c>
      <c r="CO124" s="5">
        <f>IF($BI124&lt;&gt;"",IF('Capacity summary'!$C$14="Yes",IF(COUNTBLANK('Capacity summary'!$H36:$BG36)&lt;52,IF('Capacity summary'!AL36&lt;&gt;"",$BI124*AL124,0),AL124*$BI124),AL124*$BI124),0)</f>
        <v>0</v>
      </c>
      <c r="CP124" s="5">
        <f>IF($BI124&lt;&gt;"",IF('Capacity summary'!$C$14="Yes",IF(COUNTBLANK('Capacity summary'!$H36:$BG36)&lt;52,IF('Capacity summary'!AM36&lt;&gt;"",$BI124*AM124,0),AM124*$BI124),AM124*$BI124),0)</f>
        <v>0</v>
      </c>
      <c r="CQ124" s="5">
        <f>IF($BI124&lt;&gt;"",IF('Capacity summary'!$C$14="Yes",IF(COUNTBLANK('Capacity summary'!$H36:$BG36)&lt;52,IF('Capacity summary'!AN36&lt;&gt;"",$BI124*AN124,0),AN124*$BI124),AN124*$BI124),0)</f>
        <v>0</v>
      </c>
      <c r="CR124" s="5">
        <f>IF($BI124&lt;&gt;"",IF('Capacity summary'!$C$14="Yes",IF(COUNTBLANK('Capacity summary'!$H36:$BG36)&lt;52,IF('Capacity summary'!AO36&lt;&gt;"",$BI124*AO124,0),AO124*$BI124),AO124*$BI124),0)</f>
        <v>0</v>
      </c>
      <c r="CS124" s="5">
        <f>IF($BI124&lt;&gt;"",IF('Capacity summary'!$C$14="Yes",IF(COUNTBLANK('Capacity summary'!$H36:$BG36)&lt;52,IF('Capacity summary'!AP36&lt;&gt;"",$BI124*AP124,0),AP124*$BI124),AP124*$BI124),0)</f>
        <v>0</v>
      </c>
      <c r="CT124" s="5">
        <f>IF($BI124&lt;&gt;"",IF('Capacity summary'!$C$14="Yes",IF(COUNTBLANK('Capacity summary'!$H36:$BG36)&lt;52,IF('Capacity summary'!AQ36&lt;&gt;"",$BI124*AQ124,0),AQ124*$BI124),AQ124*$BI124),0)</f>
        <v>0</v>
      </c>
      <c r="CU124" s="5">
        <f>IF($BI124&lt;&gt;"",IF('Capacity summary'!$C$14="Yes",IF(COUNTBLANK('Capacity summary'!$H36:$BG36)&lt;52,IF('Capacity summary'!AR36&lt;&gt;"",$BI124*AR124,0),AR124*$BI124),AR124*$BI124),0)</f>
        <v>0</v>
      </c>
      <c r="CV124" s="5">
        <f>IF($BI124&lt;&gt;"",IF('Capacity summary'!$C$14="Yes",IF(COUNTBLANK('Capacity summary'!$H36:$BG36)&lt;52,IF('Capacity summary'!AS36&lt;&gt;"",$BI124*AS124,0),AS124*$BI124),AS124*$BI124),0)</f>
        <v>0</v>
      </c>
      <c r="CW124" s="5">
        <f>IF($BI124&lt;&gt;"",IF('Capacity summary'!$C$14="Yes",IF(COUNTBLANK('Capacity summary'!$H36:$BG36)&lt;52,IF('Capacity summary'!AT36&lt;&gt;"",$BI124*AT124,0),AT124*$BI124),AT124*$BI124),0)</f>
        <v>0</v>
      </c>
      <c r="CX124" s="5">
        <f>IF($BI124&lt;&gt;"",IF('Capacity summary'!$C$14="Yes",IF(COUNTBLANK('Capacity summary'!$H36:$BG36)&lt;52,IF('Capacity summary'!AU36&lt;&gt;"",$BI124*AU124,0),AU124*$BI124),AU124*$BI124),0)</f>
        <v>0</v>
      </c>
      <c r="CY124" s="5">
        <f>IF($BI124&lt;&gt;"",IF('Capacity summary'!$C$14="Yes",IF(COUNTBLANK('Capacity summary'!$H36:$BG36)&lt;52,IF('Capacity summary'!AV36&lt;&gt;"",$BI124*AV124,0),AV124*$BI124),AV124*$BI124),0)</f>
        <v>0</v>
      </c>
      <c r="CZ124" s="5">
        <f>IF($BI124&lt;&gt;"",IF('Capacity summary'!$C$14="Yes",IF(COUNTBLANK('Capacity summary'!$H36:$BG36)&lt;52,IF('Capacity summary'!AW36&lt;&gt;"",$BI124*AW124,0),AW124*$BI124),AW124*$BI124),0)</f>
        <v>0</v>
      </c>
      <c r="DA124" s="5">
        <f>IF($BI124&lt;&gt;"",IF('Capacity summary'!$C$14="Yes",IF(COUNTBLANK('Capacity summary'!$H36:$BG36)&lt;52,IF('Capacity summary'!AX36&lt;&gt;"",$BI124*AX124,0),AX124*$BI124),AX124*$BI124),0)</f>
        <v>0</v>
      </c>
      <c r="DB124" s="5">
        <f>IF($BI124&lt;&gt;"",IF('Capacity summary'!$C$14="Yes",IF(COUNTBLANK('Capacity summary'!$H36:$BG36)&lt;52,IF('Capacity summary'!AY36&lt;&gt;"",$BI124*AY124,0),AY124*$BI124),AY124*$BI124),0)</f>
        <v>0</v>
      </c>
      <c r="DC124" s="5">
        <f>IF($BI124&lt;&gt;"",IF('Capacity summary'!$C$14="Yes",IF(COUNTBLANK('Capacity summary'!$H36:$BG36)&lt;52,IF('Capacity summary'!AZ36&lt;&gt;"",$BI124*AZ124,0),AZ124*$BI124),AZ124*$BI124),0)</f>
        <v>0</v>
      </c>
      <c r="DD124" s="5">
        <f>IF($BI124&lt;&gt;"",IF('Capacity summary'!$C$14="Yes",IF(COUNTBLANK('Capacity summary'!$H36:$BG36)&lt;52,IF('Capacity summary'!BA36&lt;&gt;"",$BI124*BA124,0),BA124*$BI124),BA124*$BI124),0)</f>
        <v>0</v>
      </c>
      <c r="DE124" s="5">
        <f>IF($BI124&lt;&gt;"",IF('Capacity summary'!$C$14="Yes",IF(COUNTBLANK('Capacity summary'!$H36:$BG36)&lt;52,IF('Capacity summary'!BB36&lt;&gt;"",$BI124*BB124,0),BB124*$BI124),BB124*$BI124),0)</f>
        <v>0</v>
      </c>
      <c r="DF124" s="5">
        <f>IF($BI124&lt;&gt;"",IF('Capacity summary'!$C$14="Yes",IF(COUNTBLANK('Capacity summary'!$H36:$BG36)&lt;52,IF('Capacity summary'!BC36&lt;&gt;"",$BI124*BC124,0),BC124*$BI124),BC124*$BI124),0)</f>
        <v>0</v>
      </c>
      <c r="DG124" s="5">
        <f>IF($BI124&lt;&gt;"",IF('Capacity summary'!$C$14="Yes",IF(COUNTBLANK('Capacity summary'!$H36:$BG36)&lt;52,IF('Capacity summary'!BD36&lt;&gt;"",$BI124*BD124,0),BD124*$BI124),BD124*$BI124),0)</f>
        <v>0</v>
      </c>
      <c r="DH124" s="5">
        <f>IF($BI124&lt;&gt;"",IF('Capacity summary'!$C$14="Yes",IF(COUNTBLANK('Capacity summary'!$H36:$BG36)&lt;52,IF('Capacity summary'!BE36&lt;&gt;"",$BI124*BE124,0),BE124*$BI124),BE124*$BI124),0)</f>
        <v>0</v>
      </c>
      <c r="DI124" s="5">
        <f>IF($BI124&lt;&gt;"",IF('Capacity summary'!$C$14="Yes",IF(COUNTBLANK('Capacity summary'!$H36:$BG36)&lt;52,IF('Capacity summary'!BF36&lt;&gt;"",$BI124*BF124,0),BF124*$BI124),BF124*$BI124),0)</f>
        <v>0</v>
      </c>
      <c r="DJ124" s="5">
        <f>IF($BI124&lt;&gt;"",IF('Capacity summary'!$C$14="Yes",IF(COUNTBLANK('Capacity summary'!$H36:$BG36)&lt;52,IF('Capacity summary'!BG36&lt;&gt;"",$BI124*BG124,0),BG124*$BI124),BG124*$BI124),0)</f>
        <v>0</v>
      </c>
      <c r="DK124" s="138">
        <f t="shared" si="6"/>
        <v>0</v>
      </c>
    </row>
    <row r="125" spans="3:115" x14ac:dyDescent="0.2">
      <c r="C125" s="68" t="str">
        <f>ROW(A14)&amp;". "&amp;Capacity!N30</f>
        <v xml:space="preserve">14. </v>
      </c>
      <c r="D125" s="68">
        <f>'Capacity setup'!C131</f>
        <v>0</v>
      </c>
      <c r="E125" s="68">
        <f>'Capacity setup'!D131</f>
        <v>0</v>
      </c>
      <c r="F125" s="68">
        <f>'Capacity setup'!E131</f>
        <v>0</v>
      </c>
      <c r="H125" s="68">
        <f ca="1">IF(AND(SUMIF(Capacity_Resource,$D125,'Critical resources (hide)'!U$6:U$105)+SUMIF(Capacity_Resource,$E125,'Critical resources (hide)'!U$6:U$105)+SUMIF(Capacity_Resource,$F125,'Critical resources (hide)'!U$6:U$105)&gt;0,$E$1=2),0,1)</f>
        <v>1</v>
      </c>
      <c r="I125" s="68">
        <f ca="1">IF(AND(SUMIF(Capacity_Resource,$D125,'Critical resources (hide)'!V$6:V$105)+SUMIF(Capacity_Resource,$E125,'Critical resources (hide)'!V$6:V$105)+SUMIF(Capacity_Resource,$F125,'Critical resources (hide)'!V$6:V$105)&gt;0,$E$1=2),0,1)</f>
        <v>1</v>
      </c>
      <c r="J125" s="68">
        <f ca="1">IF(AND(SUMIF(Capacity_Resource,$D125,'Critical resources (hide)'!W$6:W$105)+SUMIF(Capacity_Resource,$E125,'Critical resources (hide)'!W$6:W$105)+SUMIF(Capacity_Resource,$F125,'Critical resources (hide)'!W$6:W$105)&gt;0,$E$1=2),0,1)</f>
        <v>1</v>
      </c>
      <c r="K125" s="68">
        <f ca="1">IF(AND(SUMIF(Capacity_Resource,$D125,'Critical resources (hide)'!X$6:X$105)+SUMIF(Capacity_Resource,$E125,'Critical resources (hide)'!X$6:X$105)+SUMIF(Capacity_Resource,$F125,'Critical resources (hide)'!X$6:X$105)&gt;0,$E$1=2),0,1)</f>
        <v>1</v>
      </c>
      <c r="L125" s="68">
        <f ca="1">IF(AND(SUMIF(Capacity_Resource,$D125,'Critical resources (hide)'!Y$6:Y$105)+SUMIF(Capacity_Resource,$E125,'Critical resources (hide)'!Y$6:Y$105)+SUMIF(Capacity_Resource,$F125,'Critical resources (hide)'!Y$6:Y$105)&gt;0,$E$1=2),0,1)</f>
        <v>1</v>
      </c>
      <c r="M125" s="68">
        <f ca="1">IF(AND(SUMIF(Capacity_Resource,$D125,'Critical resources (hide)'!Z$6:Z$105)+SUMIF(Capacity_Resource,$E125,'Critical resources (hide)'!Z$6:Z$105)+SUMIF(Capacity_Resource,$F125,'Critical resources (hide)'!Z$6:Z$105)&gt;0,$E$1=2),0,1)</f>
        <v>1</v>
      </c>
      <c r="N125" s="68">
        <f ca="1">IF(AND(SUMIF(Capacity_Resource,$D125,'Critical resources (hide)'!AA$6:AA$105)+SUMIF(Capacity_Resource,$E125,'Critical resources (hide)'!AA$6:AA$105)+SUMIF(Capacity_Resource,$F125,'Critical resources (hide)'!AA$6:AA$105)&gt;0,$E$1=2),0,1)</f>
        <v>1</v>
      </c>
      <c r="O125" s="68">
        <f ca="1">IF(AND(SUMIF(Capacity_Resource,$D125,'Critical resources (hide)'!AB$6:AB$105)+SUMIF(Capacity_Resource,$E125,'Critical resources (hide)'!AB$6:AB$105)+SUMIF(Capacity_Resource,$F125,'Critical resources (hide)'!AB$6:AB$105)&gt;0,$E$1=2),0,1)</f>
        <v>1</v>
      </c>
      <c r="P125" s="68">
        <f ca="1">IF(AND(SUMIF(Capacity_Resource,$D125,'Critical resources (hide)'!AC$6:AC$105)+SUMIF(Capacity_Resource,$E125,'Critical resources (hide)'!AC$6:AC$105)+SUMIF(Capacity_Resource,$F125,'Critical resources (hide)'!AC$6:AC$105)&gt;0,$E$1=2),0,1)</f>
        <v>1</v>
      </c>
      <c r="Q125" s="68">
        <f ca="1">IF(AND(SUMIF(Capacity_Resource,$D125,'Critical resources (hide)'!AD$6:AD$105)+SUMIF(Capacity_Resource,$E125,'Critical resources (hide)'!AD$6:AD$105)+SUMIF(Capacity_Resource,$F125,'Critical resources (hide)'!AD$6:AD$105)&gt;0,$E$1=2),0,1)</f>
        <v>1</v>
      </c>
      <c r="R125" s="68">
        <f ca="1">IF(AND(SUMIF(Capacity_Resource,$D125,'Critical resources (hide)'!AE$6:AE$105)+SUMIF(Capacity_Resource,$E125,'Critical resources (hide)'!AE$6:AE$105)+SUMIF(Capacity_Resource,$F125,'Critical resources (hide)'!AE$6:AE$105)&gt;0,$E$1=2),0,1)</f>
        <v>1</v>
      </c>
      <c r="S125" s="68">
        <f ca="1">IF(AND(SUMIF(Capacity_Resource,$D125,'Critical resources (hide)'!AF$6:AF$105)+SUMIF(Capacity_Resource,$E125,'Critical resources (hide)'!AF$6:AF$105)+SUMIF(Capacity_Resource,$F125,'Critical resources (hide)'!AF$6:AF$105)&gt;0,$E$1=2),0,1)</f>
        <v>1</v>
      </c>
      <c r="T125" s="68">
        <f ca="1">IF(AND(SUMIF(Capacity_Resource,$D125,'Critical resources (hide)'!AG$6:AG$105)+SUMIF(Capacity_Resource,$E125,'Critical resources (hide)'!AG$6:AG$105)+SUMIF(Capacity_Resource,$F125,'Critical resources (hide)'!AG$6:AG$105)&gt;0,$E$1=2),0,1)</f>
        <v>1</v>
      </c>
      <c r="U125" s="68">
        <f ca="1">IF(AND(SUMIF(Capacity_Resource,$D125,'Critical resources (hide)'!AH$6:AH$105)+SUMIF(Capacity_Resource,$E125,'Critical resources (hide)'!AH$6:AH$105)+SUMIF(Capacity_Resource,$F125,'Critical resources (hide)'!AH$6:AH$105)&gt;0,$E$1=2),0,1)</f>
        <v>1</v>
      </c>
      <c r="V125" s="68">
        <f ca="1">IF(AND(SUMIF(Capacity_Resource,$D125,'Critical resources (hide)'!AI$6:AI$105)+SUMIF(Capacity_Resource,$E125,'Critical resources (hide)'!AI$6:AI$105)+SUMIF(Capacity_Resource,$F125,'Critical resources (hide)'!AI$6:AI$105)&gt;0,$E$1=2),0,1)</f>
        <v>1</v>
      </c>
      <c r="W125" s="68">
        <f ca="1">IF(AND(SUMIF(Capacity_Resource,$D125,'Critical resources (hide)'!AJ$6:AJ$105)+SUMIF(Capacity_Resource,$E125,'Critical resources (hide)'!AJ$6:AJ$105)+SUMIF(Capacity_Resource,$F125,'Critical resources (hide)'!AJ$6:AJ$105)&gt;0,$E$1=2),0,1)</f>
        <v>1</v>
      </c>
      <c r="X125" s="68">
        <f ca="1">IF(AND(SUMIF(Capacity_Resource,$D125,'Critical resources (hide)'!AK$6:AK$105)+SUMIF(Capacity_Resource,$E125,'Critical resources (hide)'!AK$6:AK$105)+SUMIF(Capacity_Resource,$F125,'Critical resources (hide)'!AK$6:AK$105)&gt;0,$E$1=2),0,1)</f>
        <v>1</v>
      </c>
      <c r="Y125" s="68">
        <f ca="1">IF(AND(SUMIF(Capacity_Resource,$D125,'Critical resources (hide)'!AL$6:AL$105)+SUMIF(Capacity_Resource,$E125,'Critical resources (hide)'!AL$6:AL$105)+SUMIF(Capacity_Resource,$F125,'Critical resources (hide)'!AL$6:AL$105)&gt;0,$E$1=2),0,1)</f>
        <v>1</v>
      </c>
      <c r="Z125" s="68">
        <f ca="1">IF(AND(SUMIF(Capacity_Resource,$D125,'Critical resources (hide)'!AM$6:AM$105)+SUMIF(Capacity_Resource,$E125,'Critical resources (hide)'!AM$6:AM$105)+SUMIF(Capacity_Resource,$F125,'Critical resources (hide)'!AM$6:AM$105)&gt;0,$E$1=2),0,1)</f>
        <v>1</v>
      </c>
      <c r="AA125" s="68">
        <f ca="1">IF(AND(SUMIF(Capacity_Resource,$D125,'Critical resources (hide)'!AN$6:AN$105)+SUMIF(Capacity_Resource,$E125,'Critical resources (hide)'!AN$6:AN$105)+SUMIF(Capacity_Resource,$F125,'Critical resources (hide)'!AN$6:AN$105)&gt;0,$E$1=2),0,1)</f>
        <v>1</v>
      </c>
      <c r="AB125" s="68">
        <f ca="1">IF(AND(SUMIF(Capacity_Resource,$D125,'Critical resources (hide)'!AO$6:AO$105)+SUMIF(Capacity_Resource,$E125,'Critical resources (hide)'!AO$6:AO$105)+SUMIF(Capacity_Resource,$F125,'Critical resources (hide)'!AO$6:AO$105)&gt;0,$E$1=2),0,1)</f>
        <v>1</v>
      </c>
      <c r="AC125" s="68">
        <f ca="1">IF(AND(SUMIF(Capacity_Resource,$D125,'Critical resources (hide)'!AP$6:AP$105)+SUMIF(Capacity_Resource,$E125,'Critical resources (hide)'!AP$6:AP$105)+SUMIF(Capacity_Resource,$F125,'Critical resources (hide)'!AP$6:AP$105)&gt;0,$E$1=2),0,1)</f>
        <v>1</v>
      </c>
      <c r="AD125" s="68">
        <f ca="1">IF(AND(SUMIF(Capacity_Resource,$D125,'Critical resources (hide)'!AQ$6:AQ$105)+SUMIF(Capacity_Resource,$E125,'Critical resources (hide)'!AQ$6:AQ$105)+SUMIF(Capacity_Resource,$F125,'Critical resources (hide)'!AQ$6:AQ$105)&gt;0,$E$1=2),0,1)</f>
        <v>1</v>
      </c>
      <c r="AE125" s="68">
        <f ca="1">IF(AND(SUMIF(Capacity_Resource,$D125,'Critical resources (hide)'!AR$6:AR$105)+SUMIF(Capacity_Resource,$E125,'Critical resources (hide)'!AR$6:AR$105)+SUMIF(Capacity_Resource,$F125,'Critical resources (hide)'!AR$6:AR$105)&gt;0,$E$1=2),0,1)</f>
        <v>1</v>
      </c>
      <c r="AF125" s="68">
        <f ca="1">IF(AND(SUMIF(Capacity_Resource,$D125,'Critical resources (hide)'!AS$6:AS$105)+SUMIF(Capacity_Resource,$E125,'Critical resources (hide)'!AS$6:AS$105)+SUMIF(Capacity_Resource,$F125,'Critical resources (hide)'!AS$6:AS$105)&gt;0,$E$1=2),0,1)</f>
        <v>1</v>
      </c>
      <c r="AG125" s="68">
        <f ca="1">IF(AND(SUMIF(Capacity_Resource,$D125,'Critical resources (hide)'!AT$6:AT$105)+SUMIF(Capacity_Resource,$E125,'Critical resources (hide)'!AT$6:AT$105)+SUMIF(Capacity_Resource,$F125,'Critical resources (hide)'!AT$6:AT$105)&gt;0,$E$1=2),0,1)</f>
        <v>1</v>
      </c>
      <c r="AH125" s="68">
        <f ca="1">IF(AND(SUMIF(Capacity_Resource,$D125,'Critical resources (hide)'!AU$6:AU$105)+SUMIF(Capacity_Resource,$E125,'Critical resources (hide)'!AU$6:AU$105)+SUMIF(Capacity_Resource,$F125,'Critical resources (hide)'!AU$6:AU$105)&gt;0,$E$1=2),0,1)</f>
        <v>1</v>
      </c>
      <c r="AI125" s="68">
        <f ca="1">IF(AND(SUMIF(Capacity_Resource,$D125,'Critical resources (hide)'!AV$6:AV$105)+SUMIF(Capacity_Resource,$E125,'Critical resources (hide)'!AV$6:AV$105)+SUMIF(Capacity_Resource,$F125,'Critical resources (hide)'!AV$6:AV$105)&gt;0,$E$1=2),0,1)</f>
        <v>1</v>
      </c>
      <c r="AJ125" s="68">
        <f ca="1">IF(AND(SUMIF(Capacity_Resource,$D125,'Critical resources (hide)'!AW$6:AW$105)+SUMIF(Capacity_Resource,$E125,'Critical resources (hide)'!AW$6:AW$105)+SUMIF(Capacity_Resource,$F125,'Critical resources (hide)'!AW$6:AW$105)&gt;0,$E$1=2),0,1)</f>
        <v>1</v>
      </c>
      <c r="AK125" s="68">
        <f ca="1">IF(AND(SUMIF(Capacity_Resource,$D125,'Critical resources (hide)'!AX$6:AX$105)+SUMIF(Capacity_Resource,$E125,'Critical resources (hide)'!AX$6:AX$105)+SUMIF(Capacity_Resource,$F125,'Critical resources (hide)'!AX$6:AX$105)&gt;0,$E$1=2),0,1)</f>
        <v>1</v>
      </c>
      <c r="AL125" s="68">
        <f ca="1">IF(AND(SUMIF(Capacity_Resource,$D125,'Critical resources (hide)'!AY$6:AY$105)+SUMIF(Capacity_Resource,$E125,'Critical resources (hide)'!AY$6:AY$105)+SUMIF(Capacity_Resource,$F125,'Critical resources (hide)'!AY$6:AY$105)&gt;0,$E$1=2),0,1)</f>
        <v>1</v>
      </c>
      <c r="AM125" s="68">
        <f ca="1">IF(AND(SUMIF(Capacity_Resource,$D125,'Critical resources (hide)'!AZ$6:AZ$105)+SUMIF(Capacity_Resource,$E125,'Critical resources (hide)'!AZ$6:AZ$105)+SUMIF(Capacity_Resource,$F125,'Critical resources (hide)'!AZ$6:AZ$105)&gt;0,$E$1=2),0,1)</f>
        <v>1</v>
      </c>
      <c r="AN125" s="68">
        <f ca="1">IF(AND(SUMIF(Capacity_Resource,$D125,'Critical resources (hide)'!BA$6:BA$105)+SUMIF(Capacity_Resource,$E125,'Critical resources (hide)'!BA$6:BA$105)+SUMIF(Capacity_Resource,$F125,'Critical resources (hide)'!BA$6:BA$105)&gt;0,$E$1=2),0,1)</f>
        <v>1</v>
      </c>
      <c r="AO125" s="68">
        <f ca="1">IF(AND(SUMIF(Capacity_Resource,$D125,'Critical resources (hide)'!BB$6:BB$105)+SUMIF(Capacity_Resource,$E125,'Critical resources (hide)'!BB$6:BB$105)+SUMIF(Capacity_Resource,$F125,'Critical resources (hide)'!BB$6:BB$105)&gt;0,$E$1=2),0,1)</f>
        <v>1</v>
      </c>
      <c r="AP125" s="68">
        <f ca="1">IF(AND(SUMIF(Capacity_Resource,$D125,'Critical resources (hide)'!BC$6:BC$105)+SUMIF(Capacity_Resource,$E125,'Critical resources (hide)'!BC$6:BC$105)+SUMIF(Capacity_Resource,$F125,'Critical resources (hide)'!BC$6:BC$105)&gt;0,$E$1=2),0,1)</f>
        <v>1</v>
      </c>
      <c r="AQ125" s="68">
        <f ca="1">IF(AND(SUMIF(Capacity_Resource,$D125,'Critical resources (hide)'!BD$6:BD$105)+SUMIF(Capacity_Resource,$E125,'Critical resources (hide)'!BD$6:BD$105)+SUMIF(Capacity_Resource,$F125,'Critical resources (hide)'!BD$6:BD$105)&gt;0,$E$1=2),0,1)</f>
        <v>1</v>
      </c>
      <c r="AR125" s="68">
        <f ca="1">IF(AND(SUMIF(Capacity_Resource,$D125,'Critical resources (hide)'!BE$6:BE$105)+SUMIF(Capacity_Resource,$E125,'Critical resources (hide)'!BE$6:BE$105)+SUMIF(Capacity_Resource,$F125,'Critical resources (hide)'!BE$6:BE$105)&gt;0,$E$1=2),0,1)</f>
        <v>1</v>
      </c>
      <c r="AS125" s="68">
        <f ca="1">IF(AND(SUMIF(Capacity_Resource,$D125,'Critical resources (hide)'!BF$6:BF$105)+SUMIF(Capacity_Resource,$E125,'Critical resources (hide)'!BF$6:BF$105)+SUMIF(Capacity_Resource,$F125,'Critical resources (hide)'!BF$6:BF$105)&gt;0,$E$1=2),0,1)</f>
        <v>1</v>
      </c>
      <c r="AT125" s="68">
        <f ca="1">IF(AND(SUMIF(Capacity_Resource,$D125,'Critical resources (hide)'!BG$6:BG$105)+SUMIF(Capacity_Resource,$E125,'Critical resources (hide)'!BG$6:BG$105)+SUMIF(Capacity_Resource,$F125,'Critical resources (hide)'!BG$6:BG$105)&gt;0,$E$1=2),0,1)</f>
        <v>1</v>
      </c>
      <c r="AU125" s="68">
        <f ca="1">IF(AND(SUMIF(Capacity_Resource,$D125,'Critical resources (hide)'!BH$6:BH$105)+SUMIF(Capacity_Resource,$E125,'Critical resources (hide)'!BH$6:BH$105)+SUMIF(Capacity_Resource,$F125,'Critical resources (hide)'!BH$6:BH$105)&gt;0,$E$1=2),0,1)</f>
        <v>1</v>
      </c>
      <c r="AV125" s="68">
        <f ca="1">IF(AND(SUMIF(Capacity_Resource,$D125,'Critical resources (hide)'!BI$6:BI$105)+SUMIF(Capacity_Resource,$E125,'Critical resources (hide)'!BI$6:BI$105)+SUMIF(Capacity_Resource,$F125,'Critical resources (hide)'!BI$6:BI$105)&gt;0,$E$1=2),0,1)</f>
        <v>1</v>
      </c>
      <c r="AW125" s="68">
        <f ca="1">IF(AND(SUMIF(Capacity_Resource,$D125,'Critical resources (hide)'!BJ$6:BJ$105)+SUMIF(Capacity_Resource,$E125,'Critical resources (hide)'!BJ$6:BJ$105)+SUMIF(Capacity_Resource,$F125,'Critical resources (hide)'!BJ$6:BJ$105)&gt;0,$E$1=2),0,1)</f>
        <v>1</v>
      </c>
      <c r="AX125" s="68">
        <f ca="1">IF(AND(SUMIF(Capacity_Resource,$D125,'Critical resources (hide)'!BK$6:BK$105)+SUMIF(Capacity_Resource,$E125,'Critical resources (hide)'!BK$6:BK$105)+SUMIF(Capacity_Resource,$F125,'Critical resources (hide)'!BK$6:BK$105)&gt;0,$E$1=2),0,1)</f>
        <v>1</v>
      </c>
      <c r="AY125" s="68">
        <f ca="1">IF(AND(SUMIF(Capacity_Resource,$D125,'Critical resources (hide)'!BL$6:BL$105)+SUMIF(Capacity_Resource,$E125,'Critical resources (hide)'!BL$6:BL$105)+SUMIF(Capacity_Resource,$F125,'Critical resources (hide)'!BL$6:BL$105)&gt;0,$E$1=2),0,1)</f>
        <v>1</v>
      </c>
      <c r="AZ125" s="68">
        <f ca="1">IF(AND(SUMIF(Capacity_Resource,$D125,'Critical resources (hide)'!BM$6:BM$105)+SUMIF(Capacity_Resource,$E125,'Critical resources (hide)'!BM$6:BM$105)+SUMIF(Capacity_Resource,$F125,'Critical resources (hide)'!BM$6:BM$105)&gt;0,$E$1=2),0,1)</f>
        <v>1</v>
      </c>
      <c r="BA125" s="68">
        <f ca="1">IF(AND(SUMIF(Capacity_Resource,$D125,'Critical resources (hide)'!BN$6:BN$105)+SUMIF(Capacity_Resource,$E125,'Critical resources (hide)'!BN$6:BN$105)+SUMIF(Capacity_Resource,$F125,'Critical resources (hide)'!BN$6:BN$105)&gt;0,$E$1=2),0,1)</f>
        <v>1</v>
      </c>
      <c r="BB125" s="68">
        <f ca="1">IF(AND(SUMIF(Capacity_Resource,$D125,'Critical resources (hide)'!BO$6:BO$105)+SUMIF(Capacity_Resource,$E125,'Critical resources (hide)'!BO$6:BO$105)+SUMIF(Capacity_Resource,$F125,'Critical resources (hide)'!BO$6:BO$105)&gt;0,$E$1=2),0,1)</f>
        <v>1</v>
      </c>
      <c r="BC125" s="68">
        <f ca="1">IF(AND(SUMIF(Capacity_Resource,$D125,'Critical resources (hide)'!BP$6:BP$105)+SUMIF(Capacity_Resource,$E125,'Critical resources (hide)'!BP$6:BP$105)+SUMIF(Capacity_Resource,$F125,'Critical resources (hide)'!BP$6:BP$105)&gt;0,$E$1=2),0,1)</f>
        <v>1</v>
      </c>
      <c r="BD125" s="68">
        <f ca="1">IF(AND(SUMIF(Capacity_Resource,$D125,'Critical resources (hide)'!BQ$6:BQ$105)+SUMIF(Capacity_Resource,$E125,'Critical resources (hide)'!BQ$6:BQ$105)+SUMIF(Capacity_Resource,$F125,'Critical resources (hide)'!BQ$6:BQ$105)&gt;0,$E$1=2),0,1)</f>
        <v>1</v>
      </c>
      <c r="BE125" s="68">
        <f ca="1">IF(AND(SUMIF(Capacity_Resource,$D125,'Critical resources (hide)'!BR$6:BR$105)+SUMIF(Capacity_Resource,$E125,'Critical resources (hide)'!BR$6:BR$105)+SUMIF(Capacity_Resource,$F125,'Critical resources (hide)'!BR$6:BR$105)&gt;0,$E$1=2),0,1)</f>
        <v>1</v>
      </c>
      <c r="BF125" s="68">
        <f ca="1">IF(AND(SUMIF(Capacity_Resource,$D125,'Critical resources (hide)'!BS$6:BS$105)+SUMIF(Capacity_Resource,$E125,'Critical resources (hide)'!BS$6:BS$105)+SUMIF(Capacity_Resource,$F125,'Critical resources (hide)'!BS$6:BS$105)&gt;0,$E$1=2),0,1)</f>
        <v>1</v>
      </c>
      <c r="BG125" s="68">
        <f ca="1">IF(AND(SUMIF(Capacity_Resource,$D125,'Critical resources (hide)'!BT$6:BT$105)+SUMIF(Capacity_Resource,$E125,'Critical resources (hide)'!BT$6:BT$105)+SUMIF(Capacity_Resource,$F125,'Critical resources (hide)'!BT$6:BT$105)&gt;0,$E$1=2),0,1)</f>
        <v>1</v>
      </c>
      <c r="BH125" s="68">
        <f>IF(ROW(A14)&lt;=Capacity!$M$16,IF('Capacity summary'!$C$14="No",SUM(H125:BG125),'Capacity summary'!$E37),0)</f>
        <v>0</v>
      </c>
      <c r="BI125" s="68" t="str">
        <f>IF(BH125&gt;0,IF(BH125&lt;Capacity!Q30,Capacity!R30,Capacity!T30/'Capacity calculation (hide)'!BH125),"")</f>
        <v/>
      </c>
      <c r="BJ125" s="5"/>
      <c r="BK125" s="5">
        <f>IF($BI125&lt;&gt;"",IF('Capacity summary'!$C$14="Yes",IF(COUNTBLANK('Capacity summary'!$H37:$BG37)&lt;52,IF('Capacity summary'!H37&lt;&gt;"",$BI125*H125,0),H125*$BI125),H125*$BI125),0)</f>
        <v>0</v>
      </c>
      <c r="BL125" s="5">
        <f>IF($BI125&lt;&gt;"",IF('Capacity summary'!$C$14="Yes",IF(COUNTBLANK('Capacity summary'!$H37:$BG37)&lt;52,IF('Capacity summary'!I37&lt;&gt;"",$BI125*I125,0),I125*$BI125),I125*$BI125),0)</f>
        <v>0</v>
      </c>
      <c r="BM125" s="5">
        <f>IF($BI125&lt;&gt;"",IF('Capacity summary'!$C$14="Yes",IF(COUNTBLANK('Capacity summary'!$H37:$BG37)&lt;52,IF('Capacity summary'!J37&lt;&gt;"",$BI125*J125,0),J125*$BI125),J125*$BI125),0)</f>
        <v>0</v>
      </c>
      <c r="BN125" s="5">
        <f>IF($BI125&lt;&gt;"",IF('Capacity summary'!$C$14="Yes",IF(COUNTBLANK('Capacity summary'!$H37:$BG37)&lt;52,IF('Capacity summary'!K37&lt;&gt;"",$BI125*K125,0),K125*$BI125),K125*$BI125),0)</f>
        <v>0</v>
      </c>
      <c r="BO125" s="5">
        <f>IF($BI125&lt;&gt;"",IF('Capacity summary'!$C$14="Yes",IF(COUNTBLANK('Capacity summary'!$H37:$BG37)&lt;52,IF('Capacity summary'!L37&lt;&gt;"",$BI125*L125,0),L125*$BI125),L125*$BI125),0)</f>
        <v>0</v>
      </c>
      <c r="BP125" s="5">
        <f>IF($BI125&lt;&gt;"",IF('Capacity summary'!$C$14="Yes",IF(COUNTBLANK('Capacity summary'!$H37:$BG37)&lt;52,IF('Capacity summary'!M37&lt;&gt;"",$BI125*M125,0),M125*$BI125),M125*$BI125),0)</f>
        <v>0</v>
      </c>
      <c r="BQ125" s="5">
        <f>IF($BI125&lt;&gt;"",IF('Capacity summary'!$C$14="Yes",IF(COUNTBLANK('Capacity summary'!$H37:$BG37)&lt;52,IF('Capacity summary'!N37&lt;&gt;"",$BI125*N125,0),N125*$BI125),N125*$BI125),0)</f>
        <v>0</v>
      </c>
      <c r="BR125" s="5">
        <f>IF($BI125&lt;&gt;"",IF('Capacity summary'!$C$14="Yes",IF(COUNTBLANK('Capacity summary'!$H37:$BG37)&lt;52,IF('Capacity summary'!O37&lt;&gt;"",$BI125*O125,0),O125*$BI125),O125*$BI125),0)</f>
        <v>0</v>
      </c>
      <c r="BS125" s="5">
        <f>IF($BI125&lt;&gt;"",IF('Capacity summary'!$C$14="Yes",IF(COUNTBLANK('Capacity summary'!$H37:$BG37)&lt;52,IF('Capacity summary'!P37&lt;&gt;"",$BI125*P125,0),P125*$BI125),P125*$BI125),0)</f>
        <v>0</v>
      </c>
      <c r="BT125" s="5">
        <f>IF($BI125&lt;&gt;"",IF('Capacity summary'!$C$14="Yes",IF(COUNTBLANK('Capacity summary'!$H37:$BG37)&lt;52,IF('Capacity summary'!Q37&lt;&gt;"",$BI125*Q125,0),Q125*$BI125),Q125*$BI125),0)</f>
        <v>0</v>
      </c>
      <c r="BU125" s="5">
        <f>IF($BI125&lt;&gt;"",IF('Capacity summary'!$C$14="Yes",IF(COUNTBLANK('Capacity summary'!$H37:$BG37)&lt;52,IF('Capacity summary'!R37&lt;&gt;"",$BI125*R125,0),R125*$BI125),R125*$BI125),0)</f>
        <v>0</v>
      </c>
      <c r="BV125" s="5">
        <f>IF($BI125&lt;&gt;"",IF('Capacity summary'!$C$14="Yes",IF(COUNTBLANK('Capacity summary'!$H37:$BG37)&lt;52,IF('Capacity summary'!S37&lt;&gt;"",$BI125*S125,0),S125*$BI125),S125*$BI125),0)</f>
        <v>0</v>
      </c>
      <c r="BW125" s="5">
        <f>IF($BI125&lt;&gt;"",IF('Capacity summary'!$C$14="Yes",IF(COUNTBLANK('Capacity summary'!$H37:$BG37)&lt;52,IF('Capacity summary'!T37&lt;&gt;"",$BI125*T125,0),T125*$BI125),T125*$BI125),0)</f>
        <v>0</v>
      </c>
      <c r="BX125" s="5">
        <f>IF($BI125&lt;&gt;"",IF('Capacity summary'!$C$14="Yes",IF(COUNTBLANK('Capacity summary'!$H37:$BG37)&lt;52,IF('Capacity summary'!U37&lt;&gt;"",$BI125*U125,0),U125*$BI125),U125*$BI125),0)</f>
        <v>0</v>
      </c>
      <c r="BY125" s="5">
        <f>IF($BI125&lt;&gt;"",IF('Capacity summary'!$C$14="Yes",IF(COUNTBLANK('Capacity summary'!$H37:$BG37)&lt;52,IF('Capacity summary'!V37&lt;&gt;"",$BI125*V125,0),V125*$BI125),V125*$BI125),0)</f>
        <v>0</v>
      </c>
      <c r="BZ125" s="5">
        <f>IF($BI125&lt;&gt;"",IF('Capacity summary'!$C$14="Yes",IF(COUNTBLANK('Capacity summary'!$H37:$BG37)&lt;52,IF('Capacity summary'!W37&lt;&gt;"",$BI125*W125,0),W125*$BI125),W125*$BI125),0)</f>
        <v>0</v>
      </c>
      <c r="CA125" s="5">
        <f>IF($BI125&lt;&gt;"",IF('Capacity summary'!$C$14="Yes",IF(COUNTBLANK('Capacity summary'!$H37:$BG37)&lt;52,IF('Capacity summary'!X37&lt;&gt;"",$BI125*X125,0),X125*$BI125),X125*$BI125),0)</f>
        <v>0</v>
      </c>
      <c r="CB125" s="5">
        <f>IF($BI125&lt;&gt;"",IF('Capacity summary'!$C$14="Yes",IF(COUNTBLANK('Capacity summary'!$H37:$BG37)&lt;52,IF('Capacity summary'!Y37&lt;&gt;"",$BI125*Y125,0),Y125*$BI125),Y125*$BI125),0)</f>
        <v>0</v>
      </c>
      <c r="CC125" s="5">
        <f>IF($BI125&lt;&gt;"",IF('Capacity summary'!$C$14="Yes",IF(COUNTBLANK('Capacity summary'!$H37:$BG37)&lt;52,IF('Capacity summary'!Z37&lt;&gt;"",$BI125*Z125,0),Z125*$BI125),Z125*$BI125),0)</f>
        <v>0</v>
      </c>
      <c r="CD125" s="5">
        <f>IF($BI125&lt;&gt;"",IF('Capacity summary'!$C$14="Yes",IF(COUNTBLANK('Capacity summary'!$H37:$BG37)&lt;52,IF('Capacity summary'!AA37&lt;&gt;"",$BI125*AA125,0),AA125*$BI125),AA125*$BI125),0)</f>
        <v>0</v>
      </c>
      <c r="CE125" s="5">
        <f>IF($BI125&lt;&gt;"",IF('Capacity summary'!$C$14="Yes",IF(COUNTBLANK('Capacity summary'!$H37:$BG37)&lt;52,IF('Capacity summary'!AB37&lt;&gt;"",$BI125*AB125,0),AB125*$BI125),AB125*$BI125),0)</f>
        <v>0</v>
      </c>
      <c r="CF125" s="5">
        <f>IF($BI125&lt;&gt;"",IF('Capacity summary'!$C$14="Yes",IF(COUNTBLANK('Capacity summary'!$H37:$BG37)&lt;52,IF('Capacity summary'!AC37&lt;&gt;"",$BI125*AC125,0),AC125*$BI125),AC125*$BI125),0)</f>
        <v>0</v>
      </c>
      <c r="CG125" s="5">
        <f>IF($BI125&lt;&gt;"",IF('Capacity summary'!$C$14="Yes",IF(COUNTBLANK('Capacity summary'!$H37:$BG37)&lt;52,IF('Capacity summary'!AD37&lt;&gt;"",$BI125*AD125,0),AD125*$BI125),AD125*$BI125),0)</f>
        <v>0</v>
      </c>
      <c r="CH125" s="5">
        <f>IF($BI125&lt;&gt;"",IF('Capacity summary'!$C$14="Yes",IF(COUNTBLANK('Capacity summary'!$H37:$BG37)&lt;52,IF('Capacity summary'!AE37&lt;&gt;"",$BI125*AE125,0),AE125*$BI125),AE125*$BI125),0)</f>
        <v>0</v>
      </c>
      <c r="CI125" s="5">
        <f>IF($BI125&lt;&gt;"",IF('Capacity summary'!$C$14="Yes",IF(COUNTBLANK('Capacity summary'!$H37:$BG37)&lt;52,IF('Capacity summary'!AF37&lt;&gt;"",$BI125*AF125,0),AF125*$BI125),AF125*$BI125),0)</f>
        <v>0</v>
      </c>
      <c r="CJ125" s="5">
        <f>IF($BI125&lt;&gt;"",IF('Capacity summary'!$C$14="Yes",IF(COUNTBLANK('Capacity summary'!$H37:$BG37)&lt;52,IF('Capacity summary'!AG37&lt;&gt;"",$BI125*AG125,0),AG125*$BI125),AG125*$BI125),0)</f>
        <v>0</v>
      </c>
      <c r="CK125" s="5">
        <f>IF($BI125&lt;&gt;"",IF('Capacity summary'!$C$14="Yes",IF(COUNTBLANK('Capacity summary'!$H37:$BG37)&lt;52,IF('Capacity summary'!AH37&lt;&gt;"",$BI125*AH125,0),AH125*$BI125),AH125*$BI125),0)</f>
        <v>0</v>
      </c>
      <c r="CL125" s="5">
        <f>IF($BI125&lt;&gt;"",IF('Capacity summary'!$C$14="Yes",IF(COUNTBLANK('Capacity summary'!$H37:$BG37)&lt;52,IF('Capacity summary'!AI37&lt;&gt;"",$BI125*AI125,0),AI125*$BI125),AI125*$BI125),0)</f>
        <v>0</v>
      </c>
      <c r="CM125" s="5">
        <f>IF($BI125&lt;&gt;"",IF('Capacity summary'!$C$14="Yes",IF(COUNTBLANK('Capacity summary'!$H37:$BG37)&lt;52,IF('Capacity summary'!AJ37&lt;&gt;"",$BI125*AJ125,0),AJ125*$BI125),AJ125*$BI125),0)</f>
        <v>0</v>
      </c>
      <c r="CN125" s="5">
        <f>IF($BI125&lt;&gt;"",IF('Capacity summary'!$C$14="Yes",IF(COUNTBLANK('Capacity summary'!$H37:$BG37)&lt;52,IF('Capacity summary'!AK37&lt;&gt;"",$BI125*AK125,0),AK125*$BI125),AK125*$BI125),0)</f>
        <v>0</v>
      </c>
      <c r="CO125" s="5">
        <f>IF($BI125&lt;&gt;"",IF('Capacity summary'!$C$14="Yes",IF(COUNTBLANK('Capacity summary'!$H37:$BG37)&lt;52,IF('Capacity summary'!AL37&lt;&gt;"",$BI125*AL125,0),AL125*$BI125),AL125*$BI125),0)</f>
        <v>0</v>
      </c>
      <c r="CP125" s="5">
        <f>IF($BI125&lt;&gt;"",IF('Capacity summary'!$C$14="Yes",IF(COUNTBLANK('Capacity summary'!$H37:$BG37)&lt;52,IF('Capacity summary'!AM37&lt;&gt;"",$BI125*AM125,0),AM125*$BI125),AM125*$BI125),0)</f>
        <v>0</v>
      </c>
      <c r="CQ125" s="5">
        <f>IF($BI125&lt;&gt;"",IF('Capacity summary'!$C$14="Yes",IF(COUNTBLANK('Capacity summary'!$H37:$BG37)&lt;52,IF('Capacity summary'!AN37&lt;&gt;"",$BI125*AN125,0),AN125*$BI125),AN125*$BI125),0)</f>
        <v>0</v>
      </c>
      <c r="CR125" s="5">
        <f>IF($BI125&lt;&gt;"",IF('Capacity summary'!$C$14="Yes",IF(COUNTBLANK('Capacity summary'!$H37:$BG37)&lt;52,IF('Capacity summary'!AO37&lt;&gt;"",$BI125*AO125,0),AO125*$BI125),AO125*$BI125),0)</f>
        <v>0</v>
      </c>
      <c r="CS125" s="5">
        <f>IF($BI125&lt;&gt;"",IF('Capacity summary'!$C$14="Yes",IF(COUNTBLANK('Capacity summary'!$H37:$BG37)&lt;52,IF('Capacity summary'!AP37&lt;&gt;"",$BI125*AP125,0),AP125*$BI125),AP125*$BI125),0)</f>
        <v>0</v>
      </c>
      <c r="CT125" s="5">
        <f>IF($BI125&lt;&gt;"",IF('Capacity summary'!$C$14="Yes",IF(COUNTBLANK('Capacity summary'!$H37:$BG37)&lt;52,IF('Capacity summary'!AQ37&lt;&gt;"",$BI125*AQ125,0),AQ125*$BI125),AQ125*$BI125),0)</f>
        <v>0</v>
      </c>
      <c r="CU125" s="5">
        <f>IF($BI125&lt;&gt;"",IF('Capacity summary'!$C$14="Yes",IF(COUNTBLANK('Capacity summary'!$H37:$BG37)&lt;52,IF('Capacity summary'!AR37&lt;&gt;"",$BI125*AR125,0),AR125*$BI125),AR125*$BI125),0)</f>
        <v>0</v>
      </c>
      <c r="CV125" s="5">
        <f>IF($BI125&lt;&gt;"",IF('Capacity summary'!$C$14="Yes",IF(COUNTBLANK('Capacity summary'!$H37:$BG37)&lt;52,IF('Capacity summary'!AS37&lt;&gt;"",$BI125*AS125,0),AS125*$BI125),AS125*$BI125),0)</f>
        <v>0</v>
      </c>
      <c r="CW125" s="5">
        <f>IF($BI125&lt;&gt;"",IF('Capacity summary'!$C$14="Yes",IF(COUNTBLANK('Capacity summary'!$H37:$BG37)&lt;52,IF('Capacity summary'!AT37&lt;&gt;"",$BI125*AT125,0),AT125*$BI125),AT125*$BI125),0)</f>
        <v>0</v>
      </c>
      <c r="CX125" s="5">
        <f>IF($BI125&lt;&gt;"",IF('Capacity summary'!$C$14="Yes",IF(COUNTBLANK('Capacity summary'!$H37:$BG37)&lt;52,IF('Capacity summary'!AU37&lt;&gt;"",$BI125*AU125,0),AU125*$BI125),AU125*$BI125),0)</f>
        <v>0</v>
      </c>
      <c r="CY125" s="5">
        <f>IF($BI125&lt;&gt;"",IF('Capacity summary'!$C$14="Yes",IF(COUNTBLANK('Capacity summary'!$H37:$BG37)&lt;52,IF('Capacity summary'!AV37&lt;&gt;"",$BI125*AV125,0),AV125*$BI125),AV125*$BI125),0)</f>
        <v>0</v>
      </c>
      <c r="CZ125" s="5">
        <f>IF($BI125&lt;&gt;"",IF('Capacity summary'!$C$14="Yes",IF(COUNTBLANK('Capacity summary'!$H37:$BG37)&lt;52,IF('Capacity summary'!AW37&lt;&gt;"",$BI125*AW125,0),AW125*$BI125),AW125*$BI125),0)</f>
        <v>0</v>
      </c>
      <c r="DA125" s="5">
        <f>IF($BI125&lt;&gt;"",IF('Capacity summary'!$C$14="Yes",IF(COUNTBLANK('Capacity summary'!$H37:$BG37)&lt;52,IF('Capacity summary'!AX37&lt;&gt;"",$BI125*AX125,0),AX125*$BI125),AX125*$BI125),0)</f>
        <v>0</v>
      </c>
      <c r="DB125" s="5">
        <f>IF($BI125&lt;&gt;"",IF('Capacity summary'!$C$14="Yes",IF(COUNTBLANK('Capacity summary'!$H37:$BG37)&lt;52,IF('Capacity summary'!AY37&lt;&gt;"",$BI125*AY125,0),AY125*$BI125),AY125*$BI125),0)</f>
        <v>0</v>
      </c>
      <c r="DC125" s="5">
        <f>IF($BI125&lt;&gt;"",IF('Capacity summary'!$C$14="Yes",IF(COUNTBLANK('Capacity summary'!$H37:$BG37)&lt;52,IF('Capacity summary'!AZ37&lt;&gt;"",$BI125*AZ125,0),AZ125*$BI125),AZ125*$BI125),0)</f>
        <v>0</v>
      </c>
      <c r="DD125" s="5">
        <f>IF($BI125&lt;&gt;"",IF('Capacity summary'!$C$14="Yes",IF(COUNTBLANK('Capacity summary'!$H37:$BG37)&lt;52,IF('Capacity summary'!BA37&lt;&gt;"",$BI125*BA125,0),BA125*$BI125),BA125*$BI125),0)</f>
        <v>0</v>
      </c>
      <c r="DE125" s="5">
        <f>IF($BI125&lt;&gt;"",IF('Capacity summary'!$C$14="Yes",IF(COUNTBLANK('Capacity summary'!$H37:$BG37)&lt;52,IF('Capacity summary'!BB37&lt;&gt;"",$BI125*BB125,0),BB125*$BI125),BB125*$BI125),0)</f>
        <v>0</v>
      </c>
      <c r="DF125" s="5">
        <f>IF($BI125&lt;&gt;"",IF('Capacity summary'!$C$14="Yes",IF(COUNTBLANK('Capacity summary'!$H37:$BG37)&lt;52,IF('Capacity summary'!BC37&lt;&gt;"",$BI125*BC125,0),BC125*$BI125),BC125*$BI125),0)</f>
        <v>0</v>
      </c>
      <c r="DG125" s="5">
        <f>IF($BI125&lt;&gt;"",IF('Capacity summary'!$C$14="Yes",IF(COUNTBLANK('Capacity summary'!$H37:$BG37)&lt;52,IF('Capacity summary'!BD37&lt;&gt;"",$BI125*BD125,0),BD125*$BI125),BD125*$BI125),0)</f>
        <v>0</v>
      </c>
      <c r="DH125" s="5">
        <f>IF($BI125&lt;&gt;"",IF('Capacity summary'!$C$14="Yes",IF(COUNTBLANK('Capacity summary'!$H37:$BG37)&lt;52,IF('Capacity summary'!BE37&lt;&gt;"",$BI125*BE125,0),BE125*$BI125),BE125*$BI125),0)</f>
        <v>0</v>
      </c>
      <c r="DI125" s="5">
        <f>IF($BI125&lt;&gt;"",IF('Capacity summary'!$C$14="Yes",IF(COUNTBLANK('Capacity summary'!$H37:$BG37)&lt;52,IF('Capacity summary'!BF37&lt;&gt;"",$BI125*BF125,0),BF125*$BI125),BF125*$BI125),0)</f>
        <v>0</v>
      </c>
      <c r="DJ125" s="5">
        <f>IF($BI125&lt;&gt;"",IF('Capacity summary'!$C$14="Yes",IF(COUNTBLANK('Capacity summary'!$H37:$BG37)&lt;52,IF('Capacity summary'!BG37&lt;&gt;"",$BI125*BG125,0),BG125*$BI125),BG125*$BI125),0)</f>
        <v>0</v>
      </c>
      <c r="DK125" s="138">
        <f t="shared" si="6"/>
        <v>0</v>
      </c>
    </row>
    <row r="126" spans="3:115" x14ac:dyDescent="0.2">
      <c r="C126" s="68" t="str">
        <f>ROW(A15)&amp;". "&amp;Capacity!N31</f>
        <v xml:space="preserve">15. </v>
      </c>
      <c r="D126" s="68">
        <f>'Capacity setup'!C132</f>
        <v>0</v>
      </c>
      <c r="E126" s="68">
        <f>'Capacity setup'!D132</f>
        <v>0</v>
      </c>
      <c r="F126" s="68">
        <f>'Capacity setup'!E132</f>
        <v>0</v>
      </c>
      <c r="H126" s="68">
        <f ca="1">IF(AND(SUMIF(Capacity_Resource,$D126,'Critical resources (hide)'!U$6:U$105)+SUMIF(Capacity_Resource,$E126,'Critical resources (hide)'!U$6:U$105)+SUMIF(Capacity_Resource,$F126,'Critical resources (hide)'!U$6:U$105)&gt;0,$E$1=2),0,1)</f>
        <v>1</v>
      </c>
      <c r="I126" s="68">
        <f ca="1">IF(AND(SUMIF(Capacity_Resource,$D126,'Critical resources (hide)'!V$6:V$105)+SUMIF(Capacity_Resource,$E126,'Critical resources (hide)'!V$6:V$105)+SUMIF(Capacity_Resource,$F126,'Critical resources (hide)'!V$6:V$105)&gt;0,$E$1=2),0,1)</f>
        <v>1</v>
      </c>
      <c r="J126" s="68">
        <f ca="1">IF(AND(SUMIF(Capacity_Resource,$D126,'Critical resources (hide)'!W$6:W$105)+SUMIF(Capacity_Resource,$E126,'Critical resources (hide)'!W$6:W$105)+SUMIF(Capacity_Resource,$F126,'Critical resources (hide)'!W$6:W$105)&gt;0,$E$1=2),0,1)</f>
        <v>1</v>
      </c>
      <c r="K126" s="68">
        <f ca="1">IF(AND(SUMIF(Capacity_Resource,$D126,'Critical resources (hide)'!X$6:X$105)+SUMIF(Capacity_Resource,$E126,'Critical resources (hide)'!X$6:X$105)+SUMIF(Capacity_Resource,$F126,'Critical resources (hide)'!X$6:X$105)&gt;0,$E$1=2),0,1)</f>
        <v>1</v>
      </c>
      <c r="L126" s="68">
        <f ca="1">IF(AND(SUMIF(Capacity_Resource,$D126,'Critical resources (hide)'!Y$6:Y$105)+SUMIF(Capacity_Resource,$E126,'Critical resources (hide)'!Y$6:Y$105)+SUMIF(Capacity_Resource,$F126,'Critical resources (hide)'!Y$6:Y$105)&gt;0,$E$1=2),0,1)</f>
        <v>1</v>
      </c>
      <c r="M126" s="68">
        <f ca="1">IF(AND(SUMIF(Capacity_Resource,$D126,'Critical resources (hide)'!Z$6:Z$105)+SUMIF(Capacity_Resource,$E126,'Critical resources (hide)'!Z$6:Z$105)+SUMIF(Capacity_Resource,$F126,'Critical resources (hide)'!Z$6:Z$105)&gt;0,$E$1=2),0,1)</f>
        <v>1</v>
      </c>
      <c r="N126" s="68">
        <f ca="1">IF(AND(SUMIF(Capacity_Resource,$D126,'Critical resources (hide)'!AA$6:AA$105)+SUMIF(Capacity_Resource,$E126,'Critical resources (hide)'!AA$6:AA$105)+SUMIF(Capacity_Resource,$F126,'Critical resources (hide)'!AA$6:AA$105)&gt;0,$E$1=2),0,1)</f>
        <v>1</v>
      </c>
      <c r="O126" s="68">
        <f ca="1">IF(AND(SUMIF(Capacity_Resource,$D126,'Critical resources (hide)'!AB$6:AB$105)+SUMIF(Capacity_Resource,$E126,'Critical resources (hide)'!AB$6:AB$105)+SUMIF(Capacity_Resource,$F126,'Critical resources (hide)'!AB$6:AB$105)&gt;0,$E$1=2),0,1)</f>
        <v>1</v>
      </c>
      <c r="P126" s="68">
        <f ca="1">IF(AND(SUMIF(Capacity_Resource,$D126,'Critical resources (hide)'!AC$6:AC$105)+SUMIF(Capacity_Resource,$E126,'Critical resources (hide)'!AC$6:AC$105)+SUMIF(Capacity_Resource,$F126,'Critical resources (hide)'!AC$6:AC$105)&gt;0,$E$1=2),0,1)</f>
        <v>1</v>
      </c>
      <c r="Q126" s="68">
        <f ca="1">IF(AND(SUMIF(Capacity_Resource,$D126,'Critical resources (hide)'!AD$6:AD$105)+SUMIF(Capacity_Resource,$E126,'Critical resources (hide)'!AD$6:AD$105)+SUMIF(Capacity_Resource,$F126,'Critical resources (hide)'!AD$6:AD$105)&gt;0,$E$1=2),0,1)</f>
        <v>1</v>
      </c>
      <c r="R126" s="68">
        <f ca="1">IF(AND(SUMIF(Capacity_Resource,$D126,'Critical resources (hide)'!AE$6:AE$105)+SUMIF(Capacity_Resource,$E126,'Critical resources (hide)'!AE$6:AE$105)+SUMIF(Capacity_Resource,$F126,'Critical resources (hide)'!AE$6:AE$105)&gt;0,$E$1=2),0,1)</f>
        <v>1</v>
      </c>
      <c r="S126" s="68">
        <f ca="1">IF(AND(SUMIF(Capacity_Resource,$D126,'Critical resources (hide)'!AF$6:AF$105)+SUMIF(Capacity_Resource,$E126,'Critical resources (hide)'!AF$6:AF$105)+SUMIF(Capacity_Resource,$F126,'Critical resources (hide)'!AF$6:AF$105)&gt;0,$E$1=2),0,1)</f>
        <v>1</v>
      </c>
      <c r="T126" s="68">
        <f ca="1">IF(AND(SUMIF(Capacity_Resource,$D126,'Critical resources (hide)'!AG$6:AG$105)+SUMIF(Capacity_Resource,$E126,'Critical resources (hide)'!AG$6:AG$105)+SUMIF(Capacity_Resource,$F126,'Critical resources (hide)'!AG$6:AG$105)&gt;0,$E$1=2),0,1)</f>
        <v>1</v>
      </c>
      <c r="U126" s="68">
        <f ca="1">IF(AND(SUMIF(Capacity_Resource,$D126,'Critical resources (hide)'!AH$6:AH$105)+SUMIF(Capacity_Resource,$E126,'Critical resources (hide)'!AH$6:AH$105)+SUMIF(Capacity_Resource,$F126,'Critical resources (hide)'!AH$6:AH$105)&gt;0,$E$1=2),0,1)</f>
        <v>1</v>
      </c>
      <c r="V126" s="68">
        <f ca="1">IF(AND(SUMIF(Capacity_Resource,$D126,'Critical resources (hide)'!AI$6:AI$105)+SUMIF(Capacity_Resource,$E126,'Critical resources (hide)'!AI$6:AI$105)+SUMIF(Capacity_Resource,$F126,'Critical resources (hide)'!AI$6:AI$105)&gt;0,$E$1=2),0,1)</f>
        <v>1</v>
      </c>
      <c r="W126" s="68">
        <f ca="1">IF(AND(SUMIF(Capacity_Resource,$D126,'Critical resources (hide)'!AJ$6:AJ$105)+SUMIF(Capacity_Resource,$E126,'Critical resources (hide)'!AJ$6:AJ$105)+SUMIF(Capacity_Resource,$F126,'Critical resources (hide)'!AJ$6:AJ$105)&gt;0,$E$1=2),0,1)</f>
        <v>1</v>
      </c>
      <c r="X126" s="68">
        <f ca="1">IF(AND(SUMIF(Capacity_Resource,$D126,'Critical resources (hide)'!AK$6:AK$105)+SUMIF(Capacity_Resource,$E126,'Critical resources (hide)'!AK$6:AK$105)+SUMIF(Capacity_Resource,$F126,'Critical resources (hide)'!AK$6:AK$105)&gt;0,$E$1=2),0,1)</f>
        <v>1</v>
      </c>
      <c r="Y126" s="68">
        <f ca="1">IF(AND(SUMIF(Capacity_Resource,$D126,'Critical resources (hide)'!AL$6:AL$105)+SUMIF(Capacity_Resource,$E126,'Critical resources (hide)'!AL$6:AL$105)+SUMIF(Capacity_Resource,$F126,'Critical resources (hide)'!AL$6:AL$105)&gt;0,$E$1=2),0,1)</f>
        <v>1</v>
      </c>
      <c r="Z126" s="68">
        <f ca="1">IF(AND(SUMIF(Capacity_Resource,$D126,'Critical resources (hide)'!AM$6:AM$105)+SUMIF(Capacity_Resource,$E126,'Critical resources (hide)'!AM$6:AM$105)+SUMIF(Capacity_Resource,$F126,'Critical resources (hide)'!AM$6:AM$105)&gt;0,$E$1=2),0,1)</f>
        <v>1</v>
      </c>
      <c r="AA126" s="68">
        <f ca="1">IF(AND(SUMIF(Capacity_Resource,$D126,'Critical resources (hide)'!AN$6:AN$105)+SUMIF(Capacity_Resource,$E126,'Critical resources (hide)'!AN$6:AN$105)+SUMIF(Capacity_Resource,$F126,'Critical resources (hide)'!AN$6:AN$105)&gt;0,$E$1=2),0,1)</f>
        <v>1</v>
      </c>
      <c r="AB126" s="68">
        <f ca="1">IF(AND(SUMIF(Capacity_Resource,$D126,'Critical resources (hide)'!AO$6:AO$105)+SUMIF(Capacity_Resource,$E126,'Critical resources (hide)'!AO$6:AO$105)+SUMIF(Capacity_Resource,$F126,'Critical resources (hide)'!AO$6:AO$105)&gt;0,$E$1=2),0,1)</f>
        <v>1</v>
      </c>
      <c r="AC126" s="68">
        <f ca="1">IF(AND(SUMIF(Capacity_Resource,$D126,'Critical resources (hide)'!AP$6:AP$105)+SUMIF(Capacity_Resource,$E126,'Critical resources (hide)'!AP$6:AP$105)+SUMIF(Capacity_Resource,$F126,'Critical resources (hide)'!AP$6:AP$105)&gt;0,$E$1=2),0,1)</f>
        <v>1</v>
      </c>
      <c r="AD126" s="68">
        <f ca="1">IF(AND(SUMIF(Capacity_Resource,$D126,'Critical resources (hide)'!AQ$6:AQ$105)+SUMIF(Capacity_Resource,$E126,'Critical resources (hide)'!AQ$6:AQ$105)+SUMIF(Capacity_Resource,$F126,'Critical resources (hide)'!AQ$6:AQ$105)&gt;0,$E$1=2),0,1)</f>
        <v>1</v>
      </c>
      <c r="AE126" s="68">
        <f ca="1">IF(AND(SUMIF(Capacity_Resource,$D126,'Critical resources (hide)'!AR$6:AR$105)+SUMIF(Capacity_Resource,$E126,'Critical resources (hide)'!AR$6:AR$105)+SUMIF(Capacity_Resource,$F126,'Critical resources (hide)'!AR$6:AR$105)&gt;0,$E$1=2),0,1)</f>
        <v>1</v>
      </c>
      <c r="AF126" s="68">
        <f ca="1">IF(AND(SUMIF(Capacity_Resource,$D126,'Critical resources (hide)'!AS$6:AS$105)+SUMIF(Capacity_Resource,$E126,'Critical resources (hide)'!AS$6:AS$105)+SUMIF(Capacity_Resource,$F126,'Critical resources (hide)'!AS$6:AS$105)&gt;0,$E$1=2),0,1)</f>
        <v>1</v>
      </c>
      <c r="AG126" s="68">
        <f ca="1">IF(AND(SUMIF(Capacity_Resource,$D126,'Critical resources (hide)'!AT$6:AT$105)+SUMIF(Capacity_Resource,$E126,'Critical resources (hide)'!AT$6:AT$105)+SUMIF(Capacity_Resource,$F126,'Critical resources (hide)'!AT$6:AT$105)&gt;0,$E$1=2),0,1)</f>
        <v>1</v>
      </c>
      <c r="AH126" s="68">
        <f ca="1">IF(AND(SUMIF(Capacity_Resource,$D126,'Critical resources (hide)'!AU$6:AU$105)+SUMIF(Capacity_Resource,$E126,'Critical resources (hide)'!AU$6:AU$105)+SUMIF(Capacity_Resource,$F126,'Critical resources (hide)'!AU$6:AU$105)&gt;0,$E$1=2),0,1)</f>
        <v>1</v>
      </c>
      <c r="AI126" s="68">
        <f ca="1">IF(AND(SUMIF(Capacity_Resource,$D126,'Critical resources (hide)'!AV$6:AV$105)+SUMIF(Capacity_Resource,$E126,'Critical resources (hide)'!AV$6:AV$105)+SUMIF(Capacity_Resource,$F126,'Critical resources (hide)'!AV$6:AV$105)&gt;0,$E$1=2),0,1)</f>
        <v>1</v>
      </c>
      <c r="AJ126" s="68">
        <f ca="1">IF(AND(SUMIF(Capacity_Resource,$D126,'Critical resources (hide)'!AW$6:AW$105)+SUMIF(Capacity_Resource,$E126,'Critical resources (hide)'!AW$6:AW$105)+SUMIF(Capacity_Resource,$F126,'Critical resources (hide)'!AW$6:AW$105)&gt;0,$E$1=2),0,1)</f>
        <v>1</v>
      </c>
      <c r="AK126" s="68">
        <f ca="1">IF(AND(SUMIF(Capacity_Resource,$D126,'Critical resources (hide)'!AX$6:AX$105)+SUMIF(Capacity_Resource,$E126,'Critical resources (hide)'!AX$6:AX$105)+SUMIF(Capacity_Resource,$F126,'Critical resources (hide)'!AX$6:AX$105)&gt;0,$E$1=2),0,1)</f>
        <v>1</v>
      </c>
      <c r="AL126" s="68">
        <f ca="1">IF(AND(SUMIF(Capacity_Resource,$D126,'Critical resources (hide)'!AY$6:AY$105)+SUMIF(Capacity_Resource,$E126,'Critical resources (hide)'!AY$6:AY$105)+SUMIF(Capacity_Resource,$F126,'Critical resources (hide)'!AY$6:AY$105)&gt;0,$E$1=2),0,1)</f>
        <v>1</v>
      </c>
      <c r="AM126" s="68">
        <f ca="1">IF(AND(SUMIF(Capacity_Resource,$D126,'Critical resources (hide)'!AZ$6:AZ$105)+SUMIF(Capacity_Resource,$E126,'Critical resources (hide)'!AZ$6:AZ$105)+SUMIF(Capacity_Resource,$F126,'Critical resources (hide)'!AZ$6:AZ$105)&gt;0,$E$1=2),0,1)</f>
        <v>1</v>
      </c>
      <c r="AN126" s="68">
        <f ca="1">IF(AND(SUMIF(Capacity_Resource,$D126,'Critical resources (hide)'!BA$6:BA$105)+SUMIF(Capacity_Resource,$E126,'Critical resources (hide)'!BA$6:BA$105)+SUMIF(Capacity_Resource,$F126,'Critical resources (hide)'!BA$6:BA$105)&gt;0,$E$1=2),0,1)</f>
        <v>1</v>
      </c>
      <c r="AO126" s="68">
        <f ca="1">IF(AND(SUMIF(Capacity_Resource,$D126,'Critical resources (hide)'!BB$6:BB$105)+SUMIF(Capacity_Resource,$E126,'Critical resources (hide)'!BB$6:BB$105)+SUMIF(Capacity_Resource,$F126,'Critical resources (hide)'!BB$6:BB$105)&gt;0,$E$1=2),0,1)</f>
        <v>1</v>
      </c>
      <c r="AP126" s="68">
        <f ca="1">IF(AND(SUMIF(Capacity_Resource,$D126,'Critical resources (hide)'!BC$6:BC$105)+SUMIF(Capacity_Resource,$E126,'Critical resources (hide)'!BC$6:BC$105)+SUMIF(Capacity_Resource,$F126,'Critical resources (hide)'!BC$6:BC$105)&gt;0,$E$1=2),0,1)</f>
        <v>1</v>
      </c>
      <c r="AQ126" s="68">
        <f ca="1">IF(AND(SUMIF(Capacity_Resource,$D126,'Critical resources (hide)'!BD$6:BD$105)+SUMIF(Capacity_Resource,$E126,'Critical resources (hide)'!BD$6:BD$105)+SUMIF(Capacity_Resource,$F126,'Critical resources (hide)'!BD$6:BD$105)&gt;0,$E$1=2),0,1)</f>
        <v>1</v>
      </c>
      <c r="AR126" s="68">
        <f ca="1">IF(AND(SUMIF(Capacity_Resource,$D126,'Critical resources (hide)'!BE$6:BE$105)+SUMIF(Capacity_Resource,$E126,'Critical resources (hide)'!BE$6:BE$105)+SUMIF(Capacity_Resource,$F126,'Critical resources (hide)'!BE$6:BE$105)&gt;0,$E$1=2),0,1)</f>
        <v>1</v>
      </c>
      <c r="AS126" s="68">
        <f ca="1">IF(AND(SUMIF(Capacity_Resource,$D126,'Critical resources (hide)'!BF$6:BF$105)+SUMIF(Capacity_Resource,$E126,'Critical resources (hide)'!BF$6:BF$105)+SUMIF(Capacity_Resource,$F126,'Critical resources (hide)'!BF$6:BF$105)&gt;0,$E$1=2),0,1)</f>
        <v>1</v>
      </c>
      <c r="AT126" s="68">
        <f ca="1">IF(AND(SUMIF(Capacity_Resource,$D126,'Critical resources (hide)'!BG$6:BG$105)+SUMIF(Capacity_Resource,$E126,'Critical resources (hide)'!BG$6:BG$105)+SUMIF(Capacity_Resource,$F126,'Critical resources (hide)'!BG$6:BG$105)&gt;0,$E$1=2),0,1)</f>
        <v>1</v>
      </c>
      <c r="AU126" s="68">
        <f ca="1">IF(AND(SUMIF(Capacity_Resource,$D126,'Critical resources (hide)'!BH$6:BH$105)+SUMIF(Capacity_Resource,$E126,'Critical resources (hide)'!BH$6:BH$105)+SUMIF(Capacity_Resource,$F126,'Critical resources (hide)'!BH$6:BH$105)&gt;0,$E$1=2),0,1)</f>
        <v>1</v>
      </c>
      <c r="AV126" s="68">
        <f ca="1">IF(AND(SUMIF(Capacity_Resource,$D126,'Critical resources (hide)'!BI$6:BI$105)+SUMIF(Capacity_Resource,$E126,'Critical resources (hide)'!BI$6:BI$105)+SUMIF(Capacity_Resource,$F126,'Critical resources (hide)'!BI$6:BI$105)&gt;0,$E$1=2),0,1)</f>
        <v>1</v>
      </c>
      <c r="AW126" s="68">
        <f ca="1">IF(AND(SUMIF(Capacity_Resource,$D126,'Critical resources (hide)'!BJ$6:BJ$105)+SUMIF(Capacity_Resource,$E126,'Critical resources (hide)'!BJ$6:BJ$105)+SUMIF(Capacity_Resource,$F126,'Critical resources (hide)'!BJ$6:BJ$105)&gt;0,$E$1=2),0,1)</f>
        <v>1</v>
      </c>
      <c r="AX126" s="68">
        <f ca="1">IF(AND(SUMIF(Capacity_Resource,$D126,'Critical resources (hide)'!BK$6:BK$105)+SUMIF(Capacity_Resource,$E126,'Critical resources (hide)'!BK$6:BK$105)+SUMIF(Capacity_Resource,$F126,'Critical resources (hide)'!BK$6:BK$105)&gt;0,$E$1=2),0,1)</f>
        <v>1</v>
      </c>
      <c r="AY126" s="68">
        <f ca="1">IF(AND(SUMIF(Capacity_Resource,$D126,'Critical resources (hide)'!BL$6:BL$105)+SUMIF(Capacity_Resource,$E126,'Critical resources (hide)'!BL$6:BL$105)+SUMIF(Capacity_Resource,$F126,'Critical resources (hide)'!BL$6:BL$105)&gt;0,$E$1=2),0,1)</f>
        <v>1</v>
      </c>
      <c r="AZ126" s="68">
        <f ca="1">IF(AND(SUMIF(Capacity_Resource,$D126,'Critical resources (hide)'!BM$6:BM$105)+SUMIF(Capacity_Resource,$E126,'Critical resources (hide)'!BM$6:BM$105)+SUMIF(Capacity_Resource,$F126,'Critical resources (hide)'!BM$6:BM$105)&gt;0,$E$1=2),0,1)</f>
        <v>1</v>
      </c>
      <c r="BA126" s="68">
        <f ca="1">IF(AND(SUMIF(Capacity_Resource,$D126,'Critical resources (hide)'!BN$6:BN$105)+SUMIF(Capacity_Resource,$E126,'Critical resources (hide)'!BN$6:BN$105)+SUMIF(Capacity_Resource,$F126,'Critical resources (hide)'!BN$6:BN$105)&gt;0,$E$1=2),0,1)</f>
        <v>1</v>
      </c>
      <c r="BB126" s="68">
        <f ca="1">IF(AND(SUMIF(Capacity_Resource,$D126,'Critical resources (hide)'!BO$6:BO$105)+SUMIF(Capacity_Resource,$E126,'Critical resources (hide)'!BO$6:BO$105)+SUMIF(Capacity_Resource,$F126,'Critical resources (hide)'!BO$6:BO$105)&gt;0,$E$1=2),0,1)</f>
        <v>1</v>
      </c>
      <c r="BC126" s="68">
        <f ca="1">IF(AND(SUMIF(Capacity_Resource,$D126,'Critical resources (hide)'!BP$6:BP$105)+SUMIF(Capacity_Resource,$E126,'Critical resources (hide)'!BP$6:BP$105)+SUMIF(Capacity_Resource,$F126,'Critical resources (hide)'!BP$6:BP$105)&gt;0,$E$1=2),0,1)</f>
        <v>1</v>
      </c>
      <c r="BD126" s="68">
        <f ca="1">IF(AND(SUMIF(Capacity_Resource,$D126,'Critical resources (hide)'!BQ$6:BQ$105)+SUMIF(Capacity_Resource,$E126,'Critical resources (hide)'!BQ$6:BQ$105)+SUMIF(Capacity_Resource,$F126,'Critical resources (hide)'!BQ$6:BQ$105)&gt;0,$E$1=2),0,1)</f>
        <v>1</v>
      </c>
      <c r="BE126" s="68">
        <f ca="1">IF(AND(SUMIF(Capacity_Resource,$D126,'Critical resources (hide)'!BR$6:BR$105)+SUMIF(Capacity_Resource,$E126,'Critical resources (hide)'!BR$6:BR$105)+SUMIF(Capacity_Resource,$F126,'Critical resources (hide)'!BR$6:BR$105)&gt;0,$E$1=2),0,1)</f>
        <v>1</v>
      </c>
      <c r="BF126" s="68">
        <f ca="1">IF(AND(SUMIF(Capacity_Resource,$D126,'Critical resources (hide)'!BS$6:BS$105)+SUMIF(Capacity_Resource,$E126,'Critical resources (hide)'!BS$6:BS$105)+SUMIF(Capacity_Resource,$F126,'Critical resources (hide)'!BS$6:BS$105)&gt;0,$E$1=2),0,1)</f>
        <v>1</v>
      </c>
      <c r="BG126" s="68">
        <f ca="1">IF(AND(SUMIF(Capacity_Resource,$D126,'Critical resources (hide)'!BT$6:BT$105)+SUMIF(Capacity_Resource,$E126,'Critical resources (hide)'!BT$6:BT$105)+SUMIF(Capacity_Resource,$F126,'Critical resources (hide)'!BT$6:BT$105)&gt;0,$E$1=2),0,1)</f>
        <v>1</v>
      </c>
      <c r="BH126" s="68">
        <f>IF(ROW(A15)&lt;=Capacity!$M$16,IF('Capacity summary'!$C$14="No",SUM(H126:BG126),'Capacity summary'!$E38),0)</f>
        <v>0</v>
      </c>
      <c r="BI126" s="68" t="str">
        <f>IF(BH126&gt;0,IF(BH126&lt;Capacity!Q31,Capacity!R31,Capacity!T31/'Capacity calculation (hide)'!BH126),"")</f>
        <v/>
      </c>
      <c r="BJ126" s="5"/>
      <c r="BK126" s="5">
        <f>IF($BI126&lt;&gt;"",IF('Capacity summary'!$C$14="Yes",IF(COUNTBLANK('Capacity summary'!$H38:$BG38)&lt;52,IF('Capacity summary'!H38&lt;&gt;"",$BI126*H126,0),H126*$BI126),H126*$BI126),0)</f>
        <v>0</v>
      </c>
      <c r="BL126" s="5">
        <f>IF($BI126&lt;&gt;"",IF('Capacity summary'!$C$14="Yes",IF(COUNTBLANK('Capacity summary'!$H38:$BG38)&lt;52,IF('Capacity summary'!I38&lt;&gt;"",$BI126*I126,0),I126*$BI126),I126*$BI126),0)</f>
        <v>0</v>
      </c>
      <c r="BM126" s="5">
        <f>IF($BI126&lt;&gt;"",IF('Capacity summary'!$C$14="Yes",IF(COUNTBLANK('Capacity summary'!$H38:$BG38)&lt;52,IF('Capacity summary'!J38&lt;&gt;"",$BI126*J126,0),J126*$BI126),J126*$BI126),0)</f>
        <v>0</v>
      </c>
      <c r="BN126" s="5">
        <f>IF($BI126&lt;&gt;"",IF('Capacity summary'!$C$14="Yes",IF(COUNTBLANK('Capacity summary'!$H38:$BG38)&lt;52,IF('Capacity summary'!K38&lt;&gt;"",$BI126*K126,0),K126*$BI126),K126*$BI126),0)</f>
        <v>0</v>
      </c>
      <c r="BO126" s="5">
        <f>IF($BI126&lt;&gt;"",IF('Capacity summary'!$C$14="Yes",IF(COUNTBLANK('Capacity summary'!$H38:$BG38)&lt;52,IF('Capacity summary'!L38&lt;&gt;"",$BI126*L126,0),L126*$BI126),L126*$BI126),0)</f>
        <v>0</v>
      </c>
      <c r="BP126" s="5">
        <f>IF($BI126&lt;&gt;"",IF('Capacity summary'!$C$14="Yes",IF(COUNTBLANK('Capacity summary'!$H38:$BG38)&lt;52,IF('Capacity summary'!M38&lt;&gt;"",$BI126*M126,0),M126*$BI126),M126*$BI126),0)</f>
        <v>0</v>
      </c>
      <c r="BQ126" s="5">
        <f>IF($BI126&lt;&gt;"",IF('Capacity summary'!$C$14="Yes",IF(COUNTBLANK('Capacity summary'!$H38:$BG38)&lt;52,IF('Capacity summary'!N38&lt;&gt;"",$BI126*N126,0),N126*$BI126),N126*$BI126),0)</f>
        <v>0</v>
      </c>
      <c r="BR126" s="5">
        <f>IF($BI126&lt;&gt;"",IF('Capacity summary'!$C$14="Yes",IF(COUNTBLANK('Capacity summary'!$H38:$BG38)&lt;52,IF('Capacity summary'!O38&lt;&gt;"",$BI126*O126,0),O126*$BI126),O126*$BI126),0)</f>
        <v>0</v>
      </c>
      <c r="BS126" s="5">
        <f>IF($BI126&lt;&gt;"",IF('Capacity summary'!$C$14="Yes",IF(COUNTBLANK('Capacity summary'!$H38:$BG38)&lt;52,IF('Capacity summary'!P38&lt;&gt;"",$BI126*P126,0),P126*$BI126),P126*$BI126),0)</f>
        <v>0</v>
      </c>
      <c r="BT126" s="5">
        <f>IF($BI126&lt;&gt;"",IF('Capacity summary'!$C$14="Yes",IF(COUNTBLANK('Capacity summary'!$H38:$BG38)&lt;52,IF('Capacity summary'!Q38&lt;&gt;"",$BI126*Q126,0),Q126*$BI126),Q126*$BI126),0)</f>
        <v>0</v>
      </c>
      <c r="BU126" s="5">
        <f>IF($BI126&lt;&gt;"",IF('Capacity summary'!$C$14="Yes",IF(COUNTBLANK('Capacity summary'!$H38:$BG38)&lt;52,IF('Capacity summary'!R38&lt;&gt;"",$BI126*R126,0),R126*$BI126),R126*$BI126),0)</f>
        <v>0</v>
      </c>
      <c r="BV126" s="5">
        <f>IF($BI126&lt;&gt;"",IF('Capacity summary'!$C$14="Yes",IF(COUNTBLANK('Capacity summary'!$H38:$BG38)&lt;52,IF('Capacity summary'!S38&lt;&gt;"",$BI126*S126,0),S126*$BI126),S126*$BI126),0)</f>
        <v>0</v>
      </c>
      <c r="BW126" s="5">
        <f>IF($BI126&lt;&gt;"",IF('Capacity summary'!$C$14="Yes",IF(COUNTBLANK('Capacity summary'!$H38:$BG38)&lt;52,IF('Capacity summary'!T38&lt;&gt;"",$BI126*T126,0),T126*$BI126),T126*$BI126),0)</f>
        <v>0</v>
      </c>
      <c r="BX126" s="5">
        <f>IF($BI126&lt;&gt;"",IF('Capacity summary'!$C$14="Yes",IF(COUNTBLANK('Capacity summary'!$H38:$BG38)&lt;52,IF('Capacity summary'!U38&lt;&gt;"",$BI126*U126,0),U126*$BI126),U126*$BI126),0)</f>
        <v>0</v>
      </c>
      <c r="BY126" s="5">
        <f>IF($BI126&lt;&gt;"",IF('Capacity summary'!$C$14="Yes",IF(COUNTBLANK('Capacity summary'!$H38:$BG38)&lt;52,IF('Capacity summary'!V38&lt;&gt;"",$BI126*V126,0),V126*$BI126),V126*$BI126),0)</f>
        <v>0</v>
      </c>
      <c r="BZ126" s="5">
        <f>IF($BI126&lt;&gt;"",IF('Capacity summary'!$C$14="Yes",IF(COUNTBLANK('Capacity summary'!$H38:$BG38)&lt;52,IF('Capacity summary'!W38&lt;&gt;"",$BI126*W126,0),W126*$BI126),W126*$BI126),0)</f>
        <v>0</v>
      </c>
      <c r="CA126" s="5">
        <f>IF($BI126&lt;&gt;"",IF('Capacity summary'!$C$14="Yes",IF(COUNTBLANK('Capacity summary'!$H38:$BG38)&lt;52,IF('Capacity summary'!X38&lt;&gt;"",$BI126*X126,0),X126*$BI126),X126*$BI126),0)</f>
        <v>0</v>
      </c>
      <c r="CB126" s="5">
        <f>IF($BI126&lt;&gt;"",IF('Capacity summary'!$C$14="Yes",IF(COUNTBLANK('Capacity summary'!$H38:$BG38)&lt;52,IF('Capacity summary'!Y38&lt;&gt;"",$BI126*Y126,0),Y126*$BI126),Y126*$BI126),0)</f>
        <v>0</v>
      </c>
      <c r="CC126" s="5">
        <f>IF($BI126&lt;&gt;"",IF('Capacity summary'!$C$14="Yes",IF(COUNTBLANK('Capacity summary'!$H38:$BG38)&lt;52,IF('Capacity summary'!Z38&lt;&gt;"",$BI126*Z126,0),Z126*$BI126),Z126*$BI126),0)</f>
        <v>0</v>
      </c>
      <c r="CD126" s="5">
        <f>IF($BI126&lt;&gt;"",IF('Capacity summary'!$C$14="Yes",IF(COUNTBLANK('Capacity summary'!$H38:$BG38)&lt;52,IF('Capacity summary'!AA38&lt;&gt;"",$BI126*AA126,0),AA126*$BI126),AA126*$BI126),0)</f>
        <v>0</v>
      </c>
      <c r="CE126" s="5">
        <f>IF($BI126&lt;&gt;"",IF('Capacity summary'!$C$14="Yes",IF(COUNTBLANK('Capacity summary'!$H38:$BG38)&lt;52,IF('Capacity summary'!AB38&lt;&gt;"",$BI126*AB126,0),AB126*$BI126),AB126*$BI126),0)</f>
        <v>0</v>
      </c>
      <c r="CF126" s="5">
        <f>IF($BI126&lt;&gt;"",IF('Capacity summary'!$C$14="Yes",IF(COUNTBLANK('Capacity summary'!$H38:$BG38)&lt;52,IF('Capacity summary'!AC38&lt;&gt;"",$BI126*AC126,0),AC126*$BI126),AC126*$BI126),0)</f>
        <v>0</v>
      </c>
      <c r="CG126" s="5">
        <f>IF($BI126&lt;&gt;"",IF('Capacity summary'!$C$14="Yes",IF(COUNTBLANK('Capacity summary'!$H38:$BG38)&lt;52,IF('Capacity summary'!AD38&lt;&gt;"",$BI126*AD126,0),AD126*$BI126),AD126*$BI126),0)</f>
        <v>0</v>
      </c>
      <c r="CH126" s="5">
        <f>IF($BI126&lt;&gt;"",IF('Capacity summary'!$C$14="Yes",IF(COUNTBLANK('Capacity summary'!$H38:$BG38)&lt;52,IF('Capacity summary'!AE38&lt;&gt;"",$BI126*AE126,0),AE126*$BI126),AE126*$BI126),0)</f>
        <v>0</v>
      </c>
      <c r="CI126" s="5">
        <f>IF($BI126&lt;&gt;"",IF('Capacity summary'!$C$14="Yes",IF(COUNTBLANK('Capacity summary'!$H38:$BG38)&lt;52,IF('Capacity summary'!AF38&lt;&gt;"",$BI126*AF126,0),AF126*$BI126),AF126*$BI126),0)</f>
        <v>0</v>
      </c>
      <c r="CJ126" s="5">
        <f>IF($BI126&lt;&gt;"",IF('Capacity summary'!$C$14="Yes",IF(COUNTBLANK('Capacity summary'!$H38:$BG38)&lt;52,IF('Capacity summary'!AG38&lt;&gt;"",$BI126*AG126,0),AG126*$BI126),AG126*$BI126),0)</f>
        <v>0</v>
      </c>
      <c r="CK126" s="5">
        <f>IF($BI126&lt;&gt;"",IF('Capacity summary'!$C$14="Yes",IF(COUNTBLANK('Capacity summary'!$H38:$BG38)&lt;52,IF('Capacity summary'!AH38&lt;&gt;"",$BI126*AH126,0),AH126*$BI126),AH126*$BI126),0)</f>
        <v>0</v>
      </c>
      <c r="CL126" s="5">
        <f>IF($BI126&lt;&gt;"",IF('Capacity summary'!$C$14="Yes",IF(COUNTBLANK('Capacity summary'!$H38:$BG38)&lt;52,IF('Capacity summary'!AI38&lt;&gt;"",$BI126*AI126,0),AI126*$BI126),AI126*$BI126),0)</f>
        <v>0</v>
      </c>
      <c r="CM126" s="5">
        <f>IF($BI126&lt;&gt;"",IF('Capacity summary'!$C$14="Yes",IF(COUNTBLANK('Capacity summary'!$H38:$BG38)&lt;52,IF('Capacity summary'!AJ38&lt;&gt;"",$BI126*AJ126,0),AJ126*$BI126),AJ126*$BI126),0)</f>
        <v>0</v>
      </c>
      <c r="CN126" s="5">
        <f>IF($BI126&lt;&gt;"",IF('Capacity summary'!$C$14="Yes",IF(COUNTBLANK('Capacity summary'!$H38:$BG38)&lt;52,IF('Capacity summary'!AK38&lt;&gt;"",$BI126*AK126,0),AK126*$BI126),AK126*$BI126),0)</f>
        <v>0</v>
      </c>
      <c r="CO126" s="5">
        <f>IF($BI126&lt;&gt;"",IF('Capacity summary'!$C$14="Yes",IF(COUNTBLANK('Capacity summary'!$H38:$BG38)&lt;52,IF('Capacity summary'!AL38&lt;&gt;"",$BI126*AL126,0),AL126*$BI126),AL126*$BI126),0)</f>
        <v>0</v>
      </c>
      <c r="CP126" s="5">
        <f>IF($BI126&lt;&gt;"",IF('Capacity summary'!$C$14="Yes",IF(COUNTBLANK('Capacity summary'!$H38:$BG38)&lt;52,IF('Capacity summary'!AM38&lt;&gt;"",$BI126*AM126,0),AM126*$BI126),AM126*$BI126),0)</f>
        <v>0</v>
      </c>
      <c r="CQ126" s="5">
        <f>IF($BI126&lt;&gt;"",IF('Capacity summary'!$C$14="Yes",IF(COUNTBLANK('Capacity summary'!$H38:$BG38)&lt;52,IF('Capacity summary'!AN38&lt;&gt;"",$BI126*AN126,0),AN126*$BI126),AN126*$BI126),0)</f>
        <v>0</v>
      </c>
      <c r="CR126" s="5">
        <f>IF($BI126&lt;&gt;"",IF('Capacity summary'!$C$14="Yes",IF(COUNTBLANK('Capacity summary'!$H38:$BG38)&lt;52,IF('Capacity summary'!AO38&lt;&gt;"",$BI126*AO126,0),AO126*$BI126),AO126*$BI126),0)</f>
        <v>0</v>
      </c>
      <c r="CS126" s="5">
        <f>IF($BI126&lt;&gt;"",IF('Capacity summary'!$C$14="Yes",IF(COUNTBLANK('Capacity summary'!$H38:$BG38)&lt;52,IF('Capacity summary'!AP38&lt;&gt;"",$BI126*AP126,0),AP126*$BI126),AP126*$BI126),0)</f>
        <v>0</v>
      </c>
      <c r="CT126" s="5">
        <f>IF($BI126&lt;&gt;"",IF('Capacity summary'!$C$14="Yes",IF(COUNTBLANK('Capacity summary'!$H38:$BG38)&lt;52,IF('Capacity summary'!AQ38&lt;&gt;"",$BI126*AQ126,0),AQ126*$BI126),AQ126*$BI126),0)</f>
        <v>0</v>
      </c>
      <c r="CU126" s="5">
        <f>IF($BI126&lt;&gt;"",IF('Capacity summary'!$C$14="Yes",IF(COUNTBLANK('Capacity summary'!$H38:$BG38)&lt;52,IF('Capacity summary'!AR38&lt;&gt;"",$BI126*AR126,0),AR126*$BI126),AR126*$BI126),0)</f>
        <v>0</v>
      </c>
      <c r="CV126" s="5">
        <f>IF($BI126&lt;&gt;"",IF('Capacity summary'!$C$14="Yes",IF(COUNTBLANK('Capacity summary'!$H38:$BG38)&lt;52,IF('Capacity summary'!AS38&lt;&gt;"",$BI126*AS126,0),AS126*$BI126),AS126*$BI126),0)</f>
        <v>0</v>
      </c>
      <c r="CW126" s="5">
        <f>IF($BI126&lt;&gt;"",IF('Capacity summary'!$C$14="Yes",IF(COUNTBLANK('Capacity summary'!$H38:$BG38)&lt;52,IF('Capacity summary'!AT38&lt;&gt;"",$BI126*AT126,0),AT126*$BI126),AT126*$BI126),0)</f>
        <v>0</v>
      </c>
      <c r="CX126" s="5">
        <f>IF($BI126&lt;&gt;"",IF('Capacity summary'!$C$14="Yes",IF(COUNTBLANK('Capacity summary'!$H38:$BG38)&lt;52,IF('Capacity summary'!AU38&lt;&gt;"",$BI126*AU126,0),AU126*$BI126),AU126*$BI126),0)</f>
        <v>0</v>
      </c>
      <c r="CY126" s="5">
        <f>IF($BI126&lt;&gt;"",IF('Capacity summary'!$C$14="Yes",IF(COUNTBLANK('Capacity summary'!$H38:$BG38)&lt;52,IF('Capacity summary'!AV38&lt;&gt;"",$BI126*AV126,0),AV126*$BI126),AV126*$BI126),0)</f>
        <v>0</v>
      </c>
      <c r="CZ126" s="5">
        <f>IF($BI126&lt;&gt;"",IF('Capacity summary'!$C$14="Yes",IF(COUNTBLANK('Capacity summary'!$H38:$BG38)&lt;52,IF('Capacity summary'!AW38&lt;&gt;"",$BI126*AW126,0),AW126*$BI126),AW126*$BI126),0)</f>
        <v>0</v>
      </c>
      <c r="DA126" s="5">
        <f>IF($BI126&lt;&gt;"",IF('Capacity summary'!$C$14="Yes",IF(COUNTBLANK('Capacity summary'!$H38:$BG38)&lt;52,IF('Capacity summary'!AX38&lt;&gt;"",$BI126*AX126,0),AX126*$BI126),AX126*$BI126),0)</f>
        <v>0</v>
      </c>
      <c r="DB126" s="5">
        <f>IF($BI126&lt;&gt;"",IF('Capacity summary'!$C$14="Yes",IF(COUNTBLANK('Capacity summary'!$H38:$BG38)&lt;52,IF('Capacity summary'!AY38&lt;&gt;"",$BI126*AY126,0),AY126*$BI126),AY126*$BI126),0)</f>
        <v>0</v>
      </c>
      <c r="DC126" s="5">
        <f>IF($BI126&lt;&gt;"",IF('Capacity summary'!$C$14="Yes",IF(COUNTBLANK('Capacity summary'!$H38:$BG38)&lt;52,IF('Capacity summary'!AZ38&lt;&gt;"",$BI126*AZ126,0),AZ126*$BI126),AZ126*$BI126),0)</f>
        <v>0</v>
      </c>
      <c r="DD126" s="5">
        <f>IF($BI126&lt;&gt;"",IF('Capacity summary'!$C$14="Yes",IF(COUNTBLANK('Capacity summary'!$H38:$BG38)&lt;52,IF('Capacity summary'!BA38&lt;&gt;"",$BI126*BA126,0),BA126*$BI126),BA126*$BI126),0)</f>
        <v>0</v>
      </c>
      <c r="DE126" s="5">
        <f>IF($BI126&lt;&gt;"",IF('Capacity summary'!$C$14="Yes",IF(COUNTBLANK('Capacity summary'!$H38:$BG38)&lt;52,IF('Capacity summary'!BB38&lt;&gt;"",$BI126*BB126,0),BB126*$BI126),BB126*$BI126),0)</f>
        <v>0</v>
      </c>
      <c r="DF126" s="5">
        <f>IF($BI126&lt;&gt;"",IF('Capacity summary'!$C$14="Yes",IF(COUNTBLANK('Capacity summary'!$H38:$BG38)&lt;52,IF('Capacity summary'!BC38&lt;&gt;"",$BI126*BC126,0),BC126*$BI126),BC126*$BI126),0)</f>
        <v>0</v>
      </c>
      <c r="DG126" s="5">
        <f>IF($BI126&lt;&gt;"",IF('Capacity summary'!$C$14="Yes",IF(COUNTBLANK('Capacity summary'!$H38:$BG38)&lt;52,IF('Capacity summary'!BD38&lt;&gt;"",$BI126*BD126,0),BD126*$BI126),BD126*$BI126),0)</f>
        <v>0</v>
      </c>
      <c r="DH126" s="5">
        <f>IF($BI126&lt;&gt;"",IF('Capacity summary'!$C$14="Yes",IF(COUNTBLANK('Capacity summary'!$H38:$BG38)&lt;52,IF('Capacity summary'!BE38&lt;&gt;"",$BI126*BE126,0),BE126*$BI126),BE126*$BI126),0)</f>
        <v>0</v>
      </c>
      <c r="DI126" s="5">
        <f>IF($BI126&lt;&gt;"",IF('Capacity summary'!$C$14="Yes",IF(COUNTBLANK('Capacity summary'!$H38:$BG38)&lt;52,IF('Capacity summary'!BF38&lt;&gt;"",$BI126*BF126,0),BF126*$BI126),BF126*$BI126),0)</f>
        <v>0</v>
      </c>
      <c r="DJ126" s="5">
        <f>IF($BI126&lt;&gt;"",IF('Capacity summary'!$C$14="Yes",IF(COUNTBLANK('Capacity summary'!$H38:$BG38)&lt;52,IF('Capacity summary'!BG38&lt;&gt;"",$BI126*BG126,0),BG126*$BI126),BG126*$BI126),0)</f>
        <v>0</v>
      </c>
      <c r="DK126" s="138">
        <f t="shared" si="6"/>
        <v>0</v>
      </c>
    </row>
    <row r="127" spans="3:115" x14ac:dyDescent="0.2">
      <c r="C127" s="68" t="str">
        <f>ROW(A16)&amp;". "&amp;Capacity!N32</f>
        <v xml:space="preserve">16. </v>
      </c>
      <c r="D127" s="68">
        <f>'Capacity setup'!C133</f>
        <v>0</v>
      </c>
      <c r="E127" s="68">
        <f>'Capacity setup'!D133</f>
        <v>0</v>
      </c>
      <c r="F127" s="68">
        <f>'Capacity setup'!E133</f>
        <v>0</v>
      </c>
      <c r="H127" s="68">
        <f ca="1">IF(AND(SUMIF(Capacity_Resource,$D127,'Critical resources (hide)'!U$6:U$105)+SUMIF(Capacity_Resource,$E127,'Critical resources (hide)'!U$6:U$105)+SUMIF(Capacity_Resource,$F127,'Critical resources (hide)'!U$6:U$105)&gt;0,$E$1=2),0,1)</f>
        <v>1</v>
      </c>
      <c r="I127" s="68">
        <f ca="1">IF(AND(SUMIF(Capacity_Resource,$D127,'Critical resources (hide)'!V$6:V$105)+SUMIF(Capacity_Resource,$E127,'Critical resources (hide)'!V$6:V$105)+SUMIF(Capacity_Resource,$F127,'Critical resources (hide)'!V$6:V$105)&gt;0,$E$1=2),0,1)</f>
        <v>1</v>
      </c>
      <c r="J127" s="68">
        <f ca="1">IF(AND(SUMIF(Capacity_Resource,$D127,'Critical resources (hide)'!W$6:W$105)+SUMIF(Capacity_Resource,$E127,'Critical resources (hide)'!W$6:W$105)+SUMIF(Capacity_Resource,$F127,'Critical resources (hide)'!W$6:W$105)&gt;0,$E$1=2),0,1)</f>
        <v>1</v>
      </c>
      <c r="K127" s="68">
        <f ca="1">IF(AND(SUMIF(Capacity_Resource,$D127,'Critical resources (hide)'!X$6:X$105)+SUMIF(Capacity_Resource,$E127,'Critical resources (hide)'!X$6:X$105)+SUMIF(Capacity_Resource,$F127,'Critical resources (hide)'!X$6:X$105)&gt;0,$E$1=2),0,1)</f>
        <v>1</v>
      </c>
      <c r="L127" s="68">
        <f ca="1">IF(AND(SUMIF(Capacity_Resource,$D127,'Critical resources (hide)'!Y$6:Y$105)+SUMIF(Capacity_Resource,$E127,'Critical resources (hide)'!Y$6:Y$105)+SUMIF(Capacity_Resource,$F127,'Critical resources (hide)'!Y$6:Y$105)&gt;0,$E$1=2),0,1)</f>
        <v>1</v>
      </c>
      <c r="M127" s="68">
        <f ca="1">IF(AND(SUMIF(Capacity_Resource,$D127,'Critical resources (hide)'!Z$6:Z$105)+SUMIF(Capacity_Resource,$E127,'Critical resources (hide)'!Z$6:Z$105)+SUMIF(Capacity_Resource,$F127,'Critical resources (hide)'!Z$6:Z$105)&gt;0,$E$1=2),0,1)</f>
        <v>1</v>
      </c>
      <c r="N127" s="68">
        <f ca="1">IF(AND(SUMIF(Capacity_Resource,$D127,'Critical resources (hide)'!AA$6:AA$105)+SUMIF(Capacity_Resource,$E127,'Critical resources (hide)'!AA$6:AA$105)+SUMIF(Capacity_Resource,$F127,'Critical resources (hide)'!AA$6:AA$105)&gt;0,$E$1=2),0,1)</f>
        <v>1</v>
      </c>
      <c r="O127" s="68">
        <f ca="1">IF(AND(SUMIF(Capacity_Resource,$D127,'Critical resources (hide)'!AB$6:AB$105)+SUMIF(Capacity_Resource,$E127,'Critical resources (hide)'!AB$6:AB$105)+SUMIF(Capacity_Resource,$F127,'Critical resources (hide)'!AB$6:AB$105)&gt;0,$E$1=2),0,1)</f>
        <v>1</v>
      </c>
      <c r="P127" s="68">
        <f ca="1">IF(AND(SUMIF(Capacity_Resource,$D127,'Critical resources (hide)'!AC$6:AC$105)+SUMIF(Capacity_Resource,$E127,'Critical resources (hide)'!AC$6:AC$105)+SUMIF(Capacity_Resource,$F127,'Critical resources (hide)'!AC$6:AC$105)&gt;0,$E$1=2),0,1)</f>
        <v>1</v>
      </c>
      <c r="Q127" s="68">
        <f ca="1">IF(AND(SUMIF(Capacity_Resource,$D127,'Critical resources (hide)'!AD$6:AD$105)+SUMIF(Capacity_Resource,$E127,'Critical resources (hide)'!AD$6:AD$105)+SUMIF(Capacity_Resource,$F127,'Critical resources (hide)'!AD$6:AD$105)&gt;0,$E$1=2),0,1)</f>
        <v>1</v>
      </c>
      <c r="R127" s="68">
        <f ca="1">IF(AND(SUMIF(Capacity_Resource,$D127,'Critical resources (hide)'!AE$6:AE$105)+SUMIF(Capacity_Resource,$E127,'Critical resources (hide)'!AE$6:AE$105)+SUMIF(Capacity_Resource,$F127,'Critical resources (hide)'!AE$6:AE$105)&gt;0,$E$1=2),0,1)</f>
        <v>1</v>
      </c>
      <c r="S127" s="68">
        <f ca="1">IF(AND(SUMIF(Capacity_Resource,$D127,'Critical resources (hide)'!AF$6:AF$105)+SUMIF(Capacity_Resource,$E127,'Critical resources (hide)'!AF$6:AF$105)+SUMIF(Capacity_Resource,$F127,'Critical resources (hide)'!AF$6:AF$105)&gt;0,$E$1=2),0,1)</f>
        <v>1</v>
      </c>
      <c r="T127" s="68">
        <f ca="1">IF(AND(SUMIF(Capacity_Resource,$D127,'Critical resources (hide)'!AG$6:AG$105)+SUMIF(Capacity_Resource,$E127,'Critical resources (hide)'!AG$6:AG$105)+SUMIF(Capacity_Resource,$F127,'Critical resources (hide)'!AG$6:AG$105)&gt;0,$E$1=2),0,1)</f>
        <v>1</v>
      </c>
      <c r="U127" s="68">
        <f ca="1">IF(AND(SUMIF(Capacity_Resource,$D127,'Critical resources (hide)'!AH$6:AH$105)+SUMIF(Capacity_Resource,$E127,'Critical resources (hide)'!AH$6:AH$105)+SUMIF(Capacity_Resource,$F127,'Critical resources (hide)'!AH$6:AH$105)&gt;0,$E$1=2),0,1)</f>
        <v>1</v>
      </c>
      <c r="V127" s="68">
        <f ca="1">IF(AND(SUMIF(Capacity_Resource,$D127,'Critical resources (hide)'!AI$6:AI$105)+SUMIF(Capacity_Resource,$E127,'Critical resources (hide)'!AI$6:AI$105)+SUMIF(Capacity_Resource,$F127,'Critical resources (hide)'!AI$6:AI$105)&gt;0,$E$1=2),0,1)</f>
        <v>1</v>
      </c>
      <c r="W127" s="68">
        <f ca="1">IF(AND(SUMIF(Capacity_Resource,$D127,'Critical resources (hide)'!AJ$6:AJ$105)+SUMIF(Capacity_Resource,$E127,'Critical resources (hide)'!AJ$6:AJ$105)+SUMIF(Capacity_Resource,$F127,'Critical resources (hide)'!AJ$6:AJ$105)&gt;0,$E$1=2),0,1)</f>
        <v>1</v>
      </c>
      <c r="X127" s="68">
        <f ca="1">IF(AND(SUMIF(Capacity_Resource,$D127,'Critical resources (hide)'!AK$6:AK$105)+SUMIF(Capacity_Resource,$E127,'Critical resources (hide)'!AK$6:AK$105)+SUMIF(Capacity_Resource,$F127,'Critical resources (hide)'!AK$6:AK$105)&gt;0,$E$1=2),0,1)</f>
        <v>1</v>
      </c>
      <c r="Y127" s="68">
        <f ca="1">IF(AND(SUMIF(Capacity_Resource,$D127,'Critical resources (hide)'!AL$6:AL$105)+SUMIF(Capacity_Resource,$E127,'Critical resources (hide)'!AL$6:AL$105)+SUMIF(Capacity_Resource,$F127,'Critical resources (hide)'!AL$6:AL$105)&gt;0,$E$1=2),0,1)</f>
        <v>1</v>
      </c>
      <c r="Z127" s="68">
        <f ca="1">IF(AND(SUMIF(Capacity_Resource,$D127,'Critical resources (hide)'!AM$6:AM$105)+SUMIF(Capacity_Resource,$E127,'Critical resources (hide)'!AM$6:AM$105)+SUMIF(Capacity_Resource,$F127,'Critical resources (hide)'!AM$6:AM$105)&gt;0,$E$1=2),0,1)</f>
        <v>1</v>
      </c>
      <c r="AA127" s="68">
        <f ca="1">IF(AND(SUMIF(Capacity_Resource,$D127,'Critical resources (hide)'!AN$6:AN$105)+SUMIF(Capacity_Resource,$E127,'Critical resources (hide)'!AN$6:AN$105)+SUMIF(Capacity_Resource,$F127,'Critical resources (hide)'!AN$6:AN$105)&gt;0,$E$1=2),0,1)</f>
        <v>1</v>
      </c>
      <c r="AB127" s="68">
        <f ca="1">IF(AND(SUMIF(Capacity_Resource,$D127,'Critical resources (hide)'!AO$6:AO$105)+SUMIF(Capacity_Resource,$E127,'Critical resources (hide)'!AO$6:AO$105)+SUMIF(Capacity_Resource,$F127,'Critical resources (hide)'!AO$6:AO$105)&gt;0,$E$1=2),0,1)</f>
        <v>1</v>
      </c>
      <c r="AC127" s="68">
        <f ca="1">IF(AND(SUMIF(Capacity_Resource,$D127,'Critical resources (hide)'!AP$6:AP$105)+SUMIF(Capacity_Resource,$E127,'Critical resources (hide)'!AP$6:AP$105)+SUMIF(Capacity_Resource,$F127,'Critical resources (hide)'!AP$6:AP$105)&gt;0,$E$1=2),0,1)</f>
        <v>1</v>
      </c>
      <c r="AD127" s="68">
        <f ca="1">IF(AND(SUMIF(Capacity_Resource,$D127,'Critical resources (hide)'!AQ$6:AQ$105)+SUMIF(Capacity_Resource,$E127,'Critical resources (hide)'!AQ$6:AQ$105)+SUMIF(Capacity_Resource,$F127,'Critical resources (hide)'!AQ$6:AQ$105)&gt;0,$E$1=2),0,1)</f>
        <v>1</v>
      </c>
      <c r="AE127" s="68">
        <f ca="1">IF(AND(SUMIF(Capacity_Resource,$D127,'Critical resources (hide)'!AR$6:AR$105)+SUMIF(Capacity_Resource,$E127,'Critical resources (hide)'!AR$6:AR$105)+SUMIF(Capacity_Resource,$F127,'Critical resources (hide)'!AR$6:AR$105)&gt;0,$E$1=2),0,1)</f>
        <v>1</v>
      </c>
      <c r="AF127" s="68">
        <f ca="1">IF(AND(SUMIF(Capacity_Resource,$D127,'Critical resources (hide)'!AS$6:AS$105)+SUMIF(Capacity_Resource,$E127,'Critical resources (hide)'!AS$6:AS$105)+SUMIF(Capacity_Resource,$F127,'Critical resources (hide)'!AS$6:AS$105)&gt;0,$E$1=2),0,1)</f>
        <v>1</v>
      </c>
      <c r="AG127" s="68">
        <f ca="1">IF(AND(SUMIF(Capacity_Resource,$D127,'Critical resources (hide)'!AT$6:AT$105)+SUMIF(Capacity_Resource,$E127,'Critical resources (hide)'!AT$6:AT$105)+SUMIF(Capacity_Resource,$F127,'Critical resources (hide)'!AT$6:AT$105)&gt;0,$E$1=2),0,1)</f>
        <v>1</v>
      </c>
      <c r="AH127" s="68">
        <f ca="1">IF(AND(SUMIF(Capacity_Resource,$D127,'Critical resources (hide)'!AU$6:AU$105)+SUMIF(Capacity_Resource,$E127,'Critical resources (hide)'!AU$6:AU$105)+SUMIF(Capacity_Resource,$F127,'Critical resources (hide)'!AU$6:AU$105)&gt;0,$E$1=2),0,1)</f>
        <v>1</v>
      </c>
      <c r="AI127" s="68">
        <f ca="1">IF(AND(SUMIF(Capacity_Resource,$D127,'Critical resources (hide)'!AV$6:AV$105)+SUMIF(Capacity_Resource,$E127,'Critical resources (hide)'!AV$6:AV$105)+SUMIF(Capacity_Resource,$F127,'Critical resources (hide)'!AV$6:AV$105)&gt;0,$E$1=2),0,1)</f>
        <v>1</v>
      </c>
      <c r="AJ127" s="68">
        <f ca="1">IF(AND(SUMIF(Capacity_Resource,$D127,'Critical resources (hide)'!AW$6:AW$105)+SUMIF(Capacity_Resource,$E127,'Critical resources (hide)'!AW$6:AW$105)+SUMIF(Capacity_Resource,$F127,'Critical resources (hide)'!AW$6:AW$105)&gt;0,$E$1=2),0,1)</f>
        <v>1</v>
      </c>
      <c r="AK127" s="68">
        <f ca="1">IF(AND(SUMIF(Capacity_Resource,$D127,'Critical resources (hide)'!AX$6:AX$105)+SUMIF(Capacity_Resource,$E127,'Critical resources (hide)'!AX$6:AX$105)+SUMIF(Capacity_Resource,$F127,'Critical resources (hide)'!AX$6:AX$105)&gt;0,$E$1=2),0,1)</f>
        <v>1</v>
      </c>
      <c r="AL127" s="68">
        <f ca="1">IF(AND(SUMIF(Capacity_Resource,$D127,'Critical resources (hide)'!AY$6:AY$105)+SUMIF(Capacity_Resource,$E127,'Critical resources (hide)'!AY$6:AY$105)+SUMIF(Capacity_Resource,$F127,'Critical resources (hide)'!AY$6:AY$105)&gt;0,$E$1=2),0,1)</f>
        <v>1</v>
      </c>
      <c r="AM127" s="68">
        <f ca="1">IF(AND(SUMIF(Capacity_Resource,$D127,'Critical resources (hide)'!AZ$6:AZ$105)+SUMIF(Capacity_Resource,$E127,'Critical resources (hide)'!AZ$6:AZ$105)+SUMIF(Capacity_Resource,$F127,'Critical resources (hide)'!AZ$6:AZ$105)&gt;0,$E$1=2),0,1)</f>
        <v>1</v>
      </c>
      <c r="AN127" s="68">
        <f ca="1">IF(AND(SUMIF(Capacity_Resource,$D127,'Critical resources (hide)'!BA$6:BA$105)+SUMIF(Capacity_Resource,$E127,'Critical resources (hide)'!BA$6:BA$105)+SUMIF(Capacity_Resource,$F127,'Critical resources (hide)'!BA$6:BA$105)&gt;0,$E$1=2),0,1)</f>
        <v>1</v>
      </c>
      <c r="AO127" s="68">
        <f ca="1">IF(AND(SUMIF(Capacity_Resource,$D127,'Critical resources (hide)'!BB$6:BB$105)+SUMIF(Capacity_Resource,$E127,'Critical resources (hide)'!BB$6:BB$105)+SUMIF(Capacity_Resource,$F127,'Critical resources (hide)'!BB$6:BB$105)&gt;0,$E$1=2),0,1)</f>
        <v>1</v>
      </c>
      <c r="AP127" s="68">
        <f ca="1">IF(AND(SUMIF(Capacity_Resource,$D127,'Critical resources (hide)'!BC$6:BC$105)+SUMIF(Capacity_Resource,$E127,'Critical resources (hide)'!BC$6:BC$105)+SUMIF(Capacity_Resource,$F127,'Critical resources (hide)'!BC$6:BC$105)&gt;0,$E$1=2),0,1)</f>
        <v>1</v>
      </c>
      <c r="AQ127" s="68">
        <f ca="1">IF(AND(SUMIF(Capacity_Resource,$D127,'Critical resources (hide)'!BD$6:BD$105)+SUMIF(Capacity_Resource,$E127,'Critical resources (hide)'!BD$6:BD$105)+SUMIF(Capacity_Resource,$F127,'Critical resources (hide)'!BD$6:BD$105)&gt;0,$E$1=2),0,1)</f>
        <v>1</v>
      </c>
      <c r="AR127" s="68">
        <f ca="1">IF(AND(SUMIF(Capacity_Resource,$D127,'Critical resources (hide)'!BE$6:BE$105)+SUMIF(Capacity_Resource,$E127,'Critical resources (hide)'!BE$6:BE$105)+SUMIF(Capacity_Resource,$F127,'Critical resources (hide)'!BE$6:BE$105)&gt;0,$E$1=2),0,1)</f>
        <v>1</v>
      </c>
      <c r="AS127" s="68">
        <f ca="1">IF(AND(SUMIF(Capacity_Resource,$D127,'Critical resources (hide)'!BF$6:BF$105)+SUMIF(Capacity_Resource,$E127,'Critical resources (hide)'!BF$6:BF$105)+SUMIF(Capacity_Resource,$F127,'Critical resources (hide)'!BF$6:BF$105)&gt;0,$E$1=2),0,1)</f>
        <v>1</v>
      </c>
      <c r="AT127" s="68">
        <f ca="1">IF(AND(SUMIF(Capacity_Resource,$D127,'Critical resources (hide)'!BG$6:BG$105)+SUMIF(Capacity_Resource,$E127,'Critical resources (hide)'!BG$6:BG$105)+SUMIF(Capacity_Resource,$F127,'Critical resources (hide)'!BG$6:BG$105)&gt;0,$E$1=2),0,1)</f>
        <v>1</v>
      </c>
      <c r="AU127" s="68">
        <f ca="1">IF(AND(SUMIF(Capacity_Resource,$D127,'Critical resources (hide)'!BH$6:BH$105)+SUMIF(Capacity_Resource,$E127,'Critical resources (hide)'!BH$6:BH$105)+SUMIF(Capacity_Resource,$F127,'Critical resources (hide)'!BH$6:BH$105)&gt;0,$E$1=2),0,1)</f>
        <v>1</v>
      </c>
      <c r="AV127" s="68">
        <f ca="1">IF(AND(SUMIF(Capacity_Resource,$D127,'Critical resources (hide)'!BI$6:BI$105)+SUMIF(Capacity_Resource,$E127,'Critical resources (hide)'!BI$6:BI$105)+SUMIF(Capacity_Resource,$F127,'Critical resources (hide)'!BI$6:BI$105)&gt;0,$E$1=2),0,1)</f>
        <v>1</v>
      </c>
      <c r="AW127" s="68">
        <f ca="1">IF(AND(SUMIF(Capacity_Resource,$D127,'Critical resources (hide)'!BJ$6:BJ$105)+SUMIF(Capacity_Resource,$E127,'Critical resources (hide)'!BJ$6:BJ$105)+SUMIF(Capacity_Resource,$F127,'Critical resources (hide)'!BJ$6:BJ$105)&gt;0,$E$1=2),0,1)</f>
        <v>1</v>
      </c>
      <c r="AX127" s="68">
        <f ca="1">IF(AND(SUMIF(Capacity_Resource,$D127,'Critical resources (hide)'!BK$6:BK$105)+SUMIF(Capacity_Resource,$E127,'Critical resources (hide)'!BK$6:BK$105)+SUMIF(Capacity_Resource,$F127,'Critical resources (hide)'!BK$6:BK$105)&gt;0,$E$1=2),0,1)</f>
        <v>1</v>
      </c>
      <c r="AY127" s="68">
        <f ca="1">IF(AND(SUMIF(Capacity_Resource,$D127,'Critical resources (hide)'!BL$6:BL$105)+SUMIF(Capacity_Resource,$E127,'Critical resources (hide)'!BL$6:BL$105)+SUMIF(Capacity_Resource,$F127,'Critical resources (hide)'!BL$6:BL$105)&gt;0,$E$1=2),0,1)</f>
        <v>1</v>
      </c>
      <c r="AZ127" s="68">
        <f ca="1">IF(AND(SUMIF(Capacity_Resource,$D127,'Critical resources (hide)'!BM$6:BM$105)+SUMIF(Capacity_Resource,$E127,'Critical resources (hide)'!BM$6:BM$105)+SUMIF(Capacity_Resource,$F127,'Critical resources (hide)'!BM$6:BM$105)&gt;0,$E$1=2),0,1)</f>
        <v>1</v>
      </c>
      <c r="BA127" s="68">
        <f ca="1">IF(AND(SUMIF(Capacity_Resource,$D127,'Critical resources (hide)'!BN$6:BN$105)+SUMIF(Capacity_Resource,$E127,'Critical resources (hide)'!BN$6:BN$105)+SUMIF(Capacity_Resource,$F127,'Critical resources (hide)'!BN$6:BN$105)&gt;0,$E$1=2),0,1)</f>
        <v>1</v>
      </c>
      <c r="BB127" s="68">
        <f ca="1">IF(AND(SUMIF(Capacity_Resource,$D127,'Critical resources (hide)'!BO$6:BO$105)+SUMIF(Capacity_Resource,$E127,'Critical resources (hide)'!BO$6:BO$105)+SUMIF(Capacity_Resource,$F127,'Critical resources (hide)'!BO$6:BO$105)&gt;0,$E$1=2),0,1)</f>
        <v>1</v>
      </c>
      <c r="BC127" s="68">
        <f ca="1">IF(AND(SUMIF(Capacity_Resource,$D127,'Critical resources (hide)'!BP$6:BP$105)+SUMIF(Capacity_Resource,$E127,'Critical resources (hide)'!BP$6:BP$105)+SUMIF(Capacity_Resource,$F127,'Critical resources (hide)'!BP$6:BP$105)&gt;0,$E$1=2),0,1)</f>
        <v>1</v>
      </c>
      <c r="BD127" s="68">
        <f ca="1">IF(AND(SUMIF(Capacity_Resource,$D127,'Critical resources (hide)'!BQ$6:BQ$105)+SUMIF(Capacity_Resource,$E127,'Critical resources (hide)'!BQ$6:BQ$105)+SUMIF(Capacity_Resource,$F127,'Critical resources (hide)'!BQ$6:BQ$105)&gt;0,$E$1=2),0,1)</f>
        <v>1</v>
      </c>
      <c r="BE127" s="68">
        <f ca="1">IF(AND(SUMIF(Capacity_Resource,$D127,'Critical resources (hide)'!BR$6:BR$105)+SUMIF(Capacity_Resource,$E127,'Critical resources (hide)'!BR$6:BR$105)+SUMIF(Capacity_Resource,$F127,'Critical resources (hide)'!BR$6:BR$105)&gt;0,$E$1=2),0,1)</f>
        <v>1</v>
      </c>
      <c r="BF127" s="68">
        <f ca="1">IF(AND(SUMIF(Capacity_Resource,$D127,'Critical resources (hide)'!BS$6:BS$105)+SUMIF(Capacity_Resource,$E127,'Critical resources (hide)'!BS$6:BS$105)+SUMIF(Capacity_Resource,$F127,'Critical resources (hide)'!BS$6:BS$105)&gt;0,$E$1=2),0,1)</f>
        <v>1</v>
      </c>
      <c r="BG127" s="68">
        <f ca="1">IF(AND(SUMIF(Capacity_Resource,$D127,'Critical resources (hide)'!BT$6:BT$105)+SUMIF(Capacity_Resource,$E127,'Critical resources (hide)'!BT$6:BT$105)+SUMIF(Capacity_Resource,$F127,'Critical resources (hide)'!BT$6:BT$105)&gt;0,$E$1=2),0,1)</f>
        <v>1</v>
      </c>
      <c r="BH127" s="68">
        <f>IF(ROW(A16)&lt;=Capacity!$M$16,IF('Capacity summary'!$C$14="No",SUM(H127:BG127),'Capacity summary'!$E39),0)</f>
        <v>0</v>
      </c>
      <c r="BI127" s="68" t="str">
        <f>IF(BH127&gt;0,IF(BH127&lt;Capacity!Q32,Capacity!R32,Capacity!T32/'Capacity calculation (hide)'!BH127),"")</f>
        <v/>
      </c>
      <c r="BJ127" s="5"/>
      <c r="BK127" s="5">
        <f>IF($BI127&lt;&gt;"",IF('Capacity summary'!$C$14="Yes",IF(COUNTBLANK('Capacity summary'!$H39:$BG39)&lt;52,IF('Capacity summary'!H39&lt;&gt;"",$BI127*H127,0),H127*$BI127),H127*$BI127),0)</f>
        <v>0</v>
      </c>
      <c r="BL127" s="5">
        <f>IF($BI127&lt;&gt;"",IF('Capacity summary'!$C$14="Yes",IF(COUNTBLANK('Capacity summary'!$H39:$BG39)&lt;52,IF('Capacity summary'!I39&lt;&gt;"",$BI127*I127,0),I127*$BI127),I127*$BI127),0)</f>
        <v>0</v>
      </c>
      <c r="BM127" s="5">
        <f>IF($BI127&lt;&gt;"",IF('Capacity summary'!$C$14="Yes",IF(COUNTBLANK('Capacity summary'!$H39:$BG39)&lt;52,IF('Capacity summary'!J39&lt;&gt;"",$BI127*J127,0),J127*$BI127),J127*$BI127),0)</f>
        <v>0</v>
      </c>
      <c r="BN127" s="5">
        <f>IF($BI127&lt;&gt;"",IF('Capacity summary'!$C$14="Yes",IF(COUNTBLANK('Capacity summary'!$H39:$BG39)&lt;52,IF('Capacity summary'!K39&lt;&gt;"",$BI127*K127,0),K127*$BI127),K127*$BI127),0)</f>
        <v>0</v>
      </c>
      <c r="BO127" s="5">
        <f>IF($BI127&lt;&gt;"",IF('Capacity summary'!$C$14="Yes",IF(COUNTBLANK('Capacity summary'!$H39:$BG39)&lt;52,IF('Capacity summary'!L39&lt;&gt;"",$BI127*L127,0),L127*$BI127),L127*$BI127),0)</f>
        <v>0</v>
      </c>
      <c r="BP127" s="5">
        <f>IF($BI127&lt;&gt;"",IF('Capacity summary'!$C$14="Yes",IF(COUNTBLANK('Capacity summary'!$H39:$BG39)&lt;52,IF('Capacity summary'!M39&lt;&gt;"",$BI127*M127,0),M127*$BI127),M127*$BI127),0)</f>
        <v>0</v>
      </c>
      <c r="BQ127" s="5">
        <f>IF($BI127&lt;&gt;"",IF('Capacity summary'!$C$14="Yes",IF(COUNTBLANK('Capacity summary'!$H39:$BG39)&lt;52,IF('Capacity summary'!N39&lt;&gt;"",$BI127*N127,0),N127*$BI127),N127*$BI127),0)</f>
        <v>0</v>
      </c>
      <c r="BR127" s="5">
        <f>IF($BI127&lt;&gt;"",IF('Capacity summary'!$C$14="Yes",IF(COUNTBLANK('Capacity summary'!$H39:$BG39)&lt;52,IF('Capacity summary'!O39&lt;&gt;"",$BI127*O127,0),O127*$BI127),O127*$BI127),0)</f>
        <v>0</v>
      </c>
      <c r="BS127" s="5">
        <f>IF($BI127&lt;&gt;"",IF('Capacity summary'!$C$14="Yes",IF(COUNTBLANK('Capacity summary'!$H39:$BG39)&lt;52,IF('Capacity summary'!P39&lt;&gt;"",$BI127*P127,0),P127*$BI127),P127*$BI127),0)</f>
        <v>0</v>
      </c>
      <c r="BT127" s="5">
        <f>IF($BI127&lt;&gt;"",IF('Capacity summary'!$C$14="Yes",IF(COUNTBLANK('Capacity summary'!$H39:$BG39)&lt;52,IF('Capacity summary'!Q39&lt;&gt;"",$BI127*Q127,0),Q127*$BI127),Q127*$BI127),0)</f>
        <v>0</v>
      </c>
      <c r="BU127" s="5">
        <f>IF($BI127&lt;&gt;"",IF('Capacity summary'!$C$14="Yes",IF(COUNTBLANK('Capacity summary'!$H39:$BG39)&lt;52,IF('Capacity summary'!R39&lt;&gt;"",$BI127*R127,0),R127*$BI127),R127*$BI127),0)</f>
        <v>0</v>
      </c>
      <c r="BV127" s="5">
        <f>IF($BI127&lt;&gt;"",IF('Capacity summary'!$C$14="Yes",IF(COUNTBLANK('Capacity summary'!$H39:$BG39)&lt;52,IF('Capacity summary'!S39&lt;&gt;"",$BI127*S127,0),S127*$BI127),S127*$BI127),0)</f>
        <v>0</v>
      </c>
      <c r="BW127" s="5">
        <f>IF($BI127&lt;&gt;"",IF('Capacity summary'!$C$14="Yes",IF(COUNTBLANK('Capacity summary'!$H39:$BG39)&lt;52,IF('Capacity summary'!T39&lt;&gt;"",$BI127*T127,0),T127*$BI127),T127*$BI127),0)</f>
        <v>0</v>
      </c>
      <c r="BX127" s="5">
        <f>IF($BI127&lt;&gt;"",IF('Capacity summary'!$C$14="Yes",IF(COUNTBLANK('Capacity summary'!$H39:$BG39)&lt;52,IF('Capacity summary'!U39&lt;&gt;"",$BI127*U127,0),U127*$BI127),U127*$BI127),0)</f>
        <v>0</v>
      </c>
      <c r="BY127" s="5">
        <f>IF($BI127&lt;&gt;"",IF('Capacity summary'!$C$14="Yes",IF(COUNTBLANK('Capacity summary'!$H39:$BG39)&lt;52,IF('Capacity summary'!V39&lt;&gt;"",$BI127*V127,0),V127*$BI127),V127*$BI127),0)</f>
        <v>0</v>
      </c>
      <c r="BZ127" s="5">
        <f>IF($BI127&lt;&gt;"",IF('Capacity summary'!$C$14="Yes",IF(COUNTBLANK('Capacity summary'!$H39:$BG39)&lt;52,IF('Capacity summary'!W39&lt;&gt;"",$BI127*W127,0),W127*$BI127),W127*$BI127),0)</f>
        <v>0</v>
      </c>
      <c r="CA127" s="5">
        <f>IF($BI127&lt;&gt;"",IF('Capacity summary'!$C$14="Yes",IF(COUNTBLANK('Capacity summary'!$H39:$BG39)&lt;52,IF('Capacity summary'!X39&lt;&gt;"",$BI127*X127,0),X127*$BI127),X127*$BI127),0)</f>
        <v>0</v>
      </c>
      <c r="CB127" s="5">
        <f>IF($BI127&lt;&gt;"",IF('Capacity summary'!$C$14="Yes",IF(COUNTBLANK('Capacity summary'!$H39:$BG39)&lt;52,IF('Capacity summary'!Y39&lt;&gt;"",$BI127*Y127,0),Y127*$BI127),Y127*$BI127),0)</f>
        <v>0</v>
      </c>
      <c r="CC127" s="5">
        <f>IF($BI127&lt;&gt;"",IF('Capacity summary'!$C$14="Yes",IF(COUNTBLANK('Capacity summary'!$H39:$BG39)&lt;52,IF('Capacity summary'!Z39&lt;&gt;"",$BI127*Z127,0),Z127*$BI127),Z127*$BI127),0)</f>
        <v>0</v>
      </c>
      <c r="CD127" s="5">
        <f>IF($BI127&lt;&gt;"",IF('Capacity summary'!$C$14="Yes",IF(COUNTBLANK('Capacity summary'!$H39:$BG39)&lt;52,IF('Capacity summary'!AA39&lt;&gt;"",$BI127*AA127,0),AA127*$BI127),AA127*$BI127),0)</f>
        <v>0</v>
      </c>
      <c r="CE127" s="5">
        <f>IF($BI127&lt;&gt;"",IF('Capacity summary'!$C$14="Yes",IF(COUNTBLANK('Capacity summary'!$H39:$BG39)&lt;52,IF('Capacity summary'!AB39&lt;&gt;"",$BI127*AB127,0),AB127*$BI127),AB127*$BI127),0)</f>
        <v>0</v>
      </c>
      <c r="CF127" s="5">
        <f>IF($BI127&lt;&gt;"",IF('Capacity summary'!$C$14="Yes",IF(COUNTBLANK('Capacity summary'!$H39:$BG39)&lt;52,IF('Capacity summary'!AC39&lt;&gt;"",$BI127*AC127,0),AC127*$BI127),AC127*$BI127),0)</f>
        <v>0</v>
      </c>
      <c r="CG127" s="5">
        <f>IF($BI127&lt;&gt;"",IF('Capacity summary'!$C$14="Yes",IF(COUNTBLANK('Capacity summary'!$H39:$BG39)&lt;52,IF('Capacity summary'!AD39&lt;&gt;"",$BI127*AD127,0),AD127*$BI127),AD127*$BI127),0)</f>
        <v>0</v>
      </c>
      <c r="CH127" s="5">
        <f>IF($BI127&lt;&gt;"",IF('Capacity summary'!$C$14="Yes",IF(COUNTBLANK('Capacity summary'!$H39:$BG39)&lt;52,IF('Capacity summary'!AE39&lt;&gt;"",$BI127*AE127,0),AE127*$BI127),AE127*$BI127),0)</f>
        <v>0</v>
      </c>
      <c r="CI127" s="5">
        <f>IF($BI127&lt;&gt;"",IF('Capacity summary'!$C$14="Yes",IF(COUNTBLANK('Capacity summary'!$H39:$BG39)&lt;52,IF('Capacity summary'!AF39&lt;&gt;"",$BI127*AF127,0),AF127*$BI127),AF127*$BI127),0)</f>
        <v>0</v>
      </c>
      <c r="CJ127" s="5">
        <f>IF($BI127&lt;&gt;"",IF('Capacity summary'!$C$14="Yes",IF(COUNTBLANK('Capacity summary'!$H39:$BG39)&lt;52,IF('Capacity summary'!AG39&lt;&gt;"",$BI127*AG127,0),AG127*$BI127),AG127*$BI127),0)</f>
        <v>0</v>
      </c>
      <c r="CK127" s="5">
        <f>IF($BI127&lt;&gt;"",IF('Capacity summary'!$C$14="Yes",IF(COUNTBLANK('Capacity summary'!$H39:$BG39)&lt;52,IF('Capacity summary'!AH39&lt;&gt;"",$BI127*AH127,0),AH127*$BI127),AH127*$BI127),0)</f>
        <v>0</v>
      </c>
      <c r="CL127" s="5">
        <f>IF($BI127&lt;&gt;"",IF('Capacity summary'!$C$14="Yes",IF(COUNTBLANK('Capacity summary'!$H39:$BG39)&lt;52,IF('Capacity summary'!AI39&lt;&gt;"",$BI127*AI127,0),AI127*$BI127),AI127*$BI127),0)</f>
        <v>0</v>
      </c>
      <c r="CM127" s="5">
        <f>IF($BI127&lt;&gt;"",IF('Capacity summary'!$C$14="Yes",IF(COUNTBLANK('Capacity summary'!$H39:$BG39)&lt;52,IF('Capacity summary'!AJ39&lt;&gt;"",$BI127*AJ127,0),AJ127*$BI127),AJ127*$BI127),0)</f>
        <v>0</v>
      </c>
      <c r="CN127" s="5">
        <f>IF($BI127&lt;&gt;"",IF('Capacity summary'!$C$14="Yes",IF(COUNTBLANK('Capacity summary'!$H39:$BG39)&lt;52,IF('Capacity summary'!AK39&lt;&gt;"",$BI127*AK127,0),AK127*$BI127),AK127*$BI127),0)</f>
        <v>0</v>
      </c>
      <c r="CO127" s="5">
        <f>IF($BI127&lt;&gt;"",IF('Capacity summary'!$C$14="Yes",IF(COUNTBLANK('Capacity summary'!$H39:$BG39)&lt;52,IF('Capacity summary'!AL39&lt;&gt;"",$BI127*AL127,0),AL127*$BI127),AL127*$BI127),0)</f>
        <v>0</v>
      </c>
      <c r="CP127" s="5">
        <f>IF($BI127&lt;&gt;"",IF('Capacity summary'!$C$14="Yes",IF(COUNTBLANK('Capacity summary'!$H39:$BG39)&lt;52,IF('Capacity summary'!AM39&lt;&gt;"",$BI127*AM127,0),AM127*$BI127),AM127*$BI127),0)</f>
        <v>0</v>
      </c>
      <c r="CQ127" s="5">
        <f>IF($BI127&lt;&gt;"",IF('Capacity summary'!$C$14="Yes",IF(COUNTBLANK('Capacity summary'!$H39:$BG39)&lt;52,IF('Capacity summary'!AN39&lt;&gt;"",$BI127*AN127,0),AN127*$BI127),AN127*$BI127),0)</f>
        <v>0</v>
      </c>
      <c r="CR127" s="5">
        <f>IF($BI127&lt;&gt;"",IF('Capacity summary'!$C$14="Yes",IF(COUNTBLANK('Capacity summary'!$H39:$BG39)&lt;52,IF('Capacity summary'!AO39&lt;&gt;"",$BI127*AO127,0),AO127*$BI127),AO127*$BI127),0)</f>
        <v>0</v>
      </c>
      <c r="CS127" s="5">
        <f>IF($BI127&lt;&gt;"",IF('Capacity summary'!$C$14="Yes",IF(COUNTBLANK('Capacity summary'!$H39:$BG39)&lt;52,IF('Capacity summary'!AP39&lt;&gt;"",$BI127*AP127,0),AP127*$BI127),AP127*$BI127),0)</f>
        <v>0</v>
      </c>
      <c r="CT127" s="5">
        <f>IF($BI127&lt;&gt;"",IF('Capacity summary'!$C$14="Yes",IF(COUNTBLANK('Capacity summary'!$H39:$BG39)&lt;52,IF('Capacity summary'!AQ39&lt;&gt;"",$BI127*AQ127,0),AQ127*$BI127),AQ127*$BI127),0)</f>
        <v>0</v>
      </c>
      <c r="CU127" s="5">
        <f>IF($BI127&lt;&gt;"",IF('Capacity summary'!$C$14="Yes",IF(COUNTBLANK('Capacity summary'!$H39:$BG39)&lt;52,IF('Capacity summary'!AR39&lt;&gt;"",$BI127*AR127,0),AR127*$BI127),AR127*$BI127),0)</f>
        <v>0</v>
      </c>
      <c r="CV127" s="5">
        <f>IF($BI127&lt;&gt;"",IF('Capacity summary'!$C$14="Yes",IF(COUNTBLANK('Capacity summary'!$H39:$BG39)&lt;52,IF('Capacity summary'!AS39&lt;&gt;"",$BI127*AS127,0),AS127*$BI127),AS127*$BI127),0)</f>
        <v>0</v>
      </c>
      <c r="CW127" s="5">
        <f>IF($BI127&lt;&gt;"",IF('Capacity summary'!$C$14="Yes",IF(COUNTBLANK('Capacity summary'!$H39:$BG39)&lt;52,IF('Capacity summary'!AT39&lt;&gt;"",$BI127*AT127,0),AT127*$BI127),AT127*$BI127),0)</f>
        <v>0</v>
      </c>
      <c r="CX127" s="5">
        <f>IF($BI127&lt;&gt;"",IF('Capacity summary'!$C$14="Yes",IF(COUNTBLANK('Capacity summary'!$H39:$BG39)&lt;52,IF('Capacity summary'!AU39&lt;&gt;"",$BI127*AU127,0),AU127*$BI127),AU127*$BI127),0)</f>
        <v>0</v>
      </c>
      <c r="CY127" s="5">
        <f>IF($BI127&lt;&gt;"",IF('Capacity summary'!$C$14="Yes",IF(COUNTBLANK('Capacity summary'!$H39:$BG39)&lt;52,IF('Capacity summary'!AV39&lt;&gt;"",$BI127*AV127,0),AV127*$BI127),AV127*$BI127),0)</f>
        <v>0</v>
      </c>
      <c r="CZ127" s="5">
        <f>IF($BI127&lt;&gt;"",IF('Capacity summary'!$C$14="Yes",IF(COUNTBLANK('Capacity summary'!$H39:$BG39)&lt;52,IF('Capacity summary'!AW39&lt;&gt;"",$BI127*AW127,0),AW127*$BI127),AW127*$BI127),0)</f>
        <v>0</v>
      </c>
      <c r="DA127" s="5">
        <f>IF($BI127&lt;&gt;"",IF('Capacity summary'!$C$14="Yes",IF(COUNTBLANK('Capacity summary'!$H39:$BG39)&lt;52,IF('Capacity summary'!AX39&lt;&gt;"",$BI127*AX127,0),AX127*$BI127),AX127*$BI127),0)</f>
        <v>0</v>
      </c>
      <c r="DB127" s="5">
        <f>IF($BI127&lt;&gt;"",IF('Capacity summary'!$C$14="Yes",IF(COUNTBLANK('Capacity summary'!$H39:$BG39)&lt;52,IF('Capacity summary'!AY39&lt;&gt;"",$BI127*AY127,0),AY127*$BI127),AY127*$BI127),0)</f>
        <v>0</v>
      </c>
      <c r="DC127" s="5">
        <f>IF($BI127&lt;&gt;"",IF('Capacity summary'!$C$14="Yes",IF(COUNTBLANK('Capacity summary'!$H39:$BG39)&lt;52,IF('Capacity summary'!AZ39&lt;&gt;"",$BI127*AZ127,0),AZ127*$BI127),AZ127*$BI127),0)</f>
        <v>0</v>
      </c>
      <c r="DD127" s="5">
        <f>IF($BI127&lt;&gt;"",IF('Capacity summary'!$C$14="Yes",IF(COUNTBLANK('Capacity summary'!$H39:$BG39)&lt;52,IF('Capacity summary'!BA39&lt;&gt;"",$BI127*BA127,0),BA127*$BI127),BA127*$BI127),0)</f>
        <v>0</v>
      </c>
      <c r="DE127" s="5">
        <f>IF($BI127&lt;&gt;"",IF('Capacity summary'!$C$14="Yes",IF(COUNTBLANK('Capacity summary'!$H39:$BG39)&lt;52,IF('Capacity summary'!BB39&lt;&gt;"",$BI127*BB127,0),BB127*$BI127),BB127*$BI127),0)</f>
        <v>0</v>
      </c>
      <c r="DF127" s="5">
        <f>IF($BI127&lt;&gt;"",IF('Capacity summary'!$C$14="Yes",IF(COUNTBLANK('Capacity summary'!$H39:$BG39)&lt;52,IF('Capacity summary'!BC39&lt;&gt;"",$BI127*BC127,0),BC127*$BI127),BC127*$BI127),0)</f>
        <v>0</v>
      </c>
      <c r="DG127" s="5">
        <f>IF($BI127&lt;&gt;"",IF('Capacity summary'!$C$14="Yes",IF(COUNTBLANK('Capacity summary'!$H39:$BG39)&lt;52,IF('Capacity summary'!BD39&lt;&gt;"",$BI127*BD127,0),BD127*$BI127),BD127*$BI127),0)</f>
        <v>0</v>
      </c>
      <c r="DH127" s="5">
        <f>IF($BI127&lt;&gt;"",IF('Capacity summary'!$C$14="Yes",IF(COUNTBLANK('Capacity summary'!$H39:$BG39)&lt;52,IF('Capacity summary'!BE39&lt;&gt;"",$BI127*BE127,0),BE127*$BI127),BE127*$BI127),0)</f>
        <v>0</v>
      </c>
      <c r="DI127" s="5">
        <f>IF($BI127&lt;&gt;"",IF('Capacity summary'!$C$14="Yes",IF(COUNTBLANK('Capacity summary'!$H39:$BG39)&lt;52,IF('Capacity summary'!BF39&lt;&gt;"",$BI127*BF127,0),BF127*$BI127),BF127*$BI127),0)</f>
        <v>0</v>
      </c>
      <c r="DJ127" s="5">
        <f>IF($BI127&lt;&gt;"",IF('Capacity summary'!$C$14="Yes",IF(COUNTBLANK('Capacity summary'!$H39:$BG39)&lt;52,IF('Capacity summary'!BG39&lt;&gt;"",$BI127*BG127,0),BG127*$BI127),BG127*$BI127),0)</f>
        <v>0</v>
      </c>
      <c r="DK127" s="138">
        <f t="shared" si="6"/>
        <v>0</v>
      </c>
    </row>
    <row r="128" spans="3:115" x14ac:dyDescent="0.2">
      <c r="C128" s="68" t="str">
        <f>ROW(A17)&amp;". "&amp;Capacity!N33</f>
        <v xml:space="preserve">17. </v>
      </c>
      <c r="D128" s="68">
        <f>'Capacity setup'!C134</f>
        <v>0</v>
      </c>
      <c r="E128" s="68">
        <f>'Capacity setup'!D134</f>
        <v>0</v>
      </c>
      <c r="F128" s="68">
        <f>'Capacity setup'!E134</f>
        <v>0</v>
      </c>
      <c r="H128" s="68">
        <f ca="1">IF(AND(SUMIF(Capacity_Resource,$D128,'Critical resources (hide)'!U$6:U$105)+SUMIF(Capacity_Resource,$E128,'Critical resources (hide)'!U$6:U$105)+SUMIF(Capacity_Resource,$F128,'Critical resources (hide)'!U$6:U$105)&gt;0,$E$1=2),0,1)</f>
        <v>1</v>
      </c>
      <c r="I128" s="68">
        <f ca="1">IF(AND(SUMIF(Capacity_Resource,$D128,'Critical resources (hide)'!V$6:V$105)+SUMIF(Capacity_Resource,$E128,'Critical resources (hide)'!V$6:V$105)+SUMIF(Capacity_Resource,$F128,'Critical resources (hide)'!V$6:V$105)&gt;0,$E$1=2),0,1)</f>
        <v>1</v>
      </c>
      <c r="J128" s="68">
        <f ca="1">IF(AND(SUMIF(Capacity_Resource,$D128,'Critical resources (hide)'!W$6:W$105)+SUMIF(Capacity_Resource,$E128,'Critical resources (hide)'!W$6:W$105)+SUMIF(Capacity_Resource,$F128,'Critical resources (hide)'!W$6:W$105)&gt;0,$E$1=2),0,1)</f>
        <v>1</v>
      </c>
      <c r="K128" s="68">
        <f ca="1">IF(AND(SUMIF(Capacity_Resource,$D128,'Critical resources (hide)'!X$6:X$105)+SUMIF(Capacity_Resource,$E128,'Critical resources (hide)'!X$6:X$105)+SUMIF(Capacity_Resource,$F128,'Critical resources (hide)'!X$6:X$105)&gt;0,$E$1=2),0,1)</f>
        <v>1</v>
      </c>
      <c r="L128" s="68">
        <f ca="1">IF(AND(SUMIF(Capacity_Resource,$D128,'Critical resources (hide)'!Y$6:Y$105)+SUMIF(Capacity_Resource,$E128,'Critical resources (hide)'!Y$6:Y$105)+SUMIF(Capacity_Resource,$F128,'Critical resources (hide)'!Y$6:Y$105)&gt;0,$E$1=2),0,1)</f>
        <v>1</v>
      </c>
      <c r="M128" s="68">
        <f ca="1">IF(AND(SUMIF(Capacity_Resource,$D128,'Critical resources (hide)'!Z$6:Z$105)+SUMIF(Capacity_Resource,$E128,'Critical resources (hide)'!Z$6:Z$105)+SUMIF(Capacity_Resource,$F128,'Critical resources (hide)'!Z$6:Z$105)&gt;0,$E$1=2),0,1)</f>
        <v>1</v>
      </c>
      <c r="N128" s="68">
        <f ca="1">IF(AND(SUMIF(Capacity_Resource,$D128,'Critical resources (hide)'!AA$6:AA$105)+SUMIF(Capacity_Resource,$E128,'Critical resources (hide)'!AA$6:AA$105)+SUMIF(Capacity_Resource,$F128,'Critical resources (hide)'!AA$6:AA$105)&gt;0,$E$1=2),0,1)</f>
        <v>1</v>
      </c>
      <c r="O128" s="68">
        <f ca="1">IF(AND(SUMIF(Capacity_Resource,$D128,'Critical resources (hide)'!AB$6:AB$105)+SUMIF(Capacity_Resource,$E128,'Critical resources (hide)'!AB$6:AB$105)+SUMIF(Capacity_Resource,$F128,'Critical resources (hide)'!AB$6:AB$105)&gt;0,$E$1=2),0,1)</f>
        <v>1</v>
      </c>
      <c r="P128" s="68">
        <f ca="1">IF(AND(SUMIF(Capacity_Resource,$D128,'Critical resources (hide)'!AC$6:AC$105)+SUMIF(Capacity_Resource,$E128,'Critical resources (hide)'!AC$6:AC$105)+SUMIF(Capacity_Resource,$F128,'Critical resources (hide)'!AC$6:AC$105)&gt;0,$E$1=2),0,1)</f>
        <v>1</v>
      </c>
      <c r="Q128" s="68">
        <f ca="1">IF(AND(SUMIF(Capacity_Resource,$D128,'Critical resources (hide)'!AD$6:AD$105)+SUMIF(Capacity_Resource,$E128,'Critical resources (hide)'!AD$6:AD$105)+SUMIF(Capacity_Resource,$F128,'Critical resources (hide)'!AD$6:AD$105)&gt;0,$E$1=2),0,1)</f>
        <v>1</v>
      </c>
      <c r="R128" s="68">
        <f ca="1">IF(AND(SUMIF(Capacity_Resource,$D128,'Critical resources (hide)'!AE$6:AE$105)+SUMIF(Capacity_Resource,$E128,'Critical resources (hide)'!AE$6:AE$105)+SUMIF(Capacity_Resource,$F128,'Critical resources (hide)'!AE$6:AE$105)&gt;0,$E$1=2),0,1)</f>
        <v>1</v>
      </c>
      <c r="S128" s="68">
        <f ca="1">IF(AND(SUMIF(Capacity_Resource,$D128,'Critical resources (hide)'!AF$6:AF$105)+SUMIF(Capacity_Resource,$E128,'Critical resources (hide)'!AF$6:AF$105)+SUMIF(Capacity_Resource,$F128,'Critical resources (hide)'!AF$6:AF$105)&gt;0,$E$1=2),0,1)</f>
        <v>1</v>
      </c>
      <c r="T128" s="68">
        <f ca="1">IF(AND(SUMIF(Capacity_Resource,$D128,'Critical resources (hide)'!AG$6:AG$105)+SUMIF(Capacity_Resource,$E128,'Critical resources (hide)'!AG$6:AG$105)+SUMIF(Capacity_Resource,$F128,'Critical resources (hide)'!AG$6:AG$105)&gt;0,$E$1=2),0,1)</f>
        <v>1</v>
      </c>
      <c r="U128" s="68">
        <f ca="1">IF(AND(SUMIF(Capacity_Resource,$D128,'Critical resources (hide)'!AH$6:AH$105)+SUMIF(Capacity_Resource,$E128,'Critical resources (hide)'!AH$6:AH$105)+SUMIF(Capacity_Resource,$F128,'Critical resources (hide)'!AH$6:AH$105)&gt;0,$E$1=2),0,1)</f>
        <v>1</v>
      </c>
      <c r="V128" s="68">
        <f ca="1">IF(AND(SUMIF(Capacity_Resource,$D128,'Critical resources (hide)'!AI$6:AI$105)+SUMIF(Capacity_Resource,$E128,'Critical resources (hide)'!AI$6:AI$105)+SUMIF(Capacity_Resource,$F128,'Critical resources (hide)'!AI$6:AI$105)&gt;0,$E$1=2),0,1)</f>
        <v>1</v>
      </c>
      <c r="W128" s="68">
        <f ca="1">IF(AND(SUMIF(Capacity_Resource,$D128,'Critical resources (hide)'!AJ$6:AJ$105)+SUMIF(Capacity_Resource,$E128,'Critical resources (hide)'!AJ$6:AJ$105)+SUMIF(Capacity_Resource,$F128,'Critical resources (hide)'!AJ$6:AJ$105)&gt;0,$E$1=2),0,1)</f>
        <v>1</v>
      </c>
      <c r="X128" s="68">
        <f ca="1">IF(AND(SUMIF(Capacity_Resource,$D128,'Critical resources (hide)'!AK$6:AK$105)+SUMIF(Capacity_Resource,$E128,'Critical resources (hide)'!AK$6:AK$105)+SUMIF(Capacity_Resource,$F128,'Critical resources (hide)'!AK$6:AK$105)&gt;0,$E$1=2),0,1)</f>
        <v>1</v>
      </c>
      <c r="Y128" s="68">
        <f ca="1">IF(AND(SUMIF(Capacity_Resource,$D128,'Critical resources (hide)'!AL$6:AL$105)+SUMIF(Capacity_Resource,$E128,'Critical resources (hide)'!AL$6:AL$105)+SUMIF(Capacity_Resource,$F128,'Critical resources (hide)'!AL$6:AL$105)&gt;0,$E$1=2),0,1)</f>
        <v>1</v>
      </c>
      <c r="Z128" s="68">
        <f ca="1">IF(AND(SUMIF(Capacity_Resource,$D128,'Critical resources (hide)'!AM$6:AM$105)+SUMIF(Capacity_Resource,$E128,'Critical resources (hide)'!AM$6:AM$105)+SUMIF(Capacity_Resource,$F128,'Critical resources (hide)'!AM$6:AM$105)&gt;0,$E$1=2),0,1)</f>
        <v>1</v>
      </c>
      <c r="AA128" s="68">
        <f ca="1">IF(AND(SUMIF(Capacity_Resource,$D128,'Critical resources (hide)'!AN$6:AN$105)+SUMIF(Capacity_Resource,$E128,'Critical resources (hide)'!AN$6:AN$105)+SUMIF(Capacity_Resource,$F128,'Critical resources (hide)'!AN$6:AN$105)&gt;0,$E$1=2),0,1)</f>
        <v>1</v>
      </c>
      <c r="AB128" s="68">
        <f ca="1">IF(AND(SUMIF(Capacity_Resource,$D128,'Critical resources (hide)'!AO$6:AO$105)+SUMIF(Capacity_Resource,$E128,'Critical resources (hide)'!AO$6:AO$105)+SUMIF(Capacity_Resource,$F128,'Critical resources (hide)'!AO$6:AO$105)&gt;0,$E$1=2),0,1)</f>
        <v>1</v>
      </c>
      <c r="AC128" s="68">
        <f ca="1">IF(AND(SUMIF(Capacity_Resource,$D128,'Critical resources (hide)'!AP$6:AP$105)+SUMIF(Capacity_Resource,$E128,'Critical resources (hide)'!AP$6:AP$105)+SUMIF(Capacity_Resource,$F128,'Critical resources (hide)'!AP$6:AP$105)&gt;0,$E$1=2),0,1)</f>
        <v>1</v>
      </c>
      <c r="AD128" s="68">
        <f ca="1">IF(AND(SUMIF(Capacity_Resource,$D128,'Critical resources (hide)'!AQ$6:AQ$105)+SUMIF(Capacity_Resource,$E128,'Critical resources (hide)'!AQ$6:AQ$105)+SUMIF(Capacity_Resource,$F128,'Critical resources (hide)'!AQ$6:AQ$105)&gt;0,$E$1=2),0,1)</f>
        <v>1</v>
      </c>
      <c r="AE128" s="68">
        <f ca="1">IF(AND(SUMIF(Capacity_Resource,$D128,'Critical resources (hide)'!AR$6:AR$105)+SUMIF(Capacity_Resource,$E128,'Critical resources (hide)'!AR$6:AR$105)+SUMIF(Capacity_Resource,$F128,'Critical resources (hide)'!AR$6:AR$105)&gt;0,$E$1=2),0,1)</f>
        <v>1</v>
      </c>
      <c r="AF128" s="68">
        <f ca="1">IF(AND(SUMIF(Capacity_Resource,$D128,'Critical resources (hide)'!AS$6:AS$105)+SUMIF(Capacity_Resource,$E128,'Critical resources (hide)'!AS$6:AS$105)+SUMIF(Capacity_Resource,$F128,'Critical resources (hide)'!AS$6:AS$105)&gt;0,$E$1=2),0,1)</f>
        <v>1</v>
      </c>
      <c r="AG128" s="68">
        <f ca="1">IF(AND(SUMIF(Capacity_Resource,$D128,'Critical resources (hide)'!AT$6:AT$105)+SUMIF(Capacity_Resource,$E128,'Critical resources (hide)'!AT$6:AT$105)+SUMIF(Capacity_Resource,$F128,'Critical resources (hide)'!AT$6:AT$105)&gt;0,$E$1=2),0,1)</f>
        <v>1</v>
      </c>
      <c r="AH128" s="68">
        <f ca="1">IF(AND(SUMIF(Capacity_Resource,$D128,'Critical resources (hide)'!AU$6:AU$105)+SUMIF(Capacity_Resource,$E128,'Critical resources (hide)'!AU$6:AU$105)+SUMIF(Capacity_Resource,$F128,'Critical resources (hide)'!AU$6:AU$105)&gt;0,$E$1=2),0,1)</f>
        <v>1</v>
      </c>
      <c r="AI128" s="68">
        <f ca="1">IF(AND(SUMIF(Capacity_Resource,$D128,'Critical resources (hide)'!AV$6:AV$105)+SUMIF(Capacity_Resource,$E128,'Critical resources (hide)'!AV$6:AV$105)+SUMIF(Capacity_Resource,$F128,'Critical resources (hide)'!AV$6:AV$105)&gt;0,$E$1=2),0,1)</f>
        <v>1</v>
      </c>
      <c r="AJ128" s="68">
        <f ca="1">IF(AND(SUMIF(Capacity_Resource,$D128,'Critical resources (hide)'!AW$6:AW$105)+SUMIF(Capacity_Resource,$E128,'Critical resources (hide)'!AW$6:AW$105)+SUMIF(Capacity_Resource,$F128,'Critical resources (hide)'!AW$6:AW$105)&gt;0,$E$1=2),0,1)</f>
        <v>1</v>
      </c>
      <c r="AK128" s="68">
        <f ca="1">IF(AND(SUMIF(Capacity_Resource,$D128,'Critical resources (hide)'!AX$6:AX$105)+SUMIF(Capacity_Resource,$E128,'Critical resources (hide)'!AX$6:AX$105)+SUMIF(Capacity_Resource,$F128,'Critical resources (hide)'!AX$6:AX$105)&gt;0,$E$1=2),0,1)</f>
        <v>1</v>
      </c>
      <c r="AL128" s="68">
        <f ca="1">IF(AND(SUMIF(Capacity_Resource,$D128,'Critical resources (hide)'!AY$6:AY$105)+SUMIF(Capacity_Resource,$E128,'Critical resources (hide)'!AY$6:AY$105)+SUMIF(Capacity_Resource,$F128,'Critical resources (hide)'!AY$6:AY$105)&gt;0,$E$1=2),0,1)</f>
        <v>1</v>
      </c>
      <c r="AM128" s="68">
        <f ca="1">IF(AND(SUMIF(Capacity_Resource,$D128,'Critical resources (hide)'!AZ$6:AZ$105)+SUMIF(Capacity_Resource,$E128,'Critical resources (hide)'!AZ$6:AZ$105)+SUMIF(Capacity_Resource,$F128,'Critical resources (hide)'!AZ$6:AZ$105)&gt;0,$E$1=2),0,1)</f>
        <v>1</v>
      </c>
      <c r="AN128" s="68">
        <f ca="1">IF(AND(SUMIF(Capacity_Resource,$D128,'Critical resources (hide)'!BA$6:BA$105)+SUMIF(Capacity_Resource,$E128,'Critical resources (hide)'!BA$6:BA$105)+SUMIF(Capacity_Resource,$F128,'Critical resources (hide)'!BA$6:BA$105)&gt;0,$E$1=2),0,1)</f>
        <v>1</v>
      </c>
      <c r="AO128" s="68">
        <f ca="1">IF(AND(SUMIF(Capacity_Resource,$D128,'Critical resources (hide)'!BB$6:BB$105)+SUMIF(Capacity_Resource,$E128,'Critical resources (hide)'!BB$6:BB$105)+SUMIF(Capacity_Resource,$F128,'Critical resources (hide)'!BB$6:BB$105)&gt;0,$E$1=2),0,1)</f>
        <v>1</v>
      </c>
      <c r="AP128" s="68">
        <f ca="1">IF(AND(SUMIF(Capacity_Resource,$D128,'Critical resources (hide)'!BC$6:BC$105)+SUMIF(Capacity_Resource,$E128,'Critical resources (hide)'!BC$6:BC$105)+SUMIF(Capacity_Resource,$F128,'Critical resources (hide)'!BC$6:BC$105)&gt;0,$E$1=2),0,1)</f>
        <v>1</v>
      </c>
      <c r="AQ128" s="68">
        <f ca="1">IF(AND(SUMIF(Capacity_Resource,$D128,'Critical resources (hide)'!BD$6:BD$105)+SUMIF(Capacity_Resource,$E128,'Critical resources (hide)'!BD$6:BD$105)+SUMIF(Capacity_Resource,$F128,'Critical resources (hide)'!BD$6:BD$105)&gt;0,$E$1=2),0,1)</f>
        <v>1</v>
      </c>
      <c r="AR128" s="68">
        <f ca="1">IF(AND(SUMIF(Capacity_Resource,$D128,'Critical resources (hide)'!BE$6:BE$105)+SUMIF(Capacity_Resource,$E128,'Critical resources (hide)'!BE$6:BE$105)+SUMIF(Capacity_Resource,$F128,'Critical resources (hide)'!BE$6:BE$105)&gt;0,$E$1=2),0,1)</f>
        <v>1</v>
      </c>
      <c r="AS128" s="68">
        <f ca="1">IF(AND(SUMIF(Capacity_Resource,$D128,'Critical resources (hide)'!BF$6:BF$105)+SUMIF(Capacity_Resource,$E128,'Critical resources (hide)'!BF$6:BF$105)+SUMIF(Capacity_Resource,$F128,'Critical resources (hide)'!BF$6:BF$105)&gt;0,$E$1=2),0,1)</f>
        <v>1</v>
      </c>
      <c r="AT128" s="68">
        <f ca="1">IF(AND(SUMIF(Capacity_Resource,$D128,'Critical resources (hide)'!BG$6:BG$105)+SUMIF(Capacity_Resource,$E128,'Critical resources (hide)'!BG$6:BG$105)+SUMIF(Capacity_Resource,$F128,'Critical resources (hide)'!BG$6:BG$105)&gt;0,$E$1=2),0,1)</f>
        <v>1</v>
      </c>
      <c r="AU128" s="68">
        <f ca="1">IF(AND(SUMIF(Capacity_Resource,$D128,'Critical resources (hide)'!BH$6:BH$105)+SUMIF(Capacity_Resource,$E128,'Critical resources (hide)'!BH$6:BH$105)+SUMIF(Capacity_Resource,$F128,'Critical resources (hide)'!BH$6:BH$105)&gt;0,$E$1=2),0,1)</f>
        <v>1</v>
      </c>
      <c r="AV128" s="68">
        <f ca="1">IF(AND(SUMIF(Capacity_Resource,$D128,'Critical resources (hide)'!BI$6:BI$105)+SUMIF(Capacity_Resource,$E128,'Critical resources (hide)'!BI$6:BI$105)+SUMIF(Capacity_Resource,$F128,'Critical resources (hide)'!BI$6:BI$105)&gt;0,$E$1=2),0,1)</f>
        <v>1</v>
      </c>
      <c r="AW128" s="68">
        <f ca="1">IF(AND(SUMIF(Capacity_Resource,$D128,'Critical resources (hide)'!BJ$6:BJ$105)+SUMIF(Capacity_Resource,$E128,'Critical resources (hide)'!BJ$6:BJ$105)+SUMIF(Capacity_Resource,$F128,'Critical resources (hide)'!BJ$6:BJ$105)&gt;0,$E$1=2),0,1)</f>
        <v>1</v>
      </c>
      <c r="AX128" s="68">
        <f ca="1">IF(AND(SUMIF(Capacity_Resource,$D128,'Critical resources (hide)'!BK$6:BK$105)+SUMIF(Capacity_Resource,$E128,'Critical resources (hide)'!BK$6:BK$105)+SUMIF(Capacity_Resource,$F128,'Critical resources (hide)'!BK$6:BK$105)&gt;0,$E$1=2),0,1)</f>
        <v>1</v>
      </c>
      <c r="AY128" s="68">
        <f ca="1">IF(AND(SUMIF(Capacity_Resource,$D128,'Critical resources (hide)'!BL$6:BL$105)+SUMIF(Capacity_Resource,$E128,'Critical resources (hide)'!BL$6:BL$105)+SUMIF(Capacity_Resource,$F128,'Critical resources (hide)'!BL$6:BL$105)&gt;0,$E$1=2),0,1)</f>
        <v>1</v>
      </c>
      <c r="AZ128" s="68">
        <f ca="1">IF(AND(SUMIF(Capacity_Resource,$D128,'Critical resources (hide)'!BM$6:BM$105)+SUMIF(Capacity_Resource,$E128,'Critical resources (hide)'!BM$6:BM$105)+SUMIF(Capacity_Resource,$F128,'Critical resources (hide)'!BM$6:BM$105)&gt;0,$E$1=2),0,1)</f>
        <v>1</v>
      </c>
      <c r="BA128" s="68">
        <f ca="1">IF(AND(SUMIF(Capacity_Resource,$D128,'Critical resources (hide)'!BN$6:BN$105)+SUMIF(Capacity_Resource,$E128,'Critical resources (hide)'!BN$6:BN$105)+SUMIF(Capacity_Resource,$F128,'Critical resources (hide)'!BN$6:BN$105)&gt;0,$E$1=2),0,1)</f>
        <v>1</v>
      </c>
      <c r="BB128" s="68">
        <f ca="1">IF(AND(SUMIF(Capacity_Resource,$D128,'Critical resources (hide)'!BO$6:BO$105)+SUMIF(Capacity_Resource,$E128,'Critical resources (hide)'!BO$6:BO$105)+SUMIF(Capacity_Resource,$F128,'Critical resources (hide)'!BO$6:BO$105)&gt;0,$E$1=2),0,1)</f>
        <v>1</v>
      </c>
      <c r="BC128" s="68">
        <f ca="1">IF(AND(SUMIF(Capacity_Resource,$D128,'Critical resources (hide)'!BP$6:BP$105)+SUMIF(Capacity_Resource,$E128,'Critical resources (hide)'!BP$6:BP$105)+SUMIF(Capacity_Resource,$F128,'Critical resources (hide)'!BP$6:BP$105)&gt;0,$E$1=2),0,1)</f>
        <v>1</v>
      </c>
      <c r="BD128" s="68">
        <f ca="1">IF(AND(SUMIF(Capacity_Resource,$D128,'Critical resources (hide)'!BQ$6:BQ$105)+SUMIF(Capacity_Resource,$E128,'Critical resources (hide)'!BQ$6:BQ$105)+SUMIF(Capacity_Resource,$F128,'Critical resources (hide)'!BQ$6:BQ$105)&gt;0,$E$1=2),0,1)</f>
        <v>1</v>
      </c>
      <c r="BE128" s="68">
        <f ca="1">IF(AND(SUMIF(Capacity_Resource,$D128,'Critical resources (hide)'!BR$6:BR$105)+SUMIF(Capacity_Resource,$E128,'Critical resources (hide)'!BR$6:BR$105)+SUMIF(Capacity_Resource,$F128,'Critical resources (hide)'!BR$6:BR$105)&gt;0,$E$1=2),0,1)</f>
        <v>1</v>
      </c>
      <c r="BF128" s="68">
        <f ca="1">IF(AND(SUMIF(Capacity_Resource,$D128,'Critical resources (hide)'!BS$6:BS$105)+SUMIF(Capacity_Resource,$E128,'Critical resources (hide)'!BS$6:BS$105)+SUMIF(Capacity_Resource,$F128,'Critical resources (hide)'!BS$6:BS$105)&gt;0,$E$1=2),0,1)</f>
        <v>1</v>
      </c>
      <c r="BG128" s="68">
        <f ca="1">IF(AND(SUMIF(Capacity_Resource,$D128,'Critical resources (hide)'!BT$6:BT$105)+SUMIF(Capacity_Resource,$E128,'Critical resources (hide)'!BT$6:BT$105)+SUMIF(Capacity_Resource,$F128,'Critical resources (hide)'!BT$6:BT$105)&gt;0,$E$1=2),0,1)</f>
        <v>1</v>
      </c>
      <c r="BH128" s="68">
        <f>IF(ROW(A17)&lt;=Capacity!$M$16,IF('Capacity summary'!$C$14="No",SUM(H128:BG128),'Capacity summary'!$E40),0)</f>
        <v>0</v>
      </c>
      <c r="BI128" s="68" t="str">
        <f>IF(BH128&gt;0,IF(BH128&lt;Capacity!Q33,Capacity!R33,Capacity!T33/'Capacity calculation (hide)'!BH128),"")</f>
        <v/>
      </c>
      <c r="BJ128" s="5"/>
      <c r="BK128" s="5">
        <f>IF($BI128&lt;&gt;"",IF('Capacity summary'!$C$14="Yes",IF(COUNTBLANK('Capacity summary'!$H40:$BG40)&lt;52,IF('Capacity summary'!H40&lt;&gt;"",$BI128*H128,0),H128*$BI128),H128*$BI128),0)</f>
        <v>0</v>
      </c>
      <c r="BL128" s="5">
        <f>IF($BI128&lt;&gt;"",IF('Capacity summary'!$C$14="Yes",IF(COUNTBLANK('Capacity summary'!$H40:$BG40)&lt;52,IF('Capacity summary'!I40&lt;&gt;"",$BI128*I128,0),I128*$BI128),I128*$BI128),0)</f>
        <v>0</v>
      </c>
      <c r="BM128" s="5">
        <f>IF($BI128&lt;&gt;"",IF('Capacity summary'!$C$14="Yes",IF(COUNTBLANK('Capacity summary'!$H40:$BG40)&lt;52,IF('Capacity summary'!J40&lt;&gt;"",$BI128*J128,0),J128*$BI128),J128*$BI128),0)</f>
        <v>0</v>
      </c>
      <c r="BN128" s="5">
        <f>IF($BI128&lt;&gt;"",IF('Capacity summary'!$C$14="Yes",IF(COUNTBLANK('Capacity summary'!$H40:$BG40)&lt;52,IF('Capacity summary'!K40&lt;&gt;"",$BI128*K128,0),K128*$BI128),K128*$BI128),0)</f>
        <v>0</v>
      </c>
      <c r="BO128" s="5">
        <f>IF($BI128&lt;&gt;"",IF('Capacity summary'!$C$14="Yes",IF(COUNTBLANK('Capacity summary'!$H40:$BG40)&lt;52,IF('Capacity summary'!L40&lt;&gt;"",$BI128*L128,0),L128*$BI128),L128*$BI128),0)</f>
        <v>0</v>
      </c>
      <c r="BP128" s="5">
        <f>IF($BI128&lt;&gt;"",IF('Capacity summary'!$C$14="Yes",IF(COUNTBLANK('Capacity summary'!$H40:$BG40)&lt;52,IF('Capacity summary'!M40&lt;&gt;"",$BI128*M128,0),M128*$BI128),M128*$BI128),0)</f>
        <v>0</v>
      </c>
      <c r="BQ128" s="5">
        <f>IF($BI128&lt;&gt;"",IF('Capacity summary'!$C$14="Yes",IF(COUNTBLANK('Capacity summary'!$H40:$BG40)&lt;52,IF('Capacity summary'!N40&lt;&gt;"",$BI128*N128,0),N128*$BI128),N128*$BI128),0)</f>
        <v>0</v>
      </c>
      <c r="BR128" s="5">
        <f>IF($BI128&lt;&gt;"",IF('Capacity summary'!$C$14="Yes",IF(COUNTBLANK('Capacity summary'!$H40:$BG40)&lt;52,IF('Capacity summary'!O40&lt;&gt;"",$BI128*O128,0),O128*$BI128),O128*$BI128),0)</f>
        <v>0</v>
      </c>
      <c r="BS128" s="5">
        <f>IF($BI128&lt;&gt;"",IF('Capacity summary'!$C$14="Yes",IF(COUNTBLANK('Capacity summary'!$H40:$BG40)&lt;52,IF('Capacity summary'!P40&lt;&gt;"",$BI128*P128,0),P128*$BI128),P128*$BI128),0)</f>
        <v>0</v>
      </c>
      <c r="BT128" s="5">
        <f>IF($BI128&lt;&gt;"",IF('Capacity summary'!$C$14="Yes",IF(COUNTBLANK('Capacity summary'!$H40:$BG40)&lt;52,IF('Capacity summary'!Q40&lt;&gt;"",$BI128*Q128,0),Q128*$BI128),Q128*$BI128),0)</f>
        <v>0</v>
      </c>
      <c r="BU128" s="5">
        <f>IF($BI128&lt;&gt;"",IF('Capacity summary'!$C$14="Yes",IF(COUNTBLANK('Capacity summary'!$H40:$BG40)&lt;52,IF('Capacity summary'!R40&lt;&gt;"",$BI128*R128,0),R128*$BI128),R128*$BI128),0)</f>
        <v>0</v>
      </c>
      <c r="BV128" s="5">
        <f>IF($BI128&lt;&gt;"",IF('Capacity summary'!$C$14="Yes",IF(COUNTBLANK('Capacity summary'!$H40:$BG40)&lt;52,IF('Capacity summary'!S40&lt;&gt;"",$BI128*S128,0),S128*$BI128),S128*$BI128),0)</f>
        <v>0</v>
      </c>
      <c r="BW128" s="5">
        <f>IF($BI128&lt;&gt;"",IF('Capacity summary'!$C$14="Yes",IF(COUNTBLANK('Capacity summary'!$H40:$BG40)&lt;52,IF('Capacity summary'!T40&lt;&gt;"",$BI128*T128,0),T128*$BI128),T128*$BI128),0)</f>
        <v>0</v>
      </c>
      <c r="BX128" s="5">
        <f>IF($BI128&lt;&gt;"",IF('Capacity summary'!$C$14="Yes",IF(COUNTBLANK('Capacity summary'!$H40:$BG40)&lt;52,IF('Capacity summary'!U40&lt;&gt;"",$BI128*U128,0),U128*$BI128),U128*$BI128),0)</f>
        <v>0</v>
      </c>
      <c r="BY128" s="5">
        <f>IF($BI128&lt;&gt;"",IF('Capacity summary'!$C$14="Yes",IF(COUNTBLANK('Capacity summary'!$H40:$BG40)&lt;52,IF('Capacity summary'!V40&lt;&gt;"",$BI128*V128,0),V128*$BI128),V128*$BI128),0)</f>
        <v>0</v>
      </c>
      <c r="BZ128" s="5">
        <f>IF($BI128&lt;&gt;"",IF('Capacity summary'!$C$14="Yes",IF(COUNTBLANK('Capacity summary'!$H40:$BG40)&lt;52,IF('Capacity summary'!W40&lt;&gt;"",$BI128*W128,0),W128*$BI128),W128*$BI128),0)</f>
        <v>0</v>
      </c>
      <c r="CA128" s="5">
        <f>IF($BI128&lt;&gt;"",IF('Capacity summary'!$C$14="Yes",IF(COUNTBLANK('Capacity summary'!$H40:$BG40)&lt;52,IF('Capacity summary'!X40&lt;&gt;"",$BI128*X128,0),X128*$BI128),X128*$BI128),0)</f>
        <v>0</v>
      </c>
      <c r="CB128" s="5">
        <f>IF($BI128&lt;&gt;"",IF('Capacity summary'!$C$14="Yes",IF(COUNTBLANK('Capacity summary'!$H40:$BG40)&lt;52,IF('Capacity summary'!Y40&lt;&gt;"",$BI128*Y128,0),Y128*$BI128),Y128*$BI128),0)</f>
        <v>0</v>
      </c>
      <c r="CC128" s="5">
        <f>IF($BI128&lt;&gt;"",IF('Capacity summary'!$C$14="Yes",IF(COUNTBLANK('Capacity summary'!$H40:$BG40)&lt;52,IF('Capacity summary'!Z40&lt;&gt;"",$BI128*Z128,0),Z128*$BI128),Z128*$BI128),0)</f>
        <v>0</v>
      </c>
      <c r="CD128" s="5">
        <f>IF($BI128&lt;&gt;"",IF('Capacity summary'!$C$14="Yes",IF(COUNTBLANK('Capacity summary'!$H40:$BG40)&lt;52,IF('Capacity summary'!AA40&lt;&gt;"",$BI128*AA128,0),AA128*$BI128),AA128*$BI128),0)</f>
        <v>0</v>
      </c>
      <c r="CE128" s="5">
        <f>IF($BI128&lt;&gt;"",IF('Capacity summary'!$C$14="Yes",IF(COUNTBLANK('Capacity summary'!$H40:$BG40)&lt;52,IF('Capacity summary'!AB40&lt;&gt;"",$BI128*AB128,0),AB128*$BI128),AB128*$BI128),0)</f>
        <v>0</v>
      </c>
      <c r="CF128" s="5">
        <f>IF($BI128&lt;&gt;"",IF('Capacity summary'!$C$14="Yes",IF(COUNTBLANK('Capacity summary'!$H40:$BG40)&lt;52,IF('Capacity summary'!AC40&lt;&gt;"",$BI128*AC128,0),AC128*$BI128),AC128*$BI128),0)</f>
        <v>0</v>
      </c>
      <c r="CG128" s="5">
        <f>IF($BI128&lt;&gt;"",IF('Capacity summary'!$C$14="Yes",IF(COUNTBLANK('Capacity summary'!$H40:$BG40)&lt;52,IF('Capacity summary'!AD40&lt;&gt;"",$BI128*AD128,0),AD128*$BI128),AD128*$BI128),0)</f>
        <v>0</v>
      </c>
      <c r="CH128" s="5">
        <f>IF($BI128&lt;&gt;"",IF('Capacity summary'!$C$14="Yes",IF(COUNTBLANK('Capacity summary'!$H40:$BG40)&lt;52,IF('Capacity summary'!AE40&lt;&gt;"",$BI128*AE128,0),AE128*$BI128),AE128*$BI128),0)</f>
        <v>0</v>
      </c>
      <c r="CI128" s="5">
        <f>IF($BI128&lt;&gt;"",IF('Capacity summary'!$C$14="Yes",IF(COUNTBLANK('Capacity summary'!$H40:$BG40)&lt;52,IF('Capacity summary'!AF40&lt;&gt;"",$BI128*AF128,0),AF128*$BI128),AF128*$BI128),0)</f>
        <v>0</v>
      </c>
      <c r="CJ128" s="5">
        <f>IF($BI128&lt;&gt;"",IF('Capacity summary'!$C$14="Yes",IF(COUNTBLANK('Capacity summary'!$H40:$BG40)&lt;52,IF('Capacity summary'!AG40&lt;&gt;"",$BI128*AG128,0),AG128*$BI128),AG128*$BI128),0)</f>
        <v>0</v>
      </c>
      <c r="CK128" s="5">
        <f>IF($BI128&lt;&gt;"",IF('Capacity summary'!$C$14="Yes",IF(COUNTBLANK('Capacity summary'!$H40:$BG40)&lt;52,IF('Capacity summary'!AH40&lt;&gt;"",$BI128*AH128,0),AH128*$BI128),AH128*$BI128),0)</f>
        <v>0</v>
      </c>
      <c r="CL128" s="5">
        <f>IF($BI128&lt;&gt;"",IF('Capacity summary'!$C$14="Yes",IF(COUNTBLANK('Capacity summary'!$H40:$BG40)&lt;52,IF('Capacity summary'!AI40&lt;&gt;"",$BI128*AI128,0),AI128*$BI128),AI128*$BI128),0)</f>
        <v>0</v>
      </c>
      <c r="CM128" s="5">
        <f>IF($BI128&lt;&gt;"",IF('Capacity summary'!$C$14="Yes",IF(COUNTBLANK('Capacity summary'!$H40:$BG40)&lt;52,IF('Capacity summary'!AJ40&lt;&gt;"",$BI128*AJ128,0),AJ128*$BI128),AJ128*$BI128),0)</f>
        <v>0</v>
      </c>
      <c r="CN128" s="5">
        <f>IF($BI128&lt;&gt;"",IF('Capacity summary'!$C$14="Yes",IF(COUNTBLANK('Capacity summary'!$H40:$BG40)&lt;52,IF('Capacity summary'!AK40&lt;&gt;"",$BI128*AK128,0),AK128*$BI128),AK128*$BI128),0)</f>
        <v>0</v>
      </c>
      <c r="CO128" s="5">
        <f>IF($BI128&lt;&gt;"",IF('Capacity summary'!$C$14="Yes",IF(COUNTBLANK('Capacity summary'!$H40:$BG40)&lt;52,IF('Capacity summary'!AL40&lt;&gt;"",$BI128*AL128,0),AL128*$BI128),AL128*$BI128),0)</f>
        <v>0</v>
      </c>
      <c r="CP128" s="5">
        <f>IF($BI128&lt;&gt;"",IF('Capacity summary'!$C$14="Yes",IF(COUNTBLANK('Capacity summary'!$H40:$BG40)&lt;52,IF('Capacity summary'!AM40&lt;&gt;"",$BI128*AM128,0),AM128*$BI128),AM128*$BI128),0)</f>
        <v>0</v>
      </c>
      <c r="CQ128" s="5">
        <f>IF($BI128&lt;&gt;"",IF('Capacity summary'!$C$14="Yes",IF(COUNTBLANK('Capacity summary'!$H40:$BG40)&lt;52,IF('Capacity summary'!AN40&lt;&gt;"",$BI128*AN128,0),AN128*$BI128),AN128*$BI128),0)</f>
        <v>0</v>
      </c>
      <c r="CR128" s="5">
        <f>IF($BI128&lt;&gt;"",IF('Capacity summary'!$C$14="Yes",IF(COUNTBLANK('Capacity summary'!$H40:$BG40)&lt;52,IF('Capacity summary'!AO40&lt;&gt;"",$BI128*AO128,0),AO128*$BI128),AO128*$BI128),0)</f>
        <v>0</v>
      </c>
      <c r="CS128" s="5">
        <f>IF($BI128&lt;&gt;"",IF('Capacity summary'!$C$14="Yes",IF(COUNTBLANK('Capacity summary'!$H40:$BG40)&lt;52,IF('Capacity summary'!AP40&lt;&gt;"",$BI128*AP128,0),AP128*$BI128),AP128*$BI128),0)</f>
        <v>0</v>
      </c>
      <c r="CT128" s="5">
        <f>IF($BI128&lt;&gt;"",IF('Capacity summary'!$C$14="Yes",IF(COUNTBLANK('Capacity summary'!$H40:$BG40)&lt;52,IF('Capacity summary'!AQ40&lt;&gt;"",$BI128*AQ128,0),AQ128*$BI128),AQ128*$BI128),0)</f>
        <v>0</v>
      </c>
      <c r="CU128" s="5">
        <f>IF($BI128&lt;&gt;"",IF('Capacity summary'!$C$14="Yes",IF(COUNTBLANK('Capacity summary'!$H40:$BG40)&lt;52,IF('Capacity summary'!AR40&lt;&gt;"",$BI128*AR128,0),AR128*$BI128),AR128*$BI128),0)</f>
        <v>0</v>
      </c>
      <c r="CV128" s="5">
        <f>IF($BI128&lt;&gt;"",IF('Capacity summary'!$C$14="Yes",IF(COUNTBLANK('Capacity summary'!$H40:$BG40)&lt;52,IF('Capacity summary'!AS40&lt;&gt;"",$BI128*AS128,0),AS128*$BI128),AS128*$BI128),0)</f>
        <v>0</v>
      </c>
      <c r="CW128" s="5">
        <f>IF($BI128&lt;&gt;"",IF('Capacity summary'!$C$14="Yes",IF(COUNTBLANK('Capacity summary'!$H40:$BG40)&lt;52,IF('Capacity summary'!AT40&lt;&gt;"",$BI128*AT128,0),AT128*$BI128),AT128*$BI128),0)</f>
        <v>0</v>
      </c>
      <c r="CX128" s="5">
        <f>IF($BI128&lt;&gt;"",IF('Capacity summary'!$C$14="Yes",IF(COUNTBLANK('Capacity summary'!$H40:$BG40)&lt;52,IF('Capacity summary'!AU40&lt;&gt;"",$BI128*AU128,0),AU128*$BI128),AU128*$BI128),0)</f>
        <v>0</v>
      </c>
      <c r="CY128" s="5">
        <f>IF($BI128&lt;&gt;"",IF('Capacity summary'!$C$14="Yes",IF(COUNTBLANK('Capacity summary'!$H40:$BG40)&lt;52,IF('Capacity summary'!AV40&lt;&gt;"",$BI128*AV128,0),AV128*$BI128),AV128*$BI128),0)</f>
        <v>0</v>
      </c>
      <c r="CZ128" s="5">
        <f>IF($BI128&lt;&gt;"",IF('Capacity summary'!$C$14="Yes",IF(COUNTBLANK('Capacity summary'!$H40:$BG40)&lt;52,IF('Capacity summary'!AW40&lt;&gt;"",$BI128*AW128,0),AW128*$BI128),AW128*$BI128),0)</f>
        <v>0</v>
      </c>
      <c r="DA128" s="5">
        <f>IF($BI128&lt;&gt;"",IF('Capacity summary'!$C$14="Yes",IF(COUNTBLANK('Capacity summary'!$H40:$BG40)&lt;52,IF('Capacity summary'!AX40&lt;&gt;"",$BI128*AX128,0),AX128*$BI128),AX128*$BI128),0)</f>
        <v>0</v>
      </c>
      <c r="DB128" s="5">
        <f>IF($BI128&lt;&gt;"",IF('Capacity summary'!$C$14="Yes",IF(COUNTBLANK('Capacity summary'!$H40:$BG40)&lt;52,IF('Capacity summary'!AY40&lt;&gt;"",$BI128*AY128,0),AY128*$BI128),AY128*$BI128),0)</f>
        <v>0</v>
      </c>
      <c r="DC128" s="5">
        <f>IF($BI128&lt;&gt;"",IF('Capacity summary'!$C$14="Yes",IF(COUNTBLANK('Capacity summary'!$H40:$BG40)&lt;52,IF('Capacity summary'!AZ40&lt;&gt;"",$BI128*AZ128,0),AZ128*$BI128),AZ128*$BI128),0)</f>
        <v>0</v>
      </c>
      <c r="DD128" s="5">
        <f>IF($BI128&lt;&gt;"",IF('Capacity summary'!$C$14="Yes",IF(COUNTBLANK('Capacity summary'!$H40:$BG40)&lt;52,IF('Capacity summary'!BA40&lt;&gt;"",$BI128*BA128,0),BA128*$BI128),BA128*$BI128),0)</f>
        <v>0</v>
      </c>
      <c r="DE128" s="5">
        <f>IF($BI128&lt;&gt;"",IF('Capacity summary'!$C$14="Yes",IF(COUNTBLANK('Capacity summary'!$H40:$BG40)&lt;52,IF('Capacity summary'!BB40&lt;&gt;"",$BI128*BB128,0),BB128*$BI128),BB128*$BI128),0)</f>
        <v>0</v>
      </c>
      <c r="DF128" s="5">
        <f>IF($BI128&lt;&gt;"",IF('Capacity summary'!$C$14="Yes",IF(COUNTBLANK('Capacity summary'!$H40:$BG40)&lt;52,IF('Capacity summary'!BC40&lt;&gt;"",$BI128*BC128,0),BC128*$BI128),BC128*$BI128),0)</f>
        <v>0</v>
      </c>
      <c r="DG128" s="5">
        <f>IF($BI128&lt;&gt;"",IF('Capacity summary'!$C$14="Yes",IF(COUNTBLANK('Capacity summary'!$H40:$BG40)&lt;52,IF('Capacity summary'!BD40&lt;&gt;"",$BI128*BD128,0),BD128*$BI128),BD128*$BI128),0)</f>
        <v>0</v>
      </c>
      <c r="DH128" s="5">
        <f>IF($BI128&lt;&gt;"",IF('Capacity summary'!$C$14="Yes",IF(COUNTBLANK('Capacity summary'!$H40:$BG40)&lt;52,IF('Capacity summary'!BE40&lt;&gt;"",$BI128*BE128,0),BE128*$BI128),BE128*$BI128),0)</f>
        <v>0</v>
      </c>
      <c r="DI128" s="5">
        <f>IF($BI128&lt;&gt;"",IF('Capacity summary'!$C$14="Yes",IF(COUNTBLANK('Capacity summary'!$H40:$BG40)&lt;52,IF('Capacity summary'!BF40&lt;&gt;"",$BI128*BF128,0),BF128*$BI128),BF128*$BI128),0)</f>
        <v>0</v>
      </c>
      <c r="DJ128" s="5">
        <f>IF($BI128&lt;&gt;"",IF('Capacity summary'!$C$14="Yes",IF(COUNTBLANK('Capacity summary'!$H40:$BG40)&lt;52,IF('Capacity summary'!BG40&lt;&gt;"",$BI128*BG128,0),BG128*$BI128),BG128*$BI128),0)</f>
        <v>0</v>
      </c>
      <c r="DK128" s="138">
        <f t="shared" si="6"/>
        <v>0</v>
      </c>
    </row>
    <row r="129" spans="3:115" x14ac:dyDescent="0.2">
      <c r="C129" s="68" t="str">
        <f>ROW(A18)&amp;". "&amp;Capacity!N34</f>
        <v xml:space="preserve">18. </v>
      </c>
      <c r="D129" s="68">
        <f>'Capacity setup'!C135</f>
        <v>0</v>
      </c>
      <c r="E129" s="68">
        <f>'Capacity setup'!D135</f>
        <v>0</v>
      </c>
      <c r="F129" s="68">
        <f>'Capacity setup'!E135</f>
        <v>0</v>
      </c>
      <c r="H129" s="68">
        <f ca="1">IF(AND(SUMIF(Capacity_Resource,$D129,'Critical resources (hide)'!U$6:U$105)+SUMIF(Capacity_Resource,$E129,'Critical resources (hide)'!U$6:U$105)+SUMIF(Capacity_Resource,$F129,'Critical resources (hide)'!U$6:U$105)&gt;0,$E$1=2),0,1)</f>
        <v>1</v>
      </c>
      <c r="I129" s="68">
        <f ca="1">IF(AND(SUMIF(Capacity_Resource,$D129,'Critical resources (hide)'!V$6:V$105)+SUMIF(Capacity_Resource,$E129,'Critical resources (hide)'!V$6:V$105)+SUMIF(Capacity_Resource,$F129,'Critical resources (hide)'!V$6:V$105)&gt;0,$E$1=2),0,1)</f>
        <v>1</v>
      </c>
      <c r="J129" s="68">
        <f ca="1">IF(AND(SUMIF(Capacity_Resource,$D129,'Critical resources (hide)'!W$6:W$105)+SUMIF(Capacity_Resource,$E129,'Critical resources (hide)'!W$6:W$105)+SUMIF(Capacity_Resource,$F129,'Critical resources (hide)'!W$6:W$105)&gt;0,$E$1=2),0,1)</f>
        <v>1</v>
      </c>
      <c r="K129" s="68">
        <f ca="1">IF(AND(SUMIF(Capacity_Resource,$D129,'Critical resources (hide)'!X$6:X$105)+SUMIF(Capacity_Resource,$E129,'Critical resources (hide)'!X$6:X$105)+SUMIF(Capacity_Resource,$F129,'Critical resources (hide)'!X$6:X$105)&gt;0,$E$1=2),0,1)</f>
        <v>1</v>
      </c>
      <c r="L129" s="68">
        <f ca="1">IF(AND(SUMIF(Capacity_Resource,$D129,'Critical resources (hide)'!Y$6:Y$105)+SUMIF(Capacity_Resource,$E129,'Critical resources (hide)'!Y$6:Y$105)+SUMIF(Capacity_Resource,$F129,'Critical resources (hide)'!Y$6:Y$105)&gt;0,$E$1=2),0,1)</f>
        <v>1</v>
      </c>
      <c r="M129" s="68">
        <f ca="1">IF(AND(SUMIF(Capacity_Resource,$D129,'Critical resources (hide)'!Z$6:Z$105)+SUMIF(Capacity_Resource,$E129,'Critical resources (hide)'!Z$6:Z$105)+SUMIF(Capacity_Resource,$F129,'Critical resources (hide)'!Z$6:Z$105)&gt;0,$E$1=2),0,1)</f>
        <v>1</v>
      </c>
      <c r="N129" s="68">
        <f ca="1">IF(AND(SUMIF(Capacity_Resource,$D129,'Critical resources (hide)'!AA$6:AA$105)+SUMIF(Capacity_Resource,$E129,'Critical resources (hide)'!AA$6:AA$105)+SUMIF(Capacity_Resource,$F129,'Critical resources (hide)'!AA$6:AA$105)&gt;0,$E$1=2),0,1)</f>
        <v>1</v>
      </c>
      <c r="O129" s="68">
        <f ca="1">IF(AND(SUMIF(Capacity_Resource,$D129,'Critical resources (hide)'!AB$6:AB$105)+SUMIF(Capacity_Resource,$E129,'Critical resources (hide)'!AB$6:AB$105)+SUMIF(Capacity_Resource,$F129,'Critical resources (hide)'!AB$6:AB$105)&gt;0,$E$1=2),0,1)</f>
        <v>1</v>
      </c>
      <c r="P129" s="68">
        <f ca="1">IF(AND(SUMIF(Capacity_Resource,$D129,'Critical resources (hide)'!AC$6:AC$105)+SUMIF(Capacity_Resource,$E129,'Critical resources (hide)'!AC$6:AC$105)+SUMIF(Capacity_Resource,$F129,'Critical resources (hide)'!AC$6:AC$105)&gt;0,$E$1=2),0,1)</f>
        <v>1</v>
      </c>
      <c r="Q129" s="68">
        <f ca="1">IF(AND(SUMIF(Capacity_Resource,$D129,'Critical resources (hide)'!AD$6:AD$105)+SUMIF(Capacity_Resource,$E129,'Critical resources (hide)'!AD$6:AD$105)+SUMIF(Capacity_Resource,$F129,'Critical resources (hide)'!AD$6:AD$105)&gt;0,$E$1=2),0,1)</f>
        <v>1</v>
      </c>
      <c r="R129" s="68">
        <f ca="1">IF(AND(SUMIF(Capacity_Resource,$D129,'Critical resources (hide)'!AE$6:AE$105)+SUMIF(Capacity_Resource,$E129,'Critical resources (hide)'!AE$6:AE$105)+SUMIF(Capacity_Resource,$F129,'Critical resources (hide)'!AE$6:AE$105)&gt;0,$E$1=2),0,1)</f>
        <v>1</v>
      </c>
      <c r="S129" s="68">
        <f ca="1">IF(AND(SUMIF(Capacity_Resource,$D129,'Critical resources (hide)'!AF$6:AF$105)+SUMIF(Capacity_Resource,$E129,'Critical resources (hide)'!AF$6:AF$105)+SUMIF(Capacity_Resource,$F129,'Critical resources (hide)'!AF$6:AF$105)&gt;0,$E$1=2),0,1)</f>
        <v>1</v>
      </c>
      <c r="T129" s="68">
        <f ca="1">IF(AND(SUMIF(Capacity_Resource,$D129,'Critical resources (hide)'!AG$6:AG$105)+SUMIF(Capacity_Resource,$E129,'Critical resources (hide)'!AG$6:AG$105)+SUMIF(Capacity_Resource,$F129,'Critical resources (hide)'!AG$6:AG$105)&gt;0,$E$1=2),0,1)</f>
        <v>1</v>
      </c>
      <c r="U129" s="68">
        <f ca="1">IF(AND(SUMIF(Capacity_Resource,$D129,'Critical resources (hide)'!AH$6:AH$105)+SUMIF(Capacity_Resource,$E129,'Critical resources (hide)'!AH$6:AH$105)+SUMIF(Capacity_Resource,$F129,'Critical resources (hide)'!AH$6:AH$105)&gt;0,$E$1=2),0,1)</f>
        <v>1</v>
      </c>
      <c r="V129" s="68">
        <f ca="1">IF(AND(SUMIF(Capacity_Resource,$D129,'Critical resources (hide)'!AI$6:AI$105)+SUMIF(Capacity_Resource,$E129,'Critical resources (hide)'!AI$6:AI$105)+SUMIF(Capacity_Resource,$F129,'Critical resources (hide)'!AI$6:AI$105)&gt;0,$E$1=2),0,1)</f>
        <v>1</v>
      </c>
      <c r="W129" s="68">
        <f ca="1">IF(AND(SUMIF(Capacity_Resource,$D129,'Critical resources (hide)'!AJ$6:AJ$105)+SUMIF(Capacity_Resource,$E129,'Critical resources (hide)'!AJ$6:AJ$105)+SUMIF(Capacity_Resource,$F129,'Critical resources (hide)'!AJ$6:AJ$105)&gt;0,$E$1=2),0,1)</f>
        <v>1</v>
      </c>
      <c r="X129" s="68">
        <f ca="1">IF(AND(SUMIF(Capacity_Resource,$D129,'Critical resources (hide)'!AK$6:AK$105)+SUMIF(Capacity_Resource,$E129,'Critical resources (hide)'!AK$6:AK$105)+SUMIF(Capacity_Resource,$F129,'Critical resources (hide)'!AK$6:AK$105)&gt;0,$E$1=2),0,1)</f>
        <v>1</v>
      </c>
      <c r="Y129" s="68">
        <f ca="1">IF(AND(SUMIF(Capacity_Resource,$D129,'Critical resources (hide)'!AL$6:AL$105)+SUMIF(Capacity_Resource,$E129,'Critical resources (hide)'!AL$6:AL$105)+SUMIF(Capacity_Resource,$F129,'Critical resources (hide)'!AL$6:AL$105)&gt;0,$E$1=2),0,1)</f>
        <v>1</v>
      </c>
      <c r="Z129" s="68">
        <f ca="1">IF(AND(SUMIF(Capacity_Resource,$D129,'Critical resources (hide)'!AM$6:AM$105)+SUMIF(Capacity_Resource,$E129,'Critical resources (hide)'!AM$6:AM$105)+SUMIF(Capacity_Resource,$F129,'Critical resources (hide)'!AM$6:AM$105)&gt;0,$E$1=2),0,1)</f>
        <v>1</v>
      </c>
      <c r="AA129" s="68">
        <f ca="1">IF(AND(SUMIF(Capacity_Resource,$D129,'Critical resources (hide)'!AN$6:AN$105)+SUMIF(Capacity_Resource,$E129,'Critical resources (hide)'!AN$6:AN$105)+SUMIF(Capacity_Resource,$F129,'Critical resources (hide)'!AN$6:AN$105)&gt;0,$E$1=2),0,1)</f>
        <v>1</v>
      </c>
      <c r="AB129" s="68">
        <f ca="1">IF(AND(SUMIF(Capacity_Resource,$D129,'Critical resources (hide)'!AO$6:AO$105)+SUMIF(Capacity_Resource,$E129,'Critical resources (hide)'!AO$6:AO$105)+SUMIF(Capacity_Resource,$F129,'Critical resources (hide)'!AO$6:AO$105)&gt;0,$E$1=2),0,1)</f>
        <v>1</v>
      </c>
      <c r="AC129" s="68">
        <f ca="1">IF(AND(SUMIF(Capacity_Resource,$D129,'Critical resources (hide)'!AP$6:AP$105)+SUMIF(Capacity_Resource,$E129,'Critical resources (hide)'!AP$6:AP$105)+SUMIF(Capacity_Resource,$F129,'Critical resources (hide)'!AP$6:AP$105)&gt;0,$E$1=2),0,1)</f>
        <v>1</v>
      </c>
      <c r="AD129" s="68">
        <f ca="1">IF(AND(SUMIF(Capacity_Resource,$D129,'Critical resources (hide)'!AQ$6:AQ$105)+SUMIF(Capacity_Resource,$E129,'Critical resources (hide)'!AQ$6:AQ$105)+SUMIF(Capacity_Resource,$F129,'Critical resources (hide)'!AQ$6:AQ$105)&gt;0,$E$1=2),0,1)</f>
        <v>1</v>
      </c>
      <c r="AE129" s="68">
        <f ca="1">IF(AND(SUMIF(Capacity_Resource,$D129,'Critical resources (hide)'!AR$6:AR$105)+SUMIF(Capacity_Resource,$E129,'Critical resources (hide)'!AR$6:AR$105)+SUMIF(Capacity_Resource,$F129,'Critical resources (hide)'!AR$6:AR$105)&gt;0,$E$1=2),0,1)</f>
        <v>1</v>
      </c>
      <c r="AF129" s="68">
        <f ca="1">IF(AND(SUMIF(Capacity_Resource,$D129,'Critical resources (hide)'!AS$6:AS$105)+SUMIF(Capacity_Resource,$E129,'Critical resources (hide)'!AS$6:AS$105)+SUMIF(Capacity_Resource,$F129,'Critical resources (hide)'!AS$6:AS$105)&gt;0,$E$1=2),0,1)</f>
        <v>1</v>
      </c>
      <c r="AG129" s="68">
        <f ca="1">IF(AND(SUMIF(Capacity_Resource,$D129,'Critical resources (hide)'!AT$6:AT$105)+SUMIF(Capacity_Resource,$E129,'Critical resources (hide)'!AT$6:AT$105)+SUMIF(Capacity_Resource,$F129,'Critical resources (hide)'!AT$6:AT$105)&gt;0,$E$1=2),0,1)</f>
        <v>1</v>
      </c>
      <c r="AH129" s="68">
        <f ca="1">IF(AND(SUMIF(Capacity_Resource,$D129,'Critical resources (hide)'!AU$6:AU$105)+SUMIF(Capacity_Resource,$E129,'Critical resources (hide)'!AU$6:AU$105)+SUMIF(Capacity_Resource,$F129,'Critical resources (hide)'!AU$6:AU$105)&gt;0,$E$1=2),0,1)</f>
        <v>1</v>
      </c>
      <c r="AI129" s="68">
        <f ca="1">IF(AND(SUMIF(Capacity_Resource,$D129,'Critical resources (hide)'!AV$6:AV$105)+SUMIF(Capacity_Resource,$E129,'Critical resources (hide)'!AV$6:AV$105)+SUMIF(Capacity_Resource,$F129,'Critical resources (hide)'!AV$6:AV$105)&gt;0,$E$1=2),0,1)</f>
        <v>1</v>
      </c>
      <c r="AJ129" s="68">
        <f ca="1">IF(AND(SUMIF(Capacity_Resource,$D129,'Critical resources (hide)'!AW$6:AW$105)+SUMIF(Capacity_Resource,$E129,'Critical resources (hide)'!AW$6:AW$105)+SUMIF(Capacity_Resource,$F129,'Critical resources (hide)'!AW$6:AW$105)&gt;0,$E$1=2),0,1)</f>
        <v>1</v>
      </c>
      <c r="AK129" s="68">
        <f ca="1">IF(AND(SUMIF(Capacity_Resource,$D129,'Critical resources (hide)'!AX$6:AX$105)+SUMIF(Capacity_Resource,$E129,'Critical resources (hide)'!AX$6:AX$105)+SUMIF(Capacity_Resource,$F129,'Critical resources (hide)'!AX$6:AX$105)&gt;0,$E$1=2),0,1)</f>
        <v>1</v>
      </c>
      <c r="AL129" s="68">
        <f ca="1">IF(AND(SUMIF(Capacity_Resource,$D129,'Critical resources (hide)'!AY$6:AY$105)+SUMIF(Capacity_Resource,$E129,'Critical resources (hide)'!AY$6:AY$105)+SUMIF(Capacity_Resource,$F129,'Critical resources (hide)'!AY$6:AY$105)&gt;0,$E$1=2),0,1)</f>
        <v>1</v>
      </c>
      <c r="AM129" s="68">
        <f ca="1">IF(AND(SUMIF(Capacity_Resource,$D129,'Critical resources (hide)'!AZ$6:AZ$105)+SUMIF(Capacity_Resource,$E129,'Critical resources (hide)'!AZ$6:AZ$105)+SUMIF(Capacity_Resource,$F129,'Critical resources (hide)'!AZ$6:AZ$105)&gt;0,$E$1=2),0,1)</f>
        <v>1</v>
      </c>
      <c r="AN129" s="68">
        <f ca="1">IF(AND(SUMIF(Capacity_Resource,$D129,'Critical resources (hide)'!BA$6:BA$105)+SUMIF(Capacity_Resource,$E129,'Critical resources (hide)'!BA$6:BA$105)+SUMIF(Capacity_Resource,$F129,'Critical resources (hide)'!BA$6:BA$105)&gt;0,$E$1=2),0,1)</f>
        <v>1</v>
      </c>
      <c r="AO129" s="68">
        <f ca="1">IF(AND(SUMIF(Capacity_Resource,$D129,'Critical resources (hide)'!BB$6:BB$105)+SUMIF(Capacity_Resource,$E129,'Critical resources (hide)'!BB$6:BB$105)+SUMIF(Capacity_Resource,$F129,'Critical resources (hide)'!BB$6:BB$105)&gt;0,$E$1=2),0,1)</f>
        <v>1</v>
      </c>
      <c r="AP129" s="68">
        <f ca="1">IF(AND(SUMIF(Capacity_Resource,$D129,'Critical resources (hide)'!BC$6:BC$105)+SUMIF(Capacity_Resource,$E129,'Critical resources (hide)'!BC$6:BC$105)+SUMIF(Capacity_Resource,$F129,'Critical resources (hide)'!BC$6:BC$105)&gt;0,$E$1=2),0,1)</f>
        <v>1</v>
      </c>
      <c r="AQ129" s="68">
        <f ca="1">IF(AND(SUMIF(Capacity_Resource,$D129,'Critical resources (hide)'!BD$6:BD$105)+SUMIF(Capacity_Resource,$E129,'Critical resources (hide)'!BD$6:BD$105)+SUMIF(Capacity_Resource,$F129,'Critical resources (hide)'!BD$6:BD$105)&gt;0,$E$1=2),0,1)</f>
        <v>1</v>
      </c>
      <c r="AR129" s="68">
        <f ca="1">IF(AND(SUMIF(Capacity_Resource,$D129,'Critical resources (hide)'!BE$6:BE$105)+SUMIF(Capacity_Resource,$E129,'Critical resources (hide)'!BE$6:BE$105)+SUMIF(Capacity_Resource,$F129,'Critical resources (hide)'!BE$6:BE$105)&gt;0,$E$1=2),0,1)</f>
        <v>1</v>
      </c>
      <c r="AS129" s="68">
        <f ca="1">IF(AND(SUMIF(Capacity_Resource,$D129,'Critical resources (hide)'!BF$6:BF$105)+SUMIF(Capacity_Resource,$E129,'Critical resources (hide)'!BF$6:BF$105)+SUMIF(Capacity_Resource,$F129,'Critical resources (hide)'!BF$6:BF$105)&gt;0,$E$1=2),0,1)</f>
        <v>1</v>
      </c>
      <c r="AT129" s="68">
        <f ca="1">IF(AND(SUMIF(Capacity_Resource,$D129,'Critical resources (hide)'!BG$6:BG$105)+SUMIF(Capacity_Resource,$E129,'Critical resources (hide)'!BG$6:BG$105)+SUMIF(Capacity_Resource,$F129,'Critical resources (hide)'!BG$6:BG$105)&gt;0,$E$1=2),0,1)</f>
        <v>1</v>
      </c>
      <c r="AU129" s="68">
        <f ca="1">IF(AND(SUMIF(Capacity_Resource,$D129,'Critical resources (hide)'!BH$6:BH$105)+SUMIF(Capacity_Resource,$E129,'Critical resources (hide)'!BH$6:BH$105)+SUMIF(Capacity_Resource,$F129,'Critical resources (hide)'!BH$6:BH$105)&gt;0,$E$1=2),0,1)</f>
        <v>1</v>
      </c>
      <c r="AV129" s="68">
        <f ca="1">IF(AND(SUMIF(Capacity_Resource,$D129,'Critical resources (hide)'!BI$6:BI$105)+SUMIF(Capacity_Resource,$E129,'Critical resources (hide)'!BI$6:BI$105)+SUMIF(Capacity_Resource,$F129,'Critical resources (hide)'!BI$6:BI$105)&gt;0,$E$1=2),0,1)</f>
        <v>1</v>
      </c>
      <c r="AW129" s="68">
        <f ca="1">IF(AND(SUMIF(Capacity_Resource,$D129,'Critical resources (hide)'!BJ$6:BJ$105)+SUMIF(Capacity_Resource,$E129,'Critical resources (hide)'!BJ$6:BJ$105)+SUMIF(Capacity_Resource,$F129,'Critical resources (hide)'!BJ$6:BJ$105)&gt;0,$E$1=2),0,1)</f>
        <v>1</v>
      </c>
      <c r="AX129" s="68">
        <f ca="1">IF(AND(SUMIF(Capacity_Resource,$D129,'Critical resources (hide)'!BK$6:BK$105)+SUMIF(Capacity_Resource,$E129,'Critical resources (hide)'!BK$6:BK$105)+SUMIF(Capacity_Resource,$F129,'Critical resources (hide)'!BK$6:BK$105)&gt;0,$E$1=2),0,1)</f>
        <v>1</v>
      </c>
      <c r="AY129" s="68">
        <f ca="1">IF(AND(SUMIF(Capacity_Resource,$D129,'Critical resources (hide)'!BL$6:BL$105)+SUMIF(Capacity_Resource,$E129,'Critical resources (hide)'!BL$6:BL$105)+SUMIF(Capacity_Resource,$F129,'Critical resources (hide)'!BL$6:BL$105)&gt;0,$E$1=2),0,1)</f>
        <v>1</v>
      </c>
      <c r="AZ129" s="68">
        <f ca="1">IF(AND(SUMIF(Capacity_Resource,$D129,'Critical resources (hide)'!BM$6:BM$105)+SUMIF(Capacity_Resource,$E129,'Critical resources (hide)'!BM$6:BM$105)+SUMIF(Capacity_Resource,$F129,'Critical resources (hide)'!BM$6:BM$105)&gt;0,$E$1=2),0,1)</f>
        <v>1</v>
      </c>
      <c r="BA129" s="68">
        <f ca="1">IF(AND(SUMIF(Capacity_Resource,$D129,'Critical resources (hide)'!BN$6:BN$105)+SUMIF(Capacity_Resource,$E129,'Critical resources (hide)'!BN$6:BN$105)+SUMIF(Capacity_Resource,$F129,'Critical resources (hide)'!BN$6:BN$105)&gt;0,$E$1=2),0,1)</f>
        <v>1</v>
      </c>
      <c r="BB129" s="68">
        <f ca="1">IF(AND(SUMIF(Capacity_Resource,$D129,'Critical resources (hide)'!BO$6:BO$105)+SUMIF(Capacity_Resource,$E129,'Critical resources (hide)'!BO$6:BO$105)+SUMIF(Capacity_Resource,$F129,'Critical resources (hide)'!BO$6:BO$105)&gt;0,$E$1=2),0,1)</f>
        <v>1</v>
      </c>
      <c r="BC129" s="68">
        <f ca="1">IF(AND(SUMIF(Capacity_Resource,$D129,'Critical resources (hide)'!BP$6:BP$105)+SUMIF(Capacity_Resource,$E129,'Critical resources (hide)'!BP$6:BP$105)+SUMIF(Capacity_Resource,$F129,'Critical resources (hide)'!BP$6:BP$105)&gt;0,$E$1=2),0,1)</f>
        <v>1</v>
      </c>
      <c r="BD129" s="68">
        <f ca="1">IF(AND(SUMIF(Capacity_Resource,$D129,'Critical resources (hide)'!BQ$6:BQ$105)+SUMIF(Capacity_Resource,$E129,'Critical resources (hide)'!BQ$6:BQ$105)+SUMIF(Capacity_Resource,$F129,'Critical resources (hide)'!BQ$6:BQ$105)&gt;0,$E$1=2),0,1)</f>
        <v>1</v>
      </c>
      <c r="BE129" s="68">
        <f ca="1">IF(AND(SUMIF(Capacity_Resource,$D129,'Critical resources (hide)'!BR$6:BR$105)+SUMIF(Capacity_Resource,$E129,'Critical resources (hide)'!BR$6:BR$105)+SUMIF(Capacity_Resource,$F129,'Critical resources (hide)'!BR$6:BR$105)&gt;0,$E$1=2),0,1)</f>
        <v>1</v>
      </c>
      <c r="BF129" s="68">
        <f ca="1">IF(AND(SUMIF(Capacity_Resource,$D129,'Critical resources (hide)'!BS$6:BS$105)+SUMIF(Capacity_Resource,$E129,'Critical resources (hide)'!BS$6:BS$105)+SUMIF(Capacity_Resource,$F129,'Critical resources (hide)'!BS$6:BS$105)&gt;0,$E$1=2),0,1)</f>
        <v>1</v>
      </c>
      <c r="BG129" s="68">
        <f ca="1">IF(AND(SUMIF(Capacity_Resource,$D129,'Critical resources (hide)'!BT$6:BT$105)+SUMIF(Capacity_Resource,$E129,'Critical resources (hide)'!BT$6:BT$105)+SUMIF(Capacity_Resource,$F129,'Critical resources (hide)'!BT$6:BT$105)&gt;0,$E$1=2),0,1)</f>
        <v>1</v>
      </c>
      <c r="BH129" s="68">
        <f>IF(ROW(A18)&lt;=Capacity!$M$16,IF('Capacity summary'!$C$14="No",SUM(H129:BG129),'Capacity summary'!$E41),0)</f>
        <v>0</v>
      </c>
      <c r="BI129" s="68" t="str">
        <f>IF(BH129&gt;0,IF(BH129&lt;Capacity!Q34,Capacity!R34,Capacity!T34/'Capacity calculation (hide)'!BH129),"")</f>
        <v/>
      </c>
      <c r="BJ129" s="5"/>
      <c r="BK129" s="5">
        <f>IF($BI129&lt;&gt;"",IF('Capacity summary'!$C$14="Yes",IF(COUNTBLANK('Capacity summary'!$H41:$BG41)&lt;52,IF('Capacity summary'!H41&lt;&gt;"",$BI129*H129,0),H129*$BI129),H129*$BI129),0)</f>
        <v>0</v>
      </c>
      <c r="BL129" s="5">
        <f>IF($BI129&lt;&gt;"",IF('Capacity summary'!$C$14="Yes",IF(COUNTBLANK('Capacity summary'!$H41:$BG41)&lt;52,IF('Capacity summary'!I41&lt;&gt;"",$BI129*I129,0),I129*$BI129),I129*$BI129),0)</f>
        <v>0</v>
      </c>
      <c r="BM129" s="5">
        <f>IF($BI129&lt;&gt;"",IF('Capacity summary'!$C$14="Yes",IF(COUNTBLANK('Capacity summary'!$H41:$BG41)&lt;52,IF('Capacity summary'!J41&lt;&gt;"",$BI129*J129,0),J129*$BI129),J129*$BI129),0)</f>
        <v>0</v>
      </c>
      <c r="BN129" s="5">
        <f>IF($BI129&lt;&gt;"",IF('Capacity summary'!$C$14="Yes",IF(COUNTBLANK('Capacity summary'!$H41:$BG41)&lt;52,IF('Capacity summary'!K41&lt;&gt;"",$BI129*K129,0),K129*$BI129),K129*$BI129),0)</f>
        <v>0</v>
      </c>
      <c r="BO129" s="5">
        <f>IF($BI129&lt;&gt;"",IF('Capacity summary'!$C$14="Yes",IF(COUNTBLANK('Capacity summary'!$H41:$BG41)&lt;52,IF('Capacity summary'!L41&lt;&gt;"",$BI129*L129,0),L129*$BI129),L129*$BI129),0)</f>
        <v>0</v>
      </c>
      <c r="BP129" s="5">
        <f>IF($BI129&lt;&gt;"",IF('Capacity summary'!$C$14="Yes",IF(COUNTBLANK('Capacity summary'!$H41:$BG41)&lt;52,IF('Capacity summary'!M41&lt;&gt;"",$BI129*M129,0),M129*$BI129),M129*$BI129),0)</f>
        <v>0</v>
      </c>
      <c r="BQ129" s="5">
        <f>IF($BI129&lt;&gt;"",IF('Capacity summary'!$C$14="Yes",IF(COUNTBLANK('Capacity summary'!$H41:$BG41)&lt;52,IF('Capacity summary'!N41&lt;&gt;"",$BI129*N129,0),N129*$BI129),N129*$BI129),0)</f>
        <v>0</v>
      </c>
      <c r="BR129" s="5">
        <f>IF($BI129&lt;&gt;"",IF('Capacity summary'!$C$14="Yes",IF(COUNTBLANK('Capacity summary'!$H41:$BG41)&lt;52,IF('Capacity summary'!O41&lt;&gt;"",$BI129*O129,0),O129*$BI129),O129*$BI129),0)</f>
        <v>0</v>
      </c>
      <c r="BS129" s="5">
        <f>IF($BI129&lt;&gt;"",IF('Capacity summary'!$C$14="Yes",IF(COUNTBLANK('Capacity summary'!$H41:$BG41)&lt;52,IF('Capacity summary'!P41&lt;&gt;"",$BI129*P129,0),P129*$BI129),P129*$BI129),0)</f>
        <v>0</v>
      </c>
      <c r="BT129" s="5">
        <f>IF($BI129&lt;&gt;"",IF('Capacity summary'!$C$14="Yes",IF(COUNTBLANK('Capacity summary'!$H41:$BG41)&lt;52,IF('Capacity summary'!Q41&lt;&gt;"",$BI129*Q129,0),Q129*$BI129),Q129*$BI129),0)</f>
        <v>0</v>
      </c>
      <c r="BU129" s="5">
        <f>IF($BI129&lt;&gt;"",IF('Capacity summary'!$C$14="Yes",IF(COUNTBLANK('Capacity summary'!$H41:$BG41)&lt;52,IF('Capacity summary'!R41&lt;&gt;"",$BI129*R129,0),R129*$BI129),R129*$BI129),0)</f>
        <v>0</v>
      </c>
      <c r="BV129" s="5">
        <f>IF($BI129&lt;&gt;"",IF('Capacity summary'!$C$14="Yes",IF(COUNTBLANK('Capacity summary'!$H41:$BG41)&lt;52,IF('Capacity summary'!S41&lt;&gt;"",$BI129*S129,0),S129*$BI129),S129*$BI129),0)</f>
        <v>0</v>
      </c>
      <c r="BW129" s="5">
        <f>IF($BI129&lt;&gt;"",IF('Capacity summary'!$C$14="Yes",IF(COUNTBLANK('Capacity summary'!$H41:$BG41)&lt;52,IF('Capacity summary'!T41&lt;&gt;"",$BI129*T129,0),T129*$BI129),T129*$BI129),0)</f>
        <v>0</v>
      </c>
      <c r="BX129" s="5">
        <f>IF($BI129&lt;&gt;"",IF('Capacity summary'!$C$14="Yes",IF(COUNTBLANK('Capacity summary'!$H41:$BG41)&lt;52,IF('Capacity summary'!U41&lt;&gt;"",$BI129*U129,0),U129*$BI129),U129*$BI129),0)</f>
        <v>0</v>
      </c>
      <c r="BY129" s="5">
        <f>IF($BI129&lt;&gt;"",IF('Capacity summary'!$C$14="Yes",IF(COUNTBLANK('Capacity summary'!$H41:$BG41)&lt;52,IF('Capacity summary'!V41&lt;&gt;"",$BI129*V129,0),V129*$BI129),V129*$BI129),0)</f>
        <v>0</v>
      </c>
      <c r="BZ129" s="5">
        <f>IF($BI129&lt;&gt;"",IF('Capacity summary'!$C$14="Yes",IF(COUNTBLANK('Capacity summary'!$H41:$BG41)&lt;52,IF('Capacity summary'!W41&lt;&gt;"",$BI129*W129,0),W129*$BI129),W129*$BI129),0)</f>
        <v>0</v>
      </c>
      <c r="CA129" s="5">
        <f>IF($BI129&lt;&gt;"",IF('Capacity summary'!$C$14="Yes",IF(COUNTBLANK('Capacity summary'!$H41:$BG41)&lt;52,IF('Capacity summary'!X41&lt;&gt;"",$BI129*X129,0),X129*$BI129),X129*$BI129),0)</f>
        <v>0</v>
      </c>
      <c r="CB129" s="5">
        <f>IF($BI129&lt;&gt;"",IF('Capacity summary'!$C$14="Yes",IF(COUNTBLANK('Capacity summary'!$H41:$BG41)&lt;52,IF('Capacity summary'!Y41&lt;&gt;"",$BI129*Y129,0),Y129*$BI129),Y129*$BI129),0)</f>
        <v>0</v>
      </c>
      <c r="CC129" s="5">
        <f>IF($BI129&lt;&gt;"",IF('Capacity summary'!$C$14="Yes",IF(COUNTBLANK('Capacity summary'!$H41:$BG41)&lt;52,IF('Capacity summary'!Z41&lt;&gt;"",$BI129*Z129,0),Z129*$BI129),Z129*$BI129),0)</f>
        <v>0</v>
      </c>
      <c r="CD129" s="5">
        <f>IF($BI129&lt;&gt;"",IF('Capacity summary'!$C$14="Yes",IF(COUNTBLANK('Capacity summary'!$H41:$BG41)&lt;52,IF('Capacity summary'!AA41&lt;&gt;"",$BI129*AA129,0),AA129*$BI129),AA129*$BI129),0)</f>
        <v>0</v>
      </c>
      <c r="CE129" s="5">
        <f>IF($BI129&lt;&gt;"",IF('Capacity summary'!$C$14="Yes",IF(COUNTBLANK('Capacity summary'!$H41:$BG41)&lt;52,IF('Capacity summary'!AB41&lt;&gt;"",$BI129*AB129,0),AB129*$BI129),AB129*$BI129),0)</f>
        <v>0</v>
      </c>
      <c r="CF129" s="5">
        <f>IF($BI129&lt;&gt;"",IF('Capacity summary'!$C$14="Yes",IF(COUNTBLANK('Capacity summary'!$H41:$BG41)&lt;52,IF('Capacity summary'!AC41&lt;&gt;"",$BI129*AC129,0),AC129*$BI129),AC129*$BI129),0)</f>
        <v>0</v>
      </c>
      <c r="CG129" s="5">
        <f>IF($BI129&lt;&gt;"",IF('Capacity summary'!$C$14="Yes",IF(COUNTBLANK('Capacity summary'!$H41:$BG41)&lt;52,IF('Capacity summary'!AD41&lt;&gt;"",$BI129*AD129,0),AD129*$BI129),AD129*$BI129),0)</f>
        <v>0</v>
      </c>
      <c r="CH129" s="5">
        <f>IF($BI129&lt;&gt;"",IF('Capacity summary'!$C$14="Yes",IF(COUNTBLANK('Capacity summary'!$H41:$BG41)&lt;52,IF('Capacity summary'!AE41&lt;&gt;"",$BI129*AE129,0),AE129*$BI129),AE129*$BI129),0)</f>
        <v>0</v>
      </c>
      <c r="CI129" s="5">
        <f>IF($BI129&lt;&gt;"",IF('Capacity summary'!$C$14="Yes",IF(COUNTBLANK('Capacity summary'!$H41:$BG41)&lt;52,IF('Capacity summary'!AF41&lt;&gt;"",$BI129*AF129,0),AF129*$BI129),AF129*$BI129),0)</f>
        <v>0</v>
      </c>
      <c r="CJ129" s="5">
        <f>IF($BI129&lt;&gt;"",IF('Capacity summary'!$C$14="Yes",IF(COUNTBLANK('Capacity summary'!$H41:$BG41)&lt;52,IF('Capacity summary'!AG41&lt;&gt;"",$BI129*AG129,0),AG129*$BI129),AG129*$BI129),0)</f>
        <v>0</v>
      </c>
      <c r="CK129" s="5">
        <f>IF($BI129&lt;&gt;"",IF('Capacity summary'!$C$14="Yes",IF(COUNTBLANK('Capacity summary'!$H41:$BG41)&lt;52,IF('Capacity summary'!AH41&lt;&gt;"",$BI129*AH129,0),AH129*$BI129),AH129*$BI129),0)</f>
        <v>0</v>
      </c>
      <c r="CL129" s="5">
        <f>IF($BI129&lt;&gt;"",IF('Capacity summary'!$C$14="Yes",IF(COUNTBLANK('Capacity summary'!$H41:$BG41)&lt;52,IF('Capacity summary'!AI41&lt;&gt;"",$BI129*AI129,0),AI129*$BI129),AI129*$BI129),0)</f>
        <v>0</v>
      </c>
      <c r="CM129" s="5">
        <f>IF($BI129&lt;&gt;"",IF('Capacity summary'!$C$14="Yes",IF(COUNTBLANK('Capacity summary'!$H41:$BG41)&lt;52,IF('Capacity summary'!AJ41&lt;&gt;"",$BI129*AJ129,0),AJ129*$BI129),AJ129*$BI129),0)</f>
        <v>0</v>
      </c>
      <c r="CN129" s="5">
        <f>IF($BI129&lt;&gt;"",IF('Capacity summary'!$C$14="Yes",IF(COUNTBLANK('Capacity summary'!$H41:$BG41)&lt;52,IF('Capacity summary'!AK41&lt;&gt;"",$BI129*AK129,0),AK129*$BI129),AK129*$BI129),0)</f>
        <v>0</v>
      </c>
      <c r="CO129" s="5">
        <f>IF($BI129&lt;&gt;"",IF('Capacity summary'!$C$14="Yes",IF(COUNTBLANK('Capacity summary'!$H41:$BG41)&lt;52,IF('Capacity summary'!AL41&lt;&gt;"",$BI129*AL129,0),AL129*$BI129),AL129*$BI129),0)</f>
        <v>0</v>
      </c>
      <c r="CP129" s="5">
        <f>IF($BI129&lt;&gt;"",IF('Capacity summary'!$C$14="Yes",IF(COUNTBLANK('Capacity summary'!$H41:$BG41)&lt;52,IF('Capacity summary'!AM41&lt;&gt;"",$BI129*AM129,0),AM129*$BI129),AM129*$BI129),0)</f>
        <v>0</v>
      </c>
      <c r="CQ129" s="5">
        <f>IF($BI129&lt;&gt;"",IF('Capacity summary'!$C$14="Yes",IF(COUNTBLANK('Capacity summary'!$H41:$BG41)&lt;52,IF('Capacity summary'!AN41&lt;&gt;"",$BI129*AN129,0),AN129*$BI129),AN129*$BI129),0)</f>
        <v>0</v>
      </c>
      <c r="CR129" s="5">
        <f>IF($BI129&lt;&gt;"",IF('Capacity summary'!$C$14="Yes",IF(COUNTBLANK('Capacity summary'!$H41:$BG41)&lt;52,IF('Capacity summary'!AO41&lt;&gt;"",$BI129*AO129,0),AO129*$BI129),AO129*$BI129),0)</f>
        <v>0</v>
      </c>
      <c r="CS129" s="5">
        <f>IF($BI129&lt;&gt;"",IF('Capacity summary'!$C$14="Yes",IF(COUNTBLANK('Capacity summary'!$H41:$BG41)&lt;52,IF('Capacity summary'!AP41&lt;&gt;"",$BI129*AP129,0),AP129*$BI129),AP129*$BI129),0)</f>
        <v>0</v>
      </c>
      <c r="CT129" s="5">
        <f>IF($BI129&lt;&gt;"",IF('Capacity summary'!$C$14="Yes",IF(COUNTBLANK('Capacity summary'!$H41:$BG41)&lt;52,IF('Capacity summary'!AQ41&lt;&gt;"",$BI129*AQ129,0),AQ129*$BI129),AQ129*$BI129),0)</f>
        <v>0</v>
      </c>
      <c r="CU129" s="5">
        <f>IF($BI129&lt;&gt;"",IF('Capacity summary'!$C$14="Yes",IF(COUNTBLANK('Capacity summary'!$H41:$BG41)&lt;52,IF('Capacity summary'!AR41&lt;&gt;"",$BI129*AR129,0),AR129*$BI129),AR129*$BI129),0)</f>
        <v>0</v>
      </c>
      <c r="CV129" s="5">
        <f>IF($BI129&lt;&gt;"",IF('Capacity summary'!$C$14="Yes",IF(COUNTBLANK('Capacity summary'!$H41:$BG41)&lt;52,IF('Capacity summary'!AS41&lt;&gt;"",$BI129*AS129,0),AS129*$BI129),AS129*$BI129),0)</f>
        <v>0</v>
      </c>
      <c r="CW129" s="5">
        <f>IF($BI129&lt;&gt;"",IF('Capacity summary'!$C$14="Yes",IF(COUNTBLANK('Capacity summary'!$H41:$BG41)&lt;52,IF('Capacity summary'!AT41&lt;&gt;"",$BI129*AT129,0),AT129*$BI129),AT129*$BI129),0)</f>
        <v>0</v>
      </c>
      <c r="CX129" s="5">
        <f>IF($BI129&lt;&gt;"",IF('Capacity summary'!$C$14="Yes",IF(COUNTBLANK('Capacity summary'!$H41:$BG41)&lt;52,IF('Capacity summary'!AU41&lt;&gt;"",$BI129*AU129,0),AU129*$BI129),AU129*$BI129),0)</f>
        <v>0</v>
      </c>
      <c r="CY129" s="5">
        <f>IF($BI129&lt;&gt;"",IF('Capacity summary'!$C$14="Yes",IF(COUNTBLANK('Capacity summary'!$H41:$BG41)&lt;52,IF('Capacity summary'!AV41&lt;&gt;"",$BI129*AV129,0),AV129*$BI129),AV129*$BI129),0)</f>
        <v>0</v>
      </c>
      <c r="CZ129" s="5">
        <f>IF($BI129&lt;&gt;"",IF('Capacity summary'!$C$14="Yes",IF(COUNTBLANK('Capacity summary'!$H41:$BG41)&lt;52,IF('Capacity summary'!AW41&lt;&gt;"",$BI129*AW129,0),AW129*$BI129),AW129*$BI129),0)</f>
        <v>0</v>
      </c>
      <c r="DA129" s="5">
        <f>IF($BI129&lt;&gt;"",IF('Capacity summary'!$C$14="Yes",IF(COUNTBLANK('Capacity summary'!$H41:$BG41)&lt;52,IF('Capacity summary'!AX41&lt;&gt;"",$BI129*AX129,0),AX129*$BI129),AX129*$BI129),0)</f>
        <v>0</v>
      </c>
      <c r="DB129" s="5">
        <f>IF($BI129&lt;&gt;"",IF('Capacity summary'!$C$14="Yes",IF(COUNTBLANK('Capacity summary'!$H41:$BG41)&lt;52,IF('Capacity summary'!AY41&lt;&gt;"",$BI129*AY129,0),AY129*$BI129),AY129*$BI129),0)</f>
        <v>0</v>
      </c>
      <c r="DC129" s="5">
        <f>IF($BI129&lt;&gt;"",IF('Capacity summary'!$C$14="Yes",IF(COUNTBLANK('Capacity summary'!$H41:$BG41)&lt;52,IF('Capacity summary'!AZ41&lt;&gt;"",$BI129*AZ129,0),AZ129*$BI129),AZ129*$BI129),0)</f>
        <v>0</v>
      </c>
      <c r="DD129" s="5">
        <f>IF($BI129&lt;&gt;"",IF('Capacity summary'!$C$14="Yes",IF(COUNTBLANK('Capacity summary'!$H41:$BG41)&lt;52,IF('Capacity summary'!BA41&lt;&gt;"",$BI129*BA129,0),BA129*$BI129),BA129*$BI129),0)</f>
        <v>0</v>
      </c>
      <c r="DE129" s="5">
        <f>IF($BI129&lt;&gt;"",IF('Capacity summary'!$C$14="Yes",IF(COUNTBLANK('Capacity summary'!$H41:$BG41)&lt;52,IF('Capacity summary'!BB41&lt;&gt;"",$BI129*BB129,0),BB129*$BI129),BB129*$BI129),0)</f>
        <v>0</v>
      </c>
      <c r="DF129" s="5">
        <f>IF($BI129&lt;&gt;"",IF('Capacity summary'!$C$14="Yes",IF(COUNTBLANK('Capacity summary'!$H41:$BG41)&lt;52,IF('Capacity summary'!BC41&lt;&gt;"",$BI129*BC129,0),BC129*$BI129),BC129*$BI129),0)</f>
        <v>0</v>
      </c>
      <c r="DG129" s="5">
        <f>IF($BI129&lt;&gt;"",IF('Capacity summary'!$C$14="Yes",IF(COUNTBLANK('Capacity summary'!$H41:$BG41)&lt;52,IF('Capacity summary'!BD41&lt;&gt;"",$BI129*BD129,0),BD129*$BI129),BD129*$BI129),0)</f>
        <v>0</v>
      </c>
      <c r="DH129" s="5">
        <f>IF($BI129&lt;&gt;"",IF('Capacity summary'!$C$14="Yes",IF(COUNTBLANK('Capacity summary'!$H41:$BG41)&lt;52,IF('Capacity summary'!BE41&lt;&gt;"",$BI129*BE129,0),BE129*$BI129),BE129*$BI129),0)</f>
        <v>0</v>
      </c>
      <c r="DI129" s="5">
        <f>IF($BI129&lt;&gt;"",IF('Capacity summary'!$C$14="Yes",IF(COUNTBLANK('Capacity summary'!$H41:$BG41)&lt;52,IF('Capacity summary'!BF41&lt;&gt;"",$BI129*BF129,0),BF129*$BI129),BF129*$BI129),0)</f>
        <v>0</v>
      </c>
      <c r="DJ129" s="5">
        <f>IF($BI129&lt;&gt;"",IF('Capacity summary'!$C$14="Yes",IF(COUNTBLANK('Capacity summary'!$H41:$BG41)&lt;52,IF('Capacity summary'!BG41&lt;&gt;"",$BI129*BG129,0),BG129*$BI129),BG129*$BI129),0)</f>
        <v>0</v>
      </c>
      <c r="DK129" s="138">
        <f t="shared" si="6"/>
        <v>0</v>
      </c>
    </row>
    <row r="130" spans="3:115" x14ac:dyDescent="0.2">
      <c r="C130" s="68" t="str">
        <f>ROW(A19)&amp;". "&amp;Capacity!N35</f>
        <v xml:space="preserve">19. </v>
      </c>
      <c r="D130" s="68">
        <f>'Capacity setup'!C136</f>
        <v>0</v>
      </c>
      <c r="E130" s="68">
        <f>'Capacity setup'!D136</f>
        <v>0</v>
      </c>
      <c r="F130" s="68">
        <f>'Capacity setup'!E136</f>
        <v>0</v>
      </c>
      <c r="H130" s="68">
        <f ca="1">IF(AND(SUMIF(Capacity_Resource,$D130,'Critical resources (hide)'!U$6:U$105)+SUMIF(Capacity_Resource,$E130,'Critical resources (hide)'!U$6:U$105)+SUMIF(Capacity_Resource,$F130,'Critical resources (hide)'!U$6:U$105)&gt;0,$E$1=2),0,1)</f>
        <v>1</v>
      </c>
      <c r="I130" s="68">
        <f ca="1">IF(AND(SUMIF(Capacity_Resource,$D130,'Critical resources (hide)'!V$6:V$105)+SUMIF(Capacity_Resource,$E130,'Critical resources (hide)'!V$6:V$105)+SUMIF(Capacity_Resource,$F130,'Critical resources (hide)'!V$6:V$105)&gt;0,$E$1=2),0,1)</f>
        <v>1</v>
      </c>
      <c r="J130" s="68">
        <f ca="1">IF(AND(SUMIF(Capacity_Resource,$D130,'Critical resources (hide)'!W$6:W$105)+SUMIF(Capacity_Resource,$E130,'Critical resources (hide)'!W$6:W$105)+SUMIF(Capacity_Resource,$F130,'Critical resources (hide)'!W$6:W$105)&gt;0,$E$1=2),0,1)</f>
        <v>1</v>
      </c>
      <c r="K130" s="68">
        <f ca="1">IF(AND(SUMIF(Capacity_Resource,$D130,'Critical resources (hide)'!X$6:X$105)+SUMIF(Capacity_Resource,$E130,'Critical resources (hide)'!X$6:X$105)+SUMIF(Capacity_Resource,$F130,'Critical resources (hide)'!X$6:X$105)&gt;0,$E$1=2),0,1)</f>
        <v>1</v>
      </c>
      <c r="L130" s="68">
        <f ca="1">IF(AND(SUMIF(Capacity_Resource,$D130,'Critical resources (hide)'!Y$6:Y$105)+SUMIF(Capacity_Resource,$E130,'Critical resources (hide)'!Y$6:Y$105)+SUMIF(Capacity_Resource,$F130,'Critical resources (hide)'!Y$6:Y$105)&gt;0,$E$1=2),0,1)</f>
        <v>1</v>
      </c>
      <c r="M130" s="68">
        <f ca="1">IF(AND(SUMIF(Capacity_Resource,$D130,'Critical resources (hide)'!Z$6:Z$105)+SUMIF(Capacity_Resource,$E130,'Critical resources (hide)'!Z$6:Z$105)+SUMIF(Capacity_Resource,$F130,'Critical resources (hide)'!Z$6:Z$105)&gt;0,$E$1=2),0,1)</f>
        <v>1</v>
      </c>
      <c r="N130" s="68">
        <f ca="1">IF(AND(SUMIF(Capacity_Resource,$D130,'Critical resources (hide)'!AA$6:AA$105)+SUMIF(Capacity_Resource,$E130,'Critical resources (hide)'!AA$6:AA$105)+SUMIF(Capacity_Resource,$F130,'Critical resources (hide)'!AA$6:AA$105)&gt;0,$E$1=2),0,1)</f>
        <v>1</v>
      </c>
      <c r="O130" s="68">
        <f ca="1">IF(AND(SUMIF(Capacity_Resource,$D130,'Critical resources (hide)'!AB$6:AB$105)+SUMIF(Capacity_Resource,$E130,'Critical resources (hide)'!AB$6:AB$105)+SUMIF(Capacity_Resource,$F130,'Critical resources (hide)'!AB$6:AB$105)&gt;0,$E$1=2),0,1)</f>
        <v>1</v>
      </c>
      <c r="P130" s="68">
        <f ca="1">IF(AND(SUMIF(Capacity_Resource,$D130,'Critical resources (hide)'!AC$6:AC$105)+SUMIF(Capacity_Resource,$E130,'Critical resources (hide)'!AC$6:AC$105)+SUMIF(Capacity_Resource,$F130,'Critical resources (hide)'!AC$6:AC$105)&gt;0,$E$1=2),0,1)</f>
        <v>1</v>
      </c>
      <c r="Q130" s="68">
        <f ca="1">IF(AND(SUMIF(Capacity_Resource,$D130,'Critical resources (hide)'!AD$6:AD$105)+SUMIF(Capacity_Resource,$E130,'Critical resources (hide)'!AD$6:AD$105)+SUMIF(Capacity_Resource,$F130,'Critical resources (hide)'!AD$6:AD$105)&gt;0,$E$1=2),0,1)</f>
        <v>1</v>
      </c>
      <c r="R130" s="68">
        <f ca="1">IF(AND(SUMIF(Capacity_Resource,$D130,'Critical resources (hide)'!AE$6:AE$105)+SUMIF(Capacity_Resource,$E130,'Critical resources (hide)'!AE$6:AE$105)+SUMIF(Capacity_Resource,$F130,'Critical resources (hide)'!AE$6:AE$105)&gt;0,$E$1=2),0,1)</f>
        <v>1</v>
      </c>
      <c r="S130" s="68">
        <f ca="1">IF(AND(SUMIF(Capacity_Resource,$D130,'Critical resources (hide)'!AF$6:AF$105)+SUMIF(Capacity_Resource,$E130,'Critical resources (hide)'!AF$6:AF$105)+SUMIF(Capacity_Resource,$F130,'Critical resources (hide)'!AF$6:AF$105)&gt;0,$E$1=2),0,1)</f>
        <v>1</v>
      </c>
      <c r="T130" s="68">
        <f ca="1">IF(AND(SUMIF(Capacity_Resource,$D130,'Critical resources (hide)'!AG$6:AG$105)+SUMIF(Capacity_Resource,$E130,'Critical resources (hide)'!AG$6:AG$105)+SUMIF(Capacity_Resource,$F130,'Critical resources (hide)'!AG$6:AG$105)&gt;0,$E$1=2),0,1)</f>
        <v>1</v>
      </c>
      <c r="U130" s="68">
        <f ca="1">IF(AND(SUMIF(Capacity_Resource,$D130,'Critical resources (hide)'!AH$6:AH$105)+SUMIF(Capacity_Resource,$E130,'Critical resources (hide)'!AH$6:AH$105)+SUMIF(Capacity_Resource,$F130,'Critical resources (hide)'!AH$6:AH$105)&gt;0,$E$1=2),0,1)</f>
        <v>1</v>
      </c>
      <c r="V130" s="68">
        <f ca="1">IF(AND(SUMIF(Capacity_Resource,$D130,'Critical resources (hide)'!AI$6:AI$105)+SUMIF(Capacity_Resource,$E130,'Critical resources (hide)'!AI$6:AI$105)+SUMIF(Capacity_Resource,$F130,'Critical resources (hide)'!AI$6:AI$105)&gt;0,$E$1=2),0,1)</f>
        <v>1</v>
      </c>
      <c r="W130" s="68">
        <f ca="1">IF(AND(SUMIF(Capacity_Resource,$D130,'Critical resources (hide)'!AJ$6:AJ$105)+SUMIF(Capacity_Resource,$E130,'Critical resources (hide)'!AJ$6:AJ$105)+SUMIF(Capacity_Resource,$F130,'Critical resources (hide)'!AJ$6:AJ$105)&gt;0,$E$1=2),0,1)</f>
        <v>1</v>
      </c>
      <c r="X130" s="68">
        <f ca="1">IF(AND(SUMIF(Capacity_Resource,$D130,'Critical resources (hide)'!AK$6:AK$105)+SUMIF(Capacity_Resource,$E130,'Critical resources (hide)'!AK$6:AK$105)+SUMIF(Capacity_Resource,$F130,'Critical resources (hide)'!AK$6:AK$105)&gt;0,$E$1=2),0,1)</f>
        <v>1</v>
      </c>
      <c r="Y130" s="68">
        <f ca="1">IF(AND(SUMIF(Capacity_Resource,$D130,'Critical resources (hide)'!AL$6:AL$105)+SUMIF(Capacity_Resource,$E130,'Critical resources (hide)'!AL$6:AL$105)+SUMIF(Capacity_Resource,$F130,'Critical resources (hide)'!AL$6:AL$105)&gt;0,$E$1=2),0,1)</f>
        <v>1</v>
      </c>
      <c r="Z130" s="68">
        <f ca="1">IF(AND(SUMIF(Capacity_Resource,$D130,'Critical resources (hide)'!AM$6:AM$105)+SUMIF(Capacity_Resource,$E130,'Critical resources (hide)'!AM$6:AM$105)+SUMIF(Capacity_Resource,$F130,'Critical resources (hide)'!AM$6:AM$105)&gt;0,$E$1=2),0,1)</f>
        <v>1</v>
      </c>
      <c r="AA130" s="68">
        <f ca="1">IF(AND(SUMIF(Capacity_Resource,$D130,'Critical resources (hide)'!AN$6:AN$105)+SUMIF(Capacity_Resource,$E130,'Critical resources (hide)'!AN$6:AN$105)+SUMIF(Capacity_Resource,$F130,'Critical resources (hide)'!AN$6:AN$105)&gt;0,$E$1=2),0,1)</f>
        <v>1</v>
      </c>
      <c r="AB130" s="68">
        <f ca="1">IF(AND(SUMIF(Capacity_Resource,$D130,'Critical resources (hide)'!AO$6:AO$105)+SUMIF(Capacity_Resource,$E130,'Critical resources (hide)'!AO$6:AO$105)+SUMIF(Capacity_Resource,$F130,'Critical resources (hide)'!AO$6:AO$105)&gt;0,$E$1=2),0,1)</f>
        <v>1</v>
      </c>
      <c r="AC130" s="68">
        <f ca="1">IF(AND(SUMIF(Capacity_Resource,$D130,'Critical resources (hide)'!AP$6:AP$105)+SUMIF(Capacity_Resource,$E130,'Critical resources (hide)'!AP$6:AP$105)+SUMIF(Capacity_Resource,$F130,'Critical resources (hide)'!AP$6:AP$105)&gt;0,$E$1=2),0,1)</f>
        <v>1</v>
      </c>
      <c r="AD130" s="68">
        <f ca="1">IF(AND(SUMIF(Capacity_Resource,$D130,'Critical resources (hide)'!AQ$6:AQ$105)+SUMIF(Capacity_Resource,$E130,'Critical resources (hide)'!AQ$6:AQ$105)+SUMIF(Capacity_Resource,$F130,'Critical resources (hide)'!AQ$6:AQ$105)&gt;0,$E$1=2),0,1)</f>
        <v>1</v>
      </c>
      <c r="AE130" s="68">
        <f ca="1">IF(AND(SUMIF(Capacity_Resource,$D130,'Critical resources (hide)'!AR$6:AR$105)+SUMIF(Capacity_Resource,$E130,'Critical resources (hide)'!AR$6:AR$105)+SUMIF(Capacity_Resource,$F130,'Critical resources (hide)'!AR$6:AR$105)&gt;0,$E$1=2),0,1)</f>
        <v>1</v>
      </c>
      <c r="AF130" s="68">
        <f ca="1">IF(AND(SUMIF(Capacity_Resource,$D130,'Critical resources (hide)'!AS$6:AS$105)+SUMIF(Capacity_Resource,$E130,'Critical resources (hide)'!AS$6:AS$105)+SUMIF(Capacity_Resource,$F130,'Critical resources (hide)'!AS$6:AS$105)&gt;0,$E$1=2),0,1)</f>
        <v>1</v>
      </c>
      <c r="AG130" s="68">
        <f ca="1">IF(AND(SUMIF(Capacity_Resource,$D130,'Critical resources (hide)'!AT$6:AT$105)+SUMIF(Capacity_Resource,$E130,'Critical resources (hide)'!AT$6:AT$105)+SUMIF(Capacity_Resource,$F130,'Critical resources (hide)'!AT$6:AT$105)&gt;0,$E$1=2),0,1)</f>
        <v>1</v>
      </c>
      <c r="AH130" s="68">
        <f ca="1">IF(AND(SUMIF(Capacity_Resource,$D130,'Critical resources (hide)'!AU$6:AU$105)+SUMIF(Capacity_Resource,$E130,'Critical resources (hide)'!AU$6:AU$105)+SUMIF(Capacity_Resource,$F130,'Critical resources (hide)'!AU$6:AU$105)&gt;0,$E$1=2),0,1)</f>
        <v>1</v>
      </c>
      <c r="AI130" s="68">
        <f ca="1">IF(AND(SUMIF(Capacity_Resource,$D130,'Critical resources (hide)'!AV$6:AV$105)+SUMIF(Capacity_Resource,$E130,'Critical resources (hide)'!AV$6:AV$105)+SUMIF(Capacity_Resource,$F130,'Critical resources (hide)'!AV$6:AV$105)&gt;0,$E$1=2),0,1)</f>
        <v>1</v>
      </c>
      <c r="AJ130" s="68">
        <f ca="1">IF(AND(SUMIF(Capacity_Resource,$D130,'Critical resources (hide)'!AW$6:AW$105)+SUMIF(Capacity_Resource,$E130,'Critical resources (hide)'!AW$6:AW$105)+SUMIF(Capacity_Resource,$F130,'Critical resources (hide)'!AW$6:AW$105)&gt;0,$E$1=2),0,1)</f>
        <v>1</v>
      </c>
      <c r="AK130" s="68">
        <f ca="1">IF(AND(SUMIF(Capacity_Resource,$D130,'Critical resources (hide)'!AX$6:AX$105)+SUMIF(Capacity_Resource,$E130,'Critical resources (hide)'!AX$6:AX$105)+SUMIF(Capacity_Resource,$F130,'Critical resources (hide)'!AX$6:AX$105)&gt;0,$E$1=2),0,1)</f>
        <v>1</v>
      </c>
      <c r="AL130" s="68">
        <f ca="1">IF(AND(SUMIF(Capacity_Resource,$D130,'Critical resources (hide)'!AY$6:AY$105)+SUMIF(Capacity_Resource,$E130,'Critical resources (hide)'!AY$6:AY$105)+SUMIF(Capacity_Resource,$F130,'Critical resources (hide)'!AY$6:AY$105)&gt;0,$E$1=2),0,1)</f>
        <v>1</v>
      </c>
      <c r="AM130" s="68">
        <f ca="1">IF(AND(SUMIF(Capacity_Resource,$D130,'Critical resources (hide)'!AZ$6:AZ$105)+SUMIF(Capacity_Resource,$E130,'Critical resources (hide)'!AZ$6:AZ$105)+SUMIF(Capacity_Resource,$F130,'Critical resources (hide)'!AZ$6:AZ$105)&gt;0,$E$1=2),0,1)</f>
        <v>1</v>
      </c>
      <c r="AN130" s="68">
        <f ca="1">IF(AND(SUMIF(Capacity_Resource,$D130,'Critical resources (hide)'!BA$6:BA$105)+SUMIF(Capacity_Resource,$E130,'Critical resources (hide)'!BA$6:BA$105)+SUMIF(Capacity_Resource,$F130,'Critical resources (hide)'!BA$6:BA$105)&gt;0,$E$1=2),0,1)</f>
        <v>1</v>
      </c>
      <c r="AO130" s="68">
        <f ca="1">IF(AND(SUMIF(Capacity_Resource,$D130,'Critical resources (hide)'!BB$6:BB$105)+SUMIF(Capacity_Resource,$E130,'Critical resources (hide)'!BB$6:BB$105)+SUMIF(Capacity_Resource,$F130,'Critical resources (hide)'!BB$6:BB$105)&gt;0,$E$1=2),0,1)</f>
        <v>1</v>
      </c>
      <c r="AP130" s="68">
        <f ca="1">IF(AND(SUMIF(Capacity_Resource,$D130,'Critical resources (hide)'!BC$6:BC$105)+SUMIF(Capacity_Resource,$E130,'Critical resources (hide)'!BC$6:BC$105)+SUMIF(Capacity_Resource,$F130,'Critical resources (hide)'!BC$6:BC$105)&gt;0,$E$1=2),0,1)</f>
        <v>1</v>
      </c>
      <c r="AQ130" s="68">
        <f ca="1">IF(AND(SUMIF(Capacity_Resource,$D130,'Critical resources (hide)'!BD$6:BD$105)+SUMIF(Capacity_Resource,$E130,'Critical resources (hide)'!BD$6:BD$105)+SUMIF(Capacity_Resource,$F130,'Critical resources (hide)'!BD$6:BD$105)&gt;0,$E$1=2),0,1)</f>
        <v>1</v>
      </c>
      <c r="AR130" s="68">
        <f ca="1">IF(AND(SUMIF(Capacity_Resource,$D130,'Critical resources (hide)'!BE$6:BE$105)+SUMIF(Capacity_Resource,$E130,'Critical resources (hide)'!BE$6:BE$105)+SUMIF(Capacity_Resource,$F130,'Critical resources (hide)'!BE$6:BE$105)&gt;0,$E$1=2),0,1)</f>
        <v>1</v>
      </c>
      <c r="AS130" s="68">
        <f ca="1">IF(AND(SUMIF(Capacity_Resource,$D130,'Critical resources (hide)'!BF$6:BF$105)+SUMIF(Capacity_Resource,$E130,'Critical resources (hide)'!BF$6:BF$105)+SUMIF(Capacity_Resource,$F130,'Critical resources (hide)'!BF$6:BF$105)&gt;0,$E$1=2),0,1)</f>
        <v>1</v>
      </c>
      <c r="AT130" s="68">
        <f ca="1">IF(AND(SUMIF(Capacity_Resource,$D130,'Critical resources (hide)'!BG$6:BG$105)+SUMIF(Capacity_Resource,$E130,'Critical resources (hide)'!BG$6:BG$105)+SUMIF(Capacity_Resource,$F130,'Critical resources (hide)'!BG$6:BG$105)&gt;0,$E$1=2),0,1)</f>
        <v>1</v>
      </c>
      <c r="AU130" s="68">
        <f ca="1">IF(AND(SUMIF(Capacity_Resource,$D130,'Critical resources (hide)'!BH$6:BH$105)+SUMIF(Capacity_Resource,$E130,'Critical resources (hide)'!BH$6:BH$105)+SUMIF(Capacity_Resource,$F130,'Critical resources (hide)'!BH$6:BH$105)&gt;0,$E$1=2),0,1)</f>
        <v>1</v>
      </c>
      <c r="AV130" s="68">
        <f ca="1">IF(AND(SUMIF(Capacity_Resource,$D130,'Critical resources (hide)'!BI$6:BI$105)+SUMIF(Capacity_Resource,$E130,'Critical resources (hide)'!BI$6:BI$105)+SUMIF(Capacity_Resource,$F130,'Critical resources (hide)'!BI$6:BI$105)&gt;0,$E$1=2),0,1)</f>
        <v>1</v>
      </c>
      <c r="AW130" s="68">
        <f ca="1">IF(AND(SUMIF(Capacity_Resource,$D130,'Critical resources (hide)'!BJ$6:BJ$105)+SUMIF(Capacity_Resource,$E130,'Critical resources (hide)'!BJ$6:BJ$105)+SUMIF(Capacity_Resource,$F130,'Critical resources (hide)'!BJ$6:BJ$105)&gt;0,$E$1=2),0,1)</f>
        <v>1</v>
      </c>
      <c r="AX130" s="68">
        <f ca="1">IF(AND(SUMIF(Capacity_Resource,$D130,'Critical resources (hide)'!BK$6:BK$105)+SUMIF(Capacity_Resource,$E130,'Critical resources (hide)'!BK$6:BK$105)+SUMIF(Capacity_Resource,$F130,'Critical resources (hide)'!BK$6:BK$105)&gt;0,$E$1=2),0,1)</f>
        <v>1</v>
      </c>
      <c r="AY130" s="68">
        <f ca="1">IF(AND(SUMIF(Capacity_Resource,$D130,'Critical resources (hide)'!BL$6:BL$105)+SUMIF(Capacity_Resource,$E130,'Critical resources (hide)'!BL$6:BL$105)+SUMIF(Capacity_Resource,$F130,'Critical resources (hide)'!BL$6:BL$105)&gt;0,$E$1=2),0,1)</f>
        <v>1</v>
      </c>
      <c r="AZ130" s="68">
        <f ca="1">IF(AND(SUMIF(Capacity_Resource,$D130,'Critical resources (hide)'!BM$6:BM$105)+SUMIF(Capacity_Resource,$E130,'Critical resources (hide)'!BM$6:BM$105)+SUMIF(Capacity_Resource,$F130,'Critical resources (hide)'!BM$6:BM$105)&gt;0,$E$1=2),0,1)</f>
        <v>1</v>
      </c>
      <c r="BA130" s="68">
        <f ca="1">IF(AND(SUMIF(Capacity_Resource,$D130,'Critical resources (hide)'!BN$6:BN$105)+SUMIF(Capacity_Resource,$E130,'Critical resources (hide)'!BN$6:BN$105)+SUMIF(Capacity_Resource,$F130,'Critical resources (hide)'!BN$6:BN$105)&gt;0,$E$1=2),0,1)</f>
        <v>1</v>
      </c>
      <c r="BB130" s="68">
        <f ca="1">IF(AND(SUMIF(Capacity_Resource,$D130,'Critical resources (hide)'!BO$6:BO$105)+SUMIF(Capacity_Resource,$E130,'Critical resources (hide)'!BO$6:BO$105)+SUMIF(Capacity_Resource,$F130,'Critical resources (hide)'!BO$6:BO$105)&gt;0,$E$1=2),0,1)</f>
        <v>1</v>
      </c>
      <c r="BC130" s="68">
        <f ca="1">IF(AND(SUMIF(Capacity_Resource,$D130,'Critical resources (hide)'!BP$6:BP$105)+SUMIF(Capacity_Resource,$E130,'Critical resources (hide)'!BP$6:BP$105)+SUMIF(Capacity_Resource,$F130,'Critical resources (hide)'!BP$6:BP$105)&gt;0,$E$1=2),0,1)</f>
        <v>1</v>
      </c>
      <c r="BD130" s="68">
        <f ca="1">IF(AND(SUMIF(Capacity_Resource,$D130,'Critical resources (hide)'!BQ$6:BQ$105)+SUMIF(Capacity_Resource,$E130,'Critical resources (hide)'!BQ$6:BQ$105)+SUMIF(Capacity_Resource,$F130,'Critical resources (hide)'!BQ$6:BQ$105)&gt;0,$E$1=2),0,1)</f>
        <v>1</v>
      </c>
      <c r="BE130" s="68">
        <f ca="1">IF(AND(SUMIF(Capacity_Resource,$D130,'Critical resources (hide)'!BR$6:BR$105)+SUMIF(Capacity_Resource,$E130,'Critical resources (hide)'!BR$6:BR$105)+SUMIF(Capacity_Resource,$F130,'Critical resources (hide)'!BR$6:BR$105)&gt;0,$E$1=2),0,1)</f>
        <v>1</v>
      </c>
      <c r="BF130" s="68">
        <f ca="1">IF(AND(SUMIF(Capacity_Resource,$D130,'Critical resources (hide)'!BS$6:BS$105)+SUMIF(Capacity_Resource,$E130,'Critical resources (hide)'!BS$6:BS$105)+SUMIF(Capacity_Resource,$F130,'Critical resources (hide)'!BS$6:BS$105)&gt;0,$E$1=2),0,1)</f>
        <v>1</v>
      </c>
      <c r="BG130" s="68">
        <f ca="1">IF(AND(SUMIF(Capacity_Resource,$D130,'Critical resources (hide)'!BT$6:BT$105)+SUMIF(Capacity_Resource,$E130,'Critical resources (hide)'!BT$6:BT$105)+SUMIF(Capacity_Resource,$F130,'Critical resources (hide)'!BT$6:BT$105)&gt;0,$E$1=2),0,1)</f>
        <v>1</v>
      </c>
      <c r="BH130" s="68">
        <f>IF(ROW(A19)&lt;=Capacity!$M$16,IF('Capacity summary'!$C$14="No",SUM(H130:BG130),'Capacity summary'!$E42),0)</f>
        <v>0</v>
      </c>
      <c r="BI130" s="68" t="str">
        <f>IF(BH130&gt;0,IF(BH130&lt;Capacity!Q35,Capacity!R35,Capacity!T35/'Capacity calculation (hide)'!BH130),"")</f>
        <v/>
      </c>
      <c r="BJ130" s="5"/>
      <c r="BK130" s="5">
        <f>IF($BI130&lt;&gt;"",IF('Capacity summary'!$C$14="Yes",IF(COUNTBLANK('Capacity summary'!$H42:$BG42)&lt;52,IF('Capacity summary'!H42&lt;&gt;"",$BI130*H130,0),H130*$BI130),H130*$BI130),0)</f>
        <v>0</v>
      </c>
      <c r="BL130" s="5">
        <f>IF($BI130&lt;&gt;"",IF('Capacity summary'!$C$14="Yes",IF(COUNTBLANK('Capacity summary'!$H42:$BG42)&lt;52,IF('Capacity summary'!I42&lt;&gt;"",$BI130*I130,0),I130*$BI130),I130*$BI130),0)</f>
        <v>0</v>
      </c>
      <c r="BM130" s="5">
        <f>IF($BI130&lt;&gt;"",IF('Capacity summary'!$C$14="Yes",IF(COUNTBLANK('Capacity summary'!$H42:$BG42)&lt;52,IF('Capacity summary'!J42&lt;&gt;"",$BI130*J130,0),J130*$BI130),J130*$BI130),0)</f>
        <v>0</v>
      </c>
      <c r="BN130" s="5">
        <f>IF($BI130&lt;&gt;"",IF('Capacity summary'!$C$14="Yes",IF(COUNTBLANK('Capacity summary'!$H42:$BG42)&lt;52,IF('Capacity summary'!K42&lt;&gt;"",$BI130*K130,0),K130*$BI130),K130*$BI130),0)</f>
        <v>0</v>
      </c>
      <c r="BO130" s="5">
        <f>IF($BI130&lt;&gt;"",IF('Capacity summary'!$C$14="Yes",IF(COUNTBLANK('Capacity summary'!$H42:$BG42)&lt;52,IF('Capacity summary'!L42&lt;&gt;"",$BI130*L130,0),L130*$BI130),L130*$BI130),0)</f>
        <v>0</v>
      </c>
      <c r="BP130" s="5">
        <f>IF($BI130&lt;&gt;"",IF('Capacity summary'!$C$14="Yes",IF(COUNTBLANK('Capacity summary'!$H42:$BG42)&lt;52,IF('Capacity summary'!M42&lt;&gt;"",$BI130*M130,0),M130*$BI130),M130*$BI130),0)</f>
        <v>0</v>
      </c>
      <c r="BQ130" s="5">
        <f>IF($BI130&lt;&gt;"",IF('Capacity summary'!$C$14="Yes",IF(COUNTBLANK('Capacity summary'!$H42:$BG42)&lt;52,IF('Capacity summary'!N42&lt;&gt;"",$BI130*N130,0),N130*$BI130),N130*$BI130),0)</f>
        <v>0</v>
      </c>
      <c r="BR130" s="5">
        <f>IF($BI130&lt;&gt;"",IF('Capacity summary'!$C$14="Yes",IF(COUNTBLANK('Capacity summary'!$H42:$BG42)&lt;52,IF('Capacity summary'!O42&lt;&gt;"",$BI130*O130,0),O130*$BI130),O130*$BI130),0)</f>
        <v>0</v>
      </c>
      <c r="BS130" s="5">
        <f>IF($BI130&lt;&gt;"",IF('Capacity summary'!$C$14="Yes",IF(COUNTBLANK('Capacity summary'!$H42:$BG42)&lt;52,IF('Capacity summary'!P42&lt;&gt;"",$BI130*P130,0),P130*$BI130),P130*$BI130),0)</f>
        <v>0</v>
      </c>
      <c r="BT130" s="5">
        <f>IF($BI130&lt;&gt;"",IF('Capacity summary'!$C$14="Yes",IF(COUNTBLANK('Capacity summary'!$H42:$BG42)&lt;52,IF('Capacity summary'!Q42&lt;&gt;"",$BI130*Q130,0),Q130*$BI130),Q130*$BI130),0)</f>
        <v>0</v>
      </c>
      <c r="BU130" s="5">
        <f>IF($BI130&lt;&gt;"",IF('Capacity summary'!$C$14="Yes",IF(COUNTBLANK('Capacity summary'!$H42:$BG42)&lt;52,IF('Capacity summary'!R42&lt;&gt;"",$BI130*R130,0),R130*$BI130),R130*$BI130),0)</f>
        <v>0</v>
      </c>
      <c r="BV130" s="5">
        <f>IF($BI130&lt;&gt;"",IF('Capacity summary'!$C$14="Yes",IF(COUNTBLANK('Capacity summary'!$H42:$BG42)&lt;52,IF('Capacity summary'!S42&lt;&gt;"",$BI130*S130,0),S130*$BI130),S130*$BI130),0)</f>
        <v>0</v>
      </c>
      <c r="BW130" s="5">
        <f>IF($BI130&lt;&gt;"",IF('Capacity summary'!$C$14="Yes",IF(COUNTBLANK('Capacity summary'!$H42:$BG42)&lt;52,IF('Capacity summary'!T42&lt;&gt;"",$BI130*T130,0),T130*$BI130),T130*$BI130),0)</f>
        <v>0</v>
      </c>
      <c r="BX130" s="5">
        <f>IF($BI130&lt;&gt;"",IF('Capacity summary'!$C$14="Yes",IF(COUNTBLANK('Capacity summary'!$H42:$BG42)&lt;52,IF('Capacity summary'!U42&lt;&gt;"",$BI130*U130,0),U130*$BI130),U130*$BI130),0)</f>
        <v>0</v>
      </c>
      <c r="BY130" s="5">
        <f>IF($BI130&lt;&gt;"",IF('Capacity summary'!$C$14="Yes",IF(COUNTBLANK('Capacity summary'!$H42:$BG42)&lt;52,IF('Capacity summary'!V42&lt;&gt;"",$BI130*V130,0),V130*$BI130),V130*$BI130),0)</f>
        <v>0</v>
      </c>
      <c r="BZ130" s="5">
        <f>IF($BI130&lt;&gt;"",IF('Capacity summary'!$C$14="Yes",IF(COUNTBLANK('Capacity summary'!$H42:$BG42)&lt;52,IF('Capacity summary'!W42&lt;&gt;"",$BI130*W130,0),W130*$BI130),W130*$BI130),0)</f>
        <v>0</v>
      </c>
      <c r="CA130" s="5">
        <f>IF($BI130&lt;&gt;"",IF('Capacity summary'!$C$14="Yes",IF(COUNTBLANK('Capacity summary'!$H42:$BG42)&lt;52,IF('Capacity summary'!X42&lt;&gt;"",$BI130*X130,0),X130*$BI130),X130*$BI130),0)</f>
        <v>0</v>
      </c>
      <c r="CB130" s="5">
        <f>IF($BI130&lt;&gt;"",IF('Capacity summary'!$C$14="Yes",IF(COUNTBLANK('Capacity summary'!$H42:$BG42)&lt;52,IF('Capacity summary'!Y42&lt;&gt;"",$BI130*Y130,0),Y130*$BI130),Y130*$BI130),0)</f>
        <v>0</v>
      </c>
      <c r="CC130" s="5">
        <f>IF($BI130&lt;&gt;"",IF('Capacity summary'!$C$14="Yes",IF(COUNTBLANK('Capacity summary'!$H42:$BG42)&lt;52,IF('Capacity summary'!Z42&lt;&gt;"",$BI130*Z130,0),Z130*$BI130),Z130*$BI130),0)</f>
        <v>0</v>
      </c>
      <c r="CD130" s="5">
        <f>IF($BI130&lt;&gt;"",IF('Capacity summary'!$C$14="Yes",IF(COUNTBLANK('Capacity summary'!$H42:$BG42)&lt;52,IF('Capacity summary'!AA42&lt;&gt;"",$BI130*AA130,0),AA130*$BI130),AA130*$BI130),0)</f>
        <v>0</v>
      </c>
      <c r="CE130" s="5">
        <f>IF($BI130&lt;&gt;"",IF('Capacity summary'!$C$14="Yes",IF(COUNTBLANK('Capacity summary'!$H42:$BG42)&lt;52,IF('Capacity summary'!AB42&lt;&gt;"",$BI130*AB130,0),AB130*$BI130),AB130*$BI130),0)</f>
        <v>0</v>
      </c>
      <c r="CF130" s="5">
        <f>IF($BI130&lt;&gt;"",IF('Capacity summary'!$C$14="Yes",IF(COUNTBLANK('Capacity summary'!$H42:$BG42)&lt;52,IF('Capacity summary'!AC42&lt;&gt;"",$BI130*AC130,0),AC130*$BI130),AC130*$BI130),0)</f>
        <v>0</v>
      </c>
      <c r="CG130" s="5">
        <f>IF($BI130&lt;&gt;"",IF('Capacity summary'!$C$14="Yes",IF(COUNTBLANK('Capacity summary'!$H42:$BG42)&lt;52,IF('Capacity summary'!AD42&lt;&gt;"",$BI130*AD130,0),AD130*$BI130),AD130*$BI130),0)</f>
        <v>0</v>
      </c>
      <c r="CH130" s="5">
        <f>IF($BI130&lt;&gt;"",IF('Capacity summary'!$C$14="Yes",IF(COUNTBLANK('Capacity summary'!$H42:$BG42)&lt;52,IF('Capacity summary'!AE42&lt;&gt;"",$BI130*AE130,0),AE130*$BI130),AE130*$BI130),0)</f>
        <v>0</v>
      </c>
      <c r="CI130" s="5">
        <f>IF($BI130&lt;&gt;"",IF('Capacity summary'!$C$14="Yes",IF(COUNTBLANK('Capacity summary'!$H42:$BG42)&lt;52,IF('Capacity summary'!AF42&lt;&gt;"",$BI130*AF130,0),AF130*$BI130),AF130*$BI130),0)</f>
        <v>0</v>
      </c>
      <c r="CJ130" s="5">
        <f>IF($BI130&lt;&gt;"",IF('Capacity summary'!$C$14="Yes",IF(COUNTBLANK('Capacity summary'!$H42:$BG42)&lt;52,IF('Capacity summary'!AG42&lt;&gt;"",$BI130*AG130,0),AG130*$BI130),AG130*$BI130),0)</f>
        <v>0</v>
      </c>
      <c r="CK130" s="5">
        <f>IF($BI130&lt;&gt;"",IF('Capacity summary'!$C$14="Yes",IF(COUNTBLANK('Capacity summary'!$H42:$BG42)&lt;52,IF('Capacity summary'!AH42&lt;&gt;"",$BI130*AH130,0),AH130*$BI130),AH130*$BI130),0)</f>
        <v>0</v>
      </c>
      <c r="CL130" s="5">
        <f>IF($BI130&lt;&gt;"",IF('Capacity summary'!$C$14="Yes",IF(COUNTBLANK('Capacity summary'!$H42:$BG42)&lt;52,IF('Capacity summary'!AI42&lt;&gt;"",$BI130*AI130,0),AI130*$BI130),AI130*$BI130),0)</f>
        <v>0</v>
      </c>
      <c r="CM130" s="5">
        <f>IF($BI130&lt;&gt;"",IF('Capacity summary'!$C$14="Yes",IF(COUNTBLANK('Capacity summary'!$H42:$BG42)&lt;52,IF('Capacity summary'!AJ42&lt;&gt;"",$BI130*AJ130,0),AJ130*$BI130),AJ130*$BI130),0)</f>
        <v>0</v>
      </c>
      <c r="CN130" s="5">
        <f>IF($BI130&lt;&gt;"",IF('Capacity summary'!$C$14="Yes",IF(COUNTBLANK('Capacity summary'!$H42:$BG42)&lt;52,IF('Capacity summary'!AK42&lt;&gt;"",$BI130*AK130,0),AK130*$BI130),AK130*$BI130),0)</f>
        <v>0</v>
      </c>
      <c r="CO130" s="5">
        <f>IF($BI130&lt;&gt;"",IF('Capacity summary'!$C$14="Yes",IF(COUNTBLANK('Capacity summary'!$H42:$BG42)&lt;52,IF('Capacity summary'!AL42&lt;&gt;"",$BI130*AL130,0),AL130*$BI130),AL130*$BI130),0)</f>
        <v>0</v>
      </c>
      <c r="CP130" s="5">
        <f>IF($BI130&lt;&gt;"",IF('Capacity summary'!$C$14="Yes",IF(COUNTBLANK('Capacity summary'!$H42:$BG42)&lt;52,IF('Capacity summary'!AM42&lt;&gt;"",$BI130*AM130,0),AM130*$BI130),AM130*$BI130),0)</f>
        <v>0</v>
      </c>
      <c r="CQ130" s="5">
        <f>IF($BI130&lt;&gt;"",IF('Capacity summary'!$C$14="Yes",IF(COUNTBLANK('Capacity summary'!$H42:$BG42)&lt;52,IF('Capacity summary'!AN42&lt;&gt;"",$BI130*AN130,0),AN130*$BI130),AN130*$BI130),0)</f>
        <v>0</v>
      </c>
      <c r="CR130" s="5">
        <f>IF($BI130&lt;&gt;"",IF('Capacity summary'!$C$14="Yes",IF(COUNTBLANK('Capacity summary'!$H42:$BG42)&lt;52,IF('Capacity summary'!AO42&lt;&gt;"",$BI130*AO130,0),AO130*$BI130),AO130*$BI130),0)</f>
        <v>0</v>
      </c>
      <c r="CS130" s="5">
        <f>IF($BI130&lt;&gt;"",IF('Capacity summary'!$C$14="Yes",IF(COUNTBLANK('Capacity summary'!$H42:$BG42)&lt;52,IF('Capacity summary'!AP42&lt;&gt;"",$BI130*AP130,0),AP130*$BI130),AP130*$BI130),0)</f>
        <v>0</v>
      </c>
      <c r="CT130" s="5">
        <f>IF($BI130&lt;&gt;"",IF('Capacity summary'!$C$14="Yes",IF(COUNTBLANK('Capacity summary'!$H42:$BG42)&lt;52,IF('Capacity summary'!AQ42&lt;&gt;"",$BI130*AQ130,0),AQ130*$BI130),AQ130*$BI130),0)</f>
        <v>0</v>
      </c>
      <c r="CU130" s="5">
        <f>IF($BI130&lt;&gt;"",IF('Capacity summary'!$C$14="Yes",IF(COUNTBLANK('Capacity summary'!$H42:$BG42)&lt;52,IF('Capacity summary'!AR42&lt;&gt;"",$BI130*AR130,0),AR130*$BI130),AR130*$BI130),0)</f>
        <v>0</v>
      </c>
      <c r="CV130" s="5">
        <f>IF($BI130&lt;&gt;"",IF('Capacity summary'!$C$14="Yes",IF(COUNTBLANK('Capacity summary'!$H42:$BG42)&lt;52,IF('Capacity summary'!AS42&lt;&gt;"",$BI130*AS130,0),AS130*$BI130),AS130*$BI130),0)</f>
        <v>0</v>
      </c>
      <c r="CW130" s="5">
        <f>IF($BI130&lt;&gt;"",IF('Capacity summary'!$C$14="Yes",IF(COUNTBLANK('Capacity summary'!$H42:$BG42)&lt;52,IF('Capacity summary'!AT42&lt;&gt;"",$BI130*AT130,0),AT130*$BI130),AT130*$BI130),0)</f>
        <v>0</v>
      </c>
      <c r="CX130" s="5">
        <f>IF($BI130&lt;&gt;"",IF('Capacity summary'!$C$14="Yes",IF(COUNTBLANK('Capacity summary'!$H42:$BG42)&lt;52,IF('Capacity summary'!AU42&lt;&gt;"",$BI130*AU130,0),AU130*$BI130),AU130*$BI130),0)</f>
        <v>0</v>
      </c>
      <c r="CY130" s="5">
        <f>IF($BI130&lt;&gt;"",IF('Capacity summary'!$C$14="Yes",IF(COUNTBLANK('Capacity summary'!$H42:$BG42)&lt;52,IF('Capacity summary'!AV42&lt;&gt;"",$BI130*AV130,0),AV130*$BI130),AV130*$BI130),0)</f>
        <v>0</v>
      </c>
      <c r="CZ130" s="5">
        <f>IF($BI130&lt;&gt;"",IF('Capacity summary'!$C$14="Yes",IF(COUNTBLANK('Capacity summary'!$H42:$BG42)&lt;52,IF('Capacity summary'!AW42&lt;&gt;"",$BI130*AW130,0),AW130*$BI130),AW130*$BI130),0)</f>
        <v>0</v>
      </c>
      <c r="DA130" s="5">
        <f>IF($BI130&lt;&gt;"",IF('Capacity summary'!$C$14="Yes",IF(COUNTBLANK('Capacity summary'!$H42:$BG42)&lt;52,IF('Capacity summary'!AX42&lt;&gt;"",$BI130*AX130,0),AX130*$BI130),AX130*$BI130),0)</f>
        <v>0</v>
      </c>
      <c r="DB130" s="5">
        <f>IF($BI130&lt;&gt;"",IF('Capacity summary'!$C$14="Yes",IF(COUNTBLANK('Capacity summary'!$H42:$BG42)&lt;52,IF('Capacity summary'!AY42&lt;&gt;"",$BI130*AY130,0),AY130*$BI130),AY130*$BI130),0)</f>
        <v>0</v>
      </c>
      <c r="DC130" s="5">
        <f>IF($BI130&lt;&gt;"",IF('Capacity summary'!$C$14="Yes",IF(COUNTBLANK('Capacity summary'!$H42:$BG42)&lt;52,IF('Capacity summary'!AZ42&lt;&gt;"",$BI130*AZ130,0),AZ130*$BI130),AZ130*$BI130),0)</f>
        <v>0</v>
      </c>
      <c r="DD130" s="5">
        <f>IF($BI130&lt;&gt;"",IF('Capacity summary'!$C$14="Yes",IF(COUNTBLANK('Capacity summary'!$H42:$BG42)&lt;52,IF('Capacity summary'!BA42&lt;&gt;"",$BI130*BA130,0),BA130*$BI130),BA130*$BI130),0)</f>
        <v>0</v>
      </c>
      <c r="DE130" s="5">
        <f>IF($BI130&lt;&gt;"",IF('Capacity summary'!$C$14="Yes",IF(COUNTBLANK('Capacity summary'!$H42:$BG42)&lt;52,IF('Capacity summary'!BB42&lt;&gt;"",$BI130*BB130,0),BB130*$BI130),BB130*$BI130),0)</f>
        <v>0</v>
      </c>
      <c r="DF130" s="5">
        <f>IF($BI130&lt;&gt;"",IF('Capacity summary'!$C$14="Yes",IF(COUNTBLANK('Capacity summary'!$H42:$BG42)&lt;52,IF('Capacity summary'!BC42&lt;&gt;"",$BI130*BC130,0),BC130*$BI130),BC130*$BI130),0)</f>
        <v>0</v>
      </c>
      <c r="DG130" s="5">
        <f>IF($BI130&lt;&gt;"",IF('Capacity summary'!$C$14="Yes",IF(COUNTBLANK('Capacity summary'!$H42:$BG42)&lt;52,IF('Capacity summary'!BD42&lt;&gt;"",$BI130*BD130,0),BD130*$BI130),BD130*$BI130),0)</f>
        <v>0</v>
      </c>
      <c r="DH130" s="5">
        <f>IF($BI130&lt;&gt;"",IF('Capacity summary'!$C$14="Yes",IF(COUNTBLANK('Capacity summary'!$H42:$BG42)&lt;52,IF('Capacity summary'!BE42&lt;&gt;"",$BI130*BE130,0),BE130*$BI130),BE130*$BI130),0)</f>
        <v>0</v>
      </c>
      <c r="DI130" s="5">
        <f>IF($BI130&lt;&gt;"",IF('Capacity summary'!$C$14="Yes",IF(COUNTBLANK('Capacity summary'!$H42:$BG42)&lt;52,IF('Capacity summary'!BF42&lt;&gt;"",$BI130*BF130,0),BF130*$BI130),BF130*$BI130),0)</f>
        <v>0</v>
      </c>
      <c r="DJ130" s="5">
        <f>IF($BI130&lt;&gt;"",IF('Capacity summary'!$C$14="Yes",IF(COUNTBLANK('Capacity summary'!$H42:$BG42)&lt;52,IF('Capacity summary'!BG42&lt;&gt;"",$BI130*BG130,0),BG130*$BI130),BG130*$BI130),0)</f>
        <v>0</v>
      </c>
      <c r="DK130" s="138">
        <f t="shared" si="6"/>
        <v>0</v>
      </c>
    </row>
    <row r="131" spans="3:115" x14ac:dyDescent="0.2">
      <c r="C131" s="68" t="str">
        <f>ROW(A20)&amp;". "&amp;Capacity!N36</f>
        <v xml:space="preserve">20. </v>
      </c>
      <c r="D131" s="68">
        <f>'Capacity setup'!C137</f>
        <v>0</v>
      </c>
      <c r="E131" s="68">
        <f>'Capacity setup'!D137</f>
        <v>0</v>
      </c>
      <c r="F131" s="68">
        <f>'Capacity setup'!E137</f>
        <v>0</v>
      </c>
      <c r="H131" s="68">
        <f ca="1">IF(AND(SUMIF(Capacity_Resource,$D131,'Critical resources (hide)'!U$6:U$105)+SUMIF(Capacity_Resource,$E131,'Critical resources (hide)'!U$6:U$105)+SUMIF(Capacity_Resource,$F131,'Critical resources (hide)'!U$6:U$105)&gt;0,$E$1=2),0,1)</f>
        <v>1</v>
      </c>
      <c r="I131" s="68">
        <f ca="1">IF(AND(SUMIF(Capacity_Resource,$D131,'Critical resources (hide)'!V$6:V$105)+SUMIF(Capacity_Resource,$E131,'Critical resources (hide)'!V$6:V$105)+SUMIF(Capacity_Resource,$F131,'Critical resources (hide)'!V$6:V$105)&gt;0,$E$1=2),0,1)</f>
        <v>1</v>
      </c>
      <c r="J131" s="68">
        <f ca="1">IF(AND(SUMIF(Capacity_Resource,$D131,'Critical resources (hide)'!W$6:W$105)+SUMIF(Capacity_Resource,$E131,'Critical resources (hide)'!W$6:W$105)+SUMIF(Capacity_Resource,$F131,'Critical resources (hide)'!W$6:W$105)&gt;0,$E$1=2),0,1)</f>
        <v>1</v>
      </c>
      <c r="K131" s="68">
        <f ca="1">IF(AND(SUMIF(Capacity_Resource,$D131,'Critical resources (hide)'!X$6:X$105)+SUMIF(Capacity_Resource,$E131,'Critical resources (hide)'!X$6:X$105)+SUMIF(Capacity_Resource,$F131,'Critical resources (hide)'!X$6:X$105)&gt;0,$E$1=2),0,1)</f>
        <v>1</v>
      </c>
      <c r="L131" s="68">
        <f ca="1">IF(AND(SUMIF(Capacity_Resource,$D131,'Critical resources (hide)'!Y$6:Y$105)+SUMIF(Capacity_Resource,$E131,'Critical resources (hide)'!Y$6:Y$105)+SUMIF(Capacity_Resource,$F131,'Critical resources (hide)'!Y$6:Y$105)&gt;0,$E$1=2),0,1)</f>
        <v>1</v>
      </c>
      <c r="M131" s="68">
        <f ca="1">IF(AND(SUMIF(Capacity_Resource,$D131,'Critical resources (hide)'!Z$6:Z$105)+SUMIF(Capacity_Resource,$E131,'Critical resources (hide)'!Z$6:Z$105)+SUMIF(Capacity_Resource,$F131,'Critical resources (hide)'!Z$6:Z$105)&gt;0,$E$1=2),0,1)</f>
        <v>1</v>
      </c>
      <c r="N131" s="68">
        <f ca="1">IF(AND(SUMIF(Capacity_Resource,$D131,'Critical resources (hide)'!AA$6:AA$105)+SUMIF(Capacity_Resource,$E131,'Critical resources (hide)'!AA$6:AA$105)+SUMIF(Capacity_Resource,$F131,'Critical resources (hide)'!AA$6:AA$105)&gt;0,$E$1=2),0,1)</f>
        <v>1</v>
      </c>
      <c r="O131" s="68">
        <f ca="1">IF(AND(SUMIF(Capacity_Resource,$D131,'Critical resources (hide)'!AB$6:AB$105)+SUMIF(Capacity_Resource,$E131,'Critical resources (hide)'!AB$6:AB$105)+SUMIF(Capacity_Resource,$F131,'Critical resources (hide)'!AB$6:AB$105)&gt;0,$E$1=2),0,1)</f>
        <v>1</v>
      </c>
      <c r="P131" s="68">
        <f ca="1">IF(AND(SUMIF(Capacity_Resource,$D131,'Critical resources (hide)'!AC$6:AC$105)+SUMIF(Capacity_Resource,$E131,'Critical resources (hide)'!AC$6:AC$105)+SUMIF(Capacity_Resource,$F131,'Critical resources (hide)'!AC$6:AC$105)&gt;0,$E$1=2),0,1)</f>
        <v>1</v>
      </c>
      <c r="Q131" s="68">
        <f ca="1">IF(AND(SUMIF(Capacity_Resource,$D131,'Critical resources (hide)'!AD$6:AD$105)+SUMIF(Capacity_Resource,$E131,'Critical resources (hide)'!AD$6:AD$105)+SUMIF(Capacity_Resource,$F131,'Critical resources (hide)'!AD$6:AD$105)&gt;0,$E$1=2),0,1)</f>
        <v>1</v>
      </c>
      <c r="R131" s="68">
        <f ca="1">IF(AND(SUMIF(Capacity_Resource,$D131,'Critical resources (hide)'!AE$6:AE$105)+SUMIF(Capacity_Resource,$E131,'Critical resources (hide)'!AE$6:AE$105)+SUMIF(Capacity_Resource,$F131,'Critical resources (hide)'!AE$6:AE$105)&gt;0,$E$1=2),0,1)</f>
        <v>1</v>
      </c>
      <c r="S131" s="68">
        <f ca="1">IF(AND(SUMIF(Capacity_Resource,$D131,'Critical resources (hide)'!AF$6:AF$105)+SUMIF(Capacity_Resource,$E131,'Critical resources (hide)'!AF$6:AF$105)+SUMIF(Capacity_Resource,$F131,'Critical resources (hide)'!AF$6:AF$105)&gt;0,$E$1=2),0,1)</f>
        <v>1</v>
      </c>
      <c r="T131" s="68">
        <f ca="1">IF(AND(SUMIF(Capacity_Resource,$D131,'Critical resources (hide)'!AG$6:AG$105)+SUMIF(Capacity_Resource,$E131,'Critical resources (hide)'!AG$6:AG$105)+SUMIF(Capacity_Resource,$F131,'Critical resources (hide)'!AG$6:AG$105)&gt;0,$E$1=2),0,1)</f>
        <v>1</v>
      </c>
      <c r="U131" s="68">
        <f ca="1">IF(AND(SUMIF(Capacity_Resource,$D131,'Critical resources (hide)'!AH$6:AH$105)+SUMIF(Capacity_Resource,$E131,'Critical resources (hide)'!AH$6:AH$105)+SUMIF(Capacity_Resource,$F131,'Critical resources (hide)'!AH$6:AH$105)&gt;0,$E$1=2),0,1)</f>
        <v>1</v>
      </c>
      <c r="V131" s="68">
        <f ca="1">IF(AND(SUMIF(Capacity_Resource,$D131,'Critical resources (hide)'!AI$6:AI$105)+SUMIF(Capacity_Resource,$E131,'Critical resources (hide)'!AI$6:AI$105)+SUMIF(Capacity_Resource,$F131,'Critical resources (hide)'!AI$6:AI$105)&gt;0,$E$1=2),0,1)</f>
        <v>1</v>
      </c>
      <c r="W131" s="68">
        <f ca="1">IF(AND(SUMIF(Capacity_Resource,$D131,'Critical resources (hide)'!AJ$6:AJ$105)+SUMIF(Capacity_Resource,$E131,'Critical resources (hide)'!AJ$6:AJ$105)+SUMIF(Capacity_Resource,$F131,'Critical resources (hide)'!AJ$6:AJ$105)&gt;0,$E$1=2),0,1)</f>
        <v>1</v>
      </c>
      <c r="X131" s="68">
        <f ca="1">IF(AND(SUMIF(Capacity_Resource,$D131,'Critical resources (hide)'!AK$6:AK$105)+SUMIF(Capacity_Resource,$E131,'Critical resources (hide)'!AK$6:AK$105)+SUMIF(Capacity_Resource,$F131,'Critical resources (hide)'!AK$6:AK$105)&gt;0,$E$1=2),0,1)</f>
        <v>1</v>
      </c>
      <c r="Y131" s="68">
        <f ca="1">IF(AND(SUMIF(Capacity_Resource,$D131,'Critical resources (hide)'!AL$6:AL$105)+SUMIF(Capacity_Resource,$E131,'Critical resources (hide)'!AL$6:AL$105)+SUMIF(Capacity_Resource,$F131,'Critical resources (hide)'!AL$6:AL$105)&gt;0,$E$1=2),0,1)</f>
        <v>1</v>
      </c>
      <c r="Z131" s="68">
        <f ca="1">IF(AND(SUMIF(Capacity_Resource,$D131,'Critical resources (hide)'!AM$6:AM$105)+SUMIF(Capacity_Resource,$E131,'Critical resources (hide)'!AM$6:AM$105)+SUMIF(Capacity_Resource,$F131,'Critical resources (hide)'!AM$6:AM$105)&gt;0,$E$1=2),0,1)</f>
        <v>1</v>
      </c>
      <c r="AA131" s="68">
        <f ca="1">IF(AND(SUMIF(Capacity_Resource,$D131,'Critical resources (hide)'!AN$6:AN$105)+SUMIF(Capacity_Resource,$E131,'Critical resources (hide)'!AN$6:AN$105)+SUMIF(Capacity_Resource,$F131,'Critical resources (hide)'!AN$6:AN$105)&gt;0,$E$1=2),0,1)</f>
        <v>1</v>
      </c>
      <c r="AB131" s="68">
        <f ca="1">IF(AND(SUMIF(Capacity_Resource,$D131,'Critical resources (hide)'!AO$6:AO$105)+SUMIF(Capacity_Resource,$E131,'Critical resources (hide)'!AO$6:AO$105)+SUMIF(Capacity_Resource,$F131,'Critical resources (hide)'!AO$6:AO$105)&gt;0,$E$1=2),0,1)</f>
        <v>1</v>
      </c>
      <c r="AC131" s="68">
        <f ca="1">IF(AND(SUMIF(Capacity_Resource,$D131,'Critical resources (hide)'!AP$6:AP$105)+SUMIF(Capacity_Resource,$E131,'Critical resources (hide)'!AP$6:AP$105)+SUMIF(Capacity_Resource,$F131,'Critical resources (hide)'!AP$6:AP$105)&gt;0,$E$1=2),0,1)</f>
        <v>1</v>
      </c>
      <c r="AD131" s="68">
        <f ca="1">IF(AND(SUMIF(Capacity_Resource,$D131,'Critical resources (hide)'!AQ$6:AQ$105)+SUMIF(Capacity_Resource,$E131,'Critical resources (hide)'!AQ$6:AQ$105)+SUMIF(Capacity_Resource,$F131,'Critical resources (hide)'!AQ$6:AQ$105)&gt;0,$E$1=2),0,1)</f>
        <v>1</v>
      </c>
      <c r="AE131" s="68">
        <f ca="1">IF(AND(SUMIF(Capacity_Resource,$D131,'Critical resources (hide)'!AR$6:AR$105)+SUMIF(Capacity_Resource,$E131,'Critical resources (hide)'!AR$6:AR$105)+SUMIF(Capacity_Resource,$F131,'Critical resources (hide)'!AR$6:AR$105)&gt;0,$E$1=2),0,1)</f>
        <v>1</v>
      </c>
      <c r="AF131" s="68">
        <f ca="1">IF(AND(SUMIF(Capacity_Resource,$D131,'Critical resources (hide)'!AS$6:AS$105)+SUMIF(Capacity_Resource,$E131,'Critical resources (hide)'!AS$6:AS$105)+SUMIF(Capacity_Resource,$F131,'Critical resources (hide)'!AS$6:AS$105)&gt;0,$E$1=2),0,1)</f>
        <v>1</v>
      </c>
      <c r="AG131" s="68">
        <f ca="1">IF(AND(SUMIF(Capacity_Resource,$D131,'Critical resources (hide)'!AT$6:AT$105)+SUMIF(Capacity_Resource,$E131,'Critical resources (hide)'!AT$6:AT$105)+SUMIF(Capacity_Resource,$F131,'Critical resources (hide)'!AT$6:AT$105)&gt;0,$E$1=2),0,1)</f>
        <v>1</v>
      </c>
      <c r="AH131" s="68">
        <f ca="1">IF(AND(SUMIF(Capacity_Resource,$D131,'Critical resources (hide)'!AU$6:AU$105)+SUMIF(Capacity_Resource,$E131,'Critical resources (hide)'!AU$6:AU$105)+SUMIF(Capacity_Resource,$F131,'Critical resources (hide)'!AU$6:AU$105)&gt;0,$E$1=2),0,1)</f>
        <v>1</v>
      </c>
      <c r="AI131" s="68">
        <f ca="1">IF(AND(SUMIF(Capacity_Resource,$D131,'Critical resources (hide)'!AV$6:AV$105)+SUMIF(Capacity_Resource,$E131,'Critical resources (hide)'!AV$6:AV$105)+SUMIF(Capacity_Resource,$F131,'Critical resources (hide)'!AV$6:AV$105)&gt;0,$E$1=2),0,1)</f>
        <v>1</v>
      </c>
      <c r="AJ131" s="68">
        <f ca="1">IF(AND(SUMIF(Capacity_Resource,$D131,'Critical resources (hide)'!AW$6:AW$105)+SUMIF(Capacity_Resource,$E131,'Critical resources (hide)'!AW$6:AW$105)+SUMIF(Capacity_Resource,$F131,'Critical resources (hide)'!AW$6:AW$105)&gt;0,$E$1=2),0,1)</f>
        <v>1</v>
      </c>
      <c r="AK131" s="68">
        <f ca="1">IF(AND(SUMIF(Capacity_Resource,$D131,'Critical resources (hide)'!AX$6:AX$105)+SUMIF(Capacity_Resource,$E131,'Critical resources (hide)'!AX$6:AX$105)+SUMIF(Capacity_Resource,$F131,'Critical resources (hide)'!AX$6:AX$105)&gt;0,$E$1=2),0,1)</f>
        <v>1</v>
      </c>
      <c r="AL131" s="68">
        <f ca="1">IF(AND(SUMIF(Capacity_Resource,$D131,'Critical resources (hide)'!AY$6:AY$105)+SUMIF(Capacity_Resource,$E131,'Critical resources (hide)'!AY$6:AY$105)+SUMIF(Capacity_Resource,$F131,'Critical resources (hide)'!AY$6:AY$105)&gt;0,$E$1=2),0,1)</f>
        <v>1</v>
      </c>
      <c r="AM131" s="68">
        <f ca="1">IF(AND(SUMIF(Capacity_Resource,$D131,'Critical resources (hide)'!AZ$6:AZ$105)+SUMIF(Capacity_Resource,$E131,'Critical resources (hide)'!AZ$6:AZ$105)+SUMIF(Capacity_Resource,$F131,'Critical resources (hide)'!AZ$6:AZ$105)&gt;0,$E$1=2),0,1)</f>
        <v>1</v>
      </c>
      <c r="AN131" s="68">
        <f ca="1">IF(AND(SUMIF(Capacity_Resource,$D131,'Critical resources (hide)'!BA$6:BA$105)+SUMIF(Capacity_Resource,$E131,'Critical resources (hide)'!BA$6:BA$105)+SUMIF(Capacity_Resource,$F131,'Critical resources (hide)'!BA$6:BA$105)&gt;0,$E$1=2),0,1)</f>
        <v>1</v>
      </c>
      <c r="AO131" s="68">
        <f ca="1">IF(AND(SUMIF(Capacity_Resource,$D131,'Critical resources (hide)'!BB$6:BB$105)+SUMIF(Capacity_Resource,$E131,'Critical resources (hide)'!BB$6:BB$105)+SUMIF(Capacity_Resource,$F131,'Critical resources (hide)'!BB$6:BB$105)&gt;0,$E$1=2),0,1)</f>
        <v>1</v>
      </c>
      <c r="AP131" s="68">
        <f ca="1">IF(AND(SUMIF(Capacity_Resource,$D131,'Critical resources (hide)'!BC$6:BC$105)+SUMIF(Capacity_Resource,$E131,'Critical resources (hide)'!BC$6:BC$105)+SUMIF(Capacity_Resource,$F131,'Critical resources (hide)'!BC$6:BC$105)&gt;0,$E$1=2),0,1)</f>
        <v>1</v>
      </c>
      <c r="AQ131" s="68">
        <f ca="1">IF(AND(SUMIF(Capacity_Resource,$D131,'Critical resources (hide)'!BD$6:BD$105)+SUMIF(Capacity_Resource,$E131,'Critical resources (hide)'!BD$6:BD$105)+SUMIF(Capacity_Resource,$F131,'Critical resources (hide)'!BD$6:BD$105)&gt;0,$E$1=2),0,1)</f>
        <v>1</v>
      </c>
      <c r="AR131" s="68">
        <f ca="1">IF(AND(SUMIF(Capacity_Resource,$D131,'Critical resources (hide)'!BE$6:BE$105)+SUMIF(Capacity_Resource,$E131,'Critical resources (hide)'!BE$6:BE$105)+SUMIF(Capacity_Resource,$F131,'Critical resources (hide)'!BE$6:BE$105)&gt;0,$E$1=2),0,1)</f>
        <v>1</v>
      </c>
      <c r="AS131" s="68">
        <f ca="1">IF(AND(SUMIF(Capacity_Resource,$D131,'Critical resources (hide)'!BF$6:BF$105)+SUMIF(Capacity_Resource,$E131,'Critical resources (hide)'!BF$6:BF$105)+SUMIF(Capacity_Resource,$F131,'Critical resources (hide)'!BF$6:BF$105)&gt;0,$E$1=2),0,1)</f>
        <v>1</v>
      </c>
      <c r="AT131" s="68">
        <f ca="1">IF(AND(SUMIF(Capacity_Resource,$D131,'Critical resources (hide)'!BG$6:BG$105)+SUMIF(Capacity_Resource,$E131,'Critical resources (hide)'!BG$6:BG$105)+SUMIF(Capacity_Resource,$F131,'Critical resources (hide)'!BG$6:BG$105)&gt;0,$E$1=2),0,1)</f>
        <v>1</v>
      </c>
      <c r="AU131" s="68">
        <f ca="1">IF(AND(SUMIF(Capacity_Resource,$D131,'Critical resources (hide)'!BH$6:BH$105)+SUMIF(Capacity_Resource,$E131,'Critical resources (hide)'!BH$6:BH$105)+SUMIF(Capacity_Resource,$F131,'Critical resources (hide)'!BH$6:BH$105)&gt;0,$E$1=2),0,1)</f>
        <v>1</v>
      </c>
      <c r="AV131" s="68">
        <f ca="1">IF(AND(SUMIF(Capacity_Resource,$D131,'Critical resources (hide)'!BI$6:BI$105)+SUMIF(Capacity_Resource,$E131,'Critical resources (hide)'!BI$6:BI$105)+SUMIF(Capacity_Resource,$F131,'Critical resources (hide)'!BI$6:BI$105)&gt;0,$E$1=2),0,1)</f>
        <v>1</v>
      </c>
      <c r="AW131" s="68">
        <f ca="1">IF(AND(SUMIF(Capacity_Resource,$D131,'Critical resources (hide)'!BJ$6:BJ$105)+SUMIF(Capacity_Resource,$E131,'Critical resources (hide)'!BJ$6:BJ$105)+SUMIF(Capacity_Resource,$F131,'Critical resources (hide)'!BJ$6:BJ$105)&gt;0,$E$1=2),0,1)</f>
        <v>1</v>
      </c>
      <c r="AX131" s="68">
        <f ca="1">IF(AND(SUMIF(Capacity_Resource,$D131,'Critical resources (hide)'!BK$6:BK$105)+SUMIF(Capacity_Resource,$E131,'Critical resources (hide)'!BK$6:BK$105)+SUMIF(Capacity_Resource,$F131,'Critical resources (hide)'!BK$6:BK$105)&gt;0,$E$1=2),0,1)</f>
        <v>1</v>
      </c>
      <c r="AY131" s="68">
        <f ca="1">IF(AND(SUMIF(Capacity_Resource,$D131,'Critical resources (hide)'!BL$6:BL$105)+SUMIF(Capacity_Resource,$E131,'Critical resources (hide)'!BL$6:BL$105)+SUMIF(Capacity_Resource,$F131,'Critical resources (hide)'!BL$6:BL$105)&gt;0,$E$1=2),0,1)</f>
        <v>1</v>
      </c>
      <c r="AZ131" s="68">
        <f ca="1">IF(AND(SUMIF(Capacity_Resource,$D131,'Critical resources (hide)'!BM$6:BM$105)+SUMIF(Capacity_Resource,$E131,'Critical resources (hide)'!BM$6:BM$105)+SUMIF(Capacity_Resource,$F131,'Critical resources (hide)'!BM$6:BM$105)&gt;0,$E$1=2),0,1)</f>
        <v>1</v>
      </c>
      <c r="BA131" s="68">
        <f ca="1">IF(AND(SUMIF(Capacity_Resource,$D131,'Critical resources (hide)'!BN$6:BN$105)+SUMIF(Capacity_Resource,$E131,'Critical resources (hide)'!BN$6:BN$105)+SUMIF(Capacity_Resource,$F131,'Critical resources (hide)'!BN$6:BN$105)&gt;0,$E$1=2),0,1)</f>
        <v>1</v>
      </c>
      <c r="BB131" s="68">
        <f ca="1">IF(AND(SUMIF(Capacity_Resource,$D131,'Critical resources (hide)'!BO$6:BO$105)+SUMIF(Capacity_Resource,$E131,'Critical resources (hide)'!BO$6:BO$105)+SUMIF(Capacity_Resource,$F131,'Critical resources (hide)'!BO$6:BO$105)&gt;0,$E$1=2),0,1)</f>
        <v>1</v>
      </c>
      <c r="BC131" s="68">
        <f ca="1">IF(AND(SUMIF(Capacity_Resource,$D131,'Critical resources (hide)'!BP$6:BP$105)+SUMIF(Capacity_Resource,$E131,'Critical resources (hide)'!BP$6:BP$105)+SUMIF(Capacity_Resource,$F131,'Critical resources (hide)'!BP$6:BP$105)&gt;0,$E$1=2),0,1)</f>
        <v>1</v>
      </c>
      <c r="BD131" s="68">
        <f ca="1">IF(AND(SUMIF(Capacity_Resource,$D131,'Critical resources (hide)'!BQ$6:BQ$105)+SUMIF(Capacity_Resource,$E131,'Critical resources (hide)'!BQ$6:BQ$105)+SUMIF(Capacity_Resource,$F131,'Critical resources (hide)'!BQ$6:BQ$105)&gt;0,$E$1=2),0,1)</f>
        <v>1</v>
      </c>
      <c r="BE131" s="68">
        <f ca="1">IF(AND(SUMIF(Capacity_Resource,$D131,'Critical resources (hide)'!BR$6:BR$105)+SUMIF(Capacity_Resource,$E131,'Critical resources (hide)'!BR$6:BR$105)+SUMIF(Capacity_Resource,$F131,'Critical resources (hide)'!BR$6:BR$105)&gt;0,$E$1=2),0,1)</f>
        <v>1</v>
      </c>
      <c r="BF131" s="68">
        <f ca="1">IF(AND(SUMIF(Capacity_Resource,$D131,'Critical resources (hide)'!BS$6:BS$105)+SUMIF(Capacity_Resource,$E131,'Critical resources (hide)'!BS$6:BS$105)+SUMIF(Capacity_Resource,$F131,'Critical resources (hide)'!BS$6:BS$105)&gt;0,$E$1=2),0,1)</f>
        <v>1</v>
      </c>
      <c r="BG131" s="68">
        <f ca="1">IF(AND(SUMIF(Capacity_Resource,$D131,'Critical resources (hide)'!BT$6:BT$105)+SUMIF(Capacity_Resource,$E131,'Critical resources (hide)'!BT$6:BT$105)+SUMIF(Capacity_Resource,$F131,'Critical resources (hide)'!BT$6:BT$105)&gt;0,$E$1=2),0,1)</f>
        <v>1</v>
      </c>
      <c r="BH131" s="68">
        <f>IF(ROW(A20)&lt;=Capacity!$M$16,IF('Capacity summary'!$C$14="No",SUM(H131:BG131),'Capacity summary'!$E43),0)</f>
        <v>0</v>
      </c>
      <c r="BI131" s="68" t="str">
        <f>IF(BH131&gt;0,IF(BH131&lt;Capacity!Q36,Capacity!R36,Capacity!T36/'Capacity calculation (hide)'!BH131),"")</f>
        <v/>
      </c>
      <c r="BJ131" s="5"/>
      <c r="BK131" s="5">
        <f>IF($BI131&lt;&gt;"",IF('Capacity summary'!$C$14="Yes",IF(COUNTBLANK('Capacity summary'!$H43:$BG43)&lt;52,IF('Capacity summary'!H43&lt;&gt;"",$BI131*H131,0),H131*$BI131),H131*$BI131),0)</f>
        <v>0</v>
      </c>
      <c r="BL131" s="5">
        <f>IF($BI131&lt;&gt;"",IF('Capacity summary'!$C$14="Yes",IF(COUNTBLANK('Capacity summary'!$H43:$BG43)&lt;52,IF('Capacity summary'!I43&lt;&gt;"",$BI131*I131,0),I131*$BI131),I131*$BI131),0)</f>
        <v>0</v>
      </c>
      <c r="BM131" s="5">
        <f>IF($BI131&lt;&gt;"",IF('Capacity summary'!$C$14="Yes",IF(COUNTBLANK('Capacity summary'!$H43:$BG43)&lt;52,IF('Capacity summary'!J43&lt;&gt;"",$BI131*J131,0),J131*$BI131),J131*$BI131),0)</f>
        <v>0</v>
      </c>
      <c r="BN131" s="5">
        <f>IF($BI131&lt;&gt;"",IF('Capacity summary'!$C$14="Yes",IF(COUNTBLANK('Capacity summary'!$H43:$BG43)&lt;52,IF('Capacity summary'!K43&lt;&gt;"",$BI131*K131,0),K131*$BI131),K131*$BI131),0)</f>
        <v>0</v>
      </c>
      <c r="BO131" s="5">
        <f>IF($BI131&lt;&gt;"",IF('Capacity summary'!$C$14="Yes",IF(COUNTBLANK('Capacity summary'!$H43:$BG43)&lt;52,IF('Capacity summary'!L43&lt;&gt;"",$BI131*L131,0),L131*$BI131),L131*$BI131),0)</f>
        <v>0</v>
      </c>
      <c r="BP131" s="5">
        <f>IF($BI131&lt;&gt;"",IF('Capacity summary'!$C$14="Yes",IF(COUNTBLANK('Capacity summary'!$H43:$BG43)&lt;52,IF('Capacity summary'!M43&lt;&gt;"",$BI131*M131,0),M131*$BI131),M131*$BI131),0)</f>
        <v>0</v>
      </c>
      <c r="BQ131" s="5">
        <f>IF($BI131&lt;&gt;"",IF('Capacity summary'!$C$14="Yes",IF(COUNTBLANK('Capacity summary'!$H43:$BG43)&lt;52,IF('Capacity summary'!N43&lt;&gt;"",$BI131*N131,0),N131*$BI131),N131*$BI131),0)</f>
        <v>0</v>
      </c>
      <c r="BR131" s="5">
        <f>IF($BI131&lt;&gt;"",IF('Capacity summary'!$C$14="Yes",IF(COUNTBLANK('Capacity summary'!$H43:$BG43)&lt;52,IF('Capacity summary'!O43&lt;&gt;"",$BI131*O131,0),O131*$BI131),O131*$BI131),0)</f>
        <v>0</v>
      </c>
      <c r="BS131" s="5">
        <f>IF($BI131&lt;&gt;"",IF('Capacity summary'!$C$14="Yes",IF(COUNTBLANK('Capacity summary'!$H43:$BG43)&lt;52,IF('Capacity summary'!P43&lt;&gt;"",$BI131*P131,0),P131*$BI131),P131*$BI131),0)</f>
        <v>0</v>
      </c>
      <c r="BT131" s="5">
        <f>IF($BI131&lt;&gt;"",IF('Capacity summary'!$C$14="Yes",IF(COUNTBLANK('Capacity summary'!$H43:$BG43)&lt;52,IF('Capacity summary'!Q43&lt;&gt;"",$BI131*Q131,0),Q131*$BI131),Q131*$BI131),0)</f>
        <v>0</v>
      </c>
      <c r="BU131" s="5">
        <f>IF($BI131&lt;&gt;"",IF('Capacity summary'!$C$14="Yes",IF(COUNTBLANK('Capacity summary'!$H43:$BG43)&lt;52,IF('Capacity summary'!R43&lt;&gt;"",$BI131*R131,0),R131*$BI131),R131*$BI131),0)</f>
        <v>0</v>
      </c>
      <c r="BV131" s="5">
        <f>IF($BI131&lt;&gt;"",IF('Capacity summary'!$C$14="Yes",IF(COUNTBLANK('Capacity summary'!$H43:$BG43)&lt;52,IF('Capacity summary'!S43&lt;&gt;"",$BI131*S131,0),S131*$BI131),S131*$BI131),0)</f>
        <v>0</v>
      </c>
      <c r="BW131" s="5">
        <f>IF($BI131&lt;&gt;"",IF('Capacity summary'!$C$14="Yes",IF(COUNTBLANK('Capacity summary'!$H43:$BG43)&lt;52,IF('Capacity summary'!T43&lt;&gt;"",$BI131*T131,0),T131*$BI131),T131*$BI131),0)</f>
        <v>0</v>
      </c>
      <c r="BX131" s="5">
        <f>IF($BI131&lt;&gt;"",IF('Capacity summary'!$C$14="Yes",IF(COUNTBLANK('Capacity summary'!$H43:$BG43)&lt;52,IF('Capacity summary'!U43&lt;&gt;"",$BI131*U131,0),U131*$BI131),U131*$BI131),0)</f>
        <v>0</v>
      </c>
      <c r="BY131" s="5">
        <f>IF($BI131&lt;&gt;"",IF('Capacity summary'!$C$14="Yes",IF(COUNTBLANK('Capacity summary'!$H43:$BG43)&lt;52,IF('Capacity summary'!V43&lt;&gt;"",$BI131*V131,0),V131*$BI131),V131*$BI131),0)</f>
        <v>0</v>
      </c>
      <c r="BZ131" s="5">
        <f>IF($BI131&lt;&gt;"",IF('Capacity summary'!$C$14="Yes",IF(COUNTBLANK('Capacity summary'!$H43:$BG43)&lt;52,IF('Capacity summary'!W43&lt;&gt;"",$BI131*W131,0),W131*$BI131),W131*$BI131),0)</f>
        <v>0</v>
      </c>
      <c r="CA131" s="5">
        <f>IF($BI131&lt;&gt;"",IF('Capacity summary'!$C$14="Yes",IF(COUNTBLANK('Capacity summary'!$H43:$BG43)&lt;52,IF('Capacity summary'!X43&lt;&gt;"",$BI131*X131,0),X131*$BI131),X131*$BI131),0)</f>
        <v>0</v>
      </c>
      <c r="CB131" s="5">
        <f>IF($BI131&lt;&gt;"",IF('Capacity summary'!$C$14="Yes",IF(COUNTBLANK('Capacity summary'!$H43:$BG43)&lt;52,IF('Capacity summary'!Y43&lt;&gt;"",$BI131*Y131,0),Y131*$BI131),Y131*$BI131),0)</f>
        <v>0</v>
      </c>
      <c r="CC131" s="5">
        <f>IF($BI131&lt;&gt;"",IF('Capacity summary'!$C$14="Yes",IF(COUNTBLANK('Capacity summary'!$H43:$BG43)&lt;52,IF('Capacity summary'!Z43&lt;&gt;"",$BI131*Z131,0),Z131*$BI131),Z131*$BI131),0)</f>
        <v>0</v>
      </c>
      <c r="CD131" s="5">
        <f>IF($BI131&lt;&gt;"",IF('Capacity summary'!$C$14="Yes",IF(COUNTBLANK('Capacity summary'!$H43:$BG43)&lt;52,IF('Capacity summary'!AA43&lt;&gt;"",$BI131*AA131,0),AA131*$BI131),AA131*$BI131),0)</f>
        <v>0</v>
      </c>
      <c r="CE131" s="5">
        <f>IF($BI131&lt;&gt;"",IF('Capacity summary'!$C$14="Yes",IF(COUNTBLANK('Capacity summary'!$H43:$BG43)&lt;52,IF('Capacity summary'!AB43&lt;&gt;"",$BI131*AB131,0),AB131*$BI131),AB131*$BI131),0)</f>
        <v>0</v>
      </c>
      <c r="CF131" s="5">
        <f>IF($BI131&lt;&gt;"",IF('Capacity summary'!$C$14="Yes",IF(COUNTBLANK('Capacity summary'!$H43:$BG43)&lt;52,IF('Capacity summary'!AC43&lt;&gt;"",$BI131*AC131,0),AC131*$BI131),AC131*$BI131),0)</f>
        <v>0</v>
      </c>
      <c r="CG131" s="5">
        <f>IF($BI131&lt;&gt;"",IF('Capacity summary'!$C$14="Yes",IF(COUNTBLANK('Capacity summary'!$H43:$BG43)&lt;52,IF('Capacity summary'!AD43&lt;&gt;"",$BI131*AD131,0),AD131*$BI131),AD131*$BI131),0)</f>
        <v>0</v>
      </c>
      <c r="CH131" s="5">
        <f>IF($BI131&lt;&gt;"",IF('Capacity summary'!$C$14="Yes",IF(COUNTBLANK('Capacity summary'!$H43:$BG43)&lt;52,IF('Capacity summary'!AE43&lt;&gt;"",$BI131*AE131,0),AE131*$BI131),AE131*$BI131),0)</f>
        <v>0</v>
      </c>
      <c r="CI131" s="5">
        <f>IF($BI131&lt;&gt;"",IF('Capacity summary'!$C$14="Yes",IF(COUNTBLANK('Capacity summary'!$H43:$BG43)&lt;52,IF('Capacity summary'!AF43&lt;&gt;"",$BI131*AF131,0),AF131*$BI131),AF131*$BI131),0)</f>
        <v>0</v>
      </c>
      <c r="CJ131" s="5">
        <f>IF($BI131&lt;&gt;"",IF('Capacity summary'!$C$14="Yes",IF(COUNTBLANK('Capacity summary'!$H43:$BG43)&lt;52,IF('Capacity summary'!AG43&lt;&gt;"",$BI131*AG131,0),AG131*$BI131),AG131*$BI131),0)</f>
        <v>0</v>
      </c>
      <c r="CK131" s="5">
        <f>IF($BI131&lt;&gt;"",IF('Capacity summary'!$C$14="Yes",IF(COUNTBLANK('Capacity summary'!$H43:$BG43)&lt;52,IF('Capacity summary'!AH43&lt;&gt;"",$BI131*AH131,0),AH131*$BI131),AH131*$BI131),0)</f>
        <v>0</v>
      </c>
      <c r="CL131" s="5">
        <f>IF($BI131&lt;&gt;"",IF('Capacity summary'!$C$14="Yes",IF(COUNTBLANK('Capacity summary'!$H43:$BG43)&lt;52,IF('Capacity summary'!AI43&lt;&gt;"",$BI131*AI131,0),AI131*$BI131),AI131*$BI131),0)</f>
        <v>0</v>
      </c>
      <c r="CM131" s="5">
        <f>IF($BI131&lt;&gt;"",IF('Capacity summary'!$C$14="Yes",IF(COUNTBLANK('Capacity summary'!$H43:$BG43)&lt;52,IF('Capacity summary'!AJ43&lt;&gt;"",$BI131*AJ131,0),AJ131*$BI131),AJ131*$BI131),0)</f>
        <v>0</v>
      </c>
      <c r="CN131" s="5">
        <f>IF($BI131&lt;&gt;"",IF('Capacity summary'!$C$14="Yes",IF(COUNTBLANK('Capacity summary'!$H43:$BG43)&lt;52,IF('Capacity summary'!AK43&lt;&gt;"",$BI131*AK131,0),AK131*$BI131),AK131*$BI131),0)</f>
        <v>0</v>
      </c>
      <c r="CO131" s="5">
        <f>IF($BI131&lt;&gt;"",IF('Capacity summary'!$C$14="Yes",IF(COUNTBLANK('Capacity summary'!$H43:$BG43)&lt;52,IF('Capacity summary'!AL43&lt;&gt;"",$BI131*AL131,0),AL131*$BI131),AL131*$BI131),0)</f>
        <v>0</v>
      </c>
      <c r="CP131" s="5">
        <f>IF($BI131&lt;&gt;"",IF('Capacity summary'!$C$14="Yes",IF(COUNTBLANK('Capacity summary'!$H43:$BG43)&lt;52,IF('Capacity summary'!AM43&lt;&gt;"",$BI131*AM131,0),AM131*$BI131),AM131*$BI131),0)</f>
        <v>0</v>
      </c>
      <c r="CQ131" s="5">
        <f>IF($BI131&lt;&gt;"",IF('Capacity summary'!$C$14="Yes",IF(COUNTBLANK('Capacity summary'!$H43:$BG43)&lt;52,IF('Capacity summary'!AN43&lt;&gt;"",$BI131*AN131,0),AN131*$BI131),AN131*$BI131),0)</f>
        <v>0</v>
      </c>
      <c r="CR131" s="5">
        <f>IF($BI131&lt;&gt;"",IF('Capacity summary'!$C$14="Yes",IF(COUNTBLANK('Capacity summary'!$H43:$BG43)&lt;52,IF('Capacity summary'!AO43&lt;&gt;"",$BI131*AO131,0),AO131*$BI131),AO131*$BI131),0)</f>
        <v>0</v>
      </c>
      <c r="CS131" s="5">
        <f>IF($BI131&lt;&gt;"",IF('Capacity summary'!$C$14="Yes",IF(COUNTBLANK('Capacity summary'!$H43:$BG43)&lt;52,IF('Capacity summary'!AP43&lt;&gt;"",$BI131*AP131,0),AP131*$BI131),AP131*$BI131),0)</f>
        <v>0</v>
      </c>
      <c r="CT131" s="5">
        <f>IF($BI131&lt;&gt;"",IF('Capacity summary'!$C$14="Yes",IF(COUNTBLANK('Capacity summary'!$H43:$BG43)&lt;52,IF('Capacity summary'!AQ43&lt;&gt;"",$BI131*AQ131,0),AQ131*$BI131),AQ131*$BI131),0)</f>
        <v>0</v>
      </c>
      <c r="CU131" s="5">
        <f>IF($BI131&lt;&gt;"",IF('Capacity summary'!$C$14="Yes",IF(COUNTBLANK('Capacity summary'!$H43:$BG43)&lt;52,IF('Capacity summary'!AR43&lt;&gt;"",$BI131*AR131,0),AR131*$BI131),AR131*$BI131),0)</f>
        <v>0</v>
      </c>
      <c r="CV131" s="5">
        <f>IF($BI131&lt;&gt;"",IF('Capacity summary'!$C$14="Yes",IF(COUNTBLANK('Capacity summary'!$H43:$BG43)&lt;52,IF('Capacity summary'!AS43&lt;&gt;"",$BI131*AS131,0),AS131*$BI131),AS131*$BI131),0)</f>
        <v>0</v>
      </c>
      <c r="CW131" s="5">
        <f>IF($BI131&lt;&gt;"",IF('Capacity summary'!$C$14="Yes",IF(COUNTBLANK('Capacity summary'!$H43:$BG43)&lt;52,IF('Capacity summary'!AT43&lt;&gt;"",$BI131*AT131,0),AT131*$BI131),AT131*$BI131),0)</f>
        <v>0</v>
      </c>
      <c r="CX131" s="5">
        <f>IF($BI131&lt;&gt;"",IF('Capacity summary'!$C$14="Yes",IF(COUNTBLANK('Capacity summary'!$H43:$BG43)&lt;52,IF('Capacity summary'!AU43&lt;&gt;"",$BI131*AU131,0),AU131*$BI131),AU131*$BI131),0)</f>
        <v>0</v>
      </c>
      <c r="CY131" s="5">
        <f>IF($BI131&lt;&gt;"",IF('Capacity summary'!$C$14="Yes",IF(COUNTBLANK('Capacity summary'!$H43:$BG43)&lt;52,IF('Capacity summary'!AV43&lt;&gt;"",$BI131*AV131,0),AV131*$BI131),AV131*$BI131),0)</f>
        <v>0</v>
      </c>
      <c r="CZ131" s="5">
        <f>IF($BI131&lt;&gt;"",IF('Capacity summary'!$C$14="Yes",IF(COUNTBLANK('Capacity summary'!$H43:$BG43)&lt;52,IF('Capacity summary'!AW43&lt;&gt;"",$BI131*AW131,0),AW131*$BI131),AW131*$BI131),0)</f>
        <v>0</v>
      </c>
      <c r="DA131" s="5">
        <f>IF($BI131&lt;&gt;"",IF('Capacity summary'!$C$14="Yes",IF(COUNTBLANK('Capacity summary'!$H43:$BG43)&lt;52,IF('Capacity summary'!AX43&lt;&gt;"",$BI131*AX131,0),AX131*$BI131),AX131*$BI131),0)</f>
        <v>0</v>
      </c>
      <c r="DB131" s="5">
        <f>IF($BI131&lt;&gt;"",IF('Capacity summary'!$C$14="Yes",IF(COUNTBLANK('Capacity summary'!$H43:$BG43)&lt;52,IF('Capacity summary'!AY43&lt;&gt;"",$BI131*AY131,0),AY131*$BI131),AY131*$BI131),0)</f>
        <v>0</v>
      </c>
      <c r="DC131" s="5">
        <f>IF($BI131&lt;&gt;"",IF('Capacity summary'!$C$14="Yes",IF(COUNTBLANK('Capacity summary'!$H43:$BG43)&lt;52,IF('Capacity summary'!AZ43&lt;&gt;"",$BI131*AZ131,0),AZ131*$BI131),AZ131*$BI131),0)</f>
        <v>0</v>
      </c>
      <c r="DD131" s="5">
        <f>IF($BI131&lt;&gt;"",IF('Capacity summary'!$C$14="Yes",IF(COUNTBLANK('Capacity summary'!$H43:$BG43)&lt;52,IF('Capacity summary'!BA43&lt;&gt;"",$BI131*BA131,0),BA131*$BI131),BA131*$BI131),0)</f>
        <v>0</v>
      </c>
      <c r="DE131" s="5">
        <f>IF($BI131&lt;&gt;"",IF('Capacity summary'!$C$14="Yes",IF(COUNTBLANK('Capacity summary'!$H43:$BG43)&lt;52,IF('Capacity summary'!BB43&lt;&gt;"",$BI131*BB131,0),BB131*$BI131),BB131*$BI131),0)</f>
        <v>0</v>
      </c>
      <c r="DF131" s="5">
        <f>IF($BI131&lt;&gt;"",IF('Capacity summary'!$C$14="Yes",IF(COUNTBLANK('Capacity summary'!$H43:$BG43)&lt;52,IF('Capacity summary'!BC43&lt;&gt;"",$BI131*BC131,0),BC131*$BI131),BC131*$BI131),0)</f>
        <v>0</v>
      </c>
      <c r="DG131" s="5">
        <f>IF($BI131&lt;&gt;"",IF('Capacity summary'!$C$14="Yes",IF(COUNTBLANK('Capacity summary'!$H43:$BG43)&lt;52,IF('Capacity summary'!BD43&lt;&gt;"",$BI131*BD131,0),BD131*$BI131),BD131*$BI131),0)</f>
        <v>0</v>
      </c>
      <c r="DH131" s="5">
        <f>IF($BI131&lt;&gt;"",IF('Capacity summary'!$C$14="Yes",IF(COUNTBLANK('Capacity summary'!$H43:$BG43)&lt;52,IF('Capacity summary'!BE43&lt;&gt;"",$BI131*BE131,0),BE131*$BI131),BE131*$BI131),0)</f>
        <v>0</v>
      </c>
      <c r="DI131" s="5">
        <f>IF($BI131&lt;&gt;"",IF('Capacity summary'!$C$14="Yes",IF(COUNTBLANK('Capacity summary'!$H43:$BG43)&lt;52,IF('Capacity summary'!BF43&lt;&gt;"",$BI131*BF131,0),BF131*$BI131),BF131*$BI131),0)</f>
        <v>0</v>
      </c>
      <c r="DJ131" s="5">
        <f>IF($BI131&lt;&gt;"",IF('Capacity summary'!$C$14="Yes",IF(COUNTBLANK('Capacity summary'!$H43:$BG43)&lt;52,IF('Capacity summary'!BG43&lt;&gt;"",$BI131*BG131,0),BG131*$BI131),BG131*$BI131),0)</f>
        <v>0</v>
      </c>
      <c r="DK131" s="138">
        <f t="shared" si="6"/>
        <v>0</v>
      </c>
    </row>
    <row r="132" spans="3:115" x14ac:dyDescent="0.2">
      <c r="C132" s="68" t="str">
        <f>ROW(A21)&amp;". "&amp;Capacity!N37</f>
        <v xml:space="preserve">21. </v>
      </c>
      <c r="D132" s="68">
        <f>'Capacity setup'!C138</f>
        <v>0</v>
      </c>
      <c r="E132" s="68">
        <f>'Capacity setup'!D138</f>
        <v>0</v>
      </c>
      <c r="F132" s="68">
        <f>'Capacity setup'!E138</f>
        <v>0</v>
      </c>
      <c r="H132" s="68">
        <f ca="1">IF(AND(SUMIF(Capacity_Resource,$D132,'Critical resources (hide)'!U$6:U$105)+SUMIF(Capacity_Resource,$E132,'Critical resources (hide)'!U$6:U$105)+SUMIF(Capacity_Resource,$F132,'Critical resources (hide)'!U$6:U$105)&gt;0,$E$1=2),0,1)</f>
        <v>1</v>
      </c>
      <c r="I132" s="68">
        <f ca="1">IF(AND(SUMIF(Capacity_Resource,$D132,'Critical resources (hide)'!V$6:V$105)+SUMIF(Capacity_Resource,$E132,'Critical resources (hide)'!V$6:V$105)+SUMIF(Capacity_Resource,$F132,'Critical resources (hide)'!V$6:V$105)&gt;0,$E$1=2),0,1)</f>
        <v>1</v>
      </c>
      <c r="J132" s="68">
        <f ca="1">IF(AND(SUMIF(Capacity_Resource,$D132,'Critical resources (hide)'!W$6:W$105)+SUMIF(Capacity_Resource,$E132,'Critical resources (hide)'!W$6:W$105)+SUMIF(Capacity_Resource,$F132,'Critical resources (hide)'!W$6:W$105)&gt;0,$E$1=2),0,1)</f>
        <v>1</v>
      </c>
      <c r="K132" s="68">
        <f ca="1">IF(AND(SUMIF(Capacity_Resource,$D132,'Critical resources (hide)'!X$6:X$105)+SUMIF(Capacity_Resource,$E132,'Critical resources (hide)'!X$6:X$105)+SUMIF(Capacity_Resource,$F132,'Critical resources (hide)'!X$6:X$105)&gt;0,$E$1=2),0,1)</f>
        <v>1</v>
      </c>
      <c r="L132" s="68">
        <f ca="1">IF(AND(SUMIF(Capacity_Resource,$D132,'Critical resources (hide)'!Y$6:Y$105)+SUMIF(Capacity_Resource,$E132,'Critical resources (hide)'!Y$6:Y$105)+SUMIF(Capacity_Resource,$F132,'Critical resources (hide)'!Y$6:Y$105)&gt;0,$E$1=2),0,1)</f>
        <v>1</v>
      </c>
      <c r="M132" s="68">
        <f ca="1">IF(AND(SUMIF(Capacity_Resource,$D132,'Critical resources (hide)'!Z$6:Z$105)+SUMIF(Capacity_Resource,$E132,'Critical resources (hide)'!Z$6:Z$105)+SUMIF(Capacity_Resource,$F132,'Critical resources (hide)'!Z$6:Z$105)&gt;0,$E$1=2),0,1)</f>
        <v>1</v>
      </c>
      <c r="N132" s="68">
        <f ca="1">IF(AND(SUMIF(Capacity_Resource,$D132,'Critical resources (hide)'!AA$6:AA$105)+SUMIF(Capacity_Resource,$E132,'Critical resources (hide)'!AA$6:AA$105)+SUMIF(Capacity_Resource,$F132,'Critical resources (hide)'!AA$6:AA$105)&gt;0,$E$1=2),0,1)</f>
        <v>1</v>
      </c>
      <c r="O132" s="68">
        <f ca="1">IF(AND(SUMIF(Capacity_Resource,$D132,'Critical resources (hide)'!AB$6:AB$105)+SUMIF(Capacity_Resource,$E132,'Critical resources (hide)'!AB$6:AB$105)+SUMIF(Capacity_Resource,$F132,'Critical resources (hide)'!AB$6:AB$105)&gt;0,$E$1=2),0,1)</f>
        <v>1</v>
      </c>
      <c r="P132" s="68">
        <f ca="1">IF(AND(SUMIF(Capacity_Resource,$D132,'Critical resources (hide)'!AC$6:AC$105)+SUMIF(Capacity_Resource,$E132,'Critical resources (hide)'!AC$6:AC$105)+SUMIF(Capacity_Resource,$F132,'Critical resources (hide)'!AC$6:AC$105)&gt;0,$E$1=2),0,1)</f>
        <v>1</v>
      </c>
      <c r="Q132" s="68">
        <f ca="1">IF(AND(SUMIF(Capacity_Resource,$D132,'Critical resources (hide)'!AD$6:AD$105)+SUMIF(Capacity_Resource,$E132,'Critical resources (hide)'!AD$6:AD$105)+SUMIF(Capacity_Resource,$F132,'Critical resources (hide)'!AD$6:AD$105)&gt;0,$E$1=2),0,1)</f>
        <v>1</v>
      </c>
      <c r="R132" s="68">
        <f ca="1">IF(AND(SUMIF(Capacity_Resource,$D132,'Critical resources (hide)'!AE$6:AE$105)+SUMIF(Capacity_Resource,$E132,'Critical resources (hide)'!AE$6:AE$105)+SUMIF(Capacity_Resource,$F132,'Critical resources (hide)'!AE$6:AE$105)&gt;0,$E$1=2),0,1)</f>
        <v>1</v>
      </c>
      <c r="S132" s="68">
        <f ca="1">IF(AND(SUMIF(Capacity_Resource,$D132,'Critical resources (hide)'!AF$6:AF$105)+SUMIF(Capacity_Resource,$E132,'Critical resources (hide)'!AF$6:AF$105)+SUMIF(Capacity_Resource,$F132,'Critical resources (hide)'!AF$6:AF$105)&gt;0,$E$1=2),0,1)</f>
        <v>1</v>
      </c>
      <c r="T132" s="68">
        <f ca="1">IF(AND(SUMIF(Capacity_Resource,$D132,'Critical resources (hide)'!AG$6:AG$105)+SUMIF(Capacity_Resource,$E132,'Critical resources (hide)'!AG$6:AG$105)+SUMIF(Capacity_Resource,$F132,'Critical resources (hide)'!AG$6:AG$105)&gt;0,$E$1=2),0,1)</f>
        <v>1</v>
      </c>
      <c r="U132" s="68">
        <f ca="1">IF(AND(SUMIF(Capacity_Resource,$D132,'Critical resources (hide)'!AH$6:AH$105)+SUMIF(Capacity_Resource,$E132,'Critical resources (hide)'!AH$6:AH$105)+SUMIF(Capacity_Resource,$F132,'Critical resources (hide)'!AH$6:AH$105)&gt;0,$E$1=2),0,1)</f>
        <v>1</v>
      </c>
      <c r="V132" s="68">
        <f ca="1">IF(AND(SUMIF(Capacity_Resource,$D132,'Critical resources (hide)'!AI$6:AI$105)+SUMIF(Capacity_Resource,$E132,'Critical resources (hide)'!AI$6:AI$105)+SUMIF(Capacity_Resource,$F132,'Critical resources (hide)'!AI$6:AI$105)&gt;0,$E$1=2),0,1)</f>
        <v>1</v>
      </c>
      <c r="W132" s="68">
        <f ca="1">IF(AND(SUMIF(Capacity_Resource,$D132,'Critical resources (hide)'!AJ$6:AJ$105)+SUMIF(Capacity_Resource,$E132,'Critical resources (hide)'!AJ$6:AJ$105)+SUMIF(Capacity_Resource,$F132,'Critical resources (hide)'!AJ$6:AJ$105)&gt;0,$E$1=2),0,1)</f>
        <v>1</v>
      </c>
      <c r="X132" s="68">
        <f ca="1">IF(AND(SUMIF(Capacity_Resource,$D132,'Critical resources (hide)'!AK$6:AK$105)+SUMIF(Capacity_Resource,$E132,'Critical resources (hide)'!AK$6:AK$105)+SUMIF(Capacity_Resource,$F132,'Critical resources (hide)'!AK$6:AK$105)&gt;0,$E$1=2),0,1)</f>
        <v>1</v>
      </c>
      <c r="Y132" s="68">
        <f ca="1">IF(AND(SUMIF(Capacity_Resource,$D132,'Critical resources (hide)'!AL$6:AL$105)+SUMIF(Capacity_Resource,$E132,'Critical resources (hide)'!AL$6:AL$105)+SUMIF(Capacity_Resource,$F132,'Critical resources (hide)'!AL$6:AL$105)&gt;0,$E$1=2),0,1)</f>
        <v>1</v>
      </c>
      <c r="Z132" s="68">
        <f ca="1">IF(AND(SUMIF(Capacity_Resource,$D132,'Critical resources (hide)'!AM$6:AM$105)+SUMIF(Capacity_Resource,$E132,'Critical resources (hide)'!AM$6:AM$105)+SUMIF(Capacity_Resource,$F132,'Critical resources (hide)'!AM$6:AM$105)&gt;0,$E$1=2),0,1)</f>
        <v>1</v>
      </c>
      <c r="AA132" s="68">
        <f ca="1">IF(AND(SUMIF(Capacity_Resource,$D132,'Critical resources (hide)'!AN$6:AN$105)+SUMIF(Capacity_Resource,$E132,'Critical resources (hide)'!AN$6:AN$105)+SUMIF(Capacity_Resource,$F132,'Critical resources (hide)'!AN$6:AN$105)&gt;0,$E$1=2),0,1)</f>
        <v>1</v>
      </c>
      <c r="AB132" s="68">
        <f ca="1">IF(AND(SUMIF(Capacity_Resource,$D132,'Critical resources (hide)'!AO$6:AO$105)+SUMIF(Capacity_Resource,$E132,'Critical resources (hide)'!AO$6:AO$105)+SUMIF(Capacity_Resource,$F132,'Critical resources (hide)'!AO$6:AO$105)&gt;0,$E$1=2),0,1)</f>
        <v>1</v>
      </c>
      <c r="AC132" s="68">
        <f ca="1">IF(AND(SUMIF(Capacity_Resource,$D132,'Critical resources (hide)'!AP$6:AP$105)+SUMIF(Capacity_Resource,$E132,'Critical resources (hide)'!AP$6:AP$105)+SUMIF(Capacity_Resource,$F132,'Critical resources (hide)'!AP$6:AP$105)&gt;0,$E$1=2),0,1)</f>
        <v>1</v>
      </c>
      <c r="AD132" s="68">
        <f ca="1">IF(AND(SUMIF(Capacity_Resource,$D132,'Critical resources (hide)'!AQ$6:AQ$105)+SUMIF(Capacity_Resource,$E132,'Critical resources (hide)'!AQ$6:AQ$105)+SUMIF(Capacity_Resource,$F132,'Critical resources (hide)'!AQ$6:AQ$105)&gt;0,$E$1=2),0,1)</f>
        <v>1</v>
      </c>
      <c r="AE132" s="68">
        <f ca="1">IF(AND(SUMIF(Capacity_Resource,$D132,'Critical resources (hide)'!AR$6:AR$105)+SUMIF(Capacity_Resource,$E132,'Critical resources (hide)'!AR$6:AR$105)+SUMIF(Capacity_Resource,$F132,'Critical resources (hide)'!AR$6:AR$105)&gt;0,$E$1=2),0,1)</f>
        <v>1</v>
      </c>
      <c r="AF132" s="68">
        <f ca="1">IF(AND(SUMIF(Capacity_Resource,$D132,'Critical resources (hide)'!AS$6:AS$105)+SUMIF(Capacity_Resource,$E132,'Critical resources (hide)'!AS$6:AS$105)+SUMIF(Capacity_Resource,$F132,'Critical resources (hide)'!AS$6:AS$105)&gt;0,$E$1=2),0,1)</f>
        <v>1</v>
      </c>
      <c r="AG132" s="68">
        <f ca="1">IF(AND(SUMIF(Capacity_Resource,$D132,'Critical resources (hide)'!AT$6:AT$105)+SUMIF(Capacity_Resource,$E132,'Critical resources (hide)'!AT$6:AT$105)+SUMIF(Capacity_Resource,$F132,'Critical resources (hide)'!AT$6:AT$105)&gt;0,$E$1=2),0,1)</f>
        <v>1</v>
      </c>
      <c r="AH132" s="68">
        <f ca="1">IF(AND(SUMIF(Capacity_Resource,$D132,'Critical resources (hide)'!AU$6:AU$105)+SUMIF(Capacity_Resource,$E132,'Critical resources (hide)'!AU$6:AU$105)+SUMIF(Capacity_Resource,$F132,'Critical resources (hide)'!AU$6:AU$105)&gt;0,$E$1=2),0,1)</f>
        <v>1</v>
      </c>
      <c r="AI132" s="68">
        <f ca="1">IF(AND(SUMIF(Capacity_Resource,$D132,'Critical resources (hide)'!AV$6:AV$105)+SUMIF(Capacity_Resource,$E132,'Critical resources (hide)'!AV$6:AV$105)+SUMIF(Capacity_Resource,$F132,'Critical resources (hide)'!AV$6:AV$105)&gt;0,$E$1=2),0,1)</f>
        <v>1</v>
      </c>
      <c r="AJ132" s="68">
        <f ca="1">IF(AND(SUMIF(Capacity_Resource,$D132,'Critical resources (hide)'!AW$6:AW$105)+SUMIF(Capacity_Resource,$E132,'Critical resources (hide)'!AW$6:AW$105)+SUMIF(Capacity_Resource,$F132,'Critical resources (hide)'!AW$6:AW$105)&gt;0,$E$1=2),0,1)</f>
        <v>1</v>
      </c>
      <c r="AK132" s="68">
        <f ca="1">IF(AND(SUMIF(Capacity_Resource,$D132,'Critical resources (hide)'!AX$6:AX$105)+SUMIF(Capacity_Resource,$E132,'Critical resources (hide)'!AX$6:AX$105)+SUMIF(Capacity_Resource,$F132,'Critical resources (hide)'!AX$6:AX$105)&gt;0,$E$1=2),0,1)</f>
        <v>1</v>
      </c>
      <c r="AL132" s="68">
        <f ca="1">IF(AND(SUMIF(Capacity_Resource,$D132,'Critical resources (hide)'!AY$6:AY$105)+SUMIF(Capacity_Resource,$E132,'Critical resources (hide)'!AY$6:AY$105)+SUMIF(Capacity_Resource,$F132,'Critical resources (hide)'!AY$6:AY$105)&gt;0,$E$1=2),0,1)</f>
        <v>1</v>
      </c>
      <c r="AM132" s="68">
        <f ca="1">IF(AND(SUMIF(Capacity_Resource,$D132,'Critical resources (hide)'!AZ$6:AZ$105)+SUMIF(Capacity_Resource,$E132,'Critical resources (hide)'!AZ$6:AZ$105)+SUMIF(Capacity_Resource,$F132,'Critical resources (hide)'!AZ$6:AZ$105)&gt;0,$E$1=2),0,1)</f>
        <v>1</v>
      </c>
      <c r="AN132" s="68">
        <f ca="1">IF(AND(SUMIF(Capacity_Resource,$D132,'Critical resources (hide)'!BA$6:BA$105)+SUMIF(Capacity_Resource,$E132,'Critical resources (hide)'!BA$6:BA$105)+SUMIF(Capacity_Resource,$F132,'Critical resources (hide)'!BA$6:BA$105)&gt;0,$E$1=2),0,1)</f>
        <v>1</v>
      </c>
      <c r="AO132" s="68">
        <f ca="1">IF(AND(SUMIF(Capacity_Resource,$D132,'Critical resources (hide)'!BB$6:BB$105)+SUMIF(Capacity_Resource,$E132,'Critical resources (hide)'!BB$6:BB$105)+SUMIF(Capacity_Resource,$F132,'Critical resources (hide)'!BB$6:BB$105)&gt;0,$E$1=2),0,1)</f>
        <v>1</v>
      </c>
      <c r="AP132" s="68">
        <f ca="1">IF(AND(SUMIF(Capacity_Resource,$D132,'Critical resources (hide)'!BC$6:BC$105)+SUMIF(Capacity_Resource,$E132,'Critical resources (hide)'!BC$6:BC$105)+SUMIF(Capacity_Resource,$F132,'Critical resources (hide)'!BC$6:BC$105)&gt;0,$E$1=2),0,1)</f>
        <v>1</v>
      </c>
      <c r="AQ132" s="68">
        <f ca="1">IF(AND(SUMIF(Capacity_Resource,$D132,'Critical resources (hide)'!BD$6:BD$105)+SUMIF(Capacity_Resource,$E132,'Critical resources (hide)'!BD$6:BD$105)+SUMIF(Capacity_Resource,$F132,'Critical resources (hide)'!BD$6:BD$105)&gt;0,$E$1=2),0,1)</f>
        <v>1</v>
      </c>
      <c r="AR132" s="68">
        <f ca="1">IF(AND(SUMIF(Capacity_Resource,$D132,'Critical resources (hide)'!BE$6:BE$105)+SUMIF(Capacity_Resource,$E132,'Critical resources (hide)'!BE$6:BE$105)+SUMIF(Capacity_Resource,$F132,'Critical resources (hide)'!BE$6:BE$105)&gt;0,$E$1=2),0,1)</f>
        <v>1</v>
      </c>
      <c r="AS132" s="68">
        <f ca="1">IF(AND(SUMIF(Capacity_Resource,$D132,'Critical resources (hide)'!BF$6:BF$105)+SUMIF(Capacity_Resource,$E132,'Critical resources (hide)'!BF$6:BF$105)+SUMIF(Capacity_Resource,$F132,'Critical resources (hide)'!BF$6:BF$105)&gt;0,$E$1=2),0,1)</f>
        <v>1</v>
      </c>
      <c r="AT132" s="68">
        <f ca="1">IF(AND(SUMIF(Capacity_Resource,$D132,'Critical resources (hide)'!BG$6:BG$105)+SUMIF(Capacity_Resource,$E132,'Critical resources (hide)'!BG$6:BG$105)+SUMIF(Capacity_Resource,$F132,'Critical resources (hide)'!BG$6:BG$105)&gt;0,$E$1=2),0,1)</f>
        <v>1</v>
      </c>
      <c r="AU132" s="68">
        <f ca="1">IF(AND(SUMIF(Capacity_Resource,$D132,'Critical resources (hide)'!BH$6:BH$105)+SUMIF(Capacity_Resource,$E132,'Critical resources (hide)'!BH$6:BH$105)+SUMIF(Capacity_Resource,$F132,'Critical resources (hide)'!BH$6:BH$105)&gt;0,$E$1=2),0,1)</f>
        <v>1</v>
      </c>
      <c r="AV132" s="68">
        <f ca="1">IF(AND(SUMIF(Capacity_Resource,$D132,'Critical resources (hide)'!BI$6:BI$105)+SUMIF(Capacity_Resource,$E132,'Critical resources (hide)'!BI$6:BI$105)+SUMIF(Capacity_Resource,$F132,'Critical resources (hide)'!BI$6:BI$105)&gt;0,$E$1=2),0,1)</f>
        <v>1</v>
      </c>
      <c r="AW132" s="68">
        <f ca="1">IF(AND(SUMIF(Capacity_Resource,$D132,'Critical resources (hide)'!BJ$6:BJ$105)+SUMIF(Capacity_Resource,$E132,'Critical resources (hide)'!BJ$6:BJ$105)+SUMIF(Capacity_Resource,$F132,'Critical resources (hide)'!BJ$6:BJ$105)&gt;0,$E$1=2),0,1)</f>
        <v>1</v>
      </c>
      <c r="AX132" s="68">
        <f ca="1">IF(AND(SUMIF(Capacity_Resource,$D132,'Critical resources (hide)'!BK$6:BK$105)+SUMIF(Capacity_Resource,$E132,'Critical resources (hide)'!BK$6:BK$105)+SUMIF(Capacity_Resource,$F132,'Critical resources (hide)'!BK$6:BK$105)&gt;0,$E$1=2),0,1)</f>
        <v>1</v>
      </c>
      <c r="AY132" s="68">
        <f ca="1">IF(AND(SUMIF(Capacity_Resource,$D132,'Critical resources (hide)'!BL$6:BL$105)+SUMIF(Capacity_Resource,$E132,'Critical resources (hide)'!BL$6:BL$105)+SUMIF(Capacity_Resource,$F132,'Critical resources (hide)'!BL$6:BL$105)&gt;0,$E$1=2),0,1)</f>
        <v>1</v>
      </c>
      <c r="AZ132" s="68">
        <f ca="1">IF(AND(SUMIF(Capacity_Resource,$D132,'Critical resources (hide)'!BM$6:BM$105)+SUMIF(Capacity_Resource,$E132,'Critical resources (hide)'!BM$6:BM$105)+SUMIF(Capacity_Resource,$F132,'Critical resources (hide)'!BM$6:BM$105)&gt;0,$E$1=2),0,1)</f>
        <v>1</v>
      </c>
      <c r="BA132" s="68">
        <f ca="1">IF(AND(SUMIF(Capacity_Resource,$D132,'Critical resources (hide)'!BN$6:BN$105)+SUMIF(Capacity_Resource,$E132,'Critical resources (hide)'!BN$6:BN$105)+SUMIF(Capacity_Resource,$F132,'Critical resources (hide)'!BN$6:BN$105)&gt;0,$E$1=2),0,1)</f>
        <v>1</v>
      </c>
      <c r="BB132" s="68">
        <f ca="1">IF(AND(SUMIF(Capacity_Resource,$D132,'Critical resources (hide)'!BO$6:BO$105)+SUMIF(Capacity_Resource,$E132,'Critical resources (hide)'!BO$6:BO$105)+SUMIF(Capacity_Resource,$F132,'Critical resources (hide)'!BO$6:BO$105)&gt;0,$E$1=2),0,1)</f>
        <v>1</v>
      </c>
      <c r="BC132" s="68">
        <f ca="1">IF(AND(SUMIF(Capacity_Resource,$D132,'Critical resources (hide)'!BP$6:BP$105)+SUMIF(Capacity_Resource,$E132,'Critical resources (hide)'!BP$6:BP$105)+SUMIF(Capacity_Resource,$F132,'Critical resources (hide)'!BP$6:BP$105)&gt;0,$E$1=2),0,1)</f>
        <v>1</v>
      </c>
      <c r="BD132" s="68">
        <f ca="1">IF(AND(SUMIF(Capacity_Resource,$D132,'Critical resources (hide)'!BQ$6:BQ$105)+SUMIF(Capacity_Resource,$E132,'Critical resources (hide)'!BQ$6:BQ$105)+SUMIF(Capacity_Resource,$F132,'Critical resources (hide)'!BQ$6:BQ$105)&gt;0,$E$1=2),0,1)</f>
        <v>1</v>
      </c>
      <c r="BE132" s="68">
        <f ca="1">IF(AND(SUMIF(Capacity_Resource,$D132,'Critical resources (hide)'!BR$6:BR$105)+SUMIF(Capacity_Resource,$E132,'Critical resources (hide)'!BR$6:BR$105)+SUMIF(Capacity_Resource,$F132,'Critical resources (hide)'!BR$6:BR$105)&gt;0,$E$1=2),0,1)</f>
        <v>1</v>
      </c>
      <c r="BF132" s="68">
        <f ca="1">IF(AND(SUMIF(Capacity_Resource,$D132,'Critical resources (hide)'!BS$6:BS$105)+SUMIF(Capacity_Resource,$E132,'Critical resources (hide)'!BS$6:BS$105)+SUMIF(Capacity_Resource,$F132,'Critical resources (hide)'!BS$6:BS$105)&gt;0,$E$1=2),0,1)</f>
        <v>1</v>
      </c>
      <c r="BG132" s="68">
        <f ca="1">IF(AND(SUMIF(Capacity_Resource,$D132,'Critical resources (hide)'!BT$6:BT$105)+SUMIF(Capacity_Resource,$E132,'Critical resources (hide)'!BT$6:BT$105)+SUMIF(Capacity_Resource,$F132,'Critical resources (hide)'!BT$6:BT$105)&gt;0,$E$1=2),0,1)</f>
        <v>1</v>
      </c>
      <c r="BH132" s="68">
        <f>IF(ROW(A21)&lt;=Capacity!$M$16,IF('Capacity summary'!$C$14="No",SUM(H132:BG132),'Capacity summary'!$E44),0)</f>
        <v>0</v>
      </c>
      <c r="BI132" s="68" t="str">
        <f>IF(BH132&gt;0,IF(BH132&lt;Capacity!Q37,Capacity!R37,Capacity!T37/'Capacity calculation (hide)'!BH132),"")</f>
        <v/>
      </c>
      <c r="BJ132" s="5"/>
      <c r="BK132" s="5">
        <f>IF($BI132&lt;&gt;"",IF('Capacity summary'!$C$14="Yes",IF(COUNTBLANK('Capacity summary'!$H44:$BG44)&lt;52,IF('Capacity summary'!H44&lt;&gt;"",$BI132*H132,0),H132*$BI132),H132*$BI132),0)</f>
        <v>0</v>
      </c>
      <c r="BL132" s="5">
        <f>IF($BI132&lt;&gt;"",IF('Capacity summary'!$C$14="Yes",IF(COUNTBLANK('Capacity summary'!$H44:$BG44)&lt;52,IF('Capacity summary'!I44&lt;&gt;"",$BI132*I132,0),I132*$BI132),I132*$BI132),0)</f>
        <v>0</v>
      </c>
      <c r="BM132" s="5">
        <f>IF($BI132&lt;&gt;"",IF('Capacity summary'!$C$14="Yes",IF(COUNTBLANK('Capacity summary'!$H44:$BG44)&lt;52,IF('Capacity summary'!J44&lt;&gt;"",$BI132*J132,0),J132*$BI132),J132*$BI132),0)</f>
        <v>0</v>
      </c>
      <c r="BN132" s="5">
        <f>IF($BI132&lt;&gt;"",IF('Capacity summary'!$C$14="Yes",IF(COUNTBLANK('Capacity summary'!$H44:$BG44)&lt;52,IF('Capacity summary'!K44&lt;&gt;"",$BI132*K132,0),K132*$BI132),K132*$BI132),0)</f>
        <v>0</v>
      </c>
      <c r="BO132" s="5">
        <f>IF($BI132&lt;&gt;"",IF('Capacity summary'!$C$14="Yes",IF(COUNTBLANK('Capacity summary'!$H44:$BG44)&lt;52,IF('Capacity summary'!L44&lt;&gt;"",$BI132*L132,0),L132*$BI132),L132*$BI132),0)</f>
        <v>0</v>
      </c>
      <c r="BP132" s="5">
        <f>IF($BI132&lt;&gt;"",IF('Capacity summary'!$C$14="Yes",IF(COUNTBLANK('Capacity summary'!$H44:$BG44)&lt;52,IF('Capacity summary'!M44&lt;&gt;"",$BI132*M132,0),M132*$BI132),M132*$BI132),0)</f>
        <v>0</v>
      </c>
      <c r="BQ132" s="5">
        <f>IF($BI132&lt;&gt;"",IF('Capacity summary'!$C$14="Yes",IF(COUNTBLANK('Capacity summary'!$H44:$BG44)&lt;52,IF('Capacity summary'!N44&lt;&gt;"",$BI132*N132,0),N132*$BI132),N132*$BI132),0)</f>
        <v>0</v>
      </c>
      <c r="BR132" s="5">
        <f>IF($BI132&lt;&gt;"",IF('Capacity summary'!$C$14="Yes",IF(COUNTBLANK('Capacity summary'!$H44:$BG44)&lt;52,IF('Capacity summary'!O44&lt;&gt;"",$BI132*O132,0),O132*$BI132),O132*$BI132),0)</f>
        <v>0</v>
      </c>
      <c r="BS132" s="5">
        <f>IF($BI132&lt;&gt;"",IF('Capacity summary'!$C$14="Yes",IF(COUNTBLANK('Capacity summary'!$H44:$BG44)&lt;52,IF('Capacity summary'!P44&lt;&gt;"",$BI132*P132,0),P132*$BI132),P132*$BI132),0)</f>
        <v>0</v>
      </c>
      <c r="BT132" s="5">
        <f>IF($BI132&lt;&gt;"",IF('Capacity summary'!$C$14="Yes",IF(COUNTBLANK('Capacity summary'!$H44:$BG44)&lt;52,IF('Capacity summary'!Q44&lt;&gt;"",$BI132*Q132,0),Q132*$BI132),Q132*$BI132),0)</f>
        <v>0</v>
      </c>
      <c r="BU132" s="5">
        <f>IF($BI132&lt;&gt;"",IF('Capacity summary'!$C$14="Yes",IF(COUNTBLANK('Capacity summary'!$H44:$BG44)&lt;52,IF('Capacity summary'!R44&lt;&gt;"",$BI132*R132,0),R132*$BI132),R132*$BI132),0)</f>
        <v>0</v>
      </c>
      <c r="BV132" s="5">
        <f>IF($BI132&lt;&gt;"",IF('Capacity summary'!$C$14="Yes",IF(COUNTBLANK('Capacity summary'!$H44:$BG44)&lt;52,IF('Capacity summary'!S44&lt;&gt;"",$BI132*S132,0),S132*$BI132),S132*$BI132),0)</f>
        <v>0</v>
      </c>
      <c r="BW132" s="5">
        <f>IF($BI132&lt;&gt;"",IF('Capacity summary'!$C$14="Yes",IF(COUNTBLANK('Capacity summary'!$H44:$BG44)&lt;52,IF('Capacity summary'!T44&lt;&gt;"",$BI132*T132,0),T132*$BI132),T132*$BI132),0)</f>
        <v>0</v>
      </c>
      <c r="BX132" s="5">
        <f>IF($BI132&lt;&gt;"",IF('Capacity summary'!$C$14="Yes",IF(COUNTBLANK('Capacity summary'!$H44:$BG44)&lt;52,IF('Capacity summary'!U44&lt;&gt;"",$BI132*U132,0),U132*$BI132),U132*$BI132),0)</f>
        <v>0</v>
      </c>
      <c r="BY132" s="5">
        <f>IF($BI132&lt;&gt;"",IF('Capacity summary'!$C$14="Yes",IF(COUNTBLANK('Capacity summary'!$H44:$BG44)&lt;52,IF('Capacity summary'!V44&lt;&gt;"",$BI132*V132,0),V132*$BI132),V132*$BI132),0)</f>
        <v>0</v>
      </c>
      <c r="BZ132" s="5">
        <f>IF($BI132&lt;&gt;"",IF('Capacity summary'!$C$14="Yes",IF(COUNTBLANK('Capacity summary'!$H44:$BG44)&lt;52,IF('Capacity summary'!W44&lt;&gt;"",$BI132*W132,0),W132*$BI132),W132*$BI132),0)</f>
        <v>0</v>
      </c>
      <c r="CA132" s="5">
        <f>IF($BI132&lt;&gt;"",IF('Capacity summary'!$C$14="Yes",IF(COUNTBLANK('Capacity summary'!$H44:$BG44)&lt;52,IF('Capacity summary'!X44&lt;&gt;"",$BI132*X132,0),X132*$BI132),X132*$BI132),0)</f>
        <v>0</v>
      </c>
      <c r="CB132" s="5">
        <f>IF($BI132&lt;&gt;"",IF('Capacity summary'!$C$14="Yes",IF(COUNTBLANK('Capacity summary'!$H44:$BG44)&lt;52,IF('Capacity summary'!Y44&lt;&gt;"",$BI132*Y132,0),Y132*$BI132),Y132*$BI132),0)</f>
        <v>0</v>
      </c>
      <c r="CC132" s="5">
        <f>IF($BI132&lt;&gt;"",IF('Capacity summary'!$C$14="Yes",IF(COUNTBLANK('Capacity summary'!$H44:$BG44)&lt;52,IF('Capacity summary'!Z44&lt;&gt;"",$BI132*Z132,0),Z132*$BI132),Z132*$BI132),0)</f>
        <v>0</v>
      </c>
      <c r="CD132" s="5">
        <f>IF($BI132&lt;&gt;"",IF('Capacity summary'!$C$14="Yes",IF(COUNTBLANK('Capacity summary'!$H44:$BG44)&lt;52,IF('Capacity summary'!AA44&lt;&gt;"",$BI132*AA132,0),AA132*$BI132),AA132*$BI132),0)</f>
        <v>0</v>
      </c>
      <c r="CE132" s="5">
        <f>IF($BI132&lt;&gt;"",IF('Capacity summary'!$C$14="Yes",IF(COUNTBLANK('Capacity summary'!$H44:$BG44)&lt;52,IF('Capacity summary'!AB44&lt;&gt;"",$BI132*AB132,0),AB132*$BI132),AB132*$BI132),0)</f>
        <v>0</v>
      </c>
      <c r="CF132" s="5">
        <f>IF($BI132&lt;&gt;"",IF('Capacity summary'!$C$14="Yes",IF(COUNTBLANK('Capacity summary'!$H44:$BG44)&lt;52,IF('Capacity summary'!AC44&lt;&gt;"",$BI132*AC132,0),AC132*$BI132),AC132*$BI132),0)</f>
        <v>0</v>
      </c>
      <c r="CG132" s="5">
        <f>IF($BI132&lt;&gt;"",IF('Capacity summary'!$C$14="Yes",IF(COUNTBLANK('Capacity summary'!$H44:$BG44)&lt;52,IF('Capacity summary'!AD44&lt;&gt;"",$BI132*AD132,0),AD132*$BI132),AD132*$BI132),0)</f>
        <v>0</v>
      </c>
      <c r="CH132" s="5">
        <f>IF($BI132&lt;&gt;"",IF('Capacity summary'!$C$14="Yes",IF(COUNTBLANK('Capacity summary'!$H44:$BG44)&lt;52,IF('Capacity summary'!AE44&lt;&gt;"",$BI132*AE132,0),AE132*$BI132),AE132*$BI132),0)</f>
        <v>0</v>
      </c>
      <c r="CI132" s="5">
        <f>IF($BI132&lt;&gt;"",IF('Capacity summary'!$C$14="Yes",IF(COUNTBLANK('Capacity summary'!$H44:$BG44)&lt;52,IF('Capacity summary'!AF44&lt;&gt;"",$BI132*AF132,0),AF132*$BI132),AF132*$BI132),0)</f>
        <v>0</v>
      </c>
      <c r="CJ132" s="5">
        <f>IF($BI132&lt;&gt;"",IF('Capacity summary'!$C$14="Yes",IF(COUNTBLANK('Capacity summary'!$H44:$BG44)&lt;52,IF('Capacity summary'!AG44&lt;&gt;"",$BI132*AG132,0),AG132*$BI132),AG132*$BI132),0)</f>
        <v>0</v>
      </c>
      <c r="CK132" s="5">
        <f>IF($BI132&lt;&gt;"",IF('Capacity summary'!$C$14="Yes",IF(COUNTBLANK('Capacity summary'!$H44:$BG44)&lt;52,IF('Capacity summary'!AH44&lt;&gt;"",$BI132*AH132,0),AH132*$BI132),AH132*$BI132),0)</f>
        <v>0</v>
      </c>
      <c r="CL132" s="5">
        <f>IF($BI132&lt;&gt;"",IF('Capacity summary'!$C$14="Yes",IF(COUNTBLANK('Capacity summary'!$H44:$BG44)&lt;52,IF('Capacity summary'!AI44&lt;&gt;"",$BI132*AI132,0),AI132*$BI132),AI132*$BI132),0)</f>
        <v>0</v>
      </c>
      <c r="CM132" s="5">
        <f>IF($BI132&lt;&gt;"",IF('Capacity summary'!$C$14="Yes",IF(COUNTBLANK('Capacity summary'!$H44:$BG44)&lt;52,IF('Capacity summary'!AJ44&lt;&gt;"",$BI132*AJ132,0),AJ132*$BI132),AJ132*$BI132),0)</f>
        <v>0</v>
      </c>
      <c r="CN132" s="5">
        <f>IF($BI132&lt;&gt;"",IF('Capacity summary'!$C$14="Yes",IF(COUNTBLANK('Capacity summary'!$H44:$BG44)&lt;52,IF('Capacity summary'!AK44&lt;&gt;"",$BI132*AK132,0),AK132*$BI132),AK132*$BI132),0)</f>
        <v>0</v>
      </c>
      <c r="CO132" s="5">
        <f>IF($BI132&lt;&gt;"",IF('Capacity summary'!$C$14="Yes",IF(COUNTBLANK('Capacity summary'!$H44:$BG44)&lt;52,IF('Capacity summary'!AL44&lt;&gt;"",$BI132*AL132,0),AL132*$BI132),AL132*$BI132),0)</f>
        <v>0</v>
      </c>
      <c r="CP132" s="5">
        <f>IF($BI132&lt;&gt;"",IF('Capacity summary'!$C$14="Yes",IF(COUNTBLANK('Capacity summary'!$H44:$BG44)&lt;52,IF('Capacity summary'!AM44&lt;&gt;"",$BI132*AM132,0),AM132*$BI132),AM132*$BI132),0)</f>
        <v>0</v>
      </c>
      <c r="CQ132" s="5">
        <f>IF($BI132&lt;&gt;"",IF('Capacity summary'!$C$14="Yes",IF(COUNTBLANK('Capacity summary'!$H44:$BG44)&lt;52,IF('Capacity summary'!AN44&lt;&gt;"",$BI132*AN132,0),AN132*$BI132),AN132*$BI132),0)</f>
        <v>0</v>
      </c>
      <c r="CR132" s="5">
        <f>IF($BI132&lt;&gt;"",IF('Capacity summary'!$C$14="Yes",IF(COUNTBLANK('Capacity summary'!$H44:$BG44)&lt;52,IF('Capacity summary'!AO44&lt;&gt;"",$BI132*AO132,0),AO132*$BI132),AO132*$BI132),0)</f>
        <v>0</v>
      </c>
      <c r="CS132" s="5">
        <f>IF($BI132&lt;&gt;"",IF('Capacity summary'!$C$14="Yes",IF(COUNTBLANK('Capacity summary'!$H44:$BG44)&lt;52,IF('Capacity summary'!AP44&lt;&gt;"",$BI132*AP132,0),AP132*$BI132),AP132*$BI132),0)</f>
        <v>0</v>
      </c>
      <c r="CT132" s="5">
        <f>IF($BI132&lt;&gt;"",IF('Capacity summary'!$C$14="Yes",IF(COUNTBLANK('Capacity summary'!$H44:$BG44)&lt;52,IF('Capacity summary'!AQ44&lt;&gt;"",$BI132*AQ132,0),AQ132*$BI132),AQ132*$BI132),0)</f>
        <v>0</v>
      </c>
      <c r="CU132" s="5">
        <f>IF($BI132&lt;&gt;"",IF('Capacity summary'!$C$14="Yes",IF(COUNTBLANK('Capacity summary'!$H44:$BG44)&lt;52,IF('Capacity summary'!AR44&lt;&gt;"",$BI132*AR132,0),AR132*$BI132),AR132*$BI132),0)</f>
        <v>0</v>
      </c>
      <c r="CV132" s="5">
        <f>IF($BI132&lt;&gt;"",IF('Capacity summary'!$C$14="Yes",IF(COUNTBLANK('Capacity summary'!$H44:$BG44)&lt;52,IF('Capacity summary'!AS44&lt;&gt;"",$BI132*AS132,0),AS132*$BI132),AS132*$BI132),0)</f>
        <v>0</v>
      </c>
      <c r="CW132" s="5">
        <f>IF($BI132&lt;&gt;"",IF('Capacity summary'!$C$14="Yes",IF(COUNTBLANK('Capacity summary'!$H44:$BG44)&lt;52,IF('Capacity summary'!AT44&lt;&gt;"",$BI132*AT132,0),AT132*$BI132),AT132*$BI132),0)</f>
        <v>0</v>
      </c>
      <c r="CX132" s="5">
        <f>IF($BI132&lt;&gt;"",IF('Capacity summary'!$C$14="Yes",IF(COUNTBLANK('Capacity summary'!$H44:$BG44)&lt;52,IF('Capacity summary'!AU44&lt;&gt;"",$BI132*AU132,0),AU132*$BI132),AU132*$BI132),0)</f>
        <v>0</v>
      </c>
      <c r="CY132" s="5">
        <f>IF($BI132&lt;&gt;"",IF('Capacity summary'!$C$14="Yes",IF(COUNTBLANK('Capacity summary'!$H44:$BG44)&lt;52,IF('Capacity summary'!AV44&lt;&gt;"",$BI132*AV132,0),AV132*$BI132),AV132*$BI132),0)</f>
        <v>0</v>
      </c>
      <c r="CZ132" s="5">
        <f>IF($BI132&lt;&gt;"",IF('Capacity summary'!$C$14="Yes",IF(COUNTBLANK('Capacity summary'!$H44:$BG44)&lt;52,IF('Capacity summary'!AW44&lt;&gt;"",$BI132*AW132,0),AW132*$BI132),AW132*$BI132),0)</f>
        <v>0</v>
      </c>
      <c r="DA132" s="5">
        <f>IF($BI132&lt;&gt;"",IF('Capacity summary'!$C$14="Yes",IF(COUNTBLANK('Capacity summary'!$H44:$BG44)&lt;52,IF('Capacity summary'!AX44&lt;&gt;"",$BI132*AX132,0),AX132*$BI132),AX132*$BI132),0)</f>
        <v>0</v>
      </c>
      <c r="DB132" s="5">
        <f>IF($BI132&lt;&gt;"",IF('Capacity summary'!$C$14="Yes",IF(COUNTBLANK('Capacity summary'!$H44:$BG44)&lt;52,IF('Capacity summary'!AY44&lt;&gt;"",$BI132*AY132,0),AY132*$BI132),AY132*$BI132),0)</f>
        <v>0</v>
      </c>
      <c r="DC132" s="5">
        <f>IF($BI132&lt;&gt;"",IF('Capacity summary'!$C$14="Yes",IF(COUNTBLANK('Capacity summary'!$H44:$BG44)&lt;52,IF('Capacity summary'!AZ44&lt;&gt;"",$BI132*AZ132,0),AZ132*$BI132),AZ132*$BI132),0)</f>
        <v>0</v>
      </c>
      <c r="DD132" s="5">
        <f>IF($BI132&lt;&gt;"",IF('Capacity summary'!$C$14="Yes",IF(COUNTBLANK('Capacity summary'!$H44:$BG44)&lt;52,IF('Capacity summary'!BA44&lt;&gt;"",$BI132*BA132,0),BA132*$BI132),BA132*$BI132),0)</f>
        <v>0</v>
      </c>
      <c r="DE132" s="5">
        <f>IF($BI132&lt;&gt;"",IF('Capacity summary'!$C$14="Yes",IF(COUNTBLANK('Capacity summary'!$H44:$BG44)&lt;52,IF('Capacity summary'!BB44&lt;&gt;"",$BI132*BB132,0),BB132*$BI132),BB132*$BI132),0)</f>
        <v>0</v>
      </c>
      <c r="DF132" s="5">
        <f>IF($BI132&lt;&gt;"",IF('Capacity summary'!$C$14="Yes",IF(COUNTBLANK('Capacity summary'!$H44:$BG44)&lt;52,IF('Capacity summary'!BC44&lt;&gt;"",$BI132*BC132,0),BC132*$BI132),BC132*$BI132),0)</f>
        <v>0</v>
      </c>
      <c r="DG132" s="5">
        <f>IF($BI132&lt;&gt;"",IF('Capacity summary'!$C$14="Yes",IF(COUNTBLANK('Capacity summary'!$H44:$BG44)&lt;52,IF('Capacity summary'!BD44&lt;&gt;"",$BI132*BD132,0),BD132*$BI132),BD132*$BI132),0)</f>
        <v>0</v>
      </c>
      <c r="DH132" s="5">
        <f>IF($BI132&lt;&gt;"",IF('Capacity summary'!$C$14="Yes",IF(COUNTBLANK('Capacity summary'!$H44:$BG44)&lt;52,IF('Capacity summary'!BE44&lt;&gt;"",$BI132*BE132,0),BE132*$BI132),BE132*$BI132),0)</f>
        <v>0</v>
      </c>
      <c r="DI132" s="5">
        <f>IF($BI132&lt;&gt;"",IF('Capacity summary'!$C$14="Yes",IF(COUNTBLANK('Capacity summary'!$H44:$BG44)&lt;52,IF('Capacity summary'!BF44&lt;&gt;"",$BI132*BF132,0),BF132*$BI132),BF132*$BI132),0)</f>
        <v>0</v>
      </c>
      <c r="DJ132" s="5">
        <f>IF($BI132&lt;&gt;"",IF('Capacity summary'!$C$14="Yes",IF(COUNTBLANK('Capacity summary'!$H44:$BG44)&lt;52,IF('Capacity summary'!BG44&lt;&gt;"",$BI132*BG132,0),BG132*$BI132),BG132*$BI132),0)</f>
        <v>0</v>
      </c>
      <c r="DK132" s="138">
        <f t="shared" si="6"/>
        <v>0</v>
      </c>
    </row>
    <row r="133" spans="3:115" x14ac:dyDescent="0.2">
      <c r="C133" s="68" t="str">
        <f>ROW(A22)&amp;". "&amp;Capacity!N38</f>
        <v xml:space="preserve">22. </v>
      </c>
      <c r="D133" s="68">
        <f>'Capacity setup'!C139</f>
        <v>0</v>
      </c>
      <c r="E133" s="68">
        <f>'Capacity setup'!D139</f>
        <v>0</v>
      </c>
      <c r="F133" s="68">
        <f>'Capacity setup'!E139</f>
        <v>0</v>
      </c>
      <c r="H133" s="68">
        <f ca="1">IF(AND(SUMIF(Capacity_Resource,$D133,'Critical resources (hide)'!U$6:U$105)+SUMIF(Capacity_Resource,$E133,'Critical resources (hide)'!U$6:U$105)+SUMIF(Capacity_Resource,$F133,'Critical resources (hide)'!U$6:U$105)&gt;0,$E$1=2),0,1)</f>
        <v>1</v>
      </c>
      <c r="I133" s="68">
        <f ca="1">IF(AND(SUMIF(Capacity_Resource,$D133,'Critical resources (hide)'!V$6:V$105)+SUMIF(Capacity_Resource,$E133,'Critical resources (hide)'!V$6:V$105)+SUMIF(Capacity_Resource,$F133,'Critical resources (hide)'!V$6:V$105)&gt;0,$E$1=2),0,1)</f>
        <v>1</v>
      </c>
      <c r="J133" s="68">
        <f ca="1">IF(AND(SUMIF(Capacity_Resource,$D133,'Critical resources (hide)'!W$6:W$105)+SUMIF(Capacity_Resource,$E133,'Critical resources (hide)'!W$6:W$105)+SUMIF(Capacity_Resource,$F133,'Critical resources (hide)'!W$6:W$105)&gt;0,$E$1=2),0,1)</f>
        <v>1</v>
      </c>
      <c r="K133" s="68">
        <f ca="1">IF(AND(SUMIF(Capacity_Resource,$D133,'Critical resources (hide)'!X$6:X$105)+SUMIF(Capacity_Resource,$E133,'Critical resources (hide)'!X$6:X$105)+SUMIF(Capacity_Resource,$F133,'Critical resources (hide)'!X$6:X$105)&gt;0,$E$1=2),0,1)</f>
        <v>1</v>
      </c>
      <c r="L133" s="68">
        <f ca="1">IF(AND(SUMIF(Capacity_Resource,$D133,'Critical resources (hide)'!Y$6:Y$105)+SUMIF(Capacity_Resource,$E133,'Critical resources (hide)'!Y$6:Y$105)+SUMIF(Capacity_Resource,$F133,'Critical resources (hide)'!Y$6:Y$105)&gt;0,$E$1=2),0,1)</f>
        <v>1</v>
      </c>
      <c r="M133" s="68">
        <f ca="1">IF(AND(SUMIF(Capacity_Resource,$D133,'Critical resources (hide)'!Z$6:Z$105)+SUMIF(Capacity_Resource,$E133,'Critical resources (hide)'!Z$6:Z$105)+SUMIF(Capacity_Resource,$F133,'Critical resources (hide)'!Z$6:Z$105)&gt;0,$E$1=2),0,1)</f>
        <v>1</v>
      </c>
      <c r="N133" s="68">
        <f ca="1">IF(AND(SUMIF(Capacity_Resource,$D133,'Critical resources (hide)'!AA$6:AA$105)+SUMIF(Capacity_Resource,$E133,'Critical resources (hide)'!AA$6:AA$105)+SUMIF(Capacity_Resource,$F133,'Critical resources (hide)'!AA$6:AA$105)&gt;0,$E$1=2),0,1)</f>
        <v>1</v>
      </c>
      <c r="O133" s="68">
        <f ca="1">IF(AND(SUMIF(Capacity_Resource,$D133,'Critical resources (hide)'!AB$6:AB$105)+SUMIF(Capacity_Resource,$E133,'Critical resources (hide)'!AB$6:AB$105)+SUMIF(Capacity_Resource,$F133,'Critical resources (hide)'!AB$6:AB$105)&gt;0,$E$1=2),0,1)</f>
        <v>1</v>
      </c>
      <c r="P133" s="68">
        <f ca="1">IF(AND(SUMIF(Capacity_Resource,$D133,'Critical resources (hide)'!AC$6:AC$105)+SUMIF(Capacity_Resource,$E133,'Critical resources (hide)'!AC$6:AC$105)+SUMIF(Capacity_Resource,$F133,'Critical resources (hide)'!AC$6:AC$105)&gt;0,$E$1=2),0,1)</f>
        <v>1</v>
      </c>
      <c r="Q133" s="68">
        <f ca="1">IF(AND(SUMIF(Capacity_Resource,$D133,'Critical resources (hide)'!AD$6:AD$105)+SUMIF(Capacity_Resource,$E133,'Critical resources (hide)'!AD$6:AD$105)+SUMIF(Capacity_Resource,$F133,'Critical resources (hide)'!AD$6:AD$105)&gt;0,$E$1=2),0,1)</f>
        <v>1</v>
      </c>
      <c r="R133" s="68">
        <f ca="1">IF(AND(SUMIF(Capacity_Resource,$D133,'Critical resources (hide)'!AE$6:AE$105)+SUMIF(Capacity_Resource,$E133,'Critical resources (hide)'!AE$6:AE$105)+SUMIF(Capacity_Resource,$F133,'Critical resources (hide)'!AE$6:AE$105)&gt;0,$E$1=2),0,1)</f>
        <v>1</v>
      </c>
      <c r="S133" s="68">
        <f ca="1">IF(AND(SUMIF(Capacity_Resource,$D133,'Critical resources (hide)'!AF$6:AF$105)+SUMIF(Capacity_Resource,$E133,'Critical resources (hide)'!AF$6:AF$105)+SUMIF(Capacity_Resource,$F133,'Critical resources (hide)'!AF$6:AF$105)&gt;0,$E$1=2),0,1)</f>
        <v>1</v>
      </c>
      <c r="T133" s="68">
        <f ca="1">IF(AND(SUMIF(Capacity_Resource,$D133,'Critical resources (hide)'!AG$6:AG$105)+SUMIF(Capacity_Resource,$E133,'Critical resources (hide)'!AG$6:AG$105)+SUMIF(Capacity_Resource,$F133,'Critical resources (hide)'!AG$6:AG$105)&gt;0,$E$1=2),0,1)</f>
        <v>1</v>
      </c>
      <c r="U133" s="68">
        <f ca="1">IF(AND(SUMIF(Capacity_Resource,$D133,'Critical resources (hide)'!AH$6:AH$105)+SUMIF(Capacity_Resource,$E133,'Critical resources (hide)'!AH$6:AH$105)+SUMIF(Capacity_Resource,$F133,'Critical resources (hide)'!AH$6:AH$105)&gt;0,$E$1=2),0,1)</f>
        <v>1</v>
      </c>
      <c r="V133" s="68">
        <f ca="1">IF(AND(SUMIF(Capacity_Resource,$D133,'Critical resources (hide)'!AI$6:AI$105)+SUMIF(Capacity_Resource,$E133,'Critical resources (hide)'!AI$6:AI$105)+SUMIF(Capacity_Resource,$F133,'Critical resources (hide)'!AI$6:AI$105)&gt;0,$E$1=2),0,1)</f>
        <v>1</v>
      </c>
      <c r="W133" s="68">
        <f ca="1">IF(AND(SUMIF(Capacity_Resource,$D133,'Critical resources (hide)'!AJ$6:AJ$105)+SUMIF(Capacity_Resource,$E133,'Critical resources (hide)'!AJ$6:AJ$105)+SUMIF(Capacity_Resource,$F133,'Critical resources (hide)'!AJ$6:AJ$105)&gt;0,$E$1=2),0,1)</f>
        <v>1</v>
      </c>
      <c r="X133" s="68">
        <f ca="1">IF(AND(SUMIF(Capacity_Resource,$D133,'Critical resources (hide)'!AK$6:AK$105)+SUMIF(Capacity_Resource,$E133,'Critical resources (hide)'!AK$6:AK$105)+SUMIF(Capacity_Resource,$F133,'Critical resources (hide)'!AK$6:AK$105)&gt;0,$E$1=2),0,1)</f>
        <v>1</v>
      </c>
      <c r="Y133" s="68">
        <f ca="1">IF(AND(SUMIF(Capacity_Resource,$D133,'Critical resources (hide)'!AL$6:AL$105)+SUMIF(Capacity_Resource,$E133,'Critical resources (hide)'!AL$6:AL$105)+SUMIF(Capacity_Resource,$F133,'Critical resources (hide)'!AL$6:AL$105)&gt;0,$E$1=2),0,1)</f>
        <v>1</v>
      </c>
      <c r="Z133" s="68">
        <f ca="1">IF(AND(SUMIF(Capacity_Resource,$D133,'Critical resources (hide)'!AM$6:AM$105)+SUMIF(Capacity_Resource,$E133,'Critical resources (hide)'!AM$6:AM$105)+SUMIF(Capacity_Resource,$F133,'Critical resources (hide)'!AM$6:AM$105)&gt;0,$E$1=2),0,1)</f>
        <v>1</v>
      </c>
      <c r="AA133" s="68">
        <f ca="1">IF(AND(SUMIF(Capacity_Resource,$D133,'Critical resources (hide)'!AN$6:AN$105)+SUMIF(Capacity_Resource,$E133,'Critical resources (hide)'!AN$6:AN$105)+SUMIF(Capacity_Resource,$F133,'Critical resources (hide)'!AN$6:AN$105)&gt;0,$E$1=2),0,1)</f>
        <v>1</v>
      </c>
      <c r="AB133" s="68">
        <f ca="1">IF(AND(SUMIF(Capacity_Resource,$D133,'Critical resources (hide)'!AO$6:AO$105)+SUMIF(Capacity_Resource,$E133,'Critical resources (hide)'!AO$6:AO$105)+SUMIF(Capacity_Resource,$F133,'Critical resources (hide)'!AO$6:AO$105)&gt;0,$E$1=2),0,1)</f>
        <v>1</v>
      </c>
      <c r="AC133" s="68">
        <f ca="1">IF(AND(SUMIF(Capacity_Resource,$D133,'Critical resources (hide)'!AP$6:AP$105)+SUMIF(Capacity_Resource,$E133,'Critical resources (hide)'!AP$6:AP$105)+SUMIF(Capacity_Resource,$F133,'Critical resources (hide)'!AP$6:AP$105)&gt;0,$E$1=2),0,1)</f>
        <v>1</v>
      </c>
      <c r="AD133" s="68">
        <f ca="1">IF(AND(SUMIF(Capacity_Resource,$D133,'Critical resources (hide)'!AQ$6:AQ$105)+SUMIF(Capacity_Resource,$E133,'Critical resources (hide)'!AQ$6:AQ$105)+SUMIF(Capacity_Resource,$F133,'Critical resources (hide)'!AQ$6:AQ$105)&gt;0,$E$1=2),0,1)</f>
        <v>1</v>
      </c>
      <c r="AE133" s="68">
        <f ca="1">IF(AND(SUMIF(Capacity_Resource,$D133,'Critical resources (hide)'!AR$6:AR$105)+SUMIF(Capacity_Resource,$E133,'Critical resources (hide)'!AR$6:AR$105)+SUMIF(Capacity_Resource,$F133,'Critical resources (hide)'!AR$6:AR$105)&gt;0,$E$1=2),0,1)</f>
        <v>1</v>
      </c>
      <c r="AF133" s="68">
        <f ca="1">IF(AND(SUMIF(Capacity_Resource,$D133,'Critical resources (hide)'!AS$6:AS$105)+SUMIF(Capacity_Resource,$E133,'Critical resources (hide)'!AS$6:AS$105)+SUMIF(Capacity_Resource,$F133,'Critical resources (hide)'!AS$6:AS$105)&gt;0,$E$1=2),0,1)</f>
        <v>1</v>
      </c>
      <c r="AG133" s="68">
        <f ca="1">IF(AND(SUMIF(Capacity_Resource,$D133,'Critical resources (hide)'!AT$6:AT$105)+SUMIF(Capacity_Resource,$E133,'Critical resources (hide)'!AT$6:AT$105)+SUMIF(Capacity_Resource,$F133,'Critical resources (hide)'!AT$6:AT$105)&gt;0,$E$1=2),0,1)</f>
        <v>1</v>
      </c>
      <c r="AH133" s="68">
        <f ca="1">IF(AND(SUMIF(Capacity_Resource,$D133,'Critical resources (hide)'!AU$6:AU$105)+SUMIF(Capacity_Resource,$E133,'Critical resources (hide)'!AU$6:AU$105)+SUMIF(Capacity_Resource,$F133,'Critical resources (hide)'!AU$6:AU$105)&gt;0,$E$1=2),0,1)</f>
        <v>1</v>
      </c>
      <c r="AI133" s="68">
        <f ca="1">IF(AND(SUMIF(Capacity_Resource,$D133,'Critical resources (hide)'!AV$6:AV$105)+SUMIF(Capacity_Resource,$E133,'Critical resources (hide)'!AV$6:AV$105)+SUMIF(Capacity_Resource,$F133,'Critical resources (hide)'!AV$6:AV$105)&gt;0,$E$1=2),0,1)</f>
        <v>1</v>
      </c>
      <c r="AJ133" s="68">
        <f ca="1">IF(AND(SUMIF(Capacity_Resource,$D133,'Critical resources (hide)'!AW$6:AW$105)+SUMIF(Capacity_Resource,$E133,'Critical resources (hide)'!AW$6:AW$105)+SUMIF(Capacity_Resource,$F133,'Critical resources (hide)'!AW$6:AW$105)&gt;0,$E$1=2),0,1)</f>
        <v>1</v>
      </c>
      <c r="AK133" s="68">
        <f ca="1">IF(AND(SUMIF(Capacity_Resource,$D133,'Critical resources (hide)'!AX$6:AX$105)+SUMIF(Capacity_Resource,$E133,'Critical resources (hide)'!AX$6:AX$105)+SUMIF(Capacity_Resource,$F133,'Critical resources (hide)'!AX$6:AX$105)&gt;0,$E$1=2),0,1)</f>
        <v>1</v>
      </c>
      <c r="AL133" s="68">
        <f ca="1">IF(AND(SUMIF(Capacity_Resource,$D133,'Critical resources (hide)'!AY$6:AY$105)+SUMIF(Capacity_Resource,$E133,'Critical resources (hide)'!AY$6:AY$105)+SUMIF(Capacity_Resource,$F133,'Critical resources (hide)'!AY$6:AY$105)&gt;0,$E$1=2),0,1)</f>
        <v>1</v>
      </c>
      <c r="AM133" s="68">
        <f ca="1">IF(AND(SUMIF(Capacity_Resource,$D133,'Critical resources (hide)'!AZ$6:AZ$105)+SUMIF(Capacity_Resource,$E133,'Critical resources (hide)'!AZ$6:AZ$105)+SUMIF(Capacity_Resource,$F133,'Critical resources (hide)'!AZ$6:AZ$105)&gt;0,$E$1=2),0,1)</f>
        <v>1</v>
      </c>
      <c r="AN133" s="68">
        <f ca="1">IF(AND(SUMIF(Capacity_Resource,$D133,'Critical resources (hide)'!BA$6:BA$105)+SUMIF(Capacity_Resource,$E133,'Critical resources (hide)'!BA$6:BA$105)+SUMIF(Capacity_Resource,$F133,'Critical resources (hide)'!BA$6:BA$105)&gt;0,$E$1=2),0,1)</f>
        <v>1</v>
      </c>
      <c r="AO133" s="68">
        <f ca="1">IF(AND(SUMIF(Capacity_Resource,$D133,'Critical resources (hide)'!BB$6:BB$105)+SUMIF(Capacity_Resource,$E133,'Critical resources (hide)'!BB$6:BB$105)+SUMIF(Capacity_Resource,$F133,'Critical resources (hide)'!BB$6:BB$105)&gt;0,$E$1=2),0,1)</f>
        <v>1</v>
      </c>
      <c r="AP133" s="68">
        <f ca="1">IF(AND(SUMIF(Capacity_Resource,$D133,'Critical resources (hide)'!BC$6:BC$105)+SUMIF(Capacity_Resource,$E133,'Critical resources (hide)'!BC$6:BC$105)+SUMIF(Capacity_Resource,$F133,'Critical resources (hide)'!BC$6:BC$105)&gt;0,$E$1=2),0,1)</f>
        <v>1</v>
      </c>
      <c r="AQ133" s="68">
        <f ca="1">IF(AND(SUMIF(Capacity_Resource,$D133,'Critical resources (hide)'!BD$6:BD$105)+SUMIF(Capacity_Resource,$E133,'Critical resources (hide)'!BD$6:BD$105)+SUMIF(Capacity_Resource,$F133,'Critical resources (hide)'!BD$6:BD$105)&gt;0,$E$1=2),0,1)</f>
        <v>1</v>
      </c>
      <c r="AR133" s="68">
        <f ca="1">IF(AND(SUMIF(Capacity_Resource,$D133,'Critical resources (hide)'!BE$6:BE$105)+SUMIF(Capacity_Resource,$E133,'Critical resources (hide)'!BE$6:BE$105)+SUMIF(Capacity_Resource,$F133,'Critical resources (hide)'!BE$6:BE$105)&gt;0,$E$1=2),0,1)</f>
        <v>1</v>
      </c>
      <c r="AS133" s="68">
        <f ca="1">IF(AND(SUMIF(Capacity_Resource,$D133,'Critical resources (hide)'!BF$6:BF$105)+SUMIF(Capacity_Resource,$E133,'Critical resources (hide)'!BF$6:BF$105)+SUMIF(Capacity_Resource,$F133,'Critical resources (hide)'!BF$6:BF$105)&gt;0,$E$1=2),0,1)</f>
        <v>1</v>
      </c>
      <c r="AT133" s="68">
        <f ca="1">IF(AND(SUMIF(Capacity_Resource,$D133,'Critical resources (hide)'!BG$6:BG$105)+SUMIF(Capacity_Resource,$E133,'Critical resources (hide)'!BG$6:BG$105)+SUMIF(Capacity_Resource,$F133,'Critical resources (hide)'!BG$6:BG$105)&gt;0,$E$1=2),0,1)</f>
        <v>1</v>
      </c>
      <c r="AU133" s="68">
        <f ca="1">IF(AND(SUMIF(Capacity_Resource,$D133,'Critical resources (hide)'!BH$6:BH$105)+SUMIF(Capacity_Resource,$E133,'Critical resources (hide)'!BH$6:BH$105)+SUMIF(Capacity_Resource,$F133,'Critical resources (hide)'!BH$6:BH$105)&gt;0,$E$1=2),0,1)</f>
        <v>1</v>
      </c>
      <c r="AV133" s="68">
        <f ca="1">IF(AND(SUMIF(Capacity_Resource,$D133,'Critical resources (hide)'!BI$6:BI$105)+SUMIF(Capacity_Resource,$E133,'Critical resources (hide)'!BI$6:BI$105)+SUMIF(Capacity_Resource,$F133,'Critical resources (hide)'!BI$6:BI$105)&gt;0,$E$1=2),0,1)</f>
        <v>1</v>
      </c>
      <c r="AW133" s="68">
        <f ca="1">IF(AND(SUMIF(Capacity_Resource,$D133,'Critical resources (hide)'!BJ$6:BJ$105)+SUMIF(Capacity_Resource,$E133,'Critical resources (hide)'!BJ$6:BJ$105)+SUMIF(Capacity_Resource,$F133,'Critical resources (hide)'!BJ$6:BJ$105)&gt;0,$E$1=2),0,1)</f>
        <v>1</v>
      </c>
      <c r="AX133" s="68">
        <f ca="1">IF(AND(SUMIF(Capacity_Resource,$D133,'Critical resources (hide)'!BK$6:BK$105)+SUMIF(Capacity_Resource,$E133,'Critical resources (hide)'!BK$6:BK$105)+SUMIF(Capacity_Resource,$F133,'Critical resources (hide)'!BK$6:BK$105)&gt;0,$E$1=2),0,1)</f>
        <v>1</v>
      </c>
      <c r="AY133" s="68">
        <f ca="1">IF(AND(SUMIF(Capacity_Resource,$D133,'Critical resources (hide)'!BL$6:BL$105)+SUMIF(Capacity_Resource,$E133,'Critical resources (hide)'!BL$6:BL$105)+SUMIF(Capacity_Resource,$F133,'Critical resources (hide)'!BL$6:BL$105)&gt;0,$E$1=2),0,1)</f>
        <v>1</v>
      </c>
      <c r="AZ133" s="68">
        <f ca="1">IF(AND(SUMIF(Capacity_Resource,$D133,'Critical resources (hide)'!BM$6:BM$105)+SUMIF(Capacity_Resource,$E133,'Critical resources (hide)'!BM$6:BM$105)+SUMIF(Capacity_Resource,$F133,'Critical resources (hide)'!BM$6:BM$105)&gt;0,$E$1=2),0,1)</f>
        <v>1</v>
      </c>
      <c r="BA133" s="68">
        <f ca="1">IF(AND(SUMIF(Capacity_Resource,$D133,'Critical resources (hide)'!BN$6:BN$105)+SUMIF(Capacity_Resource,$E133,'Critical resources (hide)'!BN$6:BN$105)+SUMIF(Capacity_Resource,$F133,'Critical resources (hide)'!BN$6:BN$105)&gt;0,$E$1=2),0,1)</f>
        <v>1</v>
      </c>
      <c r="BB133" s="68">
        <f ca="1">IF(AND(SUMIF(Capacity_Resource,$D133,'Critical resources (hide)'!BO$6:BO$105)+SUMIF(Capacity_Resource,$E133,'Critical resources (hide)'!BO$6:BO$105)+SUMIF(Capacity_Resource,$F133,'Critical resources (hide)'!BO$6:BO$105)&gt;0,$E$1=2),0,1)</f>
        <v>1</v>
      </c>
      <c r="BC133" s="68">
        <f ca="1">IF(AND(SUMIF(Capacity_Resource,$D133,'Critical resources (hide)'!BP$6:BP$105)+SUMIF(Capacity_Resource,$E133,'Critical resources (hide)'!BP$6:BP$105)+SUMIF(Capacity_Resource,$F133,'Critical resources (hide)'!BP$6:BP$105)&gt;0,$E$1=2),0,1)</f>
        <v>1</v>
      </c>
      <c r="BD133" s="68">
        <f ca="1">IF(AND(SUMIF(Capacity_Resource,$D133,'Critical resources (hide)'!BQ$6:BQ$105)+SUMIF(Capacity_Resource,$E133,'Critical resources (hide)'!BQ$6:BQ$105)+SUMIF(Capacity_Resource,$F133,'Critical resources (hide)'!BQ$6:BQ$105)&gt;0,$E$1=2),0,1)</f>
        <v>1</v>
      </c>
      <c r="BE133" s="68">
        <f ca="1">IF(AND(SUMIF(Capacity_Resource,$D133,'Critical resources (hide)'!BR$6:BR$105)+SUMIF(Capacity_Resource,$E133,'Critical resources (hide)'!BR$6:BR$105)+SUMIF(Capacity_Resource,$F133,'Critical resources (hide)'!BR$6:BR$105)&gt;0,$E$1=2),0,1)</f>
        <v>1</v>
      </c>
      <c r="BF133" s="68">
        <f ca="1">IF(AND(SUMIF(Capacity_Resource,$D133,'Critical resources (hide)'!BS$6:BS$105)+SUMIF(Capacity_Resource,$E133,'Critical resources (hide)'!BS$6:BS$105)+SUMIF(Capacity_Resource,$F133,'Critical resources (hide)'!BS$6:BS$105)&gt;0,$E$1=2),0,1)</f>
        <v>1</v>
      </c>
      <c r="BG133" s="68">
        <f ca="1">IF(AND(SUMIF(Capacity_Resource,$D133,'Critical resources (hide)'!BT$6:BT$105)+SUMIF(Capacity_Resource,$E133,'Critical resources (hide)'!BT$6:BT$105)+SUMIF(Capacity_Resource,$F133,'Critical resources (hide)'!BT$6:BT$105)&gt;0,$E$1=2),0,1)</f>
        <v>1</v>
      </c>
      <c r="BH133" s="68">
        <f>IF(ROW(A22)&lt;=Capacity!$M$16,IF('Capacity summary'!$C$14="No",SUM(H133:BG133),'Capacity summary'!$E45),0)</f>
        <v>0</v>
      </c>
      <c r="BI133" s="68" t="str">
        <f>IF(BH133&gt;0,IF(BH133&lt;Capacity!Q38,Capacity!R38,Capacity!T38/'Capacity calculation (hide)'!BH133),"")</f>
        <v/>
      </c>
      <c r="BJ133" s="5"/>
      <c r="BK133" s="5">
        <f>IF($BI133&lt;&gt;"",IF('Capacity summary'!$C$14="Yes",IF(COUNTBLANK('Capacity summary'!$H45:$BG45)&lt;52,IF('Capacity summary'!H45&lt;&gt;"",$BI133*H133,0),H133*$BI133),H133*$BI133),0)</f>
        <v>0</v>
      </c>
      <c r="BL133" s="5">
        <f>IF($BI133&lt;&gt;"",IF('Capacity summary'!$C$14="Yes",IF(COUNTBLANK('Capacity summary'!$H45:$BG45)&lt;52,IF('Capacity summary'!I45&lt;&gt;"",$BI133*I133,0),I133*$BI133),I133*$BI133),0)</f>
        <v>0</v>
      </c>
      <c r="BM133" s="5">
        <f>IF($BI133&lt;&gt;"",IF('Capacity summary'!$C$14="Yes",IF(COUNTBLANK('Capacity summary'!$H45:$BG45)&lt;52,IF('Capacity summary'!J45&lt;&gt;"",$BI133*J133,0),J133*$BI133),J133*$BI133),0)</f>
        <v>0</v>
      </c>
      <c r="BN133" s="5">
        <f>IF($BI133&lt;&gt;"",IF('Capacity summary'!$C$14="Yes",IF(COUNTBLANK('Capacity summary'!$H45:$BG45)&lt;52,IF('Capacity summary'!K45&lt;&gt;"",$BI133*K133,0),K133*$BI133),K133*$BI133),0)</f>
        <v>0</v>
      </c>
      <c r="BO133" s="5">
        <f>IF($BI133&lt;&gt;"",IF('Capacity summary'!$C$14="Yes",IF(COUNTBLANK('Capacity summary'!$H45:$BG45)&lt;52,IF('Capacity summary'!L45&lt;&gt;"",$BI133*L133,0),L133*$BI133),L133*$BI133),0)</f>
        <v>0</v>
      </c>
      <c r="BP133" s="5">
        <f>IF($BI133&lt;&gt;"",IF('Capacity summary'!$C$14="Yes",IF(COUNTBLANK('Capacity summary'!$H45:$BG45)&lt;52,IF('Capacity summary'!M45&lt;&gt;"",$BI133*M133,0),M133*$BI133),M133*$BI133),0)</f>
        <v>0</v>
      </c>
      <c r="BQ133" s="5">
        <f>IF($BI133&lt;&gt;"",IF('Capacity summary'!$C$14="Yes",IF(COUNTBLANK('Capacity summary'!$H45:$BG45)&lt;52,IF('Capacity summary'!N45&lt;&gt;"",$BI133*N133,0),N133*$BI133),N133*$BI133),0)</f>
        <v>0</v>
      </c>
      <c r="BR133" s="5">
        <f>IF($BI133&lt;&gt;"",IF('Capacity summary'!$C$14="Yes",IF(COUNTBLANK('Capacity summary'!$H45:$BG45)&lt;52,IF('Capacity summary'!O45&lt;&gt;"",$BI133*O133,0),O133*$BI133),O133*$BI133),0)</f>
        <v>0</v>
      </c>
      <c r="BS133" s="5">
        <f>IF($BI133&lt;&gt;"",IF('Capacity summary'!$C$14="Yes",IF(COUNTBLANK('Capacity summary'!$H45:$BG45)&lt;52,IF('Capacity summary'!P45&lt;&gt;"",$BI133*P133,0),P133*$BI133),P133*$BI133),0)</f>
        <v>0</v>
      </c>
      <c r="BT133" s="5">
        <f>IF($BI133&lt;&gt;"",IF('Capacity summary'!$C$14="Yes",IF(COUNTBLANK('Capacity summary'!$H45:$BG45)&lt;52,IF('Capacity summary'!Q45&lt;&gt;"",$BI133*Q133,0),Q133*$BI133),Q133*$BI133),0)</f>
        <v>0</v>
      </c>
      <c r="BU133" s="5">
        <f>IF($BI133&lt;&gt;"",IF('Capacity summary'!$C$14="Yes",IF(COUNTBLANK('Capacity summary'!$H45:$BG45)&lt;52,IF('Capacity summary'!R45&lt;&gt;"",$BI133*R133,0),R133*$BI133),R133*$BI133),0)</f>
        <v>0</v>
      </c>
      <c r="BV133" s="5">
        <f>IF($BI133&lt;&gt;"",IF('Capacity summary'!$C$14="Yes",IF(COUNTBLANK('Capacity summary'!$H45:$BG45)&lt;52,IF('Capacity summary'!S45&lt;&gt;"",$BI133*S133,0),S133*$BI133),S133*$BI133),0)</f>
        <v>0</v>
      </c>
      <c r="BW133" s="5">
        <f>IF($BI133&lt;&gt;"",IF('Capacity summary'!$C$14="Yes",IF(COUNTBLANK('Capacity summary'!$H45:$BG45)&lt;52,IF('Capacity summary'!T45&lt;&gt;"",$BI133*T133,0),T133*$BI133),T133*$BI133),0)</f>
        <v>0</v>
      </c>
      <c r="BX133" s="5">
        <f>IF($BI133&lt;&gt;"",IF('Capacity summary'!$C$14="Yes",IF(COUNTBLANK('Capacity summary'!$H45:$BG45)&lt;52,IF('Capacity summary'!U45&lt;&gt;"",$BI133*U133,0),U133*$BI133),U133*$BI133),0)</f>
        <v>0</v>
      </c>
      <c r="BY133" s="5">
        <f>IF($BI133&lt;&gt;"",IF('Capacity summary'!$C$14="Yes",IF(COUNTBLANK('Capacity summary'!$H45:$BG45)&lt;52,IF('Capacity summary'!V45&lt;&gt;"",$BI133*V133,0),V133*$BI133),V133*$BI133),0)</f>
        <v>0</v>
      </c>
      <c r="BZ133" s="5">
        <f>IF($BI133&lt;&gt;"",IF('Capacity summary'!$C$14="Yes",IF(COUNTBLANK('Capacity summary'!$H45:$BG45)&lt;52,IF('Capacity summary'!W45&lt;&gt;"",$BI133*W133,0),W133*$BI133),W133*$BI133),0)</f>
        <v>0</v>
      </c>
      <c r="CA133" s="5">
        <f>IF($BI133&lt;&gt;"",IF('Capacity summary'!$C$14="Yes",IF(COUNTBLANK('Capacity summary'!$H45:$BG45)&lt;52,IF('Capacity summary'!X45&lt;&gt;"",$BI133*X133,0),X133*$BI133),X133*$BI133),0)</f>
        <v>0</v>
      </c>
      <c r="CB133" s="5">
        <f>IF($BI133&lt;&gt;"",IF('Capacity summary'!$C$14="Yes",IF(COUNTBLANK('Capacity summary'!$H45:$BG45)&lt;52,IF('Capacity summary'!Y45&lt;&gt;"",$BI133*Y133,0),Y133*$BI133),Y133*$BI133),0)</f>
        <v>0</v>
      </c>
      <c r="CC133" s="5">
        <f>IF($BI133&lt;&gt;"",IF('Capacity summary'!$C$14="Yes",IF(COUNTBLANK('Capacity summary'!$H45:$BG45)&lt;52,IF('Capacity summary'!Z45&lt;&gt;"",$BI133*Z133,0),Z133*$BI133),Z133*$BI133),0)</f>
        <v>0</v>
      </c>
      <c r="CD133" s="5">
        <f>IF($BI133&lt;&gt;"",IF('Capacity summary'!$C$14="Yes",IF(COUNTBLANK('Capacity summary'!$H45:$BG45)&lt;52,IF('Capacity summary'!AA45&lt;&gt;"",$BI133*AA133,0),AA133*$BI133),AA133*$BI133),0)</f>
        <v>0</v>
      </c>
      <c r="CE133" s="5">
        <f>IF($BI133&lt;&gt;"",IF('Capacity summary'!$C$14="Yes",IF(COUNTBLANK('Capacity summary'!$H45:$BG45)&lt;52,IF('Capacity summary'!AB45&lt;&gt;"",$BI133*AB133,0),AB133*$BI133),AB133*$BI133),0)</f>
        <v>0</v>
      </c>
      <c r="CF133" s="5">
        <f>IF($BI133&lt;&gt;"",IF('Capacity summary'!$C$14="Yes",IF(COUNTBLANK('Capacity summary'!$H45:$BG45)&lt;52,IF('Capacity summary'!AC45&lt;&gt;"",$BI133*AC133,0),AC133*$BI133),AC133*$BI133),0)</f>
        <v>0</v>
      </c>
      <c r="CG133" s="5">
        <f>IF($BI133&lt;&gt;"",IF('Capacity summary'!$C$14="Yes",IF(COUNTBLANK('Capacity summary'!$H45:$BG45)&lt;52,IF('Capacity summary'!AD45&lt;&gt;"",$BI133*AD133,0),AD133*$BI133),AD133*$BI133),0)</f>
        <v>0</v>
      </c>
      <c r="CH133" s="5">
        <f>IF($BI133&lt;&gt;"",IF('Capacity summary'!$C$14="Yes",IF(COUNTBLANK('Capacity summary'!$H45:$BG45)&lt;52,IF('Capacity summary'!AE45&lt;&gt;"",$BI133*AE133,0),AE133*$BI133),AE133*$BI133),0)</f>
        <v>0</v>
      </c>
      <c r="CI133" s="5">
        <f>IF($BI133&lt;&gt;"",IF('Capacity summary'!$C$14="Yes",IF(COUNTBLANK('Capacity summary'!$H45:$BG45)&lt;52,IF('Capacity summary'!AF45&lt;&gt;"",$BI133*AF133,0),AF133*$BI133),AF133*$BI133),0)</f>
        <v>0</v>
      </c>
      <c r="CJ133" s="5">
        <f>IF($BI133&lt;&gt;"",IF('Capacity summary'!$C$14="Yes",IF(COUNTBLANK('Capacity summary'!$H45:$BG45)&lt;52,IF('Capacity summary'!AG45&lt;&gt;"",$BI133*AG133,0),AG133*$BI133),AG133*$BI133),0)</f>
        <v>0</v>
      </c>
      <c r="CK133" s="5">
        <f>IF($BI133&lt;&gt;"",IF('Capacity summary'!$C$14="Yes",IF(COUNTBLANK('Capacity summary'!$H45:$BG45)&lt;52,IF('Capacity summary'!AH45&lt;&gt;"",$BI133*AH133,0),AH133*$BI133),AH133*$BI133),0)</f>
        <v>0</v>
      </c>
      <c r="CL133" s="5">
        <f>IF($BI133&lt;&gt;"",IF('Capacity summary'!$C$14="Yes",IF(COUNTBLANK('Capacity summary'!$H45:$BG45)&lt;52,IF('Capacity summary'!AI45&lt;&gt;"",$BI133*AI133,0),AI133*$BI133),AI133*$BI133),0)</f>
        <v>0</v>
      </c>
      <c r="CM133" s="5">
        <f>IF($BI133&lt;&gt;"",IF('Capacity summary'!$C$14="Yes",IF(COUNTBLANK('Capacity summary'!$H45:$BG45)&lt;52,IF('Capacity summary'!AJ45&lt;&gt;"",$BI133*AJ133,0),AJ133*$BI133),AJ133*$BI133),0)</f>
        <v>0</v>
      </c>
      <c r="CN133" s="5">
        <f>IF($BI133&lt;&gt;"",IF('Capacity summary'!$C$14="Yes",IF(COUNTBLANK('Capacity summary'!$H45:$BG45)&lt;52,IF('Capacity summary'!AK45&lt;&gt;"",$BI133*AK133,0),AK133*$BI133),AK133*$BI133),0)</f>
        <v>0</v>
      </c>
      <c r="CO133" s="5">
        <f>IF($BI133&lt;&gt;"",IF('Capacity summary'!$C$14="Yes",IF(COUNTBLANK('Capacity summary'!$H45:$BG45)&lt;52,IF('Capacity summary'!AL45&lt;&gt;"",$BI133*AL133,0),AL133*$BI133),AL133*$BI133),0)</f>
        <v>0</v>
      </c>
      <c r="CP133" s="5">
        <f>IF($BI133&lt;&gt;"",IF('Capacity summary'!$C$14="Yes",IF(COUNTBLANK('Capacity summary'!$H45:$BG45)&lt;52,IF('Capacity summary'!AM45&lt;&gt;"",$BI133*AM133,0),AM133*$BI133),AM133*$BI133),0)</f>
        <v>0</v>
      </c>
      <c r="CQ133" s="5">
        <f>IF($BI133&lt;&gt;"",IF('Capacity summary'!$C$14="Yes",IF(COUNTBLANK('Capacity summary'!$H45:$BG45)&lt;52,IF('Capacity summary'!AN45&lt;&gt;"",$BI133*AN133,0),AN133*$BI133),AN133*$BI133),0)</f>
        <v>0</v>
      </c>
      <c r="CR133" s="5">
        <f>IF($BI133&lt;&gt;"",IF('Capacity summary'!$C$14="Yes",IF(COUNTBLANK('Capacity summary'!$H45:$BG45)&lt;52,IF('Capacity summary'!AO45&lt;&gt;"",$BI133*AO133,0),AO133*$BI133),AO133*$BI133),0)</f>
        <v>0</v>
      </c>
      <c r="CS133" s="5">
        <f>IF($BI133&lt;&gt;"",IF('Capacity summary'!$C$14="Yes",IF(COUNTBLANK('Capacity summary'!$H45:$BG45)&lt;52,IF('Capacity summary'!AP45&lt;&gt;"",$BI133*AP133,0),AP133*$BI133),AP133*$BI133),0)</f>
        <v>0</v>
      </c>
      <c r="CT133" s="5">
        <f>IF($BI133&lt;&gt;"",IF('Capacity summary'!$C$14="Yes",IF(COUNTBLANK('Capacity summary'!$H45:$BG45)&lt;52,IF('Capacity summary'!AQ45&lt;&gt;"",$BI133*AQ133,0),AQ133*$BI133),AQ133*$BI133),0)</f>
        <v>0</v>
      </c>
      <c r="CU133" s="5">
        <f>IF($BI133&lt;&gt;"",IF('Capacity summary'!$C$14="Yes",IF(COUNTBLANK('Capacity summary'!$H45:$BG45)&lt;52,IF('Capacity summary'!AR45&lt;&gt;"",$BI133*AR133,0),AR133*$BI133),AR133*$BI133),0)</f>
        <v>0</v>
      </c>
      <c r="CV133" s="5">
        <f>IF($BI133&lt;&gt;"",IF('Capacity summary'!$C$14="Yes",IF(COUNTBLANK('Capacity summary'!$H45:$BG45)&lt;52,IF('Capacity summary'!AS45&lt;&gt;"",$BI133*AS133,0),AS133*$BI133),AS133*$BI133),0)</f>
        <v>0</v>
      </c>
      <c r="CW133" s="5">
        <f>IF($BI133&lt;&gt;"",IF('Capacity summary'!$C$14="Yes",IF(COUNTBLANK('Capacity summary'!$H45:$BG45)&lt;52,IF('Capacity summary'!AT45&lt;&gt;"",$BI133*AT133,0),AT133*$BI133),AT133*$BI133),0)</f>
        <v>0</v>
      </c>
      <c r="CX133" s="5">
        <f>IF($BI133&lt;&gt;"",IF('Capacity summary'!$C$14="Yes",IF(COUNTBLANK('Capacity summary'!$H45:$BG45)&lt;52,IF('Capacity summary'!AU45&lt;&gt;"",$BI133*AU133,0),AU133*$BI133),AU133*$BI133),0)</f>
        <v>0</v>
      </c>
      <c r="CY133" s="5">
        <f>IF($BI133&lt;&gt;"",IF('Capacity summary'!$C$14="Yes",IF(COUNTBLANK('Capacity summary'!$H45:$BG45)&lt;52,IF('Capacity summary'!AV45&lt;&gt;"",$BI133*AV133,0),AV133*$BI133),AV133*$BI133),0)</f>
        <v>0</v>
      </c>
      <c r="CZ133" s="5">
        <f>IF($BI133&lt;&gt;"",IF('Capacity summary'!$C$14="Yes",IF(COUNTBLANK('Capacity summary'!$H45:$BG45)&lt;52,IF('Capacity summary'!AW45&lt;&gt;"",$BI133*AW133,0),AW133*$BI133),AW133*$BI133),0)</f>
        <v>0</v>
      </c>
      <c r="DA133" s="5">
        <f>IF($BI133&lt;&gt;"",IF('Capacity summary'!$C$14="Yes",IF(COUNTBLANK('Capacity summary'!$H45:$BG45)&lt;52,IF('Capacity summary'!AX45&lt;&gt;"",$BI133*AX133,0),AX133*$BI133),AX133*$BI133),0)</f>
        <v>0</v>
      </c>
      <c r="DB133" s="5">
        <f>IF($BI133&lt;&gt;"",IF('Capacity summary'!$C$14="Yes",IF(COUNTBLANK('Capacity summary'!$H45:$BG45)&lt;52,IF('Capacity summary'!AY45&lt;&gt;"",$BI133*AY133,0),AY133*$BI133),AY133*$BI133),0)</f>
        <v>0</v>
      </c>
      <c r="DC133" s="5">
        <f>IF($BI133&lt;&gt;"",IF('Capacity summary'!$C$14="Yes",IF(COUNTBLANK('Capacity summary'!$H45:$BG45)&lt;52,IF('Capacity summary'!AZ45&lt;&gt;"",$BI133*AZ133,0),AZ133*$BI133),AZ133*$BI133),0)</f>
        <v>0</v>
      </c>
      <c r="DD133" s="5">
        <f>IF($BI133&lt;&gt;"",IF('Capacity summary'!$C$14="Yes",IF(COUNTBLANK('Capacity summary'!$H45:$BG45)&lt;52,IF('Capacity summary'!BA45&lt;&gt;"",$BI133*BA133,0),BA133*$BI133),BA133*$BI133),0)</f>
        <v>0</v>
      </c>
      <c r="DE133" s="5">
        <f>IF($BI133&lt;&gt;"",IF('Capacity summary'!$C$14="Yes",IF(COUNTBLANK('Capacity summary'!$H45:$BG45)&lt;52,IF('Capacity summary'!BB45&lt;&gt;"",$BI133*BB133,0),BB133*$BI133),BB133*$BI133),0)</f>
        <v>0</v>
      </c>
      <c r="DF133" s="5">
        <f>IF($BI133&lt;&gt;"",IF('Capacity summary'!$C$14="Yes",IF(COUNTBLANK('Capacity summary'!$H45:$BG45)&lt;52,IF('Capacity summary'!BC45&lt;&gt;"",$BI133*BC133,0),BC133*$BI133),BC133*$BI133),0)</f>
        <v>0</v>
      </c>
      <c r="DG133" s="5">
        <f>IF($BI133&lt;&gt;"",IF('Capacity summary'!$C$14="Yes",IF(COUNTBLANK('Capacity summary'!$H45:$BG45)&lt;52,IF('Capacity summary'!BD45&lt;&gt;"",$BI133*BD133,0),BD133*$BI133),BD133*$BI133),0)</f>
        <v>0</v>
      </c>
      <c r="DH133" s="5">
        <f>IF($BI133&lt;&gt;"",IF('Capacity summary'!$C$14="Yes",IF(COUNTBLANK('Capacity summary'!$H45:$BG45)&lt;52,IF('Capacity summary'!BE45&lt;&gt;"",$BI133*BE133,0),BE133*$BI133),BE133*$BI133),0)</f>
        <v>0</v>
      </c>
      <c r="DI133" s="5">
        <f>IF($BI133&lt;&gt;"",IF('Capacity summary'!$C$14="Yes",IF(COUNTBLANK('Capacity summary'!$H45:$BG45)&lt;52,IF('Capacity summary'!BF45&lt;&gt;"",$BI133*BF133,0),BF133*$BI133),BF133*$BI133),0)</f>
        <v>0</v>
      </c>
      <c r="DJ133" s="5">
        <f>IF($BI133&lt;&gt;"",IF('Capacity summary'!$C$14="Yes",IF(COUNTBLANK('Capacity summary'!$H45:$BG45)&lt;52,IF('Capacity summary'!BG45&lt;&gt;"",$BI133*BG133,0),BG133*$BI133),BG133*$BI133),0)</f>
        <v>0</v>
      </c>
      <c r="DK133" s="138">
        <f t="shared" si="6"/>
        <v>0</v>
      </c>
    </row>
    <row r="134" spans="3:115" x14ac:dyDescent="0.2">
      <c r="C134" s="68" t="str">
        <f>ROW(A23)&amp;". "&amp;Capacity!N39</f>
        <v xml:space="preserve">23. </v>
      </c>
      <c r="D134" s="68">
        <f>'Capacity setup'!C140</f>
        <v>0</v>
      </c>
      <c r="E134" s="68">
        <f>'Capacity setup'!D140</f>
        <v>0</v>
      </c>
      <c r="F134" s="68">
        <f>'Capacity setup'!E140</f>
        <v>0</v>
      </c>
      <c r="H134" s="68">
        <f ca="1">IF(AND(SUMIF(Capacity_Resource,$D134,'Critical resources (hide)'!U$6:U$105)+SUMIF(Capacity_Resource,$E134,'Critical resources (hide)'!U$6:U$105)+SUMIF(Capacity_Resource,$F134,'Critical resources (hide)'!U$6:U$105)&gt;0,$E$1=2),0,1)</f>
        <v>1</v>
      </c>
      <c r="I134" s="68">
        <f ca="1">IF(AND(SUMIF(Capacity_Resource,$D134,'Critical resources (hide)'!V$6:V$105)+SUMIF(Capacity_Resource,$E134,'Critical resources (hide)'!V$6:V$105)+SUMIF(Capacity_Resource,$F134,'Critical resources (hide)'!V$6:V$105)&gt;0,$E$1=2),0,1)</f>
        <v>1</v>
      </c>
      <c r="J134" s="68">
        <f ca="1">IF(AND(SUMIF(Capacity_Resource,$D134,'Critical resources (hide)'!W$6:W$105)+SUMIF(Capacity_Resource,$E134,'Critical resources (hide)'!W$6:W$105)+SUMIF(Capacity_Resource,$F134,'Critical resources (hide)'!W$6:W$105)&gt;0,$E$1=2),0,1)</f>
        <v>1</v>
      </c>
      <c r="K134" s="68">
        <f ca="1">IF(AND(SUMIF(Capacity_Resource,$D134,'Critical resources (hide)'!X$6:X$105)+SUMIF(Capacity_Resource,$E134,'Critical resources (hide)'!X$6:X$105)+SUMIF(Capacity_Resource,$F134,'Critical resources (hide)'!X$6:X$105)&gt;0,$E$1=2),0,1)</f>
        <v>1</v>
      </c>
      <c r="L134" s="68">
        <f ca="1">IF(AND(SUMIF(Capacity_Resource,$D134,'Critical resources (hide)'!Y$6:Y$105)+SUMIF(Capacity_Resource,$E134,'Critical resources (hide)'!Y$6:Y$105)+SUMIF(Capacity_Resource,$F134,'Critical resources (hide)'!Y$6:Y$105)&gt;0,$E$1=2),0,1)</f>
        <v>1</v>
      </c>
      <c r="M134" s="68">
        <f ca="1">IF(AND(SUMIF(Capacity_Resource,$D134,'Critical resources (hide)'!Z$6:Z$105)+SUMIF(Capacity_Resource,$E134,'Critical resources (hide)'!Z$6:Z$105)+SUMIF(Capacity_Resource,$F134,'Critical resources (hide)'!Z$6:Z$105)&gt;0,$E$1=2),0,1)</f>
        <v>1</v>
      </c>
      <c r="N134" s="68">
        <f ca="1">IF(AND(SUMIF(Capacity_Resource,$D134,'Critical resources (hide)'!AA$6:AA$105)+SUMIF(Capacity_Resource,$E134,'Critical resources (hide)'!AA$6:AA$105)+SUMIF(Capacity_Resource,$F134,'Critical resources (hide)'!AA$6:AA$105)&gt;0,$E$1=2),0,1)</f>
        <v>1</v>
      </c>
      <c r="O134" s="68">
        <f ca="1">IF(AND(SUMIF(Capacity_Resource,$D134,'Critical resources (hide)'!AB$6:AB$105)+SUMIF(Capacity_Resource,$E134,'Critical resources (hide)'!AB$6:AB$105)+SUMIF(Capacity_Resource,$F134,'Critical resources (hide)'!AB$6:AB$105)&gt;0,$E$1=2),0,1)</f>
        <v>1</v>
      </c>
      <c r="P134" s="68">
        <f ca="1">IF(AND(SUMIF(Capacity_Resource,$D134,'Critical resources (hide)'!AC$6:AC$105)+SUMIF(Capacity_Resource,$E134,'Critical resources (hide)'!AC$6:AC$105)+SUMIF(Capacity_Resource,$F134,'Critical resources (hide)'!AC$6:AC$105)&gt;0,$E$1=2),0,1)</f>
        <v>1</v>
      </c>
      <c r="Q134" s="68">
        <f ca="1">IF(AND(SUMIF(Capacity_Resource,$D134,'Critical resources (hide)'!AD$6:AD$105)+SUMIF(Capacity_Resource,$E134,'Critical resources (hide)'!AD$6:AD$105)+SUMIF(Capacity_Resource,$F134,'Critical resources (hide)'!AD$6:AD$105)&gt;0,$E$1=2),0,1)</f>
        <v>1</v>
      </c>
      <c r="R134" s="68">
        <f ca="1">IF(AND(SUMIF(Capacity_Resource,$D134,'Critical resources (hide)'!AE$6:AE$105)+SUMIF(Capacity_Resource,$E134,'Critical resources (hide)'!AE$6:AE$105)+SUMIF(Capacity_Resource,$F134,'Critical resources (hide)'!AE$6:AE$105)&gt;0,$E$1=2),0,1)</f>
        <v>1</v>
      </c>
      <c r="S134" s="68">
        <f ca="1">IF(AND(SUMIF(Capacity_Resource,$D134,'Critical resources (hide)'!AF$6:AF$105)+SUMIF(Capacity_Resource,$E134,'Critical resources (hide)'!AF$6:AF$105)+SUMIF(Capacity_Resource,$F134,'Critical resources (hide)'!AF$6:AF$105)&gt;0,$E$1=2),0,1)</f>
        <v>1</v>
      </c>
      <c r="T134" s="68">
        <f ca="1">IF(AND(SUMIF(Capacity_Resource,$D134,'Critical resources (hide)'!AG$6:AG$105)+SUMIF(Capacity_Resource,$E134,'Critical resources (hide)'!AG$6:AG$105)+SUMIF(Capacity_Resource,$F134,'Critical resources (hide)'!AG$6:AG$105)&gt;0,$E$1=2),0,1)</f>
        <v>1</v>
      </c>
      <c r="U134" s="68">
        <f ca="1">IF(AND(SUMIF(Capacity_Resource,$D134,'Critical resources (hide)'!AH$6:AH$105)+SUMIF(Capacity_Resource,$E134,'Critical resources (hide)'!AH$6:AH$105)+SUMIF(Capacity_Resource,$F134,'Critical resources (hide)'!AH$6:AH$105)&gt;0,$E$1=2),0,1)</f>
        <v>1</v>
      </c>
      <c r="V134" s="68">
        <f ca="1">IF(AND(SUMIF(Capacity_Resource,$D134,'Critical resources (hide)'!AI$6:AI$105)+SUMIF(Capacity_Resource,$E134,'Critical resources (hide)'!AI$6:AI$105)+SUMIF(Capacity_Resource,$F134,'Critical resources (hide)'!AI$6:AI$105)&gt;0,$E$1=2),0,1)</f>
        <v>1</v>
      </c>
      <c r="W134" s="68">
        <f ca="1">IF(AND(SUMIF(Capacity_Resource,$D134,'Critical resources (hide)'!AJ$6:AJ$105)+SUMIF(Capacity_Resource,$E134,'Critical resources (hide)'!AJ$6:AJ$105)+SUMIF(Capacity_Resource,$F134,'Critical resources (hide)'!AJ$6:AJ$105)&gt;0,$E$1=2),0,1)</f>
        <v>1</v>
      </c>
      <c r="X134" s="68">
        <f ca="1">IF(AND(SUMIF(Capacity_Resource,$D134,'Critical resources (hide)'!AK$6:AK$105)+SUMIF(Capacity_Resource,$E134,'Critical resources (hide)'!AK$6:AK$105)+SUMIF(Capacity_Resource,$F134,'Critical resources (hide)'!AK$6:AK$105)&gt;0,$E$1=2),0,1)</f>
        <v>1</v>
      </c>
      <c r="Y134" s="68">
        <f ca="1">IF(AND(SUMIF(Capacity_Resource,$D134,'Critical resources (hide)'!AL$6:AL$105)+SUMIF(Capacity_Resource,$E134,'Critical resources (hide)'!AL$6:AL$105)+SUMIF(Capacity_Resource,$F134,'Critical resources (hide)'!AL$6:AL$105)&gt;0,$E$1=2),0,1)</f>
        <v>1</v>
      </c>
      <c r="Z134" s="68">
        <f ca="1">IF(AND(SUMIF(Capacity_Resource,$D134,'Critical resources (hide)'!AM$6:AM$105)+SUMIF(Capacity_Resource,$E134,'Critical resources (hide)'!AM$6:AM$105)+SUMIF(Capacity_Resource,$F134,'Critical resources (hide)'!AM$6:AM$105)&gt;0,$E$1=2),0,1)</f>
        <v>1</v>
      </c>
      <c r="AA134" s="68">
        <f ca="1">IF(AND(SUMIF(Capacity_Resource,$D134,'Critical resources (hide)'!AN$6:AN$105)+SUMIF(Capacity_Resource,$E134,'Critical resources (hide)'!AN$6:AN$105)+SUMIF(Capacity_Resource,$F134,'Critical resources (hide)'!AN$6:AN$105)&gt;0,$E$1=2),0,1)</f>
        <v>1</v>
      </c>
      <c r="AB134" s="68">
        <f ca="1">IF(AND(SUMIF(Capacity_Resource,$D134,'Critical resources (hide)'!AO$6:AO$105)+SUMIF(Capacity_Resource,$E134,'Critical resources (hide)'!AO$6:AO$105)+SUMIF(Capacity_Resource,$F134,'Critical resources (hide)'!AO$6:AO$105)&gt;0,$E$1=2),0,1)</f>
        <v>1</v>
      </c>
      <c r="AC134" s="68">
        <f ca="1">IF(AND(SUMIF(Capacity_Resource,$D134,'Critical resources (hide)'!AP$6:AP$105)+SUMIF(Capacity_Resource,$E134,'Critical resources (hide)'!AP$6:AP$105)+SUMIF(Capacity_Resource,$F134,'Critical resources (hide)'!AP$6:AP$105)&gt;0,$E$1=2),0,1)</f>
        <v>1</v>
      </c>
      <c r="AD134" s="68">
        <f ca="1">IF(AND(SUMIF(Capacity_Resource,$D134,'Critical resources (hide)'!AQ$6:AQ$105)+SUMIF(Capacity_Resource,$E134,'Critical resources (hide)'!AQ$6:AQ$105)+SUMIF(Capacity_Resource,$F134,'Critical resources (hide)'!AQ$6:AQ$105)&gt;0,$E$1=2),0,1)</f>
        <v>1</v>
      </c>
      <c r="AE134" s="68">
        <f ca="1">IF(AND(SUMIF(Capacity_Resource,$D134,'Critical resources (hide)'!AR$6:AR$105)+SUMIF(Capacity_Resource,$E134,'Critical resources (hide)'!AR$6:AR$105)+SUMIF(Capacity_Resource,$F134,'Critical resources (hide)'!AR$6:AR$105)&gt;0,$E$1=2),0,1)</f>
        <v>1</v>
      </c>
      <c r="AF134" s="68">
        <f ca="1">IF(AND(SUMIF(Capacity_Resource,$D134,'Critical resources (hide)'!AS$6:AS$105)+SUMIF(Capacity_Resource,$E134,'Critical resources (hide)'!AS$6:AS$105)+SUMIF(Capacity_Resource,$F134,'Critical resources (hide)'!AS$6:AS$105)&gt;0,$E$1=2),0,1)</f>
        <v>1</v>
      </c>
      <c r="AG134" s="68">
        <f ca="1">IF(AND(SUMIF(Capacity_Resource,$D134,'Critical resources (hide)'!AT$6:AT$105)+SUMIF(Capacity_Resource,$E134,'Critical resources (hide)'!AT$6:AT$105)+SUMIF(Capacity_Resource,$F134,'Critical resources (hide)'!AT$6:AT$105)&gt;0,$E$1=2),0,1)</f>
        <v>1</v>
      </c>
      <c r="AH134" s="68">
        <f ca="1">IF(AND(SUMIF(Capacity_Resource,$D134,'Critical resources (hide)'!AU$6:AU$105)+SUMIF(Capacity_Resource,$E134,'Critical resources (hide)'!AU$6:AU$105)+SUMIF(Capacity_Resource,$F134,'Critical resources (hide)'!AU$6:AU$105)&gt;0,$E$1=2),0,1)</f>
        <v>1</v>
      </c>
      <c r="AI134" s="68">
        <f ca="1">IF(AND(SUMIF(Capacity_Resource,$D134,'Critical resources (hide)'!AV$6:AV$105)+SUMIF(Capacity_Resource,$E134,'Critical resources (hide)'!AV$6:AV$105)+SUMIF(Capacity_Resource,$F134,'Critical resources (hide)'!AV$6:AV$105)&gt;0,$E$1=2),0,1)</f>
        <v>1</v>
      </c>
      <c r="AJ134" s="68">
        <f ca="1">IF(AND(SUMIF(Capacity_Resource,$D134,'Critical resources (hide)'!AW$6:AW$105)+SUMIF(Capacity_Resource,$E134,'Critical resources (hide)'!AW$6:AW$105)+SUMIF(Capacity_Resource,$F134,'Critical resources (hide)'!AW$6:AW$105)&gt;0,$E$1=2),0,1)</f>
        <v>1</v>
      </c>
      <c r="AK134" s="68">
        <f ca="1">IF(AND(SUMIF(Capacity_Resource,$D134,'Critical resources (hide)'!AX$6:AX$105)+SUMIF(Capacity_Resource,$E134,'Critical resources (hide)'!AX$6:AX$105)+SUMIF(Capacity_Resource,$F134,'Critical resources (hide)'!AX$6:AX$105)&gt;0,$E$1=2),0,1)</f>
        <v>1</v>
      </c>
      <c r="AL134" s="68">
        <f ca="1">IF(AND(SUMIF(Capacity_Resource,$D134,'Critical resources (hide)'!AY$6:AY$105)+SUMIF(Capacity_Resource,$E134,'Critical resources (hide)'!AY$6:AY$105)+SUMIF(Capacity_Resource,$F134,'Critical resources (hide)'!AY$6:AY$105)&gt;0,$E$1=2),0,1)</f>
        <v>1</v>
      </c>
      <c r="AM134" s="68">
        <f ca="1">IF(AND(SUMIF(Capacity_Resource,$D134,'Critical resources (hide)'!AZ$6:AZ$105)+SUMIF(Capacity_Resource,$E134,'Critical resources (hide)'!AZ$6:AZ$105)+SUMIF(Capacity_Resource,$F134,'Critical resources (hide)'!AZ$6:AZ$105)&gt;0,$E$1=2),0,1)</f>
        <v>1</v>
      </c>
      <c r="AN134" s="68">
        <f ca="1">IF(AND(SUMIF(Capacity_Resource,$D134,'Critical resources (hide)'!BA$6:BA$105)+SUMIF(Capacity_Resource,$E134,'Critical resources (hide)'!BA$6:BA$105)+SUMIF(Capacity_Resource,$F134,'Critical resources (hide)'!BA$6:BA$105)&gt;0,$E$1=2),0,1)</f>
        <v>1</v>
      </c>
      <c r="AO134" s="68">
        <f ca="1">IF(AND(SUMIF(Capacity_Resource,$D134,'Critical resources (hide)'!BB$6:BB$105)+SUMIF(Capacity_Resource,$E134,'Critical resources (hide)'!BB$6:BB$105)+SUMIF(Capacity_Resource,$F134,'Critical resources (hide)'!BB$6:BB$105)&gt;0,$E$1=2),0,1)</f>
        <v>1</v>
      </c>
      <c r="AP134" s="68">
        <f ca="1">IF(AND(SUMIF(Capacity_Resource,$D134,'Critical resources (hide)'!BC$6:BC$105)+SUMIF(Capacity_Resource,$E134,'Critical resources (hide)'!BC$6:BC$105)+SUMIF(Capacity_Resource,$F134,'Critical resources (hide)'!BC$6:BC$105)&gt;0,$E$1=2),0,1)</f>
        <v>1</v>
      </c>
      <c r="AQ134" s="68">
        <f ca="1">IF(AND(SUMIF(Capacity_Resource,$D134,'Critical resources (hide)'!BD$6:BD$105)+SUMIF(Capacity_Resource,$E134,'Critical resources (hide)'!BD$6:BD$105)+SUMIF(Capacity_Resource,$F134,'Critical resources (hide)'!BD$6:BD$105)&gt;0,$E$1=2),0,1)</f>
        <v>1</v>
      </c>
      <c r="AR134" s="68">
        <f ca="1">IF(AND(SUMIF(Capacity_Resource,$D134,'Critical resources (hide)'!BE$6:BE$105)+SUMIF(Capacity_Resource,$E134,'Critical resources (hide)'!BE$6:BE$105)+SUMIF(Capacity_Resource,$F134,'Critical resources (hide)'!BE$6:BE$105)&gt;0,$E$1=2),0,1)</f>
        <v>1</v>
      </c>
      <c r="AS134" s="68">
        <f ca="1">IF(AND(SUMIF(Capacity_Resource,$D134,'Critical resources (hide)'!BF$6:BF$105)+SUMIF(Capacity_Resource,$E134,'Critical resources (hide)'!BF$6:BF$105)+SUMIF(Capacity_Resource,$F134,'Critical resources (hide)'!BF$6:BF$105)&gt;0,$E$1=2),0,1)</f>
        <v>1</v>
      </c>
      <c r="AT134" s="68">
        <f ca="1">IF(AND(SUMIF(Capacity_Resource,$D134,'Critical resources (hide)'!BG$6:BG$105)+SUMIF(Capacity_Resource,$E134,'Critical resources (hide)'!BG$6:BG$105)+SUMIF(Capacity_Resource,$F134,'Critical resources (hide)'!BG$6:BG$105)&gt;0,$E$1=2),0,1)</f>
        <v>1</v>
      </c>
      <c r="AU134" s="68">
        <f ca="1">IF(AND(SUMIF(Capacity_Resource,$D134,'Critical resources (hide)'!BH$6:BH$105)+SUMIF(Capacity_Resource,$E134,'Critical resources (hide)'!BH$6:BH$105)+SUMIF(Capacity_Resource,$F134,'Critical resources (hide)'!BH$6:BH$105)&gt;0,$E$1=2),0,1)</f>
        <v>1</v>
      </c>
      <c r="AV134" s="68">
        <f ca="1">IF(AND(SUMIF(Capacity_Resource,$D134,'Critical resources (hide)'!BI$6:BI$105)+SUMIF(Capacity_Resource,$E134,'Critical resources (hide)'!BI$6:BI$105)+SUMIF(Capacity_Resource,$F134,'Critical resources (hide)'!BI$6:BI$105)&gt;0,$E$1=2),0,1)</f>
        <v>1</v>
      </c>
      <c r="AW134" s="68">
        <f ca="1">IF(AND(SUMIF(Capacity_Resource,$D134,'Critical resources (hide)'!BJ$6:BJ$105)+SUMIF(Capacity_Resource,$E134,'Critical resources (hide)'!BJ$6:BJ$105)+SUMIF(Capacity_Resource,$F134,'Critical resources (hide)'!BJ$6:BJ$105)&gt;0,$E$1=2),0,1)</f>
        <v>1</v>
      </c>
      <c r="AX134" s="68">
        <f ca="1">IF(AND(SUMIF(Capacity_Resource,$D134,'Critical resources (hide)'!BK$6:BK$105)+SUMIF(Capacity_Resource,$E134,'Critical resources (hide)'!BK$6:BK$105)+SUMIF(Capacity_Resource,$F134,'Critical resources (hide)'!BK$6:BK$105)&gt;0,$E$1=2),0,1)</f>
        <v>1</v>
      </c>
      <c r="AY134" s="68">
        <f ca="1">IF(AND(SUMIF(Capacity_Resource,$D134,'Critical resources (hide)'!BL$6:BL$105)+SUMIF(Capacity_Resource,$E134,'Critical resources (hide)'!BL$6:BL$105)+SUMIF(Capacity_Resource,$F134,'Critical resources (hide)'!BL$6:BL$105)&gt;0,$E$1=2),0,1)</f>
        <v>1</v>
      </c>
      <c r="AZ134" s="68">
        <f ca="1">IF(AND(SUMIF(Capacity_Resource,$D134,'Critical resources (hide)'!BM$6:BM$105)+SUMIF(Capacity_Resource,$E134,'Critical resources (hide)'!BM$6:BM$105)+SUMIF(Capacity_Resource,$F134,'Critical resources (hide)'!BM$6:BM$105)&gt;0,$E$1=2),0,1)</f>
        <v>1</v>
      </c>
      <c r="BA134" s="68">
        <f ca="1">IF(AND(SUMIF(Capacity_Resource,$D134,'Critical resources (hide)'!BN$6:BN$105)+SUMIF(Capacity_Resource,$E134,'Critical resources (hide)'!BN$6:BN$105)+SUMIF(Capacity_Resource,$F134,'Critical resources (hide)'!BN$6:BN$105)&gt;0,$E$1=2),0,1)</f>
        <v>1</v>
      </c>
      <c r="BB134" s="68">
        <f ca="1">IF(AND(SUMIF(Capacity_Resource,$D134,'Critical resources (hide)'!BO$6:BO$105)+SUMIF(Capacity_Resource,$E134,'Critical resources (hide)'!BO$6:BO$105)+SUMIF(Capacity_Resource,$F134,'Critical resources (hide)'!BO$6:BO$105)&gt;0,$E$1=2),0,1)</f>
        <v>1</v>
      </c>
      <c r="BC134" s="68">
        <f ca="1">IF(AND(SUMIF(Capacity_Resource,$D134,'Critical resources (hide)'!BP$6:BP$105)+SUMIF(Capacity_Resource,$E134,'Critical resources (hide)'!BP$6:BP$105)+SUMIF(Capacity_Resource,$F134,'Critical resources (hide)'!BP$6:BP$105)&gt;0,$E$1=2),0,1)</f>
        <v>1</v>
      </c>
      <c r="BD134" s="68">
        <f ca="1">IF(AND(SUMIF(Capacity_Resource,$D134,'Critical resources (hide)'!BQ$6:BQ$105)+SUMIF(Capacity_Resource,$E134,'Critical resources (hide)'!BQ$6:BQ$105)+SUMIF(Capacity_Resource,$F134,'Critical resources (hide)'!BQ$6:BQ$105)&gt;0,$E$1=2),0,1)</f>
        <v>1</v>
      </c>
      <c r="BE134" s="68">
        <f ca="1">IF(AND(SUMIF(Capacity_Resource,$D134,'Critical resources (hide)'!BR$6:BR$105)+SUMIF(Capacity_Resource,$E134,'Critical resources (hide)'!BR$6:BR$105)+SUMIF(Capacity_Resource,$F134,'Critical resources (hide)'!BR$6:BR$105)&gt;0,$E$1=2),0,1)</f>
        <v>1</v>
      </c>
      <c r="BF134" s="68">
        <f ca="1">IF(AND(SUMIF(Capacity_Resource,$D134,'Critical resources (hide)'!BS$6:BS$105)+SUMIF(Capacity_Resource,$E134,'Critical resources (hide)'!BS$6:BS$105)+SUMIF(Capacity_Resource,$F134,'Critical resources (hide)'!BS$6:BS$105)&gt;0,$E$1=2),0,1)</f>
        <v>1</v>
      </c>
      <c r="BG134" s="68">
        <f ca="1">IF(AND(SUMIF(Capacity_Resource,$D134,'Critical resources (hide)'!BT$6:BT$105)+SUMIF(Capacity_Resource,$E134,'Critical resources (hide)'!BT$6:BT$105)+SUMIF(Capacity_Resource,$F134,'Critical resources (hide)'!BT$6:BT$105)&gt;0,$E$1=2),0,1)</f>
        <v>1</v>
      </c>
      <c r="BH134" s="68">
        <f>IF(ROW(A23)&lt;=Capacity!$M$16,IF('Capacity summary'!$C$14="No",SUM(H134:BG134),'Capacity summary'!$E46),0)</f>
        <v>0</v>
      </c>
      <c r="BI134" s="68" t="str">
        <f>IF(BH134&gt;0,IF(BH134&lt;Capacity!Q39,Capacity!R39,Capacity!T39/'Capacity calculation (hide)'!BH134),"")</f>
        <v/>
      </c>
      <c r="BJ134" s="5"/>
      <c r="BK134" s="5">
        <f>IF($BI134&lt;&gt;"",IF('Capacity summary'!$C$14="Yes",IF(COUNTBLANK('Capacity summary'!$H46:$BG46)&lt;52,IF('Capacity summary'!H46&lt;&gt;"",$BI134*H134,0),H134*$BI134),H134*$BI134),0)</f>
        <v>0</v>
      </c>
      <c r="BL134" s="5">
        <f>IF($BI134&lt;&gt;"",IF('Capacity summary'!$C$14="Yes",IF(COUNTBLANK('Capacity summary'!$H46:$BG46)&lt;52,IF('Capacity summary'!I46&lt;&gt;"",$BI134*I134,0),I134*$BI134),I134*$BI134),0)</f>
        <v>0</v>
      </c>
      <c r="BM134" s="5">
        <f>IF($BI134&lt;&gt;"",IF('Capacity summary'!$C$14="Yes",IF(COUNTBLANK('Capacity summary'!$H46:$BG46)&lt;52,IF('Capacity summary'!J46&lt;&gt;"",$BI134*J134,0),J134*$BI134),J134*$BI134),0)</f>
        <v>0</v>
      </c>
      <c r="BN134" s="5">
        <f>IF($BI134&lt;&gt;"",IF('Capacity summary'!$C$14="Yes",IF(COUNTBLANK('Capacity summary'!$H46:$BG46)&lt;52,IF('Capacity summary'!K46&lt;&gt;"",$BI134*K134,0),K134*$BI134),K134*$BI134),0)</f>
        <v>0</v>
      </c>
      <c r="BO134" s="5">
        <f>IF($BI134&lt;&gt;"",IF('Capacity summary'!$C$14="Yes",IF(COUNTBLANK('Capacity summary'!$H46:$BG46)&lt;52,IF('Capacity summary'!L46&lt;&gt;"",$BI134*L134,0),L134*$BI134),L134*$BI134),0)</f>
        <v>0</v>
      </c>
      <c r="BP134" s="5">
        <f>IF($BI134&lt;&gt;"",IF('Capacity summary'!$C$14="Yes",IF(COUNTBLANK('Capacity summary'!$H46:$BG46)&lt;52,IF('Capacity summary'!M46&lt;&gt;"",$BI134*M134,0),M134*$BI134),M134*$BI134),0)</f>
        <v>0</v>
      </c>
      <c r="BQ134" s="5">
        <f>IF($BI134&lt;&gt;"",IF('Capacity summary'!$C$14="Yes",IF(COUNTBLANK('Capacity summary'!$H46:$BG46)&lt;52,IF('Capacity summary'!N46&lt;&gt;"",$BI134*N134,0),N134*$BI134),N134*$BI134),0)</f>
        <v>0</v>
      </c>
      <c r="BR134" s="5">
        <f>IF($BI134&lt;&gt;"",IF('Capacity summary'!$C$14="Yes",IF(COUNTBLANK('Capacity summary'!$H46:$BG46)&lt;52,IF('Capacity summary'!O46&lt;&gt;"",$BI134*O134,0),O134*$BI134),O134*$BI134),0)</f>
        <v>0</v>
      </c>
      <c r="BS134" s="5">
        <f>IF($BI134&lt;&gt;"",IF('Capacity summary'!$C$14="Yes",IF(COUNTBLANK('Capacity summary'!$H46:$BG46)&lt;52,IF('Capacity summary'!P46&lt;&gt;"",$BI134*P134,0),P134*$BI134),P134*$BI134),0)</f>
        <v>0</v>
      </c>
      <c r="BT134" s="5">
        <f>IF($BI134&lt;&gt;"",IF('Capacity summary'!$C$14="Yes",IF(COUNTBLANK('Capacity summary'!$H46:$BG46)&lt;52,IF('Capacity summary'!Q46&lt;&gt;"",$BI134*Q134,0),Q134*$BI134),Q134*$BI134),0)</f>
        <v>0</v>
      </c>
      <c r="BU134" s="5">
        <f>IF($BI134&lt;&gt;"",IF('Capacity summary'!$C$14="Yes",IF(COUNTBLANK('Capacity summary'!$H46:$BG46)&lt;52,IF('Capacity summary'!R46&lt;&gt;"",$BI134*R134,0),R134*$BI134),R134*$BI134),0)</f>
        <v>0</v>
      </c>
      <c r="BV134" s="5">
        <f>IF($BI134&lt;&gt;"",IF('Capacity summary'!$C$14="Yes",IF(COUNTBLANK('Capacity summary'!$H46:$BG46)&lt;52,IF('Capacity summary'!S46&lt;&gt;"",$BI134*S134,0),S134*$BI134),S134*$BI134),0)</f>
        <v>0</v>
      </c>
      <c r="BW134" s="5">
        <f>IF($BI134&lt;&gt;"",IF('Capacity summary'!$C$14="Yes",IF(COUNTBLANK('Capacity summary'!$H46:$BG46)&lt;52,IF('Capacity summary'!T46&lt;&gt;"",$BI134*T134,0),T134*$BI134),T134*$BI134),0)</f>
        <v>0</v>
      </c>
      <c r="BX134" s="5">
        <f>IF($BI134&lt;&gt;"",IF('Capacity summary'!$C$14="Yes",IF(COUNTBLANK('Capacity summary'!$H46:$BG46)&lt;52,IF('Capacity summary'!U46&lt;&gt;"",$BI134*U134,0),U134*$BI134),U134*$BI134),0)</f>
        <v>0</v>
      </c>
      <c r="BY134" s="5">
        <f>IF($BI134&lt;&gt;"",IF('Capacity summary'!$C$14="Yes",IF(COUNTBLANK('Capacity summary'!$H46:$BG46)&lt;52,IF('Capacity summary'!V46&lt;&gt;"",$BI134*V134,0),V134*$BI134),V134*$BI134),0)</f>
        <v>0</v>
      </c>
      <c r="BZ134" s="5">
        <f>IF($BI134&lt;&gt;"",IF('Capacity summary'!$C$14="Yes",IF(COUNTBLANK('Capacity summary'!$H46:$BG46)&lt;52,IF('Capacity summary'!W46&lt;&gt;"",$BI134*W134,0),W134*$BI134),W134*$BI134),0)</f>
        <v>0</v>
      </c>
      <c r="CA134" s="5">
        <f>IF($BI134&lt;&gt;"",IF('Capacity summary'!$C$14="Yes",IF(COUNTBLANK('Capacity summary'!$H46:$BG46)&lt;52,IF('Capacity summary'!X46&lt;&gt;"",$BI134*X134,0),X134*$BI134),X134*$BI134),0)</f>
        <v>0</v>
      </c>
      <c r="CB134" s="5">
        <f>IF($BI134&lt;&gt;"",IF('Capacity summary'!$C$14="Yes",IF(COUNTBLANK('Capacity summary'!$H46:$BG46)&lt;52,IF('Capacity summary'!Y46&lt;&gt;"",$BI134*Y134,0),Y134*$BI134),Y134*$BI134),0)</f>
        <v>0</v>
      </c>
      <c r="CC134" s="5">
        <f>IF($BI134&lt;&gt;"",IF('Capacity summary'!$C$14="Yes",IF(COUNTBLANK('Capacity summary'!$H46:$BG46)&lt;52,IF('Capacity summary'!Z46&lt;&gt;"",$BI134*Z134,0),Z134*$BI134),Z134*$BI134),0)</f>
        <v>0</v>
      </c>
      <c r="CD134" s="5">
        <f>IF($BI134&lt;&gt;"",IF('Capacity summary'!$C$14="Yes",IF(COUNTBLANK('Capacity summary'!$H46:$BG46)&lt;52,IF('Capacity summary'!AA46&lt;&gt;"",$BI134*AA134,0),AA134*$BI134),AA134*$BI134),0)</f>
        <v>0</v>
      </c>
      <c r="CE134" s="5">
        <f>IF($BI134&lt;&gt;"",IF('Capacity summary'!$C$14="Yes",IF(COUNTBLANK('Capacity summary'!$H46:$BG46)&lt;52,IF('Capacity summary'!AB46&lt;&gt;"",$BI134*AB134,0),AB134*$BI134),AB134*$BI134),0)</f>
        <v>0</v>
      </c>
      <c r="CF134" s="5">
        <f>IF($BI134&lt;&gt;"",IF('Capacity summary'!$C$14="Yes",IF(COUNTBLANK('Capacity summary'!$H46:$BG46)&lt;52,IF('Capacity summary'!AC46&lt;&gt;"",$BI134*AC134,0),AC134*$BI134),AC134*$BI134),0)</f>
        <v>0</v>
      </c>
      <c r="CG134" s="5">
        <f>IF($BI134&lt;&gt;"",IF('Capacity summary'!$C$14="Yes",IF(COUNTBLANK('Capacity summary'!$H46:$BG46)&lt;52,IF('Capacity summary'!AD46&lt;&gt;"",$BI134*AD134,0),AD134*$BI134),AD134*$BI134),0)</f>
        <v>0</v>
      </c>
      <c r="CH134" s="5">
        <f>IF($BI134&lt;&gt;"",IF('Capacity summary'!$C$14="Yes",IF(COUNTBLANK('Capacity summary'!$H46:$BG46)&lt;52,IF('Capacity summary'!AE46&lt;&gt;"",$BI134*AE134,0),AE134*$BI134),AE134*$BI134),0)</f>
        <v>0</v>
      </c>
      <c r="CI134" s="5">
        <f>IF($BI134&lt;&gt;"",IF('Capacity summary'!$C$14="Yes",IF(COUNTBLANK('Capacity summary'!$H46:$BG46)&lt;52,IF('Capacity summary'!AF46&lt;&gt;"",$BI134*AF134,0),AF134*$BI134),AF134*$BI134),0)</f>
        <v>0</v>
      </c>
      <c r="CJ134" s="5">
        <f>IF($BI134&lt;&gt;"",IF('Capacity summary'!$C$14="Yes",IF(COUNTBLANK('Capacity summary'!$H46:$BG46)&lt;52,IF('Capacity summary'!AG46&lt;&gt;"",$BI134*AG134,0),AG134*$BI134),AG134*$BI134),0)</f>
        <v>0</v>
      </c>
      <c r="CK134" s="5">
        <f>IF($BI134&lt;&gt;"",IF('Capacity summary'!$C$14="Yes",IF(COUNTBLANK('Capacity summary'!$H46:$BG46)&lt;52,IF('Capacity summary'!AH46&lt;&gt;"",$BI134*AH134,0),AH134*$BI134),AH134*$BI134),0)</f>
        <v>0</v>
      </c>
      <c r="CL134" s="5">
        <f>IF($BI134&lt;&gt;"",IF('Capacity summary'!$C$14="Yes",IF(COUNTBLANK('Capacity summary'!$H46:$BG46)&lt;52,IF('Capacity summary'!AI46&lt;&gt;"",$BI134*AI134,0),AI134*$BI134),AI134*$BI134),0)</f>
        <v>0</v>
      </c>
      <c r="CM134" s="5">
        <f>IF($BI134&lt;&gt;"",IF('Capacity summary'!$C$14="Yes",IF(COUNTBLANK('Capacity summary'!$H46:$BG46)&lt;52,IF('Capacity summary'!AJ46&lt;&gt;"",$BI134*AJ134,0),AJ134*$BI134),AJ134*$BI134),0)</f>
        <v>0</v>
      </c>
      <c r="CN134" s="5">
        <f>IF($BI134&lt;&gt;"",IF('Capacity summary'!$C$14="Yes",IF(COUNTBLANK('Capacity summary'!$H46:$BG46)&lt;52,IF('Capacity summary'!AK46&lt;&gt;"",$BI134*AK134,0),AK134*$BI134),AK134*$BI134),0)</f>
        <v>0</v>
      </c>
      <c r="CO134" s="5">
        <f>IF($BI134&lt;&gt;"",IF('Capacity summary'!$C$14="Yes",IF(COUNTBLANK('Capacity summary'!$H46:$BG46)&lt;52,IF('Capacity summary'!AL46&lt;&gt;"",$BI134*AL134,0),AL134*$BI134),AL134*$BI134),0)</f>
        <v>0</v>
      </c>
      <c r="CP134" s="5">
        <f>IF($BI134&lt;&gt;"",IF('Capacity summary'!$C$14="Yes",IF(COUNTBLANK('Capacity summary'!$H46:$BG46)&lt;52,IF('Capacity summary'!AM46&lt;&gt;"",$BI134*AM134,0),AM134*$BI134),AM134*$BI134),0)</f>
        <v>0</v>
      </c>
      <c r="CQ134" s="5">
        <f>IF($BI134&lt;&gt;"",IF('Capacity summary'!$C$14="Yes",IF(COUNTBLANK('Capacity summary'!$H46:$BG46)&lt;52,IF('Capacity summary'!AN46&lt;&gt;"",$BI134*AN134,0),AN134*$BI134),AN134*$BI134),0)</f>
        <v>0</v>
      </c>
      <c r="CR134" s="5">
        <f>IF($BI134&lt;&gt;"",IF('Capacity summary'!$C$14="Yes",IF(COUNTBLANK('Capacity summary'!$H46:$BG46)&lt;52,IF('Capacity summary'!AO46&lt;&gt;"",$BI134*AO134,0),AO134*$BI134),AO134*$BI134),0)</f>
        <v>0</v>
      </c>
      <c r="CS134" s="5">
        <f>IF($BI134&lt;&gt;"",IF('Capacity summary'!$C$14="Yes",IF(COUNTBLANK('Capacity summary'!$H46:$BG46)&lt;52,IF('Capacity summary'!AP46&lt;&gt;"",$BI134*AP134,0),AP134*$BI134),AP134*$BI134),0)</f>
        <v>0</v>
      </c>
      <c r="CT134" s="5">
        <f>IF($BI134&lt;&gt;"",IF('Capacity summary'!$C$14="Yes",IF(COUNTBLANK('Capacity summary'!$H46:$BG46)&lt;52,IF('Capacity summary'!AQ46&lt;&gt;"",$BI134*AQ134,0),AQ134*$BI134),AQ134*$BI134),0)</f>
        <v>0</v>
      </c>
      <c r="CU134" s="5">
        <f>IF($BI134&lt;&gt;"",IF('Capacity summary'!$C$14="Yes",IF(COUNTBLANK('Capacity summary'!$H46:$BG46)&lt;52,IF('Capacity summary'!AR46&lt;&gt;"",$BI134*AR134,0),AR134*$BI134),AR134*$BI134),0)</f>
        <v>0</v>
      </c>
      <c r="CV134" s="5">
        <f>IF($BI134&lt;&gt;"",IF('Capacity summary'!$C$14="Yes",IF(COUNTBLANK('Capacity summary'!$H46:$BG46)&lt;52,IF('Capacity summary'!AS46&lt;&gt;"",$BI134*AS134,0),AS134*$BI134),AS134*$BI134),0)</f>
        <v>0</v>
      </c>
      <c r="CW134" s="5">
        <f>IF($BI134&lt;&gt;"",IF('Capacity summary'!$C$14="Yes",IF(COUNTBLANK('Capacity summary'!$H46:$BG46)&lt;52,IF('Capacity summary'!AT46&lt;&gt;"",$BI134*AT134,0),AT134*$BI134),AT134*$BI134),0)</f>
        <v>0</v>
      </c>
      <c r="CX134" s="5">
        <f>IF($BI134&lt;&gt;"",IF('Capacity summary'!$C$14="Yes",IF(COUNTBLANK('Capacity summary'!$H46:$BG46)&lt;52,IF('Capacity summary'!AU46&lt;&gt;"",$BI134*AU134,0),AU134*$BI134),AU134*$BI134),0)</f>
        <v>0</v>
      </c>
      <c r="CY134" s="5">
        <f>IF($BI134&lt;&gt;"",IF('Capacity summary'!$C$14="Yes",IF(COUNTBLANK('Capacity summary'!$H46:$BG46)&lt;52,IF('Capacity summary'!AV46&lt;&gt;"",$BI134*AV134,0),AV134*$BI134),AV134*$BI134),0)</f>
        <v>0</v>
      </c>
      <c r="CZ134" s="5">
        <f>IF($BI134&lt;&gt;"",IF('Capacity summary'!$C$14="Yes",IF(COUNTBLANK('Capacity summary'!$H46:$BG46)&lt;52,IF('Capacity summary'!AW46&lt;&gt;"",$BI134*AW134,0),AW134*$BI134),AW134*$BI134),0)</f>
        <v>0</v>
      </c>
      <c r="DA134" s="5">
        <f>IF($BI134&lt;&gt;"",IF('Capacity summary'!$C$14="Yes",IF(COUNTBLANK('Capacity summary'!$H46:$BG46)&lt;52,IF('Capacity summary'!AX46&lt;&gt;"",$BI134*AX134,0),AX134*$BI134),AX134*$BI134),0)</f>
        <v>0</v>
      </c>
      <c r="DB134" s="5">
        <f>IF($BI134&lt;&gt;"",IF('Capacity summary'!$C$14="Yes",IF(COUNTBLANK('Capacity summary'!$H46:$BG46)&lt;52,IF('Capacity summary'!AY46&lt;&gt;"",$BI134*AY134,0),AY134*$BI134),AY134*$BI134),0)</f>
        <v>0</v>
      </c>
      <c r="DC134" s="5">
        <f>IF($BI134&lt;&gt;"",IF('Capacity summary'!$C$14="Yes",IF(COUNTBLANK('Capacity summary'!$H46:$BG46)&lt;52,IF('Capacity summary'!AZ46&lt;&gt;"",$BI134*AZ134,0),AZ134*$BI134),AZ134*$BI134),0)</f>
        <v>0</v>
      </c>
      <c r="DD134" s="5">
        <f>IF($BI134&lt;&gt;"",IF('Capacity summary'!$C$14="Yes",IF(COUNTBLANK('Capacity summary'!$H46:$BG46)&lt;52,IF('Capacity summary'!BA46&lt;&gt;"",$BI134*BA134,0),BA134*$BI134),BA134*$BI134),0)</f>
        <v>0</v>
      </c>
      <c r="DE134" s="5">
        <f>IF($BI134&lt;&gt;"",IF('Capacity summary'!$C$14="Yes",IF(COUNTBLANK('Capacity summary'!$H46:$BG46)&lt;52,IF('Capacity summary'!BB46&lt;&gt;"",$BI134*BB134,0),BB134*$BI134),BB134*$BI134),0)</f>
        <v>0</v>
      </c>
      <c r="DF134" s="5">
        <f>IF($BI134&lt;&gt;"",IF('Capacity summary'!$C$14="Yes",IF(COUNTBLANK('Capacity summary'!$H46:$BG46)&lt;52,IF('Capacity summary'!BC46&lt;&gt;"",$BI134*BC134,0),BC134*$BI134),BC134*$BI134),0)</f>
        <v>0</v>
      </c>
      <c r="DG134" s="5">
        <f>IF($BI134&lt;&gt;"",IF('Capacity summary'!$C$14="Yes",IF(COUNTBLANK('Capacity summary'!$H46:$BG46)&lt;52,IF('Capacity summary'!BD46&lt;&gt;"",$BI134*BD134,0),BD134*$BI134),BD134*$BI134),0)</f>
        <v>0</v>
      </c>
      <c r="DH134" s="5">
        <f>IF($BI134&lt;&gt;"",IF('Capacity summary'!$C$14="Yes",IF(COUNTBLANK('Capacity summary'!$H46:$BG46)&lt;52,IF('Capacity summary'!BE46&lt;&gt;"",$BI134*BE134,0),BE134*$BI134),BE134*$BI134),0)</f>
        <v>0</v>
      </c>
      <c r="DI134" s="5">
        <f>IF($BI134&lt;&gt;"",IF('Capacity summary'!$C$14="Yes",IF(COUNTBLANK('Capacity summary'!$H46:$BG46)&lt;52,IF('Capacity summary'!BF46&lt;&gt;"",$BI134*BF134,0),BF134*$BI134),BF134*$BI134),0)</f>
        <v>0</v>
      </c>
      <c r="DJ134" s="5">
        <f>IF($BI134&lt;&gt;"",IF('Capacity summary'!$C$14="Yes",IF(COUNTBLANK('Capacity summary'!$H46:$BG46)&lt;52,IF('Capacity summary'!BG46&lt;&gt;"",$BI134*BG134,0),BG134*$BI134),BG134*$BI134),0)</f>
        <v>0</v>
      </c>
      <c r="DK134" s="138">
        <f t="shared" si="6"/>
        <v>0</v>
      </c>
    </row>
    <row r="135" spans="3:115" x14ac:dyDescent="0.2">
      <c r="C135" s="68" t="str">
        <f>ROW(A24)&amp;". "&amp;Capacity!N40</f>
        <v xml:space="preserve">24. </v>
      </c>
      <c r="D135" s="68">
        <f>'Capacity setup'!C141</f>
        <v>0</v>
      </c>
      <c r="E135" s="68">
        <f>'Capacity setup'!D141</f>
        <v>0</v>
      </c>
      <c r="F135" s="68">
        <f>'Capacity setup'!E141</f>
        <v>0</v>
      </c>
      <c r="H135" s="68">
        <f ca="1">IF(AND(SUMIF(Capacity_Resource,$D135,'Critical resources (hide)'!U$6:U$105)+SUMIF(Capacity_Resource,$E135,'Critical resources (hide)'!U$6:U$105)+SUMIF(Capacity_Resource,$F135,'Critical resources (hide)'!U$6:U$105)&gt;0,$E$1=2),0,1)</f>
        <v>1</v>
      </c>
      <c r="I135" s="68">
        <f ca="1">IF(AND(SUMIF(Capacity_Resource,$D135,'Critical resources (hide)'!V$6:V$105)+SUMIF(Capacity_Resource,$E135,'Critical resources (hide)'!V$6:V$105)+SUMIF(Capacity_Resource,$F135,'Critical resources (hide)'!V$6:V$105)&gt;0,$E$1=2),0,1)</f>
        <v>1</v>
      </c>
      <c r="J135" s="68">
        <f ca="1">IF(AND(SUMIF(Capacity_Resource,$D135,'Critical resources (hide)'!W$6:W$105)+SUMIF(Capacity_Resource,$E135,'Critical resources (hide)'!W$6:W$105)+SUMIF(Capacity_Resource,$F135,'Critical resources (hide)'!W$6:W$105)&gt;0,$E$1=2),0,1)</f>
        <v>1</v>
      </c>
      <c r="K135" s="68">
        <f ca="1">IF(AND(SUMIF(Capacity_Resource,$D135,'Critical resources (hide)'!X$6:X$105)+SUMIF(Capacity_Resource,$E135,'Critical resources (hide)'!X$6:X$105)+SUMIF(Capacity_Resource,$F135,'Critical resources (hide)'!X$6:X$105)&gt;0,$E$1=2),0,1)</f>
        <v>1</v>
      </c>
      <c r="L135" s="68">
        <f ca="1">IF(AND(SUMIF(Capacity_Resource,$D135,'Critical resources (hide)'!Y$6:Y$105)+SUMIF(Capacity_Resource,$E135,'Critical resources (hide)'!Y$6:Y$105)+SUMIF(Capacity_Resource,$F135,'Critical resources (hide)'!Y$6:Y$105)&gt;0,$E$1=2),0,1)</f>
        <v>1</v>
      </c>
      <c r="M135" s="68">
        <f ca="1">IF(AND(SUMIF(Capacity_Resource,$D135,'Critical resources (hide)'!Z$6:Z$105)+SUMIF(Capacity_Resource,$E135,'Critical resources (hide)'!Z$6:Z$105)+SUMIF(Capacity_Resource,$F135,'Critical resources (hide)'!Z$6:Z$105)&gt;0,$E$1=2),0,1)</f>
        <v>1</v>
      </c>
      <c r="N135" s="68">
        <f ca="1">IF(AND(SUMIF(Capacity_Resource,$D135,'Critical resources (hide)'!AA$6:AA$105)+SUMIF(Capacity_Resource,$E135,'Critical resources (hide)'!AA$6:AA$105)+SUMIF(Capacity_Resource,$F135,'Critical resources (hide)'!AA$6:AA$105)&gt;0,$E$1=2),0,1)</f>
        <v>1</v>
      </c>
      <c r="O135" s="68">
        <f ca="1">IF(AND(SUMIF(Capacity_Resource,$D135,'Critical resources (hide)'!AB$6:AB$105)+SUMIF(Capacity_Resource,$E135,'Critical resources (hide)'!AB$6:AB$105)+SUMIF(Capacity_Resource,$F135,'Critical resources (hide)'!AB$6:AB$105)&gt;0,$E$1=2),0,1)</f>
        <v>1</v>
      </c>
      <c r="P135" s="68">
        <f ca="1">IF(AND(SUMIF(Capacity_Resource,$D135,'Critical resources (hide)'!AC$6:AC$105)+SUMIF(Capacity_Resource,$E135,'Critical resources (hide)'!AC$6:AC$105)+SUMIF(Capacity_Resource,$F135,'Critical resources (hide)'!AC$6:AC$105)&gt;0,$E$1=2),0,1)</f>
        <v>1</v>
      </c>
      <c r="Q135" s="68">
        <f ca="1">IF(AND(SUMIF(Capacity_Resource,$D135,'Critical resources (hide)'!AD$6:AD$105)+SUMIF(Capacity_Resource,$E135,'Critical resources (hide)'!AD$6:AD$105)+SUMIF(Capacity_Resource,$F135,'Critical resources (hide)'!AD$6:AD$105)&gt;0,$E$1=2),0,1)</f>
        <v>1</v>
      </c>
      <c r="R135" s="68">
        <f ca="1">IF(AND(SUMIF(Capacity_Resource,$D135,'Critical resources (hide)'!AE$6:AE$105)+SUMIF(Capacity_Resource,$E135,'Critical resources (hide)'!AE$6:AE$105)+SUMIF(Capacity_Resource,$F135,'Critical resources (hide)'!AE$6:AE$105)&gt;0,$E$1=2),0,1)</f>
        <v>1</v>
      </c>
      <c r="S135" s="68">
        <f ca="1">IF(AND(SUMIF(Capacity_Resource,$D135,'Critical resources (hide)'!AF$6:AF$105)+SUMIF(Capacity_Resource,$E135,'Critical resources (hide)'!AF$6:AF$105)+SUMIF(Capacity_Resource,$F135,'Critical resources (hide)'!AF$6:AF$105)&gt;0,$E$1=2),0,1)</f>
        <v>1</v>
      </c>
      <c r="T135" s="68">
        <f ca="1">IF(AND(SUMIF(Capacity_Resource,$D135,'Critical resources (hide)'!AG$6:AG$105)+SUMIF(Capacity_Resource,$E135,'Critical resources (hide)'!AG$6:AG$105)+SUMIF(Capacity_Resource,$F135,'Critical resources (hide)'!AG$6:AG$105)&gt;0,$E$1=2),0,1)</f>
        <v>1</v>
      </c>
      <c r="U135" s="68">
        <f ca="1">IF(AND(SUMIF(Capacity_Resource,$D135,'Critical resources (hide)'!AH$6:AH$105)+SUMIF(Capacity_Resource,$E135,'Critical resources (hide)'!AH$6:AH$105)+SUMIF(Capacity_Resource,$F135,'Critical resources (hide)'!AH$6:AH$105)&gt;0,$E$1=2),0,1)</f>
        <v>1</v>
      </c>
      <c r="V135" s="68">
        <f ca="1">IF(AND(SUMIF(Capacity_Resource,$D135,'Critical resources (hide)'!AI$6:AI$105)+SUMIF(Capacity_Resource,$E135,'Critical resources (hide)'!AI$6:AI$105)+SUMIF(Capacity_Resource,$F135,'Critical resources (hide)'!AI$6:AI$105)&gt;0,$E$1=2),0,1)</f>
        <v>1</v>
      </c>
      <c r="W135" s="68">
        <f ca="1">IF(AND(SUMIF(Capacity_Resource,$D135,'Critical resources (hide)'!AJ$6:AJ$105)+SUMIF(Capacity_Resource,$E135,'Critical resources (hide)'!AJ$6:AJ$105)+SUMIF(Capacity_Resource,$F135,'Critical resources (hide)'!AJ$6:AJ$105)&gt;0,$E$1=2),0,1)</f>
        <v>1</v>
      </c>
      <c r="X135" s="68">
        <f ca="1">IF(AND(SUMIF(Capacity_Resource,$D135,'Critical resources (hide)'!AK$6:AK$105)+SUMIF(Capacity_Resource,$E135,'Critical resources (hide)'!AK$6:AK$105)+SUMIF(Capacity_Resource,$F135,'Critical resources (hide)'!AK$6:AK$105)&gt;0,$E$1=2),0,1)</f>
        <v>1</v>
      </c>
      <c r="Y135" s="68">
        <f ca="1">IF(AND(SUMIF(Capacity_Resource,$D135,'Critical resources (hide)'!AL$6:AL$105)+SUMIF(Capacity_Resource,$E135,'Critical resources (hide)'!AL$6:AL$105)+SUMIF(Capacity_Resource,$F135,'Critical resources (hide)'!AL$6:AL$105)&gt;0,$E$1=2),0,1)</f>
        <v>1</v>
      </c>
      <c r="Z135" s="68">
        <f ca="1">IF(AND(SUMIF(Capacity_Resource,$D135,'Critical resources (hide)'!AM$6:AM$105)+SUMIF(Capacity_Resource,$E135,'Critical resources (hide)'!AM$6:AM$105)+SUMIF(Capacity_Resource,$F135,'Critical resources (hide)'!AM$6:AM$105)&gt;0,$E$1=2),0,1)</f>
        <v>1</v>
      </c>
      <c r="AA135" s="68">
        <f ca="1">IF(AND(SUMIF(Capacity_Resource,$D135,'Critical resources (hide)'!AN$6:AN$105)+SUMIF(Capacity_Resource,$E135,'Critical resources (hide)'!AN$6:AN$105)+SUMIF(Capacity_Resource,$F135,'Critical resources (hide)'!AN$6:AN$105)&gt;0,$E$1=2),0,1)</f>
        <v>1</v>
      </c>
      <c r="AB135" s="68">
        <f ca="1">IF(AND(SUMIF(Capacity_Resource,$D135,'Critical resources (hide)'!AO$6:AO$105)+SUMIF(Capacity_Resource,$E135,'Critical resources (hide)'!AO$6:AO$105)+SUMIF(Capacity_Resource,$F135,'Critical resources (hide)'!AO$6:AO$105)&gt;0,$E$1=2),0,1)</f>
        <v>1</v>
      </c>
      <c r="AC135" s="68">
        <f ca="1">IF(AND(SUMIF(Capacity_Resource,$D135,'Critical resources (hide)'!AP$6:AP$105)+SUMIF(Capacity_Resource,$E135,'Critical resources (hide)'!AP$6:AP$105)+SUMIF(Capacity_Resource,$F135,'Critical resources (hide)'!AP$6:AP$105)&gt;0,$E$1=2),0,1)</f>
        <v>1</v>
      </c>
      <c r="AD135" s="68">
        <f ca="1">IF(AND(SUMIF(Capacity_Resource,$D135,'Critical resources (hide)'!AQ$6:AQ$105)+SUMIF(Capacity_Resource,$E135,'Critical resources (hide)'!AQ$6:AQ$105)+SUMIF(Capacity_Resource,$F135,'Critical resources (hide)'!AQ$6:AQ$105)&gt;0,$E$1=2),0,1)</f>
        <v>1</v>
      </c>
      <c r="AE135" s="68">
        <f ca="1">IF(AND(SUMIF(Capacity_Resource,$D135,'Critical resources (hide)'!AR$6:AR$105)+SUMIF(Capacity_Resource,$E135,'Critical resources (hide)'!AR$6:AR$105)+SUMIF(Capacity_Resource,$F135,'Critical resources (hide)'!AR$6:AR$105)&gt;0,$E$1=2),0,1)</f>
        <v>1</v>
      </c>
      <c r="AF135" s="68">
        <f ca="1">IF(AND(SUMIF(Capacity_Resource,$D135,'Critical resources (hide)'!AS$6:AS$105)+SUMIF(Capacity_Resource,$E135,'Critical resources (hide)'!AS$6:AS$105)+SUMIF(Capacity_Resource,$F135,'Critical resources (hide)'!AS$6:AS$105)&gt;0,$E$1=2),0,1)</f>
        <v>1</v>
      </c>
      <c r="AG135" s="68">
        <f ca="1">IF(AND(SUMIF(Capacity_Resource,$D135,'Critical resources (hide)'!AT$6:AT$105)+SUMIF(Capacity_Resource,$E135,'Critical resources (hide)'!AT$6:AT$105)+SUMIF(Capacity_Resource,$F135,'Critical resources (hide)'!AT$6:AT$105)&gt;0,$E$1=2),0,1)</f>
        <v>1</v>
      </c>
      <c r="AH135" s="68">
        <f ca="1">IF(AND(SUMIF(Capacity_Resource,$D135,'Critical resources (hide)'!AU$6:AU$105)+SUMIF(Capacity_Resource,$E135,'Critical resources (hide)'!AU$6:AU$105)+SUMIF(Capacity_Resource,$F135,'Critical resources (hide)'!AU$6:AU$105)&gt;0,$E$1=2),0,1)</f>
        <v>1</v>
      </c>
      <c r="AI135" s="68">
        <f ca="1">IF(AND(SUMIF(Capacity_Resource,$D135,'Critical resources (hide)'!AV$6:AV$105)+SUMIF(Capacity_Resource,$E135,'Critical resources (hide)'!AV$6:AV$105)+SUMIF(Capacity_Resource,$F135,'Critical resources (hide)'!AV$6:AV$105)&gt;0,$E$1=2),0,1)</f>
        <v>1</v>
      </c>
      <c r="AJ135" s="68">
        <f ca="1">IF(AND(SUMIF(Capacity_Resource,$D135,'Critical resources (hide)'!AW$6:AW$105)+SUMIF(Capacity_Resource,$E135,'Critical resources (hide)'!AW$6:AW$105)+SUMIF(Capacity_Resource,$F135,'Critical resources (hide)'!AW$6:AW$105)&gt;0,$E$1=2),0,1)</f>
        <v>1</v>
      </c>
      <c r="AK135" s="68">
        <f ca="1">IF(AND(SUMIF(Capacity_Resource,$D135,'Critical resources (hide)'!AX$6:AX$105)+SUMIF(Capacity_Resource,$E135,'Critical resources (hide)'!AX$6:AX$105)+SUMIF(Capacity_Resource,$F135,'Critical resources (hide)'!AX$6:AX$105)&gt;0,$E$1=2),0,1)</f>
        <v>1</v>
      </c>
      <c r="AL135" s="68">
        <f ca="1">IF(AND(SUMIF(Capacity_Resource,$D135,'Critical resources (hide)'!AY$6:AY$105)+SUMIF(Capacity_Resource,$E135,'Critical resources (hide)'!AY$6:AY$105)+SUMIF(Capacity_Resource,$F135,'Critical resources (hide)'!AY$6:AY$105)&gt;0,$E$1=2),0,1)</f>
        <v>1</v>
      </c>
      <c r="AM135" s="68">
        <f ca="1">IF(AND(SUMIF(Capacity_Resource,$D135,'Critical resources (hide)'!AZ$6:AZ$105)+SUMIF(Capacity_Resource,$E135,'Critical resources (hide)'!AZ$6:AZ$105)+SUMIF(Capacity_Resource,$F135,'Critical resources (hide)'!AZ$6:AZ$105)&gt;0,$E$1=2),0,1)</f>
        <v>1</v>
      </c>
      <c r="AN135" s="68">
        <f ca="1">IF(AND(SUMIF(Capacity_Resource,$D135,'Critical resources (hide)'!BA$6:BA$105)+SUMIF(Capacity_Resource,$E135,'Critical resources (hide)'!BA$6:BA$105)+SUMIF(Capacity_Resource,$F135,'Critical resources (hide)'!BA$6:BA$105)&gt;0,$E$1=2),0,1)</f>
        <v>1</v>
      </c>
      <c r="AO135" s="68">
        <f ca="1">IF(AND(SUMIF(Capacity_Resource,$D135,'Critical resources (hide)'!BB$6:BB$105)+SUMIF(Capacity_Resource,$E135,'Critical resources (hide)'!BB$6:BB$105)+SUMIF(Capacity_Resource,$F135,'Critical resources (hide)'!BB$6:BB$105)&gt;0,$E$1=2),0,1)</f>
        <v>1</v>
      </c>
      <c r="AP135" s="68">
        <f ca="1">IF(AND(SUMIF(Capacity_Resource,$D135,'Critical resources (hide)'!BC$6:BC$105)+SUMIF(Capacity_Resource,$E135,'Critical resources (hide)'!BC$6:BC$105)+SUMIF(Capacity_Resource,$F135,'Critical resources (hide)'!BC$6:BC$105)&gt;0,$E$1=2),0,1)</f>
        <v>1</v>
      </c>
      <c r="AQ135" s="68">
        <f ca="1">IF(AND(SUMIF(Capacity_Resource,$D135,'Critical resources (hide)'!BD$6:BD$105)+SUMIF(Capacity_Resource,$E135,'Critical resources (hide)'!BD$6:BD$105)+SUMIF(Capacity_Resource,$F135,'Critical resources (hide)'!BD$6:BD$105)&gt;0,$E$1=2),0,1)</f>
        <v>1</v>
      </c>
      <c r="AR135" s="68">
        <f ca="1">IF(AND(SUMIF(Capacity_Resource,$D135,'Critical resources (hide)'!BE$6:BE$105)+SUMIF(Capacity_Resource,$E135,'Critical resources (hide)'!BE$6:BE$105)+SUMIF(Capacity_Resource,$F135,'Critical resources (hide)'!BE$6:BE$105)&gt;0,$E$1=2),0,1)</f>
        <v>1</v>
      </c>
      <c r="AS135" s="68">
        <f ca="1">IF(AND(SUMIF(Capacity_Resource,$D135,'Critical resources (hide)'!BF$6:BF$105)+SUMIF(Capacity_Resource,$E135,'Critical resources (hide)'!BF$6:BF$105)+SUMIF(Capacity_Resource,$F135,'Critical resources (hide)'!BF$6:BF$105)&gt;0,$E$1=2),0,1)</f>
        <v>1</v>
      </c>
      <c r="AT135" s="68">
        <f ca="1">IF(AND(SUMIF(Capacity_Resource,$D135,'Critical resources (hide)'!BG$6:BG$105)+SUMIF(Capacity_Resource,$E135,'Critical resources (hide)'!BG$6:BG$105)+SUMIF(Capacity_Resource,$F135,'Critical resources (hide)'!BG$6:BG$105)&gt;0,$E$1=2),0,1)</f>
        <v>1</v>
      </c>
      <c r="AU135" s="68">
        <f ca="1">IF(AND(SUMIF(Capacity_Resource,$D135,'Critical resources (hide)'!BH$6:BH$105)+SUMIF(Capacity_Resource,$E135,'Critical resources (hide)'!BH$6:BH$105)+SUMIF(Capacity_Resource,$F135,'Critical resources (hide)'!BH$6:BH$105)&gt;0,$E$1=2),0,1)</f>
        <v>1</v>
      </c>
      <c r="AV135" s="68">
        <f ca="1">IF(AND(SUMIF(Capacity_Resource,$D135,'Critical resources (hide)'!BI$6:BI$105)+SUMIF(Capacity_Resource,$E135,'Critical resources (hide)'!BI$6:BI$105)+SUMIF(Capacity_Resource,$F135,'Critical resources (hide)'!BI$6:BI$105)&gt;0,$E$1=2),0,1)</f>
        <v>1</v>
      </c>
      <c r="AW135" s="68">
        <f ca="1">IF(AND(SUMIF(Capacity_Resource,$D135,'Critical resources (hide)'!BJ$6:BJ$105)+SUMIF(Capacity_Resource,$E135,'Critical resources (hide)'!BJ$6:BJ$105)+SUMIF(Capacity_Resource,$F135,'Critical resources (hide)'!BJ$6:BJ$105)&gt;0,$E$1=2),0,1)</f>
        <v>1</v>
      </c>
      <c r="AX135" s="68">
        <f ca="1">IF(AND(SUMIF(Capacity_Resource,$D135,'Critical resources (hide)'!BK$6:BK$105)+SUMIF(Capacity_Resource,$E135,'Critical resources (hide)'!BK$6:BK$105)+SUMIF(Capacity_Resource,$F135,'Critical resources (hide)'!BK$6:BK$105)&gt;0,$E$1=2),0,1)</f>
        <v>1</v>
      </c>
      <c r="AY135" s="68">
        <f ca="1">IF(AND(SUMIF(Capacity_Resource,$D135,'Critical resources (hide)'!BL$6:BL$105)+SUMIF(Capacity_Resource,$E135,'Critical resources (hide)'!BL$6:BL$105)+SUMIF(Capacity_Resource,$F135,'Critical resources (hide)'!BL$6:BL$105)&gt;0,$E$1=2),0,1)</f>
        <v>1</v>
      </c>
      <c r="AZ135" s="68">
        <f ca="1">IF(AND(SUMIF(Capacity_Resource,$D135,'Critical resources (hide)'!BM$6:BM$105)+SUMIF(Capacity_Resource,$E135,'Critical resources (hide)'!BM$6:BM$105)+SUMIF(Capacity_Resource,$F135,'Critical resources (hide)'!BM$6:BM$105)&gt;0,$E$1=2),0,1)</f>
        <v>1</v>
      </c>
      <c r="BA135" s="68">
        <f ca="1">IF(AND(SUMIF(Capacity_Resource,$D135,'Critical resources (hide)'!BN$6:BN$105)+SUMIF(Capacity_Resource,$E135,'Critical resources (hide)'!BN$6:BN$105)+SUMIF(Capacity_Resource,$F135,'Critical resources (hide)'!BN$6:BN$105)&gt;0,$E$1=2),0,1)</f>
        <v>1</v>
      </c>
      <c r="BB135" s="68">
        <f ca="1">IF(AND(SUMIF(Capacity_Resource,$D135,'Critical resources (hide)'!BO$6:BO$105)+SUMIF(Capacity_Resource,$E135,'Critical resources (hide)'!BO$6:BO$105)+SUMIF(Capacity_Resource,$F135,'Critical resources (hide)'!BO$6:BO$105)&gt;0,$E$1=2),0,1)</f>
        <v>1</v>
      </c>
      <c r="BC135" s="68">
        <f ca="1">IF(AND(SUMIF(Capacity_Resource,$D135,'Critical resources (hide)'!BP$6:BP$105)+SUMIF(Capacity_Resource,$E135,'Critical resources (hide)'!BP$6:BP$105)+SUMIF(Capacity_Resource,$F135,'Critical resources (hide)'!BP$6:BP$105)&gt;0,$E$1=2),0,1)</f>
        <v>1</v>
      </c>
      <c r="BD135" s="68">
        <f ca="1">IF(AND(SUMIF(Capacity_Resource,$D135,'Critical resources (hide)'!BQ$6:BQ$105)+SUMIF(Capacity_Resource,$E135,'Critical resources (hide)'!BQ$6:BQ$105)+SUMIF(Capacity_Resource,$F135,'Critical resources (hide)'!BQ$6:BQ$105)&gt;0,$E$1=2),0,1)</f>
        <v>1</v>
      </c>
      <c r="BE135" s="68">
        <f ca="1">IF(AND(SUMIF(Capacity_Resource,$D135,'Critical resources (hide)'!BR$6:BR$105)+SUMIF(Capacity_Resource,$E135,'Critical resources (hide)'!BR$6:BR$105)+SUMIF(Capacity_Resource,$F135,'Critical resources (hide)'!BR$6:BR$105)&gt;0,$E$1=2),0,1)</f>
        <v>1</v>
      </c>
      <c r="BF135" s="68">
        <f ca="1">IF(AND(SUMIF(Capacity_Resource,$D135,'Critical resources (hide)'!BS$6:BS$105)+SUMIF(Capacity_Resource,$E135,'Critical resources (hide)'!BS$6:BS$105)+SUMIF(Capacity_Resource,$F135,'Critical resources (hide)'!BS$6:BS$105)&gt;0,$E$1=2),0,1)</f>
        <v>1</v>
      </c>
      <c r="BG135" s="68">
        <f ca="1">IF(AND(SUMIF(Capacity_Resource,$D135,'Critical resources (hide)'!BT$6:BT$105)+SUMIF(Capacity_Resource,$E135,'Critical resources (hide)'!BT$6:BT$105)+SUMIF(Capacity_Resource,$F135,'Critical resources (hide)'!BT$6:BT$105)&gt;0,$E$1=2),0,1)</f>
        <v>1</v>
      </c>
      <c r="BH135" s="68">
        <f>IF(ROW(A24)&lt;=Capacity!$M$16,IF('Capacity summary'!$C$14="No",SUM(H135:BG135),'Capacity summary'!$E47),0)</f>
        <v>0</v>
      </c>
      <c r="BI135" s="68" t="str">
        <f>IF(BH135&gt;0,IF(BH135&lt;Capacity!Q40,Capacity!R40,Capacity!T40/'Capacity calculation (hide)'!BH135),"")</f>
        <v/>
      </c>
      <c r="BJ135" s="5"/>
      <c r="BK135" s="5">
        <f>IF($BI135&lt;&gt;"",IF('Capacity summary'!$C$14="Yes",IF(COUNTBLANK('Capacity summary'!$H47:$BG47)&lt;52,IF('Capacity summary'!H47&lt;&gt;"",$BI135*H135,0),H135*$BI135),H135*$BI135),0)</f>
        <v>0</v>
      </c>
      <c r="BL135" s="5">
        <f>IF($BI135&lt;&gt;"",IF('Capacity summary'!$C$14="Yes",IF(COUNTBLANK('Capacity summary'!$H47:$BG47)&lt;52,IF('Capacity summary'!I47&lt;&gt;"",$BI135*I135,0),I135*$BI135),I135*$BI135),0)</f>
        <v>0</v>
      </c>
      <c r="BM135" s="5">
        <f>IF($BI135&lt;&gt;"",IF('Capacity summary'!$C$14="Yes",IF(COUNTBLANK('Capacity summary'!$H47:$BG47)&lt;52,IF('Capacity summary'!J47&lt;&gt;"",$BI135*J135,0),J135*$BI135),J135*$BI135),0)</f>
        <v>0</v>
      </c>
      <c r="BN135" s="5">
        <f>IF($BI135&lt;&gt;"",IF('Capacity summary'!$C$14="Yes",IF(COUNTBLANK('Capacity summary'!$H47:$BG47)&lt;52,IF('Capacity summary'!K47&lt;&gt;"",$BI135*K135,0),K135*$BI135),K135*$BI135),0)</f>
        <v>0</v>
      </c>
      <c r="BO135" s="5">
        <f>IF($BI135&lt;&gt;"",IF('Capacity summary'!$C$14="Yes",IF(COUNTBLANK('Capacity summary'!$H47:$BG47)&lt;52,IF('Capacity summary'!L47&lt;&gt;"",$BI135*L135,0),L135*$BI135),L135*$BI135),0)</f>
        <v>0</v>
      </c>
      <c r="BP135" s="5">
        <f>IF($BI135&lt;&gt;"",IF('Capacity summary'!$C$14="Yes",IF(COUNTBLANK('Capacity summary'!$H47:$BG47)&lt;52,IF('Capacity summary'!M47&lt;&gt;"",$BI135*M135,0),M135*$BI135),M135*$BI135),0)</f>
        <v>0</v>
      </c>
      <c r="BQ135" s="5">
        <f>IF($BI135&lt;&gt;"",IF('Capacity summary'!$C$14="Yes",IF(COUNTBLANK('Capacity summary'!$H47:$BG47)&lt;52,IF('Capacity summary'!N47&lt;&gt;"",$BI135*N135,0),N135*$BI135),N135*$BI135),0)</f>
        <v>0</v>
      </c>
      <c r="BR135" s="5">
        <f>IF($BI135&lt;&gt;"",IF('Capacity summary'!$C$14="Yes",IF(COUNTBLANK('Capacity summary'!$H47:$BG47)&lt;52,IF('Capacity summary'!O47&lt;&gt;"",$BI135*O135,0),O135*$BI135),O135*$BI135),0)</f>
        <v>0</v>
      </c>
      <c r="BS135" s="5">
        <f>IF($BI135&lt;&gt;"",IF('Capacity summary'!$C$14="Yes",IF(COUNTBLANK('Capacity summary'!$H47:$BG47)&lt;52,IF('Capacity summary'!P47&lt;&gt;"",$BI135*P135,0),P135*$BI135),P135*$BI135),0)</f>
        <v>0</v>
      </c>
      <c r="BT135" s="5">
        <f>IF($BI135&lt;&gt;"",IF('Capacity summary'!$C$14="Yes",IF(COUNTBLANK('Capacity summary'!$H47:$BG47)&lt;52,IF('Capacity summary'!Q47&lt;&gt;"",$BI135*Q135,0),Q135*$BI135),Q135*$BI135),0)</f>
        <v>0</v>
      </c>
      <c r="BU135" s="5">
        <f>IF($BI135&lt;&gt;"",IF('Capacity summary'!$C$14="Yes",IF(COUNTBLANK('Capacity summary'!$H47:$BG47)&lt;52,IF('Capacity summary'!R47&lt;&gt;"",$BI135*R135,0),R135*$BI135),R135*$BI135),0)</f>
        <v>0</v>
      </c>
      <c r="BV135" s="5">
        <f>IF($BI135&lt;&gt;"",IF('Capacity summary'!$C$14="Yes",IF(COUNTBLANK('Capacity summary'!$H47:$BG47)&lt;52,IF('Capacity summary'!S47&lt;&gt;"",$BI135*S135,0),S135*$BI135),S135*$BI135),0)</f>
        <v>0</v>
      </c>
      <c r="BW135" s="5">
        <f>IF($BI135&lt;&gt;"",IF('Capacity summary'!$C$14="Yes",IF(COUNTBLANK('Capacity summary'!$H47:$BG47)&lt;52,IF('Capacity summary'!T47&lt;&gt;"",$BI135*T135,0),T135*$BI135),T135*$BI135),0)</f>
        <v>0</v>
      </c>
      <c r="BX135" s="5">
        <f>IF($BI135&lt;&gt;"",IF('Capacity summary'!$C$14="Yes",IF(COUNTBLANK('Capacity summary'!$H47:$BG47)&lt;52,IF('Capacity summary'!U47&lt;&gt;"",$BI135*U135,0),U135*$BI135),U135*$BI135),0)</f>
        <v>0</v>
      </c>
      <c r="BY135" s="5">
        <f>IF($BI135&lt;&gt;"",IF('Capacity summary'!$C$14="Yes",IF(COUNTBLANK('Capacity summary'!$H47:$BG47)&lt;52,IF('Capacity summary'!V47&lt;&gt;"",$BI135*V135,0),V135*$BI135),V135*$BI135),0)</f>
        <v>0</v>
      </c>
      <c r="BZ135" s="5">
        <f>IF($BI135&lt;&gt;"",IF('Capacity summary'!$C$14="Yes",IF(COUNTBLANK('Capacity summary'!$H47:$BG47)&lt;52,IF('Capacity summary'!W47&lt;&gt;"",$BI135*W135,0),W135*$BI135),W135*$BI135),0)</f>
        <v>0</v>
      </c>
      <c r="CA135" s="5">
        <f>IF($BI135&lt;&gt;"",IF('Capacity summary'!$C$14="Yes",IF(COUNTBLANK('Capacity summary'!$H47:$BG47)&lt;52,IF('Capacity summary'!X47&lt;&gt;"",$BI135*X135,0),X135*$BI135),X135*$BI135),0)</f>
        <v>0</v>
      </c>
      <c r="CB135" s="5">
        <f>IF($BI135&lt;&gt;"",IF('Capacity summary'!$C$14="Yes",IF(COUNTBLANK('Capacity summary'!$H47:$BG47)&lt;52,IF('Capacity summary'!Y47&lt;&gt;"",$BI135*Y135,0),Y135*$BI135),Y135*$BI135),0)</f>
        <v>0</v>
      </c>
      <c r="CC135" s="5">
        <f>IF($BI135&lt;&gt;"",IF('Capacity summary'!$C$14="Yes",IF(COUNTBLANK('Capacity summary'!$H47:$BG47)&lt;52,IF('Capacity summary'!Z47&lt;&gt;"",$BI135*Z135,0),Z135*$BI135),Z135*$BI135),0)</f>
        <v>0</v>
      </c>
      <c r="CD135" s="5">
        <f>IF($BI135&lt;&gt;"",IF('Capacity summary'!$C$14="Yes",IF(COUNTBLANK('Capacity summary'!$H47:$BG47)&lt;52,IF('Capacity summary'!AA47&lt;&gt;"",$BI135*AA135,0),AA135*$BI135),AA135*$BI135),0)</f>
        <v>0</v>
      </c>
      <c r="CE135" s="5">
        <f>IF($BI135&lt;&gt;"",IF('Capacity summary'!$C$14="Yes",IF(COUNTBLANK('Capacity summary'!$H47:$BG47)&lt;52,IF('Capacity summary'!AB47&lt;&gt;"",$BI135*AB135,0),AB135*$BI135),AB135*$BI135),0)</f>
        <v>0</v>
      </c>
      <c r="CF135" s="5">
        <f>IF($BI135&lt;&gt;"",IF('Capacity summary'!$C$14="Yes",IF(COUNTBLANK('Capacity summary'!$H47:$BG47)&lt;52,IF('Capacity summary'!AC47&lt;&gt;"",$BI135*AC135,0),AC135*$BI135),AC135*$BI135),0)</f>
        <v>0</v>
      </c>
      <c r="CG135" s="5">
        <f>IF($BI135&lt;&gt;"",IF('Capacity summary'!$C$14="Yes",IF(COUNTBLANK('Capacity summary'!$H47:$BG47)&lt;52,IF('Capacity summary'!AD47&lt;&gt;"",$BI135*AD135,0),AD135*$BI135),AD135*$BI135),0)</f>
        <v>0</v>
      </c>
      <c r="CH135" s="5">
        <f>IF($BI135&lt;&gt;"",IF('Capacity summary'!$C$14="Yes",IF(COUNTBLANK('Capacity summary'!$H47:$BG47)&lt;52,IF('Capacity summary'!AE47&lt;&gt;"",$BI135*AE135,0),AE135*$BI135),AE135*$BI135),0)</f>
        <v>0</v>
      </c>
      <c r="CI135" s="5">
        <f>IF($BI135&lt;&gt;"",IF('Capacity summary'!$C$14="Yes",IF(COUNTBLANK('Capacity summary'!$H47:$BG47)&lt;52,IF('Capacity summary'!AF47&lt;&gt;"",$BI135*AF135,0),AF135*$BI135),AF135*$BI135),0)</f>
        <v>0</v>
      </c>
      <c r="CJ135" s="5">
        <f>IF($BI135&lt;&gt;"",IF('Capacity summary'!$C$14="Yes",IF(COUNTBLANK('Capacity summary'!$H47:$BG47)&lt;52,IF('Capacity summary'!AG47&lt;&gt;"",$BI135*AG135,0),AG135*$BI135),AG135*$BI135),0)</f>
        <v>0</v>
      </c>
      <c r="CK135" s="5">
        <f>IF($BI135&lt;&gt;"",IF('Capacity summary'!$C$14="Yes",IF(COUNTBLANK('Capacity summary'!$H47:$BG47)&lt;52,IF('Capacity summary'!AH47&lt;&gt;"",$BI135*AH135,0),AH135*$BI135),AH135*$BI135),0)</f>
        <v>0</v>
      </c>
      <c r="CL135" s="5">
        <f>IF($BI135&lt;&gt;"",IF('Capacity summary'!$C$14="Yes",IF(COUNTBLANK('Capacity summary'!$H47:$BG47)&lt;52,IF('Capacity summary'!AI47&lt;&gt;"",$BI135*AI135,0),AI135*$BI135),AI135*$BI135),0)</f>
        <v>0</v>
      </c>
      <c r="CM135" s="5">
        <f>IF($BI135&lt;&gt;"",IF('Capacity summary'!$C$14="Yes",IF(COUNTBLANK('Capacity summary'!$H47:$BG47)&lt;52,IF('Capacity summary'!AJ47&lt;&gt;"",$BI135*AJ135,0),AJ135*$BI135),AJ135*$BI135),0)</f>
        <v>0</v>
      </c>
      <c r="CN135" s="5">
        <f>IF($BI135&lt;&gt;"",IF('Capacity summary'!$C$14="Yes",IF(COUNTBLANK('Capacity summary'!$H47:$BG47)&lt;52,IF('Capacity summary'!AK47&lt;&gt;"",$BI135*AK135,0),AK135*$BI135),AK135*$BI135),0)</f>
        <v>0</v>
      </c>
      <c r="CO135" s="5">
        <f>IF($BI135&lt;&gt;"",IF('Capacity summary'!$C$14="Yes",IF(COUNTBLANK('Capacity summary'!$H47:$BG47)&lt;52,IF('Capacity summary'!AL47&lt;&gt;"",$BI135*AL135,0),AL135*$BI135),AL135*$BI135),0)</f>
        <v>0</v>
      </c>
      <c r="CP135" s="5">
        <f>IF($BI135&lt;&gt;"",IF('Capacity summary'!$C$14="Yes",IF(COUNTBLANK('Capacity summary'!$H47:$BG47)&lt;52,IF('Capacity summary'!AM47&lt;&gt;"",$BI135*AM135,0),AM135*$BI135),AM135*$BI135),0)</f>
        <v>0</v>
      </c>
      <c r="CQ135" s="5">
        <f>IF($BI135&lt;&gt;"",IF('Capacity summary'!$C$14="Yes",IF(COUNTBLANK('Capacity summary'!$H47:$BG47)&lt;52,IF('Capacity summary'!AN47&lt;&gt;"",$BI135*AN135,0),AN135*$BI135),AN135*$BI135),0)</f>
        <v>0</v>
      </c>
      <c r="CR135" s="5">
        <f>IF($BI135&lt;&gt;"",IF('Capacity summary'!$C$14="Yes",IF(COUNTBLANK('Capacity summary'!$H47:$BG47)&lt;52,IF('Capacity summary'!AO47&lt;&gt;"",$BI135*AO135,0),AO135*$BI135),AO135*$BI135),0)</f>
        <v>0</v>
      </c>
      <c r="CS135" s="5">
        <f>IF($BI135&lt;&gt;"",IF('Capacity summary'!$C$14="Yes",IF(COUNTBLANK('Capacity summary'!$H47:$BG47)&lt;52,IF('Capacity summary'!AP47&lt;&gt;"",$BI135*AP135,0),AP135*$BI135),AP135*$BI135),0)</f>
        <v>0</v>
      </c>
      <c r="CT135" s="5">
        <f>IF($BI135&lt;&gt;"",IF('Capacity summary'!$C$14="Yes",IF(COUNTBLANK('Capacity summary'!$H47:$BG47)&lt;52,IF('Capacity summary'!AQ47&lt;&gt;"",$BI135*AQ135,0),AQ135*$BI135),AQ135*$BI135),0)</f>
        <v>0</v>
      </c>
      <c r="CU135" s="5">
        <f>IF($BI135&lt;&gt;"",IF('Capacity summary'!$C$14="Yes",IF(COUNTBLANK('Capacity summary'!$H47:$BG47)&lt;52,IF('Capacity summary'!AR47&lt;&gt;"",$BI135*AR135,0),AR135*$BI135),AR135*$BI135),0)</f>
        <v>0</v>
      </c>
      <c r="CV135" s="5">
        <f>IF($BI135&lt;&gt;"",IF('Capacity summary'!$C$14="Yes",IF(COUNTBLANK('Capacity summary'!$H47:$BG47)&lt;52,IF('Capacity summary'!AS47&lt;&gt;"",$BI135*AS135,0),AS135*$BI135),AS135*$BI135),0)</f>
        <v>0</v>
      </c>
      <c r="CW135" s="5">
        <f>IF($BI135&lt;&gt;"",IF('Capacity summary'!$C$14="Yes",IF(COUNTBLANK('Capacity summary'!$H47:$BG47)&lt;52,IF('Capacity summary'!AT47&lt;&gt;"",$BI135*AT135,0),AT135*$BI135),AT135*$BI135),0)</f>
        <v>0</v>
      </c>
      <c r="CX135" s="5">
        <f>IF($BI135&lt;&gt;"",IF('Capacity summary'!$C$14="Yes",IF(COUNTBLANK('Capacity summary'!$H47:$BG47)&lt;52,IF('Capacity summary'!AU47&lt;&gt;"",$BI135*AU135,0),AU135*$BI135),AU135*$BI135),0)</f>
        <v>0</v>
      </c>
      <c r="CY135" s="5">
        <f>IF($BI135&lt;&gt;"",IF('Capacity summary'!$C$14="Yes",IF(COUNTBLANK('Capacity summary'!$H47:$BG47)&lt;52,IF('Capacity summary'!AV47&lt;&gt;"",$BI135*AV135,0),AV135*$BI135),AV135*$BI135),0)</f>
        <v>0</v>
      </c>
      <c r="CZ135" s="5">
        <f>IF($BI135&lt;&gt;"",IF('Capacity summary'!$C$14="Yes",IF(COUNTBLANK('Capacity summary'!$H47:$BG47)&lt;52,IF('Capacity summary'!AW47&lt;&gt;"",$BI135*AW135,0),AW135*$BI135),AW135*$BI135),0)</f>
        <v>0</v>
      </c>
      <c r="DA135" s="5">
        <f>IF($BI135&lt;&gt;"",IF('Capacity summary'!$C$14="Yes",IF(COUNTBLANK('Capacity summary'!$H47:$BG47)&lt;52,IF('Capacity summary'!AX47&lt;&gt;"",$BI135*AX135,0),AX135*$BI135),AX135*$BI135),0)</f>
        <v>0</v>
      </c>
      <c r="DB135" s="5">
        <f>IF($BI135&lt;&gt;"",IF('Capacity summary'!$C$14="Yes",IF(COUNTBLANK('Capacity summary'!$H47:$BG47)&lt;52,IF('Capacity summary'!AY47&lt;&gt;"",$BI135*AY135,0),AY135*$BI135),AY135*$BI135),0)</f>
        <v>0</v>
      </c>
      <c r="DC135" s="5">
        <f>IF($BI135&lt;&gt;"",IF('Capacity summary'!$C$14="Yes",IF(COUNTBLANK('Capacity summary'!$H47:$BG47)&lt;52,IF('Capacity summary'!AZ47&lt;&gt;"",$BI135*AZ135,0),AZ135*$BI135),AZ135*$BI135),0)</f>
        <v>0</v>
      </c>
      <c r="DD135" s="5">
        <f>IF($BI135&lt;&gt;"",IF('Capacity summary'!$C$14="Yes",IF(COUNTBLANK('Capacity summary'!$H47:$BG47)&lt;52,IF('Capacity summary'!BA47&lt;&gt;"",$BI135*BA135,0),BA135*$BI135),BA135*$BI135),0)</f>
        <v>0</v>
      </c>
      <c r="DE135" s="5">
        <f>IF($BI135&lt;&gt;"",IF('Capacity summary'!$C$14="Yes",IF(COUNTBLANK('Capacity summary'!$H47:$BG47)&lt;52,IF('Capacity summary'!BB47&lt;&gt;"",$BI135*BB135,0),BB135*$BI135),BB135*$BI135),0)</f>
        <v>0</v>
      </c>
      <c r="DF135" s="5">
        <f>IF($BI135&lt;&gt;"",IF('Capacity summary'!$C$14="Yes",IF(COUNTBLANK('Capacity summary'!$H47:$BG47)&lt;52,IF('Capacity summary'!BC47&lt;&gt;"",$BI135*BC135,0),BC135*$BI135),BC135*$BI135),0)</f>
        <v>0</v>
      </c>
      <c r="DG135" s="5">
        <f>IF($BI135&lt;&gt;"",IF('Capacity summary'!$C$14="Yes",IF(COUNTBLANK('Capacity summary'!$H47:$BG47)&lt;52,IF('Capacity summary'!BD47&lt;&gt;"",$BI135*BD135,0),BD135*$BI135),BD135*$BI135),0)</f>
        <v>0</v>
      </c>
      <c r="DH135" s="5">
        <f>IF($BI135&lt;&gt;"",IF('Capacity summary'!$C$14="Yes",IF(COUNTBLANK('Capacity summary'!$H47:$BG47)&lt;52,IF('Capacity summary'!BE47&lt;&gt;"",$BI135*BE135,0),BE135*$BI135),BE135*$BI135),0)</f>
        <v>0</v>
      </c>
      <c r="DI135" s="5">
        <f>IF($BI135&lt;&gt;"",IF('Capacity summary'!$C$14="Yes",IF(COUNTBLANK('Capacity summary'!$H47:$BG47)&lt;52,IF('Capacity summary'!BF47&lt;&gt;"",$BI135*BF135,0),BF135*$BI135),BF135*$BI135),0)</f>
        <v>0</v>
      </c>
      <c r="DJ135" s="5">
        <f>IF($BI135&lt;&gt;"",IF('Capacity summary'!$C$14="Yes",IF(COUNTBLANK('Capacity summary'!$H47:$BG47)&lt;52,IF('Capacity summary'!BG47&lt;&gt;"",$BI135*BG135,0),BG135*$BI135),BG135*$BI135),0)</f>
        <v>0</v>
      </c>
      <c r="DK135" s="138">
        <f t="shared" si="6"/>
        <v>0</v>
      </c>
    </row>
    <row r="136" spans="3:115" x14ac:dyDescent="0.2">
      <c r="C136" s="68" t="str">
        <f>ROW(A25)&amp;". "&amp;Capacity!N41</f>
        <v xml:space="preserve">25. </v>
      </c>
      <c r="D136" s="68">
        <f>'Capacity setup'!C142</f>
        <v>0</v>
      </c>
      <c r="E136" s="68">
        <f>'Capacity setup'!D142</f>
        <v>0</v>
      </c>
      <c r="F136" s="68">
        <f>'Capacity setup'!E142</f>
        <v>0</v>
      </c>
      <c r="H136" s="68">
        <f ca="1">IF(AND(SUMIF(Capacity_Resource,$D136,'Critical resources (hide)'!U$6:U$105)+SUMIF(Capacity_Resource,$E136,'Critical resources (hide)'!U$6:U$105)+SUMIF(Capacity_Resource,$F136,'Critical resources (hide)'!U$6:U$105)&gt;0,$E$1=2),0,1)</f>
        <v>1</v>
      </c>
      <c r="I136" s="68">
        <f ca="1">IF(AND(SUMIF(Capacity_Resource,$D136,'Critical resources (hide)'!V$6:V$105)+SUMIF(Capacity_Resource,$E136,'Critical resources (hide)'!V$6:V$105)+SUMIF(Capacity_Resource,$F136,'Critical resources (hide)'!V$6:V$105)&gt;0,$E$1=2),0,1)</f>
        <v>1</v>
      </c>
      <c r="J136" s="68">
        <f ca="1">IF(AND(SUMIF(Capacity_Resource,$D136,'Critical resources (hide)'!W$6:W$105)+SUMIF(Capacity_Resource,$E136,'Critical resources (hide)'!W$6:W$105)+SUMIF(Capacity_Resource,$F136,'Critical resources (hide)'!W$6:W$105)&gt;0,$E$1=2),0,1)</f>
        <v>1</v>
      </c>
      <c r="K136" s="68">
        <f ca="1">IF(AND(SUMIF(Capacity_Resource,$D136,'Critical resources (hide)'!X$6:X$105)+SUMIF(Capacity_Resource,$E136,'Critical resources (hide)'!X$6:X$105)+SUMIF(Capacity_Resource,$F136,'Critical resources (hide)'!X$6:X$105)&gt;0,$E$1=2),0,1)</f>
        <v>1</v>
      </c>
      <c r="L136" s="68">
        <f ca="1">IF(AND(SUMIF(Capacity_Resource,$D136,'Critical resources (hide)'!Y$6:Y$105)+SUMIF(Capacity_Resource,$E136,'Critical resources (hide)'!Y$6:Y$105)+SUMIF(Capacity_Resource,$F136,'Critical resources (hide)'!Y$6:Y$105)&gt;0,$E$1=2),0,1)</f>
        <v>1</v>
      </c>
      <c r="M136" s="68">
        <f ca="1">IF(AND(SUMIF(Capacity_Resource,$D136,'Critical resources (hide)'!Z$6:Z$105)+SUMIF(Capacity_Resource,$E136,'Critical resources (hide)'!Z$6:Z$105)+SUMIF(Capacity_Resource,$F136,'Critical resources (hide)'!Z$6:Z$105)&gt;0,$E$1=2),0,1)</f>
        <v>1</v>
      </c>
      <c r="N136" s="68">
        <f ca="1">IF(AND(SUMIF(Capacity_Resource,$D136,'Critical resources (hide)'!AA$6:AA$105)+SUMIF(Capacity_Resource,$E136,'Critical resources (hide)'!AA$6:AA$105)+SUMIF(Capacity_Resource,$F136,'Critical resources (hide)'!AA$6:AA$105)&gt;0,$E$1=2),0,1)</f>
        <v>1</v>
      </c>
      <c r="O136" s="68">
        <f ca="1">IF(AND(SUMIF(Capacity_Resource,$D136,'Critical resources (hide)'!AB$6:AB$105)+SUMIF(Capacity_Resource,$E136,'Critical resources (hide)'!AB$6:AB$105)+SUMIF(Capacity_Resource,$F136,'Critical resources (hide)'!AB$6:AB$105)&gt;0,$E$1=2),0,1)</f>
        <v>1</v>
      </c>
      <c r="P136" s="68">
        <f ca="1">IF(AND(SUMIF(Capacity_Resource,$D136,'Critical resources (hide)'!AC$6:AC$105)+SUMIF(Capacity_Resource,$E136,'Critical resources (hide)'!AC$6:AC$105)+SUMIF(Capacity_Resource,$F136,'Critical resources (hide)'!AC$6:AC$105)&gt;0,$E$1=2),0,1)</f>
        <v>1</v>
      </c>
      <c r="Q136" s="68">
        <f ca="1">IF(AND(SUMIF(Capacity_Resource,$D136,'Critical resources (hide)'!AD$6:AD$105)+SUMIF(Capacity_Resource,$E136,'Critical resources (hide)'!AD$6:AD$105)+SUMIF(Capacity_Resource,$F136,'Critical resources (hide)'!AD$6:AD$105)&gt;0,$E$1=2),0,1)</f>
        <v>1</v>
      </c>
      <c r="R136" s="68">
        <f ca="1">IF(AND(SUMIF(Capacity_Resource,$D136,'Critical resources (hide)'!AE$6:AE$105)+SUMIF(Capacity_Resource,$E136,'Critical resources (hide)'!AE$6:AE$105)+SUMIF(Capacity_Resource,$F136,'Critical resources (hide)'!AE$6:AE$105)&gt;0,$E$1=2),0,1)</f>
        <v>1</v>
      </c>
      <c r="S136" s="68">
        <f ca="1">IF(AND(SUMIF(Capacity_Resource,$D136,'Critical resources (hide)'!AF$6:AF$105)+SUMIF(Capacity_Resource,$E136,'Critical resources (hide)'!AF$6:AF$105)+SUMIF(Capacity_Resource,$F136,'Critical resources (hide)'!AF$6:AF$105)&gt;0,$E$1=2),0,1)</f>
        <v>1</v>
      </c>
      <c r="T136" s="68">
        <f ca="1">IF(AND(SUMIF(Capacity_Resource,$D136,'Critical resources (hide)'!AG$6:AG$105)+SUMIF(Capacity_Resource,$E136,'Critical resources (hide)'!AG$6:AG$105)+SUMIF(Capacity_Resource,$F136,'Critical resources (hide)'!AG$6:AG$105)&gt;0,$E$1=2),0,1)</f>
        <v>1</v>
      </c>
      <c r="U136" s="68">
        <f ca="1">IF(AND(SUMIF(Capacity_Resource,$D136,'Critical resources (hide)'!AH$6:AH$105)+SUMIF(Capacity_Resource,$E136,'Critical resources (hide)'!AH$6:AH$105)+SUMIF(Capacity_Resource,$F136,'Critical resources (hide)'!AH$6:AH$105)&gt;0,$E$1=2),0,1)</f>
        <v>1</v>
      </c>
      <c r="V136" s="68">
        <f ca="1">IF(AND(SUMIF(Capacity_Resource,$D136,'Critical resources (hide)'!AI$6:AI$105)+SUMIF(Capacity_Resource,$E136,'Critical resources (hide)'!AI$6:AI$105)+SUMIF(Capacity_Resource,$F136,'Critical resources (hide)'!AI$6:AI$105)&gt;0,$E$1=2),0,1)</f>
        <v>1</v>
      </c>
      <c r="W136" s="68">
        <f ca="1">IF(AND(SUMIF(Capacity_Resource,$D136,'Critical resources (hide)'!AJ$6:AJ$105)+SUMIF(Capacity_Resource,$E136,'Critical resources (hide)'!AJ$6:AJ$105)+SUMIF(Capacity_Resource,$F136,'Critical resources (hide)'!AJ$6:AJ$105)&gt;0,$E$1=2),0,1)</f>
        <v>1</v>
      </c>
      <c r="X136" s="68">
        <f ca="1">IF(AND(SUMIF(Capacity_Resource,$D136,'Critical resources (hide)'!AK$6:AK$105)+SUMIF(Capacity_Resource,$E136,'Critical resources (hide)'!AK$6:AK$105)+SUMIF(Capacity_Resource,$F136,'Critical resources (hide)'!AK$6:AK$105)&gt;0,$E$1=2),0,1)</f>
        <v>1</v>
      </c>
      <c r="Y136" s="68">
        <f ca="1">IF(AND(SUMIF(Capacity_Resource,$D136,'Critical resources (hide)'!AL$6:AL$105)+SUMIF(Capacity_Resource,$E136,'Critical resources (hide)'!AL$6:AL$105)+SUMIF(Capacity_Resource,$F136,'Critical resources (hide)'!AL$6:AL$105)&gt;0,$E$1=2),0,1)</f>
        <v>1</v>
      </c>
      <c r="Z136" s="68">
        <f ca="1">IF(AND(SUMIF(Capacity_Resource,$D136,'Critical resources (hide)'!AM$6:AM$105)+SUMIF(Capacity_Resource,$E136,'Critical resources (hide)'!AM$6:AM$105)+SUMIF(Capacity_Resource,$F136,'Critical resources (hide)'!AM$6:AM$105)&gt;0,$E$1=2),0,1)</f>
        <v>1</v>
      </c>
      <c r="AA136" s="68">
        <f ca="1">IF(AND(SUMIF(Capacity_Resource,$D136,'Critical resources (hide)'!AN$6:AN$105)+SUMIF(Capacity_Resource,$E136,'Critical resources (hide)'!AN$6:AN$105)+SUMIF(Capacity_Resource,$F136,'Critical resources (hide)'!AN$6:AN$105)&gt;0,$E$1=2),0,1)</f>
        <v>1</v>
      </c>
      <c r="AB136" s="68">
        <f ca="1">IF(AND(SUMIF(Capacity_Resource,$D136,'Critical resources (hide)'!AO$6:AO$105)+SUMIF(Capacity_Resource,$E136,'Critical resources (hide)'!AO$6:AO$105)+SUMIF(Capacity_Resource,$F136,'Critical resources (hide)'!AO$6:AO$105)&gt;0,$E$1=2),0,1)</f>
        <v>1</v>
      </c>
      <c r="AC136" s="68">
        <f ca="1">IF(AND(SUMIF(Capacity_Resource,$D136,'Critical resources (hide)'!AP$6:AP$105)+SUMIF(Capacity_Resource,$E136,'Critical resources (hide)'!AP$6:AP$105)+SUMIF(Capacity_Resource,$F136,'Critical resources (hide)'!AP$6:AP$105)&gt;0,$E$1=2),0,1)</f>
        <v>1</v>
      </c>
      <c r="AD136" s="68">
        <f ca="1">IF(AND(SUMIF(Capacity_Resource,$D136,'Critical resources (hide)'!AQ$6:AQ$105)+SUMIF(Capacity_Resource,$E136,'Critical resources (hide)'!AQ$6:AQ$105)+SUMIF(Capacity_Resource,$F136,'Critical resources (hide)'!AQ$6:AQ$105)&gt;0,$E$1=2),0,1)</f>
        <v>1</v>
      </c>
      <c r="AE136" s="68">
        <f ca="1">IF(AND(SUMIF(Capacity_Resource,$D136,'Critical resources (hide)'!AR$6:AR$105)+SUMIF(Capacity_Resource,$E136,'Critical resources (hide)'!AR$6:AR$105)+SUMIF(Capacity_Resource,$F136,'Critical resources (hide)'!AR$6:AR$105)&gt;0,$E$1=2),0,1)</f>
        <v>1</v>
      </c>
      <c r="AF136" s="68">
        <f ca="1">IF(AND(SUMIF(Capacity_Resource,$D136,'Critical resources (hide)'!AS$6:AS$105)+SUMIF(Capacity_Resource,$E136,'Critical resources (hide)'!AS$6:AS$105)+SUMIF(Capacity_Resource,$F136,'Critical resources (hide)'!AS$6:AS$105)&gt;0,$E$1=2),0,1)</f>
        <v>1</v>
      </c>
      <c r="AG136" s="68">
        <f ca="1">IF(AND(SUMIF(Capacity_Resource,$D136,'Critical resources (hide)'!AT$6:AT$105)+SUMIF(Capacity_Resource,$E136,'Critical resources (hide)'!AT$6:AT$105)+SUMIF(Capacity_Resource,$F136,'Critical resources (hide)'!AT$6:AT$105)&gt;0,$E$1=2),0,1)</f>
        <v>1</v>
      </c>
      <c r="AH136" s="68">
        <f ca="1">IF(AND(SUMIF(Capacity_Resource,$D136,'Critical resources (hide)'!AU$6:AU$105)+SUMIF(Capacity_Resource,$E136,'Critical resources (hide)'!AU$6:AU$105)+SUMIF(Capacity_Resource,$F136,'Critical resources (hide)'!AU$6:AU$105)&gt;0,$E$1=2),0,1)</f>
        <v>1</v>
      </c>
      <c r="AI136" s="68">
        <f ca="1">IF(AND(SUMIF(Capacity_Resource,$D136,'Critical resources (hide)'!AV$6:AV$105)+SUMIF(Capacity_Resource,$E136,'Critical resources (hide)'!AV$6:AV$105)+SUMIF(Capacity_Resource,$F136,'Critical resources (hide)'!AV$6:AV$105)&gt;0,$E$1=2),0,1)</f>
        <v>1</v>
      </c>
      <c r="AJ136" s="68">
        <f ca="1">IF(AND(SUMIF(Capacity_Resource,$D136,'Critical resources (hide)'!AW$6:AW$105)+SUMIF(Capacity_Resource,$E136,'Critical resources (hide)'!AW$6:AW$105)+SUMIF(Capacity_Resource,$F136,'Critical resources (hide)'!AW$6:AW$105)&gt;0,$E$1=2),0,1)</f>
        <v>1</v>
      </c>
      <c r="AK136" s="68">
        <f ca="1">IF(AND(SUMIF(Capacity_Resource,$D136,'Critical resources (hide)'!AX$6:AX$105)+SUMIF(Capacity_Resource,$E136,'Critical resources (hide)'!AX$6:AX$105)+SUMIF(Capacity_Resource,$F136,'Critical resources (hide)'!AX$6:AX$105)&gt;0,$E$1=2),0,1)</f>
        <v>1</v>
      </c>
      <c r="AL136" s="68">
        <f ca="1">IF(AND(SUMIF(Capacity_Resource,$D136,'Critical resources (hide)'!AY$6:AY$105)+SUMIF(Capacity_Resource,$E136,'Critical resources (hide)'!AY$6:AY$105)+SUMIF(Capacity_Resource,$F136,'Critical resources (hide)'!AY$6:AY$105)&gt;0,$E$1=2),0,1)</f>
        <v>1</v>
      </c>
      <c r="AM136" s="68">
        <f ca="1">IF(AND(SUMIF(Capacity_Resource,$D136,'Critical resources (hide)'!AZ$6:AZ$105)+SUMIF(Capacity_Resource,$E136,'Critical resources (hide)'!AZ$6:AZ$105)+SUMIF(Capacity_Resource,$F136,'Critical resources (hide)'!AZ$6:AZ$105)&gt;0,$E$1=2),0,1)</f>
        <v>1</v>
      </c>
      <c r="AN136" s="68">
        <f ca="1">IF(AND(SUMIF(Capacity_Resource,$D136,'Critical resources (hide)'!BA$6:BA$105)+SUMIF(Capacity_Resource,$E136,'Critical resources (hide)'!BA$6:BA$105)+SUMIF(Capacity_Resource,$F136,'Critical resources (hide)'!BA$6:BA$105)&gt;0,$E$1=2),0,1)</f>
        <v>1</v>
      </c>
      <c r="AO136" s="68">
        <f ca="1">IF(AND(SUMIF(Capacity_Resource,$D136,'Critical resources (hide)'!BB$6:BB$105)+SUMIF(Capacity_Resource,$E136,'Critical resources (hide)'!BB$6:BB$105)+SUMIF(Capacity_Resource,$F136,'Critical resources (hide)'!BB$6:BB$105)&gt;0,$E$1=2),0,1)</f>
        <v>1</v>
      </c>
      <c r="AP136" s="68">
        <f ca="1">IF(AND(SUMIF(Capacity_Resource,$D136,'Critical resources (hide)'!BC$6:BC$105)+SUMIF(Capacity_Resource,$E136,'Critical resources (hide)'!BC$6:BC$105)+SUMIF(Capacity_Resource,$F136,'Critical resources (hide)'!BC$6:BC$105)&gt;0,$E$1=2),0,1)</f>
        <v>1</v>
      </c>
      <c r="AQ136" s="68">
        <f ca="1">IF(AND(SUMIF(Capacity_Resource,$D136,'Critical resources (hide)'!BD$6:BD$105)+SUMIF(Capacity_Resource,$E136,'Critical resources (hide)'!BD$6:BD$105)+SUMIF(Capacity_Resource,$F136,'Critical resources (hide)'!BD$6:BD$105)&gt;0,$E$1=2),0,1)</f>
        <v>1</v>
      </c>
      <c r="AR136" s="68">
        <f ca="1">IF(AND(SUMIF(Capacity_Resource,$D136,'Critical resources (hide)'!BE$6:BE$105)+SUMIF(Capacity_Resource,$E136,'Critical resources (hide)'!BE$6:BE$105)+SUMIF(Capacity_Resource,$F136,'Critical resources (hide)'!BE$6:BE$105)&gt;0,$E$1=2),0,1)</f>
        <v>1</v>
      </c>
      <c r="AS136" s="68">
        <f ca="1">IF(AND(SUMIF(Capacity_Resource,$D136,'Critical resources (hide)'!BF$6:BF$105)+SUMIF(Capacity_Resource,$E136,'Critical resources (hide)'!BF$6:BF$105)+SUMIF(Capacity_Resource,$F136,'Critical resources (hide)'!BF$6:BF$105)&gt;0,$E$1=2),0,1)</f>
        <v>1</v>
      </c>
      <c r="AT136" s="68">
        <f ca="1">IF(AND(SUMIF(Capacity_Resource,$D136,'Critical resources (hide)'!BG$6:BG$105)+SUMIF(Capacity_Resource,$E136,'Critical resources (hide)'!BG$6:BG$105)+SUMIF(Capacity_Resource,$F136,'Critical resources (hide)'!BG$6:BG$105)&gt;0,$E$1=2),0,1)</f>
        <v>1</v>
      </c>
      <c r="AU136" s="68">
        <f ca="1">IF(AND(SUMIF(Capacity_Resource,$D136,'Critical resources (hide)'!BH$6:BH$105)+SUMIF(Capacity_Resource,$E136,'Critical resources (hide)'!BH$6:BH$105)+SUMIF(Capacity_Resource,$F136,'Critical resources (hide)'!BH$6:BH$105)&gt;0,$E$1=2),0,1)</f>
        <v>1</v>
      </c>
      <c r="AV136" s="68">
        <f ca="1">IF(AND(SUMIF(Capacity_Resource,$D136,'Critical resources (hide)'!BI$6:BI$105)+SUMIF(Capacity_Resource,$E136,'Critical resources (hide)'!BI$6:BI$105)+SUMIF(Capacity_Resource,$F136,'Critical resources (hide)'!BI$6:BI$105)&gt;0,$E$1=2),0,1)</f>
        <v>1</v>
      </c>
      <c r="AW136" s="68">
        <f ca="1">IF(AND(SUMIF(Capacity_Resource,$D136,'Critical resources (hide)'!BJ$6:BJ$105)+SUMIF(Capacity_Resource,$E136,'Critical resources (hide)'!BJ$6:BJ$105)+SUMIF(Capacity_Resource,$F136,'Critical resources (hide)'!BJ$6:BJ$105)&gt;0,$E$1=2),0,1)</f>
        <v>1</v>
      </c>
      <c r="AX136" s="68">
        <f ca="1">IF(AND(SUMIF(Capacity_Resource,$D136,'Critical resources (hide)'!BK$6:BK$105)+SUMIF(Capacity_Resource,$E136,'Critical resources (hide)'!BK$6:BK$105)+SUMIF(Capacity_Resource,$F136,'Critical resources (hide)'!BK$6:BK$105)&gt;0,$E$1=2),0,1)</f>
        <v>1</v>
      </c>
      <c r="AY136" s="68">
        <f ca="1">IF(AND(SUMIF(Capacity_Resource,$D136,'Critical resources (hide)'!BL$6:BL$105)+SUMIF(Capacity_Resource,$E136,'Critical resources (hide)'!BL$6:BL$105)+SUMIF(Capacity_Resource,$F136,'Critical resources (hide)'!BL$6:BL$105)&gt;0,$E$1=2),0,1)</f>
        <v>1</v>
      </c>
      <c r="AZ136" s="68">
        <f ca="1">IF(AND(SUMIF(Capacity_Resource,$D136,'Critical resources (hide)'!BM$6:BM$105)+SUMIF(Capacity_Resource,$E136,'Critical resources (hide)'!BM$6:BM$105)+SUMIF(Capacity_Resource,$F136,'Critical resources (hide)'!BM$6:BM$105)&gt;0,$E$1=2),0,1)</f>
        <v>1</v>
      </c>
      <c r="BA136" s="68">
        <f ca="1">IF(AND(SUMIF(Capacity_Resource,$D136,'Critical resources (hide)'!BN$6:BN$105)+SUMIF(Capacity_Resource,$E136,'Critical resources (hide)'!BN$6:BN$105)+SUMIF(Capacity_Resource,$F136,'Critical resources (hide)'!BN$6:BN$105)&gt;0,$E$1=2),0,1)</f>
        <v>1</v>
      </c>
      <c r="BB136" s="68">
        <f ca="1">IF(AND(SUMIF(Capacity_Resource,$D136,'Critical resources (hide)'!BO$6:BO$105)+SUMIF(Capacity_Resource,$E136,'Critical resources (hide)'!BO$6:BO$105)+SUMIF(Capacity_Resource,$F136,'Critical resources (hide)'!BO$6:BO$105)&gt;0,$E$1=2),0,1)</f>
        <v>1</v>
      </c>
      <c r="BC136" s="68">
        <f ca="1">IF(AND(SUMIF(Capacity_Resource,$D136,'Critical resources (hide)'!BP$6:BP$105)+SUMIF(Capacity_Resource,$E136,'Critical resources (hide)'!BP$6:BP$105)+SUMIF(Capacity_Resource,$F136,'Critical resources (hide)'!BP$6:BP$105)&gt;0,$E$1=2),0,1)</f>
        <v>1</v>
      </c>
      <c r="BD136" s="68">
        <f ca="1">IF(AND(SUMIF(Capacity_Resource,$D136,'Critical resources (hide)'!BQ$6:BQ$105)+SUMIF(Capacity_Resource,$E136,'Critical resources (hide)'!BQ$6:BQ$105)+SUMIF(Capacity_Resource,$F136,'Critical resources (hide)'!BQ$6:BQ$105)&gt;0,$E$1=2),0,1)</f>
        <v>1</v>
      </c>
      <c r="BE136" s="68">
        <f ca="1">IF(AND(SUMIF(Capacity_Resource,$D136,'Critical resources (hide)'!BR$6:BR$105)+SUMIF(Capacity_Resource,$E136,'Critical resources (hide)'!BR$6:BR$105)+SUMIF(Capacity_Resource,$F136,'Critical resources (hide)'!BR$6:BR$105)&gt;0,$E$1=2),0,1)</f>
        <v>1</v>
      </c>
      <c r="BF136" s="68">
        <f ca="1">IF(AND(SUMIF(Capacity_Resource,$D136,'Critical resources (hide)'!BS$6:BS$105)+SUMIF(Capacity_Resource,$E136,'Critical resources (hide)'!BS$6:BS$105)+SUMIF(Capacity_Resource,$F136,'Critical resources (hide)'!BS$6:BS$105)&gt;0,$E$1=2),0,1)</f>
        <v>1</v>
      </c>
      <c r="BG136" s="68">
        <f ca="1">IF(AND(SUMIF(Capacity_Resource,$D136,'Critical resources (hide)'!BT$6:BT$105)+SUMIF(Capacity_Resource,$E136,'Critical resources (hide)'!BT$6:BT$105)+SUMIF(Capacity_Resource,$F136,'Critical resources (hide)'!BT$6:BT$105)&gt;0,$E$1=2),0,1)</f>
        <v>1</v>
      </c>
      <c r="BH136" s="68">
        <f>IF(ROW(A25)&lt;=Capacity!$M$16,IF('Capacity summary'!$C$14="No",SUM(H136:BG136),'Capacity summary'!$E48),0)</f>
        <v>0</v>
      </c>
      <c r="BI136" s="68" t="str">
        <f>IF(BH136&gt;0,IF(BH136&lt;Capacity!Q41,Capacity!R41,Capacity!T41/'Capacity calculation (hide)'!BH136),"")</f>
        <v/>
      </c>
      <c r="BJ136" s="5"/>
      <c r="BK136" s="5">
        <f>IF($BI136&lt;&gt;"",IF('Capacity summary'!$C$14="Yes",IF(COUNTBLANK('Capacity summary'!$H48:$BG48)&lt;52,IF('Capacity summary'!H48&lt;&gt;"",$BI136*H136,0),H136*$BI136),H136*$BI136),0)</f>
        <v>0</v>
      </c>
      <c r="BL136" s="5">
        <f>IF($BI136&lt;&gt;"",IF('Capacity summary'!$C$14="Yes",IF(COUNTBLANK('Capacity summary'!$H48:$BG48)&lt;52,IF('Capacity summary'!I48&lt;&gt;"",$BI136*I136,0),I136*$BI136),I136*$BI136),0)</f>
        <v>0</v>
      </c>
      <c r="BM136" s="5">
        <f>IF($BI136&lt;&gt;"",IF('Capacity summary'!$C$14="Yes",IF(COUNTBLANK('Capacity summary'!$H48:$BG48)&lt;52,IF('Capacity summary'!J48&lt;&gt;"",$BI136*J136,0),J136*$BI136),J136*$BI136),0)</f>
        <v>0</v>
      </c>
      <c r="BN136" s="5">
        <f>IF($BI136&lt;&gt;"",IF('Capacity summary'!$C$14="Yes",IF(COUNTBLANK('Capacity summary'!$H48:$BG48)&lt;52,IF('Capacity summary'!K48&lt;&gt;"",$BI136*K136,0),K136*$BI136),K136*$BI136),0)</f>
        <v>0</v>
      </c>
      <c r="BO136" s="5">
        <f>IF($BI136&lt;&gt;"",IF('Capacity summary'!$C$14="Yes",IF(COUNTBLANK('Capacity summary'!$H48:$BG48)&lt;52,IF('Capacity summary'!L48&lt;&gt;"",$BI136*L136,0),L136*$BI136),L136*$BI136),0)</f>
        <v>0</v>
      </c>
      <c r="BP136" s="5">
        <f>IF($BI136&lt;&gt;"",IF('Capacity summary'!$C$14="Yes",IF(COUNTBLANK('Capacity summary'!$H48:$BG48)&lt;52,IF('Capacity summary'!M48&lt;&gt;"",$BI136*M136,0),M136*$BI136),M136*$BI136),0)</f>
        <v>0</v>
      </c>
      <c r="BQ136" s="5">
        <f>IF($BI136&lt;&gt;"",IF('Capacity summary'!$C$14="Yes",IF(COUNTBLANK('Capacity summary'!$H48:$BG48)&lt;52,IF('Capacity summary'!N48&lt;&gt;"",$BI136*N136,0),N136*$BI136),N136*$BI136),0)</f>
        <v>0</v>
      </c>
      <c r="BR136" s="5">
        <f>IF($BI136&lt;&gt;"",IF('Capacity summary'!$C$14="Yes",IF(COUNTBLANK('Capacity summary'!$H48:$BG48)&lt;52,IF('Capacity summary'!O48&lt;&gt;"",$BI136*O136,0),O136*$BI136),O136*$BI136),0)</f>
        <v>0</v>
      </c>
      <c r="BS136" s="5">
        <f>IF($BI136&lt;&gt;"",IF('Capacity summary'!$C$14="Yes",IF(COUNTBLANK('Capacity summary'!$H48:$BG48)&lt;52,IF('Capacity summary'!P48&lt;&gt;"",$BI136*P136,0),P136*$BI136),P136*$BI136),0)</f>
        <v>0</v>
      </c>
      <c r="BT136" s="5">
        <f>IF($BI136&lt;&gt;"",IF('Capacity summary'!$C$14="Yes",IF(COUNTBLANK('Capacity summary'!$H48:$BG48)&lt;52,IF('Capacity summary'!Q48&lt;&gt;"",$BI136*Q136,0),Q136*$BI136),Q136*$BI136),0)</f>
        <v>0</v>
      </c>
      <c r="BU136" s="5">
        <f>IF($BI136&lt;&gt;"",IF('Capacity summary'!$C$14="Yes",IF(COUNTBLANK('Capacity summary'!$H48:$BG48)&lt;52,IF('Capacity summary'!R48&lt;&gt;"",$BI136*R136,0),R136*$BI136),R136*$BI136),0)</f>
        <v>0</v>
      </c>
      <c r="BV136" s="5">
        <f>IF($BI136&lt;&gt;"",IF('Capacity summary'!$C$14="Yes",IF(COUNTBLANK('Capacity summary'!$H48:$BG48)&lt;52,IF('Capacity summary'!S48&lt;&gt;"",$BI136*S136,0),S136*$BI136),S136*$BI136),0)</f>
        <v>0</v>
      </c>
      <c r="BW136" s="5">
        <f>IF($BI136&lt;&gt;"",IF('Capacity summary'!$C$14="Yes",IF(COUNTBLANK('Capacity summary'!$H48:$BG48)&lt;52,IF('Capacity summary'!T48&lt;&gt;"",$BI136*T136,0),T136*$BI136),T136*$BI136),0)</f>
        <v>0</v>
      </c>
      <c r="BX136" s="5">
        <f>IF($BI136&lt;&gt;"",IF('Capacity summary'!$C$14="Yes",IF(COUNTBLANK('Capacity summary'!$H48:$BG48)&lt;52,IF('Capacity summary'!U48&lt;&gt;"",$BI136*U136,0),U136*$BI136),U136*$BI136),0)</f>
        <v>0</v>
      </c>
      <c r="BY136" s="5">
        <f>IF($BI136&lt;&gt;"",IF('Capacity summary'!$C$14="Yes",IF(COUNTBLANK('Capacity summary'!$H48:$BG48)&lt;52,IF('Capacity summary'!V48&lt;&gt;"",$BI136*V136,0),V136*$BI136),V136*$BI136),0)</f>
        <v>0</v>
      </c>
      <c r="BZ136" s="5">
        <f>IF($BI136&lt;&gt;"",IF('Capacity summary'!$C$14="Yes",IF(COUNTBLANK('Capacity summary'!$H48:$BG48)&lt;52,IF('Capacity summary'!W48&lt;&gt;"",$BI136*W136,0),W136*$BI136),W136*$BI136),0)</f>
        <v>0</v>
      </c>
      <c r="CA136" s="5">
        <f>IF($BI136&lt;&gt;"",IF('Capacity summary'!$C$14="Yes",IF(COUNTBLANK('Capacity summary'!$H48:$BG48)&lt;52,IF('Capacity summary'!X48&lt;&gt;"",$BI136*X136,0),X136*$BI136),X136*$BI136),0)</f>
        <v>0</v>
      </c>
      <c r="CB136" s="5">
        <f>IF($BI136&lt;&gt;"",IF('Capacity summary'!$C$14="Yes",IF(COUNTBLANK('Capacity summary'!$H48:$BG48)&lt;52,IF('Capacity summary'!Y48&lt;&gt;"",$BI136*Y136,0),Y136*$BI136),Y136*$BI136),0)</f>
        <v>0</v>
      </c>
      <c r="CC136" s="5">
        <f>IF($BI136&lt;&gt;"",IF('Capacity summary'!$C$14="Yes",IF(COUNTBLANK('Capacity summary'!$H48:$BG48)&lt;52,IF('Capacity summary'!Z48&lt;&gt;"",$BI136*Z136,0),Z136*$BI136),Z136*$BI136),0)</f>
        <v>0</v>
      </c>
      <c r="CD136" s="5">
        <f>IF($BI136&lt;&gt;"",IF('Capacity summary'!$C$14="Yes",IF(COUNTBLANK('Capacity summary'!$H48:$BG48)&lt;52,IF('Capacity summary'!AA48&lt;&gt;"",$BI136*AA136,0),AA136*$BI136),AA136*$BI136),0)</f>
        <v>0</v>
      </c>
      <c r="CE136" s="5">
        <f>IF($BI136&lt;&gt;"",IF('Capacity summary'!$C$14="Yes",IF(COUNTBLANK('Capacity summary'!$H48:$BG48)&lt;52,IF('Capacity summary'!AB48&lt;&gt;"",$BI136*AB136,0),AB136*$BI136),AB136*$BI136),0)</f>
        <v>0</v>
      </c>
      <c r="CF136" s="5">
        <f>IF($BI136&lt;&gt;"",IF('Capacity summary'!$C$14="Yes",IF(COUNTBLANK('Capacity summary'!$H48:$BG48)&lt;52,IF('Capacity summary'!AC48&lt;&gt;"",$BI136*AC136,0),AC136*$BI136),AC136*$BI136),0)</f>
        <v>0</v>
      </c>
      <c r="CG136" s="5">
        <f>IF($BI136&lt;&gt;"",IF('Capacity summary'!$C$14="Yes",IF(COUNTBLANK('Capacity summary'!$H48:$BG48)&lt;52,IF('Capacity summary'!AD48&lt;&gt;"",$BI136*AD136,0),AD136*$BI136),AD136*$BI136),0)</f>
        <v>0</v>
      </c>
      <c r="CH136" s="5">
        <f>IF($BI136&lt;&gt;"",IF('Capacity summary'!$C$14="Yes",IF(COUNTBLANK('Capacity summary'!$H48:$BG48)&lt;52,IF('Capacity summary'!AE48&lt;&gt;"",$BI136*AE136,0),AE136*$BI136),AE136*$BI136),0)</f>
        <v>0</v>
      </c>
      <c r="CI136" s="5">
        <f>IF($BI136&lt;&gt;"",IF('Capacity summary'!$C$14="Yes",IF(COUNTBLANK('Capacity summary'!$H48:$BG48)&lt;52,IF('Capacity summary'!AF48&lt;&gt;"",$BI136*AF136,0),AF136*$BI136),AF136*$BI136),0)</f>
        <v>0</v>
      </c>
      <c r="CJ136" s="5">
        <f>IF($BI136&lt;&gt;"",IF('Capacity summary'!$C$14="Yes",IF(COUNTBLANK('Capacity summary'!$H48:$BG48)&lt;52,IF('Capacity summary'!AG48&lt;&gt;"",$BI136*AG136,0),AG136*$BI136),AG136*$BI136),0)</f>
        <v>0</v>
      </c>
      <c r="CK136" s="5">
        <f>IF($BI136&lt;&gt;"",IF('Capacity summary'!$C$14="Yes",IF(COUNTBLANK('Capacity summary'!$H48:$BG48)&lt;52,IF('Capacity summary'!AH48&lt;&gt;"",$BI136*AH136,0),AH136*$BI136),AH136*$BI136),0)</f>
        <v>0</v>
      </c>
      <c r="CL136" s="5">
        <f>IF($BI136&lt;&gt;"",IF('Capacity summary'!$C$14="Yes",IF(COUNTBLANK('Capacity summary'!$H48:$BG48)&lt;52,IF('Capacity summary'!AI48&lt;&gt;"",$BI136*AI136,0),AI136*$BI136),AI136*$BI136),0)</f>
        <v>0</v>
      </c>
      <c r="CM136" s="5">
        <f>IF($BI136&lt;&gt;"",IF('Capacity summary'!$C$14="Yes",IF(COUNTBLANK('Capacity summary'!$H48:$BG48)&lt;52,IF('Capacity summary'!AJ48&lt;&gt;"",$BI136*AJ136,0),AJ136*$BI136),AJ136*$BI136),0)</f>
        <v>0</v>
      </c>
      <c r="CN136" s="5">
        <f>IF($BI136&lt;&gt;"",IF('Capacity summary'!$C$14="Yes",IF(COUNTBLANK('Capacity summary'!$H48:$BG48)&lt;52,IF('Capacity summary'!AK48&lt;&gt;"",$BI136*AK136,0),AK136*$BI136),AK136*$BI136),0)</f>
        <v>0</v>
      </c>
      <c r="CO136" s="5">
        <f>IF($BI136&lt;&gt;"",IF('Capacity summary'!$C$14="Yes",IF(COUNTBLANK('Capacity summary'!$H48:$BG48)&lt;52,IF('Capacity summary'!AL48&lt;&gt;"",$BI136*AL136,0),AL136*$BI136),AL136*$BI136),0)</f>
        <v>0</v>
      </c>
      <c r="CP136" s="5">
        <f>IF($BI136&lt;&gt;"",IF('Capacity summary'!$C$14="Yes",IF(COUNTBLANK('Capacity summary'!$H48:$BG48)&lt;52,IF('Capacity summary'!AM48&lt;&gt;"",$BI136*AM136,0),AM136*$BI136),AM136*$BI136),0)</f>
        <v>0</v>
      </c>
      <c r="CQ136" s="5">
        <f>IF($BI136&lt;&gt;"",IF('Capacity summary'!$C$14="Yes",IF(COUNTBLANK('Capacity summary'!$H48:$BG48)&lt;52,IF('Capacity summary'!AN48&lt;&gt;"",$BI136*AN136,0),AN136*$BI136),AN136*$BI136),0)</f>
        <v>0</v>
      </c>
      <c r="CR136" s="5">
        <f>IF($BI136&lt;&gt;"",IF('Capacity summary'!$C$14="Yes",IF(COUNTBLANK('Capacity summary'!$H48:$BG48)&lt;52,IF('Capacity summary'!AO48&lt;&gt;"",$BI136*AO136,0),AO136*$BI136),AO136*$BI136),0)</f>
        <v>0</v>
      </c>
      <c r="CS136" s="5">
        <f>IF($BI136&lt;&gt;"",IF('Capacity summary'!$C$14="Yes",IF(COUNTBLANK('Capacity summary'!$H48:$BG48)&lt;52,IF('Capacity summary'!AP48&lt;&gt;"",$BI136*AP136,0),AP136*$BI136),AP136*$BI136),0)</f>
        <v>0</v>
      </c>
      <c r="CT136" s="5">
        <f>IF($BI136&lt;&gt;"",IF('Capacity summary'!$C$14="Yes",IF(COUNTBLANK('Capacity summary'!$H48:$BG48)&lt;52,IF('Capacity summary'!AQ48&lt;&gt;"",$BI136*AQ136,0),AQ136*$BI136),AQ136*$BI136),0)</f>
        <v>0</v>
      </c>
      <c r="CU136" s="5">
        <f>IF($BI136&lt;&gt;"",IF('Capacity summary'!$C$14="Yes",IF(COUNTBLANK('Capacity summary'!$H48:$BG48)&lt;52,IF('Capacity summary'!AR48&lt;&gt;"",$BI136*AR136,0),AR136*$BI136),AR136*$BI136),0)</f>
        <v>0</v>
      </c>
      <c r="CV136" s="5">
        <f>IF($BI136&lt;&gt;"",IF('Capacity summary'!$C$14="Yes",IF(COUNTBLANK('Capacity summary'!$H48:$BG48)&lt;52,IF('Capacity summary'!AS48&lt;&gt;"",$BI136*AS136,0),AS136*$BI136),AS136*$BI136),0)</f>
        <v>0</v>
      </c>
      <c r="CW136" s="5">
        <f>IF($BI136&lt;&gt;"",IF('Capacity summary'!$C$14="Yes",IF(COUNTBLANK('Capacity summary'!$H48:$BG48)&lt;52,IF('Capacity summary'!AT48&lt;&gt;"",$BI136*AT136,0),AT136*$BI136),AT136*$BI136),0)</f>
        <v>0</v>
      </c>
      <c r="CX136" s="5">
        <f>IF($BI136&lt;&gt;"",IF('Capacity summary'!$C$14="Yes",IF(COUNTBLANK('Capacity summary'!$H48:$BG48)&lt;52,IF('Capacity summary'!AU48&lt;&gt;"",$BI136*AU136,0),AU136*$BI136),AU136*$BI136),0)</f>
        <v>0</v>
      </c>
      <c r="CY136" s="5">
        <f>IF($BI136&lt;&gt;"",IF('Capacity summary'!$C$14="Yes",IF(COUNTBLANK('Capacity summary'!$H48:$BG48)&lt;52,IF('Capacity summary'!AV48&lt;&gt;"",$BI136*AV136,0),AV136*$BI136),AV136*$BI136),0)</f>
        <v>0</v>
      </c>
      <c r="CZ136" s="5">
        <f>IF($BI136&lt;&gt;"",IF('Capacity summary'!$C$14="Yes",IF(COUNTBLANK('Capacity summary'!$H48:$BG48)&lt;52,IF('Capacity summary'!AW48&lt;&gt;"",$BI136*AW136,0),AW136*$BI136),AW136*$BI136),0)</f>
        <v>0</v>
      </c>
      <c r="DA136" s="5">
        <f>IF($BI136&lt;&gt;"",IF('Capacity summary'!$C$14="Yes",IF(COUNTBLANK('Capacity summary'!$H48:$BG48)&lt;52,IF('Capacity summary'!AX48&lt;&gt;"",$BI136*AX136,0),AX136*$BI136),AX136*$BI136),0)</f>
        <v>0</v>
      </c>
      <c r="DB136" s="5">
        <f>IF($BI136&lt;&gt;"",IF('Capacity summary'!$C$14="Yes",IF(COUNTBLANK('Capacity summary'!$H48:$BG48)&lt;52,IF('Capacity summary'!AY48&lt;&gt;"",$BI136*AY136,0),AY136*$BI136),AY136*$BI136),0)</f>
        <v>0</v>
      </c>
      <c r="DC136" s="5">
        <f>IF($BI136&lt;&gt;"",IF('Capacity summary'!$C$14="Yes",IF(COUNTBLANK('Capacity summary'!$H48:$BG48)&lt;52,IF('Capacity summary'!AZ48&lt;&gt;"",$BI136*AZ136,0),AZ136*$BI136),AZ136*$BI136),0)</f>
        <v>0</v>
      </c>
      <c r="DD136" s="5">
        <f>IF($BI136&lt;&gt;"",IF('Capacity summary'!$C$14="Yes",IF(COUNTBLANK('Capacity summary'!$H48:$BG48)&lt;52,IF('Capacity summary'!BA48&lt;&gt;"",$BI136*BA136,0),BA136*$BI136),BA136*$BI136),0)</f>
        <v>0</v>
      </c>
      <c r="DE136" s="5">
        <f>IF($BI136&lt;&gt;"",IF('Capacity summary'!$C$14="Yes",IF(COUNTBLANK('Capacity summary'!$H48:$BG48)&lt;52,IF('Capacity summary'!BB48&lt;&gt;"",$BI136*BB136,0),BB136*$BI136),BB136*$BI136),0)</f>
        <v>0</v>
      </c>
      <c r="DF136" s="5">
        <f>IF($BI136&lt;&gt;"",IF('Capacity summary'!$C$14="Yes",IF(COUNTBLANK('Capacity summary'!$H48:$BG48)&lt;52,IF('Capacity summary'!BC48&lt;&gt;"",$BI136*BC136,0),BC136*$BI136),BC136*$BI136),0)</f>
        <v>0</v>
      </c>
      <c r="DG136" s="5">
        <f>IF($BI136&lt;&gt;"",IF('Capacity summary'!$C$14="Yes",IF(COUNTBLANK('Capacity summary'!$H48:$BG48)&lt;52,IF('Capacity summary'!BD48&lt;&gt;"",$BI136*BD136,0),BD136*$BI136),BD136*$BI136),0)</f>
        <v>0</v>
      </c>
      <c r="DH136" s="5">
        <f>IF($BI136&lt;&gt;"",IF('Capacity summary'!$C$14="Yes",IF(COUNTBLANK('Capacity summary'!$H48:$BG48)&lt;52,IF('Capacity summary'!BE48&lt;&gt;"",$BI136*BE136,0),BE136*$BI136),BE136*$BI136),0)</f>
        <v>0</v>
      </c>
      <c r="DI136" s="5">
        <f>IF($BI136&lt;&gt;"",IF('Capacity summary'!$C$14="Yes",IF(COUNTBLANK('Capacity summary'!$H48:$BG48)&lt;52,IF('Capacity summary'!BF48&lt;&gt;"",$BI136*BF136,0),BF136*$BI136),BF136*$BI136),0)</f>
        <v>0</v>
      </c>
      <c r="DJ136" s="5">
        <f>IF($BI136&lt;&gt;"",IF('Capacity summary'!$C$14="Yes",IF(COUNTBLANK('Capacity summary'!$H48:$BG48)&lt;52,IF('Capacity summary'!BG48&lt;&gt;"",$BI136*BG136,0),BG136*$BI136),BG136*$BI136),0)</f>
        <v>0</v>
      </c>
      <c r="DK136" s="138">
        <f t="shared" si="6"/>
        <v>0</v>
      </c>
    </row>
    <row r="137" spans="3:115" x14ac:dyDescent="0.2">
      <c r="C137" s="68" t="str">
        <f>ROW(A26)&amp;". "&amp;Capacity!N42</f>
        <v xml:space="preserve">26. </v>
      </c>
      <c r="D137" s="68">
        <f>'Capacity setup'!C143</f>
        <v>0</v>
      </c>
      <c r="E137" s="68">
        <f>'Capacity setup'!D143</f>
        <v>0</v>
      </c>
      <c r="F137" s="68">
        <f>'Capacity setup'!E143</f>
        <v>0</v>
      </c>
      <c r="H137" s="68">
        <f ca="1">IF(AND(SUMIF(Capacity_Resource,$D137,'Critical resources (hide)'!U$6:U$105)+SUMIF(Capacity_Resource,$E137,'Critical resources (hide)'!U$6:U$105)+SUMIF(Capacity_Resource,$F137,'Critical resources (hide)'!U$6:U$105)&gt;0,$E$1=2),0,1)</f>
        <v>1</v>
      </c>
      <c r="I137" s="68">
        <f ca="1">IF(AND(SUMIF(Capacity_Resource,$D137,'Critical resources (hide)'!V$6:V$105)+SUMIF(Capacity_Resource,$E137,'Critical resources (hide)'!V$6:V$105)+SUMIF(Capacity_Resource,$F137,'Critical resources (hide)'!V$6:V$105)&gt;0,$E$1=2),0,1)</f>
        <v>1</v>
      </c>
      <c r="J137" s="68">
        <f ca="1">IF(AND(SUMIF(Capacity_Resource,$D137,'Critical resources (hide)'!W$6:W$105)+SUMIF(Capacity_Resource,$E137,'Critical resources (hide)'!W$6:W$105)+SUMIF(Capacity_Resource,$F137,'Critical resources (hide)'!W$6:W$105)&gt;0,$E$1=2),0,1)</f>
        <v>1</v>
      </c>
      <c r="K137" s="68">
        <f ca="1">IF(AND(SUMIF(Capacity_Resource,$D137,'Critical resources (hide)'!X$6:X$105)+SUMIF(Capacity_Resource,$E137,'Critical resources (hide)'!X$6:X$105)+SUMIF(Capacity_Resource,$F137,'Critical resources (hide)'!X$6:X$105)&gt;0,$E$1=2),0,1)</f>
        <v>1</v>
      </c>
      <c r="L137" s="68">
        <f ca="1">IF(AND(SUMIF(Capacity_Resource,$D137,'Critical resources (hide)'!Y$6:Y$105)+SUMIF(Capacity_Resource,$E137,'Critical resources (hide)'!Y$6:Y$105)+SUMIF(Capacity_Resource,$F137,'Critical resources (hide)'!Y$6:Y$105)&gt;0,$E$1=2),0,1)</f>
        <v>1</v>
      </c>
      <c r="M137" s="68">
        <f ca="1">IF(AND(SUMIF(Capacity_Resource,$D137,'Critical resources (hide)'!Z$6:Z$105)+SUMIF(Capacity_Resource,$E137,'Critical resources (hide)'!Z$6:Z$105)+SUMIF(Capacity_Resource,$F137,'Critical resources (hide)'!Z$6:Z$105)&gt;0,$E$1=2),0,1)</f>
        <v>1</v>
      </c>
      <c r="N137" s="68">
        <f ca="1">IF(AND(SUMIF(Capacity_Resource,$D137,'Critical resources (hide)'!AA$6:AA$105)+SUMIF(Capacity_Resource,$E137,'Critical resources (hide)'!AA$6:AA$105)+SUMIF(Capacity_Resource,$F137,'Critical resources (hide)'!AA$6:AA$105)&gt;0,$E$1=2),0,1)</f>
        <v>1</v>
      </c>
      <c r="O137" s="68">
        <f ca="1">IF(AND(SUMIF(Capacity_Resource,$D137,'Critical resources (hide)'!AB$6:AB$105)+SUMIF(Capacity_Resource,$E137,'Critical resources (hide)'!AB$6:AB$105)+SUMIF(Capacity_Resource,$F137,'Critical resources (hide)'!AB$6:AB$105)&gt;0,$E$1=2),0,1)</f>
        <v>1</v>
      </c>
      <c r="P137" s="68">
        <f ca="1">IF(AND(SUMIF(Capacity_Resource,$D137,'Critical resources (hide)'!AC$6:AC$105)+SUMIF(Capacity_Resource,$E137,'Critical resources (hide)'!AC$6:AC$105)+SUMIF(Capacity_Resource,$F137,'Critical resources (hide)'!AC$6:AC$105)&gt;0,$E$1=2),0,1)</f>
        <v>1</v>
      </c>
      <c r="Q137" s="68">
        <f ca="1">IF(AND(SUMIF(Capacity_Resource,$D137,'Critical resources (hide)'!AD$6:AD$105)+SUMIF(Capacity_Resource,$E137,'Critical resources (hide)'!AD$6:AD$105)+SUMIF(Capacity_Resource,$F137,'Critical resources (hide)'!AD$6:AD$105)&gt;0,$E$1=2),0,1)</f>
        <v>1</v>
      </c>
      <c r="R137" s="68">
        <f ca="1">IF(AND(SUMIF(Capacity_Resource,$D137,'Critical resources (hide)'!AE$6:AE$105)+SUMIF(Capacity_Resource,$E137,'Critical resources (hide)'!AE$6:AE$105)+SUMIF(Capacity_Resource,$F137,'Critical resources (hide)'!AE$6:AE$105)&gt;0,$E$1=2),0,1)</f>
        <v>1</v>
      </c>
      <c r="S137" s="68">
        <f ca="1">IF(AND(SUMIF(Capacity_Resource,$D137,'Critical resources (hide)'!AF$6:AF$105)+SUMIF(Capacity_Resource,$E137,'Critical resources (hide)'!AF$6:AF$105)+SUMIF(Capacity_Resource,$F137,'Critical resources (hide)'!AF$6:AF$105)&gt;0,$E$1=2),0,1)</f>
        <v>1</v>
      </c>
      <c r="T137" s="68">
        <f ca="1">IF(AND(SUMIF(Capacity_Resource,$D137,'Critical resources (hide)'!AG$6:AG$105)+SUMIF(Capacity_Resource,$E137,'Critical resources (hide)'!AG$6:AG$105)+SUMIF(Capacity_Resource,$F137,'Critical resources (hide)'!AG$6:AG$105)&gt;0,$E$1=2),0,1)</f>
        <v>1</v>
      </c>
      <c r="U137" s="68">
        <f ca="1">IF(AND(SUMIF(Capacity_Resource,$D137,'Critical resources (hide)'!AH$6:AH$105)+SUMIF(Capacity_Resource,$E137,'Critical resources (hide)'!AH$6:AH$105)+SUMIF(Capacity_Resource,$F137,'Critical resources (hide)'!AH$6:AH$105)&gt;0,$E$1=2),0,1)</f>
        <v>1</v>
      </c>
      <c r="V137" s="68">
        <f ca="1">IF(AND(SUMIF(Capacity_Resource,$D137,'Critical resources (hide)'!AI$6:AI$105)+SUMIF(Capacity_Resource,$E137,'Critical resources (hide)'!AI$6:AI$105)+SUMIF(Capacity_Resource,$F137,'Critical resources (hide)'!AI$6:AI$105)&gt;0,$E$1=2),0,1)</f>
        <v>1</v>
      </c>
      <c r="W137" s="68">
        <f ca="1">IF(AND(SUMIF(Capacity_Resource,$D137,'Critical resources (hide)'!AJ$6:AJ$105)+SUMIF(Capacity_Resource,$E137,'Critical resources (hide)'!AJ$6:AJ$105)+SUMIF(Capacity_Resource,$F137,'Critical resources (hide)'!AJ$6:AJ$105)&gt;0,$E$1=2),0,1)</f>
        <v>1</v>
      </c>
      <c r="X137" s="68">
        <f ca="1">IF(AND(SUMIF(Capacity_Resource,$D137,'Critical resources (hide)'!AK$6:AK$105)+SUMIF(Capacity_Resource,$E137,'Critical resources (hide)'!AK$6:AK$105)+SUMIF(Capacity_Resource,$F137,'Critical resources (hide)'!AK$6:AK$105)&gt;0,$E$1=2),0,1)</f>
        <v>1</v>
      </c>
      <c r="Y137" s="68">
        <f ca="1">IF(AND(SUMIF(Capacity_Resource,$D137,'Critical resources (hide)'!AL$6:AL$105)+SUMIF(Capacity_Resource,$E137,'Critical resources (hide)'!AL$6:AL$105)+SUMIF(Capacity_Resource,$F137,'Critical resources (hide)'!AL$6:AL$105)&gt;0,$E$1=2),0,1)</f>
        <v>1</v>
      </c>
      <c r="Z137" s="68">
        <f ca="1">IF(AND(SUMIF(Capacity_Resource,$D137,'Critical resources (hide)'!AM$6:AM$105)+SUMIF(Capacity_Resource,$E137,'Critical resources (hide)'!AM$6:AM$105)+SUMIF(Capacity_Resource,$F137,'Critical resources (hide)'!AM$6:AM$105)&gt;0,$E$1=2),0,1)</f>
        <v>1</v>
      </c>
      <c r="AA137" s="68">
        <f ca="1">IF(AND(SUMIF(Capacity_Resource,$D137,'Critical resources (hide)'!AN$6:AN$105)+SUMIF(Capacity_Resource,$E137,'Critical resources (hide)'!AN$6:AN$105)+SUMIF(Capacity_Resource,$F137,'Critical resources (hide)'!AN$6:AN$105)&gt;0,$E$1=2),0,1)</f>
        <v>1</v>
      </c>
      <c r="AB137" s="68">
        <f ca="1">IF(AND(SUMIF(Capacity_Resource,$D137,'Critical resources (hide)'!AO$6:AO$105)+SUMIF(Capacity_Resource,$E137,'Critical resources (hide)'!AO$6:AO$105)+SUMIF(Capacity_Resource,$F137,'Critical resources (hide)'!AO$6:AO$105)&gt;0,$E$1=2),0,1)</f>
        <v>1</v>
      </c>
      <c r="AC137" s="68">
        <f ca="1">IF(AND(SUMIF(Capacity_Resource,$D137,'Critical resources (hide)'!AP$6:AP$105)+SUMIF(Capacity_Resource,$E137,'Critical resources (hide)'!AP$6:AP$105)+SUMIF(Capacity_Resource,$F137,'Critical resources (hide)'!AP$6:AP$105)&gt;0,$E$1=2),0,1)</f>
        <v>1</v>
      </c>
      <c r="AD137" s="68">
        <f ca="1">IF(AND(SUMIF(Capacity_Resource,$D137,'Critical resources (hide)'!AQ$6:AQ$105)+SUMIF(Capacity_Resource,$E137,'Critical resources (hide)'!AQ$6:AQ$105)+SUMIF(Capacity_Resource,$F137,'Critical resources (hide)'!AQ$6:AQ$105)&gt;0,$E$1=2),0,1)</f>
        <v>1</v>
      </c>
      <c r="AE137" s="68">
        <f ca="1">IF(AND(SUMIF(Capacity_Resource,$D137,'Critical resources (hide)'!AR$6:AR$105)+SUMIF(Capacity_Resource,$E137,'Critical resources (hide)'!AR$6:AR$105)+SUMIF(Capacity_Resource,$F137,'Critical resources (hide)'!AR$6:AR$105)&gt;0,$E$1=2),0,1)</f>
        <v>1</v>
      </c>
      <c r="AF137" s="68">
        <f ca="1">IF(AND(SUMIF(Capacity_Resource,$D137,'Critical resources (hide)'!AS$6:AS$105)+SUMIF(Capacity_Resource,$E137,'Critical resources (hide)'!AS$6:AS$105)+SUMIF(Capacity_Resource,$F137,'Critical resources (hide)'!AS$6:AS$105)&gt;0,$E$1=2),0,1)</f>
        <v>1</v>
      </c>
      <c r="AG137" s="68">
        <f ca="1">IF(AND(SUMIF(Capacity_Resource,$D137,'Critical resources (hide)'!AT$6:AT$105)+SUMIF(Capacity_Resource,$E137,'Critical resources (hide)'!AT$6:AT$105)+SUMIF(Capacity_Resource,$F137,'Critical resources (hide)'!AT$6:AT$105)&gt;0,$E$1=2),0,1)</f>
        <v>1</v>
      </c>
      <c r="AH137" s="68">
        <f ca="1">IF(AND(SUMIF(Capacity_Resource,$D137,'Critical resources (hide)'!AU$6:AU$105)+SUMIF(Capacity_Resource,$E137,'Critical resources (hide)'!AU$6:AU$105)+SUMIF(Capacity_Resource,$F137,'Critical resources (hide)'!AU$6:AU$105)&gt;0,$E$1=2),0,1)</f>
        <v>1</v>
      </c>
      <c r="AI137" s="68">
        <f ca="1">IF(AND(SUMIF(Capacity_Resource,$D137,'Critical resources (hide)'!AV$6:AV$105)+SUMIF(Capacity_Resource,$E137,'Critical resources (hide)'!AV$6:AV$105)+SUMIF(Capacity_Resource,$F137,'Critical resources (hide)'!AV$6:AV$105)&gt;0,$E$1=2),0,1)</f>
        <v>1</v>
      </c>
      <c r="AJ137" s="68">
        <f ca="1">IF(AND(SUMIF(Capacity_Resource,$D137,'Critical resources (hide)'!AW$6:AW$105)+SUMIF(Capacity_Resource,$E137,'Critical resources (hide)'!AW$6:AW$105)+SUMIF(Capacity_Resource,$F137,'Critical resources (hide)'!AW$6:AW$105)&gt;0,$E$1=2),0,1)</f>
        <v>1</v>
      </c>
      <c r="AK137" s="68">
        <f ca="1">IF(AND(SUMIF(Capacity_Resource,$D137,'Critical resources (hide)'!AX$6:AX$105)+SUMIF(Capacity_Resource,$E137,'Critical resources (hide)'!AX$6:AX$105)+SUMIF(Capacity_Resource,$F137,'Critical resources (hide)'!AX$6:AX$105)&gt;0,$E$1=2),0,1)</f>
        <v>1</v>
      </c>
      <c r="AL137" s="68">
        <f ca="1">IF(AND(SUMIF(Capacity_Resource,$D137,'Critical resources (hide)'!AY$6:AY$105)+SUMIF(Capacity_Resource,$E137,'Critical resources (hide)'!AY$6:AY$105)+SUMIF(Capacity_Resource,$F137,'Critical resources (hide)'!AY$6:AY$105)&gt;0,$E$1=2),0,1)</f>
        <v>1</v>
      </c>
      <c r="AM137" s="68">
        <f ca="1">IF(AND(SUMIF(Capacity_Resource,$D137,'Critical resources (hide)'!AZ$6:AZ$105)+SUMIF(Capacity_Resource,$E137,'Critical resources (hide)'!AZ$6:AZ$105)+SUMIF(Capacity_Resource,$F137,'Critical resources (hide)'!AZ$6:AZ$105)&gt;0,$E$1=2),0,1)</f>
        <v>1</v>
      </c>
      <c r="AN137" s="68">
        <f ca="1">IF(AND(SUMIF(Capacity_Resource,$D137,'Critical resources (hide)'!BA$6:BA$105)+SUMIF(Capacity_Resource,$E137,'Critical resources (hide)'!BA$6:BA$105)+SUMIF(Capacity_Resource,$F137,'Critical resources (hide)'!BA$6:BA$105)&gt;0,$E$1=2),0,1)</f>
        <v>1</v>
      </c>
      <c r="AO137" s="68">
        <f ca="1">IF(AND(SUMIF(Capacity_Resource,$D137,'Critical resources (hide)'!BB$6:BB$105)+SUMIF(Capacity_Resource,$E137,'Critical resources (hide)'!BB$6:BB$105)+SUMIF(Capacity_Resource,$F137,'Critical resources (hide)'!BB$6:BB$105)&gt;0,$E$1=2),0,1)</f>
        <v>1</v>
      </c>
      <c r="AP137" s="68">
        <f ca="1">IF(AND(SUMIF(Capacity_Resource,$D137,'Critical resources (hide)'!BC$6:BC$105)+SUMIF(Capacity_Resource,$E137,'Critical resources (hide)'!BC$6:BC$105)+SUMIF(Capacity_Resource,$F137,'Critical resources (hide)'!BC$6:BC$105)&gt;0,$E$1=2),0,1)</f>
        <v>1</v>
      </c>
      <c r="AQ137" s="68">
        <f ca="1">IF(AND(SUMIF(Capacity_Resource,$D137,'Critical resources (hide)'!BD$6:BD$105)+SUMIF(Capacity_Resource,$E137,'Critical resources (hide)'!BD$6:BD$105)+SUMIF(Capacity_Resource,$F137,'Critical resources (hide)'!BD$6:BD$105)&gt;0,$E$1=2),0,1)</f>
        <v>1</v>
      </c>
      <c r="AR137" s="68">
        <f ca="1">IF(AND(SUMIF(Capacity_Resource,$D137,'Critical resources (hide)'!BE$6:BE$105)+SUMIF(Capacity_Resource,$E137,'Critical resources (hide)'!BE$6:BE$105)+SUMIF(Capacity_Resource,$F137,'Critical resources (hide)'!BE$6:BE$105)&gt;0,$E$1=2),0,1)</f>
        <v>1</v>
      </c>
      <c r="AS137" s="68">
        <f ca="1">IF(AND(SUMIF(Capacity_Resource,$D137,'Critical resources (hide)'!BF$6:BF$105)+SUMIF(Capacity_Resource,$E137,'Critical resources (hide)'!BF$6:BF$105)+SUMIF(Capacity_Resource,$F137,'Critical resources (hide)'!BF$6:BF$105)&gt;0,$E$1=2),0,1)</f>
        <v>1</v>
      </c>
      <c r="AT137" s="68">
        <f ca="1">IF(AND(SUMIF(Capacity_Resource,$D137,'Critical resources (hide)'!BG$6:BG$105)+SUMIF(Capacity_Resource,$E137,'Critical resources (hide)'!BG$6:BG$105)+SUMIF(Capacity_Resource,$F137,'Critical resources (hide)'!BG$6:BG$105)&gt;0,$E$1=2),0,1)</f>
        <v>1</v>
      </c>
      <c r="AU137" s="68">
        <f ca="1">IF(AND(SUMIF(Capacity_Resource,$D137,'Critical resources (hide)'!BH$6:BH$105)+SUMIF(Capacity_Resource,$E137,'Critical resources (hide)'!BH$6:BH$105)+SUMIF(Capacity_Resource,$F137,'Critical resources (hide)'!BH$6:BH$105)&gt;0,$E$1=2),0,1)</f>
        <v>1</v>
      </c>
      <c r="AV137" s="68">
        <f ca="1">IF(AND(SUMIF(Capacity_Resource,$D137,'Critical resources (hide)'!BI$6:BI$105)+SUMIF(Capacity_Resource,$E137,'Critical resources (hide)'!BI$6:BI$105)+SUMIF(Capacity_Resource,$F137,'Critical resources (hide)'!BI$6:BI$105)&gt;0,$E$1=2),0,1)</f>
        <v>1</v>
      </c>
      <c r="AW137" s="68">
        <f ca="1">IF(AND(SUMIF(Capacity_Resource,$D137,'Critical resources (hide)'!BJ$6:BJ$105)+SUMIF(Capacity_Resource,$E137,'Critical resources (hide)'!BJ$6:BJ$105)+SUMIF(Capacity_Resource,$F137,'Critical resources (hide)'!BJ$6:BJ$105)&gt;0,$E$1=2),0,1)</f>
        <v>1</v>
      </c>
      <c r="AX137" s="68">
        <f ca="1">IF(AND(SUMIF(Capacity_Resource,$D137,'Critical resources (hide)'!BK$6:BK$105)+SUMIF(Capacity_Resource,$E137,'Critical resources (hide)'!BK$6:BK$105)+SUMIF(Capacity_Resource,$F137,'Critical resources (hide)'!BK$6:BK$105)&gt;0,$E$1=2),0,1)</f>
        <v>1</v>
      </c>
      <c r="AY137" s="68">
        <f ca="1">IF(AND(SUMIF(Capacity_Resource,$D137,'Critical resources (hide)'!BL$6:BL$105)+SUMIF(Capacity_Resource,$E137,'Critical resources (hide)'!BL$6:BL$105)+SUMIF(Capacity_Resource,$F137,'Critical resources (hide)'!BL$6:BL$105)&gt;0,$E$1=2),0,1)</f>
        <v>1</v>
      </c>
      <c r="AZ137" s="68">
        <f ca="1">IF(AND(SUMIF(Capacity_Resource,$D137,'Critical resources (hide)'!BM$6:BM$105)+SUMIF(Capacity_Resource,$E137,'Critical resources (hide)'!BM$6:BM$105)+SUMIF(Capacity_Resource,$F137,'Critical resources (hide)'!BM$6:BM$105)&gt;0,$E$1=2),0,1)</f>
        <v>1</v>
      </c>
      <c r="BA137" s="68">
        <f ca="1">IF(AND(SUMIF(Capacity_Resource,$D137,'Critical resources (hide)'!BN$6:BN$105)+SUMIF(Capacity_Resource,$E137,'Critical resources (hide)'!BN$6:BN$105)+SUMIF(Capacity_Resource,$F137,'Critical resources (hide)'!BN$6:BN$105)&gt;0,$E$1=2),0,1)</f>
        <v>1</v>
      </c>
      <c r="BB137" s="68">
        <f ca="1">IF(AND(SUMIF(Capacity_Resource,$D137,'Critical resources (hide)'!BO$6:BO$105)+SUMIF(Capacity_Resource,$E137,'Critical resources (hide)'!BO$6:BO$105)+SUMIF(Capacity_Resource,$F137,'Critical resources (hide)'!BO$6:BO$105)&gt;0,$E$1=2),0,1)</f>
        <v>1</v>
      </c>
      <c r="BC137" s="68">
        <f ca="1">IF(AND(SUMIF(Capacity_Resource,$D137,'Critical resources (hide)'!BP$6:BP$105)+SUMIF(Capacity_Resource,$E137,'Critical resources (hide)'!BP$6:BP$105)+SUMIF(Capacity_Resource,$F137,'Critical resources (hide)'!BP$6:BP$105)&gt;0,$E$1=2),0,1)</f>
        <v>1</v>
      </c>
      <c r="BD137" s="68">
        <f ca="1">IF(AND(SUMIF(Capacity_Resource,$D137,'Critical resources (hide)'!BQ$6:BQ$105)+SUMIF(Capacity_Resource,$E137,'Critical resources (hide)'!BQ$6:BQ$105)+SUMIF(Capacity_Resource,$F137,'Critical resources (hide)'!BQ$6:BQ$105)&gt;0,$E$1=2),0,1)</f>
        <v>1</v>
      </c>
      <c r="BE137" s="68">
        <f ca="1">IF(AND(SUMIF(Capacity_Resource,$D137,'Critical resources (hide)'!BR$6:BR$105)+SUMIF(Capacity_Resource,$E137,'Critical resources (hide)'!BR$6:BR$105)+SUMIF(Capacity_Resource,$F137,'Critical resources (hide)'!BR$6:BR$105)&gt;0,$E$1=2),0,1)</f>
        <v>1</v>
      </c>
      <c r="BF137" s="68">
        <f ca="1">IF(AND(SUMIF(Capacity_Resource,$D137,'Critical resources (hide)'!BS$6:BS$105)+SUMIF(Capacity_Resource,$E137,'Critical resources (hide)'!BS$6:BS$105)+SUMIF(Capacity_Resource,$F137,'Critical resources (hide)'!BS$6:BS$105)&gt;0,$E$1=2),0,1)</f>
        <v>1</v>
      </c>
      <c r="BG137" s="68">
        <f ca="1">IF(AND(SUMIF(Capacity_Resource,$D137,'Critical resources (hide)'!BT$6:BT$105)+SUMIF(Capacity_Resource,$E137,'Critical resources (hide)'!BT$6:BT$105)+SUMIF(Capacity_Resource,$F137,'Critical resources (hide)'!BT$6:BT$105)&gt;0,$E$1=2),0,1)</f>
        <v>1</v>
      </c>
      <c r="BH137" s="68">
        <f>IF(ROW(A26)&lt;=Capacity!$M$16,IF('Capacity summary'!$C$14="No",SUM(H137:BG137),'Capacity summary'!$E49),0)</f>
        <v>0</v>
      </c>
      <c r="BI137" s="68" t="str">
        <f>IF(BH137&gt;0,IF(BH137&lt;Capacity!Q42,Capacity!R42,Capacity!T42/'Capacity calculation (hide)'!BH137),"")</f>
        <v/>
      </c>
      <c r="BJ137" s="5"/>
      <c r="BK137" s="5">
        <f>IF($BI137&lt;&gt;"",IF('Capacity summary'!$C$14="Yes",IF(COUNTBLANK('Capacity summary'!$H49:$BG49)&lt;52,IF('Capacity summary'!H49&lt;&gt;"",$BI137*H137,0),H137*$BI137),H137*$BI137),0)</f>
        <v>0</v>
      </c>
      <c r="BL137" s="5">
        <f>IF($BI137&lt;&gt;"",IF('Capacity summary'!$C$14="Yes",IF(COUNTBLANK('Capacity summary'!$H49:$BG49)&lt;52,IF('Capacity summary'!I49&lt;&gt;"",$BI137*I137,0),I137*$BI137),I137*$BI137),0)</f>
        <v>0</v>
      </c>
      <c r="BM137" s="5">
        <f>IF($BI137&lt;&gt;"",IF('Capacity summary'!$C$14="Yes",IF(COUNTBLANK('Capacity summary'!$H49:$BG49)&lt;52,IF('Capacity summary'!J49&lt;&gt;"",$BI137*J137,0),J137*$BI137),J137*$BI137),0)</f>
        <v>0</v>
      </c>
      <c r="BN137" s="5">
        <f>IF($BI137&lt;&gt;"",IF('Capacity summary'!$C$14="Yes",IF(COUNTBLANK('Capacity summary'!$H49:$BG49)&lt;52,IF('Capacity summary'!K49&lt;&gt;"",$BI137*K137,0),K137*$BI137),K137*$BI137),0)</f>
        <v>0</v>
      </c>
      <c r="BO137" s="5">
        <f>IF($BI137&lt;&gt;"",IF('Capacity summary'!$C$14="Yes",IF(COUNTBLANK('Capacity summary'!$H49:$BG49)&lt;52,IF('Capacity summary'!L49&lt;&gt;"",$BI137*L137,0),L137*$BI137),L137*$BI137),0)</f>
        <v>0</v>
      </c>
      <c r="BP137" s="5">
        <f>IF($BI137&lt;&gt;"",IF('Capacity summary'!$C$14="Yes",IF(COUNTBLANK('Capacity summary'!$H49:$BG49)&lt;52,IF('Capacity summary'!M49&lt;&gt;"",$BI137*M137,0),M137*$BI137),M137*$BI137),0)</f>
        <v>0</v>
      </c>
      <c r="BQ137" s="5">
        <f>IF($BI137&lt;&gt;"",IF('Capacity summary'!$C$14="Yes",IF(COUNTBLANK('Capacity summary'!$H49:$BG49)&lt;52,IF('Capacity summary'!N49&lt;&gt;"",$BI137*N137,0),N137*$BI137),N137*$BI137),0)</f>
        <v>0</v>
      </c>
      <c r="BR137" s="5">
        <f>IF($BI137&lt;&gt;"",IF('Capacity summary'!$C$14="Yes",IF(COUNTBLANK('Capacity summary'!$H49:$BG49)&lt;52,IF('Capacity summary'!O49&lt;&gt;"",$BI137*O137,0),O137*$BI137),O137*$BI137),0)</f>
        <v>0</v>
      </c>
      <c r="BS137" s="5">
        <f>IF($BI137&lt;&gt;"",IF('Capacity summary'!$C$14="Yes",IF(COUNTBLANK('Capacity summary'!$H49:$BG49)&lt;52,IF('Capacity summary'!P49&lt;&gt;"",$BI137*P137,0),P137*$BI137),P137*$BI137),0)</f>
        <v>0</v>
      </c>
      <c r="BT137" s="5">
        <f>IF($BI137&lt;&gt;"",IF('Capacity summary'!$C$14="Yes",IF(COUNTBLANK('Capacity summary'!$H49:$BG49)&lt;52,IF('Capacity summary'!Q49&lt;&gt;"",$BI137*Q137,0),Q137*$BI137),Q137*$BI137),0)</f>
        <v>0</v>
      </c>
      <c r="BU137" s="5">
        <f>IF($BI137&lt;&gt;"",IF('Capacity summary'!$C$14="Yes",IF(COUNTBLANK('Capacity summary'!$H49:$BG49)&lt;52,IF('Capacity summary'!R49&lt;&gt;"",$BI137*R137,0),R137*$BI137),R137*$BI137),0)</f>
        <v>0</v>
      </c>
      <c r="BV137" s="5">
        <f>IF($BI137&lt;&gt;"",IF('Capacity summary'!$C$14="Yes",IF(COUNTBLANK('Capacity summary'!$H49:$BG49)&lt;52,IF('Capacity summary'!S49&lt;&gt;"",$BI137*S137,0),S137*$BI137),S137*$BI137),0)</f>
        <v>0</v>
      </c>
      <c r="BW137" s="5">
        <f>IF($BI137&lt;&gt;"",IF('Capacity summary'!$C$14="Yes",IF(COUNTBLANK('Capacity summary'!$H49:$BG49)&lt;52,IF('Capacity summary'!T49&lt;&gt;"",$BI137*T137,0),T137*$BI137),T137*$BI137),0)</f>
        <v>0</v>
      </c>
      <c r="BX137" s="5">
        <f>IF($BI137&lt;&gt;"",IF('Capacity summary'!$C$14="Yes",IF(COUNTBLANK('Capacity summary'!$H49:$BG49)&lt;52,IF('Capacity summary'!U49&lt;&gt;"",$BI137*U137,0),U137*$BI137),U137*$BI137),0)</f>
        <v>0</v>
      </c>
      <c r="BY137" s="5">
        <f>IF($BI137&lt;&gt;"",IF('Capacity summary'!$C$14="Yes",IF(COUNTBLANK('Capacity summary'!$H49:$BG49)&lt;52,IF('Capacity summary'!V49&lt;&gt;"",$BI137*V137,0),V137*$BI137),V137*$BI137),0)</f>
        <v>0</v>
      </c>
      <c r="BZ137" s="5">
        <f>IF($BI137&lt;&gt;"",IF('Capacity summary'!$C$14="Yes",IF(COUNTBLANK('Capacity summary'!$H49:$BG49)&lt;52,IF('Capacity summary'!W49&lt;&gt;"",$BI137*W137,0),W137*$BI137),W137*$BI137),0)</f>
        <v>0</v>
      </c>
      <c r="CA137" s="5">
        <f>IF($BI137&lt;&gt;"",IF('Capacity summary'!$C$14="Yes",IF(COUNTBLANK('Capacity summary'!$H49:$BG49)&lt;52,IF('Capacity summary'!X49&lt;&gt;"",$BI137*X137,0),X137*$BI137),X137*$BI137),0)</f>
        <v>0</v>
      </c>
      <c r="CB137" s="5">
        <f>IF($BI137&lt;&gt;"",IF('Capacity summary'!$C$14="Yes",IF(COUNTBLANK('Capacity summary'!$H49:$BG49)&lt;52,IF('Capacity summary'!Y49&lt;&gt;"",$BI137*Y137,0),Y137*$BI137),Y137*$BI137),0)</f>
        <v>0</v>
      </c>
      <c r="CC137" s="5">
        <f>IF($BI137&lt;&gt;"",IF('Capacity summary'!$C$14="Yes",IF(COUNTBLANK('Capacity summary'!$H49:$BG49)&lt;52,IF('Capacity summary'!Z49&lt;&gt;"",$BI137*Z137,0),Z137*$BI137),Z137*$BI137),0)</f>
        <v>0</v>
      </c>
      <c r="CD137" s="5">
        <f>IF($BI137&lt;&gt;"",IF('Capacity summary'!$C$14="Yes",IF(COUNTBLANK('Capacity summary'!$H49:$BG49)&lt;52,IF('Capacity summary'!AA49&lt;&gt;"",$BI137*AA137,0),AA137*$BI137),AA137*$BI137),0)</f>
        <v>0</v>
      </c>
      <c r="CE137" s="5">
        <f>IF($BI137&lt;&gt;"",IF('Capacity summary'!$C$14="Yes",IF(COUNTBLANK('Capacity summary'!$H49:$BG49)&lt;52,IF('Capacity summary'!AB49&lt;&gt;"",$BI137*AB137,0),AB137*$BI137),AB137*$BI137),0)</f>
        <v>0</v>
      </c>
      <c r="CF137" s="5">
        <f>IF($BI137&lt;&gt;"",IF('Capacity summary'!$C$14="Yes",IF(COUNTBLANK('Capacity summary'!$H49:$BG49)&lt;52,IF('Capacity summary'!AC49&lt;&gt;"",$BI137*AC137,0),AC137*$BI137),AC137*$BI137),0)</f>
        <v>0</v>
      </c>
      <c r="CG137" s="5">
        <f>IF($BI137&lt;&gt;"",IF('Capacity summary'!$C$14="Yes",IF(COUNTBLANK('Capacity summary'!$H49:$BG49)&lt;52,IF('Capacity summary'!AD49&lt;&gt;"",$BI137*AD137,0),AD137*$BI137),AD137*$BI137),0)</f>
        <v>0</v>
      </c>
      <c r="CH137" s="5">
        <f>IF($BI137&lt;&gt;"",IF('Capacity summary'!$C$14="Yes",IF(COUNTBLANK('Capacity summary'!$H49:$BG49)&lt;52,IF('Capacity summary'!AE49&lt;&gt;"",$BI137*AE137,0),AE137*$BI137),AE137*$BI137),0)</f>
        <v>0</v>
      </c>
      <c r="CI137" s="5">
        <f>IF($BI137&lt;&gt;"",IF('Capacity summary'!$C$14="Yes",IF(COUNTBLANK('Capacity summary'!$H49:$BG49)&lt;52,IF('Capacity summary'!AF49&lt;&gt;"",$BI137*AF137,0),AF137*$BI137),AF137*$BI137),0)</f>
        <v>0</v>
      </c>
      <c r="CJ137" s="5">
        <f>IF($BI137&lt;&gt;"",IF('Capacity summary'!$C$14="Yes",IF(COUNTBLANK('Capacity summary'!$H49:$BG49)&lt;52,IF('Capacity summary'!AG49&lt;&gt;"",$BI137*AG137,0),AG137*$BI137),AG137*$BI137),0)</f>
        <v>0</v>
      </c>
      <c r="CK137" s="5">
        <f>IF($BI137&lt;&gt;"",IF('Capacity summary'!$C$14="Yes",IF(COUNTBLANK('Capacity summary'!$H49:$BG49)&lt;52,IF('Capacity summary'!AH49&lt;&gt;"",$BI137*AH137,0),AH137*$BI137),AH137*$BI137),0)</f>
        <v>0</v>
      </c>
      <c r="CL137" s="5">
        <f>IF($BI137&lt;&gt;"",IF('Capacity summary'!$C$14="Yes",IF(COUNTBLANK('Capacity summary'!$H49:$BG49)&lt;52,IF('Capacity summary'!AI49&lt;&gt;"",$BI137*AI137,0),AI137*$BI137),AI137*$BI137),0)</f>
        <v>0</v>
      </c>
      <c r="CM137" s="5">
        <f>IF($BI137&lt;&gt;"",IF('Capacity summary'!$C$14="Yes",IF(COUNTBLANK('Capacity summary'!$H49:$BG49)&lt;52,IF('Capacity summary'!AJ49&lt;&gt;"",$BI137*AJ137,0),AJ137*$BI137),AJ137*$BI137),0)</f>
        <v>0</v>
      </c>
      <c r="CN137" s="5">
        <f>IF($BI137&lt;&gt;"",IF('Capacity summary'!$C$14="Yes",IF(COUNTBLANK('Capacity summary'!$H49:$BG49)&lt;52,IF('Capacity summary'!AK49&lt;&gt;"",$BI137*AK137,0),AK137*$BI137),AK137*$BI137),0)</f>
        <v>0</v>
      </c>
      <c r="CO137" s="5">
        <f>IF($BI137&lt;&gt;"",IF('Capacity summary'!$C$14="Yes",IF(COUNTBLANK('Capacity summary'!$H49:$BG49)&lt;52,IF('Capacity summary'!AL49&lt;&gt;"",$BI137*AL137,0),AL137*$BI137),AL137*$BI137),0)</f>
        <v>0</v>
      </c>
      <c r="CP137" s="5">
        <f>IF($BI137&lt;&gt;"",IF('Capacity summary'!$C$14="Yes",IF(COUNTBLANK('Capacity summary'!$H49:$BG49)&lt;52,IF('Capacity summary'!AM49&lt;&gt;"",$BI137*AM137,0),AM137*$BI137),AM137*$BI137),0)</f>
        <v>0</v>
      </c>
      <c r="CQ137" s="5">
        <f>IF($BI137&lt;&gt;"",IF('Capacity summary'!$C$14="Yes",IF(COUNTBLANK('Capacity summary'!$H49:$BG49)&lt;52,IF('Capacity summary'!AN49&lt;&gt;"",$BI137*AN137,0),AN137*$BI137),AN137*$BI137),0)</f>
        <v>0</v>
      </c>
      <c r="CR137" s="5">
        <f>IF($BI137&lt;&gt;"",IF('Capacity summary'!$C$14="Yes",IF(COUNTBLANK('Capacity summary'!$H49:$BG49)&lt;52,IF('Capacity summary'!AO49&lt;&gt;"",$BI137*AO137,0),AO137*$BI137),AO137*$BI137),0)</f>
        <v>0</v>
      </c>
      <c r="CS137" s="5">
        <f>IF($BI137&lt;&gt;"",IF('Capacity summary'!$C$14="Yes",IF(COUNTBLANK('Capacity summary'!$H49:$BG49)&lt;52,IF('Capacity summary'!AP49&lt;&gt;"",$BI137*AP137,0),AP137*$BI137),AP137*$BI137),0)</f>
        <v>0</v>
      </c>
      <c r="CT137" s="5">
        <f>IF($BI137&lt;&gt;"",IF('Capacity summary'!$C$14="Yes",IF(COUNTBLANK('Capacity summary'!$H49:$BG49)&lt;52,IF('Capacity summary'!AQ49&lt;&gt;"",$BI137*AQ137,0),AQ137*$BI137),AQ137*$BI137),0)</f>
        <v>0</v>
      </c>
      <c r="CU137" s="5">
        <f>IF($BI137&lt;&gt;"",IF('Capacity summary'!$C$14="Yes",IF(COUNTBLANK('Capacity summary'!$H49:$BG49)&lt;52,IF('Capacity summary'!AR49&lt;&gt;"",$BI137*AR137,0),AR137*$BI137),AR137*$BI137),0)</f>
        <v>0</v>
      </c>
      <c r="CV137" s="5">
        <f>IF($BI137&lt;&gt;"",IF('Capacity summary'!$C$14="Yes",IF(COUNTBLANK('Capacity summary'!$H49:$BG49)&lt;52,IF('Capacity summary'!AS49&lt;&gt;"",$BI137*AS137,0),AS137*$BI137),AS137*$BI137),0)</f>
        <v>0</v>
      </c>
      <c r="CW137" s="5">
        <f>IF($BI137&lt;&gt;"",IF('Capacity summary'!$C$14="Yes",IF(COUNTBLANK('Capacity summary'!$H49:$BG49)&lt;52,IF('Capacity summary'!AT49&lt;&gt;"",$BI137*AT137,0),AT137*$BI137),AT137*$BI137),0)</f>
        <v>0</v>
      </c>
      <c r="CX137" s="5">
        <f>IF($BI137&lt;&gt;"",IF('Capacity summary'!$C$14="Yes",IF(COUNTBLANK('Capacity summary'!$H49:$BG49)&lt;52,IF('Capacity summary'!AU49&lt;&gt;"",$BI137*AU137,0),AU137*$BI137),AU137*$BI137),0)</f>
        <v>0</v>
      </c>
      <c r="CY137" s="5">
        <f>IF($BI137&lt;&gt;"",IF('Capacity summary'!$C$14="Yes",IF(COUNTBLANK('Capacity summary'!$H49:$BG49)&lt;52,IF('Capacity summary'!AV49&lt;&gt;"",$BI137*AV137,0),AV137*$BI137),AV137*$BI137),0)</f>
        <v>0</v>
      </c>
      <c r="CZ137" s="5">
        <f>IF($BI137&lt;&gt;"",IF('Capacity summary'!$C$14="Yes",IF(COUNTBLANK('Capacity summary'!$H49:$BG49)&lt;52,IF('Capacity summary'!AW49&lt;&gt;"",$BI137*AW137,0),AW137*$BI137),AW137*$BI137),0)</f>
        <v>0</v>
      </c>
      <c r="DA137" s="5">
        <f>IF($BI137&lt;&gt;"",IF('Capacity summary'!$C$14="Yes",IF(COUNTBLANK('Capacity summary'!$H49:$BG49)&lt;52,IF('Capacity summary'!AX49&lt;&gt;"",$BI137*AX137,0),AX137*$BI137),AX137*$BI137),0)</f>
        <v>0</v>
      </c>
      <c r="DB137" s="5">
        <f>IF($BI137&lt;&gt;"",IF('Capacity summary'!$C$14="Yes",IF(COUNTBLANK('Capacity summary'!$H49:$BG49)&lt;52,IF('Capacity summary'!AY49&lt;&gt;"",$BI137*AY137,0),AY137*$BI137),AY137*$BI137),0)</f>
        <v>0</v>
      </c>
      <c r="DC137" s="5">
        <f>IF($BI137&lt;&gt;"",IF('Capacity summary'!$C$14="Yes",IF(COUNTBLANK('Capacity summary'!$H49:$BG49)&lt;52,IF('Capacity summary'!AZ49&lt;&gt;"",$BI137*AZ137,0),AZ137*$BI137),AZ137*$BI137),0)</f>
        <v>0</v>
      </c>
      <c r="DD137" s="5">
        <f>IF($BI137&lt;&gt;"",IF('Capacity summary'!$C$14="Yes",IF(COUNTBLANK('Capacity summary'!$H49:$BG49)&lt;52,IF('Capacity summary'!BA49&lt;&gt;"",$BI137*BA137,0),BA137*$BI137),BA137*$BI137),0)</f>
        <v>0</v>
      </c>
      <c r="DE137" s="5">
        <f>IF($BI137&lt;&gt;"",IF('Capacity summary'!$C$14="Yes",IF(COUNTBLANK('Capacity summary'!$H49:$BG49)&lt;52,IF('Capacity summary'!BB49&lt;&gt;"",$BI137*BB137,0),BB137*$BI137),BB137*$BI137),0)</f>
        <v>0</v>
      </c>
      <c r="DF137" s="5">
        <f>IF($BI137&lt;&gt;"",IF('Capacity summary'!$C$14="Yes",IF(COUNTBLANK('Capacity summary'!$H49:$BG49)&lt;52,IF('Capacity summary'!BC49&lt;&gt;"",$BI137*BC137,0),BC137*$BI137),BC137*$BI137),0)</f>
        <v>0</v>
      </c>
      <c r="DG137" s="5">
        <f>IF($BI137&lt;&gt;"",IF('Capacity summary'!$C$14="Yes",IF(COUNTBLANK('Capacity summary'!$H49:$BG49)&lt;52,IF('Capacity summary'!BD49&lt;&gt;"",$BI137*BD137,0),BD137*$BI137),BD137*$BI137),0)</f>
        <v>0</v>
      </c>
      <c r="DH137" s="5">
        <f>IF($BI137&lt;&gt;"",IF('Capacity summary'!$C$14="Yes",IF(COUNTBLANK('Capacity summary'!$H49:$BG49)&lt;52,IF('Capacity summary'!BE49&lt;&gt;"",$BI137*BE137,0),BE137*$BI137),BE137*$BI137),0)</f>
        <v>0</v>
      </c>
      <c r="DI137" s="5">
        <f>IF($BI137&lt;&gt;"",IF('Capacity summary'!$C$14="Yes",IF(COUNTBLANK('Capacity summary'!$H49:$BG49)&lt;52,IF('Capacity summary'!BF49&lt;&gt;"",$BI137*BF137,0),BF137*$BI137),BF137*$BI137),0)</f>
        <v>0</v>
      </c>
      <c r="DJ137" s="5">
        <f>IF($BI137&lt;&gt;"",IF('Capacity summary'!$C$14="Yes",IF(COUNTBLANK('Capacity summary'!$H49:$BG49)&lt;52,IF('Capacity summary'!BG49&lt;&gt;"",$BI137*BG137,0),BG137*$BI137),BG137*$BI137),0)</f>
        <v>0</v>
      </c>
      <c r="DK137" s="138">
        <f t="shared" si="6"/>
        <v>0</v>
      </c>
    </row>
    <row r="138" spans="3:115" x14ac:dyDescent="0.2">
      <c r="C138" s="68" t="str">
        <f>ROW(A27)&amp;". "&amp;Capacity!N43</f>
        <v xml:space="preserve">27. </v>
      </c>
      <c r="D138" s="68">
        <f>'Capacity setup'!C144</f>
        <v>0</v>
      </c>
      <c r="E138" s="68">
        <f>'Capacity setup'!D144</f>
        <v>0</v>
      </c>
      <c r="F138" s="68">
        <f>'Capacity setup'!E144</f>
        <v>0</v>
      </c>
      <c r="H138" s="68">
        <f ca="1">IF(AND(SUMIF(Capacity_Resource,$D138,'Critical resources (hide)'!U$6:U$105)+SUMIF(Capacity_Resource,$E138,'Critical resources (hide)'!U$6:U$105)+SUMIF(Capacity_Resource,$F138,'Critical resources (hide)'!U$6:U$105)&gt;0,$E$1=2),0,1)</f>
        <v>1</v>
      </c>
      <c r="I138" s="68">
        <f ca="1">IF(AND(SUMIF(Capacity_Resource,$D138,'Critical resources (hide)'!V$6:V$105)+SUMIF(Capacity_Resource,$E138,'Critical resources (hide)'!V$6:V$105)+SUMIF(Capacity_Resource,$F138,'Critical resources (hide)'!V$6:V$105)&gt;0,$E$1=2),0,1)</f>
        <v>1</v>
      </c>
      <c r="J138" s="68">
        <f ca="1">IF(AND(SUMIF(Capacity_Resource,$D138,'Critical resources (hide)'!W$6:W$105)+SUMIF(Capacity_Resource,$E138,'Critical resources (hide)'!W$6:W$105)+SUMIF(Capacity_Resource,$F138,'Critical resources (hide)'!W$6:W$105)&gt;0,$E$1=2),0,1)</f>
        <v>1</v>
      </c>
      <c r="K138" s="68">
        <f ca="1">IF(AND(SUMIF(Capacity_Resource,$D138,'Critical resources (hide)'!X$6:X$105)+SUMIF(Capacity_Resource,$E138,'Critical resources (hide)'!X$6:X$105)+SUMIF(Capacity_Resource,$F138,'Critical resources (hide)'!X$6:X$105)&gt;0,$E$1=2),0,1)</f>
        <v>1</v>
      </c>
      <c r="L138" s="68">
        <f ca="1">IF(AND(SUMIF(Capacity_Resource,$D138,'Critical resources (hide)'!Y$6:Y$105)+SUMIF(Capacity_Resource,$E138,'Critical resources (hide)'!Y$6:Y$105)+SUMIF(Capacity_Resource,$F138,'Critical resources (hide)'!Y$6:Y$105)&gt;0,$E$1=2),0,1)</f>
        <v>1</v>
      </c>
      <c r="M138" s="68">
        <f ca="1">IF(AND(SUMIF(Capacity_Resource,$D138,'Critical resources (hide)'!Z$6:Z$105)+SUMIF(Capacity_Resource,$E138,'Critical resources (hide)'!Z$6:Z$105)+SUMIF(Capacity_Resource,$F138,'Critical resources (hide)'!Z$6:Z$105)&gt;0,$E$1=2),0,1)</f>
        <v>1</v>
      </c>
      <c r="N138" s="68">
        <f ca="1">IF(AND(SUMIF(Capacity_Resource,$D138,'Critical resources (hide)'!AA$6:AA$105)+SUMIF(Capacity_Resource,$E138,'Critical resources (hide)'!AA$6:AA$105)+SUMIF(Capacity_Resource,$F138,'Critical resources (hide)'!AA$6:AA$105)&gt;0,$E$1=2),0,1)</f>
        <v>1</v>
      </c>
      <c r="O138" s="68">
        <f ca="1">IF(AND(SUMIF(Capacity_Resource,$D138,'Critical resources (hide)'!AB$6:AB$105)+SUMIF(Capacity_Resource,$E138,'Critical resources (hide)'!AB$6:AB$105)+SUMIF(Capacity_Resource,$F138,'Critical resources (hide)'!AB$6:AB$105)&gt;0,$E$1=2),0,1)</f>
        <v>1</v>
      </c>
      <c r="P138" s="68">
        <f ca="1">IF(AND(SUMIF(Capacity_Resource,$D138,'Critical resources (hide)'!AC$6:AC$105)+SUMIF(Capacity_Resource,$E138,'Critical resources (hide)'!AC$6:AC$105)+SUMIF(Capacity_Resource,$F138,'Critical resources (hide)'!AC$6:AC$105)&gt;0,$E$1=2),0,1)</f>
        <v>1</v>
      </c>
      <c r="Q138" s="68">
        <f ca="1">IF(AND(SUMIF(Capacity_Resource,$D138,'Critical resources (hide)'!AD$6:AD$105)+SUMIF(Capacity_Resource,$E138,'Critical resources (hide)'!AD$6:AD$105)+SUMIF(Capacity_Resource,$F138,'Critical resources (hide)'!AD$6:AD$105)&gt;0,$E$1=2),0,1)</f>
        <v>1</v>
      </c>
      <c r="R138" s="68">
        <f ca="1">IF(AND(SUMIF(Capacity_Resource,$D138,'Critical resources (hide)'!AE$6:AE$105)+SUMIF(Capacity_Resource,$E138,'Critical resources (hide)'!AE$6:AE$105)+SUMIF(Capacity_Resource,$F138,'Critical resources (hide)'!AE$6:AE$105)&gt;0,$E$1=2),0,1)</f>
        <v>1</v>
      </c>
      <c r="S138" s="68">
        <f ca="1">IF(AND(SUMIF(Capacity_Resource,$D138,'Critical resources (hide)'!AF$6:AF$105)+SUMIF(Capacity_Resource,$E138,'Critical resources (hide)'!AF$6:AF$105)+SUMIF(Capacity_Resource,$F138,'Critical resources (hide)'!AF$6:AF$105)&gt;0,$E$1=2),0,1)</f>
        <v>1</v>
      </c>
      <c r="T138" s="68">
        <f ca="1">IF(AND(SUMIF(Capacity_Resource,$D138,'Critical resources (hide)'!AG$6:AG$105)+SUMIF(Capacity_Resource,$E138,'Critical resources (hide)'!AG$6:AG$105)+SUMIF(Capacity_Resource,$F138,'Critical resources (hide)'!AG$6:AG$105)&gt;0,$E$1=2),0,1)</f>
        <v>1</v>
      </c>
      <c r="U138" s="68">
        <f ca="1">IF(AND(SUMIF(Capacity_Resource,$D138,'Critical resources (hide)'!AH$6:AH$105)+SUMIF(Capacity_Resource,$E138,'Critical resources (hide)'!AH$6:AH$105)+SUMIF(Capacity_Resource,$F138,'Critical resources (hide)'!AH$6:AH$105)&gt;0,$E$1=2),0,1)</f>
        <v>1</v>
      </c>
      <c r="V138" s="68">
        <f ca="1">IF(AND(SUMIF(Capacity_Resource,$D138,'Critical resources (hide)'!AI$6:AI$105)+SUMIF(Capacity_Resource,$E138,'Critical resources (hide)'!AI$6:AI$105)+SUMIF(Capacity_Resource,$F138,'Critical resources (hide)'!AI$6:AI$105)&gt;0,$E$1=2),0,1)</f>
        <v>1</v>
      </c>
      <c r="W138" s="68">
        <f ca="1">IF(AND(SUMIF(Capacity_Resource,$D138,'Critical resources (hide)'!AJ$6:AJ$105)+SUMIF(Capacity_Resource,$E138,'Critical resources (hide)'!AJ$6:AJ$105)+SUMIF(Capacity_Resource,$F138,'Critical resources (hide)'!AJ$6:AJ$105)&gt;0,$E$1=2),0,1)</f>
        <v>1</v>
      </c>
      <c r="X138" s="68">
        <f ca="1">IF(AND(SUMIF(Capacity_Resource,$D138,'Critical resources (hide)'!AK$6:AK$105)+SUMIF(Capacity_Resource,$E138,'Critical resources (hide)'!AK$6:AK$105)+SUMIF(Capacity_Resource,$F138,'Critical resources (hide)'!AK$6:AK$105)&gt;0,$E$1=2),0,1)</f>
        <v>1</v>
      </c>
      <c r="Y138" s="68">
        <f ca="1">IF(AND(SUMIF(Capacity_Resource,$D138,'Critical resources (hide)'!AL$6:AL$105)+SUMIF(Capacity_Resource,$E138,'Critical resources (hide)'!AL$6:AL$105)+SUMIF(Capacity_Resource,$F138,'Critical resources (hide)'!AL$6:AL$105)&gt;0,$E$1=2),0,1)</f>
        <v>1</v>
      </c>
      <c r="Z138" s="68">
        <f ca="1">IF(AND(SUMIF(Capacity_Resource,$D138,'Critical resources (hide)'!AM$6:AM$105)+SUMIF(Capacity_Resource,$E138,'Critical resources (hide)'!AM$6:AM$105)+SUMIF(Capacity_Resource,$F138,'Critical resources (hide)'!AM$6:AM$105)&gt;0,$E$1=2),0,1)</f>
        <v>1</v>
      </c>
      <c r="AA138" s="68">
        <f ca="1">IF(AND(SUMIF(Capacity_Resource,$D138,'Critical resources (hide)'!AN$6:AN$105)+SUMIF(Capacity_Resource,$E138,'Critical resources (hide)'!AN$6:AN$105)+SUMIF(Capacity_Resource,$F138,'Critical resources (hide)'!AN$6:AN$105)&gt;0,$E$1=2),0,1)</f>
        <v>1</v>
      </c>
      <c r="AB138" s="68">
        <f ca="1">IF(AND(SUMIF(Capacity_Resource,$D138,'Critical resources (hide)'!AO$6:AO$105)+SUMIF(Capacity_Resource,$E138,'Critical resources (hide)'!AO$6:AO$105)+SUMIF(Capacity_Resource,$F138,'Critical resources (hide)'!AO$6:AO$105)&gt;0,$E$1=2),0,1)</f>
        <v>1</v>
      </c>
      <c r="AC138" s="68">
        <f ca="1">IF(AND(SUMIF(Capacity_Resource,$D138,'Critical resources (hide)'!AP$6:AP$105)+SUMIF(Capacity_Resource,$E138,'Critical resources (hide)'!AP$6:AP$105)+SUMIF(Capacity_Resource,$F138,'Critical resources (hide)'!AP$6:AP$105)&gt;0,$E$1=2),0,1)</f>
        <v>1</v>
      </c>
      <c r="AD138" s="68">
        <f ca="1">IF(AND(SUMIF(Capacity_Resource,$D138,'Critical resources (hide)'!AQ$6:AQ$105)+SUMIF(Capacity_Resource,$E138,'Critical resources (hide)'!AQ$6:AQ$105)+SUMIF(Capacity_Resource,$F138,'Critical resources (hide)'!AQ$6:AQ$105)&gt;0,$E$1=2),0,1)</f>
        <v>1</v>
      </c>
      <c r="AE138" s="68">
        <f ca="1">IF(AND(SUMIF(Capacity_Resource,$D138,'Critical resources (hide)'!AR$6:AR$105)+SUMIF(Capacity_Resource,$E138,'Critical resources (hide)'!AR$6:AR$105)+SUMIF(Capacity_Resource,$F138,'Critical resources (hide)'!AR$6:AR$105)&gt;0,$E$1=2),0,1)</f>
        <v>1</v>
      </c>
      <c r="AF138" s="68">
        <f ca="1">IF(AND(SUMIF(Capacity_Resource,$D138,'Critical resources (hide)'!AS$6:AS$105)+SUMIF(Capacity_Resource,$E138,'Critical resources (hide)'!AS$6:AS$105)+SUMIF(Capacity_Resource,$F138,'Critical resources (hide)'!AS$6:AS$105)&gt;0,$E$1=2),0,1)</f>
        <v>1</v>
      </c>
      <c r="AG138" s="68">
        <f ca="1">IF(AND(SUMIF(Capacity_Resource,$D138,'Critical resources (hide)'!AT$6:AT$105)+SUMIF(Capacity_Resource,$E138,'Critical resources (hide)'!AT$6:AT$105)+SUMIF(Capacity_Resource,$F138,'Critical resources (hide)'!AT$6:AT$105)&gt;0,$E$1=2),0,1)</f>
        <v>1</v>
      </c>
      <c r="AH138" s="68">
        <f ca="1">IF(AND(SUMIF(Capacity_Resource,$D138,'Critical resources (hide)'!AU$6:AU$105)+SUMIF(Capacity_Resource,$E138,'Critical resources (hide)'!AU$6:AU$105)+SUMIF(Capacity_Resource,$F138,'Critical resources (hide)'!AU$6:AU$105)&gt;0,$E$1=2),0,1)</f>
        <v>1</v>
      </c>
      <c r="AI138" s="68">
        <f ca="1">IF(AND(SUMIF(Capacity_Resource,$D138,'Critical resources (hide)'!AV$6:AV$105)+SUMIF(Capacity_Resource,$E138,'Critical resources (hide)'!AV$6:AV$105)+SUMIF(Capacity_Resource,$F138,'Critical resources (hide)'!AV$6:AV$105)&gt;0,$E$1=2),0,1)</f>
        <v>1</v>
      </c>
      <c r="AJ138" s="68">
        <f ca="1">IF(AND(SUMIF(Capacity_Resource,$D138,'Critical resources (hide)'!AW$6:AW$105)+SUMIF(Capacity_Resource,$E138,'Critical resources (hide)'!AW$6:AW$105)+SUMIF(Capacity_Resource,$F138,'Critical resources (hide)'!AW$6:AW$105)&gt;0,$E$1=2),0,1)</f>
        <v>1</v>
      </c>
      <c r="AK138" s="68">
        <f ca="1">IF(AND(SUMIF(Capacity_Resource,$D138,'Critical resources (hide)'!AX$6:AX$105)+SUMIF(Capacity_Resource,$E138,'Critical resources (hide)'!AX$6:AX$105)+SUMIF(Capacity_Resource,$F138,'Critical resources (hide)'!AX$6:AX$105)&gt;0,$E$1=2),0,1)</f>
        <v>1</v>
      </c>
      <c r="AL138" s="68">
        <f ca="1">IF(AND(SUMIF(Capacity_Resource,$D138,'Critical resources (hide)'!AY$6:AY$105)+SUMIF(Capacity_Resource,$E138,'Critical resources (hide)'!AY$6:AY$105)+SUMIF(Capacity_Resource,$F138,'Critical resources (hide)'!AY$6:AY$105)&gt;0,$E$1=2),0,1)</f>
        <v>1</v>
      </c>
      <c r="AM138" s="68">
        <f ca="1">IF(AND(SUMIF(Capacity_Resource,$D138,'Critical resources (hide)'!AZ$6:AZ$105)+SUMIF(Capacity_Resource,$E138,'Critical resources (hide)'!AZ$6:AZ$105)+SUMIF(Capacity_Resource,$F138,'Critical resources (hide)'!AZ$6:AZ$105)&gt;0,$E$1=2),0,1)</f>
        <v>1</v>
      </c>
      <c r="AN138" s="68">
        <f ca="1">IF(AND(SUMIF(Capacity_Resource,$D138,'Critical resources (hide)'!BA$6:BA$105)+SUMIF(Capacity_Resource,$E138,'Critical resources (hide)'!BA$6:BA$105)+SUMIF(Capacity_Resource,$F138,'Critical resources (hide)'!BA$6:BA$105)&gt;0,$E$1=2),0,1)</f>
        <v>1</v>
      </c>
      <c r="AO138" s="68">
        <f ca="1">IF(AND(SUMIF(Capacity_Resource,$D138,'Critical resources (hide)'!BB$6:BB$105)+SUMIF(Capacity_Resource,$E138,'Critical resources (hide)'!BB$6:BB$105)+SUMIF(Capacity_Resource,$F138,'Critical resources (hide)'!BB$6:BB$105)&gt;0,$E$1=2),0,1)</f>
        <v>1</v>
      </c>
      <c r="AP138" s="68">
        <f ca="1">IF(AND(SUMIF(Capacity_Resource,$D138,'Critical resources (hide)'!BC$6:BC$105)+SUMIF(Capacity_Resource,$E138,'Critical resources (hide)'!BC$6:BC$105)+SUMIF(Capacity_Resource,$F138,'Critical resources (hide)'!BC$6:BC$105)&gt;0,$E$1=2),0,1)</f>
        <v>1</v>
      </c>
      <c r="AQ138" s="68">
        <f ca="1">IF(AND(SUMIF(Capacity_Resource,$D138,'Critical resources (hide)'!BD$6:BD$105)+SUMIF(Capacity_Resource,$E138,'Critical resources (hide)'!BD$6:BD$105)+SUMIF(Capacity_Resource,$F138,'Critical resources (hide)'!BD$6:BD$105)&gt;0,$E$1=2),0,1)</f>
        <v>1</v>
      </c>
      <c r="AR138" s="68">
        <f ca="1">IF(AND(SUMIF(Capacity_Resource,$D138,'Critical resources (hide)'!BE$6:BE$105)+SUMIF(Capacity_Resource,$E138,'Critical resources (hide)'!BE$6:BE$105)+SUMIF(Capacity_Resource,$F138,'Critical resources (hide)'!BE$6:BE$105)&gt;0,$E$1=2),0,1)</f>
        <v>1</v>
      </c>
      <c r="AS138" s="68">
        <f ca="1">IF(AND(SUMIF(Capacity_Resource,$D138,'Critical resources (hide)'!BF$6:BF$105)+SUMIF(Capacity_Resource,$E138,'Critical resources (hide)'!BF$6:BF$105)+SUMIF(Capacity_Resource,$F138,'Critical resources (hide)'!BF$6:BF$105)&gt;0,$E$1=2),0,1)</f>
        <v>1</v>
      </c>
      <c r="AT138" s="68">
        <f ca="1">IF(AND(SUMIF(Capacity_Resource,$D138,'Critical resources (hide)'!BG$6:BG$105)+SUMIF(Capacity_Resource,$E138,'Critical resources (hide)'!BG$6:BG$105)+SUMIF(Capacity_Resource,$F138,'Critical resources (hide)'!BG$6:BG$105)&gt;0,$E$1=2),0,1)</f>
        <v>1</v>
      </c>
      <c r="AU138" s="68">
        <f ca="1">IF(AND(SUMIF(Capacity_Resource,$D138,'Critical resources (hide)'!BH$6:BH$105)+SUMIF(Capacity_Resource,$E138,'Critical resources (hide)'!BH$6:BH$105)+SUMIF(Capacity_Resource,$F138,'Critical resources (hide)'!BH$6:BH$105)&gt;0,$E$1=2),0,1)</f>
        <v>1</v>
      </c>
      <c r="AV138" s="68">
        <f ca="1">IF(AND(SUMIF(Capacity_Resource,$D138,'Critical resources (hide)'!BI$6:BI$105)+SUMIF(Capacity_Resource,$E138,'Critical resources (hide)'!BI$6:BI$105)+SUMIF(Capacity_Resource,$F138,'Critical resources (hide)'!BI$6:BI$105)&gt;0,$E$1=2),0,1)</f>
        <v>1</v>
      </c>
      <c r="AW138" s="68">
        <f ca="1">IF(AND(SUMIF(Capacity_Resource,$D138,'Critical resources (hide)'!BJ$6:BJ$105)+SUMIF(Capacity_Resource,$E138,'Critical resources (hide)'!BJ$6:BJ$105)+SUMIF(Capacity_Resource,$F138,'Critical resources (hide)'!BJ$6:BJ$105)&gt;0,$E$1=2),0,1)</f>
        <v>1</v>
      </c>
      <c r="AX138" s="68">
        <f ca="1">IF(AND(SUMIF(Capacity_Resource,$D138,'Critical resources (hide)'!BK$6:BK$105)+SUMIF(Capacity_Resource,$E138,'Critical resources (hide)'!BK$6:BK$105)+SUMIF(Capacity_Resource,$F138,'Critical resources (hide)'!BK$6:BK$105)&gt;0,$E$1=2),0,1)</f>
        <v>1</v>
      </c>
      <c r="AY138" s="68">
        <f ca="1">IF(AND(SUMIF(Capacity_Resource,$D138,'Critical resources (hide)'!BL$6:BL$105)+SUMIF(Capacity_Resource,$E138,'Critical resources (hide)'!BL$6:BL$105)+SUMIF(Capacity_Resource,$F138,'Critical resources (hide)'!BL$6:BL$105)&gt;0,$E$1=2),0,1)</f>
        <v>1</v>
      </c>
      <c r="AZ138" s="68">
        <f ca="1">IF(AND(SUMIF(Capacity_Resource,$D138,'Critical resources (hide)'!BM$6:BM$105)+SUMIF(Capacity_Resource,$E138,'Critical resources (hide)'!BM$6:BM$105)+SUMIF(Capacity_Resource,$F138,'Critical resources (hide)'!BM$6:BM$105)&gt;0,$E$1=2),0,1)</f>
        <v>1</v>
      </c>
      <c r="BA138" s="68">
        <f ca="1">IF(AND(SUMIF(Capacity_Resource,$D138,'Critical resources (hide)'!BN$6:BN$105)+SUMIF(Capacity_Resource,$E138,'Critical resources (hide)'!BN$6:BN$105)+SUMIF(Capacity_Resource,$F138,'Critical resources (hide)'!BN$6:BN$105)&gt;0,$E$1=2),0,1)</f>
        <v>1</v>
      </c>
      <c r="BB138" s="68">
        <f ca="1">IF(AND(SUMIF(Capacity_Resource,$D138,'Critical resources (hide)'!BO$6:BO$105)+SUMIF(Capacity_Resource,$E138,'Critical resources (hide)'!BO$6:BO$105)+SUMIF(Capacity_Resource,$F138,'Critical resources (hide)'!BO$6:BO$105)&gt;0,$E$1=2),0,1)</f>
        <v>1</v>
      </c>
      <c r="BC138" s="68">
        <f ca="1">IF(AND(SUMIF(Capacity_Resource,$D138,'Critical resources (hide)'!BP$6:BP$105)+SUMIF(Capacity_Resource,$E138,'Critical resources (hide)'!BP$6:BP$105)+SUMIF(Capacity_Resource,$F138,'Critical resources (hide)'!BP$6:BP$105)&gt;0,$E$1=2),0,1)</f>
        <v>1</v>
      </c>
      <c r="BD138" s="68">
        <f ca="1">IF(AND(SUMIF(Capacity_Resource,$D138,'Critical resources (hide)'!BQ$6:BQ$105)+SUMIF(Capacity_Resource,$E138,'Critical resources (hide)'!BQ$6:BQ$105)+SUMIF(Capacity_Resource,$F138,'Critical resources (hide)'!BQ$6:BQ$105)&gt;0,$E$1=2),0,1)</f>
        <v>1</v>
      </c>
      <c r="BE138" s="68">
        <f ca="1">IF(AND(SUMIF(Capacity_Resource,$D138,'Critical resources (hide)'!BR$6:BR$105)+SUMIF(Capacity_Resource,$E138,'Critical resources (hide)'!BR$6:BR$105)+SUMIF(Capacity_Resource,$F138,'Critical resources (hide)'!BR$6:BR$105)&gt;0,$E$1=2),0,1)</f>
        <v>1</v>
      </c>
      <c r="BF138" s="68">
        <f ca="1">IF(AND(SUMIF(Capacity_Resource,$D138,'Critical resources (hide)'!BS$6:BS$105)+SUMIF(Capacity_Resource,$E138,'Critical resources (hide)'!BS$6:BS$105)+SUMIF(Capacity_Resource,$F138,'Critical resources (hide)'!BS$6:BS$105)&gt;0,$E$1=2),0,1)</f>
        <v>1</v>
      </c>
      <c r="BG138" s="68">
        <f ca="1">IF(AND(SUMIF(Capacity_Resource,$D138,'Critical resources (hide)'!BT$6:BT$105)+SUMIF(Capacity_Resource,$E138,'Critical resources (hide)'!BT$6:BT$105)+SUMIF(Capacity_Resource,$F138,'Critical resources (hide)'!BT$6:BT$105)&gt;0,$E$1=2),0,1)</f>
        <v>1</v>
      </c>
      <c r="BH138" s="68">
        <f>IF(ROW(A27)&lt;=Capacity!$M$16,IF('Capacity summary'!$C$14="No",SUM(H138:BG138),'Capacity summary'!$E50),0)</f>
        <v>0</v>
      </c>
      <c r="BI138" s="68" t="str">
        <f>IF(BH138&gt;0,IF(BH138&lt;Capacity!Q43,Capacity!R43,Capacity!T43/'Capacity calculation (hide)'!BH138),"")</f>
        <v/>
      </c>
      <c r="BJ138" s="5"/>
      <c r="BK138" s="5">
        <f>IF($BI138&lt;&gt;"",IF('Capacity summary'!$C$14="Yes",IF(COUNTBLANK('Capacity summary'!$H50:$BG50)&lt;52,IF('Capacity summary'!H50&lt;&gt;"",$BI138*H138,0),H138*$BI138),H138*$BI138),0)</f>
        <v>0</v>
      </c>
      <c r="BL138" s="5">
        <f>IF($BI138&lt;&gt;"",IF('Capacity summary'!$C$14="Yes",IF(COUNTBLANK('Capacity summary'!$H50:$BG50)&lt;52,IF('Capacity summary'!I50&lt;&gt;"",$BI138*I138,0),I138*$BI138),I138*$BI138),0)</f>
        <v>0</v>
      </c>
      <c r="BM138" s="5">
        <f>IF($BI138&lt;&gt;"",IF('Capacity summary'!$C$14="Yes",IF(COUNTBLANK('Capacity summary'!$H50:$BG50)&lt;52,IF('Capacity summary'!J50&lt;&gt;"",$BI138*J138,0),J138*$BI138),J138*$BI138),0)</f>
        <v>0</v>
      </c>
      <c r="BN138" s="5">
        <f>IF($BI138&lt;&gt;"",IF('Capacity summary'!$C$14="Yes",IF(COUNTBLANK('Capacity summary'!$H50:$BG50)&lt;52,IF('Capacity summary'!K50&lt;&gt;"",$BI138*K138,0),K138*$BI138),K138*$BI138),0)</f>
        <v>0</v>
      </c>
      <c r="BO138" s="5">
        <f>IF($BI138&lt;&gt;"",IF('Capacity summary'!$C$14="Yes",IF(COUNTBLANK('Capacity summary'!$H50:$BG50)&lt;52,IF('Capacity summary'!L50&lt;&gt;"",$BI138*L138,0),L138*$BI138),L138*$BI138),0)</f>
        <v>0</v>
      </c>
      <c r="BP138" s="5">
        <f>IF($BI138&lt;&gt;"",IF('Capacity summary'!$C$14="Yes",IF(COUNTBLANK('Capacity summary'!$H50:$BG50)&lt;52,IF('Capacity summary'!M50&lt;&gt;"",$BI138*M138,0),M138*$BI138),M138*$BI138),0)</f>
        <v>0</v>
      </c>
      <c r="BQ138" s="5">
        <f>IF($BI138&lt;&gt;"",IF('Capacity summary'!$C$14="Yes",IF(COUNTBLANK('Capacity summary'!$H50:$BG50)&lt;52,IF('Capacity summary'!N50&lt;&gt;"",$BI138*N138,0),N138*$BI138),N138*$BI138),0)</f>
        <v>0</v>
      </c>
      <c r="BR138" s="5">
        <f>IF($BI138&lt;&gt;"",IF('Capacity summary'!$C$14="Yes",IF(COUNTBLANK('Capacity summary'!$H50:$BG50)&lt;52,IF('Capacity summary'!O50&lt;&gt;"",$BI138*O138,0),O138*$BI138),O138*$BI138),0)</f>
        <v>0</v>
      </c>
      <c r="BS138" s="5">
        <f>IF($BI138&lt;&gt;"",IF('Capacity summary'!$C$14="Yes",IF(COUNTBLANK('Capacity summary'!$H50:$BG50)&lt;52,IF('Capacity summary'!P50&lt;&gt;"",$BI138*P138,0),P138*$BI138),P138*$BI138),0)</f>
        <v>0</v>
      </c>
      <c r="BT138" s="5">
        <f>IF($BI138&lt;&gt;"",IF('Capacity summary'!$C$14="Yes",IF(COUNTBLANK('Capacity summary'!$H50:$BG50)&lt;52,IF('Capacity summary'!Q50&lt;&gt;"",$BI138*Q138,0),Q138*$BI138),Q138*$BI138),0)</f>
        <v>0</v>
      </c>
      <c r="BU138" s="5">
        <f>IF($BI138&lt;&gt;"",IF('Capacity summary'!$C$14="Yes",IF(COUNTBLANK('Capacity summary'!$H50:$BG50)&lt;52,IF('Capacity summary'!R50&lt;&gt;"",$BI138*R138,0),R138*$BI138),R138*$BI138),0)</f>
        <v>0</v>
      </c>
      <c r="BV138" s="5">
        <f>IF($BI138&lt;&gt;"",IF('Capacity summary'!$C$14="Yes",IF(COUNTBLANK('Capacity summary'!$H50:$BG50)&lt;52,IF('Capacity summary'!S50&lt;&gt;"",$BI138*S138,0),S138*$BI138),S138*$BI138),0)</f>
        <v>0</v>
      </c>
      <c r="BW138" s="5">
        <f>IF($BI138&lt;&gt;"",IF('Capacity summary'!$C$14="Yes",IF(COUNTBLANK('Capacity summary'!$H50:$BG50)&lt;52,IF('Capacity summary'!T50&lt;&gt;"",$BI138*T138,0),T138*$BI138),T138*$BI138),0)</f>
        <v>0</v>
      </c>
      <c r="BX138" s="5">
        <f>IF($BI138&lt;&gt;"",IF('Capacity summary'!$C$14="Yes",IF(COUNTBLANK('Capacity summary'!$H50:$BG50)&lt;52,IF('Capacity summary'!U50&lt;&gt;"",$BI138*U138,0),U138*$BI138),U138*$BI138),0)</f>
        <v>0</v>
      </c>
      <c r="BY138" s="5">
        <f>IF($BI138&lt;&gt;"",IF('Capacity summary'!$C$14="Yes",IF(COUNTBLANK('Capacity summary'!$H50:$BG50)&lt;52,IF('Capacity summary'!V50&lt;&gt;"",$BI138*V138,0),V138*$BI138),V138*$BI138),0)</f>
        <v>0</v>
      </c>
      <c r="BZ138" s="5">
        <f>IF($BI138&lt;&gt;"",IF('Capacity summary'!$C$14="Yes",IF(COUNTBLANK('Capacity summary'!$H50:$BG50)&lt;52,IF('Capacity summary'!W50&lt;&gt;"",$BI138*W138,0),W138*$BI138),W138*$BI138),0)</f>
        <v>0</v>
      </c>
      <c r="CA138" s="5">
        <f>IF($BI138&lt;&gt;"",IF('Capacity summary'!$C$14="Yes",IF(COUNTBLANK('Capacity summary'!$H50:$BG50)&lt;52,IF('Capacity summary'!X50&lt;&gt;"",$BI138*X138,0),X138*$BI138),X138*$BI138),0)</f>
        <v>0</v>
      </c>
      <c r="CB138" s="5">
        <f>IF($BI138&lt;&gt;"",IF('Capacity summary'!$C$14="Yes",IF(COUNTBLANK('Capacity summary'!$H50:$BG50)&lt;52,IF('Capacity summary'!Y50&lt;&gt;"",$BI138*Y138,0),Y138*$BI138),Y138*$BI138),0)</f>
        <v>0</v>
      </c>
      <c r="CC138" s="5">
        <f>IF($BI138&lt;&gt;"",IF('Capacity summary'!$C$14="Yes",IF(COUNTBLANK('Capacity summary'!$H50:$BG50)&lt;52,IF('Capacity summary'!Z50&lt;&gt;"",$BI138*Z138,0),Z138*$BI138),Z138*$BI138),0)</f>
        <v>0</v>
      </c>
      <c r="CD138" s="5">
        <f>IF($BI138&lt;&gt;"",IF('Capacity summary'!$C$14="Yes",IF(COUNTBLANK('Capacity summary'!$H50:$BG50)&lt;52,IF('Capacity summary'!AA50&lt;&gt;"",$BI138*AA138,0),AA138*$BI138),AA138*$BI138),0)</f>
        <v>0</v>
      </c>
      <c r="CE138" s="5">
        <f>IF($BI138&lt;&gt;"",IF('Capacity summary'!$C$14="Yes",IF(COUNTBLANK('Capacity summary'!$H50:$BG50)&lt;52,IF('Capacity summary'!AB50&lt;&gt;"",$BI138*AB138,0),AB138*$BI138),AB138*$BI138),0)</f>
        <v>0</v>
      </c>
      <c r="CF138" s="5">
        <f>IF($BI138&lt;&gt;"",IF('Capacity summary'!$C$14="Yes",IF(COUNTBLANK('Capacity summary'!$H50:$BG50)&lt;52,IF('Capacity summary'!AC50&lt;&gt;"",$BI138*AC138,0),AC138*$BI138),AC138*$BI138),0)</f>
        <v>0</v>
      </c>
      <c r="CG138" s="5">
        <f>IF($BI138&lt;&gt;"",IF('Capacity summary'!$C$14="Yes",IF(COUNTBLANK('Capacity summary'!$H50:$BG50)&lt;52,IF('Capacity summary'!AD50&lt;&gt;"",$BI138*AD138,0),AD138*$BI138),AD138*$BI138),0)</f>
        <v>0</v>
      </c>
      <c r="CH138" s="5">
        <f>IF($BI138&lt;&gt;"",IF('Capacity summary'!$C$14="Yes",IF(COUNTBLANK('Capacity summary'!$H50:$BG50)&lt;52,IF('Capacity summary'!AE50&lt;&gt;"",$BI138*AE138,0),AE138*$BI138),AE138*$BI138),0)</f>
        <v>0</v>
      </c>
      <c r="CI138" s="5">
        <f>IF($BI138&lt;&gt;"",IF('Capacity summary'!$C$14="Yes",IF(COUNTBLANK('Capacity summary'!$H50:$BG50)&lt;52,IF('Capacity summary'!AF50&lt;&gt;"",$BI138*AF138,0),AF138*$BI138),AF138*$BI138),0)</f>
        <v>0</v>
      </c>
      <c r="CJ138" s="5">
        <f>IF($BI138&lt;&gt;"",IF('Capacity summary'!$C$14="Yes",IF(COUNTBLANK('Capacity summary'!$H50:$BG50)&lt;52,IF('Capacity summary'!AG50&lt;&gt;"",$BI138*AG138,0),AG138*$BI138),AG138*$BI138),0)</f>
        <v>0</v>
      </c>
      <c r="CK138" s="5">
        <f>IF($BI138&lt;&gt;"",IF('Capacity summary'!$C$14="Yes",IF(COUNTBLANK('Capacity summary'!$H50:$BG50)&lt;52,IF('Capacity summary'!AH50&lt;&gt;"",$BI138*AH138,0),AH138*$BI138),AH138*$BI138),0)</f>
        <v>0</v>
      </c>
      <c r="CL138" s="5">
        <f>IF($BI138&lt;&gt;"",IF('Capacity summary'!$C$14="Yes",IF(COUNTBLANK('Capacity summary'!$H50:$BG50)&lt;52,IF('Capacity summary'!AI50&lt;&gt;"",$BI138*AI138,0),AI138*$BI138),AI138*$BI138),0)</f>
        <v>0</v>
      </c>
      <c r="CM138" s="5">
        <f>IF($BI138&lt;&gt;"",IF('Capacity summary'!$C$14="Yes",IF(COUNTBLANK('Capacity summary'!$H50:$BG50)&lt;52,IF('Capacity summary'!AJ50&lt;&gt;"",$BI138*AJ138,0),AJ138*$BI138),AJ138*$BI138),0)</f>
        <v>0</v>
      </c>
      <c r="CN138" s="5">
        <f>IF($BI138&lt;&gt;"",IF('Capacity summary'!$C$14="Yes",IF(COUNTBLANK('Capacity summary'!$H50:$BG50)&lt;52,IF('Capacity summary'!AK50&lt;&gt;"",$BI138*AK138,0),AK138*$BI138),AK138*$BI138),0)</f>
        <v>0</v>
      </c>
      <c r="CO138" s="5">
        <f>IF($BI138&lt;&gt;"",IF('Capacity summary'!$C$14="Yes",IF(COUNTBLANK('Capacity summary'!$H50:$BG50)&lt;52,IF('Capacity summary'!AL50&lt;&gt;"",$BI138*AL138,0),AL138*$BI138),AL138*$BI138),0)</f>
        <v>0</v>
      </c>
      <c r="CP138" s="5">
        <f>IF($BI138&lt;&gt;"",IF('Capacity summary'!$C$14="Yes",IF(COUNTBLANK('Capacity summary'!$H50:$BG50)&lt;52,IF('Capacity summary'!AM50&lt;&gt;"",$BI138*AM138,0),AM138*$BI138),AM138*$BI138),0)</f>
        <v>0</v>
      </c>
      <c r="CQ138" s="5">
        <f>IF($BI138&lt;&gt;"",IF('Capacity summary'!$C$14="Yes",IF(COUNTBLANK('Capacity summary'!$H50:$BG50)&lt;52,IF('Capacity summary'!AN50&lt;&gt;"",$BI138*AN138,0),AN138*$BI138),AN138*$BI138),0)</f>
        <v>0</v>
      </c>
      <c r="CR138" s="5">
        <f>IF($BI138&lt;&gt;"",IF('Capacity summary'!$C$14="Yes",IF(COUNTBLANK('Capacity summary'!$H50:$BG50)&lt;52,IF('Capacity summary'!AO50&lt;&gt;"",$BI138*AO138,0),AO138*$BI138),AO138*$BI138),0)</f>
        <v>0</v>
      </c>
      <c r="CS138" s="5">
        <f>IF($BI138&lt;&gt;"",IF('Capacity summary'!$C$14="Yes",IF(COUNTBLANK('Capacity summary'!$H50:$BG50)&lt;52,IF('Capacity summary'!AP50&lt;&gt;"",$BI138*AP138,0),AP138*$BI138),AP138*$BI138),0)</f>
        <v>0</v>
      </c>
      <c r="CT138" s="5">
        <f>IF($BI138&lt;&gt;"",IF('Capacity summary'!$C$14="Yes",IF(COUNTBLANK('Capacity summary'!$H50:$BG50)&lt;52,IF('Capacity summary'!AQ50&lt;&gt;"",$BI138*AQ138,0),AQ138*$BI138),AQ138*$BI138),0)</f>
        <v>0</v>
      </c>
      <c r="CU138" s="5">
        <f>IF($BI138&lt;&gt;"",IF('Capacity summary'!$C$14="Yes",IF(COUNTBLANK('Capacity summary'!$H50:$BG50)&lt;52,IF('Capacity summary'!AR50&lt;&gt;"",$BI138*AR138,0),AR138*$BI138),AR138*$BI138),0)</f>
        <v>0</v>
      </c>
      <c r="CV138" s="5">
        <f>IF($BI138&lt;&gt;"",IF('Capacity summary'!$C$14="Yes",IF(COUNTBLANK('Capacity summary'!$H50:$BG50)&lt;52,IF('Capacity summary'!AS50&lt;&gt;"",$BI138*AS138,0),AS138*$BI138),AS138*$BI138),0)</f>
        <v>0</v>
      </c>
      <c r="CW138" s="5">
        <f>IF($BI138&lt;&gt;"",IF('Capacity summary'!$C$14="Yes",IF(COUNTBLANK('Capacity summary'!$H50:$BG50)&lt;52,IF('Capacity summary'!AT50&lt;&gt;"",$BI138*AT138,0),AT138*$BI138),AT138*$BI138),0)</f>
        <v>0</v>
      </c>
      <c r="CX138" s="5">
        <f>IF($BI138&lt;&gt;"",IF('Capacity summary'!$C$14="Yes",IF(COUNTBLANK('Capacity summary'!$H50:$BG50)&lt;52,IF('Capacity summary'!AU50&lt;&gt;"",$BI138*AU138,0),AU138*$BI138),AU138*$BI138),0)</f>
        <v>0</v>
      </c>
      <c r="CY138" s="5">
        <f>IF($BI138&lt;&gt;"",IF('Capacity summary'!$C$14="Yes",IF(COUNTBLANK('Capacity summary'!$H50:$BG50)&lt;52,IF('Capacity summary'!AV50&lt;&gt;"",$BI138*AV138,0),AV138*$BI138),AV138*$BI138),0)</f>
        <v>0</v>
      </c>
      <c r="CZ138" s="5">
        <f>IF($BI138&lt;&gt;"",IF('Capacity summary'!$C$14="Yes",IF(COUNTBLANK('Capacity summary'!$H50:$BG50)&lt;52,IF('Capacity summary'!AW50&lt;&gt;"",$BI138*AW138,0),AW138*$BI138),AW138*$BI138),0)</f>
        <v>0</v>
      </c>
      <c r="DA138" s="5">
        <f>IF($BI138&lt;&gt;"",IF('Capacity summary'!$C$14="Yes",IF(COUNTBLANK('Capacity summary'!$H50:$BG50)&lt;52,IF('Capacity summary'!AX50&lt;&gt;"",$BI138*AX138,0),AX138*$BI138),AX138*$BI138),0)</f>
        <v>0</v>
      </c>
      <c r="DB138" s="5">
        <f>IF($BI138&lt;&gt;"",IF('Capacity summary'!$C$14="Yes",IF(COUNTBLANK('Capacity summary'!$H50:$BG50)&lt;52,IF('Capacity summary'!AY50&lt;&gt;"",$BI138*AY138,0),AY138*$BI138),AY138*$BI138),0)</f>
        <v>0</v>
      </c>
      <c r="DC138" s="5">
        <f>IF($BI138&lt;&gt;"",IF('Capacity summary'!$C$14="Yes",IF(COUNTBLANK('Capacity summary'!$H50:$BG50)&lt;52,IF('Capacity summary'!AZ50&lt;&gt;"",$BI138*AZ138,0),AZ138*$BI138),AZ138*$BI138),0)</f>
        <v>0</v>
      </c>
      <c r="DD138" s="5">
        <f>IF($BI138&lt;&gt;"",IF('Capacity summary'!$C$14="Yes",IF(COUNTBLANK('Capacity summary'!$H50:$BG50)&lt;52,IF('Capacity summary'!BA50&lt;&gt;"",$BI138*BA138,0),BA138*$BI138),BA138*$BI138),0)</f>
        <v>0</v>
      </c>
      <c r="DE138" s="5">
        <f>IF($BI138&lt;&gt;"",IF('Capacity summary'!$C$14="Yes",IF(COUNTBLANK('Capacity summary'!$H50:$BG50)&lt;52,IF('Capacity summary'!BB50&lt;&gt;"",$BI138*BB138,0),BB138*$BI138),BB138*$BI138),0)</f>
        <v>0</v>
      </c>
      <c r="DF138" s="5">
        <f>IF($BI138&lt;&gt;"",IF('Capacity summary'!$C$14="Yes",IF(COUNTBLANK('Capacity summary'!$H50:$BG50)&lt;52,IF('Capacity summary'!BC50&lt;&gt;"",$BI138*BC138,0),BC138*$BI138),BC138*$BI138),0)</f>
        <v>0</v>
      </c>
      <c r="DG138" s="5">
        <f>IF($BI138&lt;&gt;"",IF('Capacity summary'!$C$14="Yes",IF(COUNTBLANK('Capacity summary'!$H50:$BG50)&lt;52,IF('Capacity summary'!BD50&lt;&gt;"",$BI138*BD138,0),BD138*$BI138),BD138*$BI138),0)</f>
        <v>0</v>
      </c>
      <c r="DH138" s="5">
        <f>IF($BI138&lt;&gt;"",IF('Capacity summary'!$C$14="Yes",IF(COUNTBLANK('Capacity summary'!$H50:$BG50)&lt;52,IF('Capacity summary'!BE50&lt;&gt;"",$BI138*BE138,0),BE138*$BI138),BE138*$BI138),0)</f>
        <v>0</v>
      </c>
      <c r="DI138" s="5">
        <f>IF($BI138&lt;&gt;"",IF('Capacity summary'!$C$14="Yes",IF(COUNTBLANK('Capacity summary'!$H50:$BG50)&lt;52,IF('Capacity summary'!BF50&lt;&gt;"",$BI138*BF138,0),BF138*$BI138),BF138*$BI138),0)</f>
        <v>0</v>
      </c>
      <c r="DJ138" s="5">
        <f>IF($BI138&lt;&gt;"",IF('Capacity summary'!$C$14="Yes",IF(COUNTBLANK('Capacity summary'!$H50:$BG50)&lt;52,IF('Capacity summary'!BG50&lt;&gt;"",$BI138*BG138,0),BG138*$BI138),BG138*$BI138),0)</f>
        <v>0</v>
      </c>
      <c r="DK138" s="138">
        <f t="shared" si="6"/>
        <v>0</v>
      </c>
    </row>
    <row r="139" spans="3:115" x14ac:dyDescent="0.2">
      <c r="C139" s="68" t="str">
        <f>ROW(A28)&amp;". "&amp;Capacity!N44</f>
        <v xml:space="preserve">28. </v>
      </c>
      <c r="D139" s="68">
        <f>'Capacity setup'!C145</f>
        <v>0</v>
      </c>
      <c r="E139" s="68">
        <f>'Capacity setup'!D145</f>
        <v>0</v>
      </c>
      <c r="F139" s="68">
        <f>'Capacity setup'!E145</f>
        <v>0</v>
      </c>
      <c r="H139" s="68">
        <f ca="1">IF(AND(SUMIF(Capacity_Resource,$D139,'Critical resources (hide)'!U$6:U$105)+SUMIF(Capacity_Resource,$E139,'Critical resources (hide)'!U$6:U$105)+SUMIF(Capacity_Resource,$F139,'Critical resources (hide)'!U$6:U$105)&gt;0,$E$1=2),0,1)</f>
        <v>1</v>
      </c>
      <c r="I139" s="68">
        <f ca="1">IF(AND(SUMIF(Capacity_Resource,$D139,'Critical resources (hide)'!V$6:V$105)+SUMIF(Capacity_Resource,$E139,'Critical resources (hide)'!V$6:V$105)+SUMIF(Capacity_Resource,$F139,'Critical resources (hide)'!V$6:V$105)&gt;0,$E$1=2),0,1)</f>
        <v>1</v>
      </c>
      <c r="J139" s="68">
        <f ca="1">IF(AND(SUMIF(Capacity_Resource,$D139,'Critical resources (hide)'!W$6:W$105)+SUMIF(Capacity_Resource,$E139,'Critical resources (hide)'!W$6:W$105)+SUMIF(Capacity_Resource,$F139,'Critical resources (hide)'!W$6:W$105)&gt;0,$E$1=2),0,1)</f>
        <v>1</v>
      </c>
      <c r="K139" s="68">
        <f ca="1">IF(AND(SUMIF(Capacity_Resource,$D139,'Critical resources (hide)'!X$6:X$105)+SUMIF(Capacity_Resource,$E139,'Critical resources (hide)'!X$6:X$105)+SUMIF(Capacity_Resource,$F139,'Critical resources (hide)'!X$6:X$105)&gt;0,$E$1=2),0,1)</f>
        <v>1</v>
      </c>
      <c r="L139" s="68">
        <f ca="1">IF(AND(SUMIF(Capacity_Resource,$D139,'Critical resources (hide)'!Y$6:Y$105)+SUMIF(Capacity_Resource,$E139,'Critical resources (hide)'!Y$6:Y$105)+SUMIF(Capacity_Resource,$F139,'Critical resources (hide)'!Y$6:Y$105)&gt;0,$E$1=2),0,1)</f>
        <v>1</v>
      </c>
      <c r="M139" s="68">
        <f ca="1">IF(AND(SUMIF(Capacity_Resource,$D139,'Critical resources (hide)'!Z$6:Z$105)+SUMIF(Capacity_Resource,$E139,'Critical resources (hide)'!Z$6:Z$105)+SUMIF(Capacity_Resource,$F139,'Critical resources (hide)'!Z$6:Z$105)&gt;0,$E$1=2),0,1)</f>
        <v>1</v>
      </c>
      <c r="N139" s="68">
        <f ca="1">IF(AND(SUMIF(Capacity_Resource,$D139,'Critical resources (hide)'!AA$6:AA$105)+SUMIF(Capacity_Resource,$E139,'Critical resources (hide)'!AA$6:AA$105)+SUMIF(Capacity_Resource,$F139,'Critical resources (hide)'!AA$6:AA$105)&gt;0,$E$1=2),0,1)</f>
        <v>1</v>
      </c>
      <c r="O139" s="68">
        <f ca="1">IF(AND(SUMIF(Capacity_Resource,$D139,'Critical resources (hide)'!AB$6:AB$105)+SUMIF(Capacity_Resource,$E139,'Critical resources (hide)'!AB$6:AB$105)+SUMIF(Capacity_Resource,$F139,'Critical resources (hide)'!AB$6:AB$105)&gt;0,$E$1=2),0,1)</f>
        <v>1</v>
      </c>
      <c r="P139" s="68">
        <f ca="1">IF(AND(SUMIF(Capacity_Resource,$D139,'Critical resources (hide)'!AC$6:AC$105)+SUMIF(Capacity_Resource,$E139,'Critical resources (hide)'!AC$6:AC$105)+SUMIF(Capacity_Resource,$F139,'Critical resources (hide)'!AC$6:AC$105)&gt;0,$E$1=2),0,1)</f>
        <v>1</v>
      </c>
      <c r="Q139" s="68">
        <f ca="1">IF(AND(SUMIF(Capacity_Resource,$D139,'Critical resources (hide)'!AD$6:AD$105)+SUMIF(Capacity_Resource,$E139,'Critical resources (hide)'!AD$6:AD$105)+SUMIF(Capacity_Resource,$F139,'Critical resources (hide)'!AD$6:AD$105)&gt;0,$E$1=2),0,1)</f>
        <v>1</v>
      </c>
      <c r="R139" s="68">
        <f ca="1">IF(AND(SUMIF(Capacity_Resource,$D139,'Critical resources (hide)'!AE$6:AE$105)+SUMIF(Capacity_Resource,$E139,'Critical resources (hide)'!AE$6:AE$105)+SUMIF(Capacity_Resource,$F139,'Critical resources (hide)'!AE$6:AE$105)&gt;0,$E$1=2),0,1)</f>
        <v>1</v>
      </c>
      <c r="S139" s="68">
        <f ca="1">IF(AND(SUMIF(Capacity_Resource,$D139,'Critical resources (hide)'!AF$6:AF$105)+SUMIF(Capacity_Resource,$E139,'Critical resources (hide)'!AF$6:AF$105)+SUMIF(Capacity_Resource,$F139,'Critical resources (hide)'!AF$6:AF$105)&gt;0,$E$1=2),0,1)</f>
        <v>1</v>
      </c>
      <c r="T139" s="68">
        <f ca="1">IF(AND(SUMIF(Capacity_Resource,$D139,'Critical resources (hide)'!AG$6:AG$105)+SUMIF(Capacity_Resource,$E139,'Critical resources (hide)'!AG$6:AG$105)+SUMIF(Capacity_Resource,$F139,'Critical resources (hide)'!AG$6:AG$105)&gt;0,$E$1=2),0,1)</f>
        <v>1</v>
      </c>
      <c r="U139" s="68">
        <f ca="1">IF(AND(SUMIF(Capacity_Resource,$D139,'Critical resources (hide)'!AH$6:AH$105)+SUMIF(Capacity_Resource,$E139,'Critical resources (hide)'!AH$6:AH$105)+SUMIF(Capacity_Resource,$F139,'Critical resources (hide)'!AH$6:AH$105)&gt;0,$E$1=2),0,1)</f>
        <v>1</v>
      </c>
      <c r="V139" s="68">
        <f ca="1">IF(AND(SUMIF(Capacity_Resource,$D139,'Critical resources (hide)'!AI$6:AI$105)+SUMIF(Capacity_Resource,$E139,'Critical resources (hide)'!AI$6:AI$105)+SUMIF(Capacity_Resource,$F139,'Critical resources (hide)'!AI$6:AI$105)&gt;0,$E$1=2),0,1)</f>
        <v>1</v>
      </c>
      <c r="W139" s="68">
        <f ca="1">IF(AND(SUMIF(Capacity_Resource,$D139,'Critical resources (hide)'!AJ$6:AJ$105)+SUMIF(Capacity_Resource,$E139,'Critical resources (hide)'!AJ$6:AJ$105)+SUMIF(Capacity_Resource,$F139,'Critical resources (hide)'!AJ$6:AJ$105)&gt;0,$E$1=2),0,1)</f>
        <v>1</v>
      </c>
      <c r="X139" s="68">
        <f ca="1">IF(AND(SUMIF(Capacity_Resource,$D139,'Critical resources (hide)'!AK$6:AK$105)+SUMIF(Capacity_Resource,$E139,'Critical resources (hide)'!AK$6:AK$105)+SUMIF(Capacity_Resource,$F139,'Critical resources (hide)'!AK$6:AK$105)&gt;0,$E$1=2),0,1)</f>
        <v>1</v>
      </c>
      <c r="Y139" s="68">
        <f ca="1">IF(AND(SUMIF(Capacity_Resource,$D139,'Critical resources (hide)'!AL$6:AL$105)+SUMIF(Capacity_Resource,$E139,'Critical resources (hide)'!AL$6:AL$105)+SUMIF(Capacity_Resource,$F139,'Critical resources (hide)'!AL$6:AL$105)&gt;0,$E$1=2),0,1)</f>
        <v>1</v>
      </c>
      <c r="Z139" s="68">
        <f ca="1">IF(AND(SUMIF(Capacity_Resource,$D139,'Critical resources (hide)'!AM$6:AM$105)+SUMIF(Capacity_Resource,$E139,'Critical resources (hide)'!AM$6:AM$105)+SUMIF(Capacity_Resource,$F139,'Critical resources (hide)'!AM$6:AM$105)&gt;0,$E$1=2),0,1)</f>
        <v>1</v>
      </c>
      <c r="AA139" s="68">
        <f ca="1">IF(AND(SUMIF(Capacity_Resource,$D139,'Critical resources (hide)'!AN$6:AN$105)+SUMIF(Capacity_Resource,$E139,'Critical resources (hide)'!AN$6:AN$105)+SUMIF(Capacity_Resource,$F139,'Critical resources (hide)'!AN$6:AN$105)&gt;0,$E$1=2),0,1)</f>
        <v>1</v>
      </c>
      <c r="AB139" s="68">
        <f ca="1">IF(AND(SUMIF(Capacity_Resource,$D139,'Critical resources (hide)'!AO$6:AO$105)+SUMIF(Capacity_Resource,$E139,'Critical resources (hide)'!AO$6:AO$105)+SUMIF(Capacity_Resource,$F139,'Critical resources (hide)'!AO$6:AO$105)&gt;0,$E$1=2),0,1)</f>
        <v>1</v>
      </c>
      <c r="AC139" s="68">
        <f ca="1">IF(AND(SUMIF(Capacity_Resource,$D139,'Critical resources (hide)'!AP$6:AP$105)+SUMIF(Capacity_Resource,$E139,'Critical resources (hide)'!AP$6:AP$105)+SUMIF(Capacity_Resource,$F139,'Critical resources (hide)'!AP$6:AP$105)&gt;0,$E$1=2),0,1)</f>
        <v>1</v>
      </c>
      <c r="AD139" s="68">
        <f ca="1">IF(AND(SUMIF(Capacity_Resource,$D139,'Critical resources (hide)'!AQ$6:AQ$105)+SUMIF(Capacity_Resource,$E139,'Critical resources (hide)'!AQ$6:AQ$105)+SUMIF(Capacity_Resource,$F139,'Critical resources (hide)'!AQ$6:AQ$105)&gt;0,$E$1=2),0,1)</f>
        <v>1</v>
      </c>
      <c r="AE139" s="68">
        <f ca="1">IF(AND(SUMIF(Capacity_Resource,$D139,'Critical resources (hide)'!AR$6:AR$105)+SUMIF(Capacity_Resource,$E139,'Critical resources (hide)'!AR$6:AR$105)+SUMIF(Capacity_Resource,$F139,'Critical resources (hide)'!AR$6:AR$105)&gt;0,$E$1=2),0,1)</f>
        <v>1</v>
      </c>
      <c r="AF139" s="68">
        <f ca="1">IF(AND(SUMIF(Capacity_Resource,$D139,'Critical resources (hide)'!AS$6:AS$105)+SUMIF(Capacity_Resource,$E139,'Critical resources (hide)'!AS$6:AS$105)+SUMIF(Capacity_Resource,$F139,'Critical resources (hide)'!AS$6:AS$105)&gt;0,$E$1=2),0,1)</f>
        <v>1</v>
      </c>
      <c r="AG139" s="68">
        <f ca="1">IF(AND(SUMIF(Capacity_Resource,$D139,'Critical resources (hide)'!AT$6:AT$105)+SUMIF(Capacity_Resource,$E139,'Critical resources (hide)'!AT$6:AT$105)+SUMIF(Capacity_Resource,$F139,'Critical resources (hide)'!AT$6:AT$105)&gt;0,$E$1=2),0,1)</f>
        <v>1</v>
      </c>
      <c r="AH139" s="68">
        <f ca="1">IF(AND(SUMIF(Capacity_Resource,$D139,'Critical resources (hide)'!AU$6:AU$105)+SUMIF(Capacity_Resource,$E139,'Critical resources (hide)'!AU$6:AU$105)+SUMIF(Capacity_Resource,$F139,'Critical resources (hide)'!AU$6:AU$105)&gt;0,$E$1=2),0,1)</f>
        <v>1</v>
      </c>
      <c r="AI139" s="68">
        <f ca="1">IF(AND(SUMIF(Capacity_Resource,$D139,'Critical resources (hide)'!AV$6:AV$105)+SUMIF(Capacity_Resource,$E139,'Critical resources (hide)'!AV$6:AV$105)+SUMIF(Capacity_Resource,$F139,'Critical resources (hide)'!AV$6:AV$105)&gt;0,$E$1=2),0,1)</f>
        <v>1</v>
      </c>
      <c r="AJ139" s="68">
        <f ca="1">IF(AND(SUMIF(Capacity_Resource,$D139,'Critical resources (hide)'!AW$6:AW$105)+SUMIF(Capacity_Resource,$E139,'Critical resources (hide)'!AW$6:AW$105)+SUMIF(Capacity_Resource,$F139,'Critical resources (hide)'!AW$6:AW$105)&gt;0,$E$1=2),0,1)</f>
        <v>1</v>
      </c>
      <c r="AK139" s="68">
        <f ca="1">IF(AND(SUMIF(Capacity_Resource,$D139,'Critical resources (hide)'!AX$6:AX$105)+SUMIF(Capacity_Resource,$E139,'Critical resources (hide)'!AX$6:AX$105)+SUMIF(Capacity_Resource,$F139,'Critical resources (hide)'!AX$6:AX$105)&gt;0,$E$1=2),0,1)</f>
        <v>1</v>
      </c>
      <c r="AL139" s="68">
        <f ca="1">IF(AND(SUMIF(Capacity_Resource,$D139,'Critical resources (hide)'!AY$6:AY$105)+SUMIF(Capacity_Resource,$E139,'Critical resources (hide)'!AY$6:AY$105)+SUMIF(Capacity_Resource,$F139,'Critical resources (hide)'!AY$6:AY$105)&gt;0,$E$1=2),0,1)</f>
        <v>1</v>
      </c>
      <c r="AM139" s="68">
        <f ca="1">IF(AND(SUMIF(Capacity_Resource,$D139,'Critical resources (hide)'!AZ$6:AZ$105)+SUMIF(Capacity_Resource,$E139,'Critical resources (hide)'!AZ$6:AZ$105)+SUMIF(Capacity_Resource,$F139,'Critical resources (hide)'!AZ$6:AZ$105)&gt;0,$E$1=2),0,1)</f>
        <v>1</v>
      </c>
      <c r="AN139" s="68">
        <f ca="1">IF(AND(SUMIF(Capacity_Resource,$D139,'Critical resources (hide)'!BA$6:BA$105)+SUMIF(Capacity_Resource,$E139,'Critical resources (hide)'!BA$6:BA$105)+SUMIF(Capacity_Resource,$F139,'Critical resources (hide)'!BA$6:BA$105)&gt;0,$E$1=2),0,1)</f>
        <v>1</v>
      </c>
      <c r="AO139" s="68">
        <f ca="1">IF(AND(SUMIF(Capacity_Resource,$D139,'Critical resources (hide)'!BB$6:BB$105)+SUMIF(Capacity_Resource,$E139,'Critical resources (hide)'!BB$6:BB$105)+SUMIF(Capacity_Resource,$F139,'Critical resources (hide)'!BB$6:BB$105)&gt;0,$E$1=2),0,1)</f>
        <v>1</v>
      </c>
      <c r="AP139" s="68">
        <f ca="1">IF(AND(SUMIF(Capacity_Resource,$D139,'Critical resources (hide)'!BC$6:BC$105)+SUMIF(Capacity_Resource,$E139,'Critical resources (hide)'!BC$6:BC$105)+SUMIF(Capacity_Resource,$F139,'Critical resources (hide)'!BC$6:BC$105)&gt;0,$E$1=2),0,1)</f>
        <v>1</v>
      </c>
      <c r="AQ139" s="68">
        <f ca="1">IF(AND(SUMIF(Capacity_Resource,$D139,'Critical resources (hide)'!BD$6:BD$105)+SUMIF(Capacity_Resource,$E139,'Critical resources (hide)'!BD$6:BD$105)+SUMIF(Capacity_Resource,$F139,'Critical resources (hide)'!BD$6:BD$105)&gt;0,$E$1=2),0,1)</f>
        <v>1</v>
      </c>
      <c r="AR139" s="68">
        <f ca="1">IF(AND(SUMIF(Capacity_Resource,$D139,'Critical resources (hide)'!BE$6:BE$105)+SUMIF(Capacity_Resource,$E139,'Critical resources (hide)'!BE$6:BE$105)+SUMIF(Capacity_Resource,$F139,'Critical resources (hide)'!BE$6:BE$105)&gt;0,$E$1=2),0,1)</f>
        <v>1</v>
      </c>
      <c r="AS139" s="68">
        <f ca="1">IF(AND(SUMIF(Capacity_Resource,$D139,'Critical resources (hide)'!BF$6:BF$105)+SUMIF(Capacity_Resource,$E139,'Critical resources (hide)'!BF$6:BF$105)+SUMIF(Capacity_Resource,$F139,'Critical resources (hide)'!BF$6:BF$105)&gt;0,$E$1=2),0,1)</f>
        <v>1</v>
      </c>
      <c r="AT139" s="68">
        <f ca="1">IF(AND(SUMIF(Capacity_Resource,$D139,'Critical resources (hide)'!BG$6:BG$105)+SUMIF(Capacity_Resource,$E139,'Critical resources (hide)'!BG$6:BG$105)+SUMIF(Capacity_Resource,$F139,'Critical resources (hide)'!BG$6:BG$105)&gt;0,$E$1=2),0,1)</f>
        <v>1</v>
      </c>
      <c r="AU139" s="68">
        <f ca="1">IF(AND(SUMIF(Capacity_Resource,$D139,'Critical resources (hide)'!BH$6:BH$105)+SUMIF(Capacity_Resource,$E139,'Critical resources (hide)'!BH$6:BH$105)+SUMIF(Capacity_Resource,$F139,'Critical resources (hide)'!BH$6:BH$105)&gt;0,$E$1=2),0,1)</f>
        <v>1</v>
      </c>
      <c r="AV139" s="68">
        <f ca="1">IF(AND(SUMIF(Capacity_Resource,$D139,'Critical resources (hide)'!BI$6:BI$105)+SUMIF(Capacity_Resource,$E139,'Critical resources (hide)'!BI$6:BI$105)+SUMIF(Capacity_Resource,$F139,'Critical resources (hide)'!BI$6:BI$105)&gt;0,$E$1=2),0,1)</f>
        <v>1</v>
      </c>
      <c r="AW139" s="68">
        <f ca="1">IF(AND(SUMIF(Capacity_Resource,$D139,'Critical resources (hide)'!BJ$6:BJ$105)+SUMIF(Capacity_Resource,$E139,'Critical resources (hide)'!BJ$6:BJ$105)+SUMIF(Capacity_Resource,$F139,'Critical resources (hide)'!BJ$6:BJ$105)&gt;0,$E$1=2),0,1)</f>
        <v>1</v>
      </c>
      <c r="AX139" s="68">
        <f ca="1">IF(AND(SUMIF(Capacity_Resource,$D139,'Critical resources (hide)'!BK$6:BK$105)+SUMIF(Capacity_Resource,$E139,'Critical resources (hide)'!BK$6:BK$105)+SUMIF(Capacity_Resource,$F139,'Critical resources (hide)'!BK$6:BK$105)&gt;0,$E$1=2),0,1)</f>
        <v>1</v>
      </c>
      <c r="AY139" s="68">
        <f ca="1">IF(AND(SUMIF(Capacity_Resource,$D139,'Critical resources (hide)'!BL$6:BL$105)+SUMIF(Capacity_Resource,$E139,'Critical resources (hide)'!BL$6:BL$105)+SUMIF(Capacity_Resource,$F139,'Critical resources (hide)'!BL$6:BL$105)&gt;0,$E$1=2),0,1)</f>
        <v>1</v>
      </c>
      <c r="AZ139" s="68">
        <f ca="1">IF(AND(SUMIF(Capacity_Resource,$D139,'Critical resources (hide)'!BM$6:BM$105)+SUMIF(Capacity_Resource,$E139,'Critical resources (hide)'!BM$6:BM$105)+SUMIF(Capacity_Resource,$F139,'Critical resources (hide)'!BM$6:BM$105)&gt;0,$E$1=2),0,1)</f>
        <v>1</v>
      </c>
      <c r="BA139" s="68">
        <f ca="1">IF(AND(SUMIF(Capacity_Resource,$D139,'Critical resources (hide)'!BN$6:BN$105)+SUMIF(Capacity_Resource,$E139,'Critical resources (hide)'!BN$6:BN$105)+SUMIF(Capacity_Resource,$F139,'Critical resources (hide)'!BN$6:BN$105)&gt;0,$E$1=2),0,1)</f>
        <v>1</v>
      </c>
      <c r="BB139" s="68">
        <f ca="1">IF(AND(SUMIF(Capacity_Resource,$D139,'Critical resources (hide)'!BO$6:BO$105)+SUMIF(Capacity_Resource,$E139,'Critical resources (hide)'!BO$6:BO$105)+SUMIF(Capacity_Resource,$F139,'Critical resources (hide)'!BO$6:BO$105)&gt;0,$E$1=2),0,1)</f>
        <v>1</v>
      </c>
      <c r="BC139" s="68">
        <f ca="1">IF(AND(SUMIF(Capacity_Resource,$D139,'Critical resources (hide)'!BP$6:BP$105)+SUMIF(Capacity_Resource,$E139,'Critical resources (hide)'!BP$6:BP$105)+SUMIF(Capacity_Resource,$F139,'Critical resources (hide)'!BP$6:BP$105)&gt;0,$E$1=2),0,1)</f>
        <v>1</v>
      </c>
      <c r="BD139" s="68">
        <f ca="1">IF(AND(SUMIF(Capacity_Resource,$D139,'Critical resources (hide)'!BQ$6:BQ$105)+SUMIF(Capacity_Resource,$E139,'Critical resources (hide)'!BQ$6:BQ$105)+SUMIF(Capacity_Resource,$F139,'Critical resources (hide)'!BQ$6:BQ$105)&gt;0,$E$1=2),0,1)</f>
        <v>1</v>
      </c>
      <c r="BE139" s="68">
        <f ca="1">IF(AND(SUMIF(Capacity_Resource,$D139,'Critical resources (hide)'!BR$6:BR$105)+SUMIF(Capacity_Resource,$E139,'Critical resources (hide)'!BR$6:BR$105)+SUMIF(Capacity_Resource,$F139,'Critical resources (hide)'!BR$6:BR$105)&gt;0,$E$1=2),0,1)</f>
        <v>1</v>
      </c>
      <c r="BF139" s="68">
        <f ca="1">IF(AND(SUMIF(Capacity_Resource,$D139,'Critical resources (hide)'!BS$6:BS$105)+SUMIF(Capacity_Resource,$E139,'Critical resources (hide)'!BS$6:BS$105)+SUMIF(Capacity_Resource,$F139,'Critical resources (hide)'!BS$6:BS$105)&gt;0,$E$1=2),0,1)</f>
        <v>1</v>
      </c>
      <c r="BG139" s="68">
        <f ca="1">IF(AND(SUMIF(Capacity_Resource,$D139,'Critical resources (hide)'!BT$6:BT$105)+SUMIF(Capacity_Resource,$E139,'Critical resources (hide)'!BT$6:BT$105)+SUMIF(Capacity_Resource,$F139,'Critical resources (hide)'!BT$6:BT$105)&gt;0,$E$1=2),0,1)</f>
        <v>1</v>
      </c>
      <c r="BH139" s="68">
        <f>IF(ROW(A28)&lt;=Capacity!$M$16,IF('Capacity summary'!$C$14="No",SUM(H139:BG139),'Capacity summary'!$E51),0)</f>
        <v>0</v>
      </c>
      <c r="BI139" s="68" t="str">
        <f>IF(BH139&gt;0,IF(BH139&lt;Capacity!Q44,Capacity!R44,Capacity!T44/'Capacity calculation (hide)'!BH139),"")</f>
        <v/>
      </c>
      <c r="BJ139" s="5"/>
      <c r="BK139" s="5">
        <f>IF($BI139&lt;&gt;"",IF('Capacity summary'!$C$14="Yes",IF(COUNTBLANK('Capacity summary'!$H51:$BG51)&lt;52,IF('Capacity summary'!H51&lt;&gt;"",$BI139*H139,0),H139*$BI139),H139*$BI139),0)</f>
        <v>0</v>
      </c>
      <c r="BL139" s="5">
        <f>IF($BI139&lt;&gt;"",IF('Capacity summary'!$C$14="Yes",IF(COUNTBLANK('Capacity summary'!$H51:$BG51)&lt;52,IF('Capacity summary'!I51&lt;&gt;"",$BI139*I139,0),I139*$BI139),I139*$BI139),0)</f>
        <v>0</v>
      </c>
      <c r="BM139" s="5">
        <f>IF($BI139&lt;&gt;"",IF('Capacity summary'!$C$14="Yes",IF(COUNTBLANK('Capacity summary'!$H51:$BG51)&lt;52,IF('Capacity summary'!J51&lt;&gt;"",$BI139*J139,0),J139*$BI139),J139*$BI139),0)</f>
        <v>0</v>
      </c>
      <c r="BN139" s="5">
        <f>IF($BI139&lt;&gt;"",IF('Capacity summary'!$C$14="Yes",IF(COUNTBLANK('Capacity summary'!$H51:$BG51)&lt;52,IF('Capacity summary'!K51&lt;&gt;"",$BI139*K139,0),K139*$BI139),K139*$BI139),0)</f>
        <v>0</v>
      </c>
      <c r="BO139" s="5">
        <f>IF($BI139&lt;&gt;"",IF('Capacity summary'!$C$14="Yes",IF(COUNTBLANK('Capacity summary'!$H51:$BG51)&lt;52,IF('Capacity summary'!L51&lt;&gt;"",$BI139*L139,0),L139*$BI139),L139*$BI139),0)</f>
        <v>0</v>
      </c>
      <c r="BP139" s="5">
        <f>IF($BI139&lt;&gt;"",IF('Capacity summary'!$C$14="Yes",IF(COUNTBLANK('Capacity summary'!$H51:$BG51)&lt;52,IF('Capacity summary'!M51&lt;&gt;"",$BI139*M139,0),M139*$BI139),M139*$BI139),0)</f>
        <v>0</v>
      </c>
      <c r="BQ139" s="5">
        <f>IF($BI139&lt;&gt;"",IF('Capacity summary'!$C$14="Yes",IF(COUNTBLANK('Capacity summary'!$H51:$BG51)&lt;52,IF('Capacity summary'!N51&lt;&gt;"",$BI139*N139,0),N139*$BI139),N139*$BI139),0)</f>
        <v>0</v>
      </c>
      <c r="BR139" s="5">
        <f>IF($BI139&lt;&gt;"",IF('Capacity summary'!$C$14="Yes",IF(COUNTBLANK('Capacity summary'!$H51:$BG51)&lt;52,IF('Capacity summary'!O51&lt;&gt;"",$BI139*O139,0),O139*$BI139),O139*$BI139),0)</f>
        <v>0</v>
      </c>
      <c r="BS139" s="5">
        <f>IF($BI139&lt;&gt;"",IF('Capacity summary'!$C$14="Yes",IF(COUNTBLANK('Capacity summary'!$H51:$BG51)&lt;52,IF('Capacity summary'!P51&lt;&gt;"",$BI139*P139,0),P139*$BI139),P139*$BI139),0)</f>
        <v>0</v>
      </c>
      <c r="BT139" s="5">
        <f>IF($BI139&lt;&gt;"",IF('Capacity summary'!$C$14="Yes",IF(COUNTBLANK('Capacity summary'!$H51:$BG51)&lt;52,IF('Capacity summary'!Q51&lt;&gt;"",$BI139*Q139,0),Q139*$BI139),Q139*$BI139),0)</f>
        <v>0</v>
      </c>
      <c r="BU139" s="5">
        <f>IF($BI139&lt;&gt;"",IF('Capacity summary'!$C$14="Yes",IF(COUNTBLANK('Capacity summary'!$H51:$BG51)&lt;52,IF('Capacity summary'!R51&lt;&gt;"",$BI139*R139,0),R139*$BI139),R139*$BI139),0)</f>
        <v>0</v>
      </c>
      <c r="BV139" s="5">
        <f>IF($BI139&lt;&gt;"",IF('Capacity summary'!$C$14="Yes",IF(COUNTBLANK('Capacity summary'!$H51:$BG51)&lt;52,IF('Capacity summary'!S51&lt;&gt;"",$BI139*S139,0),S139*$BI139),S139*$BI139),0)</f>
        <v>0</v>
      </c>
      <c r="BW139" s="5">
        <f>IF($BI139&lt;&gt;"",IF('Capacity summary'!$C$14="Yes",IF(COUNTBLANK('Capacity summary'!$H51:$BG51)&lt;52,IF('Capacity summary'!T51&lt;&gt;"",$BI139*T139,0),T139*$BI139),T139*$BI139),0)</f>
        <v>0</v>
      </c>
      <c r="BX139" s="5">
        <f>IF($BI139&lt;&gt;"",IF('Capacity summary'!$C$14="Yes",IF(COUNTBLANK('Capacity summary'!$H51:$BG51)&lt;52,IF('Capacity summary'!U51&lt;&gt;"",$BI139*U139,0),U139*$BI139),U139*$BI139),0)</f>
        <v>0</v>
      </c>
      <c r="BY139" s="5">
        <f>IF($BI139&lt;&gt;"",IF('Capacity summary'!$C$14="Yes",IF(COUNTBLANK('Capacity summary'!$H51:$BG51)&lt;52,IF('Capacity summary'!V51&lt;&gt;"",$BI139*V139,0),V139*$BI139),V139*$BI139),0)</f>
        <v>0</v>
      </c>
      <c r="BZ139" s="5">
        <f>IF($BI139&lt;&gt;"",IF('Capacity summary'!$C$14="Yes",IF(COUNTBLANK('Capacity summary'!$H51:$BG51)&lt;52,IF('Capacity summary'!W51&lt;&gt;"",$BI139*W139,0),W139*$BI139),W139*$BI139),0)</f>
        <v>0</v>
      </c>
      <c r="CA139" s="5">
        <f>IF($BI139&lt;&gt;"",IF('Capacity summary'!$C$14="Yes",IF(COUNTBLANK('Capacity summary'!$H51:$BG51)&lt;52,IF('Capacity summary'!X51&lt;&gt;"",$BI139*X139,0),X139*$BI139),X139*$BI139),0)</f>
        <v>0</v>
      </c>
      <c r="CB139" s="5">
        <f>IF($BI139&lt;&gt;"",IF('Capacity summary'!$C$14="Yes",IF(COUNTBLANK('Capacity summary'!$H51:$BG51)&lt;52,IF('Capacity summary'!Y51&lt;&gt;"",$BI139*Y139,0),Y139*$BI139),Y139*$BI139),0)</f>
        <v>0</v>
      </c>
      <c r="CC139" s="5">
        <f>IF($BI139&lt;&gt;"",IF('Capacity summary'!$C$14="Yes",IF(COUNTBLANK('Capacity summary'!$H51:$BG51)&lt;52,IF('Capacity summary'!Z51&lt;&gt;"",$BI139*Z139,0),Z139*$BI139),Z139*$BI139),0)</f>
        <v>0</v>
      </c>
      <c r="CD139" s="5">
        <f>IF($BI139&lt;&gt;"",IF('Capacity summary'!$C$14="Yes",IF(COUNTBLANK('Capacity summary'!$H51:$BG51)&lt;52,IF('Capacity summary'!AA51&lt;&gt;"",$BI139*AA139,0),AA139*$BI139),AA139*$BI139),0)</f>
        <v>0</v>
      </c>
      <c r="CE139" s="5">
        <f>IF($BI139&lt;&gt;"",IF('Capacity summary'!$C$14="Yes",IF(COUNTBLANK('Capacity summary'!$H51:$BG51)&lt;52,IF('Capacity summary'!AB51&lt;&gt;"",$BI139*AB139,0),AB139*$BI139),AB139*$BI139),0)</f>
        <v>0</v>
      </c>
      <c r="CF139" s="5">
        <f>IF($BI139&lt;&gt;"",IF('Capacity summary'!$C$14="Yes",IF(COUNTBLANK('Capacity summary'!$H51:$BG51)&lt;52,IF('Capacity summary'!AC51&lt;&gt;"",$BI139*AC139,0),AC139*$BI139),AC139*$BI139),0)</f>
        <v>0</v>
      </c>
      <c r="CG139" s="5">
        <f>IF($BI139&lt;&gt;"",IF('Capacity summary'!$C$14="Yes",IF(COUNTBLANK('Capacity summary'!$H51:$BG51)&lt;52,IF('Capacity summary'!AD51&lt;&gt;"",$BI139*AD139,0),AD139*$BI139),AD139*$BI139),0)</f>
        <v>0</v>
      </c>
      <c r="CH139" s="5">
        <f>IF($BI139&lt;&gt;"",IF('Capacity summary'!$C$14="Yes",IF(COUNTBLANK('Capacity summary'!$H51:$BG51)&lt;52,IF('Capacity summary'!AE51&lt;&gt;"",$BI139*AE139,0),AE139*$BI139),AE139*$BI139),0)</f>
        <v>0</v>
      </c>
      <c r="CI139" s="5">
        <f>IF($BI139&lt;&gt;"",IF('Capacity summary'!$C$14="Yes",IF(COUNTBLANK('Capacity summary'!$H51:$BG51)&lt;52,IF('Capacity summary'!AF51&lt;&gt;"",$BI139*AF139,0),AF139*$BI139),AF139*$BI139),0)</f>
        <v>0</v>
      </c>
      <c r="CJ139" s="5">
        <f>IF($BI139&lt;&gt;"",IF('Capacity summary'!$C$14="Yes",IF(COUNTBLANK('Capacity summary'!$H51:$BG51)&lt;52,IF('Capacity summary'!AG51&lt;&gt;"",$BI139*AG139,0),AG139*$BI139),AG139*$BI139),0)</f>
        <v>0</v>
      </c>
      <c r="CK139" s="5">
        <f>IF($BI139&lt;&gt;"",IF('Capacity summary'!$C$14="Yes",IF(COUNTBLANK('Capacity summary'!$H51:$BG51)&lt;52,IF('Capacity summary'!AH51&lt;&gt;"",$BI139*AH139,0),AH139*$BI139),AH139*$BI139),0)</f>
        <v>0</v>
      </c>
      <c r="CL139" s="5">
        <f>IF($BI139&lt;&gt;"",IF('Capacity summary'!$C$14="Yes",IF(COUNTBLANK('Capacity summary'!$H51:$BG51)&lt;52,IF('Capacity summary'!AI51&lt;&gt;"",$BI139*AI139,0),AI139*$BI139),AI139*$BI139),0)</f>
        <v>0</v>
      </c>
      <c r="CM139" s="5">
        <f>IF($BI139&lt;&gt;"",IF('Capacity summary'!$C$14="Yes",IF(COUNTBLANK('Capacity summary'!$H51:$BG51)&lt;52,IF('Capacity summary'!AJ51&lt;&gt;"",$BI139*AJ139,0),AJ139*$BI139),AJ139*$BI139),0)</f>
        <v>0</v>
      </c>
      <c r="CN139" s="5">
        <f>IF($BI139&lt;&gt;"",IF('Capacity summary'!$C$14="Yes",IF(COUNTBLANK('Capacity summary'!$H51:$BG51)&lt;52,IF('Capacity summary'!AK51&lt;&gt;"",$BI139*AK139,0),AK139*$BI139),AK139*$BI139),0)</f>
        <v>0</v>
      </c>
      <c r="CO139" s="5">
        <f>IF($BI139&lt;&gt;"",IF('Capacity summary'!$C$14="Yes",IF(COUNTBLANK('Capacity summary'!$H51:$BG51)&lt;52,IF('Capacity summary'!AL51&lt;&gt;"",$BI139*AL139,0),AL139*$BI139),AL139*$BI139),0)</f>
        <v>0</v>
      </c>
      <c r="CP139" s="5">
        <f>IF($BI139&lt;&gt;"",IF('Capacity summary'!$C$14="Yes",IF(COUNTBLANK('Capacity summary'!$H51:$BG51)&lt;52,IF('Capacity summary'!AM51&lt;&gt;"",$BI139*AM139,0),AM139*$BI139),AM139*$BI139),0)</f>
        <v>0</v>
      </c>
      <c r="CQ139" s="5">
        <f>IF($BI139&lt;&gt;"",IF('Capacity summary'!$C$14="Yes",IF(COUNTBLANK('Capacity summary'!$H51:$BG51)&lt;52,IF('Capacity summary'!AN51&lt;&gt;"",$BI139*AN139,0),AN139*$BI139),AN139*$BI139),0)</f>
        <v>0</v>
      </c>
      <c r="CR139" s="5">
        <f>IF($BI139&lt;&gt;"",IF('Capacity summary'!$C$14="Yes",IF(COUNTBLANK('Capacity summary'!$H51:$BG51)&lt;52,IF('Capacity summary'!AO51&lt;&gt;"",$BI139*AO139,0),AO139*$BI139),AO139*$BI139),0)</f>
        <v>0</v>
      </c>
      <c r="CS139" s="5">
        <f>IF($BI139&lt;&gt;"",IF('Capacity summary'!$C$14="Yes",IF(COUNTBLANK('Capacity summary'!$H51:$BG51)&lt;52,IF('Capacity summary'!AP51&lt;&gt;"",$BI139*AP139,0),AP139*$BI139),AP139*$BI139),0)</f>
        <v>0</v>
      </c>
      <c r="CT139" s="5">
        <f>IF($BI139&lt;&gt;"",IF('Capacity summary'!$C$14="Yes",IF(COUNTBLANK('Capacity summary'!$H51:$BG51)&lt;52,IF('Capacity summary'!AQ51&lt;&gt;"",$BI139*AQ139,0),AQ139*$BI139),AQ139*$BI139),0)</f>
        <v>0</v>
      </c>
      <c r="CU139" s="5">
        <f>IF($BI139&lt;&gt;"",IF('Capacity summary'!$C$14="Yes",IF(COUNTBLANK('Capacity summary'!$H51:$BG51)&lt;52,IF('Capacity summary'!AR51&lt;&gt;"",$BI139*AR139,0),AR139*$BI139),AR139*$BI139),0)</f>
        <v>0</v>
      </c>
      <c r="CV139" s="5">
        <f>IF($BI139&lt;&gt;"",IF('Capacity summary'!$C$14="Yes",IF(COUNTBLANK('Capacity summary'!$H51:$BG51)&lt;52,IF('Capacity summary'!AS51&lt;&gt;"",$BI139*AS139,0),AS139*$BI139),AS139*$BI139),0)</f>
        <v>0</v>
      </c>
      <c r="CW139" s="5">
        <f>IF($BI139&lt;&gt;"",IF('Capacity summary'!$C$14="Yes",IF(COUNTBLANK('Capacity summary'!$H51:$BG51)&lt;52,IF('Capacity summary'!AT51&lt;&gt;"",$BI139*AT139,0),AT139*$BI139),AT139*$BI139),0)</f>
        <v>0</v>
      </c>
      <c r="CX139" s="5">
        <f>IF($BI139&lt;&gt;"",IF('Capacity summary'!$C$14="Yes",IF(COUNTBLANK('Capacity summary'!$H51:$BG51)&lt;52,IF('Capacity summary'!AU51&lt;&gt;"",$BI139*AU139,0),AU139*$BI139),AU139*$BI139),0)</f>
        <v>0</v>
      </c>
      <c r="CY139" s="5">
        <f>IF($BI139&lt;&gt;"",IF('Capacity summary'!$C$14="Yes",IF(COUNTBLANK('Capacity summary'!$H51:$BG51)&lt;52,IF('Capacity summary'!AV51&lt;&gt;"",$BI139*AV139,0),AV139*$BI139),AV139*$BI139),0)</f>
        <v>0</v>
      </c>
      <c r="CZ139" s="5">
        <f>IF($BI139&lt;&gt;"",IF('Capacity summary'!$C$14="Yes",IF(COUNTBLANK('Capacity summary'!$H51:$BG51)&lt;52,IF('Capacity summary'!AW51&lt;&gt;"",$BI139*AW139,0),AW139*$BI139),AW139*$BI139),0)</f>
        <v>0</v>
      </c>
      <c r="DA139" s="5">
        <f>IF($BI139&lt;&gt;"",IF('Capacity summary'!$C$14="Yes",IF(COUNTBLANK('Capacity summary'!$H51:$BG51)&lt;52,IF('Capacity summary'!AX51&lt;&gt;"",$BI139*AX139,0),AX139*$BI139),AX139*$BI139),0)</f>
        <v>0</v>
      </c>
      <c r="DB139" s="5">
        <f>IF($BI139&lt;&gt;"",IF('Capacity summary'!$C$14="Yes",IF(COUNTBLANK('Capacity summary'!$H51:$BG51)&lt;52,IF('Capacity summary'!AY51&lt;&gt;"",$BI139*AY139,0),AY139*$BI139),AY139*$BI139),0)</f>
        <v>0</v>
      </c>
      <c r="DC139" s="5">
        <f>IF($BI139&lt;&gt;"",IF('Capacity summary'!$C$14="Yes",IF(COUNTBLANK('Capacity summary'!$H51:$BG51)&lt;52,IF('Capacity summary'!AZ51&lt;&gt;"",$BI139*AZ139,0),AZ139*$BI139),AZ139*$BI139),0)</f>
        <v>0</v>
      </c>
      <c r="DD139" s="5">
        <f>IF($BI139&lt;&gt;"",IF('Capacity summary'!$C$14="Yes",IF(COUNTBLANK('Capacity summary'!$H51:$BG51)&lt;52,IF('Capacity summary'!BA51&lt;&gt;"",$BI139*BA139,0),BA139*$BI139),BA139*$BI139),0)</f>
        <v>0</v>
      </c>
      <c r="DE139" s="5">
        <f>IF($BI139&lt;&gt;"",IF('Capacity summary'!$C$14="Yes",IF(COUNTBLANK('Capacity summary'!$H51:$BG51)&lt;52,IF('Capacity summary'!BB51&lt;&gt;"",$BI139*BB139,0),BB139*$BI139),BB139*$BI139),0)</f>
        <v>0</v>
      </c>
      <c r="DF139" s="5">
        <f>IF($BI139&lt;&gt;"",IF('Capacity summary'!$C$14="Yes",IF(COUNTBLANK('Capacity summary'!$H51:$BG51)&lt;52,IF('Capacity summary'!BC51&lt;&gt;"",$BI139*BC139,0),BC139*$BI139),BC139*$BI139),0)</f>
        <v>0</v>
      </c>
      <c r="DG139" s="5">
        <f>IF($BI139&lt;&gt;"",IF('Capacity summary'!$C$14="Yes",IF(COUNTBLANK('Capacity summary'!$H51:$BG51)&lt;52,IF('Capacity summary'!BD51&lt;&gt;"",$BI139*BD139,0),BD139*$BI139),BD139*$BI139),0)</f>
        <v>0</v>
      </c>
      <c r="DH139" s="5">
        <f>IF($BI139&lt;&gt;"",IF('Capacity summary'!$C$14="Yes",IF(COUNTBLANK('Capacity summary'!$H51:$BG51)&lt;52,IF('Capacity summary'!BE51&lt;&gt;"",$BI139*BE139,0),BE139*$BI139),BE139*$BI139),0)</f>
        <v>0</v>
      </c>
      <c r="DI139" s="5">
        <f>IF($BI139&lt;&gt;"",IF('Capacity summary'!$C$14="Yes",IF(COUNTBLANK('Capacity summary'!$H51:$BG51)&lt;52,IF('Capacity summary'!BF51&lt;&gt;"",$BI139*BF139,0),BF139*$BI139),BF139*$BI139),0)</f>
        <v>0</v>
      </c>
      <c r="DJ139" s="5">
        <f>IF($BI139&lt;&gt;"",IF('Capacity summary'!$C$14="Yes",IF(COUNTBLANK('Capacity summary'!$H51:$BG51)&lt;52,IF('Capacity summary'!BG51&lt;&gt;"",$BI139*BG139,0),BG139*$BI139),BG139*$BI139),0)</f>
        <v>0</v>
      </c>
      <c r="DK139" s="138">
        <f t="shared" si="6"/>
        <v>0</v>
      </c>
    </row>
    <row r="140" spans="3:115" x14ac:dyDescent="0.2">
      <c r="C140" s="68" t="str">
        <f>ROW(A29)&amp;". "&amp;Capacity!N45</f>
        <v xml:space="preserve">29. </v>
      </c>
      <c r="D140" s="68">
        <f>'Capacity setup'!C146</f>
        <v>0</v>
      </c>
      <c r="E140" s="68">
        <f>'Capacity setup'!D146</f>
        <v>0</v>
      </c>
      <c r="F140" s="68">
        <f>'Capacity setup'!E146</f>
        <v>0</v>
      </c>
      <c r="H140" s="68">
        <f ca="1">IF(AND(SUMIF(Capacity_Resource,$D140,'Critical resources (hide)'!U$6:U$105)+SUMIF(Capacity_Resource,$E140,'Critical resources (hide)'!U$6:U$105)+SUMIF(Capacity_Resource,$F140,'Critical resources (hide)'!U$6:U$105)&gt;0,$E$1=2),0,1)</f>
        <v>1</v>
      </c>
      <c r="I140" s="68">
        <f ca="1">IF(AND(SUMIF(Capacity_Resource,$D140,'Critical resources (hide)'!V$6:V$105)+SUMIF(Capacity_Resource,$E140,'Critical resources (hide)'!V$6:V$105)+SUMIF(Capacity_Resource,$F140,'Critical resources (hide)'!V$6:V$105)&gt;0,$E$1=2),0,1)</f>
        <v>1</v>
      </c>
      <c r="J140" s="68">
        <f ca="1">IF(AND(SUMIF(Capacity_Resource,$D140,'Critical resources (hide)'!W$6:W$105)+SUMIF(Capacity_Resource,$E140,'Critical resources (hide)'!W$6:W$105)+SUMIF(Capacity_Resource,$F140,'Critical resources (hide)'!W$6:W$105)&gt;0,$E$1=2),0,1)</f>
        <v>1</v>
      </c>
      <c r="K140" s="68">
        <f ca="1">IF(AND(SUMIF(Capacity_Resource,$D140,'Critical resources (hide)'!X$6:X$105)+SUMIF(Capacity_Resource,$E140,'Critical resources (hide)'!X$6:X$105)+SUMIF(Capacity_Resource,$F140,'Critical resources (hide)'!X$6:X$105)&gt;0,$E$1=2),0,1)</f>
        <v>1</v>
      </c>
      <c r="L140" s="68">
        <f ca="1">IF(AND(SUMIF(Capacity_Resource,$D140,'Critical resources (hide)'!Y$6:Y$105)+SUMIF(Capacity_Resource,$E140,'Critical resources (hide)'!Y$6:Y$105)+SUMIF(Capacity_Resource,$F140,'Critical resources (hide)'!Y$6:Y$105)&gt;0,$E$1=2),0,1)</f>
        <v>1</v>
      </c>
      <c r="M140" s="68">
        <f ca="1">IF(AND(SUMIF(Capacity_Resource,$D140,'Critical resources (hide)'!Z$6:Z$105)+SUMIF(Capacity_Resource,$E140,'Critical resources (hide)'!Z$6:Z$105)+SUMIF(Capacity_Resource,$F140,'Critical resources (hide)'!Z$6:Z$105)&gt;0,$E$1=2),0,1)</f>
        <v>1</v>
      </c>
      <c r="N140" s="68">
        <f ca="1">IF(AND(SUMIF(Capacity_Resource,$D140,'Critical resources (hide)'!AA$6:AA$105)+SUMIF(Capacity_Resource,$E140,'Critical resources (hide)'!AA$6:AA$105)+SUMIF(Capacity_Resource,$F140,'Critical resources (hide)'!AA$6:AA$105)&gt;0,$E$1=2),0,1)</f>
        <v>1</v>
      </c>
      <c r="O140" s="68">
        <f ca="1">IF(AND(SUMIF(Capacity_Resource,$D140,'Critical resources (hide)'!AB$6:AB$105)+SUMIF(Capacity_Resource,$E140,'Critical resources (hide)'!AB$6:AB$105)+SUMIF(Capacity_Resource,$F140,'Critical resources (hide)'!AB$6:AB$105)&gt;0,$E$1=2),0,1)</f>
        <v>1</v>
      </c>
      <c r="P140" s="68">
        <f ca="1">IF(AND(SUMIF(Capacity_Resource,$D140,'Critical resources (hide)'!AC$6:AC$105)+SUMIF(Capacity_Resource,$E140,'Critical resources (hide)'!AC$6:AC$105)+SUMIF(Capacity_Resource,$F140,'Critical resources (hide)'!AC$6:AC$105)&gt;0,$E$1=2),0,1)</f>
        <v>1</v>
      </c>
      <c r="Q140" s="68">
        <f ca="1">IF(AND(SUMIF(Capacity_Resource,$D140,'Critical resources (hide)'!AD$6:AD$105)+SUMIF(Capacity_Resource,$E140,'Critical resources (hide)'!AD$6:AD$105)+SUMIF(Capacity_Resource,$F140,'Critical resources (hide)'!AD$6:AD$105)&gt;0,$E$1=2),0,1)</f>
        <v>1</v>
      </c>
      <c r="R140" s="68">
        <f ca="1">IF(AND(SUMIF(Capacity_Resource,$D140,'Critical resources (hide)'!AE$6:AE$105)+SUMIF(Capacity_Resource,$E140,'Critical resources (hide)'!AE$6:AE$105)+SUMIF(Capacity_Resource,$F140,'Critical resources (hide)'!AE$6:AE$105)&gt;0,$E$1=2),0,1)</f>
        <v>1</v>
      </c>
      <c r="S140" s="68">
        <f ca="1">IF(AND(SUMIF(Capacity_Resource,$D140,'Critical resources (hide)'!AF$6:AF$105)+SUMIF(Capacity_Resource,$E140,'Critical resources (hide)'!AF$6:AF$105)+SUMIF(Capacity_Resource,$F140,'Critical resources (hide)'!AF$6:AF$105)&gt;0,$E$1=2),0,1)</f>
        <v>1</v>
      </c>
      <c r="T140" s="68">
        <f ca="1">IF(AND(SUMIF(Capacity_Resource,$D140,'Critical resources (hide)'!AG$6:AG$105)+SUMIF(Capacity_Resource,$E140,'Critical resources (hide)'!AG$6:AG$105)+SUMIF(Capacity_Resource,$F140,'Critical resources (hide)'!AG$6:AG$105)&gt;0,$E$1=2),0,1)</f>
        <v>1</v>
      </c>
      <c r="U140" s="68">
        <f ca="1">IF(AND(SUMIF(Capacity_Resource,$D140,'Critical resources (hide)'!AH$6:AH$105)+SUMIF(Capacity_Resource,$E140,'Critical resources (hide)'!AH$6:AH$105)+SUMIF(Capacity_Resource,$F140,'Critical resources (hide)'!AH$6:AH$105)&gt;0,$E$1=2),0,1)</f>
        <v>1</v>
      </c>
      <c r="V140" s="68">
        <f ca="1">IF(AND(SUMIF(Capacity_Resource,$D140,'Critical resources (hide)'!AI$6:AI$105)+SUMIF(Capacity_Resource,$E140,'Critical resources (hide)'!AI$6:AI$105)+SUMIF(Capacity_Resource,$F140,'Critical resources (hide)'!AI$6:AI$105)&gt;0,$E$1=2),0,1)</f>
        <v>1</v>
      </c>
      <c r="W140" s="68">
        <f ca="1">IF(AND(SUMIF(Capacity_Resource,$D140,'Critical resources (hide)'!AJ$6:AJ$105)+SUMIF(Capacity_Resource,$E140,'Critical resources (hide)'!AJ$6:AJ$105)+SUMIF(Capacity_Resource,$F140,'Critical resources (hide)'!AJ$6:AJ$105)&gt;0,$E$1=2),0,1)</f>
        <v>1</v>
      </c>
      <c r="X140" s="68">
        <f ca="1">IF(AND(SUMIF(Capacity_Resource,$D140,'Critical resources (hide)'!AK$6:AK$105)+SUMIF(Capacity_Resource,$E140,'Critical resources (hide)'!AK$6:AK$105)+SUMIF(Capacity_Resource,$F140,'Critical resources (hide)'!AK$6:AK$105)&gt;0,$E$1=2),0,1)</f>
        <v>1</v>
      </c>
      <c r="Y140" s="68">
        <f ca="1">IF(AND(SUMIF(Capacity_Resource,$D140,'Critical resources (hide)'!AL$6:AL$105)+SUMIF(Capacity_Resource,$E140,'Critical resources (hide)'!AL$6:AL$105)+SUMIF(Capacity_Resource,$F140,'Critical resources (hide)'!AL$6:AL$105)&gt;0,$E$1=2),0,1)</f>
        <v>1</v>
      </c>
      <c r="Z140" s="68">
        <f ca="1">IF(AND(SUMIF(Capacity_Resource,$D140,'Critical resources (hide)'!AM$6:AM$105)+SUMIF(Capacity_Resource,$E140,'Critical resources (hide)'!AM$6:AM$105)+SUMIF(Capacity_Resource,$F140,'Critical resources (hide)'!AM$6:AM$105)&gt;0,$E$1=2),0,1)</f>
        <v>1</v>
      </c>
      <c r="AA140" s="68">
        <f ca="1">IF(AND(SUMIF(Capacity_Resource,$D140,'Critical resources (hide)'!AN$6:AN$105)+SUMIF(Capacity_Resource,$E140,'Critical resources (hide)'!AN$6:AN$105)+SUMIF(Capacity_Resource,$F140,'Critical resources (hide)'!AN$6:AN$105)&gt;0,$E$1=2),0,1)</f>
        <v>1</v>
      </c>
      <c r="AB140" s="68">
        <f ca="1">IF(AND(SUMIF(Capacity_Resource,$D140,'Critical resources (hide)'!AO$6:AO$105)+SUMIF(Capacity_Resource,$E140,'Critical resources (hide)'!AO$6:AO$105)+SUMIF(Capacity_Resource,$F140,'Critical resources (hide)'!AO$6:AO$105)&gt;0,$E$1=2),0,1)</f>
        <v>1</v>
      </c>
      <c r="AC140" s="68">
        <f ca="1">IF(AND(SUMIF(Capacity_Resource,$D140,'Critical resources (hide)'!AP$6:AP$105)+SUMIF(Capacity_Resource,$E140,'Critical resources (hide)'!AP$6:AP$105)+SUMIF(Capacity_Resource,$F140,'Critical resources (hide)'!AP$6:AP$105)&gt;0,$E$1=2),0,1)</f>
        <v>1</v>
      </c>
      <c r="AD140" s="68">
        <f ca="1">IF(AND(SUMIF(Capacity_Resource,$D140,'Critical resources (hide)'!AQ$6:AQ$105)+SUMIF(Capacity_Resource,$E140,'Critical resources (hide)'!AQ$6:AQ$105)+SUMIF(Capacity_Resource,$F140,'Critical resources (hide)'!AQ$6:AQ$105)&gt;0,$E$1=2),0,1)</f>
        <v>1</v>
      </c>
      <c r="AE140" s="68">
        <f ca="1">IF(AND(SUMIF(Capacity_Resource,$D140,'Critical resources (hide)'!AR$6:AR$105)+SUMIF(Capacity_Resource,$E140,'Critical resources (hide)'!AR$6:AR$105)+SUMIF(Capacity_Resource,$F140,'Critical resources (hide)'!AR$6:AR$105)&gt;0,$E$1=2),0,1)</f>
        <v>1</v>
      </c>
      <c r="AF140" s="68">
        <f ca="1">IF(AND(SUMIF(Capacity_Resource,$D140,'Critical resources (hide)'!AS$6:AS$105)+SUMIF(Capacity_Resource,$E140,'Critical resources (hide)'!AS$6:AS$105)+SUMIF(Capacity_Resource,$F140,'Critical resources (hide)'!AS$6:AS$105)&gt;0,$E$1=2),0,1)</f>
        <v>1</v>
      </c>
      <c r="AG140" s="68">
        <f ca="1">IF(AND(SUMIF(Capacity_Resource,$D140,'Critical resources (hide)'!AT$6:AT$105)+SUMIF(Capacity_Resource,$E140,'Critical resources (hide)'!AT$6:AT$105)+SUMIF(Capacity_Resource,$F140,'Critical resources (hide)'!AT$6:AT$105)&gt;0,$E$1=2),0,1)</f>
        <v>1</v>
      </c>
      <c r="AH140" s="68">
        <f ca="1">IF(AND(SUMIF(Capacity_Resource,$D140,'Critical resources (hide)'!AU$6:AU$105)+SUMIF(Capacity_Resource,$E140,'Critical resources (hide)'!AU$6:AU$105)+SUMIF(Capacity_Resource,$F140,'Critical resources (hide)'!AU$6:AU$105)&gt;0,$E$1=2),0,1)</f>
        <v>1</v>
      </c>
      <c r="AI140" s="68">
        <f ca="1">IF(AND(SUMIF(Capacity_Resource,$D140,'Critical resources (hide)'!AV$6:AV$105)+SUMIF(Capacity_Resource,$E140,'Critical resources (hide)'!AV$6:AV$105)+SUMIF(Capacity_Resource,$F140,'Critical resources (hide)'!AV$6:AV$105)&gt;0,$E$1=2),0,1)</f>
        <v>1</v>
      </c>
      <c r="AJ140" s="68">
        <f ca="1">IF(AND(SUMIF(Capacity_Resource,$D140,'Critical resources (hide)'!AW$6:AW$105)+SUMIF(Capacity_Resource,$E140,'Critical resources (hide)'!AW$6:AW$105)+SUMIF(Capacity_Resource,$F140,'Critical resources (hide)'!AW$6:AW$105)&gt;0,$E$1=2),0,1)</f>
        <v>1</v>
      </c>
      <c r="AK140" s="68">
        <f ca="1">IF(AND(SUMIF(Capacity_Resource,$D140,'Critical resources (hide)'!AX$6:AX$105)+SUMIF(Capacity_Resource,$E140,'Critical resources (hide)'!AX$6:AX$105)+SUMIF(Capacity_Resource,$F140,'Critical resources (hide)'!AX$6:AX$105)&gt;0,$E$1=2),0,1)</f>
        <v>1</v>
      </c>
      <c r="AL140" s="68">
        <f ca="1">IF(AND(SUMIF(Capacity_Resource,$D140,'Critical resources (hide)'!AY$6:AY$105)+SUMIF(Capacity_Resource,$E140,'Critical resources (hide)'!AY$6:AY$105)+SUMIF(Capacity_Resource,$F140,'Critical resources (hide)'!AY$6:AY$105)&gt;0,$E$1=2),0,1)</f>
        <v>1</v>
      </c>
      <c r="AM140" s="68">
        <f ca="1">IF(AND(SUMIF(Capacity_Resource,$D140,'Critical resources (hide)'!AZ$6:AZ$105)+SUMIF(Capacity_Resource,$E140,'Critical resources (hide)'!AZ$6:AZ$105)+SUMIF(Capacity_Resource,$F140,'Critical resources (hide)'!AZ$6:AZ$105)&gt;0,$E$1=2),0,1)</f>
        <v>1</v>
      </c>
      <c r="AN140" s="68">
        <f ca="1">IF(AND(SUMIF(Capacity_Resource,$D140,'Critical resources (hide)'!BA$6:BA$105)+SUMIF(Capacity_Resource,$E140,'Critical resources (hide)'!BA$6:BA$105)+SUMIF(Capacity_Resource,$F140,'Critical resources (hide)'!BA$6:BA$105)&gt;0,$E$1=2),0,1)</f>
        <v>1</v>
      </c>
      <c r="AO140" s="68">
        <f ca="1">IF(AND(SUMIF(Capacity_Resource,$D140,'Critical resources (hide)'!BB$6:BB$105)+SUMIF(Capacity_Resource,$E140,'Critical resources (hide)'!BB$6:BB$105)+SUMIF(Capacity_Resource,$F140,'Critical resources (hide)'!BB$6:BB$105)&gt;0,$E$1=2),0,1)</f>
        <v>1</v>
      </c>
      <c r="AP140" s="68">
        <f ca="1">IF(AND(SUMIF(Capacity_Resource,$D140,'Critical resources (hide)'!BC$6:BC$105)+SUMIF(Capacity_Resource,$E140,'Critical resources (hide)'!BC$6:BC$105)+SUMIF(Capacity_Resource,$F140,'Critical resources (hide)'!BC$6:BC$105)&gt;0,$E$1=2),0,1)</f>
        <v>1</v>
      </c>
      <c r="AQ140" s="68">
        <f ca="1">IF(AND(SUMIF(Capacity_Resource,$D140,'Critical resources (hide)'!BD$6:BD$105)+SUMIF(Capacity_Resource,$E140,'Critical resources (hide)'!BD$6:BD$105)+SUMIF(Capacity_Resource,$F140,'Critical resources (hide)'!BD$6:BD$105)&gt;0,$E$1=2),0,1)</f>
        <v>1</v>
      </c>
      <c r="AR140" s="68">
        <f ca="1">IF(AND(SUMIF(Capacity_Resource,$D140,'Critical resources (hide)'!BE$6:BE$105)+SUMIF(Capacity_Resource,$E140,'Critical resources (hide)'!BE$6:BE$105)+SUMIF(Capacity_Resource,$F140,'Critical resources (hide)'!BE$6:BE$105)&gt;0,$E$1=2),0,1)</f>
        <v>1</v>
      </c>
      <c r="AS140" s="68">
        <f ca="1">IF(AND(SUMIF(Capacity_Resource,$D140,'Critical resources (hide)'!BF$6:BF$105)+SUMIF(Capacity_Resource,$E140,'Critical resources (hide)'!BF$6:BF$105)+SUMIF(Capacity_Resource,$F140,'Critical resources (hide)'!BF$6:BF$105)&gt;0,$E$1=2),0,1)</f>
        <v>1</v>
      </c>
      <c r="AT140" s="68">
        <f ca="1">IF(AND(SUMIF(Capacity_Resource,$D140,'Critical resources (hide)'!BG$6:BG$105)+SUMIF(Capacity_Resource,$E140,'Critical resources (hide)'!BG$6:BG$105)+SUMIF(Capacity_Resource,$F140,'Critical resources (hide)'!BG$6:BG$105)&gt;0,$E$1=2),0,1)</f>
        <v>1</v>
      </c>
      <c r="AU140" s="68">
        <f ca="1">IF(AND(SUMIF(Capacity_Resource,$D140,'Critical resources (hide)'!BH$6:BH$105)+SUMIF(Capacity_Resource,$E140,'Critical resources (hide)'!BH$6:BH$105)+SUMIF(Capacity_Resource,$F140,'Critical resources (hide)'!BH$6:BH$105)&gt;0,$E$1=2),0,1)</f>
        <v>1</v>
      </c>
      <c r="AV140" s="68">
        <f ca="1">IF(AND(SUMIF(Capacity_Resource,$D140,'Critical resources (hide)'!BI$6:BI$105)+SUMIF(Capacity_Resource,$E140,'Critical resources (hide)'!BI$6:BI$105)+SUMIF(Capacity_Resource,$F140,'Critical resources (hide)'!BI$6:BI$105)&gt;0,$E$1=2),0,1)</f>
        <v>1</v>
      </c>
      <c r="AW140" s="68">
        <f ca="1">IF(AND(SUMIF(Capacity_Resource,$D140,'Critical resources (hide)'!BJ$6:BJ$105)+SUMIF(Capacity_Resource,$E140,'Critical resources (hide)'!BJ$6:BJ$105)+SUMIF(Capacity_Resource,$F140,'Critical resources (hide)'!BJ$6:BJ$105)&gt;0,$E$1=2),0,1)</f>
        <v>1</v>
      </c>
      <c r="AX140" s="68">
        <f ca="1">IF(AND(SUMIF(Capacity_Resource,$D140,'Critical resources (hide)'!BK$6:BK$105)+SUMIF(Capacity_Resource,$E140,'Critical resources (hide)'!BK$6:BK$105)+SUMIF(Capacity_Resource,$F140,'Critical resources (hide)'!BK$6:BK$105)&gt;0,$E$1=2),0,1)</f>
        <v>1</v>
      </c>
      <c r="AY140" s="68">
        <f ca="1">IF(AND(SUMIF(Capacity_Resource,$D140,'Critical resources (hide)'!BL$6:BL$105)+SUMIF(Capacity_Resource,$E140,'Critical resources (hide)'!BL$6:BL$105)+SUMIF(Capacity_Resource,$F140,'Critical resources (hide)'!BL$6:BL$105)&gt;0,$E$1=2),0,1)</f>
        <v>1</v>
      </c>
      <c r="AZ140" s="68">
        <f ca="1">IF(AND(SUMIF(Capacity_Resource,$D140,'Critical resources (hide)'!BM$6:BM$105)+SUMIF(Capacity_Resource,$E140,'Critical resources (hide)'!BM$6:BM$105)+SUMIF(Capacity_Resource,$F140,'Critical resources (hide)'!BM$6:BM$105)&gt;0,$E$1=2),0,1)</f>
        <v>1</v>
      </c>
      <c r="BA140" s="68">
        <f ca="1">IF(AND(SUMIF(Capacity_Resource,$D140,'Critical resources (hide)'!BN$6:BN$105)+SUMIF(Capacity_Resource,$E140,'Critical resources (hide)'!BN$6:BN$105)+SUMIF(Capacity_Resource,$F140,'Critical resources (hide)'!BN$6:BN$105)&gt;0,$E$1=2),0,1)</f>
        <v>1</v>
      </c>
      <c r="BB140" s="68">
        <f ca="1">IF(AND(SUMIF(Capacity_Resource,$D140,'Critical resources (hide)'!BO$6:BO$105)+SUMIF(Capacity_Resource,$E140,'Critical resources (hide)'!BO$6:BO$105)+SUMIF(Capacity_Resource,$F140,'Critical resources (hide)'!BO$6:BO$105)&gt;0,$E$1=2),0,1)</f>
        <v>1</v>
      </c>
      <c r="BC140" s="68">
        <f ca="1">IF(AND(SUMIF(Capacity_Resource,$D140,'Critical resources (hide)'!BP$6:BP$105)+SUMIF(Capacity_Resource,$E140,'Critical resources (hide)'!BP$6:BP$105)+SUMIF(Capacity_Resource,$F140,'Critical resources (hide)'!BP$6:BP$105)&gt;0,$E$1=2),0,1)</f>
        <v>1</v>
      </c>
      <c r="BD140" s="68">
        <f ca="1">IF(AND(SUMIF(Capacity_Resource,$D140,'Critical resources (hide)'!BQ$6:BQ$105)+SUMIF(Capacity_Resource,$E140,'Critical resources (hide)'!BQ$6:BQ$105)+SUMIF(Capacity_Resource,$F140,'Critical resources (hide)'!BQ$6:BQ$105)&gt;0,$E$1=2),0,1)</f>
        <v>1</v>
      </c>
      <c r="BE140" s="68">
        <f ca="1">IF(AND(SUMIF(Capacity_Resource,$D140,'Critical resources (hide)'!BR$6:BR$105)+SUMIF(Capacity_Resource,$E140,'Critical resources (hide)'!BR$6:BR$105)+SUMIF(Capacity_Resource,$F140,'Critical resources (hide)'!BR$6:BR$105)&gt;0,$E$1=2),0,1)</f>
        <v>1</v>
      </c>
      <c r="BF140" s="68">
        <f ca="1">IF(AND(SUMIF(Capacity_Resource,$D140,'Critical resources (hide)'!BS$6:BS$105)+SUMIF(Capacity_Resource,$E140,'Critical resources (hide)'!BS$6:BS$105)+SUMIF(Capacity_Resource,$F140,'Critical resources (hide)'!BS$6:BS$105)&gt;0,$E$1=2),0,1)</f>
        <v>1</v>
      </c>
      <c r="BG140" s="68">
        <f ca="1">IF(AND(SUMIF(Capacity_Resource,$D140,'Critical resources (hide)'!BT$6:BT$105)+SUMIF(Capacity_Resource,$E140,'Critical resources (hide)'!BT$6:BT$105)+SUMIF(Capacity_Resource,$F140,'Critical resources (hide)'!BT$6:BT$105)&gt;0,$E$1=2),0,1)</f>
        <v>1</v>
      </c>
      <c r="BH140" s="68">
        <f>IF(ROW(A29)&lt;=Capacity!$M$16,IF('Capacity summary'!$C$14="No",SUM(H140:BG140),'Capacity summary'!$E52),0)</f>
        <v>0</v>
      </c>
      <c r="BI140" s="68" t="str">
        <f>IF(BH140&gt;0,IF(BH140&lt;Capacity!Q45,Capacity!R45,Capacity!T45/'Capacity calculation (hide)'!BH140),"")</f>
        <v/>
      </c>
      <c r="BJ140" s="5"/>
      <c r="BK140" s="5">
        <f>IF($BI140&lt;&gt;"",IF('Capacity summary'!$C$14="Yes",IF(COUNTBLANK('Capacity summary'!$H52:$BG52)&lt;52,IF('Capacity summary'!H52&lt;&gt;"",$BI140*H140,0),H140*$BI140),H140*$BI140),0)</f>
        <v>0</v>
      </c>
      <c r="BL140" s="5">
        <f>IF($BI140&lt;&gt;"",IF('Capacity summary'!$C$14="Yes",IF(COUNTBLANK('Capacity summary'!$H52:$BG52)&lt;52,IF('Capacity summary'!I52&lt;&gt;"",$BI140*I140,0),I140*$BI140),I140*$BI140),0)</f>
        <v>0</v>
      </c>
      <c r="BM140" s="5">
        <f>IF($BI140&lt;&gt;"",IF('Capacity summary'!$C$14="Yes",IF(COUNTBLANK('Capacity summary'!$H52:$BG52)&lt;52,IF('Capacity summary'!J52&lt;&gt;"",$BI140*J140,0),J140*$BI140),J140*$BI140),0)</f>
        <v>0</v>
      </c>
      <c r="BN140" s="5">
        <f>IF($BI140&lt;&gt;"",IF('Capacity summary'!$C$14="Yes",IF(COUNTBLANK('Capacity summary'!$H52:$BG52)&lt;52,IF('Capacity summary'!K52&lt;&gt;"",$BI140*K140,0),K140*$BI140),K140*$BI140),0)</f>
        <v>0</v>
      </c>
      <c r="BO140" s="5">
        <f>IF($BI140&lt;&gt;"",IF('Capacity summary'!$C$14="Yes",IF(COUNTBLANK('Capacity summary'!$H52:$BG52)&lt;52,IF('Capacity summary'!L52&lt;&gt;"",$BI140*L140,0),L140*$BI140),L140*$BI140),0)</f>
        <v>0</v>
      </c>
      <c r="BP140" s="5">
        <f>IF($BI140&lt;&gt;"",IF('Capacity summary'!$C$14="Yes",IF(COUNTBLANK('Capacity summary'!$H52:$BG52)&lt;52,IF('Capacity summary'!M52&lt;&gt;"",$BI140*M140,0),M140*$BI140),M140*$BI140),0)</f>
        <v>0</v>
      </c>
      <c r="BQ140" s="5">
        <f>IF($BI140&lt;&gt;"",IF('Capacity summary'!$C$14="Yes",IF(COUNTBLANK('Capacity summary'!$H52:$BG52)&lt;52,IF('Capacity summary'!N52&lt;&gt;"",$BI140*N140,0),N140*$BI140),N140*$BI140),0)</f>
        <v>0</v>
      </c>
      <c r="BR140" s="5">
        <f>IF($BI140&lt;&gt;"",IF('Capacity summary'!$C$14="Yes",IF(COUNTBLANK('Capacity summary'!$H52:$BG52)&lt;52,IF('Capacity summary'!O52&lt;&gt;"",$BI140*O140,0),O140*$BI140),O140*$BI140),0)</f>
        <v>0</v>
      </c>
      <c r="BS140" s="5">
        <f>IF($BI140&lt;&gt;"",IF('Capacity summary'!$C$14="Yes",IF(COUNTBLANK('Capacity summary'!$H52:$BG52)&lt;52,IF('Capacity summary'!P52&lt;&gt;"",$BI140*P140,0),P140*$BI140),P140*$BI140),0)</f>
        <v>0</v>
      </c>
      <c r="BT140" s="5">
        <f>IF($BI140&lt;&gt;"",IF('Capacity summary'!$C$14="Yes",IF(COUNTBLANK('Capacity summary'!$H52:$BG52)&lt;52,IF('Capacity summary'!Q52&lt;&gt;"",$BI140*Q140,0),Q140*$BI140),Q140*$BI140),0)</f>
        <v>0</v>
      </c>
      <c r="BU140" s="5">
        <f>IF($BI140&lt;&gt;"",IF('Capacity summary'!$C$14="Yes",IF(COUNTBLANK('Capacity summary'!$H52:$BG52)&lt;52,IF('Capacity summary'!R52&lt;&gt;"",$BI140*R140,0),R140*$BI140),R140*$BI140),0)</f>
        <v>0</v>
      </c>
      <c r="BV140" s="5">
        <f>IF($BI140&lt;&gt;"",IF('Capacity summary'!$C$14="Yes",IF(COUNTBLANK('Capacity summary'!$H52:$BG52)&lt;52,IF('Capacity summary'!S52&lt;&gt;"",$BI140*S140,0),S140*$BI140),S140*$BI140),0)</f>
        <v>0</v>
      </c>
      <c r="BW140" s="5">
        <f>IF($BI140&lt;&gt;"",IF('Capacity summary'!$C$14="Yes",IF(COUNTBLANK('Capacity summary'!$H52:$BG52)&lt;52,IF('Capacity summary'!T52&lt;&gt;"",$BI140*T140,0),T140*$BI140),T140*$BI140),0)</f>
        <v>0</v>
      </c>
      <c r="BX140" s="5">
        <f>IF($BI140&lt;&gt;"",IF('Capacity summary'!$C$14="Yes",IF(COUNTBLANK('Capacity summary'!$H52:$BG52)&lt;52,IF('Capacity summary'!U52&lt;&gt;"",$BI140*U140,0),U140*$BI140),U140*$BI140),0)</f>
        <v>0</v>
      </c>
      <c r="BY140" s="5">
        <f>IF($BI140&lt;&gt;"",IF('Capacity summary'!$C$14="Yes",IF(COUNTBLANK('Capacity summary'!$H52:$BG52)&lt;52,IF('Capacity summary'!V52&lt;&gt;"",$BI140*V140,0),V140*$BI140),V140*$BI140),0)</f>
        <v>0</v>
      </c>
      <c r="BZ140" s="5">
        <f>IF($BI140&lt;&gt;"",IF('Capacity summary'!$C$14="Yes",IF(COUNTBLANK('Capacity summary'!$H52:$BG52)&lt;52,IF('Capacity summary'!W52&lt;&gt;"",$BI140*W140,0),W140*$BI140),W140*$BI140),0)</f>
        <v>0</v>
      </c>
      <c r="CA140" s="5">
        <f>IF($BI140&lt;&gt;"",IF('Capacity summary'!$C$14="Yes",IF(COUNTBLANK('Capacity summary'!$H52:$BG52)&lt;52,IF('Capacity summary'!X52&lt;&gt;"",$BI140*X140,0),X140*$BI140),X140*$BI140),0)</f>
        <v>0</v>
      </c>
      <c r="CB140" s="5">
        <f>IF($BI140&lt;&gt;"",IF('Capacity summary'!$C$14="Yes",IF(COUNTBLANK('Capacity summary'!$H52:$BG52)&lt;52,IF('Capacity summary'!Y52&lt;&gt;"",$BI140*Y140,0),Y140*$BI140),Y140*$BI140),0)</f>
        <v>0</v>
      </c>
      <c r="CC140" s="5">
        <f>IF($BI140&lt;&gt;"",IF('Capacity summary'!$C$14="Yes",IF(COUNTBLANK('Capacity summary'!$H52:$BG52)&lt;52,IF('Capacity summary'!Z52&lt;&gt;"",$BI140*Z140,0),Z140*$BI140),Z140*$BI140),0)</f>
        <v>0</v>
      </c>
      <c r="CD140" s="5">
        <f>IF($BI140&lt;&gt;"",IF('Capacity summary'!$C$14="Yes",IF(COUNTBLANK('Capacity summary'!$H52:$BG52)&lt;52,IF('Capacity summary'!AA52&lt;&gt;"",$BI140*AA140,0),AA140*$BI140),AA140*$BI140),0)</f>
        <v>0</v>
      </c>
      <c r="CE140" s="5">
        <f>IF($BI140&lt;&gt;"",IF('Capacity summary'!$C$14="Yes",IF(COUNTBLANK('Capacity summary'!$H52:$BG52)&lt;52,IF('Capacity summary'!AB52&lt;&gt;"",$BI140*AB140,0),AB140*$BI140),AB140*$BI140),0)</f>
        <v>0</v>
      </c>
      <c r="CF140" s="5">
        <f>IF($BI140&lt;&gt;"",IF('Capacity summary'!$C$14="Yes",IF(COUNTBLANK('Capacity summary'!$H52:$BG52)&lt;52,IF('Capacity summary'!AC52&lt;&gt;"",$BI140*AC140,0),AC140*$BI140),AC140*$BI140),0)</f>
        <v>0</v>
      </c>
      <c r="CG140" s="5">
        <f>IF($BI140&lt;&gt;"",IF('Capacity summary'!$C$14="Yes",IF(COUNTBLANK('Capacity summary'!$H52:$BG52)&lt;52,IF('Capacity summary'!AD52&lt;&gt;"",$BI140*AD140,0),AD140*$BI140),AD140*$BI140),0)</f>
        <v>0</v>
      </c>
      <c r="CH140" s="5">
        <f>IF($BI140&lt;&gt;"",IF('Capacity summary'!$C$14="Yes",IF(COUNTBLANK('Capacity summary'!$H52:$BG52)&lt;52,IF('Capacity summary'!AE52&lt;&gt;"",$BI140*AE140,0),AE140*$BI140),AE140*$BI140),0)</f>
        <v>0</v>
      </c>
      <c r="CI140" s="5">
        <f>IF($BI140&lt;&gt;"",IF('Capacity summary'!$C$14="Yes",IF(COUNTBLANK('Capacity summary'!$H52:$BG52)&lt;52,IF('Capacity summary'!AF52&lt;&gt;"",$BI140*AF140,0),AF140*$BI140),AF140*$BI140),0)</f>
        <v>0</v>
      </c>
      <c r="CJ140" s="5">
        <f>IF($BI140&lt;&gt;"",IF('Capacity summary'!$C$14="Yes",IF(COUNTBLANK('Capacity summary'!$H52:$BG52)&lt;52,IF('Capacity summary'!AG52&lt;&gt;"",$BI140*AG140,0),AG140*$BI140),AG140*$BI140),0)</f>
        <v>0</v>
      </c>
      <c r="CK140" s="5">
        <f>IF($BI140&lt;&gt;"",IF('Capacity summary'!$C$14="Yes",IF(COUNTBLANK('Capacity summary'!$H52:$BG52)&lt;52,IF('Capacity summary'!AH52&lt;&gt;"",$BI140*AH140,0),AH140*$BI140),AH140*$BI140),0)</f>
        <v>0</v>
      </c>
      <c r="CL140" s="5">
        <f>IF($BI140&lt;&gt;"",IF('Capacity summary'!$C$14="Yes",IF(COUNTBLANK('Capacity summary'!$H52:$BG52)&lt;52,IF('Capacity summary'!AI52&lt;&gt;"",$BI140*AI140,0),AI140*$BI140),AI140*$BI140),0)</f>
        <v>0</v>
      </c>
      <c r="CM140" s="5">
        <f>IF($BI140&lt;&gt;"",IF('Capacity summary'!$C$14="Yes",IF(COUNTBLANK('Capacity summary'!$H52:$BG52)&lt;52,IF('Capacity summary'!AJ52&lt;&gt;"",$BI140*AJ140,0),AJ140*$BI140),AJ140*$BI140),0)</f>
        <v>0</v>
      </c>
      <c r="CN140" s="5">
        <f>IF($BI140&lt;&gt;"",IF('Capacity summary'!$C$14="Yes",IF(COUNTBLANK('Capacity summary'!$H52:$BG52)&lt;52,IF('Capacity summary'!AK52&lt;&gt;"",$BI140*AK140,0),AK140*$BI140),AK140*$BI140),0)</f>
        <v>0</v>
      </c>
      <c r="CO140" s="5">
        <f>IF($BI140&lt;&gt;"",IF('Capacity summary'!$C$14="Yes",IF(COUNTBLANK('Capacity summary'!$H52:$BG52)&lt;52,IF('Capacity summary'!AL52&lt;&gt;"",$BI140*AL140,0),AL140*$BI140),AL140*$BI140),0)</f>
        <v>0</v>
      </c>
      <c r="CP140" s="5">
        <f>IF($BI140&lt;&gt;"",IF('Capacity summary'!$C$14="Yes",IF(COUNTBLANK('Capacity summary'!$H52:$BG52)&lt;52,IF('Capacity summary'!AM52&lt;&gt;"",$BI140*AM140,0),AM140*$BI140),AM140*$BI140),0)</f>
        <v>0</v>
      </c>
      <c r="CQ140" s="5">
        <f>IF($BI140&lt;&gt;"",IF('Capacity summary'!$C$14="Yes",IF(COUNTBLANK('Capacity summary'!$H52:$BG52)&lt;52,IF('Capacity summary'!AN52&lt;&gt;"",$BI140*AN140,0),AN140*$BI140),AN140*$BI140),0)</f>
        <v>0</v>
      </c>
      <c r="CR140" s="5">
        <f>IF($BI140&lt;&gt;"",IF('Capacity summary'!$C$14="Yes",IF(COUNTBLANK('Capacity summary'!$H52:$BG52)&lt;52,IF('Capacity summary'!AO52&lt;&gt;"",$BI140*AO140,0),AO140*$BI140),AO140*$BI140),0)</f>
        <v>0</v>
      </c>
      <c r="CS140" s="5">
        <f>IF($BI140&lt;&gt;"",IF('Capacity summary'!$C$14="Yes",IF(COUNTBLANK('Capacity summary'!$H52:$BG52)&lt;52,IF('Capacity summary'!AP52&lt;&gt;"",$BI140*AP140,0),AP140*$BI140),AP140*$BI140),0)</f>
        <v>0</v>
      </c>
      <c r="CT140" s="5">
        <f>IF($BI140&lt;&gt;"",IF('Capacity summary'!$C$14="Yes",IF(COUNTBLANK('Capacity summary'!$H52:$BG52)&lt;52,IF('Capacity summary'!AQ52&lt;&gt;"",$BI140*AQ140,0),AQ140*$BI140),AQ140*$BI140),0)</f>
        <v>0</v>
      </c>
      <c r="CU140" s="5">
        <f>IF($BI140&lt;&gt;"",IF('Capacity summary'!$C$14="Yes",IF(COUNTBLANK('Capacity summary'!$H52:$BG52)&lt;52,IF('Capacity summary'!AR52&lt;&gt;"",$BI140*AR140,0),AR140*$BI140),AR140*$BI140),0)</f>
        <v>0</v>
      </c>
      <c r="CV140" s="5">
        <f>IF($BI140&lt;&gt;"",IF('Capacity summary'!$C$14="Yes",IF(COUNTBLANK('Capacity summary'!$H52:$BG52)&lt;52,IF('Capacity summary'!AS52&lt;&gt;"",$BI140*AS140,0),AS140*$BI140),AS140*$BI140),0)</f>
        <v>0</v>
      </c>
      <c r="CW140" s="5">
        <f>IF($BI140&lt;&gt;"",IF('Capacity summary'!$C$14="Yes",IF(COUNTBLANK('Capacity summary'!$H52:$BG52)&lt;52,IF('Capacity summary'!AT52&lt;&gt;"",$BI140*AT140,0),AT140*$BI140),AT140*$BI140),0)</f>
        <v>0</v>
      </c>
      <c r="CX140" s="5">
        <f>IF($BI140&lt;&gt;"",IF('Capacity summary'!$C$14="Yes",IF(COUNTBLANK('Capacity summary'!$H52:$BG52)&lt;52,IF('Capacity summary'!AU52&lt;&gt;"",$BI140*AU140,0),AU140*$BI140),AU140*$BI140),0)</f>
        <v>0</v>
      </c>
      <c r="CY140" s="5">
        <f>IF($BI140&lt;&gt;"",IF('Capacity summary'!$C$14="Yes",IF(COUNTBLANK('Capacity summary'!$H52:$BG52)&lt;52,IF('Capacity summary'!AV52&lt;&gt;"",$BI140*AV140,0),AV140*$BI140),AV140*$BI140),0)</f>
        <v>0</v>
      </c>
      <c r="CZ140" s="5">
        <f>IF($BI140&lt;&gt;"",IF('Capacity summary'!$C$14="Yes",IF(COUNTBLANK('Capacity summary'!$H52:$BG52)&lt;52,IF('Capacity summary'!AW52&lt;&gt;"",$BI140*AW140,0),AW140*$BI140),AW140*$BI140),0)</f>
        <v>0</v>
      </c>
      <c r="DA140" s="5">
        <f>IF($BI140&lt;&gt;"",IF('Capacity summary'!$C$14="Yes",IF(COUNTBLANK('Capacity summary'!$H52:$BG52)&lt;52,IF('Capacity summary'!AX52&lt;&gt;"",$BI140*AX140,0),AX140*$BI140),AX140*$BI140),0)</f>
        <v>0</v>
      </c>
      <c r="DB140" s="5">
        <f>IF($BI140&lt;&gt;"",IF('Capacity summary'!$C$14="Yes",IF(COUNTBLANK('Capacity summary'!$H52:$BG52)&lt;52,IF('Capacity summary'!AY52&lt;&gt;"",$BI140*AY140,0),AY140*$BI140),AY140*$BI140),0)</f>
        <v>0</v>
      </c>
      <c r="DC140" s="5">
        <f>IF($BI140&lt;&gt;"",IF('Capacity summary'!$C$14="Yes",IF(COUNTBLANK('Capacity summary'!$H52:$BG52)&lt;52,IF('Capacity summary'!AZ52&lt;&gt;"",$BI140*AZ140,0),AZ140*$BI140),AZ140*$BI140),0)</f>
        <v>0</v>
      </c>
      <c r="DD140" s="5">
        <f>IF($BI140&lt;&gt;"",IF('Capacity summary'!$C$14="Yes",IF(COUNTBLANK('Capacity summary'!$H52:$BG52)&lt;52,IF('Capacity summary'!BA52&lt;&gt;"",$BI140*BA140,0),BA140*$BI140),BA140*$BI140),0)</f>
        <v>0</v>
      </c>
      <c r="DE140" s="5">
        <f>IF($BI140&lt;&gt;"",IF('Capacity summary'!$C$14="Yes",IF(COUNTBLANK('Capacity summary'!$H52:$BG52)&lt;52,IF('Capacity summary'!BB52&lt;&gt;"",$BI140*BB140,0),BB140*$BI140),BB140*$BI140),0)</f>
        <v>0</v>
      </c>
      <c r="DF140" s="5">
        <f>IF($BI140&lt;&gt;"",IF('Capacity summary'!$C$14="Yes",IF(COUNTBLANK('Capacity summary'!$H52:$BG52)&lt;52,IF('Capacity summary'!BC52&lt;&gt;"",$BI140*BC140,0),BC140*$BI140),BC140*$BI140),0)</f>
        <v>0</v>
      </c>
      <c r="DG140" s="5">
        <f>IF($BI140&lt;&gt;"",IF('Capacity summary'!$C$14="Yes",IF(COUNTBLANK('Capacity summary'!$H52:$BG52)&lt;52,IF('Capacity summary'!BD52&lt;&gt;"",$BI140*BD140,0),BD140*$BI140),BD140*$BI140),0)</f>
        <v>0</v>
      </c>
      <c r="DH140" s="5">
        <f>IF($BI140&lt;&gt;"",IF('Capacity summary'!$C$14="Yes",IF(COUNTBLANK('Capacity summary'!$H52:$BG52)&lt;52,IF('Capacity summary'!BE52&lt;&gt;"",$BI140*BE140,0),BE140*$BI140),BE140*$BI140),0)</f>
        <v>0</v>
      </c>
      <c r="DI140" s="5">
        <f>IF($BI140&lt;&gt;"",IF('Capacity summary'!$C$14="Yes",IF(COUNTBLANK('Capacity summary'!$H52:$BG52)&lt;52,IF('Capacity summary'!BF52&lt;&gt;"",$BI140*BF140,0),BF140*$BI140),BF140*$BI140),0)</f>
        <v>0</v>
      </c>
      <c r="DJ140" s="5">
        <f>IF($BI140&lt;&gt;"",IF('Capacity summary'!$C$14="Yes",IF(COUNTBLANK('Capacity summary'!$H52:$BG52)&lt;52,IF('Capacity summary'!BG52&lt;&gt;"",$BI140*BG140,0),BG140*$BI140),BG140*$BI140),0)</f>
        <v>0</v>
      </c>
      <c r="DK140" s="138">
        <f t="shared" si="6"/>
        <v>0</v>
      </c>
    </row>
    <row r="141" spans="3:115" x14ac:dyDescent="0.2">
      <c r="C141" s="68" t="str">
        <f>ROW(A30)&amp;". "&amp;Capacity!N46</f>
        <v xml:space="preserve">30. </v>
      </c>
      <c r="D141" s="68">
        <f>'Capacity setup'!C147</f>
        <v>0</v>
      </c>
      <c r="E141" s="68">
        <f>'Capacity setup'!D147</f>
        <v>0</v>
      </c>
      <c r="F141" s="68">
        <f>'Capacity setup'!E147</f>
        <v>0</v>
      </c>
      <c r="H141" s="68">
        <f ca="1">IF(AND(SUMIF(Capacity_Resource,$D141,'Critical resources (hide)'!U$6:U$105)+SUMIF(Capacity_Resource,$E141,'Critical resources (hide)'!U$6:U$105)+SUMIF(Capacity_Resource,$F141,'Critical resources (hide)'!U$6:U$105)&gt;0,$E$1=2),0,1)</f>
        <v>1</v>
      </c>
      <c r="I141" s="68">
        <f ca="1">IF(AND(SUMIF(Capacity_Resource,$D141,'Critical resources (hide)'!V$6:V$105)+SUMIF(Capacity_Resource,$E141,'Critical resources (hide)'!V$6:V$105)+SUMIF(Capacity_Resource,$F141,'Critical resources (hide)'!V$6:V$105)&gt;0,$E$1=2),0,1)</f>
        <v>1</v>
      </c>
      <c r="J141" s="68">
        <f ca="1">IF(AND(SUMIF(Capacity_Resource,$D141,'Critical resources (hide)'!W$6:W$105)+SUMIF(Capacity_Resource,$E141,'Critical resources (hide)'!W$6:W$105)+SUMIF(Capacity_Resource,$F141,'Critical resources (hide)'!W$6:W$105)&gt;0,$E$1=2),0,1)</f>
        <v>1</v>
      </c>
      <c r="K141" s="68">
        <f ca="1">IF(AND(SUMIF(Capacity_Resource,$D141,'Critical resources (hide)'!X$6:X$105)+SUMIF(Capacity_Resource,$E141,'Critical resources (hide)'!X$6:X$105)+SUMIF(Capacity_Resource,$F141,'Critical resources (hide)'!X$6:X$105)&gt;0,$E$1=2),0,1)</f>
        <v>1</v>
      </c>
      <c r="L141" s="68">
        <f ca="1">IF(AND(SUMIF(Capacity_Resource,$D141,'Critical resources (hide)'!Y$6:Y$105)+SUMIF(Capacity_Resource,$E141,'Critical resources (hide)'!Y$6:Y$105)+SUMIF(Capacity_Resource,$F141,'Critical resources (hide)'!Y$6:Y$105)&gt;0,$E$1=2),0,1)</f>
        <v>1</v>
      </c>
      <c r="M141" s="68">
        <f ca="1">IF(AND(SUMIF(Capacity_Resource,$D141,'Critical resources (hide)'!Z$6:Z$105)+SUMIF(Capacity_Resource,$E141,'Critical resources (hide)'!Z$6:Z$105)+SUMIF(Capacity_Resource,$F141,'Critical resources (hide)'!Z$6:Z$105)&gt;0,$E$1=2),0,1)</f>
        <v>1</v>
      </c>
      <c r="N141" s="68">
        <f ca="1">IF(AND(SUMIF(Capacity_Resource,$D141,'Critical resources (hide)'!AA$6:AA$105)+SUMIF(Capacity_Resource,$E141,'Critical resources (hide)'!AA$6:AA$105)+SUMIF(Capacity_Resource,$F141,'Critical resources (hide)'!AA$6:AA$105)&gt;0,$E$1=2),0,1)</f>
        <v>1</v>
      </c>
      <c r="O141" s="68">
        <f ca="1">IF(AND(SUMIF(Capacity_Resource,$D141,'Critical resources (hide)'!AB$6:AB$105)+SUMIF(Capacity_Resource,$E141,'Critical resources (hide)'!AB$6:AB$105)+SUMIF(Capacity_Resource,$F141,'Critical resources (hide)'!AB$6:AB$105)&gt;0,$E$1=2),0,1)</f>
        <v>1</v>
      </c>
      <c r="P141" s="68">
        <f ca="1">IF(AND(SUMIF(Capacity_Resource,$D141,'Critical resources (hide)'!AC$6:AC$105)+SUMIF(Capacity_Resource,$E141,'Critical resources (hide)'!AC$6:AC$105)+SUMIF(Capacity_Resource,$F141,'Critical resources (hide)'!AC$6:AC$105)&gt;0,$E$1=2),0,1)</f>
        <v>1</v>
      </c>
      <c r="Q141" s="68">
        <f ca="1">IF(AND(SUMIF(Capacity_Resource,$D141,'Critical resources (hide)'!AD$6:AD$105)+SUMIF(Capacity_Resource,$E141,'Critical resources (hide)'!AD$6:AD$105)+SUMIF(Capacity_Resource,$F141,'Critical resources (hide)'!AD$6:AD$105)&gt;0,$E$1=2),0,1)</f>
        <v>1</v>
      </c>
      <c r="R141" s="68">
        <f ca="1">IF(AND(SUMIF(Capacity_Resource,$D141,'Critical resources (hide)'!AE$6:AE$105)+SUMIF(Capacity_Resource,$E141,'Critical resources (hide)'!AE$6:AE$105)+SUMIF(Capacity_Resource,$F141,'Critical resources (hide)'!AE$6:AE$105)&gt;0,$E$1=2),0,1)</f>
        <v>1</v>
      </c>
      <c r="S141" s="68">
        <f ca="1">IF(AND(SUMIF(Capacity_Resource,$D141,'Critical resources (hide)'!AF$6:AF$105)+SUMIF(Capacity_Resource,$E141,'Critical resources (hide)'!AF$6:AF$105)+SUMIF(Capacity_Resource,$F141,'Critical resources (hide)'!AF$6:AF$105)&gt;0,$E$1=2),0,1)</f>
        <v>1</v>
      </c>
      <c r="T141" s="68">
        <f ca="1">IF(AND(SUMIF(Capacity_Resource,$D141,'Critical resources (hide)'!AG$6:AG$105)+SUMIF(Capacity_Resource,$E141,'Critical resources (hide)'!AG$6:AG$105)+SUMIF(Capacity_Resource,$F141,'Critical resources (hide)'!AG$6:AG$105)&gt;0,$E$1=2),0,1)</f>
        <v>1</v>
      </c>
      <c r="U141" s="68">
        <f ca="1">IF(AND(SUMIF(Capacity_Resource,$D141,'Critical resources (hide)'!AH$6:AH$105)+SUMIF(Capacity_Resource,$E141,'Critical resources (hide)'!AH$6:AH$105)+SUMIF(Capacity_Resource,$F141,'Critical resources (hide)'!AH$6:AH$105)&gt;0,$E$1=2),0,1)</f>
        <v>1</v>
      </c>
      <c r="V141" s="68">
        <f ca="1">IF(AND(SUMIF(Capacity_Resource,$D141,'Critical resources (hide)'!AI$6:AI$105)+SUMIF(Capacity_Resource,$E141,'Critical resources (hide)'!AI$6:AI$105)+SUMIF(Capacity_Resource,$F141,'Critical resources (hide)'!AI$6:AI$105)&gt;0,$E$1=2),0,1)</f>
        <v>1</v>
      </c>
      <c r="W141" s="68">
        <f ca="1">IF(AND(SUMIF(Capacity_Resource,$D141,'Critical resources (hide)'!AJ$6:AJ$105)+SUMIF(Capacity_Resource,$E141,'Critical resources (hide)'!AJ$6:AJ$105)+SUMIF(Capacity_Resource,$F141,'Critical resources (hide)'!AJ$6:AJ$105)&gt;0,$E$1=2),0,1)</f>
        <v>1</v>
      </c>
      <c r="X141" s="68">
        <f ca="1">IF(AND(SUMIF(Capacity_Resource,$D141,'Critical resources (hide)'!AK$6:AK$105)+SUMIF(Capacity_Resource,$E141,'Critical resources (hide)'!AK$6:AK$105)+SUMIF(Capacity_Resource,$F141,'Critical resources (hide)'!AK$6:AK$105)&gt;0,$E$1=2),0,1)</f>
        <v>1</v>
      </c>
      <c r="Y141" s="68">
        <f ca="1">IF(AND(SUMIF(Capacity_Resource,$D141,'Critical resources (hide)'!AL$6:AL$105)+SUMIF(Capacity_Resource,$E141,'Critical resources (hide)'!AL$6:AL$105)+SUMIF(Capacity_Resource,$F141,'Critical resources (hide)'!AL$6:AL$105)&gt;0,$E$1=2),0,1)</f>
        <v>1</v>
      </c>
      <c r="Z141" s="68">
        <f ca="1">IF(AND(SUMIF(Capacity_Resource,$D141,'Critical resources (hide)'!AM$6:AM$105)+SUMIF(Capacity_Resource,$E141,'Critical resources (hide)'!AM$6:AM$105)+SUMIF(Capacity_Resource,$F141,'Critical resources (hide)'!AM$6:AM$105)&gt;0,$E$1=2),0,1)</f>
        <v>1</v>
      </c>
      <c r="AA141" s="68">
        <f ca="1">IF(AND(SUMIF(Capacity_Resource,$D141,'Critical resources (hide)'!AN$6:AN$105)+SUMIF(Capacity_Resource,$E141,'Critical resources (hide)'!AN$6:AN$105)+SUMIF(Capacity_Resource,$F141,'Critical resources (hide)'!AN$6:AN$105)&gt;0,$E$1=2),0,1)</f>
        <v>1</v>
      </c>
      <c r="AB141" s="68">
        <f ca="1">IF(AND(SUMIF(Capacity_Resource,$D141,'Critical resources (hide)'!AO$6:AO$105)+SUMIF(Capacity_Resource,$E141,'Critical resources (hide)'!AO$6:AO$105)+SUMIF(Capacity_Resource,$F141,'Critical resources (hide)'!AO$6:AO$105)&gt;0,$E$1=2),0,1)</f>
        <v>1</v>
      </c>
      <c r="AC141" s="68">
        <f ca="1">IF(AND(SUMIF(Capacity_Resource,$D141,'Critical resources (hide)'!AP$6:AP$105)+SUMIF(Capacity_Resource,$E141,'Critical resources (hide)'!AP$6:AP$105)+SUMIF(Capacity_Resource,$F141,'Critical resources (hide)'!AP$6:AP$105)&gt;0,$E$1=2),0,1)</f>
        <v>1</v>
      </c>
      <c r="AD141" s="68">
        <f ca="1">IF(AND(SUMIF(Capacity_Resource,$D141,'Critical resources (hide)'!AQ$6:AQ$105)+SUMIF(Capacity_Resource,$E141,'Critical resources (hide)'!AQ$6:AQ$105)+SUMIF(Capacity_Resource,$F141,'Critical resources (hide)'!AQ$6:AQ$105)&gt;0,$E$1=2),0,1)</f>
        <v>1</v>
      </c>
      <c r="AE141" s="68">
        <f ca="1">IF(AND(SUMIF(Capacity_Resource,$D141,'Critical resources (hide)'!AR$6:AR$105)+SUMIF(Capacity_Resource,$E141,'Critical resources (hide)'!AR$6:AR$105)+SUMIF(Capacity_Resource,$F141,'Critical resources (hide)'!AR$6:AR$105)&gt;0,$E$1=2),0,1)</f>
        <v>1</v>
      </c>
      <c r="AF141" s="68">
        <f ca="1">IF(AND(SUMIF(Capacity_Resource,$D141,'Critical resources (hide)'!AS$6:AS$105)+SUMIF(Capacity_Resource,$E141,'Critical resources (hide)'!AS$6:AS$105)+SUMIF(Capacity_Resource,$F141,'Critical resources (hide)'!AS$6:AS$105)&gt;0,$E$1=2),0,1)</f>
        <v>1</v>
      </c>
      <c r="AG141" s="68">
        <f ca="1">IF(AND(SUMIF(Capacity_Resource,$D141,'Critical resources (hide)'!AT$6:AT$105)+SUMIF(Capacity_Resource,$E141,'Critical resources (hide)'!AT$6:AT$105)+SUMIF(Capacity_Resource,$F141,'Critical resources (hide)'!AT$6:AT$105)&gt;0,$E$1=2),0,1)</f>
        <v>1</v>
      </c>
      <c r="AH141" s="68">
        <f ca="1">IF(AND(SUMIF(Capacity_Resource,$D141,'Critical resources (hide)'!AU$6:AU$105)+SUMIF(Capacity_Resource,$E141,'Critical resources (hide)'!AU$6:AU$105)+SUMIF(Capacity_Resource,$F141,'Critical resources (hide)'!AU$6:AU$105)&gt;0,$E$1=2),0,1)</f>
        <v>1</v>
      </c>
      <c r="AI141" s="68">
        <f ca="1">IF(AND(SUMIF(Capacity_Resource,$D141,'Critical resources (hide)'!AV$6:AV$105)+SUMIF(Capacity_Resource,$E141,'Critical resources (hide)'!AV$6:AV$105)+SUMIF(Capacity_Resource,$F141,'Critical resources (hide)'!AV$6:AV$105)&gt;0,$E$1=2),0,1)</f>
        <v>1</v>
      </c>
      <c r="AJ141" s="68">
        <f ca="1">IF(AND(SUMIF(Capacity_Resource,$D141,'Critical resources (hide)'!AW$6:AW$105)+SUMIF(Capacity_Resource,$E141,'Critical resources (hide)'!AW$6:AW$105)+SUMIF(Capacity_Resource,$F141,'Critical resources (hide)'!AW$6:AW$105)&gt;0,$E$1=2),0,1)</f>
        <v>1</v>
      </c>
      <c r="AK141" s="68">
        <f ca="1">IF(AND(SUMIF(Capacity_Resource,$D141,'Critical resources (hide)'!AX$6:AX$105)+SUMIF(Capacity_Resource,$E141,'Critical resources (hide)'!AX$6:AX$105)+SUMIF(Capacity_Resource,$F141,'Critical resources (hide)'!AX$6:AX$105)&gt;0,$E$1=2),0,1)</f>
        <v>1</v>
      </c>
      <c r="AL141" s="68">
        <f ca="1">IF(AND(SUMIF(Capacity_Resource,$D141,'Critical resources (hide)'!AY$6:AY$105)+SUMIF(Capacity_Resource,$E141,'Critical resources (hide)'!AY$6:AY$105)+SUMIF(Capacity_Resource,$F141,'Critical resources (hide)'!AY$6:AY$105)&gt;0,$E$1=2),0,1)</f>
        <v>1</v>
      </c>
      <c r="AM141" s="68">
        <f ca="1">IF(AND(SUMIF(Capacity_Resource,$D141,'Critical resources (hide)'!AZ$6:AZ$105)+SUMIF(Capacity_Resource,$E141,'Critical resources (hide)'!AZ$6:AZ$105)+SUMIF(Capacity_Resource,$F141,'Critical resources (hide)'!AZ$6:AZ$105)&gt;0,$E$1=2),0,1)</f>
        <v>1</v>
      </c>
      <c r="AN141" s="68">
        <f ca="1">IF(AND(SUMIF(Capacity_Resource,$D141,'Critical resources (hide)'!BA$6:BA$105)+SUMIF(Capacity_Resource,$E141,'Critical resources (hide)'!BA$6:BA$105)+SUMIF(Capacity_Resource,$F141,'Critical resources (hide)'!BA$6:BA$105)&gt;0,$E$1=2),0,1)</f>
        <v>1</v>
      </c>
      <c r="AO141" s="68">
        <f ca="1">IF(AND(SUMIF(Capacity_Resource,$D141,'Critical resources (hide)'!BB$6:BB$105)+SUMIF(Capacity_Resource,$E141,'Critical resources (hide)'!BB$6:BB$105)+SUMIF(Capacity_Resource,$F141,'Critical resources (hide)'!BB$6:BB$105)&gt;0,$E$1=2),0,1)</f>
        <v>1</v>
      </c>
      <c r="AP141" s="68">
        <f ca="1">IF(AND(SUMIF(Capacity_Resource,$D141,'Critical resources (hide)'!BC$6:BC$105)+SUMIF(Capacity_Resource,$E141,'Critical resources (hide)'!BC$6:BC$105)+SUMIF(Capacity_Resource,$F141,'Critical resources (hide)'!BC$6:BC$105)&gt;0,$E$1=2),0,1)</f>
        <v>1</v>
      </c>
      <c r="AQ141" s="68">
        <f ca="1">IF(AND(SUMIF(Capacity_Resource,$D141,'Critical resources (hide)'!BD$6:BD$105)+SUMIF(Capacity_Resource,$E141,'Critical resources (hide)'!BD$6:BD$105)+SUMIF(Capacity_Resource,$F141,'Critical resources (hide)'!BD$6:BD$105)&gt;0,$E$1=2),0,1)</f>
        <v>1</v>
      </c>
      <c r="AR141" s="68">
        <f ca="1">IF(AND(SUMIF(Capacity_Resource,$D141,'Critical resources (hide)'!BE$6:BE$105)+SUMIF(Capacity_Resource,$E141,'Critical resources (hide)'!BE$6:BE$105)+SUMIF(Capacity_Resource,$F141,'Critical resources (hide)'!BE$6:BE$105)&gt;0,$E$1=2),0,1)</f>
        <v>1</v>
      </c>
      <c r="AS141" s="68">
        <f ca="1">IF(AND(SUMIF(Capacity_Resource,$D141,'Critical resources (hide)'!BF$6:BF$105)+SUMIF(Capacity_Resource,$E141,'Critical resources (hide)'!BF$6:BF$105)+SUMIF(Capacity_Resource,$F141,'Critical resources (hide)'!BF$6:BF$105)&gt;0,$E$1=2),0,1)</f>
        <v>1</v>
      </c>
      <c r="AT141" s="68">
        <f ca="1">IF(AND(SUMIF(Capacity_Resource,$D141,'Critical resources (hide)'!BG$6:BG$105)+SUMIF(Capacity_Resource,$E141,'Critical resources (hide)'!BG$6:BG$105)+SUMIF(Capacity_Resource,$F141,'Critical resources (hide)'!BG$6:BG$105)&gt;0,$E$1=2),0,1)</f>
        <v>1</v>
      </c>
      <c r="AU141" s="68">
        <f ca="1">IF(AND(SUMIF(Capacity_Resource,$D141,'Critical resources (hide)'!BH$6:BH$105)+SUMIF(Capacity_Resource,$E141,'Critical resources (hide)'!BH$6:BH$105)+SUMIF(Capacity_Resource,$F141,'Critical resources (hide)'!BH$6:BH$105)&gt;0,$E$1=2),0,1)</f>
        <v>1</v>
      </c>
      <c r="AV141" s="68">
        <f ca="1">IF(AND(SUMIF(Capacity_Resource,$D141,'Critical resources (hide)'!BI$6:BI$105)+SUMIF(Capacity_Resource,$E141,'Critical resources (hide)'!BI$6:BI$105)+SUMIF(Capacity_Resource,$F141,'Critical resources (hide)'!BI$6:BI$105)&gt;0,$E$1=2),0,1)</f>
        <v>1</v>
      </c>
      <c r="AW141" s="68">
        <f ca="1">IF(AND(SUMIF(Capacity_Resource,$D141,'Critical resources (hide)'!BJ$6:BJ$105)+SUMIF(Capacity_Resource,$E141,'Critical resources (hide)'!BJ$6:BJ$105)+SUMIF(Capacity_Resource,$F141,'Critical resources (hide)'!BJ$6:BJ$105)&gt;0,$E$1=2),0,1)</f>
        <v>1</v>
      </c>
      <c r="AX141" s="68">
        <f ca="1">IF(AND(SUMIF(Capacity_Resource,$D141,'Critical resources (hide)'!BK$6:BK$105)+SUMIF(Capacity_Resource,$E141,'Critical resources (hide)'!BK$6:BK$105)+SUMIF(Capacity_Resource,$F141,'Critical resources (hide)'!BK$6:BK$105)&gt;0,$E$1=2),0,1)</f>
        <v>1</v>
      </c>
      <c r="AY141" s="68">
        <f ca="1">IF(AND(SUMIF(Capacity_Resource,$D141,'Critical resources (hide)'!BL$6:BL$105)+SUMIF(Capacity_Resource,$E141,'Critical resources (hide)'!BL$6:BL$105)+SUMIF(Capacity_Resource,$F141,'Critical resources (hide)'!BL$6:BL$105)&gt;0,$E$1=2),0,1)</f>
        <v>1</v>
      </c>
      <c r="AZ141" s="68">
        <f ca="1">IF(AND(SUMIF(Capacity_Resource,$D141,'Critical resources (hide)'!BM$6:BM$105)+SUMIF(Capacity_Resource,$E141,'Critical resources (hide)'!BM$6:BM$105)+SUMIF(Capacity_Resource,$F141,'Critical resources (hide)'!BM$6:BM$105)&gt;0,$E$1=2),0,1)</f>
        <v>1</v>
      </c>
      <c r="BA141" s="68">
        <f ca="1">IF(AND(SUMIF(Capacity_Resource,$D141,'Critical resources (hide)'!BN$6:BN$105)+SUMIF(Capacity_Resource,$E141,'Critical resources (hide)'!BN$6:BN$105)+SUMIF(Capacity_Resource,$F141,'Critical resources (hide)'!BN$6:BN$105)&gt;0,$E$1=2),0,1)</f>
        <v>1</v>
      </c>
      <c r="BB141" s="68">
        <f ca="1">IF(AND(SUMIF(Capacity_Resource,$D141,'Critical resources (hide)'!BO$6:BO$105)+SUMIF(Capacity_Resource,$E141,'Critical resources (hide)'!BO$6:BO$105)+SUMIF(Capacity_Resource,$F141,'Critical resources (hide)'!BO$6:BO$105)&gt;0,$E$1=2),0,1)</f>
        <v>1</v>
      </c>
      <c r="BC141" s="68">
        <f ca="1">IF(AND(SUMIF(Capacity_Resource,$D141,'Critical resources (hide)'!BP$6:BP$105)+SUMIF(Capacity_Resource,$E141,'Critical resources (hide)'!BP$6:BP$105)+SUMIF(Capacity_Resource,$F141,'Critical resources (hide)'!BP$6:BP$105)&gt;0,$E$1=2),0,1)</f>
        <v>1</v>
      </c>
      <c r="BD141" s="68">
        <f ca="1">IF(AND(SUMIF(Capacity_Resource,$D141,'Critical resources (hide)'!BQ$6:BQ$105)+SUMIF(Capacity_Resource,$E141,'Critical resources (hide)'!BQ$6:BQ$105)+SUMIF(Capacity_Resource,$F141,'Critical resources (hide)'!BQ$6:BQ$105)&gt;0,$E$1=2),0,1)</f>
        <v>1</v>
      </c>
      <c r="BE141" s="68">
        <f ca="1">IF(AND(SUMIF(Capacity_Resource,$D141,'Critical resources (hide)'!BR$6:BR$105)+SUMIF(Capacity_Resource,$E141,'Critical resources (hide)'!BR$6:BR$105)+SUMIF(Capacity_Resource,$F141,'Critical resources (hide)'!BR$6:BR$105)&gt;0,$E$1=2),0,1)</f>
        <v>1</v>
      </c>
      <c r="BF141" s="68">
        <f ca="1">IF(AND(SUMIF(Capacity_Resource,$D141,'Critical resources (hide)'!BS$6:BS$105)+SUMIF(Capacity_Resource,$E141,'Critical resources (hide)'!BS$6:BS$105)+SUMIF(Capacity_Resource,$F141,'Critical resources (hide)'!BS$6:BS$105)&gt;0,$E$1=2),0,1)</f>
        <v>1</v>
      </c>
      <c r="BG141" s="68">
        <f ca="1">IF(AND(SUMIF(Capacity_Resource,$D141,'Critical resources (hide)'!BT$6:BT$105)+SUMIF(Capacity_Resource,$E141,'Critical resources (hide)'!BT$6:BT$105)+SUMIF(Capacity_Resource,$F141,'Critical resources (hide)'!BT$6:BT$105)&gt;0,$E$1=2),0,1)</f>
        <v>1</v>
      </c>
      <c r="BH141" s="68">
        <f>IF(ROW(A30)&lt;=Capacity!$M$16,IF('Capacity summary'!$C$14="No",SUM(H141:BG141),'Capacity summary'!$E53),0)</f>
        <v>0</v>
      </c>
      <c r="BI141" s="68" t="str">
        <f>IF(BH141&gt;0,IF(BH141&lt;Capacity!Q46,Capacity!R46,Capacity!T46/'Capacity calculation (hide)'!BH141),"")</f>
        <v/>
      </c>
      <c r="BJ141" s="5"/>
      <c r="BK141" s="5">
        <f>IF($BI141&lt;&gt;"",IF('Capacity summary'!$C$14="Yes",IF(COUNTBLANK('Capacity summary'!$H53:$BG53)&lt;52,IF('Capacity summary'!H53&lt;&gt;"",$BI141*H141,0),H141*$BI141),H141*$BI141),0)</f>
        <v>0</v>
      </c>
      <c r="BL141" s="5">
        <f>IF($BI141&lt;&gt;"",IF('Capacity summary'!$C$14="Yes",IF(COUNTBLANK('Capacity summary'!$H53:$BG53)&lt;52,IF('Capacity summary'!I53&lt;&gt;"",$BI141*I141,0),I141*$BI141),I141*$BI141),0)</f>
        <v>0</v>
      </c>
      <c r="BM141" s="5">
        <f>IF($BI141&lt;&gt;"",IF('Capacity summary'!$C$14="Yes",IF(COUNTBLANK('Capacity summary'!$H53:$BG53)&lt;52,IF('Capacity summary'!J53&lt;&gt;"",$BI141*J141,0),J141*$BI141),J141*$BI141),0)</f>
        <v>0</v>
      </c>
      <c r="BN141" s="5">
        <f>IF($BI141&lt;&gt;"",IF('Capacity summary'!$C$14="Yes",IF(COUNTBLANK('Capacity summary'!$H53:$BG53)&lt;52,IF('Capacity summary'!K53&lt;&gt;"",$BI141*K141,0),K141*$BI141),K141*$BI141),0)</f>
        <v>0</v>
      </c>
      <c r="BO141" s="5">
        <f>IF($BI141&lt;&gt;"",IF('Capacity summary'!$C$14="Yes",IF(COUNTBLANK('Capacity summary'!$H53:$BG53)&lt;52,IF('Capacity summary'!L53&lt;&gt;"",$BI141*L141,0),L141*$BI141),L141*$BI141),0)</f>
        <v>0</v>
      </c>
      <c r="BP141" s="5">
        <f>IF($BI141&lt;&gt;"",IF('Capacity summary'!$C$14="Yes",IF(COUNTBLANK('Capacity summary'!$H53:$BG53)&lt;52,IF('Capacity summary'!M53&lt;&gt;"",$BI141*M141,0),M141*$BI141),M141*$BI141),0)</f>
        <v>0</v>
      </c>
      <c r="BQ141" s="5">
        <f>IF($BI141&lt;&gt;"",IF('Capacity summary'!$C$14="Yes",IF(COUNTBLANK('Capacity summary'!$H53:$BG53)&lt;52,IF('Capacity summary'!N53&lt;&gt;"",$BI141*N141,0),N141*$BI141),N141*$BI141),0)</f>
        <v>0</v>
      </c>
      <c r="BR141" s="5">
        <f>IF($BI141&lt;&gt;"",IF('Capacity summary'!$C$14="Yes",IF(COUNTBLANK('Capacity summary'!$H53:$BG53)&lt;52,IF('Capacity summary'!O53&lt;&gt;"",$BI141*O141,0),O141*$BI141),O141*$BI141),0)</f>
        <v>0</v>
      </c>
      <c r="BS141" s="5">
        <f>IF($BI141&lt;&gt;"",IF('Capacity summary'!$C$14="Yes",IF(COUNTBLANK('Capacity summary'!$H53:$BG53)&lt;52,IF('Capacity summary'!P53&lt;&gt;"",$BI141*P141,0),P141*$BI141),P141*$BI141),0)</f>
        <v>0</v>
      </c>
      <c r="BT141" s="5">
        <f>IF($BI141&lt;&gt;"",IF('Capacity summary'!$C$14="Yes",IF(COUNTBLANK('Capacity summary'!$H53:$BG53)&lt;52,IF('Capacity summary'!Q53&lt;&gt;"",$BI141*Q141,0),Q141*$BI141),Q141*$BI141),0)</f>
        <v>0</v>
      </c>
      <c r="BU141" s="5">
        <f>IF($BI141&lt;&gt;"",IF('Capacity summary'!$C$14="Yes",IF(COUNTBLANK('Capacity summary'!$H53:$BG53)&lt;52,IF('Capacity summary'!R53&lt;&gt;"",$BI141*R141,0),R141*$BI141),R141*$BI141),0)</f>
        <v>0</v>
      </c>
      <c r="BV141" s="5">
        <f>IF($BI141&lt;&gt;"",IF('Capacity summary'!$C$14="Yes",IF(COUNTBLANK('Capacity summary'!$H53:$BG53)&lt;52,IF('Capacity summary'!S53&lt;&gt;"",$BI141*S141,0),S141*$BI141),S141*$BI141),0)</f>
        <v>0</v>
      </c>
      <c r="BW141" s="5">
        <f>IF($BI141&lt;&gt;"",IF('Capacity summary'!$C$14="Yes",IF(COUNTBLANK('Capacity summary'!$H53:$BG53)&lt;52,IF('Capacity summary'!T53&lt;&gt;"",$BI141*T141,0),T141*$BI141),T141*$BI141),0)</f>
        <v>0</v>
      </c>
      <c r="BX141" s="5">
        <f>IF($BI141&lt;&gt;"",IF('Capacity summary'!$C$14="Yes",IF(COUNTBLANK('Capacity summary'!$H53:$BG53)&lt;52,IF('Capacity summary'!U53&lt;&gt;"",$BI141*U141,0),U141*$BI141),U141*$BI141),0)</f>
        <v>0</v>
      </c>
      <c r="BY141" s="5">
        <f>IF($BI141&lt;&gt;"",IF('Capacity summary'!$C$14="Yes",IF(COUNTBLANK('Capacity summary'!$H53:$BG53)&lt;52,IF('Capacity summary'!V53&lt;&gt;"",$BI141*V141,0),V141*$BI141),V141*$BI141),0)</f>
        <v>0</v>
      </c>
      <c r="BZ141" s="5">
        <f>IF($BI141&lt;&gt;"",IF('Capacity summary'!$C$14="Yes",IF(COUNTBLANK('Capacity summary'!$H53:$BG53)&lt;52,IF('Capacity summary'!W53&lt;&gt;"",$BI141*W141,0),W141*$BI141),W141*$BI141),0)</f>
        <v>0</v>
      </c>
      <c r="CA141" s="5">
        <f>IF($BI141&lt;&gt;"",IF('Capacity summary'!$C$14="Yes",IF(COUNTBLANK('Capacity summary'!$H53:$BG53)&lt;52,IF('Capacity summary'!X53&lt;&gt;"",$BI141*X141,0),X141*$BI141),X141*$BI141),0)</f>
        <v>0</v>
      </c>
      <c r="CB141" s="5">
        <f>IF($BI141&lt;&gt;"",IF('Capacity summary'!$C$14="Yes",IF(COUNTBLANK('Capacity summary'!$H53:$BG53)&lt;52,IF('Capacity summary'!Y53&lt;&gt;"",$BI141*Y141,0),Y141*$BI141),Y141*$BI141),0)</f>
        <v>0</v>
      </c>
      <c r="CC141" s="5">
        <f>IF($BI141&lt;&gt;"",IF('Capacity summary'!$C$14="Yes",IF(COUNTBLANK('Capacity summary'!$H53:$BG53)&lt;52,IF('Capacity summary'!Z53&lt;&gt;"",$BI141*Z141,0),Z141*$BI141),Z141*$BI141),0)</f>
        <v>0</v>
      </c>
      <c r="CD141" s="5">
        <f>IF($BI141&lt;&gt;"",IF('Capacity summary'!$C$14="Yes",IF(COUNTBLANK('Capacity summary'!$H53:$BG53)&lt;52,IF('Capacity summary'!AA53&lt;&gt;"",$BI141*AA141,0),AA141*$BI141),AA141*$BI141),0)</f>
        <v>0</v>
      </c>
      <c r="CE141" s="5">
        <f>IF($BI141&lt;&gt;"",IF('Capacity summary'!$C$14="Yes",IF(COUNTBLANK('Capacity summary'!$H53:$BG53)&lt;52,IF('Capacity summary'!AB53&lt;&gt;"",$BI141*AB141,0),AB141*$BI141),AB141*$BI141),0)</f>
        <v>0</v>
      </c>
      <c r="CF141" s="5">
        <f>IF($BI141&lt;&gt;"",IF('Capacity summary'!$C$14="Yes",IF(COUNTBLANK('Capacity summary'!$H53:$BG53)&lt;52,IF('Capacity summary'!AC53&lt;&gt;"",$BI141*AC141,0),AC141*$BI141),AC141*$BI141),0)</f>
        <v>0</v>
      </c>
      <c r="CG141" s="5">
        <f>IF($BI141&lt;&gt;"",IF('Capacity summary'!$C$14="Yes",IF(COUNTBLANK('Capacity summary'!$H53:$BG53)&lt;52,IF('Capacity summary'!AD53&lt;&gt;"",$BI141*AD141,0),AD141*$BI141),AD141*$BI141),0)</f>
        <v>0</v>
      </c>
      <c r="CH141" s="5">
        <f>IF($BI141&lt;&gt;"",IF('Capacity summary'!$C$14="Yes",IF(COUNTBLANK('Capacity summary'!$H53:$BG53)&lt;52,IF('Capacity summary'!AE53&lt;&gt;"",$BI141*AE141,0),AE141*$BI141),AE141*$BI141),0)</f>
        <v>0</v>
      </c>
      <c r="CI141" s="5">
        <f>IF($BI141&lt;&gt;"",IF('Capacity summary'!$C$14="Yes",IF(COUNTBLANK('Capacity summary'!$H53:$BG53)&lt;52,IF('Capacity summary'!AF53&lt;&gt;"",$BI141*AF141,0),AF141*$BI141),AF141*$BI141),0)</f>
        <v>0</v>
      </c>
      <c r="CJ141" s="5">
        <f>IF($BI141&lt;&gt;"",IF('Capacity summary'!$C$14="Yes",IF(COUNTBLANK('Capacity summary'!$H53:$BG53)&lt;52,IF('Capacity summary'!AG53&lt;&gt;"",$BI141*AG141,0),AG141*$BI141),AG141*$BI141),0)</f>
        <v>0</v>
      </c>
      <c r="CK141" s="5">
        <f>IF($BI141&lt;&gt;"",IF('Capacity summary'!$C$14="Yes",IF(COUNTBLANK('Capacity summary'!$H53:$BG53)&lt;52,IF('Capacity summary'!AH53&lt;&gt;"",$BI141*AH141,0),AH141*$BI141),AH141*$BI141),0)</f>
        <v>0</v>
      </c>
      <c r="CL141" s="5">
        <f>IF($BI141&lt;&gt;"",IF('Capacity summary'!$C$14="Yes",IF(COUNTBLANK('Capacity summary'!$H53:$BG53)&lt;52,IF('Capacity summary'!AI53&lt;&gt;"",$BI141*AI141,0),AI141*$BI141),AI141*$BI141),0)</f>
        <v>0</v>
      </c>
      <c r="CM141" s="5">
        <f>IF($BI141&lt;&gt;"",IF('Capacity summary'!$C$14="Yes",IF(COUNTBLANK('Capacity summary'!$H53:$BG53)&lt;52,IF('Capacity summary'!AJ53&lt;&gt;"",$BI141*AJ141,0),AJ141*$BI141),AJ141*$BI141),0)</f>
        <v>0</v>
      </c>
      <c r="CN141" s="5">
        <f>IF($BI141&lt;&gt;"",IF('Capacity summary'!$C$14="Yes",IF(COUNTBLANK('Capacity summary'!$H53:$BG53)&lt;52,IF('Capacity summary'!AK53&lt;&gt;"",$BI141*AK141,0),AK141*$BI141),AK141*$BI141),0)</f>
        <v>0</v>
      </c>
      <c r="CO141" s="5">
        <f>IF($BI141&lt;&gt;"",IF('Capacity summary'!$C$14="Yes",IF(COUNTBLANK('Capacity summary'!$H53:$BG53)&lt;52,IF('Capacity summary'!AL53&lt;&gt;"",$BI141*AL141,0),AL141*$BI141),AL141*$BI141),0)</f>
        <v>0</v>
      </c>
      <c r="CP141" s="5">
        <f>IF($BI141&lt;&gt;"",IF('Capacity summary'!$C$14="Yes",IF(COUNTBLANK('Capacity summary'!$H53:$BG53)&lt;52,IF('Capacity summary'!AM53&lt;&gt;"",$BI141*AM141,0),AM141*$BI141),AM141*$BI141),0)</f>
        <v>0</v>
      </c>
      <c r="CQ141" s="5">
        <f>IF($BI141&lt;&gt;"",IF('Capacity summary'!$C$14="Yes",IF(COUNTBLANK('Capacity summary'!$H53:$BG53)&lt;52,IF('Capacity summary'!AN53&lt;&gt;"",$BI141*AN141,0),AN141*$BI141),AN141*$BI141),0)</f>
        <v>0</v>
      </c>
      <c r="CR141" s="5">
        <f>IF($BI141&lt;&gt;"",IF('Capacity summary'!$C$14="Yes",IF(COUNTBLANK('Capacity summary'!$H53:$BG53)&lt;52,IF('Capacity summary'!AO53&lt;&gt;"",$BI141*AO141,0),AO141*$BI141),AO141*$BI141),0)</f>
        <v>0</v>
      </c>
      <c r="CS141" s="5">
        <f>IF($BI141&lt;&gt;"",IF('Capacity summary'!$C$14="Yes",IF(COUNTBLANK('Capacity summary'!$H53:$BG53)&lt;52,IF('Capacity summary'!AP53&lt;&gt;"",$BI141*AP141,0),AP141*$BI141),AP141*$BI141),0)</f>
        <v>0</v>
      </c>
      <c r="CT141" s="5">
        <f>IF($BI141&lt;&gt;"",IF('Capacity summary'!$C$14="Yes",IF(COUNTBLANK('Capacity summary'!$H53:$BG53)&lt;52,IF('Capacity summary'!AQ53&lt;&gt;"",$BI141*AQ141,0),AQ141*$BI141),AQ141*$BI141),0)</f>
        <v>0</v>
      </c>
      <c r="CU141" s="5">
        <f>IF($BI141&lt;&gt;"",IF('Capacity summary'!$C$14="Yes",IF(COUNTBLANK('Capacity summary'!$H53:$BG53)&lt;52,IF('Capacity summary'!AR53&lt;&gt;"",$BI141*AR141,0),AR141*$BI141),AR141*$BI141),0)</f>
        <v>0</v>
      </c>
      <c r="CV141" s="5">
        <f>IF($BI141&lt;&gt;"",IF('Capacity summary'!$C$14="Yes",IF(COUNTBLANK('Capacity summary'!$H53:$BG53)&lt;52,IF('Capacity summary'!AS53&lt;&gt;"",$BI141*AS141,0),AS141*$BI141),AS141*$BI141),0)</f>
        <v>0</v>
      </c>
      <c r="CW141" s="5">
        <f>IF($BI141&lt;&gt;"",IF('Capacity summary'!$C$14="Yes",IF(COUNTBLANK('Capacity summary'!$H53:$BG53)&lt;52,IF('Capacity summary'!AT53&lt;&gt;"",$BI141*AT141,0),AT141*$BI141),AT141*$BI141),0)</f>
        <v>0</v>
      </c>
      <c r="CX141" s="5">
        <f>IF($BI141&lt;&gt;"",IF('Capacity summary'!$C$14="Yes",IF(COUNTBLANK('Capacity summary'!$H53:$BG53)&lt;52,IF('Capacity summary'!AU53&lt;&gt;"",$BI141*AU141,0),AU141*$BI141),AU141*$BI141),0)</f>
        <v>0</v>
      </c>
      <c r="CY141" s="5">
        <f>IF($BI141&lt;&gt;"",IF('Capacity summary'!$C$14="Yes",IF(COUNTBLANK('Capacity summary'!$H53:$BG53)&lt;52,IF('Capacity summary'!AV53&lt;&gt;"",$BI141*AV141,0),AV141*$BI141),AV141*$BI141),0)</f>
        <v>0</v>
      </c>
      <c r="CZ141" s="5">
        <f>IF($BI141&lt;&gt;"",IF('Capacity summary'!$C$14="Yes",IF(COUNTBLANK('Capacity summary'!$H53:$BG53)&lt;52,IF('Capacity summary'!AW53&lt;&gt;"",$BI141*AW141,0),AW141*$BI141),AW141*$BI141),0)</f>
        <v>0</v>
      </c>
      <c r="DA141" s="5">
        <f>IF($BI141&lt;&gt;"",IF('Capacity summary'!$C$14="Yes",IF(COUNTBLANK('Capacity summary'!$H53:$BG53)&lt;52,IF('Capacity summary'!AX53&lt;&gt;"",$BI141*AX141,0),AX141*$BI141),AX141*$BI141),0)</f>
        <v>0</v>
      </c>
      <c r="DB141" s="5">
        <f>IF($BI141&lt;&gt;"",IF('Capacity summary'!$C$14="Yes",IF(COUNTBLANK('Capacity summary'!$H53:$BG53)&lt;52,IF('Capacity summary'!AY53&lt;&gt;"",$BI141*AY141,0),AY141*$BI141),AY141*$BI141),0)</f>
        <v>0</v>
      </c>
      <c r="DC141" s="5">
        <f>IF($BI141&lt;&gt;"",IF('Capacity summary'!$C$14="Yes",IF(COUNTBLANK('Capacity summary'!$H53:$BG53)&lt;52,IF('Capacity summary'!AZ53&lt;&gt;"",$BI141*AZ141,0),AZ141*$BI141),AZ141*$BI141),0)</f>
        <v>0</v>
      </c>
      <c r="DD141" s="5">
        <f>IF($BI141&lt;&gt;"",IF('Capacity summary'!$C$14="Yes",IF(COUNTBLANK('Capacity summary'!$H53:$BG53)&lt;52,IF('Capacity summary'!BA53&lt;&gt;"",$BI141*BA141,0),BA141*$BI141),BA141*$BI141),0)</f>
        <v>0</v>
      </c>
      <c r="DE141" s="5">
        <f>IF($BI141&lt;&gt;"",IF('Capacity summary'!$C$14="Yes",IF(COUNTBLANK('Capacity summary'!$H53:$BG53)&lt;52,IF('Capacity summary'!BB53&lt;&gt;"",$BI141*BB141,0),BB141*$BI141),BB141*$BI141),0)</f>
        <v>0</v>
      </c>
      <c r="DF141" s="5">
        <f>IF($BI141&lt;&gt;"",IF('Capacity summary'!$C$14="Yes",IF(COUNTBLANK('Capacity summary'!$H53:$BG53)&lt;52,IF('Capacity summary'!BC53&lt;&gt;"",$BI141*BC141,0),BC141*$BI141),BC141*$BI141),0)</f>
        <v>0</v>
      </c>
      <c r="DG141" s="5">
        <f>IF($BI141&lt;&gt;"",IF('Capacity summary'!$C$14="Yes",IF(COUNTBLANK('Capacity summary'!$H53:$BG53)&lt;52,IF('Capacity summary'!BD53&lt;&gt;"",$BI141*BD141,0),BD141*$BI141),BD141*$BI141),0)</f>
        <v>0</v>
      </c>
      <c r="DH141" s="5">
        <f>IF($BI141&lt;&gt;"",IF('Capacity summary'!$C$14="Yes",IF(COUNTBLANK('Capacity summary'!$H53:$BG53)&lt;52,IF('Capacity summary'!BE53&lt;&gt;"",$BI141*BE141,0),BE141*$BI141),BE141*$BI141),0)</f>
        <v>0</v>
      </c>
      <c r="DI141" s="5">
        <f>IF($BI141&lt;&gt;"",IF('Capacity summary'!$C$14="Yes",IF(COUNTBLANK('Capacity summary'!$H53:$BG53)&lt;52,IF('Capacity summary'!BF53&lt;&gt;"",$BI141*BF141,0),BF141*$BI141),BF141*$BI141),0)</f>
        <v>0</v>
      </c>
      <c r="DJ141" s="5">
        <f>IF($BI141&lt;&gt;"",IF('Capacity summary'!$C$14="Yes",IF(COUNTBLANK('Capacity summary'!$H53:$BG53)&lt;52,IF('Capacity summary'!BG53&lt;&gt;"",$BI141*BG141,0),BG141*$BI141),BG141*$BI141),0)</f>
        <v>0</v>
      </c>
      <c r="DK141" s="138">
        <f t="shared" si="6"/>
        <v>0</v>
      </c>
    </row>
    <row r="142" spans="3:115" x14ac:dyDescent="0.2">
      <c r="C142" s="68" t="str">
        <f>ROW(A31)&amp;". "&amp;Capacity!N47</f>
        <v xml:space="preserve">31. </v>
      </c>
      <c r="D142" s="68">
        <f>'Capacity setup'!C148</f>
        <v>0</v>
      </c>
      <c r="E142" s="68">
        <f>'Capacity setup'!D148</f>
        <v>0</v>
      </c>
      <c r="F142" s="68">
        <f>'Capacity setup'!E148</f>
        <v>0</v>
      </c>
      <c r="H142" s="68">
        <f ca="1">IF(AND(SUMIF(Capacity_Resource,$D142,'Critical resources (hide)'!U$6:U$105)+SUMIF(Capacity_Resource,$E142,'Critical resources (hide)'!U$6:U$105)+SUMIF(Capacity_Resource,$F142,'Critical resources (hide)'!U$6:U$105)&gt;0,$E$1=2),0,1)</f>
        <v>1</v>
      </c>
      <c r="I142" s="68">
        <f ca="1">IF(AND(SUMIF(Capacity_Resource,$D142,'Critical resources (hide)'!V$6:V$105)+SUMIF(Capacity_Resource,$E142,'Critical resources (hide)'!V$6:V$105)+SUMIF(Capacity_Resource,$F142,'Critical resources (hide)'!V$6:V$105)&gt;0,$E$1=2),0,1)</f>
        <v>1</v>
      </c>
      <c r="J142" s="68">
        <f ca="1">IF(AND(SUMIF(Capacity_Resource,$D142,'Critical resources (hide)'!W$6:W$105)+SUMIF(Capacity_Resource,$E142,'Critical resources (hide)'!W$6:W$105)+SUMIF(Capacity_Resource,$F142,'Critical resources (hide)'!W$6:W$105)&gt;0,$E$1=2),0,1)</f>
        <v>1</v>
      </c>
      <c r="K142" s="68">
        <f ca="1">IF(AND(SUMIF(Capacity_Resource,$D142,'Critical resources (hide)'!X$6:X$105)+SUMIF(Capacity_Resource,$E142,'Critical resources (hide)'!X$6:X$105)+SUMIF(Capacity_Resource,$F142,'Critical resources (hide)'!X$6:X$105)&gt;0,$E$1=2),0,1)</f>
        <v>1</v>
      </c>
      <c r="L142" s="68">
        <f ca="1">IF(AND(SUMIF(Capacity_Resource,$D142,'Critical resources (hide)'!Y$6:Y$105)+SUMIF(Capacity_Resource,$E142,'Critical resources (hide)'!Y$6:Y$105)+SUMIF(Capacity_Resource,$F142,'Critical resources (hide)'!Y$6:Y$105)&gt;0,$E$1=2),0,1)</f>
        <v>1</v>
      </c>
      <c r="M142" s="68">
        <f ca="1">IF(AND(SUMIF(Capacity_Resource,$D142,'Critical resources (hide)'!Z$6:Z$105)+SUMIF(Capacity_Resource,$E142,'Critical resources (hide)'!Z$6:Z$105)+SUMIF(Capacity_Resource,$F142,'Critical resources (hide)'!Z$6:Z$105)&gt;0,$E$1=2),0,1)</f>
        <v>1</v>
      </c>
      <c r="N142" s="68">
        <f ca="1">IF(AND(SUMIF(Capacity_Resource,$D142,'Critical resources (hide)'!AA$6:AA$105)+SUMIF(Capacity_Resource,$E142,'Critical resources (hide)'!AA$6:AA$105)+SUMIF(Capacity_Resource,$F142,'Critical resources (hide)'!AA$6:AA$105)&gt;0,$E$1=2),0,1)</f>
        <v>1</v>
      </c>
      <c r="O142" s="68">
        <f ca="1">IF(AND(SUMIF(Capacity_Resource,$D142,'Critical resources (hide)'!AB$6:AB$105)+SUMIF(Capacity_Resource,$E142,'Critical resources (hide)'!AB$6:AB$105)+SUMIF(Capacity_Resource,$F142,'Critical resources (hide)'!AB$6:AB$105)&gt;0,$E$1=2),0,1)</f>
        <v>1</v>
      </c>
      <c r="P142" s="68">
        <f ca="1">IF(AND(SUMIF(Capacity_Resource,$D142,'Critical resources (hide)'!AC$6:AC$105)+SUMIF(Capacity_Resource,$E142,'Critical resources (hide)'!AC$6:AC$105)+SUMIF(Capacity_Resource,$F142,'Critical resources (hide)'!AC$6:AC$105)&gt;0,$E$1=2),0,1)</f>
        <v>1</v>
      </c>
      <c r="Q142" s="68">
        <f ca="1">IF(AND(SUMIF(Capacity_Resource,$D142,'Critical resources (hide)'!AD$6:AD$105)+SUMIF(Capacity_Resource,$E142,'Critical resources (hide)'!AD$6:AD$105)+SUMIF(Capacity_Resource,$F142,'Critical resources (hide)'!AD$6:AD$105)&gt;0,$E$1=2),0,1)</f>
        <v>1</v>
      </c>
      <c r="R142" s="68">
        <f ca="1">IF(AND(SUMIF(Capacity_Resource,$D142,'Critical resources (hide)'!AE$6:AE$105)+SUMIF(Capacity_Resource,$E142,'Critical resources (hide)'!AE$6:AE$105)+SUMIF(Capacity_Resource,$F142,'Critical resources (hide)'!AE$6:AE$105)&gt;0,$E$1=2),0,1)</f>
        <v>1</v>
      </c>
      <c r="S142" s="68">
        <f ca="1">IF(AND(SUMIF(Capacity_Resource,$D142,'Critical resources (hide)'!AF$6:AF$105)+SUMIF(Capacity_Resource,$E142,'Critical resources (hide)'!AF$6:AF$105)+SUMIF(Capacity_Resource,$F142,'Critical resources (hide)'!AF$6:AF$105)&gt;0,$E$1=2),0,1)</f>
        <v>1</v>
      </c>
      <c r="T142" s="68">
        <f ca="1">IF(AND(SUMIF(Capacity_Resource,$D142,'Critical resources (hide)'!AG$6:AG$105)+SUMIF(Capacity_Resource,$E142,'Critical resources (hide)'!AG$6:AG$105)+SUMIF(Capacity_Resource,$F142,'Critical resources (hide)'!AG$6:AG$105)&gt;0,$E$1=2),0,1)</f>
        <v>1</v>
      </c>
      <c r="U142" s="68">
        <f ca="1">IF(AND(SUMIF(Capacity_Resource,$D142,'Critical resources (hide)'!AH$6:AH$105)+SUMIF(Capacity_Resource,$E142,'Critical resources (hide)'!AH$6:AH$105)+SUMIF(Capacity_Resource,$F142,'Critical resources (hide)'!AH$6:AH$105)&gt;0,$E$1=2),0,1)</f>
        <v>1</v>
      </c>
      <c r="V142" s="68">
        <f ca="1">IF(AND(SUMIF(Capacity_Resource,$D142,'Critical resources (hide)'!AI$6:AI$105)+SUMIF(Capacity_Resource,$E142,'Critical resources (hide)'!AI$6:AI$105)+SUMIF(Capacity_Resource,$F142,'Critical resources (hide)'!AI$6:AI$105)&gt;0,$E$1=2),0,1)</f>
        <v>1</v>
      </c>
      <c r="W142" s="68">
        <f ca="1">IF(AND(SUMIF(Capacity_Resource,$D142,'Critical resources (hide)'!AJ$6:AJ$105)+SUMIF(Capacity_Resource,$E142,'Critical resources (hide)'!AJ$6:AJ$105)+SUMIF(Capacity_Resource,$F142,'Critical resources (hide)'!AJ$6:AJ$105)&gt;0,$E$1=2),0,1)</f>
        <v>1</v>
      </c>
      <c r="X142" s="68">
        <f ca="1">IF(AND(SUMIF(Capacity_Resource,$D142,'Critical resources (hide)'!AK$6:AK$105)+SUMIF(Capacity_Resource,$E142,'Critical resources (hide)'!AK$6:AK$105)+SUMIF(Capacity_Resource,$F142,'Critical resources (hide)'!AK$6:AK$105)&gt;0,$E$1=2),0,1)</f>
        <v>1</v>
      </c>
      <c r="Y142" s="68">
        <f ca="1">IF(AND(SUMIF(Capacity_Resource,$D142,'Critical resources (hide)'!AL$6:AL$105)+SUMIF(Capacity_Resource,$E142,'Critical resources (hide)'!AL$6:AL$105)+SUMIF(Capacity_Resource,$F142,'Critical resources (hide)'!AL$6:AL$105)&gt;0,$E$1=2),0,1)</f>
        <v>1</v>
      </c>
      <c r="Z142" s="68">
        <f ca="1">IF(AND(SUMIF(Capacity_Resource,$D142,'Critical resources (hide)'!AM$6:AM$105)+SUMIF(Capacity_Resource,$E142,'Critical resources (hide)'!AM$6:AM$105)+SUMIF(Capacity_Resource,$F142,'Critical resources (hide)'!AM$6:AM$105)&gt;0,$E$1=2),0,1)</f>
        <v>1</v>
      </c>
      <c r="AA142" s="68">
        <f ca="1">IF(AND(SUMIF(Capacity_Resource,$D142,'Critical resources (hide)'!AN$6:AN$105)+SUMIF(Capacity_Resource,$E142,'Critical resources (hide)'!AN$6:AN$105)+SUMIF(Capacity_Resource,$F142,'Critical resources (hide)'!AN$6:AN$105)&gt;0,$E$1=2),0,1)</f>
        <v>1</v>
      </c>
      <c r="AB142" s="68">
        <f ca="1">IF(AND(SUMIF(Capacity_Resource,$D142,'Critical resources (hide)'!AO$6:AO$105)+SUMIF(Capacity_Resource,$E142,'Critical resources (hide)'!AO$6:AO$105)+SUMIF(Capacity_Resource,$F142,'Critical resources (hide)'!AO$6:AO$105)&gt;0,$E$1=2),0,1)</f>
        <v>1</v>
      </c>
      <c r="AC142" s="68">
        <f ca="1">IF(AND(SUMIF(Capacity_Resource,$D142,'Critical resources (hide)'!AP$6:AP$105)+SUMIF(Capacity_Resource,$E142,'Critical resources (hide)'!AP$6:AP$105)+SUMIF(Capacity_Resource,$F142,'Critical resources (hide)'!AP$6:AP$105)&gt;0,$E$1=2),0,1)</f>
        <v>1</v>
      </c>
      <c r="AD142" s="68">
        <f ca="1">IF(AND(SUMIF(Capacity_Resource,$D142,'Critical resources (hide)'!AQ$6:AQ$105)+SUMIF(Capacity_Resource,$E142,'Critical resources (hide)'!AQ$6:AQ$105)+SUMIF(Capacity_Resource,$F142,'Critical resources (hide)'!AQ$6:AQ$105)&gt;0,$E$1=2),0,1)</f>
        <v>1</v>
      </c>
      <c r="AE142" s="68">
        <f ca="1">IF(AND(SUMIF(Capacity_Resource,$D142,'Critical resources (hide)'!AR$6:AR$105)+SUMIF(Capacity_Resource,$E142,'Critical resources (hide)'!AR$6:AR$105)+SUMIF(Capacity_Resource,$F142,'Critical resources (hide)'!AR$6:AR$105)&gt;0,$E$1=2),0,1)</f>
        <v>1</v>
      </c>
      <c r="AF142" s="68">
        <f ca="1">IF(AND(SUMIF(Capacity_Resource,$D142,'Critical resources (hide)'!AS$6:AS$105)+SUMIF(Capacity_Resource,$E142,'Critical resources (hide)'!AS$6:AS$105)+SUMIF(Capacity_Resource,$F142,'Critical resources (hide)'!AS$6:AS$105)&gt;0,$E$1=2),0,1)</f>
        <v>1</v>
      </c>
      <c r="AG142" s="68">
        <f ca="1">IF(AND(SUMIF(Capacity_Resource,$D142,'Critical resources (hide)'!AT$6:AT$105)+SUMIF(Capacity_Resource,$E142,'Critical resources (hide)'!AT$6:AT$105)+SUMIF(Capacity_Resource,$F142,'Critical resources (hide)'!AT$6:AT$105)&gt;0,$E$1=2),0,1)</f>
        <v>1</v>
      </c>
      <c r="AH142" s="68">
        <f ca="1">IF(AND(SUMIF(Capacity_Resource,$D142,'Critical resources (hide)'!AU$6:AU$105)+SUMIF(Capacity_Resource,$E142,'Critical resources (hide)'!AU$6:AU$105)+SUMIF(Capacity_Resource,$F142,'Critical resources (hide)'!AU$6:AU$105)&gt;0,$E$1=2),0,1)</f>
        <v>1</v>
      </c>
      <c r="AI142" s="68">
        <f ca="1">IF(AND(SUMIF(Capacity_Resource,$D142,'Critical resources (hide)'!AV$6:AV$105)+SUMIF(Capacity_Resource,$E142,'Critical resources (hide)'!AV$6:AV$105)+SUMIF(Capacity_Resource,$F142,'Critical resources (hide)'!AV$6:AV$105)&gt;0,$E$1=2),0,1)</f>
        <v>1</v>
      </c>
      <c r="AJ142" s="68">
        <f ca="1">IF(AND(SUMIF(Capacity_Resource,$D142,'Critical resources (hide)'!AW$6:AW$105)+SUMIF(Capacity_Resource,$E142,'Critical resources (hide)'!AW$6:AW$105)+SUMIF(Capacity_Resource,$F142,'Critical resources (hide)'!AW$6:AW$105)&gt;0,$E$1=2),0,1)</f>
        <v>1</v>
      </c>
      <c r="AK142" s="68">
        <f ca="1">IF(AND(SUMIF(Capacity_Resource,$D142,'Critical resources (hide)'!AX$6:AX$105)+SUMIF(Capacity_Resource,$E142,'Critical resources (hide)'!AX$6:AX$105)+SUMIF(Capacity_Resource,$F142,'Critical resources (hide)'!AX$6:AX$105)&gt;0,$E$1=2),0,1)</f>
        <v>1</v>
      </c>
      <c r="AL142" s="68">
        <f ca="1">IF(AND(SUMIF(Capacity_Resource,$D142,'Critical resources (hide)'!AY$6:AY$105)+SUMIF(Capacity_Resource,$E142,'Critical resources (hide)'!AY$6:AY$105)+SUMIF(Capacity_Resource,$F142,'Critical resources (hide)'!AY$6:AY$105)&gt;0,$E$1=2),0,1)</f>
        <v>1</v>
      </c>
      <c r="AM142" s="68">
        <f ca="1">IF(AND(SUMIF(Capacity_Resource,$D142,'Critical resources (hide)'!AZ$6:AZ$105)+SUMIF(Capacity_Resource,$E142,'Critical resources (hide)'!AZ$6:AZ$105)+SUMIF(Capacity_Resource,$F142,'Critical resources (hide)'!AZ$6:AZ$105)&gt;0,$E$1=2),0,1)</f>
        <v>1</v>
      </c>
      <c r="AN142" s="68">
        <f ca="1">IF(AND(SUMIF(Capacity_Resource,$D142,'Critical resources (hide)'!BA$6:BA$105)+SUMIF(Capacity_Resource,$E142,'Critical resources (hide)'!BA$6:BA$105)+SUMIF(Capacity_Resource,$F142,'Critical resources (hide)'!BA$6:BA$105)&gt;0,$E$1=2),0,1)</f>
        <v>1</v>
      </c>
      <c r="AO142" s="68">
        <f ca="1">IF(AND(SUMIF(Capacity_Resource,$D142,'Critical resources (hide)'!BB$6:BB$105)+SUMIF(Capacity_Resource,$E142,'Critical resources (hide)'!BB$6:BB$105)+SUMIF(Capacity_Resource,$F142,'Critical resources (hide)'!BB$6:BB$105)&gt;0,$E$1=2),0,1)</f>
        <v>1</v>
      </c>
      <c r="AP142" s="68">
        <f ca="1">IF(AND(SUMIF(Capacity_Resource,$D142,'Critical resources (hide)'!BC$6:BC$105)+SUMIF(Capacity_Resource,$E142,'Critical resources (hide)'!BC$6:BC$105)+SUMIF(Capacity_Resource,$F142,'Critical resources (hide)'!BC$6:BC$105)&gt;0,$E$1=2),0,1)</f>
        <v>1</v>
      </c>
      <c r="AQ142" s="68">
        <f ca="1">IF(AND(SUMIF(Capacity_Resource,$D142,'Critical resources (hide)'!BD$6:BD$105)+SUMIF(Capacity_Resource,$E142,'Critical resources (hide)'!BD$6:BD$105)+SUMIF(Capacity_Resource,$F142,'Critical resources (hide)'!BD$6:BD$105)&gt;0,$E$1=2),0,1)</f>
        <v>1</v>
      </c>
      <c r="AR142" s="68">
        <f ca="1">IF(AND(SUMIF(Capacity_Resource,$D142,'Critical resources (hide)'!BE$6:BE$105)+SUMIF(Capacity_Resource,$E142,'Critical resources (hide)'!BE$6:BE$105)+SUMIF(Capacity_Resource,$F142,'Critical resources (hide)'!BE$6:BE$105)&gt;0,$E$1=2),0,1)</f>
        <v>1</v>
      </c>
      <c r="AS142" s="68">
        <f ca="1">IF(AND(SUMIF(Capacity_Resource,$D142,'Critical resources (hide)'!BF$6:BF$105)+SUMIF(Capacity_Resource,$E142,'Critical resources (hide)'!BF$6:BF$105)+SUMIF(Capacity_Resource,$F142,'Critical resources (hide)'!BF$6:BF$105)&gt;0,$E$1=2),0,1)</f>
        <v>1</v>
      </c>
      <c r="AT142" s="68">
        <f ca="1">IF(AND(SUMIF(Capacity_Resource,$D142,'Critical resources (hide)'!BG$6:BG$105)+SUMIF(Capacity_Resource,$E142,'Critical resources (hide)'!BG$6:BG$105)+SUMIF(Capacity_Resource,$F142,'Critical resources (hide)'!BG$6:BG$105)&gt;0,$E$1=2),0,1)</f>
        <v>1</v>
      </c>
      <c r="AU142" s="68">
        <f ca="1">IF(AND(SUMIF(Capacity_Resource,$D142,'Critical resources (hide)'!BH$6:BH$105)+SUMIF(Capacity_Resource,$E142,'Critical resources (hide)'!BH$6:BH$105)+SUMIF(Capacity_Resource,$F142,'Critical resources (hide)'!BH$6:BH$105)&gt;0,$E$1=2),0,1)</f>
        <v>1</v>
      </c>
      <c r="AV142" s="68">
        <f ca="1">IF(AND(SUMIF(Capacity_Resource,$D142,'Critical resources (hide)'!BI$6:BI$105)+SUMIF(Capacity_Resource,$E142,'Critical resources (hide)'!BI$6:BI$105)+SUMIF(Capacity_Resource,$F142,'Critical resources (hide)'!BI$6:BI$105)&gt;0,$E$1=2),0,1)</f>
        <v>1</v>
      </c>
      <c r="AW142" s="68">
        <f ca="1">IF(AND(SUMIF(Capacity_Resource,$D142,'Critical resources (hide)'!BJ$6:BJ$105)+SUMIF(Capacity_Resource,$E142,'Critical resources (hide)'!BJ$6:BJ$105)+SUMIF(Capacity_Resource,$F142,'Critical resources (hide)'!BJ$6:BJ$105)&gt;0,$E$1=2),0,1)</f>
        <v>1</v>
      </c>
      <c r="AX142" s="68">
        <f ca="1">IF(AND(SUMIF(Capacity_Resource,$D142,'Critical resources (hide)'!BK$6:BK$105)+SUMIF(Capacity_Resource,$E142,'Critical resources (hide)'!BK$6:BK$105)+SUMIF(Capacity_Resource,$F142,'Critical resources (hide)'!BK$6:BK$105)&gt;0,$E$1=2),0,1)</f>
        <v>1</v>
      </c>
      <c r="AY142" s="68">
        <f ca="1">IF(AND(SUMIF(Capacity_Resource,$D142,'Critical resources (hide)'!BL$6:BL$105)+SUMIF(Capacity_Resource,$E142,'Critical resources (hide)'!BL$6:BL$105)+SUMIF(Capacity_Resource,$F142,'Critical resources (hide)'!BL$6:BL$105)&gt;0,$E$1=2),0,1)</f>
        <v>1</v>
      </c>
      <c r="AZ142" s="68">
        <f ca="1">IF(AND(SUMIF(Capacity_Resource,$D142,'Critical resources (hide)'!BM$6:BM$105)+SUMIF(Capacity_Resource,$E142,'Critical resources (hide)'!BM$6:BM$105)+SUMIF(Capacity_Resource,$F142,'Critical resources (hide)'!BM$6:BM$105)&gt;0,$E$1=2),0,1)</f>
        <v>1</v>
      </c>
      <c r="BA142" s="68">
        <f ca="1">IF(AND(SUMIF(Capacity_Resource,$D142,'Critical resources (hide)'!BN$6:BN$105)+SUMIF(Capacity_Resource,$E142,'Critical resources (hide)'!BN$6:BN$105)+SUMIF(Capacity_Resource,$F142,'Critical resources (hide)'!BN$6:BN$105)&gt;0,$E$1=2),0,1)</f>
        <v>1</v>
      </c>
      <c r="BB142" s="68">
        <f ca="1">IF(AND(SUMIF(Capacity_Resource,$D142,'Critical resources (hide)'!BO$6:BO$105)+SUMIF(Capacity_Resource,$E142,'Critical resources (hide)'!BO$6:BO$105)+SUMIF(Capacity_Resource,$F142,'Critical resources (hide)'!BO$6:BO$105)&gt;0,$E$1=2),0,1)</f>
        <v>1</v>
      </c>
      <c r="BC142" s="68">
        <f ca="1">IF(AND(SUMIF(Capacity_Resource,$D142,'Critical resources (hide)'!BP$6:BP$105)+SUMIF(Capacity_Resource,$E142,'Critical resources (hide)'!BP$6:BP$105)+SUMIF(Capacity_Resource,$F142,'Critical resources (hide)'!BP$6:BP$105)&gt;0,$E$1=2),0,1)</f>
        <v>1</v>
      </c>
      <c r="BD142" s="68">
        <f ca="1">IF(AND(SUMIF(Capacity_Resource,$D142,'Critical resources (hide)'!BQ$6:BQ$105)+SUMIF(Capacity_Resource,$E142,'Critical resources (hide)'!BQ$6:BQ$105)+SUMIF(Capacity_Resource,$F142,'Critical resources (hide)'!BQ$6:BQ$105)&gt;0,$E$1=2),0,1)</f>
        <v>1</v>
      </c>
      <c r="BE142" s="68">
        <f ca="1">IF(AND(SUMIF(Capacity_Resource,$D142,'Critical resources (hide)'!BR$6:BR$105)+SUMIF(Capacity_Resource,$E142,'Critical resources (hide)'!BR$6:BR$105)+SUMIF(Capacity_Resource,$F142,'Critical resources (hide)'!BR$6:BR$105)&gt;0,$E$1=2),0,1)</f>
        <v>1</v>
      </c>
      <c r="BF142" s="68">
        <f ca="1">IF(AND(SUMIF(Capacity_Resource,$D142,'Critical resources (hide)'!BS$6:BS$105)+SUMIF(Capacity_Resource,$E142,'Critical resources (hide)'!BS$6:BS$105)+SUMIF(Capacity_Resource,$F142,'Critical resources (hide)'!BS$6:BS$105)&gt;0,$E$1=2),0,1)</f>
        <v>1</v>
      </c>
      <c r="BG142" s="68">
        <f ca="1">IF(AND(SUMIF(Capacity_Resource,$D142,'Critical resources (hide)'!BT$6:BT$105)+SUMIF(Capacity_Resource,$E142,'Critical resources (hide)'!BT$6:BT$105)+SUMIF(Capacity_Resource,$F142,'Critical resources (hide)'!BT$6:BT$105)&gt;0,$E$1=2),0,1)</f>
        <v>1</v>
      </c>
      <c r="BH142" s="68">
        <f>IF(ROW(A31)&lt;=Capacity!$M$16,IF('Capacity summary'!$C$14="No",SUM(H142:BG142),'Capacity summary'!$E54),0)</f>
        <v>0</v>
      </c>
      <c r="BI142" s="68" t="str">
        <f>IF(BH142&gt;0,IF(BH142&lt;Capacity!Q47,Capacity!R47,Capacity!T47/'Capacity calculation (hide)'!BH142),"")</f>
        <v/>
      </c>
      <c r="BJ142" s="5"/>
      <c r="BK142" s="5">
        <f>IF($BI142&lt;&gt;"",IF('Capacity summary'!$C$14="Yes",IF(COUNTBLANK('Capacity summary'!$H54:$BG54)&lt;52,IF('Capacity summary'!H54&lt;&gt;"",$BI142*H142,0),H142*$BI142),H142*$BI142),0)</f>
        <v>0</v>
      </c>
      <c r="BL142" s="5">
        <f>IF($BI142&lt;&gt;"",IF('Capacity summary'!$C$14="Yes",IF(COUNTBLANK('Capacity summary'!$H54:$BG54)&lt;52,IF('Capacity summary'!I54&lt;&gt;"",$BI142*I142,0),I142*$BI142),I142*$BI142),0)</f>
        <v>0</v>
      </c>
      <c r="BM142" s="5">
        <f>IF($BI142&lt;&gt;"",IF('Capacity summary'!$C$14="Yes",IF(COUNTBLANK('Capacity summary'!$H54:$BG54)&lt;52,IF('Capacity summary'!J54&lt;&gt;"",$BI142*J142,0),J142*$BI142),J142*$BI142),0)</f>
        <v>0</v>
      </c>
      <c r="BN142" s="5">
        <f>IF($BI142&lt;&gt;"",IF('Capacity summary'!$C$14="Yes",IF(COUNTBLANK('Capacity summary'!$H54:$BG54)&lt;52,IF('Capacity summary'!K54&lt;&gt;"",$BI142*K142,0),K142*$BI142),K142*$BI142),0)</f>
        <v>0</v>
      </c>
      <c r="BO142" s="5">
        <f>IF($BI142&lt;&gt;"",IF('Capacity summary'!$C$14="Yes",IF(COUNTBLANK('Capacity summary'!$H54:$BG54)&lt;52,IF('Capacity summary'!L54&lt;&gt;"",$BI142*L142,0),L142*$BI142),L142*$BI142),0)</f>
        <v>0</v>
      </c>
      <c r="BP142" s="5">
        <f>IF($BI142&lt;&gt;"",IF('Capacity summary'!$C$14="Yes",IF(COUNTBLANK('Capacity summary'!$H54:$BG54)&lt;52,IF('Capacity summary'!M54&lt;&gt;"",$BI142*M142,0),M142*$BI142),M142*$BI142),0)</f>
        <v>0</v>
      </c>
      <c r="BQ142" s="5">
        <f>IF($BI142&lt;&gt;"",IF('Capacity summary'!$C$14="Yes",IF(COUNTBLANK('Capacity summary'!$H54:$BG54)&lt;52,IF('Capacity summary'!N54&lt;&gt;"",$BI142*N142,0),N142*$BI142),N142*$BI142),0)</f>
        <v>0</v>
      </c>
      <c r="BR142" s="5">
        <f>IF($BI142&lt;&gt;"",IF('Capacity summary'!$C$14="Yes",IF(COUNTBLANK('Capacity summary'!$H54:$BG54)&lt;52,IF('Capacity summary'!O54&lt;&gt;"",$BI142*O142,0),O142*$BI142),O142*$BI142),0)</f>
        <v>0</v>
      </c>
      <c r="BS142" s="5">
        <f>IF($BI142&lt;&gt;"",IF('Capacity summary'!$C$14="Yes",IF(COUNTBLANK('Capacity summary'!$H54:$BG54)&lt;52,IF('Capacity summary'!P54&lt;&gt;"",$BI142*P142,0),P142*$BI142),P142*$BI142),0)</f>
        <v>0</v>
      </c>
      <c r="BT142" s="5">
        <f>IF($BI142&lt;&gt;"",IF('Capacity summary'!$C$14="Yes",IF(COUNTBLANK('Capacity summary'!$H54:$BG54)&lt;52,IF('Capacity summary'!Q54&lt;&gt;"",$BI142*Q142,0),Q142*$BI142),Q142*$BI142),0)</f>
        <v>0</v>
      </c>
      <c r="BU142" s="5">
        <f>IF($BI142&lt;&gt;"",IF('Capacity summary'!$C$14="Yes",IF(COUNTBLANK('Capacity summary'!$H54:$BG54)&lt;52,IF('Capacity summary'!R54&lt;&gt;"",$BI142*R142,0),R142*$BI142),R142*$BI142),0)</f>
        <v>0</v>
      </c>
      <c r="BV142" s="5">
        <f>IF($BI142&lt;&gt;"",IF('Capacity summary'!$C$14="Yes",IF(COUNTBLANK('Capacity summary'!$H54:$BG54)&lt;52,IF('Capacity summary'!S54&lt;&gt;"",$BI142*S142,0),S142*$BI142),S142*$BI142),0)</f>
        <v>0</v>
      </c>
      <c r="BW142" s="5">
        <f>IF($BI142&lt;&gt;"",IF('Capacity summary'!$C$14="Yes",IF(COUNTBLANK('Capacity summary'!$H54:$BG54)&lt;52,IF('Capacity summary'!T54&lt;&gt;"",$BI142*T142,0),T142*$BI142),T142*$BI142),0)</f>
        <v>0</v>
      </c>
      <c r="BX142" s="5">
        <f>IF($BI142&lt;&gt;"",IF('Capacity summary'!$C$14="Yes",IF(COUNTBLANK('Capacity summary'!$H54:$BG54)&lt;52,IF('Capacity summary'!U54&lt;&gt;"",$BI142*U142,0),U142*$BI142),U142*$BI142),0)</f>
        <v>0</v>
      </c>
      <c r="BY142" s="5">
        <f>IF($BI142&lt;&gt;"",IF('Capacity summary'!$C$14="Yes",IF(COUNTBLANK('Capacity summary'!$H54:$BG54)&lt;52,IF('Capacity summary'!V54&lt;&gt;"",$BI142*V142,0),V142*$BI142),V142*$BI142),0)</f>
        <v>0</v>
      </c>
      <c r="BZ142" s="5">
        <f>IF($BI142&lt;&gt;"",IF('Capacity summary'!$C$14="Yes",IF(COUNTBLANK('Capacity summary'!$H54:$BG54)&lt;52,IF('Capacity summary'!W54&lt;&gt;"",$BI142*W142,0),W142*$BI142),W142*$BI142),0)</f>
        <v>0</v>
      </c>
      <c r="CA142" s="5">
        <f>IF($BI142&lt;&gt;"",IF('Capacity summary'!$C$14="Yes",IF(COUNTBLANK('Capacity summary'!$H54:$BG54)&lt;52,IF('Capacity summary'!X54&lt;&gt;"",$BI142*X142,0),X142*$BI142),X142*$BI142),0)</f>
        <v>0</v>
      </c>
      <c r="CB142" s="5">
        <f>IF($BI142&lt;&gt;"",IF('Capacity summary'!$C$14="Yes",IF(COUNTBLANK('Capacity summary'!$H54:$BG54)&lt;52,IF('Capacity summary'!Y54&lt;&gt;"",$BI142*Y142,0),Y142*$BI142),Y142*$BI142),0)</f>
        <v>0</v>
      </c>
      <c r="CC142" s="5">
        <f>IF($BI142&lt;&gt;"",IF('Capacity summary'!$C$14="Yes",IF(COUNTBLANK('Capacity summary'!$H54:$BG54)&lt;52,IF('Capacity summary'!Z54&lt;&gt;"",$BI142*Z142,0),Z142*$BI142),Z142*$BI142),0)</f>
        <v>0</v>
      </c>
      <c r="CD142" s="5">
        <f>IF($BI142&lt;&gt;"",IF('Capacity summary'!$C$14="Yes",IF(COUNTBLANK('Capacity summary'!$H54:$BG54)&lt;52,IF('Capacity summary'!AA54&lt;&gt;"",$BI142*AA142,0),AA142*$BI142),AA142*$BI142),0)</f>
        <v>0</v>
      </c>
      <c r="CE142" s="5">
        <f>IF($BI142&lt;&gt;"",IF('Capacity summary'!$C$14="Yes",IF(COUNTBLANK('Capacity summary'!$H54:$BG54)&lt;52,IF('Capacity summary'!AB54&lt;&gt;"",$BI142*AB142,0),AB142*$BI142),AB142*$BI142),0)</f>
        <v>0</v>
      </c>
      <c r="CF142" s="5">
        <f>IF($BI142&lt;&gt;"",IF('Capacity summary'!$C$14="Yes",IF(COUNTBLANK('Capacity summary'!$H54:$BG54)&lt;52,IF('Capacity summary'!AC54&lt;&gt;"",$BI142*AC142,0),AC142*$BI142),AC142*$BI142),0)</f>
        <v>0</v>
      </c>
      <c r="CG142" s="5">
        <f>IF($BI142&lt;&gt;"",IF('Capacity summary'!$C$14="Yes",IF(COUNTBLANK('Capacity summary'!$H54:$BG54)&lt;52,IF('Capacity summary'!AD54&lt;&gt;"",$BI142*AD142,0),AD142*$BI142),AD142*$BI142),0)</f>
        <v>0</v>
      </c>
      <c r="CH142" s="5">
        <f>IF($BI142&lt;&gt;"",IF('Capacity summary'!$C$14="Yes",IF(COUNTBLANK('Capacity summary'!$H54:$BG54)&lt;52,IF('Capacity summary'!AE54&lt;&gt;"",$BI142*AE142,0),AE142*$BI142),AE142*$BI142),0)</f>
        <v>0</v>
      </c>
      <c r="CI142" s="5">
        <f>IF($BI142&lt;&gt;"",IF('Capacity summary'!$C$14="Yes",IF(COUNTBLANK('Capacity summary'!$H54:$BG54)&lt;52,IF('Capacity summary'!AF54&lt;&gt;"",$BI142*AF142,0),AF142*$BI142),AF142*$BI142),0)</f>
        <v>0</v>
      </c>
      <c r="CJ142" s="5">
        <f>IF($BI142&lt;&gt;"",IF('Capacity summary'!$C$14="Yes",IF(COUNTBLANK('Capacity summary'!$H54:$BG54)&lt;52,IF('Capacity summary'!AG54&lt;&gt;"",$BI142*AG142,0),AG142*$BI142),AG142*$BI142),0)</f>
        <v>0</v>
      </c>
      <c r="CK142" s="5">
        <f>IF($BI142&lt;&gt;"",IF('Capacity summary'!$C$14="Yes",IF(COUNTBLANK('Capacity summary'!$H54:$BG54)&lt;52,IF('Capacity summary'!AH54&lt;&gt;"",$BI142*AH142,0),AH142*$BI142),AH142*$BI142),0)</f>
        <v>0</v>
      </c>
      <c r="CL142" s="5">
        <f>IF($BI142&lt;&gt;"",IF('Capacity summary'!$C$14="Yes",IF(COUNTBLANK('Capacity summary'!$H54:$BG54)&lt;52,IF('Capacity summary'!AI54&lt;&gt;"",$BI142*AI142,0),AI142*$BI142),AI142*$BI142),0)</f>
        <v>0</v>
      </c>
      <c r="CM142" s="5">
        <f>IF($BI142&lt;&gt;"",IF('Capacity summary'!$C$14="Yes",IF(COUNTBLANK('Capacity summary'!$H54:$BG54)&lt;52,IF('Capacity summary'!AJ54&lt;&gt;"",$BI142*AJ142,0),AJ142*$BI142),AJ142*$BI142),0)</f>
        <v>0</v>
      </c>
      <c r="CN142" s="5">
        <f>IF($BI142&lt;&gt;"",IF('Capacity summary'!$C$14="Yes",IF(COUNTBLANK('Capacity summary'!$H54:$BG54)&lt;52,IF('Capacity summary'!AK54&lt;&gt;"",$BI142*AK142,0),AK142*$BI142),AK142*$BI142),0)</f>
        <v>0</v>
      </c>
      <c r="CO142" s="5">
        <f>IF($BI142&lt;&gt;"",IF('Capacity summary'!$C$14="Yes",IF(COUNTBLANK('Capacity summary'!$H54:$BG54)&lt;52,IF('Capacity summary'!AL54&lt;&gt;"",$BI142*AL142,0),AL142*$BI142),AL142*$BI142),0)</f>
        <v>0</v>
      </c>
      <c r="CP142" s="5">
        <f>IF($BI142&lt;&gt;"",IF('Capacity summary'!$C$14="Yes",IF(COUNTBLANK('Capacity summary'!$H54:$BG54)&lt;52,IF('Capacity summary'!AM54&lt;&gt;"",$BI142*AM142,0),AM142*$BI142),AM142*$BI142),0)</f>
        <v>0</v>
      </c>
      <c r="CQ142" s="5">
        <f>IF($BI142&lt;&gt;"",IF('Capacity summary'!$C$14="Yes",IF(COUNTBLANK('Capacity summary'!$H54:$BG54)&lt;52,IF('Capacity summary'!AN54&lt;&gt;"",$BI142*AN142,0),AN142*$BI142),AN142*$BI142),0)</f>
        <v>0</v>
      </c>
      <c r="CR142" s="5">
        <f>IF($BI142&lt;&gt;"",IF('Capacity summary'!$C$14="Yes",IF(COUNTBLANK('Capacity summary'!$H54:$BG54)&lt;52,IF('Capacity summary'!AO54&lt;&gt;"",$BI142*AO142,0),AO142*$BI142),AO142*$BI142),0)</f>
        <v>0</v>
      </c>
      <c r="CS142" s="5">
        <f>IF($BI142&lt;&gt;"",IF('Capacity summary'!$C$14="Yes",IF(COUNTBLANK('Capacity summary'!$H54:$BG54)&lt;52,IF('Capacity summary'!AP54&lt;&gt;"",$BI142*AP142,0),AP142*$BI142),AP142*$BI142),0)</f>
        <v>0</v>
      </c>
      <c r="CT142" s="5">
        <f>IF($BI142&lt;&gt;"",IF('Capacity summary'!$C$14="Yes",IF(COUNTBLANK('Capacity summary'!$H54:$BG54)&lt;52,IF('Capacity summary'!AQ54&lt;&gt;"",$BI142*AQ142,0),AQ142*$BI142),AQ142*$BI142),0)</f>
        <v>0</v>
      </c>
      <c r="CU142" s="5">
        <f>IF($BI142&lt;&gt;"",IF('Capacity summary'!$C$14="Yes",IF(COUNTBLANK('Capacity summary'!$H54:$BG54)&lt;52,IF('Capacity summary'!AR54&lt;&gt;"",$BI142*AR142,0),AR142*$BI142),AR142*$BI142),0)</f>
        <v>0</v>
      </c>
      <c r="CV142" s="5">
        <f>IF($BI142&lt;&gt;"",IF('Capacity summary'!$C$14="Yes",IF(COUNTBLANK('Capacity summary'!$H54:$BG54)&lt;52,IF('Capacity summary'!AS54&lt;&gt;"",$BI142*AS142,0),AS142*$BI142),AS142*$BI142),0)</f>
        <v>0</v>
      </c>
      <c r="CW142" s="5">
        <f>IF($BI142&lt;&gt;"",IF('Capacity summary'!$C$14="Yes",IF(COUNTBLANK('Capacity summary'!$H54:$BG54)&lt;52,IF('Capacity summary'!AT54&lt;&gt;"",$BI142*AT142,0),AT142*$BI142),AT142*$BI142),0)</f>
        <v>0</v>
      </c>
      <c r="CX142" s="5">
        <f>IF($BI142&lt;&gt;"",IF('Capacity summary'!$C$14="Yes",IF(COUNTBLANK('Capacity summary'!$H54:$BG54)&lt;52,IF('Capacity summary'!AU54&lt;&gt;"",$BI142*AU142,0),AU142*$BI142),AU142*$BI142),0)</f>
        <v>0</v>
      </c>
      <c r="CY142" s="5">
        <f>IF($BI142&lt;&gt;"",IF('Capacity summary'!$C$14="Yes",IF(COUNTBLANK('Capacity summary'!$H54:$BG54)&lt;52,IF('Capacity summary'!AV54&lt;&gt;"",$BI142*AV142,0),AV142*$BI142),AV142*$BI142),0)</f>
        <v>0</v>
      </c>
      <c r="CZ142" s="5">
        <f>IF($BI142&lt;&gt;"",IF('Capacity summary'!$C$14="Yes",IF(COUNTBLANK('Capacity summary'!$H54:$BG54)&lt;52,IF('Capacity summary'!AW54&lt;&gt;"",$BI142*AW142,0),AW142*$BI142),AW142*$BI142),0)</f>
        <v>0</v>
      </c>
      <c r="DA142" s="5">
        <f>IF($BI142&lt;&gt;"",IF('Capacity summary'!$C$14="Yes",IF(COUNTBLANK('Capacity summary'!$H54:$BG54)&lt;52,IF('Capacity summary'!AX54&lt;&gt;"",$BI142*AX142,0),AX142*$BI142),AX142*$BI142),0)</f>
        <v>0</v>
      </c>
      <c r="DB142" s="5">
        <f>IF($BI142&lt;&gt;"",IF('Capacity summary'!$C$14="Yes",IF(COUNTBLANK('Capacity summary'!$H54:$BG54)&lt;52,IF('Capacity summary'!AY54&lt;&gt;"",$BI142*AY142,0),AY142*$BI142),AY142*$BI142),0)</f>
        <v>0</v>
      </c>
      <c r="DC142" s="5">
        <f>IF($BI142&lt;&gt;"",IF('Capacity summary'!$C$14="Yes",IF(COUNTBLANK('Capacity summary'!$H54:$BG54)&lt;52,IF('Capacity summary'!AZ54&lt;&gt;"",$BI142*AZ142,0),AZ142*$BI142),AZ142*$BI142),0)</f>
        <v>0</v>
      </c>
      <c r="DD142" s="5">
        <f>IF($BI142&lt;&gt;"",IF('Capacity summary'!$C$14="Yes",IF(COUNTBLANK('Capacity summary'!$H54:$BG54)&lt;52,IF('Capacity summary'!BA54&lt;&gt;"",$BI142*BA142,0),BA142*$BI142),BA142*$BI142),0)</f>
        <v>0</v>
      </c>
      <c r="DE142" s="5">
        <f>IF($BI142&lt;&gt;"",IF('Capacity summary'!$C$14="Yes",IF(COUNTBLANK('Capacity summary'!$H54:$BG54)&lt;52,IF('Capacity summary'!BB54&lt;&gt;"",$BI142*BB142,0),BB142*$BI142),BB142*$BI142),0)</f>
        <v>0</v>
      </c>
      <c r="DF142" s="5">
        <f>IF($BI142&lt;&gt;"",IF('Capacity summary'!$C$14="Yes",IF(COUNTBLANK('Capacity summary'!$H54:$BG54)&lt;52,IF('Capacity summary'!BC54&lt;&gt;"",$BI142*BC142,0),BC142*$BI142),BC142*$BI142),0)</f>
        <v>0</v>
      </c>
      <c r="DG142" s="5">
        <f>IF($BI142&lt;&gt;"",IF('Capacity summary'!$C$14="Yes",IF(COUNTBLANK('Capacity summary'!$H54:$BG54)&lt;52,IF('Capacity summary'!BD54&lt;&gt;"",$BI142*BD142,0),BD142*$BI142),BD142*$BI142),0)</f>
        <v>0</v>
      </c>
      <c r="DH142" s="5">
        <f>IF($BI142&lt;&gt;"",IF('Capacity summary'!$C$14="Yes",IF(COUNTBLANK('Capacity summary'!$H54:$BG54)&lt;52,IF('Capacity summary'!BE54&lt;&gt;"",$BI142*BE142,0),BE142*$BI142),BE142*$BI142),0)</f>
        <v>0</v>
      </c>
      <c r="DI142" s="5">
        <f>IF($BI142&lt;&gt;"",IF('Capacity summary'!$C$14="Yes",IF(COUNTBLANK('Capacity summary'!$H54:$BG54)&lt;52,IF('Capacity summary'!BF54&lt;&gt;"",$BI142*BF142,0),BF142*$BI142),BF142*$BI142),0)</f>
        <v>0</v>
      </c>
      <c r="DJ142" s="5">
        <f>IF($BI142&lt;&gt;"",IF('Capacity summary'!$C$14="Yes",IF(COUNTBLANK('Capacity summary'!$H54:$BG54)&lt;52,IF('Capacity summary'!BG54&lt;&gt;"",$BI142*BG142,0),BG142*$BI142),BG142*$BI142),0)</f>
        <v>0</v>
      </c>
      <c r="DK142" s="138">
        <f t="shared" si="6"/>
        <v>0</v>
      </c>
    </row>
    <row r="143" spans="3:115" x14ac:dyDescent="0.2">
      <c r="C143" s="68" t="str">
        <f>ROW(A32)&amp;". "&amp;Capacity!N48</f>
        <v xml:space="preserve">32. </v>
      </c>
      <c r="D143" s="68">
        <f>'Capacity setup'!C149</f>
        <v>0</v>
      </c>
      <c r="E143" s="68">
        <f>'Capacity setup'!D149</f>
        <v>0</v>
      </c>
      <c r="F143" s="68">
        <f>'Capacity setup'!E149</f>
        <v>0</v>
      </c>
      <c r="H143" s="68">
        <f ca="1">IF(AND(SUMIF(Capacity_Resource,$D143,'Critical resources (hide)'!U$6:U$105)+SUMIF(Capacity_Resource,$E143,'Critical resources (hide)'!U$6:U$105)+SUMIF(Capacity_Resource,$F143,'Critical resources (hide)'!U$6:U$105)&gt;0,$E$1=2),0,1)</f>
        <v>1</v>
      </c>
      <c r="I143" s="68">
        <f ca="1">IF(AND(SUMIF(Capacity_Resource,$D143,'Critical resources (hide)'!V$6:V$105)+SUMIF(Capacity_Resource,$E143,'Critical resources (hide)'!V$6:V$105)+SUMIF(Capacity_Resource,$F143,'Critical resources (hide)'!V$6:V$105)&gt;0,$E$1=2),0,1)</f>
        <v>1</v>
      </c>
      <c r="J143" s="68">
        <f ca="1">IF(AND(SUMIF(Capacity_Resource,$D143,'Critical resources (hide)'!W$6:W$105)+SUMIF(Capacity_Resource,$E143,'Critical resources (hide)'!W$6:W$105)+SUMIF(Capacity_Resource,$F143,'Critical resources (hide)'!W$6:W$105)&gt;0,$E$1=2),0,1)</f>
        <v>1</v>
      </c>
      <c r="K143" s="68">
        <f ca="1">IF(AND(SUMIF(Capacity_Resource,$D143,'Critical resources (hide)'!X$6:X$105)+SUMIF(Capacity_Resource,$E143,'Critical resources (hide)'!X$6:X$105)+SUMIF(Capacity_Resource,$F143,'Critical resources (hide)'!X$6:X$105)&gt;0,$E$1=2),0,1)</f>
        <v>1</v>
      </c>
      <c r="L143" s="68">
        <f ca="1">IF(AND(SUMIF(Capacity_Resource,$D143,'Critical resources (hide)'!Y$6:Y$105)+SUMIF(Capacity_Resource,$E143,'Critical resources (hide)'!Y$6:Y$105)+SUMIF(Capacity_Resource,$F143,'Critical resources (hide)'!Y$6:Y$105)&gt;0,$E$1=2),0,1)</f>
        <v>1</v>
      </c>
      <c r="M143" s="68">
        <f ca="1">IF(AND(SUMIF(Capacity_Resource,$D143,'Critical resources (hide)'!Z$6:Z$105)+SUMIF(Capacity_Resource,$E143,'Critical resources (hide)'!Z$6:Z$105)+SUMIF(Capacity_Resource,$F143,'Critical resources (hide)'!Z$6:Z$105)&gt;0,$E$1=2),0,1)</f>
        <v>1</v>
      </c>
      <c r="N143" s="68">
        <f ca="1">IF(AND(SUMIF(Capacity_Resource,$D143,'Critical resources (hide)'!AA$6:AA$105)+SUMIF(Capacity_Resource,$E143,'Critical resources (hide)'!AA$6:AA$105)+SUMIF(Capacity_Resource,$F143,'Critical resources (hide)'!AA$6:AA$105)&gt;0,$E$1=2),0,1)</f>
        <v>1</v>
      </c>
      <c r="O143" s="68">
        <f ca="1">IF(AND(SUMIF(Capacity_Resource,$D143,'Critical resources (hide)'!AB$6:AB$105)+SUMIF(Capacity_Resource,$E143,'Critical resources (hide)'!AB$6:AB$105)+SUMIF(Capacity_Resource,$F143,'Critical resources (hide)'!AB$6:AB$105)&gt;0,$E$1=2),0,1)</f>
        <v>1</v>
      </c>
      <c r="P143" s="68">
        <f ca="1">IF(AND(SUMIF(Capacity_Resource,$D143,'Critical resources (hide)'!AC$6:AC$105)+SUMIF(Capacity_Resource,$E143,'Critical resources (hide)'!AC$6:AC$105)+SUMIF(Capacity_Resource,$F143,'Critical resources (hide)'!AC$6:AC$105)&gt;0,$E$1=2),0,1)</f>
        <v>1</v>
      </c>
      <c r="Q143" s="68">
        <f ca="1">IF(AND(SUMIF(Capacity_Resource,$D143,'Critical resources (hide)'!AD$6:AD$105)+SUMIF(Capacity_Resource,$E143,'Critical resources (hide)'!AD$6:AD$105)+SUMIF(Capacity_Resource,$F143,'Critical resources (hide)'!AD$6:AD$105)&gt;0,$E$1=2),0,1)</f>
        <v>1</v>
      </c>
      <c r="R143" s="68">
        <f ca="1">IF(AND(SUMIF(Capacity_Resource,$D143,'Critical resources (hide)'!AE$6:AE$105)+SUMIF(Capacity_Resource,$E143,'Critical resources (hide)'!AE$6:AE$105)+SUMIF(Capacity_Resource,$F143,'Critical resources (hide)'!AE$6:AE$105)&gt;0,$E$1=2),0,1)</f>
        <v>1</v>
      </c>
      <c r="S143" s="68">
        <f ca="1">IF(AND(SUMIF(Capacity_Resource,$D143,'Critical resources (hide)'!AF$6:AF$105)+SUMIF(Capacity_Resource,$E143,'Critical resources (hide)'!AF$6:AF$105)+SUMIF(Capacity_Resource,$F143,'Critical resources (hide)'!AF$6:AF$105)&gt;0,$E$1=2),0,1)</f>
        <v>1</v>
      </c>
      <c r="T143" s="68">
        <f ca="1">IF(AND(SUMIF(Capacity_Resource,$D143,'Critical resources (hide)'!AG$6:AG$105)+SUMIF(Capacity_Resource,$E143,'Critical resources (hide)'!AG$6:AG$105)+SUMIF(Capacity_Resource,$F143,'Critical resources (hide)'!AG$6:AG$105)&gt;0,$E$1=2),0,1)</f>
        <v>1</v>
      </c>
      <c r="U143" s="68">
        <f ca="1">IF(AND(SUMIF(Capacity_Resource,$D143,'Critical resources (hide)'!AH$6:AH$105)+SUMIF(Capacity_Resource,$E143,'Critical resources (hide)'!AH$6:AH$105)+SUMIF(Capacity_Resource,$F143,'Critical resources (hide)'!AH$6:AH$105)&gt;0,$E$1=2),0,1)</f>
        <v>1</v>
      </c>
      <c r="V143" s="68">
        <f ca="1">IF(AND(SUMIF(Capacity_Resource,$D143,'Critical resources (hide)'!AI$6:AI$105)+SUMIF(Capacity_Resource,$E143,'Critical resources (hide)'!AI$6:AI$105)+SUMIF(Capacity_Resource,$F143,'Critical resources (hide)'!AI$6:AI$105)&gt;0,$E$1=2),0,1)</f>
        <v>1</v>
      </c>
      <c r="W143" s="68">
        <f ca="1">IF(AND(SUMIF(Capacity_Resource,$D143,'Critical resources (hide)'!AJ$6:AJ$105)+SUMIF(Capacity_Resource,$E143,'Critical resources (hide)'!AJ$6:AJ$105)+SUMIF(Capacity_Resource,$F143,'Critical resources (hide)'!AJ$6:AJ$105)&gt;0,$E$1=2),0,1)</f>
        <v>1</v>
      </c>
      <c r="X143" s="68">
        <f ca="1">IF(AND(SUMIF(Capacity_Resource,$D143,'Critical resources (hide)'!AK$6:AK$105)+SUMIF(Capacity_Resource,$E143,'Critical resources (hide)'!AK$6:AK$105)+SUMIF(Capacity_Resource,$F143,'Critical resources (hide)'!AK$6:AK$105)&gt;0,$E$1=2),0,1)</f>
        <v>1</v>
      </c>
      <c r="Y143" s="68">
        <f ca="1">IF(AND(SUMIF(Capacity_Resource,$D143,'Critical resources (hide)'!AL$6:AL$105)+SUMIF(Capacity_Resource,$E143,'Critical resources (hide)'!AL$6:AL$105)+SUMIF(Capacity_Resource,$F143,'Critical resources (hide)'!AL$6:AL$105)&gt;0,$E$1=2),0,1)</f>
        <v>1</v>
      </c>
      <c r="Z143" s="68">
        <f ca="1">IF(AND(SUMIF(Capacity_Resource,$D143,'Critical resources (hide)'!AM$6:AM$105)+SUMIF(Capacity_Resource,$E143,'Critical resources (hide)'!AM$6:AM$105)+SUMIF(Capacity_Resource,$F143,'Critical resources (hide)'!AM$6:AM$105)&gt;0,$E$1=2),0,1)</f>
        <v>1</v>
      </c>
      <c r="AA143" s="68">
        <f ca="1">IF(AND(SUMIF(Capacity_Resource,$D143,'Critical resources (hide)'!AN$6:AN$105)+SUMIF(Capacity_Resource,$E143,'Critical resources (hide)'!AN$6:AN$105)+SUMIF(Capacity_Resource,$F143,'Critical resources (hide)'!AN$6:AN$105)&gt;0,$E$1=2),0,1)</f>
        <v>1</v>
      </c>
      <c r="AB143" s="68">
        <f ca="1">IF(AND(SUMIF(Capacity_Resource,$D143,'Critical resources (hide)'!AO$6:AO$105)+SUMIF(Capacity_Resource,$E143,'Critical resources (hide)'!AO$6:AO$105)+SUMIF(Capacity_Resource,$F143,'Critical resources (hide)'!AO$6:AO$105)&gt;0,$E$1=2),0,1)</f>
        <v>1</v>
      </c>
      <c r="AC143" s="68">
        <f ca="1">IF(AND(SUMIF(Capacity_Resource,$D143,'Critical resources (hide)'!AP$6:AP$105)+SUMIF(Capacity_Resource,$E143,'Critical resources (hide)'!AP$6:AP$105)+SUMIF(Capacity_Resource,$F143,'Critical resources (hide)'!AP$6:AP$105)&gt;0,$E$1=2),0,1)</f>
        <v>1</v>
      </c>
      <c r="AD143" s="68">
        <f ca="1">IF(AND(SUMIF(Capacity_Resource,$D143,'Critical resources (hide)'!AQ$6:AQ$105)+SUMIF(Capacity_Resource,$E143,'Critical resources (hide)'!AQ$6:AQ$105)+SUMIF(Capacity_Resource,$F143,'Critical resources (hide)'!AQ$6:AQ$105)&gt;0,$E$1=2),0,1)</f>
        <v>1</v>
      </c>
      <c r="AE143" s="68">
        <f ca="1">IF(AND(SUMIF(Capacity_Resource,$D143,'Critical resources (hide)'!AR$6:AR$105)+SUMIF(Capacity_Resource,$E143,'Critical resources (hide)'!AR$6:AR$105)+SUMIF(Capacity_Resource,$F143,'Critical resources (hide)'!AR$6:AR$105)&gt;0,$E$1=2),0,1)</f>
        <v>1</v>
      </c>
      <c r="AF143" s="68">
        <f ca="1">IF(AND(SUMIF(Capacity_Resource,$D143,'Critical resources (hide)'!AS$6:AS$105)+SUMIF(Capacity_Resource,$E143,'Critical resources (hide)'!AS$6:AS$105)+SUMIF(Capacity_Resource,$F143,'Critical resources (hide)'!AS$6:AS$105)&gt;0,$E$1=2),0,1)</f>
        <v>1</v>
      </c>
      <c r="AG143" s="68">
        <f ca="1">IF(AND(SUMIF(Capacity_Resource,$D143,'Critical resources (hide)'!AT$6:AT$105)+SUMIF(Capacity_Resource,$E143,'Critical resources (hide)'!AT$6:AT$105)+SUMIF(Capacity_Resource,$F143,'Critical resources (hide)'!AT$6:AT$105)&gt;0,$E$1=2),0,1)</f>
        <v>1</v>
      </c>
      <c r="AH143" s="68">
        <f ca="1">IF(AND(SUMIF(Capacity_Resource,$D143,'Critical resources (hide)'!AU$6:AU$105)+SUMIF(Capacity_Resource,$E143,'Critical resources (hide)'!AU$6:AU$105)+SUMIF(Capacity_Resource,$F143,'Critical resources (hide)'!AU$6:AU$105)&gt;0,$E$1=2),0,1)</f>
        <v>1</v>
      </c>
      <c r="AI143" s="68">
        <f ca="1">IF(AND(SUMIF(Capacity_Resource,$D143,'Critical resources (hide)'!AV$6:AV$105)+SUMIF(Capacity_Resource,$E143,'Critical resources (hide)'!AV$6:AV$105)+SUMIF(Capacity_Resource,$F143,'Critical resources (hide)'!AV$6:AV$105)&gt;0,$E$1=2),0,1)</f>
        <v>1</v>
      </c>
      <c r="AJ143" s="68">
        <f ca="1">IF(AND(SUMIF(Capacity_Resource,$D143,'Critical resources (hide)'!AW$6:AW$105)+SUMIF(Capacity_Resource,$E143,'Critical resources (hide)'!AW$6:AW$105)+SUMIF(Capacity_Resource,$F143,'Critical resources (hide)'!AW$6:AW$105)&gt;0,$E$1=2),0,1)</f>
        <v>1</v>
      </c>
      <c r="AK143" s="68">
        <f ca="1">IF(AND(SUMIF(Capacity_Resource,$D143,'Critical resources (hide)'!AX$6:AX$105)+SUMIF(Capacity_Resource,$E143,'Critical resources (hide)'!AX$6:AX$105)+SUMIF(Capacity_Resource,$F143,'Critical resources (hide)'!AX$6:AX$105)&gt;0,$E$1=2),0,1)</f>
        <v>1</v>
      </c>
      <c r="AL143" s="68">
        <f ca="1">IF(AND(SUMIF(Capacity_Resource,$D143,'Critical resources (hide)'!AY$6:AY$105)+SUMIF(Capacity_Resource,$E143,'Critical resources (hide)'!AY$6:AY$105)+SUMIF(Capacity_Resource,$F143,'Critical resources (hide)'!AY$6:AY$105)&gt;0,$E$1=2),0,1)</f>
        <v>1</v>
      </c>
      <c r="AM143" s="68">
        <f ca="1">IF(AND(SUMIF(Capacity_Resource,$D143,'Critical resources (hide)'!AZ$6:AZ$105)+SUMIF(Capacity_Resource,$E143,'Critical resources (hide)'!AZ$6:AZ$105)+SUMIF(Capacity_Resource,$F143,'Critical resources (hide)'!AZ$6:AZ$105)&gt;0,$E$1=2),0,1)</f>
        <v>1</v>
      </c>
      <c r="AN143" s="68">
        <f ca="1">IF(AND(SUMIF(Capacity_Resource,$D143,'Critical resources (hide)'!BA$6:BA$105)+SUMIF(Capacity_Resource,$E143,'Critical resources (hide)'!BA$6:BA$105)+SUMIF(Capacity_Resource,$F143,'Critical resources (hide)'!BA$6:BA$105)&gt;0,$E$1=2),0,1)</f>
        <v>1</v>
      </c>
      <c r="AO143" s="68">
        <f ca="1">IF(AND(SUMIF(Capacity_Resource,$D143,'Critical resources (hide)'!BB$6:BB$105)+SUMIF(Capacity_Resource,$E143,'Critical resources (hide)'!BB$6:BB$105)+SUMIF(Capacity_Resource,$F143,'Critical resources (hide)'!BB$6:BB$105)&gt;0,$E$1=2),0,1)</f>
        <v>1</v>
      </c>
      <c r="AP143" s="68">
        <f ca="1">IF(AND(SUMIF(Capacity_Resource,$D143,'Critical resources (hide)'!BC$6:BC$105)+SUMIF(Capacity_Resource,$E143,'Critical resources (hide)'!BC$6:BC$105)+SUMIF(Capacity_Resource,$F143,'Critical resources (hide)'!BC$6:BC$105)&gt;0,$E$1=2),0,1)</f>
        <v>1</v>
      </c>
      <c r="AQ143" s="68">
        <f ca="1">IF(AND(SUMIF(Capacity_Resource,$D143,'Critical resources (hide)'!BD$6:BD$105)+SUMIF(Capacity_Resource,$E143,'Critical resources (hide)'!BD$6:BD$105)+SUMIF(Capacity_Resource,$F143,'Critical resources (hide)'!BD$6:BD$105)&gt;0,$E$1=2),0,1)</f>
        <v>1</v>
      </c>
      <c r="AR143" s="68">
        <f ca="1">IF(AND(SUMIF(Capacity_Resource,$D143,'Critical resources (hide)'!BE$6:BE$105)+SUMIF(Capacity_Resource,$E143,'Critical resources (hide)'!BE$6:BE$105)+SUMIF(Capacity_Resource,$F143,'Critical resources (hide)'!BE$6:BE$105)&gt;0,$E$1=2),0,1)</f>
        <v>1</v>
      </c>
      <c r="AS143" s="68">
        <f ca="1">IF(AND(SUMIF(Capacity_Resource,$D143,'Critical resources (hide)'!BF$6:BF$105)+SUMIF(Capacity_Resource,$E143,'Critical resources (hide)'!BF$6:BF$105)+SUMIF(Capacity_Resource,$F143,'Critical resources (hide)'!BF$6:BF$105)&gt;0,$E$1=2),0,1)</f>
        <v>1</v>
      </c>
      <c r="AT143" s="68">
        <f ca="1">IF(AND(SUMIF(Capacity_Resource,$D143,'Critical resources (hide)'!BG$6:BG$105)+SUMIF(Capacity_Resource,$E143,'Critical resources (hide)'!BG$6:BG$105)+SUMIF(Capacity_Resource,$F143,'Critical resources (hide)'!BG$6:BG$105)&gt;0,$E$1=2),0,1)</f>
        <v>1</v>
      </c>
      <c r="AU143" s="68">
        <f ca="1">IF(AND(SUMIF(Capacity_Resource,$D143,'Critical resources (hide)'!BH$6:BH$105)+SUMIF(Capacity_Resource,$E143,'Critical resources (hide)'!BH$6:BH$105)+SUMIF(Capacity_Resource,$F143,'Critical resources (hide)'!BH$6:BH$105)&gt;0,$E$1=2),0,1)</f>
        <v>1</v>
      </c>
      <c r="AV143" s="68">
        <f ca="1">IF(AND(SUMIF(Capacity_Resource,$D143,'Critical resources (hide)'!BI$6:BI$105)+SUMIF(Capacity_Resource,$E143,'Critical resources (hide)'!BI$6:BI$105)+SUMIF(Capacity_Resource,$F143,'Critical resources (hide)'!BI$6:BI$105)&gt;0,$E$1=2),0,1)</f>
        <v>1</v>
      </c>
      <c r="AW143" s="68">
        <f ca="1">IF(AND(SUMIF(Capacity_Resource,$D143,'Critical resources (hide)'!BJ$6:BJ$105)+SUMIF(Capacity_Resource,$E143,'Critical resources (hide)'!BJ$6:BJ$105)+SUMIF(Capacity_Resource,$F143,'Critical resources (hide)'!BJ$6:BJ$105)&gt;0,$E$1=2),0,1)</f>
        <v>1</v>
      </c>
      <c r="AX143" s="68">
        <f ca="1">IF(AND(SUMIF(Capacity_Resource,$D143,'Critical resources (hide)'!BK$6:BK$105)+SUMIF(Capacity_Resource,$E143,'Critical resources (hide)'!BK$6:BK$105)+SUMIF(Capacity_Resource,$F143,'Critical resources (hide)'!BK$6:BK$105)&gt;0,$E$1=2),0,1)</f>
        <v>1</v>
      </c>
      <c r="AY143" s="68">
        <f ca="1">IF(AND(SUMIF(Capacity_Resource,$D143,'Critical resources (hide)'!BL$6:BL$105)+SUMIF(Capacity_Resource,$E143,'Critical resources (hide)'!BL$6:BL$105)+SUMIF(Capacity_Resource,$F143,'Critical resources (hide)'!BL$6:BL$105)&gt;0,$E$1=2),0,1)</f>
        <v>1</v>
      </c>
      <c r="AZ143" s="68">
        <f ca="1">IF(AND(SUMIF(Capacity_Resource,$D143,'Critical resources (hide)'!BM$6:BM$105)+SUMIF(Capacity_Resource,$E143,'Critical resources (hide)'!BM$6:BM$105)+SUMIF(Capacity_Resource,$F143,'Critical resources (hide)'!BM$6:BM$105)&gt;0,$E$1=2),0,1)</f>
        <v>1</v>
      </c>
      <c r="BA143" s="68">
        <f ca="1">IF(AND(SUMIF(Capacity_Resource,$D143,'Critical resources (hide)'!BN$6:BN$105)+SUMIF(Capacity_Resource,$E143,'Critical resources (hide)'!BN$6:BN$105)+SUMIF(Capacity_Resource,$F143,'Critical resources (hide)'!BN$6:BN$105)&gt;0,$E$1=2),0,1)</f>
        <v>1</v>
      </c>
      <c r="BB143" s="68">
        <f ca="1">IF(AND(SUMIF(Capacity_Resource,$D143,'Critical resources (hide)'!BO$6:BO$105)+SUMIF(Capacity_Resource,$E143,'Critical resources (hide)'!BO$6:BO$105)+SUMIF(Capacity_Resource,$F143,'Critical resources (hide)'!BO$6:BO$105)&gt;0,$E$1=2),0,1)</f>
        <v>1</v>
      </c>
      <c r="BC143" s="68">
        <f ca="1">IF(AND(SUMIF(Capacity_Resource,$D143,'Critical resources (hide)'!BP$6:BP$105)+SUMIF(Capacity_Resource,$E143,'Critical resources (hide)'!BP$6:BP$105)+SUMIF(Capacity_Resource,$F143,'Critical resources (hide)'!BP$6:BP$105)&gt;0,$E$1=2),0,1)</f>
        <v>1</v>
      </c>
      <c r="BD143" s="68">
        <f ca="1">IF(AND(SUMIF(Capacity_Resource,$D143,'Critical resources (hide)'!BQ$6:BQ$105)+SUMIF(Capacity_Resource,$E143,'Critical resources (hide)'!BQ$6:BQ$105)+SUMIF(Capacity_Resource,$F143,'Critical resources (hide)'!BQ$6:BQ$105)&gt;0,$E$1=2),0,1)</f>
        <v>1</v>
      </c>
      <c r="BE143" s="68">
        <f ca="1">IF(AND(SUMIF(Capacity_Resource,$D143,'Critical resources (hide)'!BR$6:BR$105)+SUMIF(Capacity_Resource,$E143,'Critical resources (hide)'!BR$6:BR$105)+SUMIF(Capacity_Resource,$F143,'Critical resources (hide)'!BR$6:BR$105)&gt;0,$E$1=2),0,1)</f>
        <v>1</v>
      </c>
      <c r="BF143" s="68">
        <f ca="1">IF(AND(SUMIF(Capacity_Resource,$D143,'Critical resources (hide)'!BS$6:BS$105)+SUMIF(Capacity_Resource,$E143,'Critical resources (hide)'!BS$6:BS$105)+SUMIF(Capacity_Resource,$F143,'Critical resources (hide)'!BS$6:BS$105)&gt;0,$E$1=2),0,1)</f>
        <v>1</v>
      </c>
      <c r="BG143" s="68">
        <f ca="1">IF(AND(SUMIF(Capacity_Resource,$D143,'Critical resources (hide)'!BT$6:BT$105)+SUMIF(Capacity_Resource,$E143,'Critical resources (hide)'!BT$6:BT$105)+SUMIF(Capacity_Resource,$F143,'Critical resources (hide)'!BT$6:BT$105)&gt;0,$E$1=2),0,1)</f>
        <v>1</v>
      </c>
      <c r="BH143" s="68">
        <f>IF(ROW(A32)&lt;=Capacity!$M$16,IF('Capacity summary'!$C$14="No",SUM(H143:BG143),'Capacity summary'!$E55),0)</f>
        <v>0</v>
      </c>
      <c r="BI143" s="68" t="str">
        <f>IF(BH143&gt;0,IF(BH143&lt;Capacity!Q48,Capacity!R48,Capacity!T48/'Capacity calculation (hide)'!BH143),"")</f>
        <v/>
      </c>
      <c r="BJ143" s="5"/>
      <c r="BK143" s="5">
        <f>IF($BI143&lt;&gt;"",IF('Capacity summary'!$C$14="Yes",IF(COUNTBLANK('Capacity summary'!$H55:$BG55)&lt;52,IF('Capacity summary'!H55&lt;&gt;"",$BI143*H143,0),H143*$BI143),H143*$BI143),0)</f>
        <v>0</v>
      </c>
      <c r="BL143" s="5">
        <f>IF($BI143&lt;&gt;"",IF('Capacity summary'!$C$14="Yes",IF(COUNTBLANK('Capacity summary'!$H55:$BG55)&lt;52,IF('Capacity summary'!I55&lt;&gt;"",$BI143*I143,0),I143*$BI143),I143*$BI143),0)</f>
        <v>0</v>
      </c>
      <c r="BM143" s="5">
        <f>IF($BI143&lt;&gt;"",IF('Capacity summary'!$C$14="Yes",IF(COUNTBLANK('Capacity summary'!$H55:$BG55)&lt;52,IF('Capacity summary'!J55&lt;&gt;"",$BI143*J143,0),J143*$BI143),J143*$BI143),0)</f>
        <v>0</v>
      </c>
      <c r="BN143" s="5">
        <f>IF($BI143&lt;&gt;"",IF('Capacity summary'!$C$14="Yes",IF(COUNTBLANK('Capacity summary'!$H55:$BG55)&lt;52,IF('Capacity summary'!K55&lt;&gt;"",$BI143*K143,0),K143*$BI143),K143*$BI143),0)</f>
        <v>0</v>
      </c>
      <c r="BO143" s="5">
        <f>IF($BI143&lt;&gt;"",IF('Capacity summary'!$C$14="Yes",IF(COUNTBLANK('Capacity summary'!$H55:$BG55)&lt;52,IF('Capacity summary'!L55&lt;&gt;"",$BI143*L143,0),L143*$BI143),L143*$BI143),0)</f>
        <v>0</v>
      </c>
      <c r="BP143" s="5">
        <f>IF($BI143&lt;&gt;"",IF('Capacity summary'!$C$14="Yes",IF(COUNTBLANK('Capacity summary'!$H55:$BG55)&lt;52,IF('Capacity summary'!M55&lt;&gt;"",$BI143*M143,0),M143*$BI143),M143*$BI143),0)</f>
        <v>0</v>
      </c>
      <c r="BQ143" s="5">
        <f>IF($BI143&lt;&gt;"",IF('Capacity summary'!$C$14="Yes",IF(COUNTBLANK('Capacity summary'!$H55:$BG55)&lt;52,IF('Capacity summary'!N55&lt;&gt;"",$BI143*N143,0),N143*$BI143),N143*$BI143),0)</f>
        <v>0</v>
      </c>
      <c r="BR143" s="5">
        <f>IF($BI143&lt;&gt;"",IF('Capacity summary'!$C$14="Yes",IF(COUNTBLANK('Capacity summary'!$H55:$BG55)&lt;52,IF('Capacity summary'!O55&lt;&gt;"",$BI143*O143,0),O143*$BI143),O143*$BI143),0)</f>
        <v>0</v>
      </c>
      <c r="BS143" s="5">
        <f>IF($BI143&lt;&gt;"",IF('Capacity summary'!$C$14="Yes",IF(COUNTBLANK('Capacity summary'!$H55:$BG55)&lt;52,IF('Capacity summary'!P55&lt;&gt;"",$BI143*P143,0),P143*$BI143),P143*$BI143),0)</f>
        <v>0</v>
      </c>
      <c r="BT143" s="5">
        <f>IF($BI143&lt;&gt;"",IF('Capacity summary'!$C$14="Yes",IF(COUNTBLANK('Capacity summary'!$H55:$BG55)&lt;52,IF('Capacity summary'!Q55&lt;&gt;"",$BI143*Q143,0),Q143*$BI143),Q143*$BI143),0)</f>
        <v>0</v>
      </c>
      <c r="BU143" s="5">
        <f>IF($BI143&lt;&gt;"",IF('Capacity summary'!$C$14="Yes",IF(COUNTBLANK('Capacity summary'!$H55:$BG55)&lt;52,IF('Capacity summary'!R55&lt;&gt;"",$BI143*R143,0),R143*$BI143),R143*$BI143),0)</f>
        <v>0</v>
      </c>
      <c r="BV143" s="5">
        <f>IF($BI143&lt;&gt;"",IF('Capacity summary'!$C$14="Yes",IF(COUNTBLANK('Capacity summary'!$H55:$BG55)&lt;52,IF('Capacity summary'!S55&lt;&gt;"",$BI143*S143,0),S143*$BI143),S143*$BI143),0)</f>
        <v>0</v>
      </c>
      <c r="BW143" s="5">
        <f>IF($BI143&lt;&gt;"",IF('Capacity summary'!$C$14="Yes",IF(COUNTBLANK('Capacity summary'!$H55:$BG55)&lt;52,IF('Capacity summary'!T55&lt;&gt;"",$BI143*T143,0),T143*$BI143),T143*$BI143),0)</f>
        <v>0</v>
      </c>
      <c r="BX143" s="5">
        <f>IF($BI143&lt;&gt;"",IF('Capacity summary'!$C$14="Yes",IF(COUNTBLANK('Capacity summary'!$H55:$BG55)&lt;52,IF('Capacity summary'!U55&lt;&gt;"",$BI143*U143,0),U143*$BI143),U143*$BI143),0)</f>
        <v>0</v>
      </c>
      <c r="BY143" s="5">
        <f>IF($BI143&lt;&gt;"",IF('Capacity summary'!$C$14="Yes",IF(COUNTBLANK('Capacity summary'!$H55:$BG55)&lt;52,IF('Capacity summary'!V55&lt;&gt;"",$BI143*V143,0),V143*$BI143),V143*$BI143),0)</f>
        <v>0</v>
      </c>
      <c r="BZ143" s="5">
        <f>IF($BI143&lt;&gt;"",IF('Capacity summary'!$C$14="Yes",IF(COUNTBLANK('Capacity summary'!$H55:$BG55)&lt;52,IF('Capacity summary'!W55&lt;&gt;"",$BI143*W143,0),W143*$BI143),W143*$BI143),0)</f>
        <v>0</v>
      </c>
      <c r="CA143" s="5">
        <f>IF($BI143&lt;&gt;"",IF('Capacity summary'!$C$14="Yes",IF(COUNTBLANK('Capacity summary'!$H55:$BG55)&lt;52,IF('Capacity summary'!X55&lt;&gt;"",$BI143*X143,0),X143*$BI143),X143*$BI143),0)</f>
        <v>0</v>
      </c>
      <c r="CB143" s="5">
        <f>IF($BI143&lt;&gt;"",IF('Capacity summary'!$C$14="Yes",IF(COUNTBLANK('Capacity summary'!$H55:$BG55)&lt;52,IF('Capacity summary'!Y55&lt;&gt;"",$BI143*Y143,0),Y143*$BI143),Y143*$BI143),0)</f>
        <v>0</v>
      </c>
      <c r="CC143" s="5">
        <f>IF($BI143&lt;&gt;"",IF('Capacity summary'!$C$14="Yes",IF(COUNTBLANK('Capacity summary'!$H55:$BG55)&lt;52,IF('Capacity summary'!Z55&lt;&gt;"",$BI143*Z143,0),Z143*$BI143),Z143*$BI143),0)</f>
        <v>0</v>
      </c>
      <c r="CD143" s="5">
        <f>IF($BI143&lt;&gt;"",IF('Capacity summary'!$C$14="Yes",IF(COUNTBLANK('Capacity summary'!$H55:$BG55)&lt;52,IF('Capacity summary'!AA55&lt;&gt;"",$BI143*AA143,0),AA143*$BI143),AA143*$BI143),0)</f>
        <v>0</v>
      </c>
      <c r="CE143" s="5">
        <f>IF($BI143&lt;&gt;"",IF('Capacity summary'!$C$14="Yes",IF(COUNTBLANK('Capacity summary'!$H55:$BG55)&lt;52,IF('Capacity summary'!AB55&lt;&gt;"",$BI143*AB143,0),AB143*$BI143),AB143*$BI143),0)</f>
        <v>0</v>
      </c>
      <c r="CF143" s="5">
        <f>IF($BI143&lt;&gt;"",IF('Capacity summary'!$C$14="Yes",IF(COUNTBLANK('Capacity summary'!$H55:$BG55)&lt;52,IF('Capacity summary'!AC55&lt;&gt;"",$BI143*AC143,0),AC143*$BI143),AC143*$BI143),0)</f>
        <v>0</v>
      </c>
      <c r="CG143" s="5">
        <f>IF($BI143&lt;&gt;"",IF('Capacity summary'!$C$14="Yes",IF(COUNTBLANK('Capacity summary'!$H55:$BG55)&lt;52,IF('Capacity summary'!AD55&lt;&gt;"",$BI143*AD143,0),AD143*$BI143),AD143*$BI143),0)</f>
        <v>0</v>
      </c>
      <c r="CH143" s="5">
        <f>IF($BI143&lt;&gt;"",IF('Capacity summary'!$C$14="Yes",IF(COUNTBLANK('Capacity summary'!$H55:$BG55)&lt;52,IF('Capacity summary'!AE55&lt;&gt;"",$BI143*AE143,0),AE143*$BI143),AE143*$BI143),0)</f>
        <v>0</v>
      </c>
      <c r="CI143" s="5">
        <f>IF($BI143&lt;&gt;"",IF('Capacity summary'!$C$14="Yes",IF(COUNTBLANK('Capacity summary'!$H55:$BG55)&lt;52,IF('Capacity summary'!AF55&lt;&gt;"",$BI143*AF143,0),AF143*$BI143),AF143*$BI143),0)</f>
        <v>0</v>
      </c>
      <c r="CJ143" s="5">
        <f>IF($BI143&lt;&gt;"",IF('Capacity summary'!$C$14="Yes",IF(COUNTBLANK('Capacity summary'!$H55:$BG55)&lt;52,IF('Capacity summary'!AG55&lt;&gt;"",$BI143*AG143,0),AG143*$BI143),AG143*$BI143),0)</f>
        <v>0</v>
      </c>
      <c r="CK143" s="5">
        <f>IF($BI143&lt;&gt;"",IF('Capacity summary'!$C$14="Yes",IF(COUNTBLANK('Capacity summary'!$H55:$BG55)&lt;52,IF('Capacity summary'!AH55&lt;&gt;"",$BI143*AH143,0),AH143*$BI143),AH143*$BI143),0)</f>
        <v>0</v>
      </c>
      <c r="CL143" s="5">
        <f>IF($BI143&lt;&gt;"",IF('Capacity summary'!$C$14="Yes",IF(COUNTBLANK('Capacity summary'!$H55:$BG55)&lt;52,IF('Capacity summary'!AI55&lt;&gt;"",$BI143*AI143,0),AI143*$BI143),AI143*$BI143),0)</f>
        <v>0</v>
      </c>
      <c r="CM143" s="5">
        <f>IF($BI143&lt;&gt;"",IF('Capacity summary'!$C$14="Yes",IF(COUNTBLANK('Capacity summary'!$H55:$BG55)&lt;52,IF('Capacity summary'!AJ55&lt;&gt;"",$BI143*AJ143,0),AJ143*$BI143),AJ143*$BI143),0)</f>
        <v>0</v>
      </c>
      <c r="CN143" s="5">
        <f>IF($BI143&lt;&gt;"",IF('Capacity summary'!$C$14="Yes",IF(COUNTBLANK('Capacity summary'!$H55:$BG55)&lt;52,IF('Capacity summary'!AK55&lt;&gt;"",$BI143*AK143,0),AK143*$BI143),AK143*$BI143),0)</f>
        <v>0</v>
      </c>
      <c r="CO143" s="5">
        <f>IF($BI143&lt;&gt;"",IF('Capacity summary'!$C$14="Yes",IF(COUNTBLANK('Capacity summary'!$H55:$BG55)&lt;52,IF('Capacity summary'!AL55&lt;&gt;"",$BI143*AL143,0),AL143*$BI143),AL143*$BI143),0)</f>
        <v>0</v>
      </c>
      <c r="CP143" s="5">
        <f>IF($BI143&lt;&gt;"",IF('Capacity summary'!$C$14="Yes",IF(COUNTBLANK('Capacity summary'!$H55:$BG55)&lt;52,IF('Capacity summary'!AM55&lt;&gt;"",$BI143*AM143,0),AM143*$BI143),AM143*$BI143),0)</f>
        <v>0</v>
      </c>
      <c r="CQ143" s="5">
        <f>IF($BI143&lt;&gt;"",IF('Capacity summary'!$C$14="Yes",IF(COUNTBLANK('Capacity summary'!$H55:$BG55)&lt;52,IF('Capacity summary'!AN55&lt;&gt;"",$BI143*AN143,0),AN143*$BI143),AN143*$BI143),0)</f>
        <v>0</v>
      </c>
      <c r="CR143" s="5">
        <f>IF($BI143&lt;&gt;"",IF('Capacity summary'!$C$14="Yes",IF(COUNTBLANK('Capacity summary'!$H55:$BG55)&lt;52,IF('Capacity summary'!AO55&lt;&gt;"",$BI143*AO143,0),AO143*$BI143),AO143*$BI143),0)</f>
        <v>0</v>
      </c>
      <c r="CS143" s="5">
        <f>IF($BI143&lt;&gt;"",IF('Capacity summary'!$C$14="Yes",IF(COUNTBLANK('Capacity summary'!$H55:$BG55)&lt;52,IF('Capacity summary'!AP55&lt;&gt;"",$BI143*AP143,0),AP143*$BI143),AP143*$BI143),0)</f>
        <v>0</v>
      </c>
      <c r="CT143" s="5">
        <f>IF($BI143&lt;&gt;"",IF('Capacity summary'!$C$14="Yes",IF(COUNTBLANK('Capacity summary'!$H55:$BG55)&lt;52,IF('Capacity summary'!AQ55&lt;&gt;"",$BI143*AQ143,0),AQ143*$BI143),AQ143*$BI143),0)</f>
        <v>0</v>
      </c>
      <c r="CU143" s="5">
        <f>IF($BI143&lt;&gt;"",IF('Capacity summary'!$C$14="Yes",IF(COUNTBLANK('Capacity summary'!$H55:$BG55)&lt;52,IF('Capacity summary'!AR55&lt;&gt;"",$BI143*AR143,0),AR143*$BI143),AR143*$BI143),0)</f>
        <v>0</v>
      </c>
      <c r="CV143" s="5">
        <f>IF($BI143&lt;&gt;"",IF('Capacity summary'!$C$14="Yes",IF(COUNTBLANK('Capacity summary'!$H55:$BG55)&lt;52,IF('Capacity summary'!AS55&lt;&gt;"",$BI143*AS143,0),AS143*$BI143),AS143*$BI143),0)</f>
        <v>0</v>
      </c>
      <c r="CW143" s="5">
        <f>IF($BI143&lt;&gt;"",IF('Capacity summary'!$C$14="Yes",IF(COUNTBLANK('Capacity summary'!$H55:$BG55)&lt;52,IF('Capacity summary'!AT55&lt;&gt;"",$BI143*AT143,0),AT143*$BI143),AT143*$BI143),0)</f>
        <v>0</v>
      </c>
      <c r="CX143" s="5">
        <f>IF($BI143&lt;&gt;"",IF('Capacity summary'!$C$14="Yes",IF(COUNTBLANK('Capacity summary'!$H55:$BG55)&lt;52,IF('Capacity summary'!AU55&lt;&gt;"",$BI143*AU143,0),AU143*$BI143),AU143*$BI143),0)</f>
        <v>0</v>
      </c>
      <c r="CY143" s="5">
        <f>IF($BI143&lt;&gt;"",IF('Capacity summary'!$C$14="Yes",IF(COUNTBLANK('Capacity summary'!$H55:$BG55)&lt;52,IF('Capacity summary'!AV55&lt;&gt;"",$BI143*AV143,0),AV143*$BI143),AV143*$BI143),0)</f>
        <v>0</v>
      </c>
      <c r="CZ143" s="5">
        <f>IF($BI143&lt;&gt;"",IF('Capacity summary'!$C$14="Yes",IF(COUNTBLANK('Capacity summary'!$H55:$BG55)&lt;52,IF('Capacity summary'!AW55&lt;&gt;"",$BI143*AW143,0),AW143*$BI143),AW143*$BI143),0)</f>
        <v>0</v>
      </c>
      <c r="DA143" s="5">
        <f>IF($BI143&lt;&gt;"",IF('Capacity summary'!$C$14="Yes",IF(COUNTBLANK('Capacity summary'!$H55:$BG55)&lt;52,IF('Capacity summary'!AX55&lt;&gt;"",$BI143*AX143,0),AX143*$BI143),AX143*$BI143),0)</f>
        <v>0</v>
      </c>
      <c r="DB143" s="5">
        <f>IF($BI143&lt;&gt;"",IF('Capacity summary'!$C$14="Yes",IF(COUNTBLANK('Capacity summary'!$H55:$BG55)&lt;52,IF('Capacity summary'!AY55&lt;&gt;"",$BI143*AY143,0),AY143*$BI143),AY143*$BI143),0)</f>
        <v>0</v>
      </c>
      <c r="DC143" s="5">
        <f>IF($BI143&lt;&gt;"",IF('Capacity summary'!$C$14="Yes",IF(COUNTBLANK('Capacity summary'!$H55:$BG55)&lt;52,IF('Capacity summary'!AZ55&lt;&gt;"",$BI143*AZ143,0),AZ143*$BI143),AZ143*$BI143),0)</f>
        <v>0</v>
      </c>
      <c r="DD143" s="5">
        <f>IF($BI143&lt;&gt;"",IF('Capacity summary'!$C$14="Yes",IF(COUNTBLANK('Capacity summary'!$H55:$BG55)&lt;52,IF('Capacity summary'!BA55&lt;&gt;"",$BI143*BA143,0),BA143*$BI143),BA143*$BI143),0)</f>
        <v>0</v>
      </c>
      <c r="DE143" s="5">
        <f>IF($BI143&lt;&gt;"",IF('Capacity summary'!$C$14="Yes",IF(COUNTBLANK('Capacity summary'!$H55:$BG55)&lt;52,IF('Capacity summary'!BB55&lt;&gt;"",$BI143*BB143,0),BB143*$BI143),BB143*$BI143),0)</f>
        <v>0</v>
      </c>
      <c r="DF143" s="5">
        <f>IF($BI143&lt;&gt;"",IF('Capacity summary'!$C$14="Yes",IF(COUNTBLANK('Capacity summary'!$H55:$BG55)&lt;52,IF('Capacity summary'!BC55&lt;&gt;"",$BI143*BC143,0),BC143*$BI143),BC143*$BI143),0)</f>
        <v>0</v>
      </c>
      <c r="DG143" s="5">
        <f>IF($BI143&lt;&gt;"",IF('Capacity summary'!$C$14="Yes",IF(COUNTBLANK('Capacity summary'!$H55:$BG55)&lt;52,IF('Capacity summary'!BD55&lt;&gt;"",$BI143*BD143,0),BD143*$BI143),BD143*$BI143),0)</f>
        <v>0</v>
      </c>
      <c r="DH143" s="5">
        <f>IF($BI143&lt;&gt;"",IF('Capacity summary'!$C$14="Yes",IF(COUNTBLANK('Capacity summary'!$H55:$BG55)&lt;52,IF('Capacity summary'!BE55&lt;&gt;"",$BI143*BE143,0),BE143*$BI143),BE143*$BI143),0)</f>
        <v>0</v>
      </c>
      <c r="DI143" s="5">
        <f>IF($BI143&lt;&gt;"",IF('Capacity summary'!$C$14="Yes",IF(COUNTBLANK('Capacity summary'!$H55:$BG55)&lt;52,IF('Capacity summary'!BF55&lt;&gt;"",$BI143*BF143,0),BF143*$BI143),BF143*$BI143),0)</f>
        <v>0</v>
      </c>
      <c r="DJ143" s="5">
        <f>IF($BI143&lt;&gt;"",IF('Capacity summary'!$C$14="Yes",IF(COUNTBLANK('Capacity summary'!$H55:$BG55)&lt;52,IF('Capacity summary'!BG55&lt;&gt;"",$BI143*BG143,0),BG143*$BI143),BG143*$BI143),0)</f>
        <v>0</v>
      </c>
      <c r="DK143" s="138">
        <f t="shared" si="6"/>
        <v>0</v>
      </c>
    </row>
    <row r="144" spans="3:115" x14ac:dyDescent="0.2">
      <c r="C144" s="68" t="str">
        <f>ROW(A33)&amp;". "&amp;Capacity!N49</f>
        <v xml:space="preserve">33. </v>
      </c>
      <c r="D144" s="68">
        <f>'Capacity setup'!C150</f>
        <v>0</v>
      </c>
      <c r="E144" s="68">
        <f>'Capacity setup'!D150</f>
        <v>0</v>
      </c>
      <c r="F144" s="68">
        <f>'Capacity setup'!E150</f>
        <v>0</v>
      </c>
      <c r="H144" s="68">
        <f ca="1">IF(AND(SUMIF(Capacity_Resource,$D144,'Critical resources (hide)'!U$6:U$105)+SUMIF(Capacity_Resource,$E144,'Critical resources (hide)'!U$6:U$105)+SUMIF(Capacity_Resource,$F144,'Critical resources (hide)'!U$6:U$105)&gt;0,$E$1=2),0,1)</f>
        <v>1</v>
      </c>
      <c r="I144" s="68">
        <f ca="1">IF(AND(SUMIF(Capacity_Resource,$D144,'Critical resources (hide)'!V$6:V$105)+SUMIF(Capacity_Resource,$E144,'Critical resources (hide)'!V$6:V$105)+SUMIF(Capacity_Resource,$F144,'Critical resources (hide)'!V$6:V$105)&gt;0,$E$1=2),0,1)</f>
        <v>1</v>
      </c>
      <c r="J144" s="68">
        <f ca="1">IF(AND(SUMIF(Capacity_Resource,$D144,'Critical resources (hide)'!W$6:W$105)+SUMIF(Capacity_Resource,$E144,'Critical resources (hide)'!W$6:W$105)+SUMIF(Capacity_Resource,$F144,'Critical resources (hide)'!W$6:W$105)&gt;0,$E$1=2),0,1)</f>
        <v>1</v>
      </c>
      <c r="K144" s="68">
        <f ca="1">IF(AND(SUMIF(Capacity_Resource,$D144,'Critical resources (hide)'!X$6:X$105)+SUMIF(Capacity_Resource,$E144,'Critical resources (hide)'!X$6:X$105)+SUMIF(Capacity_Resource,$F144,'Critical resources (hide)'!X$6:X$105)&gt;0,$E$1=2),0,1)</f>
        <v>1</v>
      </c>
      <c r="L144" s="68">
        <f ca="1">IF(AND(SUMIF(Capacity_Resource,$D144,'Critical resources (hide)'!Y$6:Y$105)+SUMIF(Capacity_Resource,$E144,'Critical resources (hide)'!Y$6:Y$105)+SUMIF(Capacity_Resource,$F144,'Critical resources (hide)'!Y$6:Y$105)&gt;0,$E$1=2),0,1)</f>
        <v>1</v>
      </c>
      <c r="M144" s="68">
        <f ca="1">IF(AND(SUMIF(Capacity_Resource,$D144,'Critical resources (hide)'!Z$6:Z$105)+SUMIF(Capacity_Resource,$E144,'Critical resources (hide)'!Z$6:Z$105)+SUMIF(Capacity_Resource,$F144,'Critical resources (hide)'!Z$6:Z$105)&gt;0,$E$1=2),0,1)</f>
        <v>1</v>
      </c>
      <c r="N144" s="68">
        <f ca="1">IF(AND(SUMIF(Capacity_Resource,$D144,'Critical resources (hide)'!AA$6:AA$105)+SUMIF(Capacity_Resource,$E144,'Critical resources (hide)'!AA$6:AA$105)+SUMIF(Capacity_Resource,$F144,'Critical resources (hide)'!AA$6:AA$105)&gt;0,$E$1=2),0,1)</f>
        <v>1</v>
      </c>
      <c r="O144" s="68">
        <f ca="1">IF(AND(SUMIF(Capacity_Resource,$D144,'Critical resources (hide)'!AB$6:AB$105)+SUMIF(Capacity_Resource,$E144,'Critical resources (hide)'!AB$6:AB$105)+SUMIF(Capacity_Resource,$F144,'Critical resources (hide)'!AB$6:AB$105)&gt;0,$E$1=2),0,1)</f>
        <v>1</v>
      </c>
      <c r="P144" s="68">
        <f ca="1">IF(AND(SUMIF(Capacity_Resource,$D144,'Critical resources (hide)'!AC$6:AC$105)+SUMIF(Capacity_Resource,$E144,'Critical resources (hide)'!AC$6:AC$105)+SUMIF(Capacity_Resource,$F144,'Critical resources (hide)'!AC$6:AC$105)&gt;0,$E$1=2),0,1)</f>
        <v>1</v>
      </c>
      <c r="Q144" s="68">
        <f ca="1">IF(AND(SUMIF(Capacity_Resource,$D144,'Critical resources (hide)'!AD$6:AD$105)+SUMIF(Capacity_Resource,$E144,'Critical resources (hide)'!AD$6:AD$105)+SUMIF(Capacity_Resource,$F144,'Critical resources (hide)'!AD$6:AD$105)&gt;0,$E$1=2),0,1)</f>
        <v>1</v>
      </c>
      <c r="R144" s="68">
        <f ca="1">IF(AND(SUMIF(Capacity_Resource,$D144,'Critical resources (hide)'!AE$6:AE$105)+SUMIF(Capacity_Resource,$E144,'Critical resources (hide)'!AE$6:AE$105)+SUMIF(Capacity_Resource,$F144,'Critical resources (hide)'!AE$6:AE$105)&gt;0,$E$1=2),0,1)</f>
        <v>1</v>
      </c>
      <c r="S144" s="68">
        <f ca="1">IF(AND(SUMIF(Capacity_Resource,$D144,'Critical resources (hide)'!AF$6:AF$105)+SUMIF(Capacity_Resource,$E144,'Critical resources (hide)'!AF$6:AF$105)+SUMIF(Capacity_Resource,$F144,'Critical resources (hide)'!AF$6:AF$105)&gt;0,$E$1=2),0,1)</f>
        <v>1</v>
      </c>
      <c r="T144" s="68">
        <f ca="1">IF(AND(SUMIF(Capacity_Resource,$D144,'Critical resources (hide)'!AG$6:AG$105)+SUMIF(Capacity_Resource,$E144,'Critical resources (hide)'!AG$6:AG$105)+SUMIF(Capacity_Resource,$F144,'Critical resources (hide)'!AG$6:AG$105)&gt;0,$E$1=2),0,1)</f>
        <v>1</v>
      </c>
      <c r="U144" s="68">
        <f ca="1">IF(AND(SUMIF(Capacity_Resource,$D144,'Critical resources (hide)'!AH$6:AH$105)+SUMIF(Capacity_Resource,$E144,'Critical resources (hide)'!AH$6:AH$105)+SUMIF(Capacity_Resource,$F144,'Critical resources (hide)'!AH$6:AH$105)&gt;0,$E$1=2),0,1)</f>
        <v>1</v>
      </c>
      <c r="V144" s="68">
        <f ca="1">IF(AND(SUMIF(Capacity_Resource,$D144,'Critical resources (hide)'!AI$6:AI$105)+SUMIF(Capacity_Resource,$E144,'Critical resources (hide)'!AI$6:AI$105)+SUMIF(Capacity_Resource,$F144,'Critical resources (hide)'!AI$6:AI$105)&gt;0,$E$1=2),0,1)</f>
        <v>1</v>
      </c>
      <c r="W144" s="68">
        <f ca="1">IF(AND(SUMIF(Capacity_Resource,$D144,'Critical resources (hide)'!AJ$6:AJ$105)+SUMIF(Capacity_Resource,$E144,'Critical resources (hide)'!AJ$6:AJ$105)+SUMIF(Capacity_Resource,$F144,'Critical resources (hide)'!AJ$6:AJ$105)&gt;0,$E$1=2),0,1)</f>
        <v>1</v>
      </c>
      <c r="X144" s="68">
        <f ca="1">IF(AND(SUMIF(Capacity_Resource,$D144,'Critical resources (hide)'!AK$6:AK$105)+SUMIF(Capacity_Resource,$E144,'Critical resources (hide)'!AK$6:AK$105)+SUMIF(Capacity_Resource,$F144,'Critical resources (hide)'!AK$6:AK$105)&gt;0,$E$1=2),0,1)</f>
        <v>1</v>
      </c>
      <c r="Y144" s="68">
        <f ca="1">IF(AND(SUMIF(Capacity_Resource,$D144,'Critical resources (hide)'!AL$6:AL$105)+SUMIF(Capacity_Resource,$E144,'Critical resources (hide)'!AL$6:AL$105)+SUMIF(Capacity_Resource,$F144,'Critical resources (hide)'!AL$6:AL$105)&gt;0,$E$1=2),0,1)</f>
        <v>1</v>
      </c>
      <c r="Z144" s="68">
        <f ca="1">IF(AND(SUMIF(Capacity_Resource,$D144,'Critical resources (hide)'!AM$6:AM$105)+SUMIF(Capacity_Resource,$E144,'Critical resources (hide)'!AM$6:AM$105)+SUMIF(Capacity_Resource,$F144,'Critical resources (hide)'!AM$6:AM$105)&gt;0,$E$1=2),0,1)</f>
        <v>1</v>
      </c>
      <c r="AA144" s="68">
        <f ca="1">IF(AND(SUMIF(Capacity_Resource,$D144,'Critical resources (hide)'!AN$6:AN$105)+SUMIF(Capacity_Resource,$E144,'Critical resources (hide)'!AN$6:AN$105)+SUMIF(Capacity_Resource,$F144,'Critical resources (hide)'!AN$6:AN$105)&gt;0,$E$1=2),0,1)</f>
        <v>1</v>
      </c>
      <c r="AB144" s="68">
        <f ca="1">IF(AND(SUMIF(Capacity_Resource,$D144,'Critical resources (hide)'!AO$6:AO$105)+SUMIF(Capacity_Resource,$E144,'Critical resources (hide)'!AO$6:AO$105)+SUMIF(Capacity_Resource,$F144,'Critical resources (hide)'!AO$6:AO$105)&gt;0,$E$1=2),0,1)</f>
        <v>1</v>
      </c>
      <c r="AC144" s="68">
        <f ca="1">IF(AND(SUMIF(Capacity_Resource,$D144,'Critical resources (hide)'!AP$6:AP$105)+SUMIF(Capacity_Resource,$E144,'Critical resources (hide)'!AP$6:AP$105)+SUMIF(Capacity_Resource,$F144,'Critical resources (hide)'!AP$6:AP$105)&gt;0,$E$1=2),0,1)</f>
        <v>1</v>
      </c>
      <c r="AD144" s="68">
        <f ca="1">IF(AND(SUMIF(Capacity_Resource,$D144,'Critical resources (hide)'!AQ$6:AQ$105)+SUMIF(Capacity_Resource,$E144,'Critical resources (hide)'!AQ$6:AQ$105)+SUMIF(Capacity_Resource,$F144,'Critical resources (hide)'!AQ$6:AQ$105)&gt;0,$E$1=2),0,1)</f>
        <v>1</v>
      </c>
      <c r="AE144" s="68">
        <f ca="1">IF(AND(SUMIF(Capacity_Resource,$D144,'Critical resources (hide)'!AR$6:AR$105)+SUMIF(Capacity_Resource,$E144,'Critical resources (hide)'!AR$6:AR$105)+SUMIF(Capacity_Resource,$F144,'Critical resources (hide)'!AR$6:AR$105)&gt;0,$E$1=2),0,1)</f>
        <v>1</v>
      </c>
      <c r="AF144" s="68">
        <f ca="1">IF(AND(SUMIF(Capacity_Resource,$D144,'Critical resources (hide)'!AS$6:AS$105)+SUMIF(Capacity_Resource,$E144,'Critical resources (hide)'!AS$6:AS$105)+SUMIF(Capacity_Resource,$F144,'Critical resources (hide)'!AS$6:AS$105)&gt;0,$E$1=2),0,1)</f>
        <v>1</v>
      </c>
      <c r="AG144" s="68">
        <f ca="1">IF(AND(SUMIF(Capacity_Resource,$D144,'Critical resources (hide)'!AT$6:AT$105)+SUMIF(Capacity_Resource,$E144,'Critical resources (hide)'!AT$6:AT$105)+SUMIF(Capacity_Resource,$F144,'Critical resources (hide)'!AT$6:AT$105)&gt;0,$E$1=2),0,1)</f>
        <v>1</v>
      </c>
      <c r="AH144" s="68">
        <f ca="1">IF(AND(SUMIF(Capacity_Resource,$D144,'Critical resources (hide)'!AU$6:AU$105)+SUMIF(Capacity_Resource,$E144,'Critical resources (hide)'!AU$6:AU$105)+SUMIF(Capacity_Resource,$F144,'Critical resources (hide)'!AU$6:AU$105)&gt;0,$E$1=2),0,1)</f>
        <v>1</v>
      </c>
      <c r="AI144" s="68">
        <f ca="1">IF(AND(SUMIF(Capacity_Resource,$D144,'Critical resources (hide)'!AV$6:AV$105)+SUMIF(Capacity_Resource,$E144,'Critical resources (hide)'!AV$6:AV$105)+SUMIF(Capacity_Resource,$F144,'Critical resources (hide)'!AV$6:AV$105)&gt;0,$E$1=2),0,1)</f>
        <v>1</v>
      </c>
      <c r="AJ144" s="68">
        <f ca="1">IF(AND(SUMIF(Capacity_Resource,$D144,'Critical resources (hide)'!AW$6:AW$105)+SUMIF(Capacity_Resource,$E144,'Critical resources (hide)'!AW$6:AW$105)+SUMIF(Capacity_Resource,$F144,'Critical resources (hide)'!AW$6:AW$105)&gt;0,$E$1=2),0,1)</f>
        <v>1</v>
      </c>
      <c r="AK144" s="68">
        <f ca="1">IF(AND(SUMIF(Capacity_Resource,$D144,'Critical resources (hide)'!AX$6:AX$105)+SUMIF(Capacity_Resource,$E144,'Critical resources (hide)'!AX$6:AX$105)+SUMIF(Capacity_Resource,$F144,'Critical resources (hide)'!AX$6:AX$105)&gt;0,$E$1=2),0,1)</f>
        <v>1</v>
      </c>
      <c r="AL144" s="68">
        <f ca="1">IF(AND(SUMIF(Capacity_Resource,$D144,'Critical resources (hide)'!AY$6:AY$105)+SUMIF(Capacity_Resource,$E144,'Critical resources (hide)'!AY$6:AY$105)+SUMIF(Capacity_Resource,$F144,'Critical resources (hide)'!AY$6:AY$105)&gt;0,$E$1=2),0,1)</f>
        <v>1</v>
      </c>
      <c r="AM144" s="68">
        <f ca="1">IF(AND(SUMIF(Capacity_Resource,$D144,'Critical resources (hide)'!AZ$6:AZ$105)+SUMIF(Capacity_Resource,$E144,'Critical resources (hide)'!AZ$6:AZ$105)+SUMIF(Capacity_Resource,$F144,'Critical resources (hide)'!AZ$6:AZ$105)&gt;0,$E$1=2),0,1)</f>
        <v>1</v>
      </c>
      <c r="AN144" s="68">
        <f ca="1">IF(AND(SUMIF(Capacity_Resource,$D144,'Critical resources (hide)'!BA$6:BA$105)+SUMIF(Capacity_Resource,$E144,'Critical resources (hide)'!BA$6:BA$105)+SUMIF(Capacity_Resource,$F144,'Critical resources (hide)'!BA$6:BA$105)&gt;0,$E$1=2),0,1)</f>
        <v>1</v>
      </c>
      <c r="AO144" s="68">
        <f ca="1">IF(AND(SUMIF(Capacity_Resource,$D144,'Critical resources (hide)'!BB$6:BB$105)+SUMIF(Capacity_Resource,$E144,'Critical resources (hide)'!BB$6:BB$105)+SUMIF(Capacity_Resource,$F144,'Critical resources (hide)'!BB$6:BB$105)&gt;0,$E$1=2),0,1)</f>
        <v>1</v>
      </c>
      <c r="AP144" s="68">
        <f ca="1">IF(AND(SUMIF(Capacity_Resource,$D144,'Critical resources (hide)'!BC$6:BC$105)+SUMIF(Capacity_Resource,$E144,'Critical resources (hide)'!BC$6:BC$105)+SUMIF(Capacity_Resource,$F144,'Critical resources (hide)'!BC$6:BC$105)&gt;0,$E$1=2),0,1)</f>
        <v>1</v>
      </c>
      <c r="AQ144" s="68">
        <f ca="1">IF(AND(SUMIF(Capacity_Resource,$D144,'Critical resources (hide)'!BD$6:BD$105)+SUMIF(Capacity_Resource,$E144,'Critical resources (hide)'!BD$6:BD$105)+SUMIF(Capacity_Resource,$F144,'Critical resources (hide)'!BD$6:BD$105)&gt;0,$E$1=2),0,1)</f>
        <v>1</v>
      </c>
      <c r="AR144" s="68">
        <f ca="1">IF(AND(SUMIF(Capacity_Resource,$D144,'Critical resources (hide)'!BE$6:BE$105)+SUMIF(Capacity_Resource,$E144,'Critical resources (hide)'!BE$6:BE$105)+SUMIF(Capacity_Resource,$F144,'Critical resources (hide)'!BE$6:BE$105)&gt;0,$E$1=2),0,1)</f>
        <v>1</v>
      </c>
      <c r="AS144" s="68">
        <f ca="1">IF(AND(SUMIF(Capacity_Resource,$D144,'Critical resources (hide)'!BF$6:BF$105)+SUMIF(Capacity_Resource,$E144,'Critical resources (hide)'!BF$6:BF$105)+SUMIF(Capacity_Resource,$F144,'Critical resources (hide)'!BF$6:BF$105)&gt;0,$E$1=2),0,1)</f>
        <v>1</v>
      </c>
      <c r="AT144" s="68">
        <f ca="1">IF(AND(SUMIF(Capacity_Resource,$D144,'Critical resources (hide)'!BG$6:BG$105)+SUMIF(Capacity_Resource,$E144,'Critical resources (hide)'!BG$6:BG$105)+SUMIF(Capacity_Resource,$F144,'Critical resources (hide)'!BG$6:BG$105)&gt;0,$E$1=2),0,1)</f>
        <v>1</v>
      </c>
      <c r="AU144" s="68">
        <f ca="1">IF(AND(SUMIF(Capacity_Resource,$D144,'Critical resources (hide)'!BH$6:BH$105)+SUMIF(Capacity_Resource,$E144,'Critical resources (hide)'!BH$6:BH$105)+SUMIF(Capacity_Resource,$F144,'Critical resources (hide)'!BH$6:BH$105)&gt;0,$E$1=2),0,1)</f>
        <v>1</v>
      </c>
      <c r="AV144" s="68">
        <f ca="1">IF(AND(SUMIF(Capacity_Resource,$D144,'Critical resources (hide)'!BI$6:BI$105)+SUMIF(Capacity_Resource,$E144,'Critical resources (hide)'!BI$6:BI$105)+SUMIF(Capacity_Resource,$F144,'Critical resources (hide)'!BI$6:BI$105)&gt;0,$E$1=2),0,1)</f>
        <v>1</v>
      </c>
      <c r="AW144" s="68">
        <f ca="1">IF(AND(SUMIF(Capacity_Resource,$D144,'Critical resources (hide)'!BJ$6:BJ$105)+SUMIF(Capacity_Resource,$E144,'Critical resources (hide)'!BJ$6:BJ$105)+SUMIF(Capacity_Resource,$F144,'Critical resources (hide)'!BJ$6:BJ$105)&gt;0,$E$1=2),0,1)</f>
        <v>1</v>
      </c>
      <c r="AX144" s="68">
        <f ca="1">IF(AND(SUMIF(Capacity_Resource,$D144,'Critical resources (hide)'!BK$6:BK$105)+SUMIF(Capacity_Resource,$E144,'Critical resources (hide)'!BK$6:BK$105)+SUMIF(Capacity_Resource,$F144,'Critical resources (hide)'!BK$6:BK$105)&gt;0,$E$1=2),0,1)</f>
        <v>1</v>
      </c>
      <c r="AY144" s="68">
        <f ca="1">IF(AND(SUMIF(Capacity_Resource,$D144,'Critical resources (hide)'!BL$6:BL$105)+SUMIF(Capacity_Resource,$E144,'Critical resources (hide)'!BL$6:BL$105)+SUMIF(Capacity_Resource,$F144,'Critical resources (hide)'!BL$6:BL$105)&gt;0,$E$1=2),0,1)</f>
        <v>1</v>
      </c>
      <c r="AZ144" s="68">
        <f ca="1">IF(AND(SUMIF(Capacity_Resource,$D144,'Critical resources (hide)'!BM$6:BM$105)+SUMIF(Capacity_Resource,$E144,'Critical resources (hide)'!BM$6:BM$105)+SUMIF(Capacity_Resource,$F144,'Critical resources (hide)'!BM$6:BM$105)&gt;0,$E$1=2),0,1)</f>
        <v>1</v>
      </c>
      <c r="BA144" s="68">
        <f ca="1">IF(AND(SUMIF(Capacity_Resource,$D144,'Critical resources (hide)'!BN$6:BN$105)+SUMIF(Capacity_Resource,$E144,'Critical resources (hide)'!BN$6:BN$105)+SUMIF(Capacity_Resource,$F144,'Critical resources (hide)'!BN$6:BN$105)&gt;0,$E$1=2),0,1)</f>
        <v>1</v>
      </c>
      <c r="BB144" s="68">
        <f ca="1">IF(AND(SUMIF(Capacity_Resource,$D144,'Critical resources (hide)'!BO$6:BO$105)+SUMIF(Capacity_Resource,$E144,'Critical resources (hide)'!BO$6:BO$105)+SUMIF(Capacity_Resource,$F144,'Critical resources (hide)'!BO$6:BO$105)&gt;0,$E$1=2),0,1)</f>
        <v>1</v>
      </c>
      <c r="BC144" s="68">
        <f ca="1">IF(AND(SUMIF(Capacity_Resource,$D144,'Critical resources (hide)'!BP$6:BP$105)+SUMIF(Capacity_Resource,$E144,'Critical resources (hide)'!BP$6:BP$105)+SUMIF(Capacity_Resource,$F144,'Critical resources (hide)'!BP$6:BP$105)&gt;0,$E$1=2),0,1)</f>
        <v>1</v>
      </c>
      <c r="BD144" s="68">
        <f ca="1">IF(AND(SUMIF(Capacity_Resource,$D144,'Critical resources (hide)'!BQ$6:BQ$105)+SUMIF(Capacity_Resource,$E144,'Critical resources (hide)'!BQ$6:BQ$105)+SUMIF(Capacity_Resource,$F144,'Critical resources (hide)'!BQ$6:BQ$105)&gt;0,$E$1=2),0,1)</f>
        <v>1</v>
      </c>
      <c r="BE144" s="68">
        <f ca="1">IF(AND(SUMIF(Capacity_Resource,$D144,'Critical resources (hide)'!BR$6:BR$105)+SUMIF(Capacity_Resource,$E144,'Critical resources (hide)'!BR$6:BR$105)+SUMIF(Capacity_Resource,$F144,'Critical resources (hide)'!BR$6:BR$105)&gt;0,$E$1=2),0,1)</f>
        <v>1</v>
      </c>
      <c r="BF144" s="68">
        <f ca="1">IF(AND(SUMIF(Capacity_Resource,$D144,'Critical resources (hide)'!BS$6:BS$105)+SUMIF(Capacity_Resource,$E144,'Critical resources (hide)'!BS$6:BS$105)+SUMIF(Capacity_Resource,$F144,'Critical resources (hide)'!BS$6:BS$105)&gt;0,$E$1=2),0,1)</f>
        <v>1</v>
      </c>
      <c r="BG144" s="68">
        <f ca="1">IF(AND(SUMIF(Capacity_Resource,$D144,'Critical resources (hide)'!BT$6:BT$105)+SUMIF(Capacity_Resource,$E144,'Critical resources (hide)'!BT$6:BT$105)+SUMIF(Capacity_Resource,$F144,'Critical resources (hide)'!BT$6:BT$105)&gt;0,$E$1=2),0,1)</f>
        <v>1</v>
      </c>
      <c r="BH144" s="68">
        <f>IF(ROW(A33)&lt;=Capacity!$M$16,IF('Capacity summary'!$C$14="No",SUM(H144:BG144),'Capacity summary'!$E56),0)</f>
        <v>0</v>
      </c>
      <c r="BI144" s="68" t="str">
        <f>IF(BH144&gt;0,IF(BH144&lt;Capacity!Q49,Capacity!R49,Capacity!T49/'Capacity calculation (hide)'!BH144),"")</f>
        <v/>
      </c>
      <c r="BJ144" s="5"/>
      <c r="BK144" s="5">
        <f>IF($BI144&lt;&gt;"",IF('Capacity summary'!$C$14="Yes",IF(COUNTBLANK('Capacity summary'!$H56:$BG56)&lt;52,IF('Capacity summary'!H56&lt;&gt;"",$BI144*H144,0),H144*$BI144),H144*$BI144),0)</f>
        <v>0</v>
      </c>
      <c r="BL144" s="5">
        <f>IF($BI144&lt;&gt;"",IF('Capacity summary'!$C$14="Yes",IF(COUNTBLANK('Capacity summary'!$H56:$BG56)&lt;52,IF('Capacity summary'!I56&lt;&gt;"",$BI144*I144,0),I144*$BI144),I144*$BI144),0)</f>
        <v>0</v>
      </c>
      <c r="BM144" s="5">
        <f>IF($BI144&lt;&gt;"",IF('Capacity summary'!$C$14="Yes",IF(COUNTBLANK('Capacity summary'!$H56:$BG56)&lt;52,IF('Capacity summary'!J56&lt;&gt;"",$BI144*J144,0),J144*$BI144),J144*$BI144),0)</f>
        <v>0</v>
      </c>
      <c r="BN144" s="5">
        <f>IF($BI144&lt;&gt;"",IF('Capacity summary'!$C$14="Yes",IF(COUNTBLANK('Capacity summary'!$H56:$BG56)&lt;52,IF('Capacity summary'!K56&lt;&gt;"",$BI144*K144,0),K144*$BI144),K144*$BI144),0)</f>
        <v>0</v>
      </c>
      <c r="BO144" s="5">
        <f>IF($BI144&lt;&gt;"",IF('Capacity summary'!$C$14="Yes",IF(COUNTBLANK('Capacity summary'!$H56:$BG56)&lt;52,IF('Capacity summary'!L56&lt;&gt;"",$BI144*L144,0),L144*$BI144),L144*$BI144),0)</f>
        <v>0</v>
      </c>
      <c r="BP144" s="5">
        <f>IF($BI144&lt;&gt;"",IF('Capacity summary'!$C$14="Yes",IF(COUNTBLANK('Capacity summary'!$H56:$BG56)&lt;52,IF('Capacity summary'!M56&lt;&gt;"",$BI144*M144,0),M144*$BI144),M144*$BI144),0)</f>
        <v>0</v>
      </c>
      <c r="BQ144" s="5">
        <f>IF($BI144&lt;&gt;"",IF('Capacity summary'!$C$14="Yes",IF(COUNTBLANK('Capacity summary'!$H56:$BG56)&lt;52,IF('Capacity summary'!N56&lt;&gt;"",$BI144*N144,0),N144*$BI144),N144*$BI144),0)</f>
        <v>0</v>
      </c>
      <c r="BR144" s="5">
        <f>IF($BI144&lt;&gt;"",IF('Capacity summary'!$C$14="Yes",IF(COUNTBLANK('Capacity summary'!$H56:$BG56)&lt;52,IF('Capacity summary'!O56&lt;&gt;"",$BI144*O144,0),O144*$BI144),O144*$BI144),0)</f>
        <v>0</v>
      </c>
      <c r="BS144" s="5">
        <f>IF($BI144&lt;&gt;"",IF('Capacity summary'!$C$14="Yes",IF(COUNTBLANK('Capacity summary'!$H56:$BG56)&lt;52,IF('Capacity summary'!P56&lt;&gt;"",$BI144*P144,0),P144*$BI144),P144*$BI144),0)</f>
        <v>0</v>
      </c>
      <c r="BT144" s="5">
        <f>IF($BI144&lt;&gt;"",IF('Capacity summary'!$C$14="Yes",IF(COUNTBLANK('Capacity summary'!$H56:$BG56)&lt;52,IF('Capacity summary'!Q56&lt;&gt;"",$BI144*Q144,0),Q144*$BI144),Q144*$BI144),0)</f>
        <v>0</v>
      </c>
      <c r="BU144" s="5">
        <f>IF($BI144&lt;&gt;"",IF('Capacity summary'!$C$14="Yes",IF(COUNTBLANK('Capacity summary'!$H56:$BG56)&lt;52,IF('Capacity summary'!R56&lt;&gt;"",$BI144*R144,0),R144*$BI144),R144*$BI144),0)</f>
        <v>0</v>
      </c>
      <c r="BV144" s="5">
        <f>IF($BI144&lt;&gt;"",IF('Capacity summary'!$C$14="Yes",IF(COUNTBLANK('Capacity summary'!$H56:$BG56)&lt;52,IF('Capacity summary'!S56&lt;&gt;"",$BI144*S144,0),S144*$BI144),S144*$BI144),0)</f>
        <v>0</v>
      </c>
      <c r="BW144" s="5">
        <f>IF($BI144&lt;&gt;"",IF('Capacity summary'!$C$14="Yes",IF(COUNTBLANK('Capacity summary'!$H56:$BG56)&lt;52,IF('Capacity summary'!T56&lt;&gt;"",$BI144*T144,0),T144*$BI144),T144*$BI144),0)</f>
        <v>0</v>
      </c>
      <c r="BX144" s="5">
        <f>IF($BI144&lt;&gt;"",IF('Capacity summary'!$C$14="Yes",IF(COUNTBLANK('Capacity summary'!$H56:$BG56)&lt;52,IF('Capacity summary'!U56&lt;&gt;"",$BI144*U144,0),U144*$BI144),U144*$BI144),0)</f>
        <v>0</v>
      </c>
      <c r="BY144" s="5">
        <f>IF($BI144&lt;&gt;"",IF('Capacity summary'!$C$14="Yes",IF(COUNTBLANK('Capacity summary'!$H56:$BG56)&lt;52,IF('Capacity summary'!V56&lt;&gt;"",$BI144*V144,0),V144*$BI144),V144*$BI144),0)</f>
        <v>0</v>
      </c>
      <c r="BZ144" s="5">
        <f>IF($BI144&lt;&gt;"",IF('Capacity summary'!$C$14="Yes",IF(COUNTBLANK('Capacity summary'!$H56:$BG56)&lt;52,IF('Capacity summary'!W56&lt;&gt;"",$BI144*W144,0),W144*$BI144),W144*$BI144),0)</f>
        <v>0</v>
      </c>
      <c r="CA144" s="5">
        <f>IF($BI144&lt;&gt;"",IF('Capacity summary'!$C$14="Yes",IF(COUNTBLANK('Capacity summary'!$H56:$BG56)&lt;52,IF('Capacity summary'!X56&lt;&gt;"",$BI144*X144,0),X144*$BI144),X144*$BI144),0)</f>
        <v>0</v>
      </c>
      <c r="CB144" s="5">
        <f>IF($BI144&lt;&gt;"",IF('Capacity summary'!$C$14="Yes",IF(COUNTBLANK('Capacity summary'!$H56:$BG56)&lt;52,IF('Capacity summary'!Y56&lt;&gt;"",$BI144*Y144,0),Y144*$BI144),Y144*$BI144),0)</f>
        <v>0</v>
      </c>
      <c r="CC144" s="5">
        <f>IF($BI144&lt;&gt;"",IF('Capacity summary'!$C$14="Yes",IF(COUNTBLANK('Capacity summary'!$H56:$BG56)&lt;52,IF('Capacity summary'!Z56&lt;&gt;"",$BI144*Z144,0),Z144*$BI144),Z144*$BI144),0)</f>
        <v>0</v>
      </c>
      <c r="CD144" s="5">
        <f>IF($BI144&lt;&gt;"",IF('Capacity summary'!$C$14="Yes",IF(COUNTBLANK('Capacity summary'!$H56:$BG56)&lt;52,IF('Capacity summary'!AA56&lt;&gt;"",$BI144*AA144,0),AA144*$BI144),AA144*$BI144),0)</f>
        <v>0</v>
      </c>
      <c r="CE144" s="5">
        <f>IF($BI144&lt;&gt;"",IF('Capacity summary'!$C$14="Yes",IF(COUNTBLANK('Capacity summary'!$H56:$BG56)&lt;52,IF('Capacity summary'!AB56&lt;&gt;"",$BI144*AB144,0),AB144*$BI144),AB144*$BI144),0)</f>
        <v>0</v>
      </c>
      <c r="CF144" s="5">
        <f>IF($BI144&lt;&gt;"",IF('Capacity summary'!$C$14="Yes",IF(COUNTBLANK('Capacity summary'!$H56:$BG56)&lt;52,IF('Capacity summary'!AC56&lt;&gt;"",$BI144*AC144,0),AC144*$BI144),AC144*$BI144),0)</f>
        <v>0</v>
      </c>
      <c r="CG144" s="5">
        <f>IF($BI144&lt;&gt;"",IF('Capacity summary'!$C$14="Yes",IF(COUNTBLANK('Capacity summary'!$H56:$BG56)&lt;52,IF('Capacity summary'!AD56&lt;&gt;"",$BI144*AD144,0),AD144*$BI144),AD144*$BI144),0)</f>
        <v>0</v>
      </c>
      <c r="CH144" s="5">
        <f>IF($BI144&lt;&gt;"",IF('Capacity summary'!$C$14="Yes",IF(COUNTBLANK('Capacity summary'!$H56:$BG56)&lt;52,IF('Capacity summary'!AE56&lt;&gt;"",$BI144*AE144,0),AE144*$BI144),AE144*$BI144),0)</f>
        <v>0</v>
      </c>
      <c r="CI144" s="5">
        <f>IF($BI144&lt;&gt;"",IF('Capacity summary'!$C$14="Yes",IF(COUNTBLANK('Capacity summary'!$H56:$BG56)&lt;52,IF('Capacity summary'!AF56&lt;&gt;"",$BI144*AF144,0),AF144*$BI144),AF144*$BI144),0)</f>
        <v>0</v>
      </c>
      <c r="CJ144" s="5">
        <f>IF($BI144&lt;&gt;"",IF('Capacity summary'!$C$14="Yes",IF(COUNTBLANK('Capacity summary'!$H56:$BG56)&lt;52,IF('Capacity summary'!AG56&lt;&gt;"",$BI144*AG144,0),AG144*$BI144),AG144*$BI144),0)</f>
        <v>0</v>
      </c>
      <c r="CK144" s="5">
        <f>IF($BI144&lt;&gt;"",IF('Capacity summary'!$C$14="Yes",IF(COUNTBLANK('Capacity summary'!$H56:$BG56)&lt;52,IF('Capacity summary'!AH56&lt;&gt;"",$BI144*AH144,0),AH144*$BI144),AH144*$BI144),0)</f>
        <v>0</v>
      </c>
      <c r="CL144" s="5">
        <f>IF($BI144&lt;&gt;"",IF('Capacity summary'!$C$14="Yes",IF(COUNTBLANK('Capacity summary'!$H56:$BG56)&lt;52,IF('Capacity summary'!AI56&lt;&gt;"",$BI144*AI144,0),AI144*$BI144),AI144*$BI144),0)</f>
        <v>0</v>
      </c>
      <c r="CM144" s="5">
        <f>IF($BI144&lt;&gt;"",IF('Capacity summary'!$C$14="Yes",IF(COUNTBLANK('Capacity summary'!$H56:$BG56)&lt;52,IF('Capacity summary'!AJ56&lt;&gt;"",$BI144*AJ144,0),AJ144*$BI144),AJ144*$BI144),0)</f>
        <v>0</v>
      </c>
      <c r="CN144" s="5">
        <f>IF($BI144&lt;&gt;"",IF('Capacity summary'!$C$14="Yes",IF(COUNTBLANK('Capacity summary'!$H56:$BG56)&lt;52,IF('Capacity summary'!AK56&lt;&gt;"",$BI144*AK144,0),AK144*$BI144),AK144*$BI144),0)</f>
        <v>0</v>
      </c>
      <c r="CO144" s="5">
        <f>IF($BI144&lt;&gt;"",IF('Capacity summary'!$C$14="Yes",IF(COUNTBLANK('Capacity summary'!$H56:$BG56)&lt;52,IF('Capacity summary'!AL56&lt;&gt;"",$BI144*AL144,0),AL144*$BI144),AL144*$BI144),0)</f>
        <v>0</v>
      </c>
      <c r="CP144" s="5">
        <f>IF($BI144&lt;&gt;"",IF('Capacity summary'!$C$14="Yes",IF(COUNTBLANK('Capacity summary'!$H56:$BG56)&lt;52,IF('Capacity summary'!AM56&lt;&gt;"",$BI144*AM144,0),AM144*$BI144),AM144*$BI144),0)</f>
        <v>0</v>
      </c>
      <c r="CQ144" s="5">
        <f>IF($BI144&lt;&gt;"",IF('Capacity summary'!$C$14="Yes",IF(COUNTBLANK('Capacity summary'!$H56:$BG56)&lt;52,IF('Capacity summary'!AN56&lt;&gt;"",$BI144*AN144,0),AN144*$BI144),AN144*$BI144),0)</f>
        <v>0</v>
      </c>
      <c r="CR144" s="5">
        <f>IF($BI144&lt;&gt;"",IF('Capacity summary'!$C$14="Yes",IF(COUNTBLANK('Capacity summary'!$H56:$BG56)&lt;52,IF('Capacity summary'!AO56&lt;&gt;"",$BI144*AO144,0),AO144*$BI144),AO144*$BI144),0)</f>
        <v>0</v>
      </c>
      <c r="CS144" s="5">
        <f>IF($BI144&lt;&gt;"",IF('Capacity summary'!$C$14="Yes",IF(COUNTBLANK('Capacity summary'!$H56:$BG56)&lt;52,IF('Capacity summary'!AP56&lt;&gt;"",$BI144*AP144,0),AP144*$BI144),AP144*$BI144),0)</f>
        <v>0</v>
      </c>
      <c r="CT144" s="5">
        <f>IF($BI144&lt;&gt;"",IF('Capacity summary'!$C$14="Yes",IF(COUNTBLANK('Capacity summary'!$H56:$BG56)&lt;52,IF('Capacity summary'!AQ56&lt;&gt;"",$BI144*AQ144,0),AQ144*$BI144),AQ144*$BI144),0)</f>
        <v>0</v>
      </c>
      <c r="CU144" s="5">
        <f>IF($BI144&lt;&gt;"",IF('Capacity summary'!$C$14="Yes",IF(COUNTBLANK('Capacity summary'!$H56:$BG56)&lt;52,IF('Capacity summary'!AR56&lt;&gt;"",$BI144*AR144,0),AR144*$BI144),AR144*$BI144),0)</f>
        <v>0</v>
      </c>
      <c r="CV144" s="5">
        <f>IF($BI144&lt;&gt;"",IF('Capacity summary'!$C$14="Yes",IF(COUNTBLANK('Capacity summary'!$H56:$BG56)&lt;52,IF('Capacity summary'!AS56&lt;&gt;"",$BI144*AS144,0),AS144*$BI144),AS144*$BI144),0)</f>
        <v>0</v>
      </c>
      <c r="CW144" s="5">
        <f>IF($BI144&lt;&gt;"",IF('Capacity summary'!$C$14="Yes",IF(COUNTBLANK('Capacity summary'!$H56:$BG56)&lt;52,IF('Capacity summary'!AT56&lt;&gt;"",$BI144*AT144,0),AT144*$BI144),AT144*$BI144),0)</f>
        <v>0</v>
      </c>
      <c r="CX144" s="5">
        <f>IF($BI144&lt;&gt;"",IF('Capacity summary'!$C$14="Yes",IF(COUNTBLANK('Capacity summary'!$H56:$BG56)&lt;52,IF('Capacity summary'!AU56&lt;&gt;"",$BI144*AU144,0),AU144*$BI144),AU144*$BI144),0)</f>
        <v>0</v>
      </c>
      <c r="CY144" s="5">
        <f>IF($BI144&lt;&gt;"",IF('Capacity summary'!$C$14="Yes",IF(COUNTBLANK('Capacity summary'!$H56:$BG56)&lt;52,IF('Capacity summary'!AV56&lt;&gt;"",$BI144*AV144,0),AV144*$BI144),AV144*$BI144),0)</f>
        <v>0</v>
      </c>
      <c r="CZ144" s="5">
        <f>IF($BI144&lt;&gt;"",IF('Capacity summary'!$C$14="Yes",IF(COUNTBLANK('Capacity summary'!$H56:$BG56)&lt;52,IF('Capacity summary'!AW56&lt;&gt;"",$BI144*AW144,0),AW144*$BI144),AW144*$BI144),0)</f>
        <v>0</v>
      </c>
      <c r="DA144" s="5">
        <f>IF($BI144&lt;&gt;"",IF('Capacity summary'!$C$14="Yes",IF(COUNTBLANK('Capacity summary'!$H56:$BG56)&lt;52,IF('Capacity summary'!AX56&lt;&gt;"",$BI144*AX144,0),AX144*$BI144),AX144*$BI144),0)</f>
        <v>0</v>
      </c>
      <c r="DB144" s="5">
        <f>IF($BI144&lt;&gt;"",IF('Capacity summary'!$C$14="Yes",IF(COUNTBLANK('Capacity summary'!$H56:$BG56)&lt;52,IF('Capacity summary'!AY56&lt;&gt;"",$BI144*AY144,0),AY144*$BI144),AY144*$BI144),0)</f>
        <v>0</v>
      </c>
      <c r="DC144" s="5">
        <f>IF($BI144&lt;&gt;"",IF('Capacity summary'!$C$14="Yes",IF(COUNTBLANK('Capacity summary'!$H56:$BG56)&lt;52,IF('Capacity summary'!AZ56&lt;&gt;"",$BI144*AZ144,0),AZ144*$BI144),AZ144*$BI144),0)</f>
        <v>0</v>
      </c>
      <c r="DD144" s="5">
        <f>IF($BI144&lt;&gt;"",IF('Capacity summary'!$C$14="Yes",IF(COUNTBLANK('Capacity summary'!$H56:$BG56)&lt;52,IF('Capacity summary'!BA56&lt;&gt;"",$BI144*BA144,0),BA144*$BI144),BA144*$BI144),0)</f>
        <v>0</v>
      </c>
      <c r="DE144" s="5">
        <f>IF($BI144&lt;&gt;"",IF('Capacity summary'!$C$14="Yes",IF(COUNTBLANK('Capacity summary'!$H56:$BG56)&lt;52,IF('Capacity summary'!BB56&lt;&gt;"",$BI144*BB144,0),BB144*$BI144),BB144*$BI144),0)</f>
        <v>0</v>
      </c>
      <c r="DF144" s="5">
        <f>IF($BI144&lt;&gt;"",IF('Capacity summary'!$C$14="Yes",IF(COUNTBLANK('Capacity summary'!$H56:$BG56)&lt;52,IF('Capacity summary'!BC56&lt;&gt;"",$BI144*BC144,0),BC144*$BI144),BC144*$BI144),0)</f>
        <v>0</v>
      </c>
      <c r="DG144" s="5">
        <f>IF($BI144&lt;&gt;"",IF('Capacity summary'!$C$14="Yes",IF(COUNTBLANK('Capacity summary'!$H56:$BG56)&lt;52,IF('Capacity summary'!BD56&lt;&gt;"",$BI144*BD144,0),BD144*$BI144),BD144*$BI144),0)</f>
        <v>0</v>
      </c>
      <c r="DH144" s="5">
        <f>IF($BI144&lt;&gt;"",IF('Capacity summary'!$C$14="Yes",IF(COUNTBLANK('Capacity summary'!$H56:$BG56)&lt;52,IF('Capacity summary'!BE56&lt;&gt;"",$BI144*BE144,0),BE144*$BI144),BE144*$BI144),0)</f>
        <v>0</v>
      </c>
      <c r="DI144" s="5">
        <f>IF($BI144&lt;&gt;"",IF('Capacity summary'!$C$14="Yes",IF(COUNTBLANK('Capacity summary'!$H56:$BG56)&lt;52,IF('Capacity summary'!BF56&lt;&gt;"",$BI144*BF144,0),BF144*$BI144),BF144*$BI144),0)</f>
        <v>0</v>
      </c>
      <c r="DJ144" s="5">
        <f>IF($BI144&lt;&gt;"",IF('Capacity summary'!$C$14="Yes",IF(COUNTBLANK('Capacity summary'!$H56:$BG56)&lt;52,IF('Capacity summary'!BG56&lt;&gt;"",$BI144*BG144,0),BG144*$BI144),BG144*$BI144),0)</f>
        <v>0</v>
      </c>
      <c r="DK144" s="138">
        <f t="shared" si="6"/>
        <v>0</v>
      </c>
    </row>
    <row r="145" spans="3:115" x14ac:dyDescent="0.2">
      <c r="C145" s="68" t="str">
        <f>ROW(A34)&amp;". "&amp;Capacity!N50</f>
        <v xml:space="preserve">34. </v>
      </c>
      <c r="D145" s="68">
        <f>'Capacity setup'!C151</f>
        <v>0</v>
      </c>
      <c r="E145" s="68">
        <f>'Capacity setup'!D151</f>
        <v>0</v>
      </c>
      <c r="F145" s="68">
        <f>'Capacity setup'!E151</f>
        <v>0</v>
      </c>
      <c r="H145" s="68">
        <f ca="1">IF(AND(SUMIF(Capacity_Resource,$D145,'Critical resources (hide)'!U$6:U$105)+SUMIF(Capacity_Resource,$E145,'Critical resources (hide)'!U$6:U$105)+SUMIF(Capacity_Resource,$F145,'Critical resources (hide)'!U$6:U$105)&gt;0,$E$1=2),0,1)</f>
        <v>1</v>
      </c>
      <c r="I145" s="68">
        <f ca="1">IF(AND(SUMIF(Capacity_Resource,$D145,'Critical resources (hide)'!V$6:V$105)+SUMIF(Capacity_Resource,$E145,'Critical resources (hide)'!V$6:V$105)+SUMIF(Capacity_Resource,$F145,'Critical resources (hide)'!V$6:V$105)&gt;0,$E$1=2),0,1)</f>
        <v>1</v>
      </c>
      <c r="J145" s="68">
        <f ca="1">IF(AND(SUMIF(Capacity_Resource,$D145,'Critical resources (hide)'!W$6:W$105)+SUMIF(Capacity_Resource,$E145,'Critical resources (hide)'!W$6:W$105)+SUMIF(Capacity_Resource,$F145,'Critical resources (hide)'!W$6:W$105)&gt;0,$E$1=2),0,1)</f>
        <v>1</v>
      </c>
      <c r="K145" s="68">
        <f ca="1">IF(AND(SUMIF(Capacity_Resource,$D145,'Critical resources (hide)'!X$6:X$105)+SUMIF(Capacity_Resource,$E145,'Critical resources (hide)'!X$6:X$105)+SUMIF(Capacity_Resource,$F145,'Critical resources (hide)'!X$6:X$105)&gt;0,$E$1=2),0,1)</f>
        <v>1</v>
      </c>
      <c r="L145" s="68">
        <f ca="1">IF(AND(SUMIF(Capacity_Resource,$D145,'Critical resources (hide)'!Y$6:Y$105)+SUMIF(Capacity_Resource,$E145,'Critical resources (hide)'!Y$6:Y$105)+SUMIF(Capacity_Resource,$F145,'Critical resources (hide)'!Y$6:Y$105)&gt;0,$E$1=2),0,1)</f>
        <v>1</v>
      </c>
      <c r="M145" s="68">
        <f ca="1">IF(AND(SUMIF(Capacity_Resource,$D145,'Critical resources (hide)'!Z$6:Z$105)+SUMIF(Capacity_Resource,$E145,'Critical resources (hide)'!Z$6:Z$105)+SUMIF(Capacity_Resource,$F145,'Critical resources (hide)'!Z$6:Z$105)&gt;0,$E$1=2),0,1)</f>
        <v>1</v>
      </c>
      <c r="N145" s="68">
        <f ca="1">IF(AND(SUMIF(Capacity_Resource,$D145,'Critical resources (hide)'!AA$6:AA$105)+SUMIF(Capacity_Resource,$E145,'Critical resources (hide)'!AA$6:AA$105)+SUMIF(Capacity_Resource,$F145,'Critical resources (hide)'!AA$6:AA$105)&gt;0,$E$1=2),0,1)</f>
        <v>1</v>
      </c>
      <c r="O145" s="68">
        <f ca="1">IF(AND(SUMIF(Capacity_Resource,$D145,'Critical resources (hide)'!AB$6:AB$105)+SUMIF(Capacity_Resource,$E145,'Critical resources (hide)'!AB$6:AB$105)+SUMIF(Capacity_Resource,$F145,'Critical resources (hide)'!AB$6:AB$105)&gt;0,$E$1=2),0,1)</f>
        <v>1</v>
      </c>
      <c r="P145" s="68">
        <f ca="1">IF(AND(SUMIF(Capacity_Resource,$D145,'Critical resources (hide)'!AC$6:AC$105)+SUMIF(Capacity_Resource,$E145,'Critical resources (hide)'!AC$6:AC$105)+SUMIF(Capacity_Resource,$F145,'Critical resources (hide)'!AC$6:AC$105)&gt;0,$E$1=2),0,1)</f>
        <v>1</v>
      </c>
      <c r="Q145" s="68">
        <f ca="1">IF(AND(SUMIF(Capacity_Resource,$D145,'Critical resources (hide)'!AD$6:AD$105)+SUMIF(Capacity_Resource,$E145,'Critical resources (hide)'!AD$6:AD$105)+SUMIF(Capacity_Resource,$F145,'Critical resources (hide)'!AD$6:AD$105)&gt;0,$E$1=2),0,1)</f>
        <v>1</v>
      </c>
      <c r="R145" s="68">
        <f ca="1">IF(AND(SUMIF(Capacity_Resource,$D145,'Critical resources (hide)'!AE$6:AE$105)+SUMIF(Capacity_Resource,$E145,'Critical resources (hide)'!AE$6:AE$105)+SUMIF(Capacity_Resource,$F145,'Critical resources (hide)'!AE$6:AE$105)&gt;0,$E$1=2),0,1)</f>
        <v>1</v>
      </c>
      <c r="S145" s="68">
        <f ca="1">IF(AND(SUMIF(Capacity_Resource,$D145,'Critical resources (hide)'!AF$6:AF$105)+SUMIF(Capacity_Resource,$E145,'Critical resources (hide)'!AF$6:AF$105)+SUMIF(Capacity_Resource,$F145,'Critical resources (hide)'!AF$6:AF$105)&gt;0,$E$1=2),0,1)</f>
        <v>1</v>
      </c>
      <c r="T145" s="68">
        <f ca="1">IF(AND(SUMIF(Capacity_Resource,$D145,'Critical resources (hide)'!AG$6:AG$105)+SUMIF(Capacity_Resource,$E145,'Critical resources (hide)'!AG$6:AG$105)+SUMIF(Capacity_Resource,$F145,'Critical resources (hide)'!AG$6:AG$105)&gt;0,$E$1=2),0,1)</f>
        <v>1</v>
      </c>
      <c r="U145" s="68">
        <f ca="1">IF(AND(SUMIF(Capacity_Resource,$D145,'Critical resources (hide)'!AH$6:AH$105)+SUMIF(Capacity_Resource,$E145,'Critical resources (hide)'!AH$6:AH$105)+SUMIF(Capacity_Resource,$F145,'Critical resources (hide)'!AH$6:AH$105)&gt;0,$E$1=2),0,1)</f>
        <v>1</v>
      </c>
      <c r="V145" s="68">
        <f ca="1">IF(AND(SUMIF(Capacity_Resource,$D145,'Critical resources (hide)'!AI$6:AI$105)+SUMIF(Capacity_Resource,$E145,'Critical resources (hide)'!AI$6:AI$105)+SUMIF(Capacity_Resource,$F145,'Critical resources (hide)'!AI$6:AI$105)&gt;0,$E$1=2),0,1)</f>
        <v>1</v>
      </c>
      <c r="W145" s="68">
        <f ca="1">IF(AND(SUMIF(Capacity_Resource,$D145,'Critical resources (hide)'!AJ$6:AJ$105)+SUMIF(Capacity_Resource,$E145,'Critical resources (hide)'!AJ$6:AJ$105)+SUMIF(Capacity_Resource,$F145,'Critical resources (hide)'!AJ$6:AJ$105)&gt;0,$E$1=2),0,1)</f>
        <v>1</v>
      </c>
      <c r="X145" s="68">
        <f ca="1">IF(AND(SUMIF(Capacity_Resource,$D145,'Critical resources (hide)'!AK$6:AK$105)+SUMIF(Capacity_Resource,$E145,'Critical resources (hide)'!AK$6:AK$105)+SUMIF(Capacity_Resource,$F145,'Critical resources (hide)'!AK$6:AK$105)&gt;0,$E$1=2),0,1)</f>
        <v>1</v>
      </c>
      <c r="Y145" s="68">
        <f ca="1">IF(AND(SUMIF(Capacity_Resource,$D145,'Critical resources (hide)'!AL$6:AL$105)+SUMIF(Capacity_Resource,$E145,'Critical resources (hide)'!AL$6:AL$105)+SUMIF(Capacity_Resource,$F145,'Critical resources (hide)'!AL$6:AL$105)&gt;0,$E$1=2),0,1)</f>
        <v>1</v>
      </c>
      <c r="Z145" s="68">
        <f ca="1">IF(AND(SUMIF(Capacity_Resource,$D145,'Critical resources (hide)'!AM$6:AM$105)+SUMIF(Capacity_Resource,$E145,'Critical resources (hide)'!AM$6:AM$105)+SUMIF(Capacity_Resource,$F145,'Critical resources (hide)'!AM$6:AM$105)&gt;0,$E$1=2),0,1)</f>
        <v>1</v>
      </c>
      <c r="AA145" s="68">
        <f ca="1">IF(AND(SUMIF(Capacity_Resource,$D145,'Critical resources (hide)'!AN$6:AN$105)+SUMIF(Capacity_Resource,$E145,'Critical resources (hide)'!AN$6:AN$105)+SUMIF(Capacity_Resource,$F145,'Critical resources (hide)'!AN$6:AN$105)&gt;0,$E$1=2),0,1)</f>
        <v>1</v>
      </c>
      <c r="AB145" s="68">
        <f ca="1">IF(AND(SUMIF(Capacity_Resource,$D145,'Critical resources (hide)'!AO$6:AO$105)+SUMIF(Capacity_Resource,$E145,'Critical resources (hide)'!AO$6:AO$105)+SUMIF(Capacity_Resource,$F145,'Critical resources (hide)'!AO$6:AO$105)&gt;0,$E$1=2),0,1)</f>
        <v>1</v>
      </c>
      <c r="AC145" s="68">
        <f ca="1">IF(AND(SUMIF(Capacity_Resource,$D145,'Critical resources (hide)'!AP$6:AP$105)+SUMIF(Capacity_Resource,$E145,'Critical resources (hide)'!AP$6:AP$105)+SUMIF(Capacity_Resource,$F145,'Critical resources (hide)'!AP$6:AP$105)&gt;0,$E$1=2),0,1)</f>
        <v>1</v>
      </c>
      <c r="AD145" s="68">
        <f ca="1">IF(AND(SUMIF(Capacity_Resource,$D145,'Critical resources (hide)'!AQ$6:AQ$105)+SUMIF(Capacity_Resource,$E145,'Critical resources (hide)'!AQ$6:AQ$105)+SUMIF(Capacity_Resource,$F145,'Critical resources (hide)'!AQ$6:AQ$105)&gt;0,$E$1=2),0,1)</f>
        <v>1</v>
      </c>
      <c r="AE145" s="68">
        <f ca="1">IF(AND(SUMIF(Capacity_Resource,$D145,'Critical resources (hide)'!AR$6:AR$105)+SUMIF(Capacity_Resource,$E145,'Critical resources (hide)'!AR$6:AR$105)+SUMIF(Capacity_Resource,$F145,'Critical resources (hide)'!AR$6:AR$105)&gt;0,$E$1=2),0,1)</f>
        <v>1</v>
      </c>
      <c r="AF145" s="68">
        <f ca="1">IF(AND(SUMIF(Capacity_Resource,$D145,'Critical resources (hide)'!AS$6:AS$105)+SUMIF(Capacity_Resource,$E145,'Critical resources (hide)'!AS$6:AS$105)+SUMIF(Capacity_Resource,$F145,'Critical resources (hide)'!AS$6:AS$105)&gt;0,$E$1=2),0,1)</f>
        <v>1</v>
      </c>
      <c r="AG145" s="68">
        <f ca="1">IF(AND(SUMIF(Capacity_Resource,$D145,'Critical resources (hide)'!AT$6:AT$105)+SUMIF(Capacity_Resource,$E145,'Critical resources (hide)'!AT$6:AT$105)+SUMIF(Capacity_Resource,$F145,'Critical resources (hide)'!AT$6:AT$105)&gt;0,$E$1=2),0,1)</f>
        <v>1</v>
      </c>
      <c r="AH145" s="68">
        <f ca="1">IF(AND(SUMIF(Capacity_Resource,$D145,'Critical resources (hide)'!AU$6:AU$105)+SUMIF(Capacity_Resource,$E145,'Critical resources (hide)'!AU$6:AU$105)+SUMIF(Capacity_Resource,$F145,'Critical resources (hide)'!AU$6:AU$105)&gt;0,$E$1=2),0,1)</f>
        <v>1</v>
      </c>
      <c r="AI145" s="68">
        <f ca="1">IF(AND(SUMIF(Capacity_Resource,$D145,'Critical resources (hide)'!AV$6:AV$105)+SUMIF(Capacity_Resource,$E145,'Critical resources (hide)'!AV$6:AV$105)+SUMIF(Capacity_Resource,$F145,'Critical resources (hide)'!AV$6:AV$105)&gt;0,$E$1=2),0,1)</f>
        <v>1</v>
      </c>
      <c r="AJ145" s="68">
        <f ca="1">IF(AND(SUMIF(Capacity_Resource,$D145,'Critical resources (hide)'!AW$6:AW$105)+SUMIF(Capacity_Resource,$E145,'Critical resources (hide)'!AW$6:AW$105)+SUMIF(Capacity_Resource,$F145,'Critical resources (hide)'!AW$6:AW$105)&gt;0,$E$1=2),0,1)</f>
        <v>1</v>
      </c>
      <c r="AK145" s="68">
        <f ca="1">IF(AND(SUMIF(Capacity_Resource,$D145,'Critical resources (hide)'!AX$6:AX$105)+SUMIF(Capacity_Resource,$E145,'Critical resources (hide)'!AX$6:AX$105)+SUMIF(Capacity_Resource,$F145,'Critical resources (hide)'!AX$6:AX$105)&gt;0,$E$1=2),0,1)</f>
        <v>1</v>
      </c>
      <c r="AL145" s="68">
        <f ca="1">IF(AND(SUMIF(Capacity_Resource,$D145,'Critical resources (hide)'!AY$6:AY$105)+SUMIF(Capacity_Resource,$E145,'Critical resources (hide)'!AY$6:AY$105)+SUMIF(Capacity_Resource,$F145,'Critical resources (hide)'!AY$6:AY$105)&gt;0,$E$1=2),0,1)</f>
        <v>1</v>
      </c>
      <c r="AM145" s="68">
        <f ca="1">IF(AND(SUMIF(Capacity_Resource,$D145,'Critical resources (hide)'!AZ$6:AZ$105)+SUMIF(Capacity_Resource,$E145,'Critical resources (hide)'!AZ$6:AZ$105)+SUMIF(Capacity_Resource,$F145,'Critical resources (hide)'!AZ$6:AZ$105)&gt;0,$E$1=2),0,1)</f>
        <v>1</v>
      </c>
      <c r="AN145" s="68">
        <f ca="1">IF(AND(SUMIF(Capacity_Resource,$D145,'Critical resources (hide)'!BA$6:BA$105)+SUMIF(Capacity_Resource,$E145,'Critical resources (hide)'!BA$6:BA$105)+SUMIF(Capacity_Resource,$F145,'Critical resources (hide)'!BA$6:BA$105)&gt;0,$E$1=2),0,1)</f>
        <v>1</v>
      </c>
      <c r="AO145" s="68">
        <f ca="1">IF(AND(SUMIF(Capacity_Resource,$D145,'Critical resources (hide)'!BB$6:BB$105)+SUMIF(Capacity_Resource,$E145,'Critical resources (hide)'!BB$6:BB$105)+SUMIF(Capacity_Resource,$F145,'Critical resources (hide)'!BB$6:BB$105)&gt;0,$E$1=2),0,1)</f>
        <v>1</v>
      </c>
      <c r="AP145" s="68">
        <f ca="1">IF(AND(SUMIF(Capacity_Resource,$D145,'Critical resources (hide)'!BC$6:BC$105)+SUMIF(Capacity_Resource,$E145,'Critical resources (hide)'!BC$6:BC$105)+SUMIF(Capacity_Resource,$F145,'Critical resources (hide)'!BC$6:BC$105)&gt;0,$E$1=2),0,1)</f>
        <v>1</v>
      </c>
      <c r="AQ145" s="68">
        <f ca="1">IF(AND(SUMIF(Capacity_Resource,$D145,'Critical resources (hide)'!BD$6:BD$105)+SUMIF(Capacity_Resource,$E145,'Critical resources (hide)'!BD$6:BD$105)+SUMIF(Capacity_Resource,$F145,'Critical resources (hide)'!BD$6:BD$105)&gt;0,$E$1=2),0,1)</f>
        <v>1</v>
      </c>
      <c r="AR145" s="68">
        <f ca="1">IF(AND(SUMIF(Capacity_Resource,$D145,'Critical resources (hide)'!BE$6:BE$105)+SUMIF(Capacity_Resource,$E145,'Critical resources (hide)'!BE$6:BE$105)+SUMIF(Capacity_Resource,$F145,'Critical resources (hide)'!BE$6:BE$105)&gt;0,$E$1=2),0,1)</f>
        <v>1</v>
      </c>
      <c r="AS145" s="68">
        <f ca="1">IF(AND(SUMIF(Capacity_Resource,$D145,'Critical resources (hide)'!BF$6:BF$105)+SUMIF(Capacity_Resource,$E145,'Critical resources (hide)'!BF$6:BF$105)+SUMIF(Capacity_Resource,$F145,'Critical resources (hide)'!BF$6:BF$105)&gt;0,$E$1=2),0,1)</f>
        <v>1</v>
      </c>
      <c r="AT145" s="68">
        <f ca="1">IF(AND(SUMIF(Capacity_Resource,$D145,'Critical resources (hide)'!BG$6:BG$105)+SUMIF(Capacity_Resource,$E145,'Critical resources (hide)'!BG$6:BG$105)+SUMIF(Capacity_Resource,$F145,'Critical resources (hide)'!BG$6:BG$105)&gt;0,$E$1=2),0,1)</f>
        <v>1</v>
      </c>
      <c r="AU145" s="68">
        <f ca="1">IF(AND(SUMIF(Capacity_Resource,$D145,'Critical resources (hide)'!BH$6:BH$105)+SUMIF(Capacity_Resource,$E145,'Critical resources (hide)'!BH$6:BH$105)+SUMIF(Capacity_Resource,$F145,'Critical resources (hide)'!BH$6:BH$105)&gt;0,$E$1=2),0,1)</f>
        <v>1</v>
      </c>
      <c r="AV145" s="68">
        <f ca="1">IF(AND(SUMIF(Capacity_Resource,$D145,'Critical resources (hide)'!BI$6:BI$105)+SUMIF(Capacity_Resource,$E145,'Critical resources (hide)'!BI$6:BI$105)+SUMIF(Capacity_Resource,$F145,'Critical resources (hide)'!BI$6:BI$105)&gt;0,$E$1=2),0,1)</f>
        <v>1</v>
      </c>
      <c r="AW145" s="68">
        <f ca="1">IF(AND(SUMIF(Capacity_Resource,$D145,'Critical resources (hide)'!BJ$6:BJ$105)+SUMIF(Capacity_Resource,$E145,'Critical resources (hide)'!BJ$6:BJ$105)+SUMIF(Capacity_Resource,$F145,'Critical resources (hide)'!BJ$6:BJ$105)&gt;0,$E$1=2),0,1)</f>
        <v>1</v>
      </c>
      <c r="AX145" s="68">
        <f ca="1">IF(AND(SUMIF(Capacity_Resource,$D145,'Critical resources (hide)'!BK$6:BK$105)+SUMIF(Capacity_Resource,$E145,'Critical resources (hide)'!BK$6:BK$105)+SUMIF(Capacity_Resource,$F145,'Critical resources (hide)'!BK$6:BK$105)&gt;0,$E$1=2),0,1)</f>
        <v>1</v>
      </c>
      <c r="AY145" s="68">
        <f ca="1">IF(AND(SUMIF(Capacity_Resource,$D145,'Critical resources (hide)'!BL$6:BL$105)+SUMIF(Capacity_Resource,$E145,'Critical resources (hide)'!BL$6:BL$105)+SUMIF(Capacity_Resource,$F145,'Critical resources (hide)'!BL$6:BL$105)&gt;0,$E$1=2),0,1)</f>
        <v>1</v>
      </c>
      <c r="AZ145" s="68">
        <f ca="1">IF(AND(SUMIF(Capacity_Resource,$D145,'Critical resources (hide)'!BM$6:BM$105)+SUMIF(Capacity_Resource,$E145,'Critical resources (hide)'!BM$6:BM$105)+SUMIF(Capacity_Resource,$F145,'Critical resources (hide)'!BM$6:BM$105)&gt;0,$E$1=2),0,1)</f>
        <v>1</v>
      </c>
      <c r="BA145" s="68">
        <f ca="1">IF(AND(SUMIF(Capacity_Resource,$D145,'Critical resources (hide)'!BN$6:BN$105)+SUMIF(Capacity_Resource,$E145,'Critical resources (hide)'!BN$6:BN$105)+SUMIF(Capacity_Resource,$F145,'Critical resources (hide)'!BN$6:BN$105)&gt;0,$E$1=2),0,1)</f>
        <v>1</v>
      </c>
      <c r="BB145" s="68">
        <f ca="1">IF(AND(SUMIF(Capacity_Resource,$D145,'Critical resources (hide)'!BO$6:BO$105)+SUMIF(Capacity_Resource,$E145,'Critical resources (hide)'!BO$6:BO$105)+SUMIF(Capacity_Resource,$F145,'Critical resources (hide)'!BO$6:BO$105)&gt;0,$E$1=2),0,1)</f>
        <v>1</v>
      </c>
      <c r="BC145" s="68">
        <f ca="1">IF(AND(SUMIF(Capacity_Resource,$D145,'Critical resources (hide)'!BP$6:BP$105)+SUMIF(Capacity_Resource,$E145,'Critical resources (hide)'!BP$6:BP$105)+SUMIF(Capacity_Resource,$F145,'Critical resources (hide)'!BP$6:BP$105)&gt;0,$E$1=2),0,1)</f>
        <v>1</v>
      </c>
      <c r="BD145" s="68">
        <f ca="1">IF(AND(SUMIF(Capacity_Resource,$D145,'Critical resources (hide)'!BQ$6:BQ$105)+SUMIF(Capacity_Resource,$E145,'Critical resources (hide)'!BQ$6:BQ$105)+SUMIF(Capacity_Resource,$F145,'Critical resources (hide)'!BQ$6:BQ$105)&gt;0,$E$1=2),0,1)</f>
        <v>1</v>
      </c>
      <c r="BE145" s="68">
        <f ca="1">IF(AND(SUMIF(Capacity_Resource,$D145,'Critical resources (hide)'!BR$6:BR$105)+SUMIF(Capacity_Resource,$E145,'Critical resources (hide)'!BR$6:BR$105)+SUMIF(Capacity_Resource,$F145,'Critical resources (hide)'!BR$6:BR$105)&gt;0,$E$1=2),0,1)</f>
        <v>1</v>
      </c>
      <c r="BF145" s="68">
        <f ca="1">IF(AND(SUMIF(Capacity_Resource,$D145,'Critical resources (hide)'!BS$6:BS$105)+SUMIF(Capacity_Resource,$E145,'Critical resources (hide)'!BS$6:BS$105)+SUMIF(Capacity_Resource,$F145,'Critical resources (hide)'!BS$6:BS$105)&gt;0,$E$1=2),0,1)</f>
        <v>1</v>
      </c>
      <c r="BG145" s="68">
        <f ca="1">IF(AND(SUMIF(Capacity_Resource,$D145,'Critical resources (hide)'!BT$6:BT$105)+SUMIF(Capacity_Resource,$E145,'Critical resources (hide)'!BT$6:BT$105)+SUMIF(Capacity_Resource,$F145,'Critical resources (hide)'!BT$6:BT$105)&gt;0,$E$1=2),0,1)</f>
        <v>1</v>
      </c>
      <c r="BH145" s="68">
        <f>IF(ROW(A34)&lt;=Capacity!$M$16,IF('Capacity summary'!$C$14="No",SUM(H145:BG145),'Capacity summary'!$E57),0)</f>
        <v>0</v>
      </c>
      <c r="BI145" s="68" t="str">
        <f>IF(BH145&gt;0,IF(BH145&lt;Capacity!Q50,Capacity!R50,Capacity!T50/'Capacity calculation (hide)'!BH145),"")</f>
        <v/>
      </c>
      <c r="BJ145" s="5"/>
      <c r="BK145" s="5">
        <f>IF($BI145&lt;&gt;"",IF('Capacity summary'!$C$14="Yes",IF(COUNTBLANK('Capacity summary'!$H57:$BG57)&lt;52,IF('Capacity summary'!H57&lt;&gt;"",$BI145*H145,0),H145*$BI145),H145*$BI145),0)</f>
        <v>0</v>
      </c>
      <c r="BL145" s="5">
        <f>IF($BI145&lt;&gt;"",IF('Capacity summary'!$C$14="Yes",IF(COUNTBLANK('Capacity summary'!$H57:$BG57)&lt;52,IF('Capacity summary'!I57&lt;&gt;"",$BI145*I145,0),I145*$BI145),I145*$BI145),0)</f>
        <v>0</v>
      </c>
      <c r="BM145" s="5">
        <f>IF($BI145&lt;&gt;"",IF('Capacity summary'!$C$14="Yes",IF(COUNTBLANK('Capacity summary'!$H57:$BG57)&lt;52,IF('Capacity summary'!J57&lt;&gt;"",$BI145*J145,0),J145*$BI145),J145*$BI145),0)</f>
        <v>0</v>
      </c>
      <c r="BN145" s="5">
        <f>IF($BI145&lt;&gt;"",IF('Capacity summary'!$C$14="Yes",IF(COUNTBLANK('Capacity summary'!$H57:$BG57)&lt;52,IF('Capacity summary'!K57&lt;&gt;"",$BI145*K145,0),K145*$BI145),K145*$BI145),0)</f>
        <v>0</v>
      </c>
      <c r="BO145" s="5">
        <f>IF($BI145&lt;&gt;"",IF('Capacity summary'!$C$14="Yes",IF(COUNTBLANK('Capacity summary'!$H57:$BG57)&lt;52,IF('Capacity summary'!L57&lt;&gt;"",$BI145*L145,0),L145*$BI145),L145*$BI145),0)</f>
        <v>0</v>
      </c>
      <c r="BP145" s="5">
        <f>IF($BI145&lt;&gt;"",IF('Capacity summary'!$C$14="Yes",IF(COUNTBLANK('Capacity summary'!$H57:$BG57)&lt;52,IF('Capacity summary'!M57&lt;&gt;"",$BI145*M145,0),M145*$BI145),M145*$BI145),0)</f>
        <v>0</v>
      </c>
      <c r="BQ145" s="5">
        <f>IF($BI145&lt;&gt;"",IF('Capacity summary'!$C$14="Yes",IF(COUNTBLANK('Capacity summary'!$H57:$BG57)&lt;52,IF('Capacity summary'!N57&lt;&gt;"",$BI145*N145,0),N145*$BI145),N145*$BI145),0)</f>
        <v>0</v>
      </c>
      <c r="BR145" s="5">
        <f>IF($BI145&lt;&gt;"",IF('Capacity summary'!$C$14="Yes",IF(COUNTBLANK('Capacity summary'!$H57:$BG57)&lt;52,IF('Capacity summary'!O57&lt;&gt;"",$BI145*O145,0),O145*$BI145),O145*$BI145),0)</f>
        <v>0</v>
      </c>
      <c r="BS145" s="5">
        <f>IF($BI145&lt;&gt;"",IF('Capacity summary'!$C$14="Yes",IF(COUNTBLANK('Capacity summary'!$H57:$BG57)&lt;52,IF('Capacity summary'!P57&lt;&gt;"",$BI145*P145,0),P145*$BI145),P145*$BI145),0)</f>
        <v>0</v>
      </c>
      <c r="BT145" s="5">
        <f>IF($BI145&lt;&gt;"",IF('Capacity summary'!$C$14="Yes",IF(COUNTBLANK('Capacity summary'!$H57:$BG57)&lt;52,IF('Capacity summary'!Q57&lt;&gt;"",$BI145*Q145,0),Q145*$BI145),Q145*$BI145),0)</f>
        <v>0</v>
      </c>
      <c r="BU145" s="5">
        <f>IF($BI145&lt;&gt;"",IF('Capacity summary'!$C$14="Yes",IF(COUNTBLANK('Capacity summary'!$H57:$BG57)&lt;52,IF('Capacity summary'!R57&lt;&gt;"",$BI145*R145,0),R145*$BI145),R145*$BI145),0)</f>
        <v>0</v>
      </c>
      <c r="BV145" s="5">
        <f>IF($BI145&lt;&gt;"",IF('Capacity summary'!$C$14="Yes",IF(COUNTBLANK('Capacity summary'!$H57:$BG57)&lt;52,IF('Capacity summary'!S57&lt;&gt;"",$BI145*S145,0),S145*$BI145),S145*$BI145),0)</f>
        <v>0</v>
      </c>
      <c r="BW145" s="5">
        <f>IF($BI145&lt;&gt;"",IF('Capacity summary'!$C$14="Yes",IF(COUNTBLANK('Capacity summary'!$H57:$BG57)&lt;52,IF('Capacity summary'!T57&lt;&gt;"",$BI145*T145,0),T145*$BI145),T145*$BI145),0)</f>
        <v>0</v>
      </c>
      <c r="BX145" s="5">
        <f>IF($BI145&lt;&gt;"",IF('Capacity summary'!$C$14="Yes",IF(COUNTBLANK('Capacity summary'!$H57:$BG57)&lt;52,IF('Capacity summary'!U57&lt;&gt;"",$BI145*U145,0),U145*$BI145),U145*$BI145),0)</f>
        <v>0</v>
      </c>
      <c r="BY145" s="5">
        <f>IF($BI145&lt;&gt;"",IF('Capacity summary'!$C$14="Yes",IF(COUNTBLANK('Capacity summary'!$H57:$BG57)&lt;52,IF('Capacity summary'!V57&lt;&gt;"",$BI145*V145,0),V145*$BI145),V145*$BI145),0)</f>
        <v>0</v>
      </c>
      <c r="BZ145" s="5">
        <f>IF($BI145&lt;&gt;"",IF('Capacity summary'!$C$14="Yes",IF(COUNTBLANK('Capacity summary'!$H57:$BG57)&lt;52,IF('Capacity summary'!W57&lt;&gt;"",$BI145*W145,0),W145*$BI145),W145*$BI145),0)</f>
        <v>0</v>
      </c>
      <c r="CA145" s="5">
        <f>IF($BI145&lt;&gt;"",IF('Capacity summary'!$C$14="Yes",IF(COUNTBLANK('Capacity summary'!$H57:$BG57)&lt;52,IF('Capacity summary'!X57&lt;&gt;"",$BI145*X145,0),X145*$BI145),X145*$BI145),0)</f>
        <v>0</v>
      </c>
      <c r="CB145" s="5">
        <f>IF($BI145&lt;&gt;"",IF('Capacity summary'!$C$14="Yes",IF(COUNTBLANK('Capacity summary'!$H57:$BG57)&lt;52,IF('Capacity summary'!Y57&lt;&gt;"",$BI145*Y145,0),Y145*$BI145),Y145*$BI145),0)</f>
        <v>0</v>
      </c>
      <c r="CC145" s="5">
        <f>IF($BI145&lt;&gt;"",IF('Capacity summary'!$C$14="Yes",IF(COUNTBLANK('Capacity summary'!$H57:$BG57)&lt;52,IF('Capacity summary'!Z57&lt;&gt;"",$BI145*Z145,0),Z145*$BI145),Z145*$BI145),0)</f>
        <v>0</v>
      </c>
      <c r="CD145" s="5">
        <f>IF($BI145&lt;&gt;"",IF('Capacity summary'!$C$14="Yes",IF(COUNTBLANK('Capacity summary'!$H57:$BG57)&lt;52,IF('Capacity summary'!AA57&lt;&gt;"",$BI145*AA145,0),AA145*$BI145),AA145*$BI145),0)</f>
        <v>0</v>
      </c>
      <c r="CE145" s="5">
        <f>IF($BI145&lt;&gt;"",IF('Capacity summary'!$C$14="Yes",IF(COUNTBLANK('Capacity summary'!$H57:$BG57)&lt;52,IF('Capacity summary'!AB57&lt;&gt;"",$BI145*AB145,0),AB145*$BI145),AB145*$BI145),0)</f>
        <v>0</v>
      </c>
      <c r="CF145" s="5">
        <f>IF($BI145&lt;&gt;"",IF('Capacity summary'!$C$14="Yes",IF(COUNTBLANK('Capacity summary'!$H57:$BG57)&lt;52,IF('Capacity summary'!AC57&lt;&gt;"",$BI145*AC145,0),AC145*$BI145),AC145*$BI145),0)</f>
        <v>0</v>
      </c>
      <c r="CG145" s="5">
        <f>IF($BI145&lt;&gt;"",IF('Capacity summary'!$C$14="Yes",IF(COUNTBLANK('Capacity summary'!$H57:$BG57)&lt;52,IF('Capacity summary'!AD57&lt;&gt;"",$BI145*AD145,0),AD145*$BI145),AD145*$BI145),0)</f>
        <v>0</v>
      </c>
      <c r="CH145" s="5">
        <f>IF($BI145&lt;&gt;"",IF('Capacity summary'!$C$14="Yes",IF(COUNTBLANK('Capacity summary'!$H57:$BG57)&lt;52,IF('Capacity summary'!AE57&lt;&gt;"",$BI145*AE145,0),AE145*$BI145),AE145*$BI145),0)</f>
        <v>0</v>
      </c>
      <c r="CI145" s="5">
        <f>IF($BI145&lt;&gt;"",IF('Capacity summary'!$C$14="Yes",IF(COUNTBLANK('Capacity summary'!$H57:$BG57)&lt;52,IF('Capacity summary'!AF57&lt;&gt;"",$BI145*AF145,0),AF145*$BI145),AF145*$BI145),0)</f>
        <v>0</v>
      </c>
      <c r="CJ145" s="5">
        <f>IF($BI145&lt;&gt;"",IF('Capacity summary'!$C$14="Yes",IF(COUNTBLANK('Capacity summary'!$H57:$BG57)&lt;52,IF('Capacity summary'!AG57&lt;&gt;"",$BI145*AG145,0),AG145*$BI145),AG145*$BI145),0)</f>
        <v>0</v>
      </c>
      <c r="CK145" s="5">
        <f>IF($BI145&lt;&gt;"",IF('Capacity summary'!$C$14="Yes",IF(COUNTBLANK('Capacity summary'!$H57:$BG57)&lt;52,IF('Capacity summary'!AH57&lt;&gt;"",$BI145*AH145,0),AH145*$BI145),AH145*$BI145),0)</f>
        <v>0</v>
      </c>
      <c r="CL145" s="5">
        <f>IF($BI145&lt;&gt;"",IF('Capacity summary'!$C$14="Yes",IF(COUNTBLANK('Capacity summary'!$H57:$BG57)&lt;52,IF('Capacity summary'!AI57&lt;&gt;"",$BI145*AI145,0),AI145*$BI145),AI145*$BI145),0)</f>
        <v>0</v>
      </c>
      <c r="CM145" s="5">
        <f>IF($BI145&lt;&gt;"",IF('Capacity summary'!$C$14="Yes",IF(COUNTBLANK('Capacity summary'!$H57:$BG57)&lt;52,IF('Capacity summary'!AJ57&lt;&gt;"",$BI145*AJ145,0),AJ145*$BI145),AJ145*$BI145),0)</f>
        <v>0</v>
      </c>
      <c r="CN145" s="5">
        <f>IF($BI145&lt;&gt;"",IF('Capacity summary'!$C$14="Yes",IF(COUNTBLANK('Capacity summary'!$H57:$BG57)&lt;52,IF('Capacity summary'!AK57&lt;&gt;"",$BI145*AK145,0),AK145*$BI145),AK145*$BI145),0)</f>
        <v>0</v>
      </c>
      <c r="CO145" s="5">
        <f>IF($BI145&lt;&gt;"",IF('Capacity summary'!$C$14="Yes",IF(COUNTBLANK('Capacity summary'!$H57:$BG57)&lt;52,IF('Capacity summary'!AL57&lt;&gt;"",$BI145*AL145,0),AL145*$BI145),AL145*$BI145),0)</f>
        <v>0</v>
      </c>
      <c r="CP145" s="5">
        <f>IF($BI145&lt;&gt;"",IF('Capacity summary'!$C$14="Yes",IF(COUNTBLANK('Capacity summary'!$H57:$BG57)&lt;52,IF('Capacity summary'!AM57&lt;&gt;"",$BI145*AM145,0),AM145*$BI145),AM145*$BI145),0)</f>
        <v>0</v>
      </c>
      <c r="CQ145" s="5">
        <f>IF($BI145&lt;&gt;"",IF('Capacity summary'!$C$14="Yes",IF(COUNTBLANK('Capacity summary'!$H57:$BG57)&lt;52,IF('Capacity summary'!AN57&lt;&gt;"",$BI145*AN145,0),AN145*$BI145),AN145*$BI145),0)</f>
        <v>0</v>
      </c>
      <c r="CR145" s="5">
        <f>IF($BI145&lt;&gt;"",IF('Capacity summary'!$C$14="Yes",IF(COUNTBLANK('Capacity summary'!$H57:$BG57)&lt;52,IF('Capacity summary'!AO57&lt;&gt;"",$BI145*AO145,0),AO145*$BI145),AO145*$BI145),0)</f>
        <v>0</v>
      </c>
      <c r="CS145" s="5">
        <f>IF($BI145&lt;&gt;"",IF('Capacity summary'!$C$14="Yes",IF(COUNTBLANK('Capacity summary'!$H57:$BG57)&lt;52,IF('Capacity summary'!AP57&lt;&gt;"",$BI145*AP145,0),AP145*$BI145),AP145*$BI145),0)</f>
        <v>0</v>
      </c>
      <c r="CT145" s="5">
        <f>IF($BI145&lt;&gt;"",IF('Capacity summary'!$C$14="Yes",IF(COUNTBLANK('Capacity summary'!$H57:$BG57)&lt;52,IF('Capacity summary'!AQ57&lt;&gt;"",$BI145*AQ145,0),AQ145*$BI145),AQ145*$BI145),0)</f>
        <v>0</v>
      </c>
      <c r="CU145" s="5">
        <f>IF($BI145&lt;&gt;"",IF('Capacity summary'!$C$14="Yes",IF(COUNTBLANK('Capacity summary'!$H57:$BG57)&lt;52,IF('Capacity summary'!AR57&lt;&gt;"",$BI145*AR145,0),AR145*$BI145),AR145*$BI145),0)</f>
        <v>0</v>
      </c>
      <c r="CV145" s="5">
        <f>IF($BI145&lt;&gt;"",IF('Capacity summary'!$C$14="Yes",IF(COUNTBLANK('Capacity summary'!$H57:$BG57)&lt;52,IF('Capacity summary'!AS57&lt;&gt;"",$BI145*AS145,0),AS145*$BI145),AS145*$BI145),0)</f>
        <v>0</v>
      </c>
      <c r="CW145" s="5">
        <f>IF($BI145&lt;&gt;"",IF('Capacity summary'!$C$14="Yes",IF(COUNTBLANK('Capacity summary'!$H57:$BG57)&lt;52,IF('Capacity summary'!AT57&lt;&gt;"",$BI145*AT145,0),AT145*$BI145),AT145*$BI145),0)</f>
        <v>0</v>
      </c>
      <c r="CX145" s="5">
        <f>IF($BI145&lt;&gt;"",IF('Capacity summary'!$C$14="Yes",IF(COUNTBLANK('Capacity summary'!$H57:$BG57)&lt;52,IF('Capacity summary'!AU57&lt;&gt;"",$BI145*AU145,0),AU145*$BI145),AU145*$BI145),0)</f>
        <v>0</v>
      </c>
      <c r="CY145" s="5">
        <f>IF($BI145&lt;&gt;"",IF('Capacity summary'!$C$14="Yes",IF(COUNTBLANK('Capacity summary'!$H57:$BG57)&lt;52,IF('Capacity summary'!AV57&lt;&gt;"",$BI145*AV145,0),AV145*$BI145),AV145*$BI145),0)</f>
        <v>0</v>
      </c>
      <c r="CZ145" s="5">
        <f>IF($BI145&lt;&gt;"",IF('Capacity summary'!$C$14="Yes",IF(COUNTBLANK('Capacity summary'!$H57:$BG57)&lt;52,IF('Capacity summary'!AW57&lt;&gt;"",$BI145*AW145,0),AW145*$BI145),AW145*$BI145),0)</f>
        <v>0</v>
      </c>
      <c r="DA145" s="5">
        <f>IF($BI145&lt;&gt;"",IF('Capacity summary'!$C$14="Yes",IF(COUNTBLANK('Capacity summary'!$H57:$BG57)&lt;52,IF('Capacity summary'!AX57&lt;&gt;"",$BI145*AX145,0),AX145*$BI145),AX145*$BI145),0)</f>
        <v>0</v>
      </c>
      <c r="DB145" s="5">
        <f>IF($BI145&lt;&gt;"",IF('Capacity summary'!$C$14="Yes",IF(COUNTBLANK('Capacity summary'!$H57:$BG57)&lt;52,IF('Capacity summary'!AY57&lt;&gt;"",$BI145*AY145,0),AY145*$BI145),AY145*$BI145),0)</f>
        <v>0</v>
      </c>
      <c r="DC145" s="5">
        <f>IF($BI145&lt;&gt;"",IF('Capacity summary'!$C$14="Yes",IF(COUNTBLANK('Capacity summary'!$H57:$BG57)&lt;52,IF('Capacity summary'!AZ57&lt;&gt;"",$BI145*AZ145,0),AZ145*$BI145),AZ145*$BI145),0)</f>
        <v>0</v>
      </c>
      <c r="DD145" s="5">
        <f>IF($BI145&lt;&gt;"",IF('Capacity summary'!$C$14="Yes",IF(COUNTBLANK('Capacity summary'!$H57:$BG57)&lt;52,IF('Capacity summary'!BA57&lt;&gt;"",$BI145*BA145,0),BA145*$BI145),BA145*$BI145),0)</f>
        <v>0</v>
      </c>
      <c r="DE145" s="5">
        <f>IF($BI145&lt;&gt;"",IF('Capacity summary'!$C$14="Yes",IF(COUNTBLANK('Capacity summary'!$H57:$BG57)&lt;52,IF('Capacity summary'!BB57&lt;&gt;"",$BI145*BB145,0),BB145*$BI145),BB145*$BI145),0)</f>
        <v>0</v>
      </c>
      <c r="DF145" s="5">
        <f>IF($BI145&lt;&gt;"",IF('Capacity summary'!$C$14="Yes",IF(COUNTBLANK('Capacity summary'!$H57:$BG57)&lt;52,IF('Capacity summary'!BC57&lt;&gt;"",$BI145*BC145,0),BC145*$BI145),BC145*$BI145),0)</f>
        <v>0</v>
      </c>
      <c r="DG145" s="5">
        <f>IF($BI145&lt;&gt;"",IF('Capacity summary'!$C$14="Yes",IF(COUNTBLANK('Capacity summary'!$H57:$BG57)&lt;52,IF('Capacity summary'!BD57&lt;&gt;"",$BI145*BD145,0),BD145*$BI145),BD145*$BI145),0)</f>
        <v>0</v>
      </c>
      <c r="DH145" s="5">
        <f>IF($BI145&lt;&gt;"",IF('Capacity summary'!$C$14="Yes",IF(COUNTBLANK('Capacity summary'!$H57:$BG57)&lt;52,IF('Capacity summary'!BE57&lt;&gt;"",$BI145*BE145,0),BE145*$BI145),BE145*$BI145),0)</f>
        <v>0</v>
      </c>
      <c r="DI145" s="5">
        <f>IF($BI145&lt;&gt;"",IF('Capacity summary'!$C$14="Yes",IF(COUNTBLANK('Capacity summary'!$H57:$BG57)&lt;52,IF('Capacity summary'!BF57&lt;&gt;"",$BI145*BF145,0),BF145*$BI145),BF145*$BI145),0)</f>
        <v>0</v>
      </c>
      <c r="DJ145" s="5">
        <f>IF($BI145&lt;&gt;"",IF('Capacity summary'!$C$14="Yes",IF(COUNTBLANK('Capacity summary'!$H57:$BG57)&lt;52,IF('Capacity summary'!BG57&lt;&gt;"",$BI145*BG145,0),BG145*$BI145),BG145*$BI145),0)</f>
        <v>0</v>
      </c>
      <c r="DK145" s="138">
        <f t="shared" si="6"/>
        <v>0</v>
      </c>
    </row>
    <row r="146" spans="3:115" x14ac:dyDescent="0.2">
      <c r="C146" s="68" t="str">
        <f>ROW(A35)&amp;". "&amp;Capacity!N51</f>
        <v xml:space="preserve">35. </v>
      </c>
      <c r="D146" s="68">
        <f>'Capacity setup'!C152</f>
        <v>0</v>
      </c>
      <c r="E146" s="68">
        <f>'Capacity setup'!D152</f>
        <v>0</v>
      </c>
      <c r="F146" s="68">
        <f>'Capacity setup'!E152</f>
        <v>0</v>
      </c>
      <c r="H146" s="68">
        <f ca="1">IF(AND(SUMIF(Capacity_Resource,$D146,'Critical resources (hide)'!U$6:U$105)+SUMIF(Capacity_Resource,$E146,'Critical resources (hide)'!U$6:U$105)+SUMIF(Capacity_Resource,$F146,'Critical resources (hide)'!U$6:U$105)&gt;0,$E$1=2),0,1)</f>
        <v>1</v>
      </c>
      <c r="I146" s="68">
        <f ca="1">IF(AND(SUMIF(Capacity_Resource,$D146,'Critical resources (hide)'!V$6:V$105)+SUMIF(Capacity_Resource,$E146,'Critical resources (hide)'!V$6:V$105)+SUMIF(Capacity_Resource,$F146,'Critical resources (hide)'!V$6:V$105)&gt;0,$E$1=2),0,1)</f>
        <v>1</v>
      </c>
      <c r="J146" s="68">
        <f ca="1">IF(AND(SUMIF(Capacity_Resource,$D146,'Critical resources (hide)'!W$6:W$105)+SUMIF(Capacity_Resource,$E146,'Critical resources (hide)'!W$6:W$105)+SUMIF(Capacity_Resource,$F146,'Critical resources (hide)'!W$6:W$105)&gt;0,$E$1=2),0,1)</f>
        <v>1</v>
      </c>
      <c r="K146" s="68">
        <f ca="1">IF(AND(SUMIF(Capacity_Resource,$D146,'Critical resources (hide)'!X$6:X$105)+SUMIF(Capacity_Resource,$E146,'Critical resources (hide)'!X$6:X$105)+SUMIF(Capacity_Resource,$F146,'Critical resources (hide)'!X$6:X$105)&gt;0,$E$1=2),0,1)</f>
        <v>1</v>
      </c>
      <c r="L146" s="68">
        <f ca="1">IF(AND(SUMIF(Capacity_Resource,$D146,'Critical resources (hide)'!Y$6:Y$105)+SUMIF(Capacity_Resource,$E146,'Critical resources (hide)'!Y$6:Y$105)+SUMIF(Capacity_Resource,$F146,'Critical resources (hide)'!Y$6:Y$105)&gt;0,$E$1=2),0,1)</f>
        <v>1</v>
      </c>
      <c r="M146" s="68">
        <f ca="1">IF(AND(SUMIF(Capacity_Resource,$D146,'Critical resources (hide)'!Z$6:Z$105)+SUMIF(Capacity_Resource,$E146,'Critical resources (hide)'!Z$6:Z$105)+SUMIF(Capacity_Resource,$F146,'Critical resources (hide)'!Z$6:Z$105)&gt;0,$E$1=2),0,1)</f>
        <v>1</v>
      </c>
      <c r="N146" s="68">
        <f ca="1">IF(AND(SUMIF(Capacity_Resource,$D146,'Critical resources (hide)'!AA$6:AA$105)+SUMIF(Capacity_Resource,$E146,'Critical resources (hide)'!AA$6:AA$105)+SUMIF(Capacity_Resource,$F146,'Critical resources (hide)'!AA$6:AA$105)&gt;0,$E$1=2),0,1)</f>
        <v>1</v>
      </c>
      <c r="O146" s="68">
        <f ca="1">IF(AND(SUMIF(Capacity_Resource,$D146,'Critical resources (hide)'!AB$6:AB$105)+SUMIF(Capacity_Resource,$E146,'Critical resources (hide)'!AB$6:AB$105)+SUMIF(Capacity_Resource,$F146,'Critical resources (hide)'!AB$6:AB$105)&gt;0,$E$1=2),0,1)</f>
        <v>1</v>
      </c>
      <c r="P146" s="68">
        <f ca="1">IF(AND(SUMIF(Capacity_Resource,$D146,'Critical resources (hide)'!AC$6:AC$105)+SUMIF(Capacity_Resource,$E146,'Critical resources (hide)'!AC$6:AC$105)+SUMIF(Capacity_Resource,$F146,'Critical resources (hide)'!AC$6:AC$105)&gt;0,$E$1=2),0,1)</f>
        <v>1</v>
      </c>
      <c r="Q146" s="68">
        <f ca="1">IF(AND(SUMIF(Capacity_Resource,$D146,'Critical resources (hide)'!AD$6:AD$105)+SUMIF(Capacity_Resource,$E146,'Critical resources (hide)'!AD$6:AD$105)+SUMIF(Capacity_Resource,$F146,'Critical resources (hide)'!AD$6:AD$105)&gt;0,$E$1=2),0,1)</f>
        <v>1</v>
      </c>
      <c r="R146" s="68">
        <f ca="1">IF(AND(SUMIF(Capacity_Resource,$D146,'Critical resources (hide)'!AE$6:AE$105)+SUMIF(Capacity_Resource,$E146,'Critical resources (hide)'!AE$6:AE$105)+SUMIF(Capacity_Resource,$F146,'Critical resources (hide)'!AE$6:AE$105)&gt;0,$E$1=2),0,1)</f>
        <v>1</v>
      </c>
      <c r="S146" s="68">
        <f ca="1">IF(AND(SUMIF(Capacity_Resource,$D146,'Critical resources (hide)'!AF$6:AF$105)+SUMIF(Capacity_Resource,$E146,'Critical resources (hide)'!AF$6:AF$105)+SUMIF(Capacity_Resource,$F146,'Critical resources (hide)'!AF$6:AF$105)&gt;0,$E$1=2),0,1)</f>
        <v>1</v>
      </c>
      <c r="T146" s="68">
        <f ca="1">IF(AND(SUMIF(Capacity_Resource,$D146,'Critical resources (hide)'!AG$6:AG$105)+SUMIF(Capacity_Resource,$E146,'Critical resources (hide)'!AG$6:AG$105)+SUMIF(Capacity_Resource,$F146,'Critical resources (hide)'!AG$6:AG$105)&gt;0,$E$1=2),0,1)</f>
        <v>1</v>
      </c>
      <c r="U146" s="68">
        <f ca="1">IF(AND(SUMIF(Capacity_Resource,$D146,'Critical resources (hide)'!AH$6:AH$105)+SUMIF(Capacity_Resource,$E146,'Critical resources (hide)'!AH$6:AH$105)+SUMIF(Capacity_Resource,$F146,'Critical resources (hide)'!AH$6:AH$105)&gt;0,$E$1=2),0,1)</f>
        <v>1</v>
      </c>
      <c r="V146" s="68">
        <f ca="1">IF(AND(SUMIF(Capacity_Resource,$D146,'Critical resources (hide)'!AI$6:AI$105)+SUMIF(Capacity_Resource,$E146,'Critical resources (hide)'!AI$6:AI$105)+SUMIF(Capacity_Resource,$F146,'Critical resources (hide)'!AI$6:AI$105)&gt;0,$E$1=2),0,1)</f>
        <v>1</v>
      </c>
      <c r="W146" s="68">
        <f ca="1">IF(AND(SUMIF(Capacity_Resource,$D146,'Critical resources (hide)'!AJ$6:AJ$105)+SUMIF(Capacity_Resource,$E146,'Critical resources (hide)'!AJ$6:AJ$105)+SUMIF(Capacity_Resource,$F146,'Critical resources (hide)'!AJ$6:AJ$105)&gt;0,$E$1=2),0,1)</f>
        <v>1</v>
      </c>
      <c r="X146" s="68">
        <f ca="1">IF(AND(SUMIF(Capacity_Resource,$D146,'Critical resources (hide)'!AK$6:AK$105)+SUMIF(Capacity_Resource,$E146,'Critical resources (hide)'!AK$6:AK$105)+SUMIF(Capacity_Resource,$F146,'Critical resources (hide)'!AK$6:AK$105)&gt;0,$E$1=2),0,1)</f>
        <v>1</v>
      </c>
      <c r="Y146" s="68">
        <f ca="1">IF(AND(SUMIF(Capacity_Resource,$D146,'Critical resources (hide)'!AL$6:AL$105)+SUMIF(Capacity_Resource,$E146,'Critical resources (hide)'!AL$6:AL$105)+SUMIF(Capacity_Resource,$F146,'Critical resources (hide)'!AL$6:AL$105)&gt;0,$E$1=2),0,1)</f>
        <v>1</v>
      </c>
      <c r="Z146" s="68">
        <f ca="1">IF(AND(SUMIF(Capacity_Resource,$D146,'Critical resources (hide)'!AM$6:AM$105)+SUMIF(Capacity_Resource,$E146,'Critical resources (hide)'!AM$6:AM$105)+SUMIF(Capacity_Resource,$F146,'Critical resources (hide)'!AM$6:AM$105)&gt;0,$E$1=2),0,1)</f>
        <v>1</v>
      </c>
      <c r="AA146" s="68">
        <f ca="1">IF(AND(SUMIF(Capacity_Resource,$D146,'Critical resources (hide)'!AN$6:AN$105)+SUMIF(Capacity_Resource,$E146,'Critical resources (hide)'!AN$6:AN$105)+SUMIF(Capacity_Resource,$F146,'Critical resources (hide)'!AN$6:AN$105)&gt;0,$E$1=2),0,1)</f>
        <v>1</v>
      </c>
      <c r="AB146" s="68">
        <f ca="1">IF(AND(SUMIF(Capacity_Resource,$D146,'Critical resources (hide)'!AO$6:AO$105)+SUMIF(Capacity_Resource,$E146,'Critical resources (hide)'!AO$6:AO$105)+SUMIF(Capacity_Resource,$F146,'Critical resources (hide)'!AO$6:AO$105)&gt;0,$E$1=2),0,1)</f>
        <v>1</v>
      </c>
      <c r="AC146" s="68">
        <f ca="1">IF(AND(SUMIF(Capacity_Resource,$D146,'Critical resources (hide)'!AP$6:AP$105)+SUMIF(Capacity_Resource,$E146,'Critical resources (hide)'!AP$6:AP$105)+SUMIF(Capacity_Resource,$F146,'Critical resources (hide)'!AP$6:AP$105)&gt;0,$E$1=2),0,1)</f>
        <v>1</v>
      </c>
      <c r="AD146" s="68">
        <f ca="1">IF(AND(SUMIF(Capacity_Resource,$D146,'Critical resources (hide)'!AQ$6:AQ$105)+SUMIF(Capacity_Resource,$E146,'Critical resources (hide)'!AQ$6:AQ$105)+SUMIF(Capacity_Resource,$F146,'Critical resources (hide)'!AQ$6:AQ$105)&gt;0,$E$1=2),0,1)</f>
        <v>1</v>
      </c>
      <c r="AE146" s="68">
        <f ca="1">IF(AND(SUMIF(Capacity_Resource,$D146,'Critical resources (hide)'!AR$6:AR$105)+SUMIF(Capacity_Resource,$E146,'Critical resources (hide)'!AR$6:AR$105)+SUMIF(Capacity_Resource,$F146,'Critical resources (hide)'!AR$6:AR$105)&gt;0,$E$1=2),0,1)</f>
        <v>1</v>
      </c>
      <c r="AF146" s="68">
        <f ca="1">IF(AND(SUMIF(Capacity_Resource,$D146,'Critical resources (hide)'!AS$6:AS$105)+SUMIF(Capacity_Resource,$E146,'Critical resources (hide)'!AS$6:AS$105)+SUMIF(Capacity_Resource,$F146,'Critical resources (hide)'!AS$6:AS$105)&gt;0,$E$1=2),0,1)</f>
        <v>1</v>
      </c>
      <c r="AG146" s="68">
        <f ca="1">IF(AND(SUMIF(Capacity_Resource,$D146,'Critical resources (hide)'!AT$6:AT$105)+SUMIF(Capacity_Resource,$E146,'Critical resources (hide)'!AT$6:AT$105)+SUMIF(Capacity_Resource,$F146,'Critical resources (hide)'!AT$6:AT$105)&gt;0,$E$1=2),0,1)</f>
        <v>1</v>
      </c>
      <c r="AH146" s="68">
        <f ca="1">IF(AND(SUMIF(Capacity_Resource,$D146,'Critical resources (hide)'!AU$6:AU$105)+SUMIF(Capacity_Resource,$E146,'Critical resources (hide)'!AU$6:AU$105)+SUMIF(Capacity_Resource,$F146,'Critical resources (hide)'!AU$6:AU$105)&gt;0,$E$1=2),0,1)</f>
        <v>1</v>
      </c>
      <c r="AI146" s="68">
        <f ca="1">IF(AND(SUMIF(Capacity_Resource,$D146,'Critical resources (hide)'!AV$6:AV$105)+SUMIF(Capacity_Resource,$E146,'Critical resources (hide)'!AV$6:AV$105)+SUMIF(Capacity_Resource,$F146,'Critical resources (hide)'!AV$6:AV$105)&gt;0,$E$1=2),0,1)</f>
        <v>1</v>
      </c>
      <c r="AJ146" s="68">
        <f ca="1">IF(AND(SUMIF(Capacity_Resource,$D146,'Critical resources (hide)'!AW$6:AW$105)+SUMIF(Capacity_Resource,$E146,'Critical resources (hide)'!AW$6:AW$105)+SUMIF(Capacity_Resource,$F146,'Critical resources (hide)'!AW$6:AW$105)&gt;0,$E$1=2),0,1)</f>
        <v>1</v>
      </c>
      <c r="AK146" s="68">
        <f ca="1">IF(AND(SUMIF(Capacity_Resource,$D146,'Critical resources (hide)'!AX$6:AX$105)+SUMIF(Capacity_Resource,$E146,'Critical resources (hide)'!AX$6:AX$105)+SUMIF(Capacity_Resource,$F146,'Critical resources (hide)'!AX$6:AX$105)&gt;0,$E$1=2),0,1)</f>
        <v>1</v>
      </c>
      <c r="AL146" s="68">
        <f ca="1">IF(AND(SUMIF(Capacity_Resource,$D146,'Critical resources (hide)'!AY$6:AY$105)+SUMIF(Capacity_Resource,$E146,'Critical resources (hide)'!AY$6:AY$105)+SUMIF(Capacity_Resource,$F146,'Critical resources (hide)'!AY$6:AY$105)&gt;0,$E$1=2),0,1)</f>
        <v>1</v>
      </c>
      <c r="AM146" s="68">
        <f ca="1">IF(AND(SUMIF(Capacity_Resource,$D146,'Critical resources (hide)'!AZ$6:AZ$105)+SUMIF(Capacity_Resource,$E146,'Critical resources (hide)'!AZ$6:AZ$105)+SUMIF(Capacity_Resource,$F146,'Critical resources (hide)'!AZ$6:AZ$105)&gt;0,$E$1=2),0,1)</f>
        <v>1</v>
      </c>
      <c r="AN146" s="68">
        <f ca="1">IF(AND(SUMIF(Capacity_Resource,$D146,'Critical resources (hide)'!BA$6:BA$105)+SUMIF(Capacity_Resource,$E146,'Critical resources (hide)'!BA$6:BA$105)+SUMIF(Capacity_Resource,$F146,'Critical resources (hide)'!BA$6:BA$105)&gt;0,$E$1=2),0,1)</f>
        <v>1</v>
      </c>
      <c r="AO146" s="68">
        <f ca="1">IF(AND(SUMIF(Capacity_Resource,$D146,'Critical resources (hide)'!BB$6:BB$105)+SUMIF(Capacity_Resource,$E146,'Critical resources (hide)'!BB$6:BB$105)+SUMIF(Capacity_Resource,$F146,'Critical resources (hide)'!BB$6:BB$105)&gt;0,$E$1=2),0,1)</f>
        <v>1</v>
      </c>
      <c r="AP146" s="68">
        <f ca="1">IF(AND(SUMIF(Capacity_Resource,$D146,'Critical resources (hide)'!BC$6:BC$105)+SUMIF(Capacity_Resource,$E146,'Critical resources (hide)'!BC$6:BC$105)+SUMIF(Capacity_Resource,$F146,'Critical resources (hide)'!BC$6:BC$105)&gt;0,$E$1=2),0,1)</f>
        <v>1</v>
      </c>
      <c r="AQ146" s="68">
        <f ca="1">IF(AND(SUMIF(Capacity_Resource,$D146,'Critical resources (hide)'!BD$6:BD$105)+SUMIF(Capacity_Resource,$E146,'Critical resources (hide)'!BD$6:BD$105)+SUMIF(Capacity_Resource,$F146,'Critical resources (hide)'!BD$6:BD$105)&gt;0,$E$1=2),0,1)</f>
        <v>1</v>
      </c>
      <c r="AR146" s="68">
        <f ca="1">IF(AND(SUMIF(Capacity_Resource,$D146,'Critical resources (hide)'!BE$6:BE$105)+SUMIF(Capacity_Resource,$E146,'Critical resources (hide)'!BE$6:BE$105)+SUMIF(Capacity_Resource,$F146,'Critical resources (hide)'!BE$6:BE$105)&gt;0,$E$1=2),0,1)</f>
        <v>1</v>
      </c>
      <c r="AS146" s="68">
        <f ca="1">IF(AND(SUMIF(Capacity_Resource,$D146,'Critical resources (hide)'!BF$6:BF$105)+SUMIF(Capacity_Resource,$E146,'Critical resources (hide)'!BF$6:BF$105)+SUMIF(Capacity_Resource,$F146,'Critical resources (hide)'!BF$6:BF$105)&gt;0,$E$1=2),0,1)</f>
        <v>1</v>
      </c>
      <c r="AT146" s="68">
        <f ca="1">IF(AND(SUMIF(Capacity_Resource,$D146,'Critical resources (hide)'!BG$6:BG$105)+SUMIF(Capacity_Resource,$E146,'Critical resources (hide)'!BG$6:BG$105)+SUMIF(Capacity_Resource,$F146,'Critical resources (hide)'!BG$6:BG$105)&gt;0,$E$1=2),0,1)</f>
        <v>1</v>
      </c>
      <c r="AU146" s="68">
        <f ca="1">IF(AND(SUMIF(Capacity_Resource,$D146,'Critical resources (hide)'!BH$6:BH$105)+SUMIF(Capacity_Resource,$E146,'Critical resources (hide)'!BH$6:BH$105)+SUMIF(Capacity_Resource,$F146,'Critical resources (hide)'!BH$6:BH$105)&gt;0,$E$1=2),0,1)</f>
        <v>1</v>
      </c>
      <c r="AV146" s="68">
        <f ca="1">IF(AND(SUMIF(Capacity_Resource,$D146,'Critical resources (hide)'!BI$6:BI$105)+SUMIF(Capacity_Resource,$E146,'Critical resources (hide)'!BI$6:BI$105)+SUMIF(Capacity_Resource,$F146,'Critical resources (hide)'!BI$6:BI$105)&gt;0,$E$1=2),0,1)</f>
        <v>1</v>
      </c>
      <c r="AW146" s="68">
        <f ca="1">IF(AND(SUMIF(Capacity_Resource,$D146,'Critical resources (hide)'!BJ$6:BJ$105)+SUMIF(Capacity_Resource,$E146,'Critical resources (hide)'!BJ$6:BJ$105)+SUMIF(Capacity_Resource,$F146,'Critical resources (hide)'!BJ$6:BJ$105)&gt;0,$E$1=2),0,1)</f>
        <v>1</v>
      </c>
      <c r="AX146" s="68">
        <f ca="1">IF(AND(SUMIF(Capacity_Resource,$D146,'Critical resources (hide)'!BK$6:BK$105)+SUMIF(Capacity_Resource,$E146,'Critical resources (hide)'!BK$6:BK$105)+SUMIF(Capacity_Resource,$F146,'Critical resources (hide)'!BK$6:BK$105)&gt;0,$E$1=2),0,1)</f>
        <v>1</v>
      </c>
      <c r="AY146" s="68">
        <f ca="1">IF(AND(SUMIF(Capacity_Resource,$D146,'Critical resources (hide)'!BL$6:BL$105)+SUMIF(Capacity_Resource,$E146,'Critical resources (hide)'!BL$6:BL$105)+SUMIF(Capacity_Resource,$F146,'Critical resources (hide)'!BL$6:BL$105)&gt;0,$E$1=2),0,1)</f>
        <v>1</v>
      </c>
      <c r="AZ146" s="68">
        <f ca="1">IF(AND(SUMIF(Capacity_Resource,$D146,'Critical resources (hide)'!BM$6:BM$105)+SUMIF(Capacity_Resource,$E146,'Critical resources (hide)'!BM$6:BM$105)+SUMIF(Capacity_Resource,$F146,'Critical resources (hide)'!BM$6:BM$105)&gt;0,$E$1=2),0,1)</f>
        <v>1</v>
      </c>
      <c r="BA146" s="68">
        <f ca="1">IF(AND(SUMIF(Capacity_Resource,$D146,'Critical resources (hide)'!BN$6:BN$105)+SUMIF(Capacity_Resource,$E146,'Critical resources (hide)'!BN$6:BN$105)+SUMIF(Capacity_Resource,$F146,'Critical resources (hide)'!BN$6:BN$105)&gt;0,$E$1=2),0,1)</f>
        <v>1</v>
      </c>
      <c r="BB146" s="68">
        <f ca="1">IF(AND(SUMIF(Capacity_Resource,$D146,'Critical resources (hide)'!BO$6:BO$105)+SUMIF(Capacity_Resource,$E146,'Critical resources (hide)'!BO$6:BO$105)+SUMIF(Capacity_Resource,$F146,'Critical resources (hide)'!BO$6:BO$105)&gt;0,$E$1=2),0,1)</f>
        <v>1</v>
      </c>
      <c r="BC146" s="68">
        <f ca="1">IF(AND(SUMIF(Capacity_Resource,$D146,'Critical resources (hide)'!BP$6:BP$105)+SUMIF(Capacity_Resource,$E146,'Critical resources (hide)'!BP$6:BP$105)+SUMIF(Capacity_Resource,$F146,'Critical resources (hide)'!BP$6:BP$105)&gt;0,$E$1=2),0,1)</f>
        <v>1</v>
      </c>
      <c r="BD146" s="68">
        <f ca="1">IF(AND(SUMIF(Capacity_Resource,$D146,'Critical resources (hide)'!BQ$6:BQ$105)+SUMIF(Capacity_Resource,$E146,'Critical resources (hide)'!BQ$6:BQ$105)+SUMIF(Capacity_Resource,$F146,'Critical resources (hide)'!BQ$6:BQ$105)&gt;0,$E$1=2),0,1)</f>
        <v>1</v>
      </c>
      <c r="BE146" s="68">
        <f ca="1">IF(AND(SUMIF(Capacity_Resource,$D146,'Critical resources (hide)'!BR$6:BR$105)+SUMIF(Capacity_Resource,$E146,'Critical resources (hide)'!BR$6:BR$105)+SUMIF(Capacity_Resource,$F146,'Critical resources (hide)'!BR$6:BR$105)&gt;0,$E$1=2),0,1)</f>
        <v>1</v>
      </c>
      <c r="BF146" s="68">
        <f ca="1">IF(AND(SUMIF(Capacity_Resource,$D146,'Critical resources (hide)'!BS$6:BS$105)+SUMIF(Capacity_Resource,$E146,'Critical resources (hide)'!BS$6:BS$105)+SUMIF(Capacity_Resource,$F146,'Critical resources (hide)'!BS$6:BS$105)&gt;0,$E$1=2),0,1)</f>
        <v>1</v>
      </c>
      <c r="BG146" s="68">
        <f ca="1">IF(AND(SUMIF(Capacity_Resource,$D146,'Critical resources (hide)'!BT$6:BT$105)+SUMIF(Capacity_Resource,$E146,'Critical resources (hide)'!BT$6:BT$105)+SUMIF(Capacity_Resource,$F146,'Critical resources (hide)'!BT$6:BT$105)&gt;0,$E$1=2),0,1)</f>
        <v>1</v>
      </c>
      <c r="BH146" s="68">
        <f>IF(ROW(A35)&lt;=Capacity!$M$16,IF('Capacity summary'!$C$14="No",SUM(H146:BG146),'Capacity summary'!$E58),0)</f>
        <v>0</v>
      </c>
      <c r="BI146" s="68" t="str">
        <f>IF(BH146&gt;0,IF(BH146&lt;Capacity!Q51,Capacity!R51,Capacity!T51/'Capacity calculation (hide)'!BH146),"")</f>
        <v/>
      </c>
      <c r="BJ146" s="5"/>
      <c r="BK146" s="5">
        <f>IF($BI146&lt;&gt;"",IF('Capacity summary'!$C$14="Yes",IF(COUNTBLANK('Capacity summary'!$H58:$BG58)&lt;52,IF('Capacity summary'!H58&lt;&gt;"",$BI146*H146,0),H146*$BI146),H146*$BI146),0)</f>
        <v>0</v>
      </c>
      <c r="BL146" s="5">
        <f>IF($BI146&lt;&gt;"",IF('Capacity summary'!$C$14="Yes",IF(COUNTBLANK('Capacity summary'!$H58:$BG58)&lt;52,IF('Capacity summary'!I58&lt;&gt;"",$BI146*I146,0),I146*$BI146),I146*$BI146),0)</f>
        <v>0</v>
      </c>
      <c r="BM146" s="5">
        <f>IF($BI146&lt;&gt;"",IF('Capacity summary'!$C$14="Yes",IF(COUNTBLANK('Capacity summary'!$H58:$BG58)&lt;52,IF('Capacity summary'!J58&lt;&gt;"",$BI146*J146,0),J146*$BI146),J146*$BI146),0)</f>
        <v>0</v>
      </c>
      <c r="BN146" s="5">
        <f>IF($BI146&lt;&gt;"",IF('Capacity summary'!$C$14="Yes",IF(COUNTBLANK('Capacity summary'!$H58:$BG58)&lt;52,IF('Capacity summary'!K58&lt;&gt;"",$BI146*K146,0),K146*$BI146),K146*$BI146),0)</f>
        <v>0</v>
      </c>
      <c r="BO146" s="5">
        <f>IF($BI146&lt;&gt;"",IF('Capacity summary'!$C$14="Yes",IF(COUNTBLANK('Capacity summary'!$H58:$BG58)&lt;52,IF('Capacity summary'!L58&lt;&gt;"",$BI146*L146,0),L146*$BI146),L146*$BI146),0)</f>
        <v>0</v>
      </c>
      <c r="BP146" s="5">
        <f>IF($BI146&lt;&gt;"",IF('Capacity summary'!$C$14="Yes",IF(COUNTBLANK('Capacity summary'!$H58:$BG58)&lt;52,IF('Capacity summary'!M58&lt;&gt;"",$BI146*M146,0),M146*$BI146),M146*$BI146),0)</f>
        <v>0</v>
      </c>
      <c r="BQ146" s="5">
        <f>IF($BI146&lt;&gt;"",IF('Capacity summary'!$C$14="Yes",IF(COUNTBLANK('Capacity summary'!$H58:$BG58)&lt;52,IF('Capacity summary'!N58&lt;&gt;"",$BI146*N146,0),N146*$BI146),N146*$BI146),0)</f>
        <v>0</v>
      </c>
      <c r="BR146" s="5">
        <f>IF($BI146&lt;&gt;"",IF('Capacity summary'!$C$14="Yes",IF(COUNTBLANK('Capacity summary'!$H58:$BG58)&lt;52,IF('Capacity summary'!O58&lt;&gt;"",$BI146*O146,0),O146*$BI146),O146*$BI146),0)</f>
        <v>0</v>
      </c>
      <c r="BS146" s="5">
        <f>IF($BI146&lt;&gt;"",IF('Capacity summary'!$C$14="Yes",IF(COUNTBLANK('Capacity summary'!$H58:$BG58)&lt;52,IF('Capacity summary'!P58&lt;&gt;"",$BI146*P146,0),P146*$BI146),P146*$BI146),0)</f>
        <v>0</v>
      </c>
      <c r="BT146" s="5">
        <f>IF($BI146&lt;&gt;"",IF('Capacity summary'!$C$14="Yes",IF(COUNTBLANK('Capacity summary'!$H58:$BG58)&lt;52,IF('Capacity summary'!Q58&lt;&gt;"",$BI146*Q146,0),Q146*$BI146),Q146*$BI146),0)</f>
        <v>0</v>
      </c>
      <c r="BU146" s="5">
        <f>IF($BI146&lt;&gt;"",IF('Capacity summary'!$C$14="Yes",IF(COUNTBLANK('Capacity summary'!$H58:$BG58)&lt;52,IF('Capacity summary'!R58&lt;&gt;"",$BI146*R146,0),R146*$BI146),R146*$BI146),0)</f>
        <v>0</v>
      </c>
      <c r="BV146" s="5">
        <f>IF($BI146&lt;&gt;"",IF('Capacity summary'!$C$14="Yes",IF(COUNTBLANK('Capacity summary'!$H58:$BG58)&lt;52,IF('Capacity summary'!S58&lt;&gt;"",$BI146*S146,0),S146*$BI146),S146*$BI146),0)</f>
        <v>0</v>
      </c>
      <c r="BW146" s="5">
        <f>IF($BI146&lt;&gt;"",IF('Capacity summary'!$C$14="Yes",IF(COUNTBLANK('Capacity summary'!$H58:$BG58)&lt;52,IF('Capacity summary'!T58&lt;&gt;"",$BI146*T146,0),T146*$BI146),T146*$BI146),0)</f>
        <v>0</v>
      </c>
      <c r="BX146" s="5">
        <f>IF($BI146&lt;&gt;"",IF('Capacity summary'!$C$14="Yes",IF(COUNTBLANK('Capacity summary'!$H58:$BG58)&lt;52,IF('Capacity summary'!U58&lt;&gt;"",$BI146*U146,0),U146*$BI146),U146*$BI146),0)</f>
        <v>0</v>
      </c>
      <c r="BY146" s="5">
        <f>IF($BI146&lt;&gt;"",IF('Capacity summary'!$C$14="Yes",IF(COUNTBLANK('Capacity summary'!$H58:$BG58)&lt;52,IF('Capacity summary'!V58&lt;&gt;"",$BI146*V146,0),V146*$BI146),V146*$BI146),0)</f>
        <v>0</v>
      </c>
      <c r="BZ146" s="5">
        <f>IF($BI146&lt;&gt;"",IF('Capacity summary'!$C$14="Yes",IF(COUNTBLANK('Capacity summary'!$H58:$BG58)&lt;52,IF('Capacity summary'!W58&lt;&gt;"",$BI146*W146,0),W146*$BI146),W146*$BI146),0)</f>
        <v>0</v>
      </c>
      <c r="CA146" s="5">
        <f>IF($BI146&lt;&gt;"",IF('Capacity summary'!$C$14="Yes",IF(COUNTBLANK('Capacity summary'!$H58:$BG58)&lt;52,IF('Capacity summary'!X58&lt;&gt;"",$BI146*X146,0),X146*$BI146),X146*$BI146),0)</f>
        <v>0</v>
      </c>
      <c r="CB146" s="5">
        <f>IF($BI146&lt;&gt;"",IF('Capacity summary'!$C$14="Yes",IF(COUNTBLANK('Capacity summary'!$H58:$BG58)&lt;52,IF('Capacity summary'!Y58&lt;&gt;"",$BI146*Y146,0),Y146*$BI146),Y146*$BI146),0)</f>
        <v>0</v>
      </c>
      <c r="CC146" s="5">
        <f>IF($BI146&lt;&gt;"",IF('Capacity summary'!$C$14="Yes",IF(COUNTBLANK('Capacity summary'!$H58:$BG58)&lt;52,IF('Capacity summary'!Z58&lt;&gt;"",$BI146*Z146,0),Z146*$BI146),Z146*$BI146),0)</f>
        <v>0</v>
      </c>
      <c r="CD146" s="5">
        <f>IF($BI146&lt;&gt;"",IF('Capacity summary'!$C$14="Yes",IF(COUNTBLANK('Capacity summary'!$H58:$BG58)&lt;52,IF('Capacity summary'!AA58&lt;&gt;"",$BI146*AA146,0),AA146*$BI146),AA146*$BI146),0)</f>
        <v>0</v>
      </c>
      <c r="CE146" s="5">
        <f>IF($BI146&lt;&gt;"",IF('Capacity summary'!$C$14="Yes",IF(COUNTBLANK('Capacity summary'!$H58:$BG58)&lt;52,IF('Capacity summary'!AB58&lt;&gt;"",$BI146*AB146,0),AB146*$BI146),AB146*$BI146),0)</f>
        <v>0</v>
      </c>
      <c r="CF146" s="5">
        <f>IF($BI146&lt;&gt;"",IF('Capacity summary'!$C$14="Yes",IF(COUNTBLANK('Capacity summary'!$H58:$BG58)&lt;52,IF('Capacity summary'!AC58&lt;&gt;"",$BI146*AC146,0),AC146*$BI146),AC146*$BI146),0)</f>
        <v>0</v>
      </c>
      <c r="CG146" s="5">
        <f>IF($BI146&lt;&gt;"",IF('Capacity summary'!$C$14="Yes",IF(COUNTBLANK('Capacity summary'!$H58:$BG58)&lt;52,IF('Capacity summary'!AD58&lt;&gt;"",$BI146*AD146,0),AD146*$BI146),AD146*$BI146),0)</f>
        <v>0</v>
      </c>
      <c r="CH146" s="5">
        <f>IF($BI146&lt;&gt;"",IF('Capacity summary'!$C$14="Yes",IF(COUNTBLANK('Capacity summary'!$H58:$BG58)&lt;52,IF('Capacity summary'!AE58&lt;&gt;"",$BI146*AE146,0),AE146*$BI146),AE146*$BI146),0)</f>
        <v>0</v>
      </c>
      <c r="CI146" s="5">
        <f>IF($BI146&lt;&gt;"",IF('Capacity summary'!$C$14="Yes",IF(COUNTBLANK('Capacity summary'!$H58:$BG58)&lt;52,IF('Capacity summary'!AF58&lt;&gt;"",$BI146*AF146,0),AF146*$BI146),AF146*$BI146),0)</f>
        <v>0</v>
      </c>
      <c r="CJ146" s="5">
        <f>IF($BI146&lt;&gt;"",IF('Capacity summary'!$C$14="Yes",IF(COUNTBLANK('Capacity summary'!$H58:$BG58)&lt;52,IF('Capacity summary'!AG58&lt;&gt;"",$BI146*AG146,0),AG146*$BI146),AG146*$BI146),0)</f>
        <v>0</v>
      </c>
      <c r="CK146" s="5">
        <f>IF($BI146&lt;&gt;"",IF('Capacity summary'!$C$14="Yes",IF(COUNTBLANK('Capacity summary'!$H58:$BG58)&lt;52,IF('Capacity summary'!AH58&lt;&gt;"",$BI146*AH146,0),AH146*$BI146),AH146*$BI146),0)</f>
        <v>0</v>
      </c>
      <c r="CL146" s="5">
        <f>IF($BI146&lt;&gt;"",IF('Capacity summary'!$C$14="Yes",IF(COUNTBLANK('Capacity summary'!$H58:$BG58)&lt;52,IF('Capacity summary'!AI58&lt;&gt;"",$BI146*AI146,0),AI146*$BI146),AI146*$BI146),0)</f>
        <v>0</v>
      </c>
      <c r="CM146" s="5">
        <f>IF($BI146&lt;&gt;"",IF('Capacity summary'!$C$14="Yes",IF(COUNTBLANK('Capacity summary'!$H58:$BG58)&lt;52,IF('Capacity summary'!AJ58&lt;&gt;"",$BI146*AJ146,0),AJ146*$BI146),AJ146*$BI146),0)</f>
        <v>0</v>
      </c>
      <c r="CN146" s="5">
        <f>IF($BI146&lt;&gt;"",IF('Capacity summary'!$C$14="Yes",IF(COUNTBLANK('Capacity summary'!$H58:$BG58)&lt;52,IF('Capacity summary'!AK58&lt;&gt;"",$BI146*AK146,0),AK146*$BI146),AK146*$BI146),0)</f>
        <v>0</v>
      </c>
      <c r="CO146" s="5">
        <f>IF($BI146&lt;&gt;"",IF('Capacity summary'!$C$14="Yes",IF(COUNTBLANK('Capacity summary'!$H58:$BG58)&lt;52,IF('Capacity summary'!AL58&lt;&gt;"",$BI146*AL146,0),AL146*$BI146),AL146*$BI146),0)</f>
        <v>0</v>
      </c>
      <c r="CP146" s="5">
        <f>IF($BI146&lt;&gt;"",IF('Capacity summary'!$C$14="Yes",IF(COUNTBLANK('Capacity summary'!$H58:$BG58)&lt;52,IF('Capacity summary'!AM58&lt;&gt;"",$BI146*AM146,0),AM146*$BI146),AM146*$BI146),0)</f>
        <v>0</v>
      </c>
      <c r="CQ146" s="5">
        <f>IF($BI146&lt;&gt;"",IF('Capacity summary'!$C$14="Yes",IF(COUNTBLANK('Capacity summary'!$H58:$BG58)&lt;52,IF('Capacity summary'!AN58&lt;&gt;"",$BI146*AN146,0),AN146*$BI146),AN146*$BI146),0)</f>
        <v>0</v>
      </c>
      <c r="CR146" s="5">
        <f>IF($BI146&lt;&gt;"",IF('Capacity summary'!$C$14="Yes",IF(COUNTBLANK('Capacity summary'!$H58:$BG58)&lt;52,IF('Capacity summary'!AO58&lt;&gt;"",$BI146*AO146,0),AO146*$BI146),AO146*$BI146),0)</f>
        <v>0</v>
      </c>
      <c r="CS146" s="5">
        <f>IF($BI146&lt;&gt;"",IF('Capacity summary'!$C$14="Yes",IF(COUNTBLANK('Capacity summary'!$H58:$BG58)&lt;52,IF('Capacity summary'!AP58&lt;&gt;"",$BI146*AP146,0),AP146*$BI146),AP146*$BI146),0)</f>
        <v>0</v>
      </c>
      <c r="CT146" s="5">
        <f>IF($BI146&lt;&gt;"",IF('Capacity summary'!$C$14="Yes",IF(COUNTBLANK('Capacity summary'!$H58:$BG58)&lt;52,IF('Capacity summary'!AQ58&lt;&gt;"",$BI146*AQ146,0),AQ146*$BI146),AQ146*$BI146),0)</f>
        <v>0</v>
      </c>
      <c r="CU146" s="5">
        <f>IF($BI146&lt;&gt;"",IF('Capacity summary'!$C$14="Yes",IF(COUNTBLANK('Capacity summary'!$H58:$BG58)&lt;52,IF('Capacity summary'!AR58&lt;&gt;"",$BI146*AR146,0),AR146*$BI146),AR146*$BI146),0)</f>
        <v>0</v>
      </c>
      <c r="CV146" s="5">
        <f>IF($BI146&lt;&gt;"",IF('Capacity summary'!$C$14="Yes",IF(COUNTBLANK('Capacity summary'!$H58:$BG58)&lt;52,IF('Capacity summary'!AS58&lt;&gt;"",$BI146*AS146,0),AS146*$BI146),AS146*$BI146),0)</f>
        <v>0</v>
      </c>
      <c r="CW146" s="5">
        <f>IF($BI146&lt;&gt;"",IF('Capacity summary'!$C$14="Yes",IF(COUNTBLANK('Capacity summary'!$H58:$BG58)&lt;52,IF('Capacity summary'!AT58&lt;&gt;"",$BI146*AT146,0),AT146*$BI146),AT146*$BI146),0)</f>
        <v>0</v>
      </c>
      <c r="CX146" s="5">
        <f>IF($BI146&lt;&gt;"",IF('Capacity summary'!$C$14="Yes",IF(COUNTBLANK('Capacity summary'!$H58:$BG58)&lt;52,IF('Capacity summary'!AU58&lt;&gt;"",$BI146*AU146,0),AU146*$BI146),AU146*$BI146),0)</f>
        <v>0</v>
      </c>
      <c r="CY146" s="5">
        <f>IF($BI146&lt;&gt;"",IF('Capacity summary'!$C$14="Yes",IF(COUNTBLANK('Capacity summary'!$H58:$BG58)&lt;52,IF('Capacity summary'!AV58&lt;&gt;"",$BI146*AV146,0),AV146*$BI146),AV146*$BI146),0)</f>
        <v>0</v>
      </c>
      <c r="CZ146" s="5">
        <f>IF($BI146&lt;&gt;"",IF('Capacity summary'!$C$14="Yes",IF(COUNTBLANK('Capacity summary'!$H58:$BG58)&lt;52,IF('Capacity summary'!AW58&lt;&gt;"",$BI146*AW146,0),AW146*$BI146),AW146*$BI146),0)</f>
        <v>0</v>
      </c>
      <c r="DA146" s="5">
        <f>IF($BI146&lt;&gt;"",IF('Capacity summary'!$C$14="Yes",IF(COUNTBLANK('Capacity summary'!$H58:$BG58)&lt;52,IF('Capacity summary'!AX58&lt;&gt;"",$BI146*AX146,0),AX146*$BI146),AX146*$BI146),0)</f>
        <v>0</v>
      </c>
      <c r="DB146" s="5">
        <f>IF($BI146&lt;&gt;"",IF('Capacity summary'!$C$14="Yes",IF(COUNTBLANK('Capacity summary'!$H58:$BG58)&lt;52,IF('Capacity summary'!AY58&lt;&gt;"",$BI146*AY146,0),AY146*$BI146),AY146*$BI146),0)</f>
        <v>0</v>
      </c>
      <c r="DC146" s="5">
        <f>IF($BI146&lt;&gt;"",IF('Capacity summary'!$C$14="Yes",IF(COUNTBLANK('Capacity summary'!$H58:$BG58)&lt;52,IF('Capacity summary'!AZ58&lt;&gt;"",$BI146*AZ146,0),AZ146*$BI146),AZ146*$BI146),0)</f>
        <v>0</v>
      </c>
      <c r="DD146" s="5">
        <f>IF($BI146&lt;&gt;"",IF('Capacity summary'!$C$14="Yes",IF(COUNTBLANK('Capacity summary'!$H58:$BG58)&lt;52,IF('Capacity summary'!BA58&lt;&gt;"",$BI146*BA146,0),BA146*$BI146),BA146*$BI146),0)</f>
        <v>0</v>
      </c>
      <c r="DE146" s="5">
        <f>IF($BI146&lt;&gt;"",IF('Capacity summary'!$C$14="Yes",IF(COUNTBLANK('Capacity summary'!$H58:$BG58)&lt;52,IF('Capacity summary'!BB58&lt;&gt;"",$BI146*BB146,0),BB146*$BI146),BB146*$BI146),0)</f>
        <v>0</v>
      </c>
      <c r="DF146" s="5">
        <f>IF($BI146&lt;&gt;"",IF('Capacity summary'!$C$14="Yes",IF(COUNTBLANK('Capacity summary'!$H58:$BG58)&lt;52,IF('Capacity summary'!BC58&lt;&gt;"",$BI146*BC146,0),BC146*$BI146),BC146*$BI146),0)</f>
        <v>0</v>
      </c>
      <c r="DG146" s="5">
        <f>IF($BI146&lt;&gt;"",IF('Capacity summary'!$C$14="Yes",IF(COUNTBLANK('Capacity summary'!$H58:$BG58)&lt;52,IF('Capacity summary'!BD58&lt;&gt;"",$BI146*BD146,0),BD146*$BI146),BD146*$BI146),0)</f>
        <v>0</v>
      </c>
      <c r="DH146" s="5">
        <f>IF($BI146&lt;&gt;"",IF('Capacity summary'!$C$14="Yes",IF(COUNTBLANK('Capacity summary'!$H58:$BG58)&lt;52,IF('Capacity summary'!BE58&lt;&gt;"",$BI146*BE146,0),BE146*$BI146),BE146*$BI146),0)</f>
        <v>0</v>
      </c>
      <c r="DI146" s="5">
        <f>IF($BI146&lt;&gt;"",IF('Capacity summary'!$C$14="Yes",IF(COUNTBLANK('Capacity summary'!$H58:$BG58)&lt;52,IF('Capacity summary'!BF58&lt;&gt;"",$BI146*BF146,0),BF146*$BI146),BF146*$BI146),0)</f>
        <v>0</v>
      </c>
      <c r="DJ146" s="5">
        <f>IF($BI146&lt;&gt;"",IF('Capacity summary'!$C$14="Yes",IF(COUNTBLANK('Capacity summary'!$H58:$BG58)&lt;52,IF('Capacity summary'!BG58&lt;&gt;"",$BI146*BG146,0),BG146*$BI146),BG146*$BI146),0)</f>
        <v>0</v>
      </c>
      <c r="DK146" s="138">
        <f t="shared" si="6"/>
        <v>0</v>
      </c>
    </row>
    <row r="147" spans="3:115" x14ac:dyDescent="0.2">
      <c r="C147" s="68" t="str">
        <f>ROW(A36)&amp;". "&amp;Capacity!N52</f>
        <v xml:space="preserve">36. </v>
      </c>
      <c r="D147" s="68">
        <f>'Capacity setup'!C153</f>
        <v>0</v>
      </c>
      <c r="E147" s="68">
        <f>'Capacity setup'!D153</f>
        <v>0</v>
      </c>
      <c r="F147" s="68">
        <f>'Capacity setup'!E153</f>
        <v>0</v>
      </c>
      <c r="H147" s="68">
        <f ca="1">IF(AND(SUMIF(Capacity_Resource,$D147,'Critical resources (hide)'!U$6:U$105)+SUMIF(Capacity_Resource,$E147,'Critical resources (hide)'!U$6:U$105)+SUMIF(Capacity_Resource,$F147,'Critical resources (hide)'!U$6:U$105)&gt;0,$E$1=2),0,1)</f>
        <v>1</v>
      </c>
      <c r="I147" s="68">
        <f ca="1">IF(AND(SUMIF(Capacity_Resource,$D147,'Critical resources (hide)'!V$6:V$105)+SUMIF(Capacity_Resource,$E147,'Critical resources (hide)'!V$6:V$105)+SUMIF(Capacity_Resource,$F147,'Critical resources (hide)'!V$6:V$105)&gt;0,$E$1=2),0,1)</f>
        <v>1</v>
      </c>
      <c r="J147" s="68">
        <f ca="1">IF(AND(SUMIF(Capacity_Resource,$D147,'Critical resources (hide)'!W$6:W$105)+SUMIF(Capacity_Resource,$E147,'Critical resources (hide)'!W$6:W$105)+SUMIF(Capacity_Resource,$F147,'Critical resources (hide)'!W$6:W$105)&gt;0,$E$1=2),0,1)</f>
        <v>1</v>
      </c>
      <c r="K147" s="68">
        <f ca="1">IF(AND(SUMIF(Capacity_Resource,$D147,'Critical resources (hide)'!X$6:X$105)+SUMIF(Capacity_Resource,$E147,'Critical resources (hide)'!X$6:X$105)+SUMIF(Capacity_Resource,$F147,'Critical resources (hide)'!X$6:X$105)&gt;0,$E$1=2),0,1)</f>
        <v>1</v>
      </c>
      <c r="L147" s="68">
        <f ca="1">IF(AND(SUMIF(Capacity_Resource,$D147,'Critical resources (hide)'!Y$6:Y$105)+SUMIF(Capacity_Resource,$E147,'Critical resources (hide)'!Y$6:Y$105)+SUMIF(Capacity_Resource,$F147,'Critical resources (hide)'!Y$6:Y$105)&gt;0,$E$1=2),0,1)</f>
        <v>1</v>
      </c>
      <c r="M147" s="68">
        <f ca="1">IF(AND(SUMIF(Capacity_Resource,$D147,'Critical resources (hide)'!Z$6:Z$105)+SUMIF(Capacity_Resource,$E147,'Critical resources (hide)'!Z$6:Z$105)+SUMIF(Capacity_Resource,$F147,'Critical resources (hide)'!Z$6:Z$105)&gt;0,$E$1=2),0,1)</f>
        <v>1</v>
      </c>
      <c r="N147" s="68">
        <f ca="1">IF(AND(SUMIF(Capacity_Resource,$D147,'Critical resources (hide)'!AA$6:AA$105)+SUMIF(Capacity_Resource,$E147,'Critical resources (hide)'!AA$6:AA$105)+SUMIF(Capacity_Resource,$F147,'Critical resources (hide)'!AA$6:AA$105)&gt;0,$E$1=2),0,1)</f>
        <v>1</v>
      </c>
      <c r="O147" s="68">
        <f ca="1">IF(AND(SUMIF(Capacity_Resource,$D147,'Critical resources (hide)'!AB$6:AB$105)+SUMIF(Capacity_Resource,$E147,'Critical resources (hide)'!AB$6:AB$105)+SUMIF(Capacity_Resource,$F147,'Critical resources (hide)'!AB$6:AB$105)&gt;0,$E$1=2),0,1)</f>
        <v>1</v>
      </c>
      <c r="P147" s="68">
        <f ca="1">IF(AND(SUMIF(Capacity_Resource,$D147,'Critical resources (hide)'!AC$6:AC$105)+SUMIF(Capacity_Resource,$E147,'Critical resources (hide)'!AC$6:AC$105)+SUMIF(Capacity_Resource,$F147,'Critical resources (hide)'!AC$6:AC$105)&gt;0,$E$1=2),0,1)</f>
        <v>1</v>
      </c>
      <c r="Q147" s="68">
        <f ca="1">IF(AND(SUMIF(Capacity_Resource,$D147,'Critical resources (hide)'!AD$6:AD$105)+SUMIF(Capacity_Resource,$E147,'Critical resources (hide)'!AD$6:AD$105)+SUMIF(Capacity_Resource,$F147,'Critical resources (hide)'!AD$6:AD$105)&gt;0,$E$1=2),0,1)</f>
        <v>1</v>
      </c>
      <c r="R147" s="68">
        <f ca="1">IF(AND(SUMIF(Capacity_Resource,$D147,'Critical resources (hide)'!AE$6:AE$105)+SUMIF(Capacity_Resource,$E147,'Critical resources (hide)'!AE$6:AE$105)+SUMIF(Capacity_Resource,$F147,'Critical resources (hide)'!AE$6:AE$105)&gt;0,$E$1=2),0,1)</f>
        <v>1</v>
      </c>
      <c r="S147" s="68">
        <f ca="1">IF(AND(SUMIF(Capacity_Resource,$D147,'Critical resources (hide)'!AF$6:AF$105)+SUMIF(Capacity_Resource,$E147,'Critical resources (hide)'!AF$6:AF$105)+SUMIF(Capacity_Resource,$F147,'Critical resources (hide)'!AF$6:AF$105)&gt;0,$E$1=2),0,1)</f>
        <v>1</v>
      </c>
      <c r="T147" s="68">
        <f ca="1">IF(AND(SUMIF(Capacity_Resource,$D147,'Critical resources (hide)'!AG$6:AG$105)+SUMIF(Capacity_Resource,$E147,'Critical resources (hide)'!AG$6:AG$105)+SUMIF(Capacity_Resource,$F147,'Critical resources (hide)'!AG$6:AG$105)&gt;0,$E$1=2),0,1)</f>
        <v>1</v>
      </c>
      <c r="U147" s="68">
        <f ca="1">IF(AND(SUMIF(Capacity_Resource,$D147,'Critical resources (hide)'!AH$6:AH$105)+SUMIF(Capacity_Resource,$E147,'Critical resources (hide)'!AH$6:AH$105)+SUMIF(Capacity_Resource,$F147,'Critical resources (hide)'!AH$6:AH$105)&gt;0,$E$1=2),0,1)</f>
        <v>1</v>
      </c>
      <c r="V147" s="68">
        <f ca="1">IF(AND(SUMIF(Capacity_Resource,$D147,'Critical resources (hide)'!AI$6:AI$105)+SUMIF(Capacity_Resource,$E147,'Critical resources (hide)'!AI$6:AI$105)+SUMIF(Capacity_Resource,$F147,'Critical resources (hide)'!AI$6:AI$105)&gt;0,$E$1=2),0,1)</f>
        <v>1</v>
      </c>
      <c r="W147" s="68">
        <f ca="1">IF(AND(SUMIF(Capacity_Resource,$D147,'Critical resources (hide)'!AJ$6:AJ$105)+SUMIF(Capacity_Resource,$E147,'Critical resources (hide)'!AJ$6:AJ$105)+SUMIF(Capacity_Resource,$F147,'Critical resources (hide)'!AJ$6:AJ$105)&gt;0,$E$1=2),0,1)</f>
        <v>1</v>
      </c>
      <c r="X147" s="68">
        <f ca="1">IF(AND(SUMIF(Capacity_Resource,$D147,'Critical resources (hide)'!AK$6:AK$105)+SUMIF(Capacity_Resource,$E147,'Critical resources (hide)'!AK$6:AK$105)+SUMIF(Capacity_Resource,$F147,'Critical resources (hide)'!AK$6:AK$105)&gt;0,$E$1=2),0,1)</f>
        <v>1</v>
      </c>
      <c r="Y147" s="68">
        <f ca="1">IF(AND(SUMIF(Capacity_Resource,$D147,'Critical resources (hide)'!AL$6:AL$105)+SUMIF(Capacity_Resource,$E147,'Critical resources (hide)'!AL$6:AL$105)+SUMIF(Capacity_Resource,$F147,'Critical resources (hide)'!AL$6:AL$105)&gt;0,$E$1=2),0,1)</f>
        <v>1</v>
      </c>
      <c r="Z147" s="68">
        <f ca="1">IF(AND(SUMIF(Capacity_Resource,$D147,'Critical resources (hide)'!AM$6:AM$105)+SUMIF(Capacity_Resource,$E147,'Critical resources (hide)'!AM$6:AM$105)+SUMIF(Capacity_Resource,$F147,'Critical resources (hide)'!AM$6:AM$105)&gt;0,$E$1=2),0,1)</f>
        <v>1</v>
      </c>
      <c r="AA147" s="68">
        <f ca="1">IF(AND(SUMIF(Capacity_Resource,$D147,'Critical resources (hide)'!AN$6:AN$105)+SUMIF(Capacity_Resource,$E147,'Critical resources (hide)'!AN$6:AN$105)+SUMIF(Capacity_Resource,$F147,'Critical resources (hide)'!AN$6:AN$105)&gt;0,$E$1=2),0,1)</f>
        <v>1</v>
      </c>
      <c r="AB147" s="68">
        <f ca="1">IF(AND(SUMIF(Capacity_Resource,$D147,'Critical resources (hide)'!AO$6:AO$105)+SUMIF(Capacity_Resource,$E147,'Critical resources (hide)'!AO$6:AO$105)+SUMIF(Capacity_Resource,$F147,'Critical resources (hide)'!AO$6:AO$105)&gt;0,$E$1=2),0,1)</f>
        <v>1</v>
      </c>
      <c r="AC147" s="68">
        <f ca="1">IF(AND(SUMIF(Capacity_Resource,$D147,'Critical resources (hide)'!AP$6:AP$105)+SUMIF(Capacity_Resource,$E147,'Critical resources (hide)'!AP$6:AP$105)+SUMIF(Capacity_Resource,$F147,'Critical resources (hide)'!AP$6:AP$105)&gt;0,$E$1=2),0,1)</f>
        <v>1</v>
      </c>
      <c r="AD147" s="68">
        <f ca="1">IF(AND(SUMIF(Capacity_Resource,$D147,'Critical resources (hide)'!AQ$6:AQ$105)+SUMIF(Capacity_Resource,$E147,'Critical resources (hide)'!AQ$6:AQ$105)+SUMIF(Capacity_Resource,$F147,'Critical resources (hide)'!AQ$6:AQ$105)&gt;0,$E$1=2),0,1)</f>
        <v>1</v>
      </c>
      <c r="AE147" s="68">
        <f ca="1">IF(AND(SUMIF(Capacity_Resource,$D147,'Critical resources (hide)'!AR$6:AR$105)+SUMIF(Capacity_Resource,$E147,'Critical resources (hide)'!AR$6:AR$105)+SUMIF(Capacity_Resource,$F147,'Critical resources (hide)'!AR$6:AR$105)&gt;0,$E$1=2),0,1)</f>
        <v>1</v>
      </c>
      <c r="AF147" s="68">
        <f ca="1">IF(AND(SUMIF(Capacity_Resource,$D147,'Critical resources (hide)'!AS$6:AS$105)+SUMIF(Capacity_Resource,$E147,'Critical resources (hide)'!AS$6:AS$105)+SUMIF(Capacity_Resource,$F147,'Critical resources (hide)'!AS$6:AS$105)&gt;0,$E$1=2),0,1)</f>
        <v>1</v>
      </c>
      <c r="AG147" s="68">
        <f ca="1">IF(AND(SUMIF(Capacity_Resource,$D147,'Critical resources (hide)'!AT$6:AT$105)+SUMIF(Capacity_Resource,$E147,'Critical resources (hide)'!AT$6:AT$105)+SUMIF(Capacity_Resource,$F147,'Critical resources (hide)'!AT$6:AT$105)&gt;0,$E$1=2),0,1)</f>
        <v>1</v>
      </c>
      <c r="AH147" s="68">
        <f ca="1">IF(AND(SUMIF(Capacity_Resource,$D147,'Critical resources (hide)'!AU$6:AU$105)+SUMIF(Capacity_Resource,$E147,'Critical resources (hide)'!AU$6:AU$105)+SUMIF(Capacity_Resource,$F147,'Critical resources (hide)'!AU$6:AU$105)&gt;0,$E$1=2),0,1)</f>
        <v>1</v>
      </c>
      <c r="AI147" s="68">
        <f ca="1">IF(AND(SUMIF(Capacity_Resource,$D147,'Critical resources (hide)'!AV$6:AV$105)+SUMIF(Capacity_Resource,$E147,'Critical resources (hide)'!AV$6:AV$105)+SUMIF(Capacity_Resource,$F147,'Critical resources (hide)'!AV$6:AV$105)&gt;0,$E$1=2),0,1)</f>
        <v>1</v>
      </c>
      <c r="AJ147" s="68">
        <f ca="1">IF(AND(SUMIF(Capacity_Resource,$D147,'Critical resources (hide)'!AW$6:AW$105)+SUMIF(Capacity_Resource,$E147,'Critical resources (hide)'!AW$6:AW$105)+SUMIF(Capacity_Resource,$F147,'Critical resources (hide)'!AW$6:AW$105)&gt;0,$E$1=2),0,1)</f>
        <v>1</v>
      </c>
      <c r="AK147" s="68">
        <f ca="1">IF(AND(SUMIF(Capacity_Resource,$D147,'Critical resources (hide)'!AX$6:AX$105)+SUMIF(Capacity_Resource,$E147,'Critical resources (hide)'!AX$6:AX$105)+SUMIF(Capacity_Resource,$F147,'Critical resources (hide)'!AX$6:AX$105)&gt;0,$E$1=2),0,1)</f>
        <v>1</v>
      </c>
      <c r="AL147" s="68">
        <f ca="1">IF(AND(SUMIF(Capacity_Resource,$D147,'Critical resources (hide)'!AY$6:AY$105)+SUMIF(Capacity_Resource,$E147,'Critical resources (hide)'!AY$6:AY$105)+SUMIF(Capacity_Resource,$F147,'Critical resources (hide)'!AY$6:AY$105)&gt;0,$E$1=2),0,1)</f>
        <v>1</v>
      </c>
      <c r="AM147" s="68">
        <f ca="1">IF(AND(SUMIF(Capacity_Resource,$D147,'Critical resources (hide)'!AZ$6:AZ$105)+SUMIF(Capacity_Resource,$E147,'Critical resources (hide)'!AZ$6:AZ$105)+SUMIF(Capacity_Resource,$F147,'Critical resources (hide)'!AZ$6:AZ$105)&gt;0,$E$1=2),0,1)</f>
        <v>1</v>
      </c>
      <c r="AN147" s="68">
        <f ca="1">IF(AND(SUMIF(Capacity_Resource,$D147,'Critical resources (hide)'!BA$6:BA$105)+SUMIF(Capacity_Resource,$E147,'Critical resources (hide)'!BA$6:BA$105)+SUMIF(Capacity_Resource,$F147,'Critical resources (hide)'!BA$6:BA$105)&gt;0,$E$1=2),0,1)</f>
        <v>1</v>
      </c>
      <c r="AO147" s="68">
        <f ca="1">IF(AND(SUMIF(Capacity_Resource,$D147,'Critical resources (hide)'!BB$6:BB$105)+SUMIF(Capacity_Resource,$E147,'Critical resources (hide)'!BB$6:BB$105)+SUMIF(Capacity_Resource,$F147,'Critical resources (hide)'!BB$6:BB$105)&gt;0,$E$1=2),0,1)</f>
        <v>1</v>
      </c>
      <c r="AP147" s="68">
        <f ca="1">IF(AND(SUMIF(Capacity_Resource,$D147,'Critical resources (hide)'!BC$6:BC$105)+SUMIF(Capacity_Resource,$E147,'Critical resources (hide)'!BC$6:BC$105)+SUMIF(Capacity_Resource,$F147,'Critical resources (hide)'!BC$6:BC$105)&gt;0,$E$1=2),0,1)</f>
        <v>1</v>
      </c>
      <c r="AQ147" s="68">
        <f ca="1">IF(AND(SUMIF(Capacity_Resource,$D147,'Critical resources (hide)'!BD$6:BD$105)+SUMIF(Capacity_Resource,$E147,'Critical resources (hide)'!BD$6:BD$105)+SUMIF(Capacity_Resource,$F147,'Critical resources (hide)'!BD$6:BD$105)&gt;0,$E$1=2),0,1)</f>
        <v>1</v>
      </c>
      <c r="AR147" s="68">
        <f ca="1">IF(AND(SUMIF(Capacity_Resource,$D147,'Critical resources (hide)'!BE$6:BE$105)+SUMIF(Capacity_Resource,$E147,'Critical resources (hide)'!BE$6:BE$105)+SUMIF(Capacity_Resource,$F147,'Critical resources (hide)'!BE$6:BE$105)&gt;0,$E$1=2),0,1)</f>
        <v>1</v>
      </c>
      <c r="AS147" s="68">
        <f ca="1">IF(AND(SUMIF(Capacity_Resource,$D147,'Critical resources (hide)'!BF$6:BF$105)+SUMIF(Capacity_Resource,$E147,'Critical resources (hide)'!BF$6:BF$105)+SUMIF(Capacity_Resource,$F147,'Critical resources (hide)'!BF$6:BF$105)&gt;0,$E$1=2),0,1)</f>
        <v>1</v>
      </c>
      <c r="AT147" s="68">
        <f ca="1">IF(AND(SUMIF(Capacity_Resource,$D147,'Critical resources (hide)'!BG$6:BG$105)+SUMIF(Capacity_Resource,$E147,'Critical resources (hide)'!BG$6:BG$105)+SUMIF(Capacity_Resource,$F147,'Critical resources (hide)'!BG$6:BG$105)&gt;0,$E$1=2),0,1)</f>
        <v>1</v>
      </c>
      <c r="AU147" s="68">
        <f ca="1">IF(AND(SUMIF(Capacity_Resource,$D147,'Critical resources (hide)'!BH$6:BH$105)+SUMIF(Capacity_Resource,$E147,'Critical resources (hide)'!BH$6:BH$105)+SUMIF(Capacity_Resource,$F147,'Critical resources (hide)'!BH$6:BH$105)&gt;0,$E$1=2),0,1)</f>
        <v>1</v>
      </c>
      <c r="AV147" s="68">
        <f ca="1">IF(AND(SUMIF(Capacity_Resource,$D147,'Critical resources (hide)'!BI$6:BI$105)+SUMIF(Capacity_Resource,$E147,'Critical resources (hide)'!BI$6:BI$105)+SUMIF(Capacity_Resource,$F147,'Critical resources (hide)'!BI$6:BI$105)&gt;0,$E$1=2),0,1)</f>
        <v>1</v>
      </c>
      <c r="AW147" s="68">
        <f ca="1">IF(AND(SUMIF(Capacity_Resource,$D147,'Critical resources (hide)'!BJ$6:BJ$105)+SUMIF(Capacity_Resource,$E147,'Critical resources (hide)'!BJ$6:BJ$105)+SUMIF(Capacity_Resource,$F147,'Critical resources (hide)'!BJ$6:BJ$105)&gt;0,$E$1=2),0,1)</f>
        <v>1</v>
      </c>
      <c r="AX147" s="68">
        <f ca="1">IF(AND(SUMIF(Capacity_Resource,$D147,'Critical resources (hide)'!BK$6:BK$105)+SUMIF(Capacity_Resource,$E147,'Critical resources (hide)'!BK$6:BK$105)+SUMIF(Capacity_Resource,$F147,'Critical resources (hide)'!BK$6:BK$105)&gt;0,$E$1=2),0,1)</f>
        <v>1</v>
      </c>
      <c r="AY147" s="68">
        <f ca="1">IF(AND(SUMIF(Capacity_Resource,$D147,'Critical resources (hide)'!BL$6:BL$105)+SUMIF(Capacity_Resource,$E147,'Critical resources (hide)'!BL$6:BL$105)+SUMIF(Capacity_Resource,$F147,'Critical resources (hide)'!BL$6:BL$105)&gt;0,$E$1=2),0,1)</f>
        <v>1</v>
      </c>
      <c r="AZ147" s="68">
        <f ca="1">IF(AND(SUMIF(Capacity_Resource,$D147,'Critical resources (hide)'!BM$6:BM$105)+SUMIF(Capacity_Resource,$E147,'Critical resources (hide)'!BM$6:BM$105)+SUMIF(Capacity_Resource,$F147,'Critical resources (hide)'!BM$6:BM$105)&gt;0,$E$1=2),0,1)</f>
        <v>1</v>
      </c>
      <c r="BA147" s="68">
        <f ca="1">IF(AND(SUMIF(Capacity_Resource,$D147,'Critical resources (hide)'!BN$6:BN$105)+SUMIF(Capacity_Resource,$E147,'Critical resources (hide)'!BN$6:BN$105)+SUMIF(Capacity_Resource,$F147,'Critical resources (hide)'!BN$6:BN$105)&gt;0,$E$1=2),0,1)</f>
        <v>1</v>
      </c>
      <c r="BB147" s="68">
        <f ca="1">IF(AND(SUMIF(Capacity_Resource,$D147,'Critical resources (hide)'!BO$6:BO$105)+SUMIF(Capacity_Resource,$E147,'Critical resources (hide)'!BO$6:BO$105)+SUMIF(Capacity_Resource,$F147,'Critical resources (hide)'!BO$6:BO$105)&gt;0,$E$1=2),0,1)</f>
        <v>1</v>
      </c>
      <c r="BC147" s="68">
        <f ca="1">IF(AND(SUMIF(Capacity_Resource,$D147,'Critical resources (hide)'!BP$6:BP$105)+SUMIF(Capacity_Resource,$E147,'Critical resources (hide)'!BP$6:BP$105)+SUMIF(Capacity_Resource,$F147,'Critical resources (hide)'!BP$6:BP$105)&gt;0,$E$1=2),0,1)</f>
        <v>1</v>
      </c>
      <c r="BD147" s="68">
        <f ca="1">IF(AND(SUMIF(Capacity_Resource,$D147,'Critical resources (hide)'!BQ$6:BQ$105)+SUMIF(Capacity_Resource,$E147,'Critical resources (hide)'!BQ$6:BQ$105)+SUMIF(Capacity_Resource,$F147,'Critical resources (hide)'!BQ$6:BQ$105)&gt;0,$E$1=2),0,1)</f>
        <v>1</v>
      </c>
      <c r="BE147" s="68">
        <f ca="1">IF(AND(SUMIF(Capacity_Resource,$D147,'Critical resources (hide)'!BR$6:BR$105)+SUMIF(Capacity_Resource,$E147,'Critical resources (hide)'!BR$6:BR$105)+SUMIF(Capacity_Resource,$F147,'Critical resources (hide)'!BR$6:BR$105)&gt;0,$E$1=2),0,1)</f>
        <v>1</v>
      </c>
      <c r="BF147" s="68">
        <f ca="1">IF(AND(SUMIF(Capacity_Resource,$D147,'Critical resources (hide)'!BS$6:BS$105)+SUMIF(Capacity_Resource,$E147,'Critical resources (hide)'!BS$6:BS$105)+SUMIF(Capacity_Resource,$F147,'Critical resources (hide)'!BS$6:BS$105)&gt;0,$E$1=2),0,1)</f>
        <v>1</v>
      </c>
      <c r="BG147" s="68">
        <f ca="1">IF(AND(SUMIF(Capacity_Resource,$D147,'Critical resources (hide)'!BT$6:BT$105)+SUMIF(Capacity_Resource,$E147,'Critical resources (hide)'!BT$6:BT$105)+SUMIF(Capacity_Resource,$F147,'Critical resources (hide)'!BT$6:BT$105)&gt;0,$E$1=2),0,1)</f>
        <v>1</v>
      </c>
      <c r="BH147" s="68">
        <f>IF(ROW(A36)&lt;=Capacity!$M$16,IF('Capacity summary'!$C$14="No",SUM(H147:BG147),'Capacity summary'!$E59),0)</f>
        <v>0</v>
      </c>
      <c r="BI147" s="68" t="str">
        <f>IF(BH147&gt;0,IF(BH147&lt;Capacity!Q52,Capacity!R52,Capacity!T52/'Capacity calculation (hide)'!BH147),"")</f>
        <v/>
      </c>
      <c r="BJ147" s="5"/>
      <c r="BK147" s="5">
        <f>IF($BI147&lt;&gt;"",IF('Capacity summary'!$C$14="Yes",IF(COUNTBLANK('Capacity summary'!$H59:$BG59)&lt;52,IF('Capacity summary'!H59&lt;&gt;"",$BI147*H147,0),H147*$BI147),H147*$BI147),0)</f>
        <v>0</v>
      </c>
      <c r="BL147" s="5">
        <f>IF($BI147&lt;&gt;"",IF('Capacity summary'!$C$14="Yes",IF(COUNTBLANK('Capacity summary'!$H59:$BG59)&lt;52,IF('Capacity summary'!I59&lt;&gt;"",$BI147*I147,0),I147*$BI147),I147*$BI147),0)</f>
        <v>0</v>
      </c>
      <c r="BM147" s="5">
        <f>IF($BI147&lt;&gt;"",IF('Capacity summary'!$C$14="Yes",IF(COUNTBLANK('Capacity summary'!$H59:$BG59)&lt;52,IF('Capacity summary'!J59&lt;&gt;"",$BI147*J147,0),J147*$BI147),J147*$BI147),0)</f>
        <v>0</v>
      </c>
      <c r="BN147" s="5">
        <f>IF($BI147&lt;&gt;"",IF('Capacity summary'!$C$14="Yes",IF(COUNTBLANK('Capacity summary'!$H59:$BG59)&lt;52,IF('Capacity summary'!K59&lt;&gt;"",$BI147*K147,0),K147*$BI147),K147*$BI147),0)</f>
        <v>0</v>
      </c>
      <c r="BO147" s="5">
        <f>IF($BI147&lt;&gt;"",IF('Capacity summary'!$C$14="Yes",IF(COUNTBLANK('Capacity summary'!$H59:$BG59)&lt;52,IF('Capacity summary'!L59&lt;&gt;"",$BI147*L147,0),L147*$BI147),L147*$BI147),0)</f>
        <v>0</v>
      </c>
      <c r="BP147" s="5">
        <f>IF($BI147&lt;&gt;"",IF('Capacity summary'!$C$14="Yes",IF(COUNTBLANK('Capacity summary'!$H59:$BG59)&lt;52,IF('Capacity summary'!M59&lt;&gt;"",$BI147*M147,0),M147*$BI147),M147*$BI147),0)</f>
        <v>0</v>
      </c>
      <c r="BQ147" s="5">
        <f>IF($BI147&lt;&gt;"",IF('Capacity summary'!$C$14="Yes",IF(COUNTBLANK('Capacity summary'!$H59:$BG59)&lt;52,IF('Capacity summary'!N59&lt;&gt;"",$BI147*N147,0),N147*$BI147),N147*$BI147),0)</f>
        <v>0</v>
      </c>
      <c r="BR147" s="5">
        <f>IF($BI147&lt;&gt;"",IF('Capacity summary'!$C$14="Yes",IF(COUNTBLANK('Capacity summary'!$H59:$BG59)&lt;52,IF('Capacity summary'!O59&lt;&gt;"",$BI147*O147,0),O147*$BI147),O147*$BI147),0)</f>
        <v>0</v>
      </c>
      <c r="BS147" s="5">
        <f>IF($BI147&lt;&gt;"",IF('Capacity summary'!$C$14="Yes",IF(COUNTBLANK('Capacity summary'!$H59:$BG59)&lt;52,IF('Capacity summary'!P59&lt;&gt;"",$BI147*P147,0),P147*$BI147),P147*$BI147),0)</f>
        <v>0</v>
      </c>
      <c r="BT147" s="5">
        <f>IF($BI147&lt;&gt;"",IF('Capacity summary'!$C$14="Yes",IF(COUNTBLANK('Capacity summary'!$H59:$BG59)&lt;52,IF('Capacity summary'!Q59&lt;&gt;"",$BI147*Q147,0),Q147*$BI147),Q147*$BI147),0)</f>
        <v>0</v>
      </c>
      <c r="BU147" s="5">
        <f>IF($BI147&lt;&gt;"",IF('Capacity summary'!$C$14="Yes",IF(COUNTBLANK('Capacity summary'!$H59:$BG59)&lt;52,IF('Capacity summary'!R59&lt;&gt;"",$BI147*R147,0),R147*$BI147),R147*$BI147),0)</f>
        <v>0</v>
      </c>
      <c r="BV147" s="5">
        <f>IF($BI147&lt;&gt;"",IF('Capacity summary'!$C$14="Yes",IF(COUNTBLANK('Capacity summary'!$H59:$BG59)&lt;52,IF('Capacity summary'!S59&lt;&gt;"",$BI147*S147,0),S147*$BI147),S147*$BI147),0)</f>
        <v>0</v>
      </c>
      <c r="BW147" s="5">
        <f>IF($BI147&lt;&gt;"",IF('Capacity summary'!$C$14="Yes",IF(COUNTBLANK('Capacity summary'!$H59:$BG59)&lt;52,IF('Capacity summary'!T59&lt;&gt;"",$BI147*T147,0),T147*$BI147),T147*$BI147),0)</f>
        <v>0</v>
      </c>
      <c r="BX147" s="5">
        <f>IF($BI147&lt;&gt;"",IF('Capacity summary'!$C$14="Yes",IF(COUNTBLANK('Capacity summary'!$H59:$BG59)&lt;52,IF('Capacity summary'!U59&lt;&gt;"",$BI147*U147,0),U147*$BI147),U147*$BI147),0)</f>
        <v>0</v>
      </c>
      <c r="BY147" s="5">
        <f>IF($BI147&lt;&gt;"",IF('Capacity summary'!$C$14="Yes",IF(COUNTBLANK('Capacity summary'!$H59:$BG59)&lt;52,IF('Capacity summary'!V59&lt;&gt;"",$BI147*V147,0),V147*$BI147),V147*$BI147),0)</f>
        <v>0</v>
      </c>
      <c r="BZ147" s="5">
        <f>IF($BI147&lt;&gt;"",IF('Capacity summary'!$C$14="Yes",IF(COUNTBLANK('Capacity summary'!$H59:$BG59)&lt;52,IF('Capacity summary'!W59&lt;&gt;"",$BI147*W147,0),W147*$BI147),W147*$BI147),0)</f>
        <v>0</v>
      </c>
      <c r="CA147" s="5">
        <f>IF($BI147&lt;&gt;"",IF('Capacity summary'!$C$14="Yes",IF(COUNTBLANK('Capacity summary'!$H59:$BG59)&lt;52,IF('Capacity summary'!X59&lt;&gt;"",$BI147*X147,0),X147*$BI147),X147*$BI147),0)</f>
        <v>0</v>
      </c>
      <c r="CB147" s="5">
        <f>IF($BI147&lt;&gt;"",IF('Capacity summary'!$C$14="Yes",IF(COUNTBLANK('Capacity summary'!$H59:$BG59)&lt;52,IF('Capacity summary'!Y59&lt;&gt;"",$BI147*Y147,0),Y147*$BI147),Y147*$BI147),0)</f>
        <v>0</v>
      </c>
      <c r="CC147" s="5">
        <f>IF($BI147&lt;&gt;"",IF('Capacity summary'!$C$14="Yes",IF(COUNTBLANK('Capacity summary'!$H59:$BG59)&lt;52,IF('Capacity summary'!Z59&lt;&gt;"",$BI147*Z147,0),Z147*$BI147),Z147*$BI147),0)</f>
        <v>0</v>
      </c>
      <c r="CD147" s="5">
        <f>IF($BI147&lt;&gt;"",IF('Capacity summary'!$C$14="Yes",IF(COUNTBLANK('Capacity summary'!$H59:$BG59)&lt;52,IF('Capacity summary'!AA59&lt;&gt;"",$BI147*AA147,0),AA147*$BI147),AA147*$BI147),0)</f>
        <v>0</v>
      </c>
      <c r="CE147" s="5">
        <f>IF($BI147&lt;&gt;"",IF('Capacity summary'!$C$14="Yes",IF(COUNTBLANK('Capacity summary'!$H59:$BG59)&lt;52,IF('Capacity summary'!AB59&lt;&gt;"",$BI147*AB147,0),AB147*$BI147),AB147*$BI147),0)</f>
        <v>0</v>
      </c>
      <c r="CF147" s="5">
        <f>IF($BI147&lt;&gt;"",IF('Capacity summary'!$C$14="Yes",IF(COUNTBLANK('Capacity summary'!$H59:$BG59)&lt;52,IF('Capacity summary'!AC59&lt;&gt;"",$BI147*AC147,0),AC147*$BI147),AC147*$BI147),0)</f>
        <v>0</v>
      </c>
      <c r="CG147" s="5">
        <f>IF($BI147&lt;&gt;"",IF('Capacity summary'!$C$14="Yes",IF(COUNTBLANK('Capacity summary'!$H59:$BG59)&lt;52,IF('Capacity summary'!AD59&lt;&gt;"",$BI147*AD147,0),AD147*$BI147),AD147*$BI147),0)</f>
        <v>0</v>
      </c>
      <c r="CH147" s="5">
        <f>IF($BI147&lt;&gt;"",IF('Capacity summary'!$C$14="Yes",IF(COUNTBLANK('Capacity summary'!$H59:$BG59)&lt;52,IF('Capacity summary'!AE59&lt;&gt;"",$BI147*AE147,0),AE147*$BI147),AE147*$BI147),0)</f>
        <v>0</v>
      </c>
      <c r="CI147" s="5">
        <f>IF($BI147&lt;&gt;"",IF('Capacity summary'!$C$14="Yes",IF(COUNTBLANK('Capacity summary'!$H59:$BG59)&lt;52,IF('Capacity summary'!AF59&lt;&gt;"",$BI147*AF147,0),AF147*$BI147),AF147*$BI147),0)</f>
        <v>0</v>
      </c>
      <c r="CJ147" s="5">
        <f>IF($BI147&lt;&gt;"",IF('Capacity summary'!$C$14="Yes",IF(COUNTBLANK('Capacity summary'!$H59:$BG59)&lt;52,IF('Capacity summary'!AG59&lt;&gt;"",$BI147*AG147,0),AG147*$BI147),AG147*$BI147),0)</f>
        <v>0</v>
      </c>
      <c r="CK147" s="5">
        <f>IF($BI147&lt;&gt;"",IF('Capacity summary'!$C$14="Yes",IF(COUNTBLANK('Capacity summary'!$H59:$BG59)&lt;52,IF('Capacity summary'!AH59&lt;&gt;"",$BI147*AH147,0),AH147*$BI147),AH147*$BI147),0)</f>
        <v>0</v>
      </c>
      <c r="CL147" s="5">
        <f>IF($BI147&lt;&gt;"",IF('Capacity summary'!$C$14="Yes",IF(COUNTBLANK('Capacity summary'!$H59:$BG59)&lt;52,IF('Capacity summary'!AI59&lt;&gt;"",$BI147*AI147,0),AI147*$BI147),AI147*$BI147),0)</f>
        <v>0</v>
      </c>
      <c r="CM147" s="5">
        <f>IF($BI147&lt;&gt;"",IF('Capacity summary'!$C$14="Yes",IF(COUNTBLANK('Capacity summary'!$H59:$BG59)&lt;52,IF('Capacity summary'!AJ59&lt;&gt;"",$BI147*AJ147,0),AJ147*$BI147),AJ147*$BI147),0)</f>
        <v>0</v>
      </c>
      <c r="CN147" s="5">
        <f>IF($BI147&lt;&gt;"",IF('Capacity summary'!$C$14="Yes",IF(COUNTBLANK('Capacity summary'!$H59:$BG59)&lt;52,IF('Capacity summary'!AK59&lt;&gt;"",$BI147*AK147,0),AK147*$BI147),AK147*$BI147),0)</f>
        <v>0</v>
      </c>
      <c r="CO147" s="5">
        <f>IF($BI147&lt;&gt;"",IF('Capacity summary'!$C$14="Yes",IF(COUNTBLANK('Capacity summary'!$H59:$BG59)&lt;52,IF('Capacity summary'!AL59&lt;&gt;"",$BI147*AL147,0),AL147*$BI147),AL147*$BI147),0)</f>
        <v>0</v>
      </c>
      <c r="CP147" s="5">
        <f>IF($BI147&lt;&gt;"",IF('Capacity summary'!$C$14="Yes",IF(COUNTBLANK('Capacity summary'!$H59:$BG59)&lt;52,IF('Capacity summary'!AM59&lt;&gt;"",$BI147*AM147,0),AM147*$BI147),AM147*$BI147),0)</f>
        <v>0</v>
      </c>
      <c r="CQ147" s="5">
        <f>IF($BI147&lt;&gt;"",IF('Capacity summary'!$C$14="Yes",IF(COUNTBLANK('Capacity summary'!$H59:$BG59)&lt;52,IF('Capacity summary'!AN59&lt;&gt;"",$BI147*AN147,0),AN147*$BI147),AN147*$BI147),0)</f>
        <v>0</v>
      </c>
      <c r="CR147" s="5">
        <f>IF($BI147&lt;&gt;"",IF('Capacity summary'!$C$14="Yes",IF(COUNTBLANK('Capacity summary'!$H59:$BG59)&lt;52,IF('Capacity summary'!AO59&lt;&gt;"",$BI147*AO147,0),AO147*$BI147),AO147*$BI147),0)</f>
        <v>0</v>
      </c>
      <c r="CS147" s="5">
        <f>IF($BI147&lt;&gt;"",IF('Capacity summary'!$C$14="Yes",IF(COUNTBLANK('Capacity summary'!$H59:$BG59)&lt;52,IF('Capacity summary'!AP59&lt;&gt;"",$BI147*AP147,0),AP147*$BI147),AP147*$BI147),0)</f>
        <v>0</v>
      </c>
      <c r="CT147" s="5">
        <f>IF($BI147&lt;&gt;"",IF('Capacity summary'!$C$14="Yes",IF(COUNTBLANK('Capacity summary'!$H59:$BG59)&lt;52,IF('Capacity summary'!AQ59&lt;&gt;"",$BI147*AQ147,0),AQ147*$BI147),AQ147*$BI147),0)</f>
        <v>0</v>
      </c>
      <c r="CU147" s="5">
        <f>IF($BI147&lt;&gt;"",IF('Capacity summary'!$C$14="Yes",IF(COUNTBLANK('Capacity summary'!$H59:$BG59)&lt;52,IF('Capacity summary'!AR59&lt;&gt;"",$BI147*AR147,0),AR147*$BI147),AR147*$BI147),0)</f>
        <v>0</v>
      </c>
      <c r="CV147" s="5">
        <f>IF($BI147&lt;&gt;"",IF('Capacity summary'!$C$14="Yes",IF(COUNTBLANK('Capacity summary'!$H59:$BG59)&lt;52,IF('Capacity summary'!AS59&lt;&gt;"",$BI147*AS147,0),AS147*$BI147),AS147*$BI147),0)</f>
        <v>0</v>
      </c>
      <c r="CW147" s="5">
        <f>IF($BI147&lt;&gt;"",IF('Capacity summary'!$C$14="Yes",IF(COUNTBLANK('Capacity summary'!$H59:$BG59)&lt;52,IF('Capacity summary'!AT59&lt;&gt;"",$BI147*AT147,0),AT147*$BI147),AT147*$BI147),0)</f>
        <v>0</v>
      </c>
      <c r="CX147" s="5">
        <f>IF($BI147&lt;&gt;"",IF('Capacity summary'!$C$14="Yes",IF(COUNTBLANK('Capacity summary'!$H59:$BG59)&lt;52,IF('Capacity summary'!AU59&lt;&gt;"",$BI147*AU147,0),AU147*$BI147),AU147*$BI147),0)</f>
        <v>0</v>
      </c>
      <c r="CY147" s="5">
        <f>IF($BI147&lt;&gt;"",IF('Capacity summary'!$C$14="Yes",IF(COUNTBLANK('Capacity summary'!$H59:$BG59)&lt;52,IF('Capacity summary'!AV59&lt;&gt;"",$BI147*AV147,0),AV147*$BI147),AV147*$BI147),0)</f>
        <v>0</v>
      </c>
      <c r="CZ147" s="5">
        <f>IF($BI147&lt;&gt;"",IF('Capacity summary'!$C$14="Yes",IF(COUNTBLANK('Capacity summary'!$H59:$BG59)&lt;52,IF('Capacity summary'!AW59&lt;&gt;"",$BI147*AW147,0),AW147*$BI147),AW147*$BI147),0)</f>
        <v>0</v>
      </c>
      <c r="DA147" s="5">
        <f>IF($BI147&lt;&gt;"",IF('Capacity summary'!$C$14="Yes",IF(COUNTBLANK('Capacity summary'!$H59:$BG59)&lt;52,IF('Capacity summary'!AX59&lt;&gt;"",$BI147*AX147,0),AX147*$BI147),AX147*$BI147),0)</f>
        <v>0</v>
      </c>
      <c r="DB147" s="5">
        <f>IF($BI147&lt;&gt;"",IF('Capacity summary'!$C$14="Yes",IF(COUNTBLANK('Capacity summary'!$H59:$BG59)&lt;52,IF('Capacity summary'!AY59&lt;&gt;"",$BI147*AY147,0),AY147*$BI147),AY147*$BI147),0)</f>
        <v>0</v>
      </c>
      <c r="DC147" s="5">
        <f>IF($BI147&lt;&gt;"",IF('Capacity summary'!$C$14="Yes",IF(COUNTBLANK('Capacity summary'!$H59:$BG59)&lt;52,IF('Capacity summary'!AZ59&lt;&gt;"",$BI147*AZ147,0),AZ147*$BI147),AZ147*$BI147),0)</f>
        <v>0</v>
      </c>
      <c r="DD147" s="5">
        <f>IF($BI147&lt;&gt;"",IF('Capacity summary'!$C$14="Yes",IF(COUNTBLANK('Capacity summary'!$H59:$BG59)&lt;52,IF('Capacity summary'!BA59&lt;&gt;"",$BI147*BA147,0),BA147*$BI147),BA147*$BI147),0)</f>
        <v>0</v>
      </c>
      <c r="DE147" s="5">
        <f>IF($BI147&lt;&gt;"",IF('Capacity summary'!$C$14="Yes",IF(COUNTBLANK('Capacity summary'!$H59:$BG59)&lt;52,IF('Capacity summary'!BB59&lt;&gt;"",$BI147*BB147,0),BB147*$BI147),BB147*$BI147),0)</f>
        <v>0</v>
      </c>
      <c r="DF147" s="5">
        <f>IF($BI147&lt;&gt;"",IF('Capacity summary'!$C$14="Yes",IF(COUNTBLANK('Capacity summary'!$H59:$BG59)&lt;52,IF('Capacity summary'!BC59&lt;&gt;"",$BI147*BC147,0),BC147*$BI147),BC147*$BI147),0)</f>
        <v>0</v>
      </c>
      <c r="DG147" s="5">
        <f>IF($BI147&lt;&gt;"",IF('Capacity summary'!$C$14="Yes",IF(COUNTBLANK('Capacity summary'!$H59:$BG59)&lt;52,IF('Capacity summary'!BD59&lt;&gt;"",$BI147*BD147,0),BD147*$BI147),BD147*$BI147),0)</f>
        <v>0</v>
      </c>
      <c r="DH147" s="5">
        <f>IF($BI147&lt;&gt;"",IF('Capacity summary'!$C$14="Yes",IF(COUNTBLANK('Capacity summary'!$H59:$BG59)&lt;52,IF('Capacity summary'!BE59&lt;&gt;"",$BI147*BE147,0),BE147*$BI147),BE147*$BI147),0)</f>
        <v>0</v>
      </c>
      <c r="DI147" s="5">
        <f>IF($BI147&lt;&gt;"",IF('Capacity summary'!$C$14="Yes",IF(COUNTBLANK('Capacity summary'!$H59:$BG59)&lt;52,IF('Capacity summary'!BF59&lt;&gt;"",$BI147*BF147,0),BF147*$BI147),BF147*$BI147),0)</f>
        <v>0</v>
      </c>
      <c r="DJ147" s="5">
        <f>IF($BI147&lt;&gt;"",IF('Capacity summary'!$C$14="Yes",IF(COUNTBLANK('Capacity summary'!$H59:$BG59)&lt;52,IF('Capacity summary'!BG59&lt;&gt;"",$BI147*BG147,0),BG147*$BI147),BG147*$BI147),0)</f>
        <v>0</v>
      </c>
      <c r="DK147" s="138">
        <f t="shared" si="6"/>
        <v>0</v>
      </c>
    </row>
    <row r="148" spans="3:115" x14ac:dyDescent="0.2">
      <c r="C148" s="68" t="str">
        <f>ROW(A37)&amp;". "&amp;Capacity!N53</f>
        <v xml:space="preserve">37. </v>
      </c>
      <c r="D148" s="68">
        <f>'Capacity setup'!C154</f>
        <v>0</v>
      </c>
      <c r="E148" s="68">
        <f>'Capacity setup'!D154</f>
        <v>0</v>
      </c>
      <c r="F148" s="68">
        <f>'Capacity setup'!E154</f>
        <v>0</v>
      </c>
      <c r="H148" s="68">
        <f ca="1">IF(AND(SUMIF(Capacity_Resource,$D148,'Critical resources (hide)'!U$6:U$105)+SUMIF(Capacity_Resource,$E148,'Critical resources (hide)'!U$6:U$105)+SUMIF(Capacity_Resource,$F148,'Critical resources (hide)'!U$6:U$105)&gt;0,$E$1=2),0,1)</f>
        <v>1</v>
      </c>
      <c r="I148" s="68">
        <f ca="1">IF(AND(SUMIF(Capacity_Resource,$D148,'Critical resources (hide)'!V$6:V$105)+SUMIF(Capacity_Resource,$E148,'Critical resources (hide)'!V$6:V$105)+SUMIF(Capacity_Resource,$F148,'Critical resources (hide)'!V$6:V$105)&gt;0,$E$1=2),0,1)</f>
        <v>1</v>
      </c>
      <c r="J148" s="68">
        <f ca="1">IF(AND(SUMIF(Capacity_Resource,$D148,'Critical resources (hide)'!W$6:W$105)+SUMIF(Capacity_Resource,$E148,'Critical resources (hide)'!W$6:W$105)+SUMIF(Capacity_Resource,$F148,'Critical resources (hide)'!W$6:W$105)&gt;0,$E$1=2),0,1)</f>
        <v>1</v>
      </c>
      <c r="K148" s="68">
        <f ca="1">IF(AND(SUMIF(Capacity_Resource,$D148,'Critical resources (hide)'!X$6:X$105)+SUMIF(Capacity_Resource,$E148,'Critical resources (hide)'!X$6:X$105)+SUMIF(Capacity_Resource,$F148,'Critical resources (hide)'!X$6:X$105)&gt;0,$E$1=2),0,1)</f>
        <v>1</v>
      </c>
      <c r="L148" s="68">
        <f ca="1">IF(AND(SUMIF(Capacity_Resource,$D148,'Critical resources (hide)'!Y$6:Y$105)+SUMIF(Capacity_Resource,$E148,'Critical resources (hide)'!Y$6:Y$105)+SUMIF(Capacity_Resource,$F148,'Critical resources (hide)'!Y$6:Y$105)&gt;0,$E$1=2),0,1)</f>
        <v>1</v>
      </c>
      <c r="M148" s="68">
        <f ca="1">IF(AND(SUMIF(Capacity_Resource,$D148,'Critical resources (hide)'!Z$6:Z$105)+SUMIF(Capacity_Resource,$E148,'Critical resources (hide)'!Z$6:Z$105)+SUMIF(Capacity_Resource,$F148,'Critical resources (hide)'!Z$6:Z$105)&gt;0,$E$1=2),0,1)</f>
        <v>1</v>
      </c>
      <c r="N148" s="68">
        <f ca="1">IF(AND(SUMIF(Capacity_Resource,$D148,'Critical resources (hide)'!AA$6:AA$105)+SUMIF(Capacity_Resource,$E148,'Critical resources (hide)'!AA$6:AA$105)+SUMIF(Capacity_Resource,$F148,'Critical resources (hide)'!AA$6:AA$105)&gt;0,$E$1=2),0,1)</f>
        <v>1</v>
      </c>
      <c r="O148" s="68">
        <f ca="1">IF(AND(SUMIF(Capacity_Resource,$D148,'Critical resources (hide)'!AB$6:AB$105)+SUMIF(Capacity_Resource,$E148,'Critical resources (hide)'!AB$6:AB$105)+SUMIF(Capacity_Resource,$F148,'Critical resources (hide)'!AB$6:AB$105)&gt;0,$E$1=2),0,1)</f>
        <v>1</v>
      </c>
      <c r="P148" s="68">
        <f ca="1">IF(AND(SUMIF(Capacity_Resource,$D148,'Critical resources (hide)'!AC$6:AC$105)+SUMIF(Capacity_Resource,$E148,'Critical resources (hide)'!AC$6:AC$105)+SUMIF(Capacity_Resource,$F148,'Critical resources (hide)'!AC$6:AC$105)&gt;0,$E$1=2),0,1)</f>
        <v>1</v>
      </c>
      <c r="Q148" s="68">
        <f ca="1">IF(AND(SUMIF(Capacity_Resource,$D148,'Critical resources (hide)'!AD$6:AD$105)+SUMIF(Capacity_Resource,$E148,'Critical resources (hide)'!AD$6:AD$105)+SUMIF(Capacity_Resource,$F148,'Critical resources (hide)'!AD$6:AD$105)&gt;0,$E$1=2),0,1)</f>
        <v>1</v>
      </c>
      <c r="R148" s="68">
        <f ca="1">IF(AND(SUMIF(Capacity_Resource,$D148,'Critical resources (hide)'!AE$6:AE$105)+SUMIF(Capacity_Resource,$E148,'Critical resources (hide)'!AE$6:AE$105)+SUMIF(Capacity_Resource,$F148,'Critical resources (hide)'!AE$6:AE$105)&gt;0,$E$1=2),0,1)</f>
        <v>1</v>
      </c>
      <c r="S148" s="68">
        <f ca="1">IF(AND(SUMIF(Capacity_Resource,$D148,'Critical resources (hide)'!AF$6:AF$105)+SUMIF(Capacity_Resource,$E148,'Critical resources (hide)'!AF$6:AF$105)+SUMIF(Capacity_Resource,$F148,'Critical resources (hide)'!AF$6:AF$105)&gt;0,$E$1=2),0,1)</f>
        <v>1</v>
      </c>
      <c r="T148" s="68">
        <f ca="1">IF(AND(SUMIF(Capacity_Resource,$D148,'Critical resources (hide)'!AG$6:AG$105)+SUMIF(Capacity_Resource,$E148,'Critical resources (hide)'!AG$6:AG$105)+SUMIF(Capacity_Resource,$F148,'Critical resources (hide)'!AG$6:AG$105)&gt;0,$E$1=2),0,1)</f>
        <v>1</v>
      </c>
      <c r="U148" s="68">
        <f ca="1">IF(AND(SUMIF(Capacity_Resource,$D148,'Critical resources (hide)'!AH$6:AH$105)+SUMIF(Capacity_Resource,$E148,'Critical resources (hide)'!AH$6:AH$105)+SUMIF(Capacity_Resource,$F148,'Critical resources (hide)'!AH$6:AH$105)&gt;0,$E$1=2),0,1)</f>
        <v>1</v>
      </c>
      <c r="V148" s="68">
        <f ca="1">IF(AND(SUMIF(Capacity_Resource,$D148,'Critical resources (hide)'!AI$6:AI$105)+SUMIF(Capacity_Resource,$E148,'Critical resources (hide)'!AI$6:AI$105)+SUMIF(Capacity_Resource,$F148,'Critical resources (hide)'!AI$6:AI$105)&gt;0,$E$1=2),0,1)</f>
        <v>1</v>
      </c>
      <c r="W148" s="68">
        <f ca="1">IF(AND(SUMIF(Capacity_Resource,$D148,'Critical resources (hide)'!AJ$6:AJ$105)+SUMIF(Capacity_Resource,$E148,'Critical resources (hide)'!AJ$6:AJ$105)+SUMIF(Capacity_Resource,$F148,'Critical resources (hide)'!AJ$6:AJ$105)&gt;0,$E$1=2),0,1)</f>
        <v>1</v>
      </c>
      <c r="X148" s="68">
        <f ca="1">IF(AND(SUMIF(Capacity_Resource,$D148,'Critical resources (hide)'!AK$6:AK$105)+SUMIF(Capacity_Resource,$E148,'Critical resources (hide)'!AK$6:AK$105)+SUMIF(Capacity_Resource,$F148,'Critical resources (hide)'!AK$6:AK$105)&gt;0,$E$1=2),0,1)</f>
        <v>1</v>
      </c>
      <c r="Y148" s="68">
        <f ca="1">IF(AND(SUMIF(Capacity_Resource,$D148,'Critical resources (hide)'!AL$6:AL$105)+SUMIF(Capacity_Resource,$E148,'Critical resources (hide)'!AL$6:AL$105)+SUMIF(Capacity_Resource,$F148,'Critical resources (hide)'!AL$6:AL$105)&gt;0,$E$1=2),0,1)</f>
        <v>1</v>
      </c>
      <c r="Z148" s="68">
        <f ca="1">IF(AND(SUMIF(Capacity_Resource,$D148,'Critical resources (hide)'!AM$6:AM$105)+SUMIF(Capacity_Resource,$E148,'Critical resources (hide)'!AM$6:AM$105)+SUMIF(Capacity_Resource,$F148,'Critical resources (hide)'!AM$6:AM$105)&gt;0,$E$1=2),0,1)</f>
        <v>1</v>
      </c>
      <c r="AA148" s="68">
        <f ca="1">IF(AND(SUMIF(Capacity_Resource,$D148,'Critical resources (hide)'!AN$6:AN$105)+SUMIF(Capacity_Resource,$E148,'Critical resources (hide)'!AN$6:AN$105)+SUMIF(Capacity_Resource,$F148,'Critical resources (hide)'!AN$6:AN$105)&gt;0,$E$1=2),0,1)</f>
        <v>1</v>
      </c>
      <c r="AB148" s="68">
        <f ca="1">IF(AND(SUMIF(Capacity_Resource,$D148,'Critical resources (hide)'!AO$6:AO$105)+SUMIF(Capacity_Resource,$E148,'Critical resources (hide)'!AO$6:AO$105)+SUMIF(Capacity_Resource,$F148,'Critical resources (hide)'!AO$6:AO$105)&gt;0,$E$1=2),0,1)</f>
        <v>1</v>
      </c>
      <c r="AC148" s="68">
        <f ca="1">IF(AND(SUMIF(Capacity_Resource,$D148,'Critical resources (hide)'!AP$6:AP$105)+SUMIF(Capacity_Resource,$E148,'Critical resources (hide)'!AP$6:AP$105)+SUMIF(Capacity_Resource,$F148,'Critical resources (hide)'!AP$6:AP$105)&gt;0,$E$1=2),0,1)</f>
        <v>1</v>
      </c>
      <c r="AD148" s="68">
        <f ca="1">IF(AND(SUMIF(Capacity_Resource,$D148,'Critical resources (hide)'!AQ$6:AQ$105)+SUMIF(Capacity_Resource,$E148,'Critical resources (hide)'!AQ$6:AQ$105)+SUMIF(Capacity_Resource,$F148,'Critical resources (hide)'!AQ$6:AQ$105)&gt;0,$E$1=2),0,1)</f>
        <v>1</v>
      </c>
      <c r="AE148" s="68">
        <f ca="1">IF(AND(SUMIF(Capacity_Resource,$D148,'Critical resources (hide)'!AR$6:AR$105)+SUMIF(Capacity_Resource,$E148,'Critical resources (hide)'!AR$6:AR$105)+SUMIF(Capacity_Resource,$F148,'Critical resources (hide)'!AR$6:AR$105)&gt;0,$E$1=2),0,1)</f>
        <v>1</v>
      </c>
      <c r="AF148" s="68">
        <f ca="1">IF(AND(SUMIF(Capacity_Resource,$D148,'Critical resources (hide)'!AS$6:AS$105)+SUMIF(Capacity_Resource,$E148,'Critical resources (hide)'!AS$6:AS$105)+SUMIF(Capacity_Resource,$F148,'Critical resources (hide)'!AS$6:AS$105)&gt;0,$E$1=2),0,1)</f>
        <v>1</v>
      </c>
      <c r="AG148" s="68">
        <f ca="1">IF(AND(SUMIF(Capacity_Resource,$D148,'Critical resources (hide)'!AT$6:AT$105)+SUMIF(Capacity_Resource,$E148,'Critical resources (hide)'!AT$6:AT$105)+SUMIF(Capacity_Resource,$F148,'Critical resources (hide)'!AT$6:AT$105)&gt;0,$E$1=2),0,1)</f>
        <v>1</v>
      </c>
      <c r="AH148" s="68">
        <f ca="1">IF(AND(SUMIF(Capacity_Resource,$D148,'Critical resources (hide)'!AU$6:AU$105)+SUMIF(Capacity_Resource,$E148,'Critical resources (hide)'!AU$6:AU$105)+SUMIF(Capacity_Resource,$F148,'Critical resources (hide)'!AU$6:AU$105)&gt;0,$E$1=2),0,1)</f>
        <v>1</v>
      </c>
      <c r="AI148" s="68">
        <f ca="1">IF(AND(SUMIF(Capacity_Resource,$D148,'Critical resources (hide)'!AV$6:AV$105)+SUMIF(Capacity_Resource,$E148,'Critical resources (hide)'!AV$6:AV$105)+SUMIF(Capacity_Resource,$F148,'Critical resources (hide)'!AV$6:AV$105)&gt;0,$E$1=2),0,1)</f>
        <v>1</v>
      </c>
      <c r="AJ148" s="68">
        <f ca="1">IF(AND(SUMIF(Capacity_Resource,$D148,'Critical resources (hide)'!AW$6:AW$105)+SUMIF(Capacity_Resource,$E148,'Critical resources (hide)'!AW$6:AW$105)+SUMIF(Capacity_Resource,$F148,'Critical resources (hide)'!AW$6:AW$105)&gt;0,$E$1=2),0,1)</f>
        <v>1</v>
      </c>
      <c r="AK148" s="68">
        <f ca="1">IF(AND(SUMIF(Capacity_Resource,$D148,'Critical resources (hide)'!AX$6:AX$105)+SUMIF(Capacity_Resource,$E148,'Critical resources (hide)'!AX$6:AX$105)+SUMIF(Capacity_Resource,$F148,'Critical resources (hide)'!AX$6:AX$105)&gt;0,$E$1=2),0,1)</f>
        <v>1</v>
      </c>
      <c r="AL148" s="68">
        <f ca="1">IF(AND(SUMIF(Capacity_Resource,$D148,'Critical resources (hide)'!AY$6:AY$105)+SUMIF(Capacity_Resource,$E148,'Critical resources (hide)'!AY$6:AY$105)+SUMIF(Capacity_Resource,$F148,'Critical resources (hide)'!AY$6:AY$105)&gt;0,$E$1=2),0,1)</f>
        <v>1</v>
      </c>
      <c r="AM148" s="68">
        <f ca="1">IF(AND(SUMIF(Capacity_Resource,$D148,'Critical resources (hide)'!AZ$6:AZ$105)+SUMIF(Capacity_Resource,$E148,'Critical resources (hide)'!AZ$6:AZ$105)+SUMIF(Capacity_Resource,$F148,'Critical resources (hide)'!AZ$6:AZ$105)&gt;0,$E$1=2),0,1)</f>
        <v>1</v>
      </c>
      <c r="AN148" s="68">
        <f ca="1">IF(AND(SUMIF(Capacity_Resource,$D148,'Critical resources (hide)'!BA$6:BA$105)+SUMIF(Capacity_Resource,$E148,'Critical resources (hide)'!BA$6:BA$105)+SUMIF(Capacity_Resource,$F148,'Critical resources (hide)'!BA$6:BA$105)&gt;0,$E$1=2),0,1)</f>
        <v>1</v>
      </c>
      <c r="AO148" s="68">
        <f ca="1">IF(AND(SUMIF(Capacity_Resource,$D148,'Critical resources (hide)'!BB$6:BB$105)+SUMIF(Capacity_Resource,$E148,'Critical resources (hide)'!BB$6:BB$105)+SUMIF(Capacity_Resource,$F148,'Critical resources (hide)'!BB$6:BB$105)&gt;0,$E$1=2),0,1)</f>
        <v>1</v>
      </c>
      <c r="AP148" s="68">
        <f ca="1">IF(AND(SUMIF(Capacity_Resource,$D148,'Critical resources (hide)'!BC$6:BC$105)+SUMIF(Capacity_Resource,$E148,'Critical resources (hide)'!BC$6:BC$105)+SUMIF(Capacity_Resource,$F148,'Critical resources (hide)'!BC$6:BC$105)&gt;0,$E$1=2),0,1)</f>
        <v>1</v>
      </c>
      <c r="AQ148" s="68">
        <f ca="1">IF(AND(SUMIF(Capacity_Resource,$D148,'Critical resources (hide)'!BD$6:BD$105)+SUMIF(Capacity_Resource,$E148,'Critical resources (hide)'!BD$6:BD$105)+SUMIF(Capacity_Resource,$F148,'Critical resources (hide)'!BD$6:BD$105)&gt;0,$E$1=2),0,1)</f>
        <v>1</v>
      </c>
      <c r="AR148" s="68">
        <f ca="1">IF(AND(SUMIF(Capacity_Resource,$D148,'Critical resources (hide)'!BE$6:BE$105)+SUMIF(Capacity_Resource,$E148,'Critical resources (hide)'!BE$6:BE$105)+SUMIF(Capacity_Resource,$F148,'Critical resources (hide)'!BE$6:BE$105)&gt;0,$E$1=2),0,1)</f>
        <v>1</v>
      </c>
      <c r="AS148" s="68">
        <f ca="1">IF(AND(SUMIF(Capacity_Resource,$D148,'Critical resources (hide)'!BF$6:BF$105)+SUMIF(Capacity_Resource,$E148,'Critical resources (hide)'!BF$6:BF$105)+SUMIF(Capacity_Resource,$F148,'Critical resources (hide)'!BF$6:BF$105)&gt;0,$E$1=2),0,1)</f>
        <v>1</v>
      </c>
      <c r="AT148" s="68">
        <f ca="1">IF(AND(SUMIF(Capacity_Resource,$D148,'Critical resources (hide)'!BG$6:BG$105)+SUMIF(Capacity_Resource,$E148,'Critical resources (hide)'!BG$6:BG$105)+SUMIF(Capacity_Resource,$F148,'Critical resources (hide)'!BG$6:BG$105)&gt;0,$E$1=2),0,1)</f>
        <v>1</v>
      </c>
      <c r="AU148" s="68">
        <f ca="1">IF(AND(SUMIF(Capacity_Resource,$D148,'Critical resources (hide)'!BH$6:BH$105)+SUMIF(Capacity_Resource,$E148,'Critical resources (hide)'!BH$6:BH$105)+SUMIF(Capacity_Resource,$F148,'Critical resources (hide)'!BH$6:BH$105)&gt;0,$E$1=2),0,1)</f>
        <v>1</v>
      </c>
      <c r="AV148" s="68">
        <f ca="1">IF(AND(SUMIF(Capacity_Resource,$D148,'Critical resources (hide)'!BI$6:BI$105)+SUMIF(Capacity_Resource,$E148,'Critical resources (hide)'!BI$6:BI$105)+SUMIF(Capacity_Resource,$F148,'Critical resources (hide)'!BI$6:BI$105)&gt;0,$E$1=2),0,1)</f>
        <v>1</v>
      </c>
      <c r="AW148" s="68">
        <f ca="1">IF(AND(SUMIF(Capacity_Resource,$D148,'Critical resources (hide)'!BJ$6:BJ$105)+SUMIF(Capacity_Resource,$E148,'Critical resources (hide)'!BJ$6:BJ$105)+SUMIF(Capacity_Resource,$F148,'Critical resources (hide)'!BJ$6:BJ$105)&gt;0,$E$1=2),0,1)</f>
        <v>1</v>
      </c>
      <c r="AX148" s="68">
        <f ca="1">IF(AND(SUMIF(Capacity_Resource,$D148,'Critical resources (hide)'!BK$6:BK$105)+SUMIF(Capacity_Resource,$E148,'Critical resources (hide)'!BK$6:BK$105)+SUMIF(Capacity_Resource,$F148,'Critical resources (hide)'!BK$6:BK$105)&gt;0,$E$1=2),0,1)</f>
        <v>1</v>
      </c>
      <c r="AY148" s="68">
        <f ca="1">IF(AND(SUMIF(Capacity_Resource,$D148,'Critical resources (hide)'!BL$6:BL$105)+SUMIF(Capacity_Resource,$E148,'Critical resources (hide)'!BL$6:BL$105)+SUMIF(Capacity_Resource,$F148,'Critical resources (hide)'!BL$6:BL$105)&gt;0,$E$1=2),0,1)</f>
        <v>1</v>
      </c>
      <c r="AZ148" s="68">
        <f ca="1">IF(AND(SUMIF(Capacity_Resource,$D148,'Critical resources (hide)'!BM$6:BM$105)+SUMIF(Capacity_Resource,$E148,'Critical resources (hide)'!BM$6:BM$105)+SUMIF(Capacity_Resource,$F148,'Critical resources (hide)'!BM$6:BM$105)&gt;0,$E$1=2),0,1)</f>
        <v>1</v>
      </c>
      <c r="BA148" s="68">
        <f ca="1">IF(AND(SUMIF(Capacity_Resource,$D148,'Critical resources (hide)'!BN$6:BN$105)+SUMIF(Capacity_Resource,$E148,'Critical resources (hide)'!BN$6:BN$105)+SUMIF(Capacity_Resource,$F148,'Critical resources (hide)'!BN$6:BN$105)&gt;0,$E$1=2),0,1)</f>
        <v>1</v>
      </c>
      <c r="BB148" s="68">
        <f ca="1">IF(AND(SUMIF(Capacity_Resource,$D148,'Critical resources (hide)'!BO$6:BO$105)+SUMIF(Capacity_Resource,$E148,'Critical resources (hide)'!BO$6:BO$105)+SUMIF(Capacity_Resource,$F148,'Critical resources (hide)'!BO$6:BO$105)&gt;0,$E$1=2),0,1)</f>
        <v>1</v>
      </c>
      <c r="BC148" s="68">
        <f ca="1">IF(AND(SUMIF(Capacity_Resource,$D148,'Critical resources (hide)'!BP$6:BP$105)+SUMIF(Capacity_Resource,$E148,'Critical resources (hide)'!BP$6:BP$105)+SUMIF(Capacity_Resource,$F148,'Critical resources (hide)'!BP$6:BP$105)&gt;0,$E$1=2),0,1)</f>
        <v>1</v>
      </c>
      <c r="BD148" s="68">
        <f ca="1">IF(AND(SUMIF(Capacity_Resource,$D148,'Critical resources (hide)'!BQ$6:BQ$105)+SUMIF(Capacity_Resource,$E148,'Critical resources (hide)'!BQ$6:BQ$105)+SUMIF(Capacity_Resource,$F148,'Critical resources (hide)'!BQ$6:BQ$105)&gt;0,$E$1=2),0,1)</f>
        <v>1</v>
      </c>
      <c r="BE148" s="68">
        <f ca="1">IF(AND(SUMIF(Capacity_Resource,$D148,'Critical resources (hide)'!BR$6:BR$105)+SUMIF(Capacity_Resource,$E148,'Critical resources (hide)'!BR$6:BR$105)+SUMIF(Capacity_Resource,$F148,'Critical resources (hide)'!BR$6:BR$105)&gt;0,$E$1=2),0,1)</f>
        <v>1</v>
      </c>
      <c r="BF148" s="68">
        <f ca="1">IF(AND(SUMIF(Capacity_Resource,$D148,'Critical resources (hide)'!BS$6:BS$105)+SUMIF(Capacity_Resource,$E148,'Critical resources (hide)'!BS$6:BS$105)+SUMIF(Capacity_Resource,$F148,'Critical resources (hide)'!BS$6:BS$105)&gt;0,$E$1=2),0,1)</f>
        <v>1</v>
      </c>
      <c r="BG148" s="68">
        <f ca="1">IF(AND(SUMIF(Capacity_Resource,$D148,'Critical resources (hide)'!BT$6:BT$105)+SUMIF(Capacity_Resource,$E148,'Critical resources (hide)'!BT$6:BT$105)+SUMIF(Capacity_Resource,$F148,'Critical resources (hide)'!BT$6:BT$105)&gt;0,$E$1=2),0,1)</f>
        <v>1</v>
      </c>
      <c r="BH148" s="68">
        <f>IF(ROW(A37)&lt;=Capacity!$M$16,IF('Capacity summary'!$C$14="No",SUM(H148:BG148),'Capacity summary'!$E60),0)</f>
        <v>0</v>
      </c>
      <c r="BI148" s="68" t="str">
        <f>IF(BH148&gt;0,IF(BH148&lt;Capacity!Q53,Capacity!R53,Capacity!T53/'Capacity calculation (hide)'!BH148),"")</f>
        <v/>
      </c>
      <c r="BJ148" s="5"/>
      <c r="BK148" s="5">
        <f>IF($BI148&lt;&gt;"",IF('Capacity summary'!$C$14="Yes",IF(COUNTBLANK('Capacity summary'!$H60:$BG60)&lt;52,IF('Capacity summary'!H60&lt;&gt;"",$BI148*H148,0),H148*$BI148),H148*$BI148),0)</f>
        <v>0</v>
      </c>
      <c r="BL148" s="5">
        <f>IF($BI148&lt;&gt;"",IF('Capacity summary'!$C$14="Yes",IF(COUNTBLANK('Capacity summary'!$H60:$BG60)&lt;52,IF('Capacity summary'!I60&lt;&gt;"",$BI148*I148,0),I148*$BI148),I148*$BI148),0)</f>
        <v>0</v>
      </c>
      <c r="BM148" s="5">
        <f>IF($BI148&lt;&gt;"",IF('Capacity summary'!$C$14="Yes",IF(COUNTBLANK('Capacity summary'!$H60:$BG60)&lt;52,IF('Capacity summary'!J60&lt;&gt;"",$BI148*J148,0),J148*$BI148),J148*$BI148),0)</f>
        <v>0</v>
      </c>
      <c r="BN148" s="5">
        <f>IF($BI148&lt;&gt;"",IF('Capacity summary'!$C$14="Yes",IF(COUNTBLANK('Capacity summary'!$H60:$BG60)&lt;52,IF('Capacity summary'!K60&lt;&gt;"",$BI148*K148,0),K148*$BI148),K148*$BI148),0)</f>
        <v>0</v>
      </c>
      <c r="BO148" s="5">
        <f>IF($BI148&lt;&gt;"",IF('Capacity summary'!$C$14="Yes",IF(COUNTBLANK('Capacity summary'!$H60:$BG60)&lt;52,IF('Capacity summary'!L60&lt;&gt;"",$BI148*L148,0),L148*$BI148),L148*$BI148),0)</f>
        <v>0</v>
      </c>
      <c r="BP148" s="5">
        <f>IF($BI148&lt;&gt;"",IF('Capacity summary'!$C$14="Yes",IF(COUNTBLANK('Capacity summary'!$H60:$BG60)&lt;52,IF('Capacity summary'!M60&lt;&gt;"",$BI148*M148,0),M148*$BI148),M148*$BI148),0)</f>
        <v>0</v>
      </c>
      <c r="BQ148" s="5">
        <f>IF($BI148&lt;&gt;"",IF('Capacity summary'!$C$14="Yes",IF(COUNTBLANK('Capacity summary'!$H60:$BG60)&lt;52,IF('Capacity summary'!N60&lt;&gt;"",$BI148*N148,0),N148*$BI148),N148*$BI148),0)</f>
        <v>0</v>
      </c>
      <c r="BR148" s="5">
        <f>IF($BI148&lt;&gt;"",IF('Capacity summary'!$C$14="Yes",IF(COUNTBLANK('Capacity summary'!$H60:$BG60)&lt;52,IF('Capacity summary'!O60&lt;&gt;"",$BI148*O148,0),O148*$BI148),O148*$BI148),0)</f>
        <v>0</v>
      </c>
      <c r="BS148" s="5">
        <f>IF($BI148&lt;&gt;"",IF('Capacity summary'!$C$14="Yes",IF(COUNTBLANK('Capacity summary'!$H60:$BG60)&lt;52,IF('Capacity summary'!P60&lt;&gt;"",$BI148*P148,0),P148*$BI148),P148*$BI148),0)</f>
        <v>0</v>
      </c>
      <c r="BT148" s="5">
        <f>IF($BI148&lt;&gt;"",IF('Capacity summary'!$C$14="Yes",IF(COUNTBLANK('Capacity summary'!$H60:$BG60)&lt;52,IF('Capacity summary'!Q60&lt;&gt;"",$BI148*Q148,0),Q148*$BI148),Q148*$BI148),0)</f>
        <v>0</v>
      </c>
      <c r="BU148" s="5">
        <f>IF($BI148&lt;&gt;"",IF('Capacity summary'!$C$14="Yes",IF(COUNTBLANK('Capacity summary'!$H60:$BG60)&lt;52,IF('Capacity summary'!R60&lt;&gt;"",$BI148*R148,0),R148*$BI148),R148*$BI148),0)</f>
        <v>0</v>
      </c>
      <c r="BV148" s="5">
        <f>IF($BI148&lt;&gt;"",IF('Capacity summary'!$C$14="Yes",IF(COUNTBLANK('Capacity summary'!$H60:$BG60)&lt;52,IF('Capacity summary'!S60&lt;&gt;"",$BI148*S148,0),S148*$BI148),S148*$BI148),0)</f>
        <v>0</v>
      </c>
      <c r="BW148" s="5">
        <f>IF($BI148&lt;&gt;"",IF('Capacity summary'!$C$14="Yes",IF(COUNTBLANK('Capacity summary'!$H60:$BG60)&lt;52,IF('Capacity summary'!T60&lt;&gt;"",$BI148*T148,0),T148*$BI148),T148*$BI148),0)</f>
        <v>0</v>
      </c>
      <c r="BX148" s="5">
        <f>IF($BI148&lt;&gt;"",IF('Capacity summary'!$C$14="Yes",IF(COUNTBLANK('Capacity summary'!$H60:$BG60)&lt;52,IF('Capacity summary'!U60&lt;&gt;"",$BI148*U148,0),U148*$BI148),U148*$BI148),0)</f>
        <v>0</v>
      </c>
      <c r="BY148" s="5">
        <f>IF($BI148&lt;&gt;"",IF('Capacity summary'!$C$14="Yes",IF(COUNTBLANK('Capacity summary'!$H60:$BG60)&lt;52,IF('Capacity summary'!V60&lt;&gt;"",$BI148*V148,0),V148*$BI148),V148*$BI148),0)</f>
        <v>0</v>
      </c>
      <c r="BZ148" s="5">
        <f>IF($BI148&lt;&gt;"",IF('Capacity summary'!$C$14="Yes",IF(COUNTBLANK('Capacity summary'!$H60:$BG60)&lt;52,IF('Capacity summary'!W60&lt;&gt;"",$BI148*W148,0),W148*$BI148),W148*$BI148),0)</f>
        <v>0</v>
      </c>
      <c r="CA148" s="5">
        <f>IF($BI148&lt;&gt;"",IF('Capacity summary'!$C$14="Yes",IF(COUNTBLANK('Capacity summary'!$H60:$BG60)&lt;52,IF('Capacity summary'!X60&lt;&gt;"",$BI148*X148,0),X148*$BI148),X148*$BI148),0)</f>
        <v>0</v>
      </c>
      <c r="CB148" s="5">
        <f>IF($BI148&lt;&gt;"",IF('Capacity summary'!$C$14="Yes",IF(COUNTBLANK('Capacity summary'!$H60:$BG60)&lt;52,IF('Capacity summary'!Y60&lt;&gt;"",$BI148*Y148,0),Y148*$BI148),Y148*$BI148),0)</f>
        <v>0</v>
      </c>
      <c r="CC148" s="5">
        <f>IF($BI148&lt;&gt;"",IF('Capacity summary'!$C$14="Yes",IF(COUNTBLANK('Capacity summary'!$H60:$BG60)&lt;52,IF('Capacity summary'!Z60&lt;&gt;"",$BI148*Z148,0),Z148*$BI148),Z148*$BI148),0)</f>
        <v>0</v>
      </c>
      <c r="CD148" s="5">
        <f>IF($BI148&lt;&gt;"",IF('Capacity summary'!$C$14="Yes",IF(COUNTBLANK('Capacity summary'!$H60:$BG60)&lt;52,IF('Capacity summary'!AA60&lt;&gt;"",$BI148*AA148,0),AA148*$BI148),AA148*$BI148),0)</f>
        <v>0</v>
      </c>
      <c r="CE148" s="5">
        <f>IF($BI148&lt;&gt;"",IF('Capacity summary'!$C$14="Yes",IF(COUNTBLANK('Capacity summary'!$H60:$BG60)&lt;52,IF('Capacity summary'!AB60&lt;&gt;"",$BI148*AB148,0),AB148*$BI148),AB148*$BI148),0)</f>
        <v>0</v>
      </c>
      <c r="CF148" s="5">
        <f>IF($BI148&lt;&gt;"",IF('Capacity summary'!$C$14="Yes",IF(COUNTBLANK('Capacity summary'!$H60:$BG60)&lt;52,IF('Capacity summary'!AC60&lt;&gt;"",$BI148*AC148,0),AC148*$BI148),AC148*$BI148),0)</f>
        <v>0</v>
      </c>
      <c r="CG148" s="5">
        <f>IF($BI148&lt;&gt;"",IF('Capacity summary'!$C$14="Yes",IF(COUNTBLANK('Capacity summary'!$H60:$BG60)&lt;52,IF('Capacity summary'!AD60&lt;&gt;"",$BI148*AD148,0),AD148*$BI148),AD148*$BI148),0)</f>
        <v>0</v>
      </c>
      <c r="CH148" s="5">
        <f>IF($BI148&lt;&gt;"",IF('Capacity summary'!$C$14="Yes",IF(COUNTBLANK('Capacity summary'!$H60:$BG60)&lt;52,IF('Capacity summary'!AE60&lt;&gt;"",$BI148*AE148,0),AE148*$BI148),AE148*$BI148),0)</f>
        <v>0</v>
      </c>
      <c r="CI148" s="5">
        <f>IF($BI148&lt;&gt;"",IF('Capacity summary'!$C$14="Yes",IF(COUNTBLANK('Capacity summary'!$H60:$BG60)&lt;52,IF('Capacity summary'!AF60&lt;&gt;"",$BI148*AF148,0),AF148*$BI148),AF148*$BI148),0)</f>
        <v>0</v>
      </c>
      <c r="CJ148" s="5">
        <f>IF($BI148&lt;&gt;"",IF('Capacity summary'!$C$14="Yes",IF(COUNTBLANK('Capacity summary'!$H60:$BG60)&lt;52,IF('Capacity summary'!AG60&lt;&gt;"",$BI148*AG148,0),AG148*$BI148),AG148*$BI148),0)</f>
        <v>0</v>
      </c>
      <c r="CK148" s="5">
        <f>IF($BI148&lt;&gt;"",IF('Capacity summary'!$C$14="Yes",IF(COUNTBLANK('Capacity summary'!$H60:$BG60)&lt;52,IF('Capacity summary'!AH60&lt;&gt;"",$BI148*AH148,0),AH148*$BI148),AH148*$BI148),0)</f>
        <v>0</v>
      </c>
      <c r="CL148" s="5">
        <f>IF($BI148&lt;&gt;"",IF('Capacity summary'!$C$14="Yes",IF(COUNTBLANK('Capacity summary'!$H60:$BG60)&lt;52,IF('Capacity summary'!AI60&lt;&gt;"",$BI148*AI148,0),AI148*$BI148),AI148*$BI148),0)</f>
        <v>0</v>
      </c>
      <c r="CM148" s="5">
        <f>IF($BI148&lt;&gt;"",IF('Capacity summary'!$C$14="Yes",IF(COUNTBLANK('Capacity summary'!$H60:$BG60)&lt;52,IF('Capacity summary'!AJ60&lt;&gt;"",$BI148*AJ148,0),AJ148*$BI148),AJ148*$BI148),0)</f>
        <v>0</v>
      </c>
      <c r="CN148" s="5">
        <f>IF($BI148&lt;&gt;"",IF('Capacity summary'!$C$14="Yes",IF(COUNTBLANK('Capacity summary'!$H60:$BG60)&lt;52,IF('Capacity summary'!AK60&lt;&gt;"",$BI148*AK148,0),AK148*$BI148),AK148*$BI148),0)</f>
        <v>0</v>
      </c>
      <c r="CO148" s="5">
        <f>IF($BI148&lt;&gt;"",IF('Capacity summary'!$C$14="Yes",IF(COUNTBLANK('Capacity summary'!$H60:$BG60)&lt;52,IF('Capacity summary'!AL60&lt;&gt;"",$BI148*AL148,0),AL148*$BI148),AL148*$BI148),0)</f>
        <v>0</v>
      </c>
      <c r="CP148" s="5">
        <f>IF($BI148&lt;&gt;"",IF('Capacity summary'!$C$14="Yes",IF(COUNTBLANK('Capacity summary'!$H60:$BG60)&lt;52,IF('Capacity summary'!AM60&lt;&gt;"",$BI148*AM148,0),AM148*$BI148),AM148*$BI148),0)</f>
        <v>0</v>
      </c>
      <c r="CQ148" s="5">
        <f>IF($BI148&lt;&gt;"",IF('Capacity summary'!$C$14="Yes",IF(COUNTBLANK('Capacity summary'!$H60:$BG60)&lt;52,IF('Capacity summary'!AN60&lt;&gt;"",$BI148*AN148,0),AN148*$BI148),AN148*$BI148),0)</f>
        <v>0</v>
      </c>
      <c r="CR148" s="5">
        <f>IF($BI148&lt;&gt;"",IF('Capacity summary'!$C$14="Yes",IF(COUNTBLANK('Capacity summary'!$H60:$BG60)&lt;52,IF('Capacity summary'!AO60&lt;&gt;"",$BI148*AO148,0),AO148*$BI148),AO148*$BI148),0)</f>
        <v>0</v>
      </c>
      <c r="CS148" s="5">
        <f>IF($BI148&lt;&gt;"",IF('Capacity summary'!$C$14="Yes",IF(COUNTBLANK('Capacity summary'!$H60:$BG60)&lt;52,IF('Capacity summary'!AP60&lt;&gt;"",$BI148*AP148,0),AP148*$BI148),AP148*$BI148),0)</f>
        <v>0</v>
      </c>
      <c r="CT148" s="5">
        <f>IF($BI148&lt;&gt;"",IF('Capacity summary'!$C$14="Yes",IF(COUNTBLANK('Capacity summary'!$H60:$BG60)&lt;52,IF('Capacity summary'!AQ60&lt;&gt;"",$BI148*AQ148,0),AQ148*$BI148),AQ148*$BI148),0)</f>
        <v>0</v>
      </c>
      <c r="CU148" s="5">
        <f>IF($BI148&lt;&gt;"",IF('Capacity summary'!$C$14="Yes",IF(COUNTBLANK('Capacity summary'!$H60:$BG60)&lt;52,IF('Capacity summary'!AR60&lt;&gt;"",$BI148*AR148,0),AR148*$BI148),AR148*$BI148),0)</f>
        <v>0</v>
      </c>
      <c r="CV148" s="5">
        <f>IF($BI148&lt;&gt;"",IF('Capacity summary'!$C$14="Yes",IF(COUNTBLANK('Capacity summary'!$H60:$BG60)&lt;52,IF('Capacity summary'!AS60&lt;&gt;"",$BI148*AS148,0),AS148*$BI148),AS148*$BI148),0)</f>
        <v>0</v>
      </c>
      <c r="CW148" s="5">
        <f>IF($BI148&lt;&gt;"",IF('Capacity summary'!$C$14="Yes",IF(COUNTBLANK('Capacity summary'!$H60:$BG60)&lt;52,IF('Capacity summary'!AT60&lt;&gt;"",$BI148*AT148,0),AT148*$BI148),AT148*$BI148),0)</f>
        <v>0</v>
      </c>
      <c r="CX148" s="5">
        <f>IF($BI148&lt;&gt;"",IF('Capacity summary'!$C$14="Yes",IF(COUNTBLANK('Capacity summary'!$H60:$BG60)&lt;52,IF('Capacity summary'!AU60&lt;&gt;"",$BI148*AU148,0),AU148*$BI148),AU148*$BI148),0)</f>
        <v>0</v>
      </c>
      <c r="CY148" s="5">
        <f>IF($BI148&lt;&gt;"",IF('Capacity summary'!$C$14="Yes",IF(COUNTBLANK('Capacity summary'!$H60:$BG60)&lt;52,IF('Capacity summary'!AV60&lt;&gt;"",$BI148*AV148,0),AV148*$BI148),AV148*$BI148),0)</f>
        <v>0</v>
      </c>
      <c r="CZ148" s="5">
        <f>IF($BI148&lt;&gt;"",IF('Capacity summary'!$C$14="Yes",IF(COUNTBLANK('Capacity summary'!$H60:$BG60)&lt;52,IF('Capacity summary'!AW60&lt;&gt;"",$BI148*AW148,0),AW148*$BI148),AW148*$BI148),0)</f>
        <v>0</v>
      </c>
      <c r="DA148" s="5">
        <f>IF($BI148&lt;&gt;"",IF('Capacity summary'!$C$14="Yes",IF(COUNTBLANK('Capacity summary'!$H60:$BG60)&lt;52,IF('Capacity summary'!AX60&lt;&gt;"",$BI148*AX148,0),AX148*$BI148),AX148*$BI148),0)</f>
        <v>0</v>
      </c>
      <c r="DB148" s="5">
        <f>IF($BI148&lt;&gt;"",IF('Capacity summary'!$C$14="Yes",IF(COUNTBLANK('Capacity summary'!$H60:$BG60)&lt;52,IF('Capacity summary'!AY60&lt;&gt;"",$BI148*AY148,0),AY148*$BI148),AY148*$BI148),0)</f>
        <v>0</v>
      </c>
      <c r="DC148" s="5">
        <f>IF($BI148&lt;&gt;"",IF('Capacity summary'!$C$14="Yes",IF(COUNTBLANK('Capacity summary'!$H60:$BG60)&lt;52,IF('Capacity summary'!AZ60&lt;&gt;"",$BI148*AZ148,0),AZ148*$BI148),AZ148*$BI148),0)</f>
        <v>0</v>
      </c>
      <c r="DD148" s="5">
        <f>IF($BI148&lt;&gt;"",IF('Capacity summary'!$C$14="Yes",IF(COUNTBLANK('Capacity summary'!$H60:$BG60)&lt;52,IF('Capacity summary'!BA60&lt;&gt;"",$BI148*BA148,0),BA148*$BI148),BA148*$BI148),0)</f>
        <v>0</v>
      </c>
      <c r="DE148" s="5">
        <f>IF($BI148&lt;&gt;"",IF('Capacity summary'!$C$14="Yes",IF(COUNTBLANK('Capacity summary'!$H60:$BG60)&lt;52,IF('Capacity summary'!BB60&lt;&gt;"",$BI148*BB148,0),BB148*$BI148),BB148*$BI148),0)</f>
        <v>0</v>
      </c>
      <c r="DF148" s="5">
        <f>IF($BI148&lt;&gt;"",IF('Capacity summary'!$C$14="Yes",IF(COUNTBLANK('Capacity summary'!$H60:$BG60)&lt;52,IF('Capacity summary'!BC60&lt;&gt;"",$BI148*BC148,0),BC148*$BI148),BC148*$BI148),0)</f>
        <v>0</v>
      </c>
      <c r="DG148" s="5">
        <f>IF($BI148&lt;&gt;"",IF('Capacity summary'!$C$14="Yes",IF(COUNTBLANK('Capacity summary'!$H60:$BG60)&lt;52,IF('Capacity summary'!BD60&lt;&gt;"",$BI148*BD148,0),BD148*$BI148),BD148*$BI148),0)</f>
        <v>0</v>
      </c>
      <c r="DH148" s="5">
        <f>IF($BI148&lt;&gt;"",IF('Capacity summary'!$C$14="Yes",IF(COUNTBLANK('Capacity summary'!$H60:$BG60)&lt;52,IF('Capacity summary'!BE60&lt;&gt;"",$BI148*BE148,0),BE148*$BI148),BE148*$BI148),0)</f>
        <v>0</v>
      </c>
      <c r="DI148" s="5">
        <f>IF($BI148&lt;&gt;"",IF('Capacity summary'!$C$14="Yes",IF(COUNTBLANK('Capacity summary'!$H60:$BG60)&lt;52,IF('Capacity summary'!BF60&lt;&gt;"",$BI148*BF148,0),BF148*$BI148),BF148*$BI148),0)</f>
        <v>0</v>
      </c>
      <c r="DJ148" s="5">
        <f>IF($BI148&lt;&gt;"",IF('Capacity summary'!$C$14="Yes",IF(COUNTBLANK('Capacity summary'!$H60:$BG60)&lt;52,IF('Capacity summary'!BG60&lt;&gt;"",$BI148*BG148,0),BG148*$BI148),BG148*$BI148),0)</f>
        <v>0</v>
      </c>
      <c r="DK148" s="138">
        <f t="shared" si="6"/>
        <v>0</v>
      </c>
    </row>
    <row r="149" spans="3:115" x14ac:dyDescent="0.2">
      <c r="C149" s="68" t="str">
        <f>ROW(A38)&amp;". "&amp;Capacity!N54</f>
        <v xml:space="preserve">38. </v>
      </c>
      <c r="D149" s="68">
        <f>'Capacity setup'!C155</f>
        <v>0</v>
      </c>
      <c r="E149" s="68">
        <f>'Capacity setup'!D155</f>
        <v>0</v>
      </c>
      <c r="F149" s="68">
        <f>'Capacity setup'!E155</f>
        <v>0</v>
      </c>
      <c r="H149" s="68">
        <f ca="1">IF(AND(SUMIF(Capacity_Resource,$D149,'Critical resources (hide)'!U$6:U$105)+SUMIF(Capacity_Resource,$E149,'Critical resources (hide)'!U$6:U$105)+SUMIF(Capacity_Resource,$F149,'Critical resources (hide)'!U$6:U$105)&gt;0,$E$1=2),0,1)</f>
        <v>1</v>
      </c>
      <c r="I149" s="68">
        <f ca="1">IF(AND(SUMIF(Capacity_Resource,$D149,'Critical resources (hide)'!V$6:V$105)+SUMIF(Capacity_Resource,$E149,'Critical resources (hide)'!V$6:V$105)+SUMIF(Capacity_Resource,$F149,'Critical resources (hide)'!V$6:V$105)&gt;0,$E$1=2),0,1)</f>
        <v>1</v>
      </c>
      <c r="J149" s="68">
        <f ca="1">IF(AND(SUMIF(Capacity_Resource,$D149,'Critical resources (hide)'!W$6:W$105)+SUMIF(Capacity_Resource,$E149,'Critical resources (hide)'!W$6:W$105)+SUMIF(Capacity_Resource,$F149,'Critical resources (hide)'!W$6:W$105)&gt;0,$E$1=2),0,1)</f>
        <v>1</v>
      </c>
      <c r="K149" s="68">
        <f ca="1">IF(AND(SUMIF(Capacity_Resource,$D149,'Critical resources (hide)'!X$6:X$105)+SUMIF(Capacity_Resource,$E149,'Critical resources (hide)'!X$6:X$105)+SUMIF(Capacity_Resource,$F149,'Critical resources (hide)'!X$6:X$105)&gt;0,$E$1=2),0,1)</f>
        <v>1</v>
      </c>
      <c r="L149" s="68">
        <f ca="1">IF(AND(SUMIF(Capacity_Resource,$D149,'Critical resources (hide)'!Y$6:Y$105)+SUMIF(Capacity_Resource,$E149,'Critical resources (hide)'!Y$6:Y$105)+SUMIF(Capacity_Resource,$F149,'Critical resources (hide)'!Y$6:Y$105)&gt;0,$E$1=2),0,1)</f>
        <v>1</v>
      </c>
      <c r="M149" s="68">
        <f ca="1">IF(AND(SUMIF(Capacity_Resource,$D149,'Critical resources (hide)'!Z$6:Z$105)+SUMIF(Capacity_Resource,$E149,'Critical resources (hide)'!Z$6:Z$105)+SUMIF(Capacity_Resource,$F149,'Critical resources (hide)'!Z$6:Z$105)&gt;0,$E$1=2),0,1)</f>
        <v>1</v>
      </c>
      <c r="N149" s="68">
        <f ca="1">IF(AND(SUMIF(Capacity_Resource,$D149,'Critical resources (hide)'!AA$6:AA$105)+SUMIF(Capacity_Resource,$E149,'Critical resources (hide)'!AA$6:AA$105)+SUMIF(Capacity_Resource,$F149,'Critical resources (hide)'!AA$6:AA$105)&gt;0,$E$1=2),0,1)</f>
        <v>1</v>
      </c>
      <c r="O149" s="68">
        <f ca="1">IF(AND(SUMIF(Capacity_Resource,$D149,'Critical resources (hide)'!AB$6:AB$105)+SUMIF(Capacity_Resource,$E149,'Critical resources (hide)'!AB$6:AB$105)+SUMIF(Capacity_Resource,$F149,'Critical resources (hide)'!AB$6:AB$105)&gt;0,$E$1=2),0,1)</f>
        <v>1</v>
      </c>
      <c r="P149" s="68">
        <f ca="1">IF(AND(SUMIF(Capacity_Resource,$D149,'Critical resources (hide)'!AC$6:AC$105)+SUMIF(Capacity_Resource,$E149,'Critical resources (hide)'!AC$6:AC$105)+SUMIF(Capacity_Resource,$F149,'Critical resources (hide)'!AC$6:AC$105)&gt;0,$E$1=2),0,1)</f>
        <v>1</v>
      </c>
      <c r="Q149" s="68">
        <f ca="1">IF(AND(SUMIF(Capacity_Resource,$D149,'Critical resources (hide)'!AD$6:AD$105)+SUMIF(Capacity_Resource,$E149,'Critical resources (hide)'!AD$6:AD$105)+SUMIF(Capacity_Resource,$F149,'Critical resources (hide)'!AD$6:AD$105)&gt;0,$E$1=2),0,1)</f>
        <v>1</v>
      </c>
      <c r="R149" s="68">
        <f ca="1">IF(AND(SUMIF(Capacity_Resource,$D149,'Critical resources (hide)'!AE$6:AE$105)+SUMIF(Capacity_Resource,$E149,'Critical resources (hide)'!AE$6:AE$105)+SUMIF(Capacity_Resource,$F149,'Critical resources (hide)'!AE$6:AE$105)&gt;0,$E$1=2),0,1)</f>
        <v>1</v>
      </c>
      <c r="S149" s="68">
        <f ca="1">IF(AND(SUMIF(Capacity_Resource,$D149,'Critical resources (hide)'!AF$6:AF$105)+SUMIF(Capacity_Resource,$E149,'Critical resources (hide)'!AF$6:AF$105)+SUMIF(Capacity_Resource,$F149,'Critical resources (hide)'!AF$6:AF$105)&gt;0,$E$1=2),0,1)</f>
        <v>1</v>
      </c>
      <c r="T149" s="68">
        <f ca="1">IF(AND(SUMIF(Capacity_Resource,$D149,'Critical resources (hide)'!AG$6:AG$105)+SUMIF(Capacity_Resource,$E149,'Critical resources (hide)'!AG$6:AG$105)+SUMIF(Capacity_Resource,$F149,'Critical resources (hide)'!AG$6:AG$105)&gt;0,$E$1=2),0,1)</f>
        <v>1</v>
      </c>
      <c r="U149" s="68">
        <f ca="1">IF(AND(SUMIF(Capacity_Resource,$D149,'Critical resources (hide)'!AH$6:AH$105)+SUMIF(Capacity_Resource,$E149,'Critical resources (hide)'!AH$6:AH$105)+SUMIF(Capacity_Resource,$F149,'Critical resources (hide)'!AH$6:AH$105)&gt;0,$E$1=2),0,1)</f>
        <v>1</v>
      </c>
      <c r="V149" s="68">
        <f ca="1">IF(AND(SUMIF(Capacity_Resource,$D149,'Critical resources (hide)'!AI$6:AI$105)+SUMIF(Capacity_Resource,$E149,'Critical resources (hide)'!AI$6:AI$105)+SUMIF(Capacity_Resource,$F149,'Critical resources (hide)'!AI$6:AI$105)&gt;0,$E$1=2),0,1)</f>
        <v>1</v>
      </c>
      <c r="W149" s="68">
        <f ca="1">IF(AND(SUMIF(Capacity_Resource,$D149,'Critical resources (hide)'!AJ$6:AJ$105)+SUMIF(Capacity_Resource,$E149,'Critical resources (hide)'!AJ$6:AJ$105)+SUMIF(Capacity_Resource,$F149,'Critical resources (hide)'!AJ$6:AJ$105)&gt;0,$E$1=2),0,1)</f>
        <v>1</v>
      </c>
      <c r="X149" s="68">
        <f ca="1">IF(AND(SUMIF(Capacity_Resource,$D149,'Critical resources (hide)'!AK$6:AK$105)+SUMIF(Capacity_Resource,$E149,'Critical resources (hide)'!AK$6:AK$105)+SUMIF(Capacity_Resource,$F149,'Critical resources (hide)'!AK$6:AK$105)&gt;0,$E$1=2),0,1)</f>
        <v>1</v>
      </c>
      <c r="Y149" s="68">
        <f ca="1">IF(AND(SUMIF(Capacity_Resource,$D149,'Critical resources (hide)'!AL$6:AL$105)+SUMIF(Capacity_Resource,$E149,'Critical resources (hide)'!AL$6:AL$105)+SUMIF(Capacity_Resource,$F149,'Critical resources (hide)'!AL$6:AL$105)&gt;0,$E$1=2),0,1)</f>
        <v>1</v>
      </c>
      <c r="Z149" s="68">
        <f ca="1">IF(AND(SUMIF(Capacity_Resource,$D149,'Critical resources (hide)'!AM$6:AM$105)+SUMIF(Capacity_Resource,$E149,'Critical resources (hide)'!AM$6:AM$105)+SUMIF(Capacity_Resource,$F149,'Critical resources (hide)'!AM$6:AM$105)&gt;0,$E$1=2),0,1)</f>
        <v>1</v>
      </c>
      <c r="AA149" s="68">
        <f ca="1">IF(AND(SUMIF(Capacity_Resource,$D149,'Critical resources (hide)'!AN$6:AN$105)+SUMIF(Capacity_Resource,$E149,'Critical resources (hide)'!AN$6:AN$105)+SUMIF(Capacity_Resource,$F149,'Critical resources (hide)'!AN$6:AN$105)&gt;0,$E$1=2),0,1)</f>
        <v>1</v>
      </c>
      <c r="AB149" s="68">
        <f ca="1">IF(AND(SUMIF(Capacity_Resource,$D149,'Critical resources (hide)'!AO$6:AO$105)+SUMIF(Capacity_Resource,$E149,'Critical resources (hide)'!AO$6:AO$105)+SUMIF(Capacity_Resource,$F149,'Critical resources (hide)'!AO$6:AO$105)&gt;0,$E$1=2),0,1)</f>
        <v>1</v>
      </c>
      <c r="AC149" s="68">
        <f ca="1">IF(AND(SUMIF(Capacity_Resource,$D149,'Critical resources (hide)'!AP$6:AP$105)+SUMIF(Capacity_Resource,$E149,'Critical resources (hide)'!AP$6:AP$105)+SUMIF(Capacity_Resource,$F149,'Critical resources (hide)'!AP$6:AP$105)&gt;0,$E$1=2),0,1)</f>
        <v>1</v>
      </c>
      <c r="AD149" s="68">
        <f ca="1">IF(AND(SUMIF(Capacity_Resource,$D149,'Critical resources (hide)'!AQ$6:AQ$105)+SUMIF(Capacity_Resource,$E149,'Critical resources (hide)'!AQ$6:AQ$105)+SUMIF(Capacity_Resource,$F149,'Critical resources (hide)'!AQ$6:AQ$105)&gt;0,$E$1=2),0,1)</f>
        <v>1</v>
      </c>
      <c r="AE149" s="68">
        <f ca="1">IF(AND(SUMIF(Capacity_Resource,$D149,'Critical resources (hide)'!AR$6:AR$105)+SUMIF(Capacity_Resource,$E149,'Critical resources (hide)'!AR$6:AR$105)+SUMIF(Capacity_Resource,$F149,'Critical resources (hide)'!AR$6:AR$105)&gt;0,$E$1=2),0,1)</f>
        <v>1</v>
      </c>
      <c r="AF149" s="68">
        <f ca="1">IF(AND(SUMIF(Capacity_Resource,$D149,'Critical resources (hide)'!AS$6:AS$105)+SUMIF(Capacity_Resource,$E149,'Critical resources (hide)'!AS$6:AS$105)+SUMIF(Capacity_Resource,$F149,'Critical resources (hide)'!AS$6:AS$105)&gt;0,$E$1=2),0,1)</f>
        <v>1</v>
      </c>
      <c r="AG149" s="68">
        <f ca="1">IF(AND(SUMIF(Capacity_Resource,$D149,'Critical resources (hide)'!AT$6:AT$105)+SUMIF(Capacity_Resource,$E149,'Critical resources (hide)'!AT$6:AT$105)+SUMIF(Capacity_Resource,$F149,'Critical resources (hide)'!AT$6:AT$105)&gt;0,$E$1=2),0,1)</f>
        <v>1</v>
      </c>
      <c r="AH149" s="68">
        <f ca="1">IF(AND(SUMIF(Capacity_Resource,$D149,'Critical resources (hide)'!AU$6:AU$105)+SUMIF(Capacity_Resource,$E149,'Critical resources (hide)'!AU$6:AU$105)+SUMIF(Capacity_Resource,$F149,'Critical resources (hide)'!AU$6:AU$105)&gt;0,$E$1=2),0,1)</f>
        <v>1</v>
      </c>
      <c r="AI149" s="68">
        <f ca="1">IF(AND(SUMIF(Capacity_Resource,$D149,'Critical resources (hide)'!AV$6:AV$105)+SUMIF(Capacity_Resource,$E149,'Critical resources (hide)'!AV$6:AV$105)+SUMIF(Capacity_Resource,$F149,'Critical resources (hide)'!AV$6:AV$105)&gt;0,$E$1=2),0,1)</f>
        <v>1</v>
      </c>
      <c r="AJ149" s="68">
        <f ca="1">IF(AND(SUMIF(Capacity_Resource,$D149,'Critical resources (hide)'!AW$6:AW$105)+SUMIF(Capacity_Resource,$E149,'Critical resources (hide)'!AW$6:AW$105)+SUMIF(Capacity_Resource,$F149,'Critical resources (hide)'!AW$6:AW$105)&gt;0,$E$1=2),0,1)</f>
        <v>1</v>
      </c>
      <c r="AK149" s="68">
        <f ca="1">IF(AND(SUMIF(Capacity_Resource,$D149,'Critical resources (hide)'!AX$6:AX$105)+SUMIF(Capacity_Resource,$E149,'Critical resources (hide)'!AX$6:AX$105)+SUMIF(Capacity_Resource,$F149,'Critical resources (hide)'!AX$6:AX$105)&gt;0,$E$1=2),0,1)</f>
        <v>1</v>
      </c>
      <c r="AL149" s="68">
        <f ca="1">IF(AND(SUMIF(Capacity_Resource,$D149,'Critical resources (hide)'!AY$6:AY$105)+SUMIF(Capacity_Resource,$E149,'Critical resources (hide)'!AY$6:AY$105)+SUMIF(Capacity_Resource,$F149,'Critical resources (hide)'!AY$6:AY$105)&gt;0,$E$1=2),0,1)</f>
        <v>1</v>
      </c>
      <c r="AM149" s="68">
        <f ca="1">IF(AND(SUMIF(Capacity_Resource,$D149,'Critical resources (hide)'!AZ$6:AZ$105)+SUMIF(Capacity_Resource,$E149,'Critical resources (hide)'!AZ$6:AZ$105)+SUMIF(Capacity_Resource,$F149,'Critical resources (hide)'!AZ$6:AZ$105)&gt;0,$E$1=2),0,1)</f>
        <v>1</v>
      </c>
      <c r="AN149" s="68">
        <f ca="1">IF(AND(SUMIF(Capacity_Resource,$D149,'Critical resources (hide)'!BA$6:BA$105)+SUMIF(Capacity_Resource,$E149,'Critical resources (hide)'!BA$6:BA$105)+SUMIF(Capacity_Resource,$F149,'Critical resources (hide)'!BA$6:BA$105)&gt;0,$E$1=2),0,1)</f>
        <v>1</v>
      </c>
      <c r="AO149" s="68">
        <f ca="1">IF(AND(SUMIF(Capacity_Resource,$D149,'Critical resources (hide)'!BB$6:BB$105)+SUMIF(Capacity_Resource,$E149,'Critical resources (hide)'!BB$6:BB$105)+SUMIF(Capacity_Resource,$F149,'Critical resources (hide)'!BB$6:BB$105)&gt;0,$E$1=2),0,1)</f>
        <v>1</v>
      </c>
      <c r="AP149" s="68">
        <f ca="1">IF(AND(SUMIF(Capacity_Resource,$D149,'Critical resources (hide)'!BC$6:BC$105)+SUMIF(Capacity_Resource,$E149,'Critical resources (hide)'!BC$6:BC$105)+SUMIF(Capacity_Resource,$F149,'Critical resources (hide)'!BC$6:BC$105)&gt;0,$E$1=2),0,1)</f>
        <v>1</v>
      </c>
      <c r="AQ149" s="68">
        <f ca="1">IF(AND(SUMIF(Capacity_Resource,$D149,'Critical resources (hide)'!BD$6:BD$105)+SUMIF(Capacity_Resource,$E149,'Critical resources (hide)'!BD$6:BD$105)+SUMIF(Capacity_Resource,$F149,'Critical resources (hide)'!BD$6:BD$105)&gt;0,$E$1=2),0,1)</f>
        <v>1</v>
      </c>
      <c r="AR149" s="68">
        <f ca="1">IF(AND(SUMIF(Capacity_Resource,$D149,'Critical resources (hide)'!BE$6:BE$105)+SUMIF(Capacity_Resource,$E149,'Critical resources (hide)'!BE$6:BE$105)+SUMIF(Capacity_Resource,$F149,'Critical resources (hide)'!BE$6:BE$105)&gt;0,$E$1=2),0,1)</f>
        <v>1</v>
      </c>
      <c r="AS149" s="68">
        <f ca="1">IF(AND(SUMIF(Capacity_Resource,$D149,'Critical resources (hide)'!BF$6:BF$105)+SUMIF(Capacity_Resource,$E149,'Critical resources (hide)'!BF$6:BF$105)+SUMIF(Capacity_Resource,$F149,'Critical resources (hide)'!BF$6:BF$105)&gt;0,$E$1=2),0,1)</f>
        <v>1</v>
      </c>
      <c r="AT149" s="68">
        <f ca="1">IF(AND(SUMIF(Capacity_Resource,$D149,'Critical resources (hide)'!BG$6:BG$105)+SUMIF(Capacity_Resource,$E149,'Critical resources (hide)'!BG$6:BG$105)+SUMIF(Capacity_Resource,$F149,'Critical resources (hide)'!BG$6:BG$105)&gt;0,$E$1=2),0,1)</f>
        <v>1</v>
      </c>
      <c r="AU149" s="68">
        <f ca="1">IF(AND(SUMIF(Capacity_Resource,$D149,'Critical resources (hide)'!BH$6:BH$105)+SUMIF(Capacity_Resource,$E149,'Critical resources (hide)'!BH$6:BH$105)+SUMIF(Capacity_Resource,$F149,'Critical resources (hide)'!BH$6:BH$105)&gt;0,$E$1=2),0,1)</f>
        <v>1</v>
      </c>
      <c r="AV149" s="68">
        <f ca="1">IF(AND(SUMIF(Capacity_Resource,$D149,'Critical resources (hide)'!BI$6:BI$105)+SUMIF(Capacity_Resource,$E149,'Critical resources (hide)'!BI$6:BI$105)+SUMIF(Capacity_Resource,$F149,'Critical resources (hide)'!BI$6:BI$105)&gt;0,$E$1=2),0,1)</f>
        <v>1</v>
      </c>
      <c r="AW149" s="68">
        <f ca="1">IF(AND(SUMIF(Capacity_Resource,$D149,'Critical resources (hide)'!BJ$6:BJ$105)+SUMIF(Capacity_Resource,$E149,'Critical resources (hide)'!BJ$6:BJ$105)+SUMIF(Capacity_Resource,$F149,'Critical resources (hide)'!BJ$6:BJ$105)&gt;0,$E$1=2),0,1)</f>
        <v>1</v>
      </c>
      <c r="AX149" s="68">
        <f ca="1">IF(AND(SUMIF(Capacity_Resource,$D149,'Critical resources (hide)'!BK$6:BK$105)+SUMIF(Capacity_Resource,$E149,'Critical resources (hide)'!BK$6:BK$105)+SUMIF(Capacity_Resource,$F149,'Critical resources (hide)'!BK$6:BK$105)&gt;0,$E$1=2),0,1)</f>
        <v>1</v>
      </c>
      <c r="AY149" s="68">
        <f ca="1">IF(AND(SUMIF(Capacity_Resource,$D149,'Critical resources (hide)'!BL$6:BL$105)+SUMIF(Capacity_Resource,$E149,'Critical resources (hide)'!BL$6:BL$105)+SUMIF(Capacity_Resource,$F149,'Critical resources (hide)'!BL$6:BL$105)&gt;0,$E$1=2),0,1)</f>
        <v>1</v>
      </c>
      <c r="AZ149" s="68">
        <f ca="1">IF(AND(SUMIF(Capacity_Resource,$D149,'Critical resources (hide)'!BM$6:BM$105)+SUMIF(Capacity_Resource,$E149,'Critical resources (hide)'!BM$6:BM$105)+SUMIF(Capacity_Resource,$F149,'Critical resources (hide)'!BM$6:BM$105)&gt;0,$E$1=2),0,1)</f>
        <v>1</v>
      </c>
      <c r="BA149" s="68">
        <f ca="1">IF(AND(SUMIF(Capacity_Resource,$D149,'Critical resources (hide)'!BN$6:BN$105)+SUMIF(Capacity_Resource,$E149,'Critical resources (hide)'!BN$6:BN$105)+SUMIF(Capacity_Resource,$F149,'Critical resources (hide)'!BN$6:BN$105)&gt;0,$E$1=2),0,1)</f>
        <v>1</v>
      </c>
      <c r="BB149" s="68">
        <f ca="1">IF(AND(SUMIF(Capacity_Resource,$D149,'Critical resources (hide)'!BO$6:BO$105)+SUMIF(Capacity_Resource,$E149,'Critical resources (hide)'!BO$6:BO$105)+SUMIF(Capacity_Resource,$F149,'Critical resources (hide)'!BO$6:BO$105)&gt;0,$E$1=2),0,1)</f>
        <v>1</v>
      </c>
      <c r="BC149" s="68">
        <f ca="1">IF(AND(SUMIF(Capacity_Resource,$D149,'Critical resources (hide)'!BP$6:BP$105)+SUMIF(Capacity_Resource,$E149,'Critical resources (hide)'!BP$6:BP$105)+SUMIF(Capacity_Resource,$F149,'Critical resources (hide)'!BP$6:BP$105)&gt;0,$E$1=2),0,1)</f>
        <v>1</v>
      </c>
      <c r="BD149" s="68">
        <f ca="1">IF(AND(SUMIF(Capacity_Resource,$D149,'Critical resources (hide)'!BQ$6:BQ$105)+SUMIF(Capacity_Resource,$E149,'Critical resources (hide)'!BQ$6:BQ$105)+SUMIF(Capacity_Resource,$F149,'Critical resources (hide)'!BQ$6:BQ$105)&gt;0,$E$1=2),0,1)</f>
        <v>1</v>
      </c>
      <c r="BE149" s="68">
        <f ca="1">IF(AND(SUMIF(Capacity_Resource,$D149,'Critical resources (hide)'!BR$6:BR$105)+SUMIF(Capacity_Resource,$E149,'Critical resources (hide)'!BR$6:BR$105)+SUMIF(Capacity_Resource,$F149,'Critical resources (hide)'!BR$6:BR$105)&gt;0,$E$1=2),0,1)</f>
        <v>1</v>
      </c>
      <c r="BF149" s="68">
        <f ca="1">IF(AND(SUMIF(Capacity_Resource,$D149,'Critical resources (hide)'!BS$6:BS$105)+SUMIF(Capacity_Resource,$E149,'Critical resources (hide)'!BS$6:BS$105)+SUMIF(Capacity_Resource,$F149,'Critical resources (hide)'!BS$6:BS$105)&gt;0,$E$1=2),0,1)</f>
        <v>1</v>
      </c>
      <c r="BG149" s="68">
        <f ca="1">IF(AND(SUMIF(Capacity_Resource,$D149,'Critical resources (hide)'!BT$6:BT$105)+SUMIF(Capacity_Resource,$E149,'Critical resources (hide)'!BT$6:BT$105)+SUMIF(Capacity_Resource,$F149,'Critical resources (hide)'!BT$6:BT$105)&gt;0,$E$1=2),0,1)</f>
        <v>1</v>
      </c>
      <c r="BH149" s="68">
        <f>IF(ROW(A38)&lt;=Capacity!$M$16,IF('Capacity summary'!$C$14="No",SUM(H149:BG149),'Capacity summary'!$E61),0)</f>
        <v>0</v>
      </c>
      <c r="BI149" s="68" t="str">
        <f>IF(BH149&gt;0,IF(BH149&lt;Capacity!Q54,Capacity!R54,Capacity!T54/'Capacity calculation (hide)'!BH149),"")</f>
        <v/>
      </c>
      <c r="BJ149" s="5"/>
      <c r="BK149" s="5">
        <f>IF($BI149&lt;&gt;"",IF('Capacity summary'!$C$14="Yes",IF(COUNTBLANK('Capacity summary'!$H61:$BG61)&lt;52,IF('Capacity summary'!H61&lt;&gt;"",$BI149*H149,0),H149*$BI149),H149*$BI149),0)</f>
        <v>0</v>
      </c>
      <c r="BL149" s="5">
        <f>IF($BI149&lt;&gt;"",IF('Capacity summary'!$C$14="Yes",IF(COUNTBLANK('Capacity summary'!$H61:$BG61)&lt;52,IF('Capacity summary'!I61&lt;&gt;"",$BI149*I149,0),I149*$BI149),I149*$BI149),0)</f>
        <v>0</v>
      </c>
      <c r="BM149" s="5">
        <f>IF($BI149&lt;&gt;"",IF('Capacity summary'!$C$14="Yes",IF(COUNTBLANK('Capacity summary'!$H61:$BG61)&lt;52,IF('Capacity summary'!J61&lt;&gt;"",$BI149*J149,0),J149*$BI149),J149*$BI149),0)</f>
        <v>0</v>
      </c>
      <c r="BN149" s="5">
        <f>IF($BI149&lt;&gt;"",IF('Capacity summary'!$C$14="Yes",IF(COUNTBLANK('Capacity summary'!$H61:$BG61)&lt;52,IF('Capacity summary'!K61&lt;&gt;"",$BI149*K149,0),K149*$BI149),K149*$BI149),0)</f>
        <v>0</v>
      </c>
      <c r="BO149" s="5">
        <f>IF($BI149&lt;&gt;"",IF('Capacity summary'!$C$14="Yes",IF(COUNTBLANK('Capacity summary'!$H61:$BG61)&lt;52,IF('Capacity summary'!L61&lt;&gt;"",$BI149*L149,0),L149*$BI149),L149*$BI149),0)</f>
        <v>0</v>
      </c>
      <c r="BP149" s="5">
        <f>IF($BI149&lt;&gt;"",IF('Capacity summary'!$C$14="Yes",IF(COUNTBLANK('Capacity summary'!$H61:$BG61)&lt;52,IF('Capacity summary'!M61&lt;&gt;"",$BI149*M149,0),M149*$BI149),M149*$BI149),0)</f>
        <v>0</v>
      </c>
      <c r="BQ149" s="5">
        <f>IF($BI149&lt;&gt;"",IF('Capacity summary'!$C$14="Yes",IF(COUNTBLANK('Capacity summary'!$H61:$BG61)&lt;52,IF('Capacity summary'!N61&lt;&gt;"",$BI149*N149,0),N149*$BI149),N149*$BI149),0)</f>
        <v>0</v>
      </c>
      <c r="BR149" s="5">
        <f>IF($BI149&lt;&gt;"",IF('Capacity summary'!$C$14="Yes",IF(COUNTBLANK('Capacity summary'!$H61:$BG61)&lt;52,IF('Capacity summary'!O61&lt;&gt;"",$BI149*O149,0),O149*$BI149),O149*$BI149),0)</f>
        <v>0</v>
      </c>
      <c r="BS149" s="5">
        <f>IF($BI149&lt;&gt;"",IF('Capacity summary'!$C$14="Yes",IF(COUNTBLANK('Capacity summary'!$H61:$BG61)&lt;52,IF('Capacity summary'!P61&lt;&gt;"",$BI149*P149,0),P149*$BI149),P149*$BI149),0)</f>
        <v>0</v>
      </c>
      <c r="BT149" s="5">
        <f>IF($BI149&lt;&gt;"",IF('Capacity summary'!$C$14="Yes",IF(COUNTBLANK('Capacity summary'!$H61:$BG61)&lt;52,IF('Capacity summary'!Q61&lt;&gt;"",$BI149*Q149,0),Q149*$BI149),Q149*$BI149),0)</f>
        <v>0</v>
      </c>
      <c r="BU149" s="5">
        <f>IF($BI149&lt;&gt;"",IF('Capacity summary'!$C$14="Yes",IF(COUNTBLANK('Capacity summary'!$H61:$BG61)&lt;52,IF('Capacity summary'!R61&lt;&gt;"",$BI149*R149,0),R149*$BI149),R149*$BI149),0)</f>
        <v>0</v>
      </c>
      <c r="BV149" s="5">
        <f>IF($BI149&lt;&gt;"",IF('Capacity summary'!$C$14="Yes",IF(COUNTBLANK('Capacity summary'!$H61:$BG61)&lt;52,IF('Capacity summary'!S61&lt;&gt;"",$BI149*S149,0),S149*$BI149),S149*$BI149),0)</f>
        <v>0</v>
      </c>
      <c r="BW149" s="5">
        <f>IF($BI149&lt;&gt;"",IF('Capacity summary'!$C$14="Yes",IF(COUNTBLANK('Capacity summary'!$H61:$BG61)&lt;52,IF('Capacity summary'!T61&lt;&gt;"",$BI149*T149,0),T149*$BI149),T149*$BI149),0)</f>
        <v>0</v>
      </c>
      <c r="BX149" s="5">
        <f>IF($BI149&lt;&gt;"",IF('Capacity summary'!$C$14="Yes",IF(COUNTBLANK('Capacity summary'!$H61:$BG61)&lt;52,IF('Capacity summary'!U61&lt;&gt;"",$BI149*U149,0),U149*$BI149),U149*$BI149),0)</f>
        <v>0</v>
      </c>
      <c r="BY149" s="5">
        <f>IF($BI149&lt;&gt;"",IF('Capacity summary'!$C$14="Yes",IF(COUNTBLANK('Capacity summary'!$H61:$BG61)&lt;52,IF('Capacity summary'!V61&lt;&gt;"",$BI149*V149,0),V149*$BI149),V149*$BI149),0)</f>
        <v>0</v>
      </c>
      <c r="BZ149" s="5">
        <f>IF($BI149&lt;&gt;"",IF('Capacity summary'!$C$14="Yes",IF(COUNTBLANK('Capacity summary'!$H61:$BG61)&lt;52,IF('Capacity summary'!W61&lt;&gt;"",$BI149*W149,0),W149*$BI149),W149*$BI149),0)</f>
        <v>0</v>
      </c>
      <c r="CA149" s="5">
        <f>IF($BI149&lt;&gt;"",IF('Capacity summary'!$C$14="Yes",IF(COUNTBLANK('Capacity summary'!$H61:$BG61)&lt;52,IF('Capacity summary'!X61&lt;&gt;"",$BI149*X149,0),X149*$BI149),X149*$BI149),0)</f>
        <v>0</v>
      </c>
      <c r="CB149" s="5">
        <f>IF($BI149&lt;&gt;"",IF('Capacity summary'!$C$14="Yes",IF(COUNTBLANK('Capacity summary'!$H61:$BG61)&lt;52,IF('Capacity summary'!Y61&lt;&gt;"",$BI149*Y149,0),Y149*$BI149),Y149*$BI149),0)</f>
        <v>0</v>
      </c>
      <c r="CC149" s="5">
        <f>IF($BI149&lt;&gt;"",IF('Capacity summary'!$C$14="Yes",IF(COUNTBLANK('Capacity summary'!$H61:$BG61)&lt;52,IF('Capacity summary'!Z61&lt;&gt;"",$BI149*Z149,0),Z149*$BI149),Z149*$BI149),0)</f>
        <v>0</v>
      </c>
      <c r="CD149" s="5">
        <f>IF($BI149&lt;&gt;"",IF('Capacity summary'!$C$14="Yes",IF(COUNTBLANK('Capacity summary'!$H61:$BG61)&lt;52,IF('Capacity summary'!AA61&lt;&gt;"",$BI149*AA149,0),AA149*$BI149),AA149*$BI149),0)</f>
        <v>0</v>
      </c>
      <c r="CE149" s="5">
        <f>IF($BI149&lt;&gt;"",IF('Capacity summary'!$C$14="Yes",IF(COUNTBLANK('Capacity summary'!$H61:$BG61)&lt;52,IF('Capacity summary'!AB61&lt;&gt;"",$BI149*AB149,0),AB149*$BI149),AB149*$BI149),0)</f>
        <v>0</v>
      </c>
      <c r="CF149" s="5">
        <f>IF($BI149&lt;&gt;"",IF('Capacity summary'!$C$14="Yes",IF(COUNTBLANK('Capacity summary'!$H61:$BG61)&lt;52,IF('Capacity summary'!AC61&lt;&gt;"",$BI149*AC149,0),AC149*$BI149),AC149*$BI149),0)</f>
        <v>0</v>
      </c>
      <c r="CG149" s="5">
        <f>IF($BI149&lt;&gt;"",IF('Capacity summary'!$C$14="Yes",IF(COUNTBLANK('Capacity summary'!$H61:$BG61)&lt;52,IF('Capacity summary'!AD61&lt;&gt;"",$BI149*AD149,0),AD149*$BI149),AD149*$BI149),0)</f>
        <v>0</v>
      </c>
      <c r="CH149" s="5">
        <f>IF($BI149&lt;&gt;"",IF('Capacity summary'!$C$14="Yes",IF(COUNTBLANK('Capacity summary'!$H61:$BG61)&lt;52,IF('Capacity summary'!AE61&lt;&gt;"",$BI149*AE149,0),AE149*$BI149),AE149*$BI149),0)</f>
        <v>0</v>
      </c>
      <c r="CI149" s="5">
        <f>IF($BI149&lt;&gt;"",IF('Capacity summary'!$C$14="Yes",IF(COUNTBLANK('Capacity summary'!$H61:$BG61)&lt;52,IF('Capacity summary'!AF61&lt;&gt;"",$BI149*AF149,0),AF149*$BI149),AF149*$BI149),0)</f>
        <v>0</v>
      </c>
      <c r="CJ149" s="5">
        <f>IF($BI149&lt;&gt;"",IF('Capacity summary'!$C$14="Yes",IF(COUNTBLANK('Capacity summary'!$H61:$BG61)&lt;52,IF('Capacity summary'!AG61&lt;&gt;"",$BI149*AG149,0),AG149*$BI149),AG149*$BI149),0)</f>
        <v>0</v>
      </c>
      <c r="CK149" s="5">
        <f>IF($BI149&lt;&gt;"",IF('Capacity summary'!$C$14="Yes",IF(COUNTBLANK('Capacity summary'!$H61:$BG61)&lt;52,IF('Capacity summary'!AH61&lt;&gt;"",$BI149*AH149,0),AH149*$BI149),AH149*$BI149),0)</f>
        <v>0</v>
      </c>
      <c r="CL149" s="5">
        <f>IF($BI149&lt;&gt;"",IF('Capacity summary'!$C$14="Yes",IF(COUNTBLANK('Capacity summary'!$H61:$BG61)&lt;52,IF('Capacity summary'!AI61&lt;&gt;"",$BI149*AI149,0),AI149*$BI149),AI149*$BI149),0)</f>
        <v>0</v>
      </c>
      <c r="CM149" s="5">
        <f>IF($BI149&lt;&gt;"",IF('Capacity summary'!$C$14="Yes",IF(COUNTBLANK('Capacity summary'!$H61:$BG61)&lt;52,IF('Capacity summary'!AJ61&lt;&gt;"",$BI149*AJ149,0),AJ149*$BI149),AJ149*$BI149),0)</f>
        <v>0</v>
      </c>
      <c r="CN149" s="5">
        <f>IF($BI149&lt;&gt;"",IF('Capacity summary'!$C$14="Yes",IF(COUNTBLANK('Capacity summary'!$H61:$BG61)&lt;52,IF('Capacity summary'!AK61&lt;&gt;"",$BI149*AK149,0),AK149*$BI149),AK149*$BI149),0)</f>
        <v>0</v>
      </c>
      <c r="CO149" s="5">
        <f>IF($BI149&lt;&gt;"",IF('Capacity summary'!$C$14="Yes",IF(COUNTBLANK('Capacity summary'!$H61:$BG61)&lt;52,IF('Capacity summary'!AL61&lt;&gt;"",$BI149*AL149,0),AL149*$BI149),AL149*$BI149),0)</f>
        <v>0</v>
      </c>
      <c r="CP149" s="5">
        <f>IF($BI149&lt;&gt;"",IF('Capacity summary'!$C$14="Yes",IF(COUNTBLANK('Capacity summary'!$H61:$BG61)&lt;52,IF('Capacity summary'!AM61&lt;&gt;"",$BI149*AM149,0),AM149*$BI149),AM149*$BI149),0)</f>
        <v>0</v>
      </c>
      <c r="CQ149" s="5">
        <f>IF($BI149&lt;&gt;"",IF('Capacity summary'!$C$14="Yes",IF(COUNTBLANK('Capacity summary'!$H61:$BG61)&lt;52,IF('Capacity summary'!AN61&lt;&gt;"",$BI149*AN149,0),AN149*$BI149),AN149*$BI149),0)</f>
        <v>0</v>
      </c>
      <c r="CR149" s="5">
        <f>IF($BI149&lt;&gt;"",IF('Capacity summary'!$C$14="Yes",IF(COUNTBLANK('Capacity summary'!$H61:$BG61)&lt;52,IF('Capacity summary'!AO61&lt;&gt;"",$BI149*AO149,0),AO149*$BI149),AO149*$BI149),0)</f>
        <v>0</v>
      </c>
      <c r="CS149" s="5">
        <f>IF($BI149&lt;&gt;"",IF('Capacity summary'!$C$14="Yes",IF(COUNTBLANK('Capacity summary'!$H61:$BG61)&lt;52,IF('Capacity summary'!AP61&lt;&gt;"",$BI149*AP149,0),AP149*$BI149),AP149*$BI149),0)</f>
        <v>0</v>
      </c>
      <c r="CT149" s="5">
        <f>IF($BI149&lt;&gt;"",IF('Capacity summary'!$C$14="Yes",IF(COUNTBLANK('Capacity summary'!$H61:$BG61)&lt;52,IF('Capacity summary'!AQ61&lt;&gt;"",$BI149*AQ149,0),AQ149*$BI149),AQ149*$BI149),0)</f>
        <v>0</v>
      </c>
      <c r="CU149" s="5">
        <f>IF($BI149&lt;&gt;"",IF('Capacity summary'!$C$14="Yes",IF(COUNTBLANK('Capacity summary'!$H61:$BG61)&lt;52,IF('Capacity summary'!AR61&lt;&gt;"",$BI149*AR149,0),AR149*$BI149),AR149*$BI149),0)</f>
        <v>0</v>
      </c>
      <c r="CV149" s="5">
        <f>IF($BI149&lt;&gt;"",IF('Capacity summary'!$C$14="Yes",IF(COUNTBLANK('Capacity summary'!$H61:$BG61)&lt;52,IF('Capacity summary'!AS61&lt;&gt;"",$BI149*AS149,0),AS149*$BI149),AS149*$BI149),0)</f>
        <v>0</v>
      </c>
      <c r="CW149" s="5">
        <f>IF($BI149&lt;&gt;"",IF('Capacity summary'!$C$14="Yes",IF(COUNTBLANK('Capacity summary'!$H61:$BG61)&lt;52,IF('Capacity summary'!AT61&lt;&gt;"",$BI149*AT149,0),AT149*$BI149),AT149*$BI149),0)</f>
        <v>0</v>
      </c>
      <c r="CX149" s="5">
        <f>IF($BI149&lt;&gt;"",IF('Capacity summary'!$C$14="Yes",IF(COUNTBLANK('Capacity summary'!$H61:$BG61)&lt;52,IF('Capacity summary'!AU61&lt;&gt;"",$BI149*AU149,0),AU149*$BI149),AU149*$BI149),0)</f>
        <v>0</v>
      </c>
      <c r="CY149" s="5">
        <f>IF($BI149&lt;&gt;"",IF('Capacity summary'!$C$14="Yes",IF(COUNTBLANK('Capacity summary'!$H61:$BG61)&lt;52,IF('Capacity summary'!AV61&lt;&gt;"",$BI149*AV149,0),AV149*$BI149),AV149*$BI149),0)</f>
        <v>0</v>
      </c>
      <c r="CZ149" s="5">
        <f>IF($BI149&lt;&gt;"",IF('Capacity summary'!$C$14="Yes",IF(COUNTBLANK('Capacity summary'!$H61:$BG61)&lt;52,IF('Capacity summary'!AW61&lt;&gt;"",$BI149*AW149,0),AW149*$BI149),AW149*$BI149),0)</f>
        <v>0</v>
      </c>
      <c r="DA149" s="5">
        <f>IF($BI149&lt;&gt;"",IF('Capacity summary'!$C$14="Yes",IF(COUNTBLANK('Capacity summary'!$H61:$BG61)&lt;52,IF('Capacity summary'!AX61&lt;&gt;"",$BI149*AX149,0),AX149*$BI149),AX149*$BI149),0)</f>
        <v>0</v>
      </c>
      <c r="DB149" s="5">
        <f>IF($BI149&lt;&gt;"",IF('Capacity summary'!$C$14="Yes",IF(COUNTBLANK('Capacity summary'!$H61:$BG61)&lt;52,IF('Capacity summary'!AY61&lt;&gt;"",$BI149*AY149,0),AY149*$BI149),AY149*$BI149),0)</f>
        <v>0</v>
      </c>
      <c r="DC149" s="5">
        <f>IF($BI149&lt;&gt;"",IF('Capacity summary'!$C$14="Yes",IF(COUNTBLANK('Capacity summary'!$H61:$BG61)&lt;52,IF('Capacity summary'!AZ61&lt;&gt;"",$BI149*AZ149,0),AZ149*$BI149),AZ149*$BI149),0)</f>
        <v>0</v>
      </c>
      <c r="DD149" s="5">
        <f>IF($BI149&lt;&gt;"",IF('Capacity summary'!$C$14="Yes",IF(COUNTBLANK('Capacity summary'!$H61:$BG61)&lt;52,IF('Capacity summary'!BA61&lt;&gt;"",$BI149*BA149,0),BA149*$BI149),BA149*$BI149),0)</f>
        <v>0</v>
      </c>
      <c r="DE149" s="5">
        <f>IF($BI149&lt;&gt;"",IF('Capacity summary'!$C$14="Yes",IF(COUNTBLANK('Capacity summary'!$H61:$BG61)&lt;52,IF('Capacity summary'!BB61&lt;&gt;"",$BI149*BB149,0),BB149*$BI149),BB149*$BI149),0)</f>
        <v>0</v>
      </c>
      <c r="DF149" s="5">
        <f>IF($BI149&lt;&gt;"",IF('Capacity summary'!$C$14="Yes",IF(COUNTBLANK('Capacity summary'!$H61:$BG61)&lt;52,IF('Capacity summary'!BC61&lt;&gt;"",$BI149*BC149,0),BC149*$BI149),BC149*$BI149),0)</f>
        <v>0</v>
      </c>
      <c r="DG149" s="5">
        <f>IF($BI149&lt;&gt;"",IF('Capacity summary'!$C$14="Yes",IF(COUNTBLANK('Capacity summary'!$H61:$BG61)&lt;52,IF('Capacity summary'!BD61&lt;&gt;"",$BI149*BD149,0),BD149*$BI149),BD149*$BI149),0)</f>
        <v>0</v>
      </c>
      <c r="DH149" s="5">
        <f>IF($BI149&lt;&gt;"",IF('Capacity summary'!$C$14="Yes",IF(COUNTBLANK('Capacity summary'!$H61:$BG61)&lt;52,IF('Capacity summary'!BE61&lt;&gt;"",$BI149*BE149,0),BE149*$BI149),BE149*$BI149),0)</f>
        <v>0</v>
      </c>
      <c r="DI149" s="5">
        <f>IF($BI149&lt;&gt;"",IF('Capacity summary'!$C$14="Yes",IF(COUNTBLANK('Capacity summary'!$H61:$BG61)&lt;52,IF('Capacity summary'!BF61&lt;&gt;"",$BI149*BF149,0),BF149*$BI149),BF149*$BI149),0)</f>
        <v>0</v>
      </c>
      <c r="DJ149" s="5">
        <f>IF($BI149&lt;&gt;"",IF('Capacity summary'!$C$14="Yes",IF(COUNTBLANK('Capacity summary'!$H61:$BG61)&lt;52,IF('Capacity summary'!BG61&lt;&gt;"",$BI149*BG149,0),BG149*$BI149),BG149*$BI149),0)</f>
        <v>0</v>
      </c>
      <c r="DK149" s="138">
        <f t="shared" si="6"/>
        <v>0</v>
      </c>
    </row>
    <row r="150" spans="3:115" x14ac:dyDescent="0.2">
      <c r="C150" s="68" t="str">
        <f>ROW(A39)&amp;". "&amp;Capacity!N55</f>
        <v xml:space="preserve">39. </v>
      </c>
      <c r="D150" s="68">
        <f>'Capacity setup'!C156</f>
        <v>0</v>
      </c>
      <c r="E150" s="68">
        <f>'Capacity setup'!D156</f>
        <v>0</v>
      </c>
      <c r="F150" s="68">
        <f>'Capacity setup'!E156</f>
        <v>0</v>
      </c>
      <c r="H150" s="68">
        <f ca="1">IF(AND(SUMIF(Capacity_Resource,$D150,'Critical resources (hide)'!U$6:U$105)+SUMIF(Capacity_Resource,$E150,'Critical resources (hide)'!U$6:U$105)+SUMIF(Capacity_Resource,$F150,'Critical resources (hide)'!U$6:U$105)&gt;0,$E$1=2),0,1)</f>
        <v>1</v>
      </c>
      <c r="I150" s="68">
        <f ca="1">IF(AND(SUMIF(Capacity_Resource,$D150,'Critical resources (hide)'!V$6:V$105)+SUMIF(Capacity_Resource,$E150,'Critical resources (hide)'!V$6:V$105)+SUMIF(Capacity_Resource,$F150,'Critical resources (hide)'!V$6:V$105)&gt;0,$E$1=2),0,1)</f>
        <v>1</v>
      </c>
      <c r="J150" s="68">
        <f ca="1">IF(AND(SUMIF(Capacity_Resource,$D150,'Critical resources (hide)'!W$6:W$105)+SUMIF(Capacity_Resource,$E150,'Critical resources (hide)'!W$6:W$105)+SUMIF(Capacity_Resource,$F150,'Critical resources (hide)'!W$6:W$105)&gt;0,$E$1=2),0,1)</f>
        <v>1</v>
      </c>
      <c r="K150" s="68">
        <f ca="1">IF(AND(SUMIF(Capacity_Resource,$D150,'Critical resources (hide)'!X$6:X$105)+SUMIF(Capacity_Resource,$E150,'Critical resources (hide)'!X$6:X$105)+SUMIF(Capacity_Resource,$F150,'Critical resources (hide)'!X$6:X$105)&gt;0,$E$1=2),0,1)</f>
        <v>1</v>
      </c>
      <c r="L150" s="68">
        <f ca="1">IF(AND(SUMIF(Capacity_Resource,$D150,'Critical resources (hide)'!Y$6:Y$105)+SUMIF(Capacity_Resource,$E150,'Critical resources (hide)'!Y$6:Y$105)+SUMIF(Capacity_Resource,$F150,'Critical resources (hide)'!Y$6:Y$105)&gt;0,$E$1=2),0,1)</f>
        <v>1</v>
      </c>
      <c r="M150" s="68">
        <f ca="1">IF(AND(SUMIF(Capacity_Resource,$D150,'Critical resources (hide)'!Z$6:Z$105)+SUMIF(Capacity_Resource,$E150,'Critical resources (hide)'!Z$6:Z$105)+SUMIF(Capacity_Resource,$F150,'Critical resources (hide)'!Z$6:Z$105)&gt;0,$E$1=2),0,1)</f>
        <v>1</v>
      </c>
      <c r="N150" s="68">
        <f ca="1">IF(AND(SUMIF(Capacity_Resource,$D150,'Critical resources (hide)'!AA$6:AA$105)+SUMIF(Capacity_Resource,$E150,'Critical resources (hide)'!AA$6:AA$105)+SUMIF(Capacity_Resource,$F150,'Critical resources (hide)'!AA$6:AA$105)&gt;0,$E$1=2),0,1)</f>
        <v>1</v>
      </c>
      <c r="O150" s="68">
        <f ca="1">IF(AND(SUMIF(Capacity_Resource,$D150,'Critical resources (hide)'!AB$6:AB$105)+SUMIF(Capacity_Resource,$E150,'Critical resources (hide)'!AB$6:AB$105)+SUMIF(Capacity_Resource,$F150,'Critical resources (hide)'!AB$6:AB$105)&gt;0,$E$1=2),0,1)</f>
        <v>1</v>
      </c>
      <c r="P150" s="68">
        <f ca="1">IF(AND(SUMIF(Capacity_Resource,$D150,'Critical resources (hide)'!AC$6:AC$105)+SUMIF(Capacity_Resource,$E150,'Critical resources (hide)'!AC$6:AC$105)+SUMIF(Capacity_Resource,$F150,'Critical resources (hide)'!AC$6:AC$105)&gt;0,$E$1=2),0,1)</f>
        <v>1</v>
      </c>
      <c r="Q150" s="68">
        <f ca="1">IF(AND(SUMIF(Capacity_Resource,$D150,'Critical resources (hide)'!AD$6:AD$105)+SUMIF(Capacity_Resource,$E150,'Critical resources (hide)'!AD$6:AD$105)+SUMIF(Capacity_Resource,$F150,'Critical resources (hide)'!AD$6:AD$105)&gt;0,$E$1=2),0,1)</f>
        <v>1</v>
      </c>
      <c r="R150" s="68">
        <f ca="1">IF(AND(SUMIF(Capacity_Resource,$D150,'Critical resources (hide)'!AE$6:AE$105)+SUMIF(Capacity_Resource,$E150,'Critical resources (hide)'!AE$6:AE$105)+SUMIF(Capacity_Resource,$F150,'Critical resources (hide)'!AE$6:AE$105)&gt;0,$E$1=2),0,1)</f>
        <v>1</v>
      </c>
      <c r="S150" s="68">
        <f ca="1">IF(AND(SUMIF(Capacity_Resource,$D150,'Critical resources (hide)'!AF$6:AF$105)+SUMIF(Capacity_Resource,$E150,'Critical resources (hide)'!AF$6:AF$105)+SUMIF(Capacity_Resource,$F150,'Critical resources (hide)'!AF$6:AF$105)&gt;0,$E$1=2),0,1)</f>
        <v>1</v>
      </c>
      <c r="T150" s="68">
        <f ca="1">IF(AND(SUMIF(Capacity_Resource,$D150,'Critical resources (hide)'!AG$6:AG$105)+SUMIF(Capacity_Resource,$E150,'Critical resources (hide)'!AG$6:AG$105)+SUMIF(Capacity_Resource,$F150,'Critical resources (hide)'!AG$6:AG$105)&gt;0,$E$1=2),0,1)</f>
        <v>1</v>
      </c>
      <c r="U150" s="68">
        <f ca="1">IF(AND(SUMIF(Capacity_Resource,$D150,'Critical resources (hide)'!AH$6:AH$105)+SUMIF(Capacity_Resource,$E150,'Critical resources (hide)'!AH$6:AH$105)+SUMIF(Capacity_Resource,$F150,'Critical resources (hide)'!AH$6:AH$105)&gt;0,$E$1=2),0,1)</f>
        <v>1</v>
      </c>
      <c r="V150" s="68">
        <f ca="1">IF(AND(SUMIF(Capacity_Resource,$D150,'Critical resources (hide)'!AI$6:AI$105)+SUMIF(Capacity_Resource,$E150,'Critical resources (hide)'!AI$6:AI$105)+SUMIF(Capacity_Resource,$F150,'Critical resources (hide)'!AI$6:AI$105)&gt;0,$E$1=2),0,1)</f>
        <v>1</v>
      </c>
      <c r="W150" s="68">
        <f ca="1">IF(AND(SUMIF(Capacity_Resource,$D150,'Critical resources (hide)'!AJ$6:AJ$105)+SUMIF(Capacity_Resource,$E150,'Critical resources (hide)'!AJ$6:AJ$105)+SUMIF(Capacity_Resource,$F150,'Critical resources (hide)'!AJ$6:AJ$105)&gt;0,$E$1=2),0,1)</f>
        <v>1</v>
      </c>
      <c r="X150" s="68">
        <f ca="1">IF(AND(SUMIF(Capacity_Resource,$D150,'Critical resources (hide)'!AK$6:AK$105)+SUMIF(Capacity_Resource,$E150,'Critical resources (hide)'!AK$6:AK$105)+SUMIF(Capacity_Resource,$F150,'Critical resources (hide)'!AK$6:AK$105)&gt;0,$E$1=2),0,1)</f>
        <v>1</v>
      </c>
      <c r="Y150" s="68">
        <f ca="1">IF(AND(SUMIF(Capacity_Resource,$D150,'Critical resources (hide)'!AL$6:AL$105)+SUMIF(Capacity_Resource,$E150,'Critical resources (hide)'!AL$6:AL$105)+SUMIF(Capacity_Resource,$F150,'Critical resources (hide)'!AL$6:AL$105)&gt;0,$E$1=2),0,1)</f>
        <v>1</v>
      </c>
      <c r="Z150" s="68">
        <f ca="1">IF(AND(SUMIF(Capacity_Resource,$D150,'Critical resources (hide)'!AM$6:AM$105)+SUMIF(Capacity_Resource,$E150,'Critical resources (hide)'!AM$6:AM$105)+SUMIF(Capacity_Resource,$F150,'Critical resources (hide)'!AM$6:AM$105)&gt;0,$E$1=2),0,1)</f>
        <v>1</v>
      </c>
      <c r="AA150" s="68">
        <f ca="1">IF(AND(SUMIF(Capacity_Resource,$D150,'Critical resources (hide)'!AN$6:AN$105)+SUMIF(Capacity_Resource,$E150,'Critical resources (hide)'!AN$6:AN$105)+SUMIF(Capacity_Resource,$F150,'Critical resources (hide)'!AN$6:AN$105)&gt;0,$E$1=2),0,1)</f>
        <v>1</v>
      </c>
      <c r="AB150" s="68">
        <f ca="1">IF(AND(SUMIF(Capacity_Resource,$D150,'Critical resources (hide)'!AO$6:AO$105)+SUMIF(Capacity_Resource,$E150,'Critical resources (hide)'!AO$6:AO$105)+SUMIF(Capacity_Resource,$F150,'Critical resources (hide)'!AO$6:AO$105)&gt;0,$E$1=2),0,1)</f>
        <v>1</v>
      </c>
      <c r="AC150" s="68">
        <f ca="1">IF(AND(SUMIF(Capacity_Resource,$D150,'Critical resources (hide)'!AP$6:AP$105)+SUMIF(Capacity_Resource,$E150,'Critical resources (hide)'!AP$6:AP$105)+SUMIF(Capacity_Resource,$F150,'Critical resources (hide)'!AP$6:AP$105)&gt;0,$E$1=2),0,1)</f>
        <v>1</v>
      </c>
      <c r="AD150" s="68">
        <f ca="1">IF(AND(SUMIF(Capacity_Resource,$D150,'Critical resources (hide)'!AQ$6:AQ$105)+SUMIF(Capacity_Resource,$E150,'Critical resources (hide)'!AQ$6:AQ$105)+SUMIF(Capacity_Resource,$F150,'Critical resources (hide)'!AQ$6:AQ$105)&gt;0,$E$1=2),0,1)</f>
        <v>1</v>
      </c>
      <c r="AE150" s="68">
        <f ca="1">IF(AND(SUMIF(Capacity_Resource,$D150,'Critical resources (hide)'!AR$6:AR$105)+SUMIF(Capacity_Resource,$E150,'Critical resources (hide)'!AR$6:AR$105)+SUMIF(Capacity_Resource,$F150,'Critical resources (hide)'!AR$6:AR$105)&gt;0,$E$1=2),0,1)</f>
        <v>1</v>
      </c>
      <c r="AF150" s="68">
        <f ca="1">IF(AND(SUMIF(Capacity_Resource,$D150,'Critical resources (hide)'!AS$6:AS$105)+SUMIF(Capacity_Resource,$E150,'Critical resources (hide)'!AS$6:AS$105)+SUMIF(Capacity_Resource,$F150,'Critical resources (hide)'!AS$6:AS$105)&gt;0,$E$1=2),0,1)</f>
        <v>1</v>
      </c>
      <c r="AG150" s="68">
        <f ca="1">IF(AND(SUMIF(Capacity_Resource,$D150,'Critical resources (hide)'!AT$6:AT$105)+SUMIF(Capacity_Resource,$E150,'Critical resources (hide)'!AT$6:AT$105)+SUMIF(Capacity_Resource,$F150,'Critical resources (hide)'!AT$6:AT$105)&gt;0,$E$1=2),0,1)</f>
        <v>1</v>
      </c>
      <c r="AH150" s="68">
        <f ca="1">IF(AND(SUMIF(Capacity_Resource,$D150,'Critical resources (hide)'!AU$6:AU$105)+SUMIF(Capacity_Resource,$E150,'Critical resources (hide)'!AU$6:AU$105)+SUMIF(Capacity_Resource,$F150,'Critical resources (hide)'!AU$6:AU$105)&gt;0,$E$1=2),0,1)</f>
        <v>1</v>
      </c>
      <c r="AI150" s="68">
        <f ca="1">IF(AND(SUMIF(Capacity_Resource,$D150,'Critical resources (hide)'!AV$6:AV$105)+SUMIF(Capacity_Resource,$E150,'Critical resources (hide)'!AV$6:AV$105)+SUMIF(Capacity_Resource,$F150,'Critical resources (hide)'!AV$6:AV$105)&gt;0,$E$1=2),0,1)</f>
        <v>1</v>
      </c>
      <c r="AJ150" s="68">
        <f ca="1">IF(AND(SUMIF(Capacity_Resource,$D150,'Critical resources (hide)'!AW$6:AW$105)+SUMIF(Capacity_Resource,$E150,'Critical resources (hide)'!AW$6:AW$105)+SUMIF(Capacity_Resource,$F150,'Critical resources (hide)'!AW$6:AW$105)&gt;0,$E$1=2),0,1)</f>
        <v>1</v>
      </c>
      <c r="AK150" s="68">
        <f ca="1">IF(AND(SUMIF(Capacity_Resource,$D150,'Critical resources (hide)'!AX$6:AX$105)+SUMIF(Capacity_Resource,$E150,'Critical resources (hide)'!AX$6:AX$105)+SUMIF(Capacity_Resource,$F150,'Critical resources (hide)'!AX$6:AX$105)&gt;0,$E$1=2),0,1)</f>
        <v>1</v>
      </c>
      <c r="AL150" s="68">
        <f ca="1">IF(AND(SUMIF(Capacity_Resource,$D150,'Critical resources (hide)'!AY$6:AY$105)+SUMIF(Capacity_Resource,$E150,'Critical resources (hide)'!AY$6:AY$105)+SUMIF(Capacity_Resource,$F150,'Critical resources (hide)'!AY$6:AY$105)&gt;0,$E$1=2),0,1)</f>
        <v>1</v>
      </c>
      <c r="AM150" s="68">
        <f ca="1">IF(AND(SUMIF(Capacity_Resource,$D150,'Critical resources (hide)'!AZ$6:AZ$105)+SUMIF(Capacity_Resource,$E150,'Critical resources (hide)'!AZ$6:AZ$105)+SUMIF(Capacity_Resource,$F150,'Critical resources (hide)'!AZ$6:AZ$105)&gt;0,$E$1=2),0,1)</f>
        <v>1</v>
      </c>
      <c r="AN150" s="68">
        <f ca="1">IF(AND(SUMIF(Capacity_Resource,$D150,'Critical resources (hide)'!BA$6:BA$105)+SUMIF(Capacity_Resource,$E150,'Critical resources (hide)'!BA$6:BA$105)+SUMIF(Capacity_Resource,$F150,'Critical resources (hide)'!BA$6:BA$105)&gt;0,$E$1=2),0,1)</f>
        <v>1</v>
      </c>
      <c r="AO150" s="68">
        <f ca="1">IF(AND(SUMIF(Capacity_Resource,$D150,'Critical resources (hide)'!BB$6:BB$105)+SUMIF(Capacity_Resource,$E150,'Critical resources (hide)'!BB$6:BB$105)+SUMIF(Capacity_Resource,$F150,'Critical resources (hide)'!BB$6:BB$105)&gt;0,$E$1=2),0,1)</f>
        <v>1</v>
      </c>
      <c r="AP150" s="68">
        <f ca="1">IF(AND(SUMIF(Capacity_Resource,$D150,'Critical resources (hide)'!BC$6:BC$105)+SUMIF(Capacity_Resource,$E150,'Critical resources (hide)'!BC$6:BC$105)+SUMIF(Capacity_Resource,$F150,'Critical resources (hide)'!BC$6:BC$105)&gt;0,$E$1=2),0,1)</f>
        <v>1</v>
      </c>
      <c r="AQ150" s="68">
        <f ca="1">IF(AND(SUMIF(Capacity_Resource,$D150,'Critical resources (hide)'!BD$6:BD$105)+SUMIF(Capacity_Resource,$E150,'Critical resources (hide)'!BD$6:BD$105)+SUMIF(Capacity_Resource,$F150,'Critical resources (hide)'!BD$6:BD$105)&gt;0,$E$1=2),0,1)</f>
        <v>1</v>
      </c>
      <c r="AR150" s="68">
        <f ca="1">IF(AND(SUMIF(Capacity_Resource,$D150,'Critical resources (hide)'!BE$6:BE$105)+SUMIF(Capacity_Resource,$E150,'Critical resources (hide)'!BE$6:BE$105)+SUMIF(Capacity_Resource,$F150,'Critical resources (hide)'!BE$6:BE$105)&gt;0,$E$1=2),0,1)</f>
        <v>1</v>
      </c>
      <c r="AS150" s="68">
        <f ca="1">IF(AND(SUMIF(Capacity_Resource,$D150,'Critical resources (hide)'!BF$6:BF$105)+SUMIF(Capacity_Resource,$E150,'Critical resources (hide)'!BF$6:BF$105)+SUMIF(Capacity_Resource,$F150,'Critical resources (hide)'!BF$6:BF$105)&gt;0,$E$1=2),0,1)</f>
        <v>1</v>
      </c>
      <c r="AT150" s="68">
        <f ca="1">IF(AND(SUMIF(Capacity_Resource,$D150,'Critical resources (hide)'!BG$6:BG$105)+SUMIF(Capacity_Resource,$E150,'Critical resources (hide)'!BG$6:BG$105)+SUMIF(Capacity_Resource,$F150,'Critical resources (hide)'!BG$6:BG$105)&gt;0,$E$1=2),0,1)</f>
        <v>1</v>
      </c>
      <c r="AU150" s="68">
        <f ca="1">IF(AND(SUMIF(Capacity_Resource,$D150,'Critical resources (hide)'!BH$6:BH$105)+SUMIF(Capacity_Resource,$E150,'Critical resources (hide)'!BH$6:BH$105)+SUMIF(Capacity_Resource,$F150,'Critical resources (hide)'!BH$6:BH$105)&gt;0,$E$1=2),0,1)</f>
        <v>1</v>
      </c>
      <c r="AV150" s="68">
        <f ca="1">IF(AND(SUMIF(Capacity_Resource,$D150,'Critical resources (hide)'!BI$6:BI$105)+SUMIF(Capacity_Resource,$E150,'Critical resources (hide)'!BI$6:BI$105)+SUMIF(Capacity_Resource,$F150,'Critical resources (hide)'!BI$6:BI$105)&gt;0,$E$1=2),0,1)</f>
        <v>1</v>
      </c>
      <c r="AW150" s="68">
        <f ca="1">IF(AND(SUMIF(Capacity_Resource,$D150,'Critical resources (hide)'!BJ$6:BJ$105)+SUMIF(Capacity_Resource,$E150,'Critical resources (hide)'!BJ$6:BJ$105)+SUMIF(Capacity_Resource,$F150,'Critical resources (hide)'!BJ$6:BJ$105)&gt;0,$E$1=2),0,1)</f>
        <v>1</v>
      </c>
      <c r="AX150" s="68">
        <f ca="1">IF(AND(SUMIF(Capacity_Resource,$D150,'Critical resources (hide)'!BK$6:BK$105)+SUMIF(Capacity_Resource,$E150,'Critical resources (hide)'!BK$6:BK$105)+SUMIF(Capacity_Resource,$F150,'Critical resources (hide)'!BK$6:BK$105)&gt;0,$E$1=2),0,1)</f>
        <v>1</v>
      </c>
      <c r="AY150" s="68">
        <f ca="1">IF(AND(SUMIF(Capacity_Resource,$D150,'Critical resources (hide)'!BL$6:BL$105)+SUMIF(Capacity_Resource,$E150,'Critical resources (hide)'!BL$6:BL$105)+SUMIF(Capacity_Resource,$F150,'Critical resources (hide)'!BL$6:BL$105)&gt;0,$E$1=2),0,1)</f>
        <v>1</v>
      </c>
      <c r="AZ150" s="68">
        <f ca="1">IF(AND(SUMIF(Capacity_Resource,$D150,'Critical resources (hide)'!BM$6:BM$105)+SUMIF(Capacity_Resource,$E150,'Critical resources (hide)'!BM$6:BM$105)+SUMIF(Capacity_Resource,$F150,'Critical resources (hide)'!BM$6:BM$105)&gt;0,$E$1=2),0,1)</f>
        <v>1</v>
      </c>
      <c r="BA150" s="68">
        <f ca="1">IF(AND(SUMIF(Capacity_Resource,$D150,'Critical resources (hide)'!BN$6:BN$105)+SUMIF(Capacity_Resource,$E150,'Critical resources (hide)'!BN$6:BN$105)+SUMIF(Capacity_Resource,$F150,'Critical resources (hide)'!BN$6:BN$105)&gt;0,$E$1=2),0,1)</f>
        <v>1</v>
      </c>
      <c r="BB150" s="68">
        <f ca="1">IF(AND(SUMIF(Capacity_Resource,$D150,'Critical resources (hide)'!BO$6:BO$105)+SUMIF(Capacity_Resource,$E150,'Critical resources (hide)'!BO$6:BO$105)+SUMIF(Capacity_Resource,$F150,'Critical resources (hide)'!BO$6:BO$105)&gt;0,$E$1=2),0,1)</f>
        <v>1</v>
      </c>
      <c r="BC150" s="68">
        <f ca="1">IF(AND(SUMIF(Capacity_Resource,$D150,'Critical resources (hide)'!BP$6:BP$105)+SUMIF(Capacity_Resource,$E150,'Critical resources (hide)'!BP$6:BP$105)+SUMIF(Capacity_Resource,$F150,'Critical resources (hide)'!BP$6:BP$105)&gt;0,$E$1=2),0,1)</f>
        <v>1</v>
      </c>
      <c r="BD150" s="68">
        <f ca="1">IF(AND(SUMIF(Capacity_Resource,$D150,'Critical resources (hide)'!BQ$6:BQ$105)+SUMIF(Capacity_Resource,$E150,'Critical resources (hide)'!BQ$6:BQ$105)+SUMIF(Capacity_Resource,$F150,'Critical resources (hide)'!BQ$6:BQ$105)&gt;0,$E$1=2),0,1)</f>
        <v>1</v>
      </c>
      <c r="BE150" s="68">
        <f ca="1">IF(AND(SUMIF(Capacity_Resource,$D150,'Critical resources (hide)'!BR$6:BR$105)+SUMIF(Capacity_Resource,$E150,'Critical resources (hide)'!BR$6:BR$105)+SUMIF(Capacity_Resource,$F150,'Critical resources (hide)'!BR$6:BR$105)&gt;0,$E$1=2),0,1)</f>
        <v>1</v>
      </c>
      <c r="BF150" s="68">
        <f ca="1">IF(AND(SUMIF(Capacity_Resource,$D150,'Critical resources (hide)'!BS$6:BS$105)+SUMIF(Capacity_Resource,$E150,'Critical resources (hide)'!BS$6:BS$105)+SUMIF(Capacity_Resource,$F150,'Critical resources (hide)'!BS$6:BS$105)&gt;0,$E$1=2),0,1)</f>
        <v>1</v>
      </c>
      <c r="BG150" s="68">
        <f ca="1">IF(AND(SUMIF(Capacity_Resource,$D150,'Critical resources (hide)'!BT$6:BT$105)+SUMIF(Capacity_Resource,$E150,'Critical resources (hide)'!BT$6:BT$105)+SUMIF(Capacity_Resource,$F150,'Critical resources (hide)'!BT$6:BT$105)&gt;0,$E$1=2),0,1)</f>
        <v>1</v>
      </c>
      <c r="BH150" s="68">
        <f>IF(ROW(A39)&lt;=Capacity!$M$16,IF('Capacity summary'!$C$14="No",SUM(H150:BG150),'Capacity summary'!$E62),0)</f>
        <v>0</v>
      </c>
      <c r="BI150" s="68" t="str">
        <f>IF(BH150&gt;0,IF(BH150&lt;Capacity!Q55,Capacity!R55,Capacity!T55/'Capacity calculation (hide)'!BH150),"")</f>
        <v/>
      </c>
      <c r="BJ150" s="5"/>
      <c r="BK150" s="5">
        <f>IF($BI150&lt;&gt;"",IF('Capacity summary'!$C$14="Yes",IF(COUNTBLANK('Capacity summary'!$H62:$BG62)&lt;52,IF('Capacity summary'!H62&lt;&gt;"",$BI150*H150,0),H150*$BI150),H150*$BI150),0)</f>
        <v>0</v>
      </c>
      <c r="BL150" s="5">
        <f>IF($BI150&lt;&gt;"",IF('Capacity summary'!$C$14="Yes",IF(COUNTBLANK('Capacity summary'!$H62:$BG62)&lt;52,IF('Capacity summary'!I62&lt;&gt;"",$BI150*I150,0),I150*$BI150),I150*$BI150),0)</f>
        <v>0</v>
      </c>
      <c r="BM150" s="5">
        <f>IF($BI150&lt;&gt;"",IF('Capacity summary'!$C$14="Yes",IF(COUNTBLANK('Capacity summary'!$H62:$BG62)&lt;52,IF('Capacity summary'!J62&lt;&gt;"",$BI150*J150,0),J150*$BI150),J150*$BI150),0)</f>
        <v>0</v>
      </c>
      <c r="BN150" s="5">
        <f>IF($BI150&lt;&gt;"",IF('Capacity summary'!$C$14="Yes",IF(COUNTBLANK('Capacity summary'!$H62:$BG62)&lt;52,IF('Capacity summary'!K62&lt;&gt;"",$BI150*K150,0),K150*$BI150),K150*$BI150),0)</f>
        <v>0</v>
      </c>
      <c r="BO150" s="5">
        <f>IF($BI150&lt;&gt;"",IF('Capacity summary'!$C$14="Yes",IF(COUNTBLANK('Capacity summary'!$H62:$BG62)&lt;52,IF('Capacity summary'!L62&lt;&gt;"",$BI150*L150,0),L150*$BI150),L150*$BI150),0)</f>
        <v>0</v>
      </c>
      <c r="BP150" s="5">
        <f>IF($BI150&lt;&gt;"",IF('Capacity summary'!$C$14="Yes",IF(COUNTBLANK('Capacity summary'!$H62:$BG62)&lt;52,IF('Capacity summary'!M62&lt;&gt;"",$BI150*M150,0),M150*$BI150),M150*$BI150),0)</f>
        <v>0</v>
      </c>
      <c r="BQ150" s="5">
        <f>IF($BI150&lt;&gt;"",IF('Capacity summary'!$C$14="Yes",IF(COUNTBLANK('Capacity summary'!$H62:$BG62)&lt;52,IF('Capacity summary'!N62&lt;&gt;"",$BI150*N150,0),N150*$BI150),N150*$BI150),0)</f>
        <v>0</v>
      </c>
      <c r="BR150" s="5">
        <f>IF($BI150&lt;&gt;"",IF('Capacity summary'!$C$14="Yes",IF(COUNTBLANK('Capacity summary'!$H62:$BG62)&lt;52,IF('Capacity summary'!O62&lt;&gt;"",$BI150*O150,0),O150*$BI150),O150*$BI150),0)</f>
        <v>0</v>
      </c>
      <c r="BS150" s="5">
        <f>IF($BI150&lt;&gt;"",IF('Capacity summary'!$C$14="Yes",IF(COUNTBLANK('Capacity summary'!$H62:$BG62)&lt;52,IF('Capacity summary'!P62&lt;&gt;"",$BI150*P150,0),P150*$BI150),P150*$BI150),0)</f>
        <v>0</v>
      </c>
      <c r="BT150" s="5">
        <f>IF($BI150&lt;&gt;"",IF('Capacity summary'!$C$14="Yes",IF(COUNTBLANK('Capacity summary'!$H62:$BG62)&lt;52,IF('Capacity summary'!Q62&lt;&gt;"",$BI150*Q150,0),Q150*$BI150),Q150*$BI150),0)</f>
        <v>0</v>
      </c>
      <c r="BU150" s="5">
        <f>IF($BI150&lt;&gt;"",IF('Capacity summary'!$C$14="Yes",IF(COUNTBLANK('Capacity summary'!$H62:$BG62)&lt;52,IF('Capacity summary'!R62&lt;&gt;"",$BI150*R150,0),R150*$BI150),R150*$BI150),0)</f>
        <v>0</v>
      </c>
      <c r="BV150" s="5">
        <f>IF($BI150&lt;&gt;"",IF('Capacity summary'!$C$14="Yes",IF(COUNTBLANK('Capacity summary'!$H62:$BG62)&lt;52,IF('Capacity summary'!S62&lt;&gt;"",$BI150*S150,0),S150*$BI150),S150*$BI150),0)</f>
        <v>0</v>
      </c>
      <c r="BW150" s="5">
        <f>IF($BI150&lt;&gt;"",IF('Capacity summary'!$C$14="Yes",IF(COUNTBLANK('Capacity summary'!$H62:$BG62)&lt;52,IF('Capacity summary'!T62&lt;&gt;"",$BI150*T150,0),T150*$BI150),T150*$BI150),0)</f>
        <v>0</v>
      </c>
      <c r="BX150" s="5">
        <f>IF($BI150&lt;&gt;"",IF('Capacity summary'!$C$14="Yes",IF(COUNTBLANK('Capacity summary'!$H62:$BG62)&lt;52,IF('Capacity summary'!U62&lt;&gt;"",$BI150*U150,0),U150*$BI150),U150*$BI150),0)</f>
        <v>0</v>
      </c>
      <c r="BY150" s="5">
        <f>IF($BI150&lt;&gt;"",IF('Capacity summary'!$C$14="Yes",IF(COUNTBLANK('Capacity summary'!$H62:$BG62)&lt;52,IF('Capacity summary'!V62&lt;&gt;"",$BI150*V150,0),V150*$BI150),V150*$BI150),0)</f>
        <v>0</v>
      </c>
      <c r="BZ150" s="5">
        <f>IF($BI150&lt;&gt;"",IF('Capacity summary'!$C$14="Yes",IF(COUNTBLANK('Capacity summary'!$H62:$BG62)&lt;52,IF('Capacity summary'!W62&lt;&gt;"",$BI150*W150,0),W150*$BI150),W150*$BI150),0)</f>
        <v>0</v>
      </c>
      <c r="CA150" s="5">
        <f>IF($BI150&lt;&gt;"",IF('Capacity summary'!$C$14="Yes",IF(COUNTBLANK('Capacity summary'!$H62:$BG62)&lt;52,IF('Capacity summary'!X62&lt;&gt;"",$BI150*X150,0),X150*$BI150),X150*$BI150),0)</f>
        <v>0</v>
      </c>
      <c r="CB150" s="5">
        <f>IF($BI150&lt;&gt;"",IF('Capacity summary'!$C$14="Yes",IF(COUNTBLANK('Capacity summary'!$H62:$BG62)&lt;52,IF('Capacity summary'!Y62&lt;&gt;"",$BI150*Y150,0),Y150*$BI150),Y150*$BI150),0)</f>
        <v>0</v>
      </c>
      <c r="CC150" s="5">
        <f>IF($BI150&lt;&gt;"",IF('Capacity summary'!$C$14="Yes",IF(COUNTBLANK('Capacity summary'!$H62:$BG62)&lt;52,IF('Capacity summary'!Z62&lt;&gt;"",$BI150*Z150,0),Z150*$BI150),Z150*$BI150),0)</f>
        <v>0</v>
      </c>
      <c r="CD150" s="5">
        <f>IF($BI150&lt;&gt;"",IF('Capacity summary'!$C$14="Yes",IF(COUNTBLANK('Capacity summary'!$H62:$BG62)&lt;52,IF('Capacity summary'!AA62&lt;&gt;"",$BI150*AA150,0),AA150*$BI150),AA150*$BI150),0)</f>
        <v>0</v>
      </c>
      <c r="CE150" s="5">
        <f>IF($BI150&lt;&gt;"",IF('Capacity summary'!$C$14="Yes",IF(COUNTBLANK('Capacity summary'!$H62:$BG62)&lt;52,IF('Capacity summary'!AB62&lt;&gt;"",$BI150*AB150,0),AB150*$BI150),AB150*$BI150),0)</f>
        <v>0</v>
      </c>
      <c r="CF150" s="5">
        <f>IF($BI150&lt;&gt;"",IF('Capacity summary'!$C$14="Yes",IF(COUNTBLANK('Capacity summary'!$H62:$BG62)&lt;52,IF('Capacity summary'!AC62&lt;&gt;"",$BI150*AC150,0),AC150*$BI150),AC150*$BI150),0)</f>
        <v>0</v>
      </c>
      <c r="CG150" s="5">
        <f>IF($BI150&lt;&gt;"",IF('Capacity summary'!$C$14="Yes",IF(COUNTBLANK('Capacity summary'!$H62:$BG62)&lt;52,IF('Capacity summary'!AD62&lt;&gt;"",$BI150*AD150,0),AD150*$BI150),AD150*$BI150),0)</f>
        <v>0</v>
      </c>
      <c r="CH150" s="5">
        <f>IF($BI150&lt;&gt;"",IF('Capacity summary'!$C$14="Yes",IF(COUNTBLANK('Capacity summary'!$H62:$BG62)&lt;52,IF('Capacity summary'!AE62&lt;&gt;"",$BI150*AE150,0),AE150*$BI150),AE150*$BI150),0)</f>
        <v>0</v>
      </c>
      <c r="CI150" s="5">
        <f>IF($BI150&lt;&gt;"",IF('Capacity summary'!$C$14="Yes",IF(COUNTBLANK('Capacity summary'!$H62:$BG62)&lt;52,IF('Capacity summary'!AF62&lt;&gt;"",$BI150*AF150,0),AF150*$BI150),AF150*$BI150),0)</f>
        <v>0</v>
      </c>
      <c r="CJ150" s="5">
        <f>IF($BI150&lt;&gt;"",IF('Capacity summary'!$C$14="Yes",IF(COUNTBLANK('Capacity summary'!$H62:$BG62)&lt;52,IF('Capacity summary'!AG62&lt;&gt;"",$BI150*AG150,0),AG150*$BI150),AG150*$BI150),0)</f>
        <v>0</v>
      </c>
      <c r="CK150" s="5">
        <f>IF($BI150&lt;&gt;"",IF('Capacity summary'!$C$14="Yes",IF(COUNTBLANK('Capacity summary'!$H62:$BG62)&lt;52,IF('Capacity summary'!AH62&lt;&gt;"",$BI150*AH150,0),AH150*$BI150),AH150*$BI150),0)</f>
        <v>0</v>
      </c>
      <c r="CL150" s="5">
        <f>IF($BI150&lt;&gt;"",IF('Capacity summary'!$C$14="Yes",IF(COUNTBLANK('Capacity summary'!$H62:$BG62)&lt;52,IF('Capacity summary'!AI62&lt;&gt;"",$BI150*AI150,0),AI150*$BI150),AI150*$BI150),0)</f>
        <v>0</v>
      </c>
      <c r="CM150" s="5">
        <f>IF($BI150&lt;&gt;"",IF('Capacity summary'!$C$14="Yes",IF(COUNTBLANK('Capacity summary'!$H62:$BG62)&lt;52,IF('Capacity summary'!AJ62&lt;&gt;"",$BI150*AJ150,0),AJ150*$BI150),AJ150*$BI150),0)</f>
        <v>0</v>
      </c>
      <c r="CN150" s="5">
        <f>IF($BI150&lt;&gt;"",IF('Capacity summary'!$C$14="Yes",IF(COUNTBLANK('Capacity summary'!$H62:$BG62)&lt;52,IF('Capacity summary'!AK62&lt;&gt;"",$BI150*AK150,0),AK150*$BI150),AK150*$BI150),0)</f>
        <v>0</v>
      </c>
      <c r="CO150" s="5">
        <f>IF($BI150&lt;&gt;"",IF('Capacity summary'!$C$14="Yes",IF(COUNTBLANK('Capacity summary'!$H62:$BG62)&lt;52,IF('Capacity summary'!AL62&lt;&gt;"",$BI150*AL150,0),AL150*$BI150),AL150*$BI150),0)</f>
        <v>0</v>
      </c>
      <c r="CP150" s="5">
        <f>IF($BI150&lt;&gt;"",IF('Capacity summary'!$C$14="Yes",IF(COUNTBLANK('Capacity summary'!$H62:$BG62)&lt;52,IF('Capacity summary'!AM62&lt;&gt;"",$BI150*AM150,0),AM150*$BI150),AM150*$BI150),0)</f>
        <v>0</v>
      </c>
      <c r="CQ150" s="5">
        <f>IF($BI150&lt;&gt;"",IF('Capacity summary'!$C$14="Yes",IF(COUNTBLANK('Capacity summary'!$H62:$BG62)&lt;52,IF('Capacity summary'!AN62&lt;&gt;"",$BI150*AN150,0),AN150*$BI150),AN150*$BI150),0)</f>
        <v>0</v>
      </c>
      <c r="CR150" s="5">
        <f>IF($BI150&lt;&gt;"",IF('Capacity summary'!$C$14="Yes",IF(COUNTBLANK('Capacity summary'!$H62:$BG62)&lt;52,IF('Capacity summary'!AO62&lt;&gt;"",$BI150*AO150,0),AO150*$BI150),AO150*$BI150),0)</f>
        <v>0</v>
      </c>
      <c r="CS150" s="5">
        <f>IF($BI150&lt;&gt;"",IF('Capacity summary'!$C$14="Yes",IF(COUNTBLANK('Capacity summary'!$H62:$BG62)&lt;52,IF('Capacity summary'!AP62&lt;&gt;"",$BI150*AP150,0),AP150*$BI150),AP150*$BI150),0)</f>
        <v>0</v>
      </c>
      <c r="CT150" s="5">
        <f>IF($BI150&lt;&gt;"",IF('Capacity summary'!$C$14="Yes",IF(COUNTBLANK('Capacity summary'!$H62:$BG62)&lt;52,IF('Capacity summary'!AQ62&lt;&gt;"",$BI150*AQ150,0),AQ150*$BI150),AQ150*$BI150),0)</f>
        <v>0</v>
      </c>
      <c r="CU150" s="5">
        <f>IF($BI150&lt;&gt;"",IF('Capacity summary'!$C$14="Yes",IF(COUNTBLANK('Capacity summary'!$H62:$BG62)&lt;52,IF('Capacity summary'!AR62&lt;&gt;"",$BI150*AR150,0),AR150*$BI150),AR150*$BI150),0)</f>
        <v>0</v>
      </c>
      <c r="CV150" s="5">
        <f>IF($BI150&lt;&gt;"",IF('Capacity summary'!$C$14="Yes",IF(COUNTBLANK('Capacity summary'!$H62:$BG62)&lt;52,IF('Capacity summary'!AS62&lt;&gt;"",$BI150*AS150,0),AS150*$BI150),AS150*$BI150),0)</f>
        <v>0</v>
      </c>
      <c r="CW150" s="5">
        <f>IF($BI150&lt;&gt;"",IF('Capacity summary'!$C$14="Yes",IF(COUNTBLANK('Capacity summary'!$H62:$BG62)&lt;52,IF('Capacity summary'!AT62&lt;&gt;"",$BI150*AT150,0),AT150*$BI150),AT150*$BI150),0)</f>
        <v>0</v>
      </c>
      <c r="CX150" s="5">
        <f>IF($BI150&lt;&gt;"",IF('Capacity summary'!$C$14="Yes",IF(COUNTBLANK('Capacity summary'!$H62:$BG62)&lt;52,IF('Capacity summary'!AU62&lt;&gt;"",$BI150*AU150,0),AU150*$BI150),AU150*$BI150),0)</f>
        <v>0</v>
      </c>
      <c r="CY150" s="5">
        <f>IF($BI150&lt;&gt;"",IF('Capacity summary'!$C$14="Yes",IF(COUNTBLANK('Capacity summary'!$H62:$BG62)&lt;52,IF('Capacity summary'!AV62&lt;&gt;"",$BI150*AV150,0),AV150*$BI150),AV150*$BI150),0)</f>
        <v>0</v>
      </c>
      <c r="CZ150" s="5">
        <f>IF($BI150&lt;&gt;"",IF('Capacity summary'!$C$14="Yes",IF(COUNTBLANK('Capacity summary'!$H62:$BG62)&lt;52,IF('Capacity summary'!AW62&lt;&gt;"",$BI150*AW150,0),AW150*$BI150),AW150*$BI150),0)</f>
        <v>0</v>
      </c>
      <c r="DA150" s="5">
        <f>IF($BI150&lt;&gt;"",IF('Capacity summary'!$C$14="Yes",IF(COUNTBLANK('Capacity summary'!$H62:$BG62)&lt;52,IF('Capacity summary'!AX62&lt;&gt;"",$BI150*AX150,0),AX150*$BI150),AX150*$BI150),0)</f>
        <v>0</v>
      </c>
      <c r="DB150" s="5">
        <f>IF($BI150&lt;&gt;"",IF('Capacity summary'!$C$14="Yes",IF(COUNTBLANK('Capacity summary'!$H62:$BG62)&lt;52,IF('Capacity summary'!AY62&lt;&gt;"",$BI150*AY150,0),AY150*$BI150),AY150*$BI150),0)</f>
        <v>0</v>
      </c>
      <c r="DC150" s="5">
        <f>IF($BI150&lt;&gt;"",IF('Capacity summary'!$C$14="Yes",IF(COUNTBLANK('Capacity summary'!$H62:$BG62)&lt;52,IF('Capacity summary'!AZ62&lt;&gt;"",$BI150*AZ150,0),AZ150*$BI150),AZ150*$BI150),0)</f>
        <v>0</v>
      </c>
      <c r="DD150" s="5">
        <f>IF($BI150&lt;&gt;"",IF('Capacity summary'!$C$14="Yes",IF(COUNTBLANK('Capacity summary'!$H62:$BG62)&lt;52,IF('Capacity summary'!BA62&lt;&gt;"",$BI150*BA150,0),BA150*$BI150),BA150*$BI150),0)</f>
        <v>0</v>
      </c>
      <c r="DE150" s="5">
        <f>IF($BI150&lt;&gt;"",IF('Capacity summary'!$C$14="Yes",IF(COUNTBLANK('Capacity summary'!$H62:$BG62)&lt;52,IF('Capacity summary'!BB62&lt;&gt;"",$BI150*BB150,0),BB150*$BI150),BB150*$BI150),0)</f>
        <v>0</v>
      </c>
      <c r="DF150" s="5">
        <f>IF($BI150&lt;&gt;"",IF('Capacity summary'!$C$14="Yes",IF(COUNTBLANK('Capacity summary'!$H62:$BG62)&lt;52,IF('Capacity summary'!BC62&lt;&gt;"",$BI150*BC150,0),BC150*$BI150),BC150*$BI150),0)</f>
        <v>0</v>
      </c>
      <c r="DG150" s="5">
        <f>IF($BI150&lt;&gt;"",IF('Capacity summary'!$C$14="Yes",IF(COUNTBLANK('Capacity summary'!$H62:$BG62)&lt;52,IF('Capacity summary'!BD62&lt;&gt;"",$BI150*BD150,0),BD150*$BI150),BD150*$BI150),0)</f>
        <v>0</v>
      </c>
      <c r="DH150" s="5">
        <f>IF($BI150&lt;&gt;"",IF('Capacity summary'!$C$14="Yes",IF(COUNTBLANK('Capacity summary'!$H62:$BG62)&lt;52,IF('Capacity summary'!BE62&lt;&gt;"",$BI150*BE150,0),BE150*$BI150),BE150*$BI150),0)</f>
        <v>0</v>
      </c>
      <c r="DI150" s="5">
        <f>IF($BI150&lt;&gt;"",IF('Capacity summary'!$C$14="Yes",IF(COUNTBLANK('Capacity summary'!$H62:$BG62)&lt;52,IF('Capacity summary'!BF62&lt;&gt;"",$BI150*BF150,0),BF150*$BI150),BF150*$BI150),0)</f>
        <v>0</v>
      </c>
      <c r="DJ150" s="5">
        <f>IF($BI150&lt;&gt;"",IF('Capacity summary'!$C$14="Yes",IF(COUNTBLANK('Capacity summary'!$H62:$BG62)&lt;52,IF('Capacity summary'!BG62&lt;&gt;"",$BI150*BG150,0),BG150*$BI150),BG150*$BI150),0)</f>
        <v>0</v>
      </c>
      <c r="DK150" s="138">
        <f t="shared" si="6"/>
        <v>0</v>
      </c>
    </row>
    <row r="151" spans="3:115" x14ac:dyDescent="0.2">
      <c r="C151" s="68" t="str">
        <f>ROW(A40)&amp;". "&amp;Capacity!N56</f>
        <v xml:space="preserve">40. </v>
      </c>
      <c r="D151" s="68">
        <f>'Capacity setup'!C157</f>
        <v>0</v>
      </c>
      <c r="E151" s="68">
        <f>'Capacity setup'!D157</f>
        <v>0</v>
      </c>
      <c r="F151" s="68">
        <f>'Capacity setup'!E157</f>
        <v>0</v>
      </c>
      <c r="H151" s="68">
        <f ca="1">IF(AND(SUMIF(Capacity_Resource,$D151,'Critical resources (hide)'!U$6:U$105)+SUMIF(Capacity_Resource,$E151,'Critical resources (hide)'!U$6:U$105)+SUMIF(Capacity_Resource,$F151,'Critical resources (hide)'!U$6:U$105)&gt;0,$E$1=2),0,1)</f>
        <v>1</v>
      </c>
      <c r="I151" s="68">
        <f ca="1">IF(AND(SUMIF(Capacity_Resource,$D151,'Critical resources (hide)'!V$6:V$105)+SUMIF(Capacity_Resource,$E151,'Critical resources (hide)'!V$6:V$105)+SUMIF(Capacity_Resource,$F151,'Critical resources (hide)'!V$6:V$105)&gt;0,$E$1=2),0,1)</f>
        <v>1</v>
      </c>
      <c r="J151" s="68">
        <f ca="1">IF(AND(SUMIF(Capacity_Resource,$D151,'Critical resources (hide)'!W$6:W$105)+SUMIF(Capacity_Resource,$E151,'Critical resources (hide)'!W$6:W$105)+SUMIF(Capacity_Resource,$F151,'Critical resources (hide)'!W$6:W$105)&gt;0,$E$1=2),0,1)</f>
        <v>1</v>
      </c>
      <c r="K151" s="68">
        <f ca="1">IF(AND(SUMIF(Capacity_Resource,$D151,'Critical resources (hide)'!X$6:X$105)+SUMIF(Capacity_Resource,$E151,'Critical resources (hide)'!X$6:X$105)+SUMIF(Capacity_Resource,$F151,'Critical resources (hide)'!X$6:X$105)&gt;0,$E$1=2),0,1)</f>
        <v>1</v>
      </c>
      <c r="L151" s="68">
        <f ca="1">IF(AND(SUMIF(Capacity_Resource,$D151,'Critical resources (hide)'!Y$6:Y$105)+SUMIF(Capacity_Resource,$E151,'Critical resources (hide)'!Y$6:Y$105)+SUMIF(Capacity_Resource,$F151,'Critical resources (hide)'!Y$6:Y$105)&gt;0,$E$1=2),0,1)</f>
        <v>1</v>
      </c>
      <c r="M151" s="68">
        <f ca="1">IF(AND(SUMIF(Capacity_Resource,$D151,'Critical resources (hide)'!Z$6:Z$105)+SUMIF(Capacity_Resource,$E151,'Critical resources (hide)'!Z$6:Z$105)+SUMIF(Capacity_Resource,$F151,'Critical resources (hide)'!Z$6:Z$105)&gt;0,$E$1=2),0,1)</f>
        <v>1</v>
      </c>
      <c r="N151" s="68">
        <f ca="1">IF(AND(SUMIF(Capacity_Resource,$D151,'Critical resources (hide)'!AA$6:AA$105)+SUMIF(Capacity_Resource,$E151,'Critical resources (hide)'!AA$6:AA$105)+SUMIF(Capacity_Resource,$F151,'Critical resources (hide)'!AA$6:AA$105)&gt;0,$E$1=2),0,1)</f>
        <v>1</v>
      </c>
      <c r="O151" s="68">
        <f ca="1">IF(AND(SUMIF(Capacity_Resource,$D151,'Critical resources (hide)'!AB$6:AB$105)+SUMIF(Capacity_Resource,$E151,'Critical resources (hide)'!AB$6:AB$105)+SUMIF(Capacity_Resource,$F151,'Critical resources (hide)'!AB$6:AB$105)&gt;0,$E$1=2),0,1)</f>
        <v>1</v>
      </c>
      <c r="P151" s="68">
        <f ca="1">IF(AND(SUMIF(Capacity_Resource,$D151,'Critical resources (hide)'!AC$6:AC$105)+SUMIF(Capacity_Resource,$E151,'Critical resources (hide)'!AC$6:AC$105)+SUMIF(Capacity_Resource,$F151,'Critical resources (hide)'!AC$6:AC$105)&gt;0,$E$1=2),0,1)</f>
        <v>1</v>
      </c>
      <c r="Q151" s="68">
        <f ca="1">IF(AND(SUMIF(Capacity_Resource,$D151,'Critical resources (hide)'!AD$6:AD$105)+SUMIF(Capacity_Resource,$E151,'Critical resources (hide)'!AD$6:AD$105)+SUMIF(Capacity_Resource,$F151,'Critical resources (hide)'!AD$6:AD$105)&gt;0,$E$1=2),0,1)</f>
        <v>1</v>
      </c>
      <c r="R151" s="68">
        <f ca="1">IF(AND(SUMIF(Capacity_Resource,$D151,'Critical resources (hide)'!AE$6:AE$105)+SUMIF(Capacity_Resource,$E151,'Critical resources (hide)'!AE$6:AE$105)+SUMIF(Capacity_Resource,$F151,'Critical resources (hide)'!AE$6:AE$105)&gt;0,$E$1=2),0,1)</f>
        <v>1</v>
      </c>
      <c r="S151" s="68">
        <f ca="1">IF(AND(SUMIF(Capacity_Resource,$D151,'Critical resources (hide)'!AF$6:AF$105)+SUMIF(Capacity_Resource,$E151,'Critical resources (hide)'!AF$6:AF$105)+SUMIF(Capacity_Resource,$F151,'Critical resources (hide)'!AF$6:AF$105)&gt;0,$E$1=2),0,1)</f>
        <v>1</v>
      </c>
      <c r="T151" s="68">
        <f ca="1">IF(AND(SUMIF(Capacity_Resource,$D151,'Critical resources (hide)'!AG$6:AG$105)+SUMIF(Capacity_Resource,$E151,'Critical resources (hide)'!AG$6:AG$105)+SUMIF(Capacity_Resource,$F151,'Critical resources (hide)'!AG$6:AG$105)&gt;0,$E$1=2),0,1)</f>
        <v>1</v>
      </c>
      <c r="U151" s="68">
        <f ca="1">IF(AND(SUMIF(Capacity_Resource,$D151,'Critical resources (hide)'!AH$6:AH$105)+SUMIF(Capacity_Resource,$E151,'Critical resources (hide)'!AH$6:AH$105)+SUMIF(Capacity_Resource,$F151,'Critical resources (hide)'!AH$6:AH$105)&gt;0,$E$1=2),0,1)</f>
        <v>1</v>
      </c>
      <c r="V151" s="68">
        <f ca="1">IF(AND(SUMIF(Capacity_Resource,$D151,'Critical resources (hide)'!AI$6:AI$105)+SUMIF(Capacity_Resource,$E151,'Critical resources (hide)'!AI$6:AI$105)+SUMIF(Capacity_Resource,$F151,'Critical resources (hide)'!AI$6:AI$105)&gt;0,$E$1=2),0,1)</f>
        <v>1</v>
      </c>
      <c r="W151" s="68">
        <f ca="1">IF(AND(SUMIF(Capacity_Resource,$D151,'Critical resources (hide)'!AJ$6:AJ$105)+SUMIF(Capacity_Resource,$E151,'Critical resources (hide)'!AJ$6:AJ$105)+SUMIF(Capacity_Resource,$F151,'Critical resources (hide)'!AJ$6:AJ$105)&gt;0,$E$1=2),0,1)</f>
        <v>1</v>
      </c>
      <c r="X151" s="68">
        <f ca="1">IF(AND(SUMIF(Capacity_Resource,$D151,'Critical resources (hide)'!AK$6:AK$105)+SUMIF(Capacity_Resource,$E151,'Critical resources (hide)'!AK$6:AK$105)+SUMIF(Capacity_Resource,$F151,'Critical resources (hide)'!AK$6:AK$105)&gt;0,$E$1=2),0,1)</f>
        <v>1</v>
      </c>
      <c r="Y151" s="68">
        <f ca="1">IF(AND(SUMIF(Capacity_Resource,$D151,'Critical resources (hide)'!AL$6:AL$105)+SUMIF(Capacity_Resource,$E151,'Critical resources (hide)'!AL$6:AL$105)+SUMIF(Capacity_Resource,$F151,'Critical resources (hide)'!AL$6:AL$105)&gt;0,$E$1=2),0,1)</f>
        <v>1</v>
      </c>
      <c r="Z151" s="68">
        <f ca="1">IF(AND(SUMIF(Capacity_Resource,$D151,'Critical resources (hide)'!AM$6:AM$105)+SUMIF(Capacity_Resource,$E151,'Critical resources (hide)'!AM$6:AM$105)+SUMIF(Capacity_Resource,$F151,'Critical resources (hide)'!AM$6:AM$105)&gt;0,$E$1=2),0,1)</f>
        <v>1</v>
      </c>
      <c r="AA151" s="68">
        <f ca="1">IF(AND(SUMIF(Capacity_Resource,$D151,'Critical resources (hide)'!AN$6:AN$105)+SUMIF(Capacity_Resource,$E151,'Critical resources (hide)'!AN$6:AN$105)+SUMIF(Capacity_Resource,$F151,'Critical resources (hide)'!AN$6:AN$105)&gt;0,$E$1=2),0,1)</f>
        <v>1</v>
      </c>
      <c r="AB151" s="68">
        <f ca="1">IF(AND(SUMIF(Capacity_Resource,$D151,'Critical resources (hide)'!AO$6:AO$105)+SUMIF(Capacity_Resource,$E151,'Critical resources (hide)'!AO$6:AO$105)+SUMIF(Capacity_Resource,$F151,'Critical resources (hide)'!AO$6:AO$105)&gt;0,$E$1=2),0,1)</f>
        <v>1</v>
      </c>
      <c r="AC151" s="68">
        <f ca="1">IF(AND(SUMIF(Capacity_Resource,$D151,'Critical resources (hide)'!AP$6:AP$105)+SUMIF(Capacity_Resource,$E151,'Critical resources (hide)'!AP$6:AP$105)+SUMIF(Capacity_Resource,$F151,'Critical resources (hide)'!AP$6:AP$105)&gt;0,$E$1=2),0,1)</f>
        <v>1</v>
      </c>
      <c r="AD151" s="68">
        <f ca="1">IF(AND(SUMIF(Capacity_Resource,$D151,'Critical resources (hide)'!AQ$6:AQ$105)+SUMIF(Capacity_Resource,$E151,'Critical resources (hide)'!AQ$6:AQ$105)+SUMIF(Capacity_Resource,$F151,'Critical resources (hide)'!AQ$6:AQ$105)&gt;0,$E$1=2),0,1)</f>
        <v>1</v>
      </c>
      <c r="AE151" s="68">
        <f ca="1">IF(AND(SUMIF(Capacity_Resource,$D151,'Critical resources (hide)'!AR$6:AR$105)+SUMIF(Capacity_Resource,$E151,'Critical resources (hide)'!AR$6:AR$105)+SUMIF(Capacity_Resource,$F151,'Critical resources (hide)'!AR$6:AR$105)&gt;0,$E$1=2),0,1)</f>
        <v>1</v>
      </c>
      <c r="AF151" s="68">
        <f ca="1">IF(AND(SUMIF(Capacity_Resource,$D151,'Critical resources (hide)'!AS$6:AS$105)+SUMIF(Capacity_Resource,$E151,'Critical resources (hide)'!AS$6:AS$105)+SUMIF(Capacity_Resource,$F151,'Critical resources (hide)'!AS$6:AS$105)&gt;0,$E$1=2),0,1)</f>
        <v>1</v>
      </c>
      <c r="AG151" s="68">
        <f ca="1">IF(AND(SUMIF(Capacity_Resource,$D151,'Critical resources (hide)'!AT$6:AT$105)+SUMIF(Capacity_Resource,$E151,'Critical resources (hide)'!AT$6:AT$105)+SUMIF(Capacity_Resource,$F151,'Critical resources (hide)'!AT$6:AT$105)&gt;0,$E$1=2),0,1)</f>
        <v>1</v>
      </c>
      <c r="AH151" s="68">
        <f ca="1">IF(AND(SUMIF(Capacity_Resource,$D151,'Critical resources (hide)'!AU$6:AU$105)+SUMIF(Capacity_Resource,$E151,'Critical resources (hide)'!AU$6:AU$105)+SUMIF(Capacity_Resource,$F151,'Critical resources (hide)'!AU$6:AU$105)&gt;0,$E$1=2),0,1)</f>
        <v>1</v>
      </c>
      <c r="AI151" s="68">
        <f ca="1">IF(AND(SUMIF(Capacity_Resource,$D151,'Critical resources (hide)'!AV$6:AV$105)+SUMIF(Capacity_Resource,$E151,'Critical resources (hide)'!AV$6:AV$105)+SUMIF(Capacity_Resource,$F151,'Critical resources (hide)'!AV$6:AV$105)&gt;0,$E$1=2),0,1)</f>
        <v>1</v>
      </c>
      <c r="AJ151" s="68">
        <f ca="1">IF(AND(SUMIF(Capacity_Resource,$D151,'Critical resources (hide)'!AW$6:AW$105)+SUMIF(Capacity_Resource,$E151,'Critical resources (hide)'!AW$6:AW$105)+SUMIF(Capacity_Resource,$F151,'Critical resources (hide)'!AW$6:AW$105)&gt;0,$E$1=2),0,1)</f>
        <v>1</v>
      </c>
      <c r="AK151" s="68">
        <f ca="1">IF(AND(SUMIF(Capacity_Resource,$D151,'Critical resources (hide)'!AX$6:AX$105)+SUMIF(Capacity_Resource,$E151,'Critical resources (hide)'!AX$6:AX$105)+SUMIF(Capacity_Resource,$F151,'Critical resources (hide)'!AX$6:AX$105)&gt;0,$E$1=2),0,1)</f>
        <v>1</v>
      </c>
      <c r="AL151" s="68">
        <f ca="1">IF(AND(SUMIF(Capacity_Resource,$D151,'Critical resources (hide)'!AY$6:AY$105)+SUMIF(Capacity_Resource,$E151,'Critical resources (hide)'!AY$6:AY$105)+SUMIF(Capacity_Resource,$F151,'Critical resources (hide)'!AY$6:AY$105)&gt;0,$E$1=2),0,1)</f>
        <v>1</v>
      </c>
      <c r="AM151" s="68">
        <f ca="1">IF(AND(SUMIF(Capacity_Resource,$D151,'Critical resources (hide)'!AZ$6:AZ$105)+SUMIF(Capacity_Resource,$E151,'Critical resources (hide)'!AZ$6:AZ$105)+SUMIF(Capacity_Resource,$F151,'Critical resources (hide)'!AZ$6:AZ$105)&gt;0,$E$1=2),0,1)</f>
        <v>1</v>
      </c>
      <c r="AN151" s="68">
        <f ca="1">IF(AND(SUMIF(Capacity_Resource,$D151,'Critical resources (hide)'!BA$6:BA$105)+SUMIF(Capacity_Resource,$E151,'Critical resources (hide)'!BA$6:BA$105)+SUMIF(Capacity_Resource,$F151,'Critical resources (hide)'!BA$6:BA$105)&gt;0,$E$1=2),0,1)</f>
        <v>1</v>
      </c>
      <c r="AO151" s="68">
        <f ca="1">IF(AND(SUMIF(Capacity_Resource,$D151,'Critical resources (hide)'!BB$6:BB$105)+SUMIF(Capacity_Resource,$E151,'Critical resources (hide)'!BB$6:BB$105)+SUMIF(Capacity_Resource,$F151,'Critical resources (hide)'!BB$6:BB$105)&gt;0,$E$1=2),0,1)</f>
        <v>1</v>
      </c>
      <c r="AP151" s="68">
        <f ca="1">IF(AND(SUMIF(Capacity_Resource,$D151,'Critical resources (hide)'!BC$6:BC$105)+SUMIF(Capacity_Resource,$E151,'Critical resources (hide)'!BC$6:BC$105)+SUMIF(Capacity_Resource,$F151,'Critical resources (hide)'!BC$6:BC$105)&gt;0,$E$1=2),0,1)</f>
        <v>1</v>
      </c>
      <c r="AQ151" s="68">
        <f ca="1">IF(AND(SUMIF(Capacity_Resource,$D151,'Critical resources (hide)'!BD$6:BD$105)+SUMIF(Capacity_Resource,$E151,'Critical resources (hide)'!BD$6:BD$105)+SUMIF(Capacity_Resource,$F151,'Critical resources (hide)'!BD$6:BD$105)&gt;0,$E$1=2),0,1)</f>
        <v>1</v>
      </c>
      <c r="AR151" s="68">
        <f ca="1">IF(AND(SUMIF(Capacity_Resource,$D151,'Critical resources (hide)'!BE$6:BE$105)+SUMIF(Capacity_Resource,$E151,'Critical resources (hide)'!BE$6:BE$105)+SUMIF(Capacity_Resource,$F151,'Critical resources (hide)'!BE$6:BE$105)&gt;0,$E$1=2),0,1)</f>
        <v>1</v>
      </c>
      <c r="AS151" s="68">
        <f ca="1">IF(AND(SUMIF(Capacity_Resource,$D151,'Critical resources (hide)'!BF$6:BF$105)+SUMIF(Capacity_Resource,$E151,'Critical resources (hide)'!BF$6:BF$105)+SUMIF(Capacity_Resource,$F151,'Critical resources (hide)'!BF$6:BF$105)&gt;0,$E$1=2),0,1)</f>
        <v>1</v>
      </c>
      <c r="AT151" s="68">
        <f ca="1">IF(AND(SUMIF(Capacity_Resource,$D151,'Critical resources (hide)'!BG$6:BG$105)+SUMIF(Capacity_Resource,$E151,'Critical resources (hide)'!BG$6:BG$105)+SUMIF(Capacity_Resource,$F151,'Critical resources (hide)'!BG$6:BG$105)&gt;0,$E$1=2),0,1)</f>
        <v>1</v>
      </c>
      <c r="AU151" s="68">
        <f ca="1">IF(AND(SUMIF(Capacity_Resource,$D151,'Critical resources (hide)'!BH$6:BH$105)+SUMIF(Capacity_Resource,$E151,'Critical resources (hide)'!BH$6:BH$105)+SUMIF(Capacity_Resource,$F151,'Critical resources (hide)'!BH$6:BH$105)&gt;0,$E$1=2),0,1)</f>
        <v>1</v>
      </c>
      <c r="AV151" s="68">
        <f ca="1">IF(AND(SUMIF(Capacity_Resource,$D151,'Critical resources (hide)'!BI$6:BI$105)+SUMIF(Capacity_Resource,$E151,'Critical resources (hide)'!BI$6:BI$105)+SUMIF(Capacity_Resource,$F151,'Critical resources (hide)'!BI$6:BI$105)&gt;0,$E$1=2),0,1)</f>
        <v>1</v>
      </c>
      <c r="AW151" s="68">
        <f ca="1">IF(AND(SUMIF(Capacity_Resource,$D151,'Critical resources (hide)'!BJ$6:BJ$105)+SUMIF(Capacity_Resource,$E151,'Critical resources (hide)'!BJ$6:BJ$105)+SUMIF(Capacity_Resource,$F151,'Critical resources (hide)'!BJ$6:BJ$105)&gt;0,$E$1=2),0,1)</f>
        <v>1</v>
      </c>
      <c r="AX151" s="68">
        <f ca="1">IF(AND(SUMIF(Capacity_Resource,$D151,'Critical resources (hide)'!BK$6:BK$105)+SUMIF(Capacity_Resource,$E151,'Critical resources (hide)'!BK$6:BK$105)+SUMIF(Capacity_Resource,$F151,'Critical resources (hide)'!BK$6:BK$105)&gt;0,$E$1=2),0,1)</f>
        <v>1</v>
      </c>
      <c r="AY151" s="68">
        <f ca="1">IF(AND(SUMIF(Capacity_Resource,$D151,'Critical resources (hide)'!BL$6:BL$105)+SUMIF(Capacity_Resource,$E151,'Critical resources (hide)'!BL$6:BL$105)+SUMIF(Capacity_Resource,$F151,'Critical resources (hide)'!BL$6:BL$105)&gt;0,$E$1=2),0,1)</f>
        <v>1</v>
      </c>
      <c r="AZ151" s="68">
        <f ca="1">IF(AND(SUMIF(Capacity_Resource,$D151,'Critical resources (hide)'!BM$6:BM$105)+SUMIF(Capacity_Resource,$E151,'Critical resources (hide)'!BM$6:BM$105)+SUMIF(Capacity_Resource,$F151,'Critical resources (hide)'!BM$6:BM$105)&gt;0,$E$1=2),0,1)</f>
        <v>1</v>
      </c>
      <c r="BA151" s="68">
        <f ca="1">IF(AND(SUMIF(Capacity_Resource,$D151,'Critical resources (hide)'!BN$6:BN$105)+SUMIF(Capacity_Resource,$E151,'Critical resources (hide)'!BN$6:BN$105)+SUMIF(Capacity_Resource,$F151,'Critical resources (hide)'!BN$6:BN$105)&gt;0,$E$1=2),0,1)</f>
        <v>1</v>
      </c>
      <c r="BB151" s="68">
        <f ca="1">IF(AND(SUMIF(Capacity_Resource,$D151,'Critical resources (hide)'!BO$6:BO$105)+SUMIF(Capacity_Resource,$E151,'Critical resources (hide)'!BO$6:BO$105)+SUMIF(Capacity_Resource,$F151,'Critical resources (hide)'!BO$6:BO$105)&gt;0,$E$1=2),0,1)</f>
        <v>1</v>
      </c>
      <c r="BC151" s="68">
        <f ca="1">IF(AND(SUMIF(Capacity_Resource,$D151,'Critical resources (hide)'!BP$6:BP$105)+SUMIF(Capacity_Resource,$E151,'Critical resources (hide)'!BP$6:BP$105)+SUMIF(Capacity_Resource,$F151,'Critical resources (hide)'!BP$6:BP$105)&gt;0,$E$1=2),0,1)</f>
        <v>1</v>
      </c>
      <c r="BD151" s="68">
        <f ca="1">IF(AND(SUMIF(Capacity_Resource,$D151,'Critical resources (hide)'!BQ$6:BQ$105)+SUMIF(Capacity_Resource,$E151,'Critical resources (hide)'!BQ$6:BQ$105)+SUMIF(Capacity_Resource,$F151,'Critical resources (hide)'!BQ$6:BQ$105)&gt;0,$E$1=2),0,1)</f>
        <v>1</v>
      </c>
      <c r="BE151" s="68">
        <f ca="1">IF(AND(SUMIF(Capacity_Resource,$D151,'Critical resources (hide)'!BR$6:BR$105)+SUMIF(Capacity_Resource,$E151,'Critical resources (hide)'!BR$6:BR$105)+SUMIF(Capacity_Resource,$F151,'Critical resources (hide)'!BR$6:BR$105)&gt;0,$E$1=2),0,1)</f>
        <v>1</v>
      </c>
      <c r="BF151" s="68">
        <f ca="1">IF(AND(SUMIF(Capacity_Resource,$D151,'Critical resources (hide)'!BS$6:BS$105)+SUMIF(Capacity_Resource,$E151,'Critical resources (hide)'!BS$6:BS$105)+SUMIF(Capacity_Resource,$F151,'Critical resources (hide)'!BS$6:BS$105)&gt;0,$E$1=2),0,1)</f>
        <v>1</v>
      </c>
      <c r="BG151" s="68">
        <f ca="1">IF(AND(SUMIF(Capacity_Resource,$D151,'Critical resources (hide)'!BT$6:BT$105)+SUMIF(Capacity_Resource,$E151,'Critical resources (hide)'!BT$6:BT$105)+SUMIF(Capacity_Resource,$F151,'Critical resources (hide)'!BT$6:BT$105)&gt;0,$E$1=2),0,1)</f>
        <v>1</v>
      </c>
      <c r="BH151" s="68">
        <f>IF(ROW(A40)&lt;=Capacity!$M$16,IF('Capacity summary'!$C$14="No",SUM(H151:BG151),'Capacity summary'!$E63),0)</f>
        <v>0</v>
      </c>
      <c r="BI151" s="68" t="str">
        <f>IF(BH151&gt;0,IF(BH151&lt;Capacity!Q56,Capacity!R56,Capacity!T56/'Capacity calculation (hide)'!BH151),"")</f>
        <v/>
      </c>
      <c r="BJ151" s="5"/>
      <c r="BK151" s="5">
        <f>IF($BI151&lt;&gt;"",IF('Capacity summary'!$C$14="Yes",IF(COUNTBLANK('Capacity summary'!$H63:$BG63)&lt;52,IF('Capacity summary'!H63&lt;&gt;"",$BI151*H151,0),H151*$BI151),H151*$BI151),0)</f>
        <v>0</v>
      </c>
      <c r="BL151" s="5">
        <f>IF($BI151&lt;&gt;"",IF('Capacity summary'!$C$14="Yes",IF(COUNTBLANK('Capacity summary'!$H63:$BG63)&lt;52,IF('Capacity summary'!I63&lt;&gt;"",$BI151*I151,0),I151*$BI151),I151*$BI151),0)</f>
        <v>0</v>
      </c>
      <c r="BM151" s="5">
        <f>IF($BI151&lt;&gt;"",IF('Capacity summary'!$C$14="Yes",IF(COUNTBLANK('Capacity summary'!$H63:$BG63)&lt;52,IF('Capacity summary'!J63&lt;&gt;"",$BI151*J151,0),J151*$BI151),J151*$BI151),0)</f>
        <v>0</v>
      </c>
      <c r="BN151" s="5">
        <f>IF($BI151&lt;&gt;"",IF('Capacity summary'!$C$14="Yes",IF(COUNTBLANK('Capacity summary'!$H63:$BG63)&lt;52,IF('Capacity summary'!K63&lt;&gt;"",$BI151*K151,0),K151*$BI151),K151*$BI151),0)</f>
        <v>0</v>
      </c>
      <c r="BO151" s="5">
        <f>IF($BI151&lt;&gt;"",IF('Capacity summary'!$C$14="Yes",IF(COUNTBLANK('Capacity summary'!$H63:$BG63)&lt;52,IF('Capacity summary'!L63&lt;&gt;"",$BI151*L151,0),L151*$BI151),L151*$BI151),0)</f>
        <v>0</v>
      </c>
      <c r="BP151" s="5">
        <f>IF($BI151&lt;&gt;"",IF('Capacity summary'!$C$14="Yes",IF(COUNTBLANK('Capacity summary'!$H63:$BG63)&lt;52,IF('Capacity summary'!M63&lt;&gt;"",$BI151*M151,0),M151*$BI151),M151*$BI151),0)</f>
        <v>0</v>
      </c>
      <c r="BQ151" s="5">
        <f>IF($BI151&lt;&gt;"",IF('Capacity summary'!$C$14="Yes",IF(COUNTBLANK('Capacity summary'!$H63:$BG63)&lt;52,IF('Capacity summary'!N63&lt;&gt;"",$BI151*N151,0),N151*$BI151),N151*$BI151),0)</f>
        <v>0</v>
      </c>
      <c r="BR151" s="5">
        <f>IF($BI151&lt;&gt;"",IF('Capacity summary'!$C$14="Yes",IF(COUNTBLANK('Capacity summary'!$H63:$BG63)&lt;52,IF('Capacity summary'!O63&lt;&gt;"",$BI151*O151,0),O151*$BI151),O151*$BI151),0)</f>
        <v>0</v>
      </c>
      <c r="BS151" s="5">
        <f>IF($BI151&lt;&gt;"",IF('Capacity summary'!$C$14="Yes",IF(COUNTBLANK('Capacity summary'!$H63:$BG63)&lt;52,IF('Capacity summary'!P63&lt;&gt;"",$BI151*P151,0),P151*$BI151),P151*$BI151),0)</f>
        <v>0</v>
      </c>
      <c r="BT151" s="5">
        <f>IF($BI151&lt;&gt;"",IF('Capacity summary'!$C$14="Yes",IF(COUNTBLANK('Capacity summary'!$H63:$BG63)&lt;52,IF('Capacity summary'!Q63&lt;&gt;"",$BI151*Q151,0),Q151*$BI151),Q151*$BI151),0)</f>
        <v>0</v>
      </c>
      <c r="BU151" s="5">
        <f>IF($BI151&lt;&gt;"",IF('Capacity summary'!$C$14="Yes",IF(COUNTBLANK('Capacity summary'!$H63:$BG63)&lt;52,IF('Capacity summary'!R63&lt;&gt;"",$BI151*R151,0),R151*$BI151),R151*$BI151),0)</f>
        <v>0</v>
      </c>
      <c r="BV151" s="5">
        <f>IF($BI151&lt;&gt;"",IF('Capacity summary'!$C$14="Yes",IF(COUNTBLANK('Capacity summary'!$H63:$BG63)&lt;52,IF('Capacity summary'!S63&lt;&gt;"",$BI151*S151,0),S151*$BI151),S151*$BI151),0)</f>
        <v>0</v>
      </c>
      <c r="BW151" s="5">
        <f>IF($BI151&lt;&gt;"",IF('Capacity summary'!$C$14="Yes",IF(COUNTBLANK('Capacity summary'!$H63:$BG63)&lt;52,IF('Capacity summary'!T63&lt;&gt;"",$BI151*T151,0),T151*$BI151),T151*$BI151),0)</f>
        <v>0</v>
      </c>
      <c r="BX151" s="5">
        <f>IF($BI151&lt;&gt;"",IF('Capacity summary'!$C$14="Yes",IF(COUNTBLANK('Capacity summary'!$H63:$BG63)&lt;52,IF('Capacity summary'!U63&lt;&gt;"",$BI151*U151,0),U151*$BI151),U151*$BI151),0)</f>
        <v>0</v>
      </c>
      <c r="BY151" s="5">
        <f>IF($BI151&lt;&gt;"",IF('Capacity summary'!$C$14="Yes",IF(COUNTBLANK('Capacity summary'!$H63:$BG63)&lt;52,IF('Capacity summary'!V63&lt;&gt;"",$BI151*V151,0),V151*$BI151),V151*$BI151),0)</f>
        <v>0</v>
      </c>
      <c r="BZ151" s="5">
        <f>IF($BI151&lt;&gt;"",IF('Capacity summary'!$C$14="Yes",IF(COUNTBLANK('Capacity summary'!$H63:$BG63)&lt;52,IF('Capacity summary'!W63&lt;&gt;"",$BI151*W151,0),W151*$BI151),W151*$BI151),0)</f>
        <v>0</v>
      </c>
      <c r="CA151" s="5">
        <f>IF($BI151&lt;&gt;"",IF('Capacity summary'!$C$14="Yes",IF(COUNTBLANK('Capacity summary'!$H63:$BG63)&lt;52,IF('Capacity summary'!X63&lt;&gt;"",$BI151*X151,0),X151*$BI151),X151*$BI151),0)</f>
        <v>0</v>
      </c>
      <c r="CB151" s="5">
        <f>IF($BI151&lt;&gt;"",IF('Capacity summary'!$C$14="Yes",IF(COUNTBLANK('Capacity summary'!$H63:$BG63)&lt;52,IF('Capacity summary'!Y63&lt;&gt;"",$BI151*Y151,0),Y151*$BI151),Y151*$BI151),0)</f>
        <v>0</v>
      </c>
      <c r="CC151" s="5">
        <f>IF($BI151&lt;&gt;"",IF('Capacity summary'!$C$14="Yes",IF(COUNTBLANK('Capacity summary'!$H63:$BG63)&lt;52,IF('Capacity summary'!Z63&lt;&gt;"",$BI151*Z151,0),Z151*$BI151),Z151*$BI151),0)</f>
        <v>0</v>
      </c>
      <c r="CD151" s="5">
        <f>IF($BI151&lt;&gt;"",IF('Capacity summary'!$C$14="Yes",IF(COUNTBLANK('Capacity summary'!$H63:$BG63)&lt;52,IF('Capacity summary'!AA63&lt;&gt;"",$BI151*AA151,0),AA151*$BI151),AA151*$BI151),0)</f>
        <v>0</v>
      </c>
      <c r="CE151" s="5">
        <f>IF($BI151&lt;&gt;"",IF('Capacity summary'!$C$14="Yes",IF(COUNTBLANK('Capacity summary'!$H63:$BG63)&lt;52,IF('Capacity summary'!AB63&lt;&gt;"",$BI151*AB151,0),AB151*$BI151),AB151*$BI151),0)</f>
        <v>0</v>
      </c>
      <c r="CF151" s="5">
        <f>IF($BI151&lt;&gt;"",IF('Capacity summary'!$C$14="Yes",IF(COUNTBLANK('Capacity summary'!$H63:$BG63)&lt;52,IF('Capacity summary'!AC63&lt;&gt;"",$BI151*AC151,0),AC151*$BI151),AC151*$BI151),0)</f>
        <v>0</v>
      </c>
      <c r="CG151" s="5">
        <f>IF($BI151&lt;&gt;"",IF('Capacity summary'!$C$14="Yes",IF(COUNTBLANK('Capacity summary'!$H63:$BG63)&lt;52,IF('Capacity summary'!AD63&lt;&gt;"",$BI151*AD151,0),AD151*$BI151),AD151*$BI151),0)</f>
        <v>0</v>
      </c>
      <c r="CH151" s="5">
        <f>IF($BI151&lt;&gt;"",IF('Capacity summary'!$C$14="Yes",IF(COUNTBLANK('Capacity summary'!$H63:$BG63)&lt;52,IF('Capacity summary'!AE63&lt;&gt;"",$BI151*AE151,0),AE151*$BI151),AE151*$BI151),0)</f>
        <v>0</v>
      </c>
      <c r="CI151" s="5">
        <f>IF($BI151&lt;&gt;"",IF('Capacity summary'!$C$14="Yes",IF(COUNTBLANK('Capacity summary'!$H63:$BG63)&lt;52,IF('Capacity summary'!AF63&lt;&gt;"",$BI151*AF151,0),AF151*$BI151),AF151*$BI151),0)</f>
        <v>0</v>
      </c>
      <c r="CJ151" s="5">
        <f>IF($BI151&lt;&gt;"",IF('Capacity summary'!$C$14="Yes",IF(COUNTBLANK('Capacity summary'!$H63:$BG63)&lt;52,IF('Capacity summary'!AG63&lt;&gt;"",$BI151*AG151,0),AG151*$BI151),AG151*$BI151),0)</f>
        <v>0</v>
      </c>
      <c r="CK151" s="5">
        <f>IF($BI151&lt;&gt;"",IF('Capacity summary'!$C$14="Yes",IF(COUNTBLANK('Capacity summary'!$H63:$BG63)&lt;52,IF('Capacity summary'!AH63&lt;&gt;"",$BI151*AH151,0),AH151*$BI151),AH151*$BI151),0)</f>
        <v>0</v>
      </c>
      <c r="CL151" s="5">
        <f>IF($BI151&lt;&gt;"",IF('Capacity summary'!$C$14="Yes",IF(COUNTBLANK('Capacity summary'!$H63:$BG63)&lt;52,IF('Capacity summary'!AI63&lt;&gt;"",$BI151*AI151,0),AI151*$BI151),AI151*$BI151),0)</f>
        <v>0</v>
      </c>
      <c r="CM151" s="5">
        <f>IF($BI151&lt;&gt;"",IF('Capacity summary'!$C$14="Yes",IF(COUNTBLANK('Capacity summary'!$H63:$BG63)&lt;52,IF('Capacity summary'!AJ63&lt;&gt;"",$BI151*AJ151,0),AJ151*$BI151),AJ151*$BI151),0)</f>
        <v>0</v>
      </c>
      <c r="CN151" s="5">
        <f>IF($BI151&lt;&gt;"",IF('Capacity summary'!$C$14="Yes",IF(COUNTBLANK('Capacity summary'!$H63:$BG63)&lt;52,IF('Capacity summary'!AK63&lt;&gt;"",$BI151*AK151,0),AK151*$BI151),AK151*$BI151),0)</f>
        <v>0</v>
      </c>
      <c r="CO151" s="5">
        <f>IF($BI151&lt;&gt;"",IF('Capacity summary'!$C$14="Yes",IF(COUNTBLANK('Capacity summary'!$H63:$BG63)&lt;52,IF('Capacity summary'!AL63&lt;&gt;"",$BI151*AL151,0),AL151*$BI151),AL151*$BI151),0)</f>
        <v>0</v>
      </c>
      <c r="CP151" s="5">
        <f>IF($BI151&lt;&gt;"",IF('Capacity summary'!$C$14="Yes",IF(COUNTBLANK('Capacity summary'!$H63:$BG63)&lt;52,IF('Capacity summary'!AM63&lt;&gt;"",$BI151*AM151,0),AM151*$BI151),AM151*$BI151),0)</f>
        <v>0</v>
      </c>
      <c r="CQ151" s="5">
        <f>IF($BI151&lt;&gt;"",IF('Capacity summary'!$C$14="Yes",IF(COUNTBLANK('Capacity summary'!$H63:$BG63)&lt;52,IF('Capacity summary'!AN63&lt;&gt;"",$BI151*AN151,0),AN151*$BI151),AN151*$BI151),0)</f>
        <v>0</v>
      </c>
      <c r="CR151" s="5">
        <f>IF($BI151&lt;&gt;"",IF('Capacity summary'!$C$14="Yes",IF(COUNTBLANK('Capacity summary'!$H63:$BG63)&lt;52,IF('Capacity summary'!AO63&lt;&gt;"",$BI151*AO151,0),AO151*$BI151),AO151*$BI151),0)</f>
        <v>0</v>
      </c>
      <c r="CS151" s="5">
        <f>IF($BI151&lt;&gt;"",IF('Capacity summary'!$C$14="Yes",IF(COUNTBLANK('Capacity summary'!$H63:$BG63)&lt;52,IF('Capacity summary'!AP63&lt;&gt;"",$BI151*AP151,0),AP151*$BI151),AP151*$BI151),0)</f>
        <v>0</v>
      </c>
      <c r="CT151" s="5">
        <f>IF($BI151&lt;&gt;"",IF('Capacity summary'!$C$14="Yes",IF(COUNTBLANK('Capacity summary'!$H63:$BG63)&lt;52,IF('Capacity summary'!AQ63&lt;&gt;"",$BI151*AQ151,0),AQ151*$BI151),AQ151*$BI151),0)</f>
        <v>0</v>
      </c>
      <c r="CU151" s="5">
        <f>IF($BI151&lt;&gt;"",IF('Capacity summary'!$C$14="Yes",IF(COUNTBLANK('Capacity summary'!$H63:$BG63)&lt;52,IF('Capacity summary'!AR63&lt;&gt;"",$BI151*AR151,0),AR151*$BI151),AR151*$BI151),0)</f>
        <v>0</v>
      </c>
      <c r="CV151" s="5">
        <f>IF($BI151&lt;&gt;"",IF('Capacity summary'!$C$14="Yes",IF(COUNTBLANK('Capacity summary'!$H63:$BG63)&lt;52,IF('Capacity summary'!AS63&lt;&gt;"",$BI151*AS151,0),AS151*$BI151),AS151*$BI151),0)</f>
        <v>0</v>
      </c>
      <c r="CW151" s="5">
        <f>IF($BI151&lt;&gt;"",IF('Capacity summary'!$C$14="Yes",IF(COUNTBLANK('Capacity summary'!$H63:$BG63)&lt;52,IF('Capacity summary'!AT63&lt;&gt;"",$BI151*AT151,0),AT151*$BI151),AT151*$BI151),0)</f>
        <v>0</v>
      </c>
      <c r="CX151" s="5">
        <f>IF($BI151&lt;&gt;"",IF('Capacity summary'!$C$14="Yes",IF(COUNTBLANK('Capacity summary'!$H63:$BG63)&lt;52,IF('Capacity summary'!AU63&lt;&gt;"",$BI151*AU151,0),AU151*$BI151),AU151*$BI151),0)</f>
        <v>0</v>
      </c>
      <c r="CY151" s="5">
        <f>IF($BI151&lt;&gt;"",IF('Capacity summary'!$C$14="Yes",IF(COUNTBLANK('Capacity summary'!$H63:$BG63)&lt;52,IF('Capacity summary'!AV63&lt;&gt;"",$BI151*AV151,0),AV151*$BI151),AV151*$BI151),0)</f>
        <v>0</v>
      </c>
      <c r="CZ151" s="5">
        <f>IF($BI151&lt;&gt;"",IF('Capacity summary'!$C$14="Yes",IF(COUNTBLANK('Capacity summary'!$H63:$BG63)&lt;52,IF('Capacity summary'!AW63&lt;&gt;"",$BI151*AW151,0),AW151*$BI151),AW151*$BI151),0)</f>
        <v>0</v>
      </c>
      <c r="DA151" s="5">
        <f>IF($BI151&lt;&gt;"",IF('Capacity summary'!$C$14="Yes",IF(COUNTBLANK('Capacity summary'!$H63:$BG63)&lt;52,IF('Capacity summary'!AX63&lt;&gt;"",$BI151*AX151,0),AX151*$BI151),AX151*$BI151),0)</f>
        <v>0</v>
      </c>
      <c r="DB151" s="5">
        <f>IF($BI151&lt;&gt;"",IF('Capacity summary'!$C$14="Yes",IF(COUNTBLANK('Capacity summary'!$H63:$BG63)&lt;52,IF('Capacity summary'!AY63&lt;&gt;"",$BI151*AY151,0),AY151*$BI151),AY151*$BI151),0)</f>
        <v>0</v>
      </c>
      <c r="DC151" s="5">
        <f>IF($BI151&lt;&gt;"",IF('Capacity summary'!$C$14="Yes",IF(COUNTBLANK('Capacity summary'!$H63:$BG63)&lt;52,IF('Capacity summary'!AZ63&lt;&gt;"",$BI151*AZ151,0),AZ151*$BI151),AZ151*$BI151),0)</f>
        <v>0</v>
      </c>
      <c r="DD151" s="5">
        <f>IF($BI151&lt;&gt;"",IF('Capacity summary'!$C$14="Yes",IF(COUNTBLANK('Capacity summary'!$H63:$BG63)&lt;52,IF('Capacity summary'!BA63&lt;&gt;"",$BI151*BA151,0),BA151*$BI151),BA151*$BI151),0)</f>
        <v>0</v>
      </c>
      <c r="DE151" s="5">
        <f>IF($BI151&lt;&gt;"",IF('Capacity summary'!$C$14="Yes",IF(COUNTBLANK('Capacity summary'!$H63:$BG63)&lt;52,IF('Capacity summary'!BB63&lt;&gt;"",$BI151*BB151,0),BB151*$BI151),BB151*$BI151),0)</f>
        <v>0</v>
      </c>
      <c r="DF151" s="5">
        <f>IF($BI151&lt;&gt;"",IF('Capacity summary'!$C$14="Yes",IF(COUNTBLANK('Capacity summary'!$H63:$BG63)&lt;52,IF('Capacity summary'!BC63&lt;&gt;"",$BI151*BC151,0),BC151*$BI151),BC151*$BI151),0)</f>
        <v>0</v>
      </c>
      <c r="DG151" s="5">
        <f>IF($BI151&lt;&gt;"",IF('Capacity summary'!$C$14="Yes",IF(COUNTBLANK('Capacity summary'!$H63:$BG63)&lt;52,IF('Capacity summary'!BD63&lt;&gt;"",$BI151*BD151,0),BD151*$BI151),BD151*$BI151),0)</f>
        <v>0</v>
      </c>
      <c r="DH151" s="5">
        <f>IF($BI151&lt;&gt;"",IF('Capacity summary'!$C$14="Yes",IF(COUNTBLANK('Capacity summary'!$H63:$BG63)&lt;52,IF('Capacity summary'!BE63&lt;&gt;"",$BI151*BE151,0),BE151*$BI151),BE151*$BI151),0)</f>
        <v>0</v>
      </c>
      <c r="DI151" s="5">
        <f>IF($BI151&lt;&gt;"",IF('Capacity summary'!$C$14="Yes",IF(COUNTBLANK('Capacity summary'!$H63:$BG63)&lt;52,IF('Capacity summary'!BF63&lt;&gt;"",$BI151*BF151,0),BF151*$BI151),BF151*$BI151),0)</f>
        <v>0</v>
      </c>
      <c r="DJ151" s="5">
        <f>IF($BI151&lt;&gt;"",IF('Capacity summary'!$C$14="Yes",IF(COUNTBLANK('Capacity summary'!$H63:$BG63)&lt;52,IF('Capacity summary'!BG63&lt;&gt;"",$BI151*BG151,0),BG151*$BI151),BG151*$BI151),0)</f>
        <v>0</v>
      </c>
      <c r="DK151" s="138">
        <f t="shared" si="6"/>
        <v>0</v>
      </c>
    </row>
    <row r="152" spans="3:115" x14ac:dyDescent="0.2">
      <c r="C152" s="68" t="str">
        <f>ROW(A41)&amp;". "&amp;Capacity!N57</f>
        <v xml:space="preserve">41. </v>
      </c>
      <c r="D152" s="68">
        <f>'Capacity setup'!C158</f>
        <v>0</v>
      </c>
      <c r="E152" s="68">
        <f>'Capacity setup'!D158</f>
        <v>0</v>
      </c>
      <c r="F152" s="68">
        <f>'Capacity setup'!E158</f>
        <v>0</v>
      </c>
      <c r="H152" s="68">
        <f ca="1">IF(AND(SUMIF(Capacity_Resource,$D152,'Critical resources (hide)'!U$6:U$105)+SUMIF(Capacity_Resource,$E152,'Critical resources (hide)'!U$6:U$105)+SUMIF(Capacity_Resource,$F152,'Critical resources (hide)'!U$6:U$105)&gt;0,$E$1=2),0,1)</f>
        <v>1</v>
      </c>
      <c r="I152" s="68">
        <f ca="1">IF(AND(SUMIF(Capacity_Resource,$D152,'Critical resources (hide)'!V$6:V$105)+SUMIF(Capacity_Resource,$E152,'Critical resources (hide)'!V$6:V$105)+SUMIF(Capacity_Resource,$F152,'Critical resources (hide)'!V$6:V$105)&gt;0,$E$1=2),0,1)</f>
        <v>1</v>
      </c>
      <c r="J152" s="68">
        <f ca="1">IF(AND(SUMIF(Capacity_Resource,$D152,'Critical resources (hide)'!W$6:W$105)+SUMIF(Capacity_Resource,$E152,'Critical resources (hide)'!W$6:W$105)+SUMIF(Capacity_Resource,$F152,'Critical resources (hide)'!W$6:W$105)&gt;0,$E$1=2),0,1)</f>
        <v>1</v>
      </c>
      <c r="K152" s="68">
        <f ca="1">IF(AND(SUMIF(Capacity_Resource,$D152,'Critical resources (hide)'!X$6:X$105)+SUMIF(Capacity_Resource,$E152,'Critical resources (hide)'!X$6:X$105)+SUMIF(Capacity_Resource,$F152,'Critical resources (hide)'!X$6:X$105)&gt;0,$E$1=2),0,1)</f>
        <v>1</v>
      </c>
      <c r="L152" s="68">
        <f ca="1">IF(AND(SUMIF(Capacity_Resource,$D152,'Critical resources (hide)'!Y$6:Y$105)+SUMIF(Capacity_Resource,$E152,'Critical resources (hide)'!Y$6:Y$105)+SUMIF(Capacity_Resource,$F152,'Critical resources (hide)'!Y$6:Y$105)&gt;0,$E$1=2),0,1)</f>
        <v>1</v>
      </c>
      <c r="M152" s="68">
        <f ca="1">IF(AND(SUMIF(Capacity_Resource,$D152,'Critical resources (hide)'!Z$6:Z$105)+SUMIF(Capacity_Resource,$E152,'Critical resources (hide)'!Z$6:Z$105)+SUMIF(Capacity_Resource,$F152,'Critical resources (hide)'!Z$6:Z$105)&gt;0,$E$1=2),0,1)</f>
        <v>1</v>
      </c>
      <c r="N152" s="68">
        <f ca="1">IF(AND(SUMIF(Capacity_Resource,$D152,'Critical resources (hide)'!AA$6:AA$105)+SUMIF(Capacity_Resource,$E152,'Critical resources (hide)'!AA$6:AA$105)+SUMIF(Capacity_Resource,$F152,'Critical resources (hide)'!AA$6:AA$105)&gt;0,$E$1=2),0,1)</f>
        <v>1</v>
      </c>
      <c r="O152" s="68">
        <f ca="1">IF(AND(SUMIF(Capacity_Resource,$D152,'Critical resources (hide)'!AB$6:AB$105)+SUMIF(Capacity_Resource,$E152,'Critical resources (hide)'!AB$6:AB$105)+SUMIF(Capacity_Resource,$F152,'Critical resources (hide)'!AB$6:AB$105)&gt;0,$E$1=2),0,1)</f>
        <v>1</v>
      </c>
      <c r="P152" s="68">
        <f ca="1">IF(AND(SUMIF(Capacity_Resource,$D152,'Critical resources (hide)'!AC$6:AC$105)+SUMIF(Capacity_Resource,$E152,'Critical resources (hide)'!AC$6:AC$105)+SUMIF(Capacity_Resource,$F152,'Critical resources (hide)'!AC$6:AC$105)&gt;0,$E$1=2),0,1)</f>
        <v>1</v>
      </c>
      <c r="Q152" s="68">
        <f ca="1">IF(AND(SUMIF(Capacity_Resource,$D152,'Critical resources (hide)'!AD$6:AD$105)+SUMIF(Capacity_Resource,$E152,'Critical resources (hide)'!AD$6:AD$105)+SUMIF(Capacity_Resource,$F152,'Critical resources (hide)'!AD$6:AD$105)&gt;0,$E$1=2),0,1)</f>
        <v>1</v>
      </c>
      <c r="R152" s="68">
        <f ca="1">IF(AND(SUMIF(Capacity_Resource,$D152,'Critical resources (hide)'!AE$6:AE$105)+SUMIF(Capacity_Resource,$E152,'Critical resources (hide)'!AE$6:AE$105)+SUMIF(Capacity_Resource,$F152,'Critical resources (hide)'!AE$6:AE$105)&gt;0,$E$1=2),0,1)</f>
        <v>1</v>
      </c>
      <c r="S152" s="68">
        <f ca="1">IF(AND(SUMIF(Capacity_Resource,$D152,'Critical resources (hide)'!AF$6:AF$105)+SUMIF(Capacity_Resource,$E152,'Critical resources (hide)'!AF$6:AF$105)+SUMIF(Capacity_Resource,$F152,'Critical resources (hide)'!AF$6:AF$105)&gt;0,$E$1=2),0,1)</f>
        <v>1</v>
      </c>
      <c r="T152" s="68">
        <f ca="1">IF(AND(SUMIF(Capacity_Resource,$D152,'Critical resources (hide)'!AG$6:AG$105)+SUMIF(Capacity_Resource,$E152,'Critical resources (hide)'!AG$6:AG$105)+SUMIF(Capacity_Resource,$F152,'Critical resources (hide)'!AG$6:AG$105)&gt;0,$E$1=2),0,1)</f>
        <v>1</v>
      </c>
      <c r="U152" s="68">
        <f ca="1">IF(AND(SUMIF(Capacity_Resource,$D152,'Critical resources (hide)'!AH$6:AH$105)+SUMIF(Capacity_Resource,$E152,'Critical resources (hide)'!AH$6:AH$105)+SUMIF(Capacity_Resource,$F152,'Critical resources (hide)'!AH$6:AH$105)&gt;0,$E$1=2),0,1)</f>
        <v>1</v>
      </c>
      <c r="V152" s="68">
        <f ca="1">IF(AND(SUMIF(Capacity_Resource,$D152,'Critical resources (hide)'!AI$6:AI$105)+SUMIF(Capacity_Resource,$E152,'Critical resources (hide)'!AI$6:AI$105)+SUMIF(Capacity_Resource,$F152,'Critical resources (hide)'!AI$6:AI$105)&gt;0,$E$1=2),0,1)</f>
        <v>1</v>
      </c>
      <c r="W152" s="68">
        <f ca="1">IF(AND(SUMIF(Capacity_Resource,$D152,'Critical resources (hide)'!AJ$6:AJ$105)+SUMIF(Capacity_Resource,$E152,'Critical resources (hide)'!AJ$6:AJ$105)+SUMIF(Capacity_Resource,$F152,'Critical resources (hide)'!AJ$6:AJ$105)&gt;0,$E$1=2),0,1)</f>
        <v>1</v>
      </c>
      <c r="X152" s="68">
        <f ca="1">IF(AND(SUMIF(Capacity_Resource,$D152,'Critical resources (hide)'!AK$6:AK$105)+SUMIF(Capacity_Resource,$E152,'Critical resources (hide)'!AK$6:AK$105)+SUMIF(Capacity_Resource,$F152,'Critical resources (hide)'!AK$6:AK$105)&gt;0,$E$1=2),0,1)</f>
        <v>1</v>
      </c>
      <c r="Y152" s="68">
        <f ca="1">IF(AND(SUMIF(Capacity_Resource,$D152,'Critical resources (hide)'!AL$6:AL$105)+SUMIF(Capacity_Resource,$E152,'Critical resources (hide)'!AL$6:AL$105)+SUMIF(Capacity_Resource,$F152,'Critical resources (hide)'!AL$6:AL$105)&gt;0,$E$1=2),0,1)</f>
        <v>1</v>
      </c>
      <c r="Z152" s="68">
        <f ca="1">IF(AND(SUMIF(Capacity_Resource,$D152,'Critical resources (hide)'!AM$6:AM$105)+SUMIF(Capacity_Resource,$E152,'Critical resources (hide)'!AM$6:AM$105)+SUMIF(Capacity_Resource,$F152,'Critical resources (hide)'!AM$6:AM$105)&gt;0,$E$1=2),0,1)</f>
        <v>1</v>
      </c>
      <c r="AA152" s="68">
        <f ca="1">IF(AND(SUMIF(Capacity_Resource,$D152,'Critical resources (hide)'!AN$6:AN$105)+SUMIF(Capacity_Resource,$E152,'Critical resources (hide)'!AN$6:AN$105)+SUMIF(Capacity_Resource,$F152,'Critical resources (hide)'!AN$6:AN$105)&gt;0,$E$1=2),0,1)</f>
        <v>1</v>
      </c>
      <c r="AB152" s="68">
        <f ca="1">IF(AND(SUMIF(Capacity_Resource,$D152,'Critical resources (hide)'!AO$6:AO$105)+SUMIF(Capacity_Resource,$E152,'Critical resources (hide)'!AO$6:AO$105)+SUMIF(Capacity_Resource,$F152,'Critical resources (hide)'!AO$6:AO$105)&gt;0,$E$1=2),0,1)</f>
        <v>1</v>
      </c>
      <c r="AC152" s="68">
        <f ca="1">IF(AND(SUMIF(Capacity_Resource,$D152,'Critical resources (hide)'!AP$6:AP$105)+SUMIF(Capacity_Resource,$E152,'Critical resources (hide)'!AP$6:AP$105)+SUMIF(Capacity_Resource,$F152,'Critical resources (hide)'!AP$6:AP$105)&gt;0,$E$1=2),0,1)</f>
        <v>1</v>
      </c>
      <c r="AD152" s="68">
        <f ca="1">IF(AND(SUMIF(Capacity_Resource,$D152,'Critical resources (hide)'!AQ$6:AQ$105)+SUMIF(Capacity_Resource,$E152,'Critical resources (hide)'!AQ$6:AQ$105)+SUMIF(Capacity_Resource,$F152,'Critical resources (hide)'!AQ$6:AQ$105)&gt;0,$E$1=2),0,1)</f>
        <v>1</v>
      </c>
      <c r="AE152" s="68">
        <f ca="1">IF(AND(SUMIF(Capacity_Resource,$D152,'Critical resources (hide)'!AR$6:AR$105)+SUMIF(Capacity_Resource,$E152,'Critical resources (hide)'!AR$6:AR$105)+SUMIF(Capacity_Resource,$F152,'Critical resources (hide)'!AR$6:AR$105)&gt;0,$E$1=2),0,1)</f>
        <v>1</v>
      </c>
      <c r="AF152" s="68">
        <f ca="1">IF(AND(SUMIF(Capacity_Resource,$D152,'Critical resources (hide)'!AS$6:AS$105)+SUMIF(Capacity_Resource,$E152,'Critical resources (hide)'!AS$6:AS$105)+SUMIF(Capacity_Resource,$F152,'Critical resources (hide)'!AS$6:AS$105)&gt;0,$E$1=2),0,1)</f>
        <v>1</v>
      </c>
      <c r="AG152" s="68">
        <f ca="1">IF(AND(SUMIF(Capacity_Resource,$D152,'Critical resources (hide)'!AT$6:AT$105)+SUMIF(Capacity_Resource,$E152,'Critical resources (hide)'!AT$6:AT$105)+SUMIF(Capacity_Resource,$F152,'Critical resources (hide)'!AT$6:AT$105)&gt;0,$E$1=2),0,1)</f>
        <v>1</v>
      </c>
      <c r="AH152" s="68">
        <f ca="1">IF(AND(SUMIF(Capacity_Resource,$D152,'Critical resources (hide)'!AU$6:AU$105)+SUMIF(Capacity_Resource,$E152,'Critical resources (hide)'!AU$6:AU$105)+SUMIF(Capacity_Resource,$F152,'Critical resources (hide)'!AU$6:AU$105)&gt;0,$E$1=2),0,1)</f>
        <v>1</v>
      </c>
      <c r="AI152" s="68">
        <f ca="1">IF(AND(SUMIF(Capacity_Resource,$D152,'Critical resources (hide)'!AV$6:AV$105)+SUMIF(Capacity_Resource,$E152,'Critical resources (hide)'!AV$6:AV$105)+SUMIF(Capacity_Resource,$F152,'Critical resources (hide)'!AV$6:AV$105)&gt;0,$E$1=2),0,1)</f>
        <v>1</v>
      </c>
      <c r="AJ152" s="68">
        <f ca="1">IF(AND(SUMIF(Capacity_Resource,$D152,'Critical resources (hide)'!AW$6:AW$105)+SUMIF(Capacity_Resource,$E152,'Critical resources (hide)'!AW$6:AW$105)+SUMIF(Capacity_Resource,$F152,'Critical resources (hide)'!AW$6:AW$105)&gt;0,$E$1=2),0,1)</f>
        <v>1</v>
      </c>
      <c r="AK152" s="68">
        <f ca="1">IF(AND(SUMIF(Capacity_Resource,$D152,'Critical resources (hide)'!AX$6:AX$105)+SUMIF(Capacity_Resource,$E152,'Critical resources (hide)'!AX$6:AX$105)+SUMIF(Capacity_Resource,$F152,'Critical resources (hide)'!AX$6:AX$105)&gt;0,$E$1=2),0,1)</f>
        <v>1</v>
      </c>
      <c r="AL152" s="68">
        <f ca="1">IF(AND(SUMIF(Capacity_Resource,$D152,'Critical resources (hide)'!AY$6:AY$105)+SUMIF(Capacity_Resource,$E152,'Critical resources (hide)'!AY$6:AY$105)+SUMIF(Capacity_Resource,$F152,'Critical resources (hide)'!AY$6:AY$105)&gt;0,$E$1=2),0,1)</f>
        <v>1</v>
      </c>
      <c r="AM152" s="68">
        <f ca="1">IF(AND(SUMIF(Capacity_Resource,$D152,'Critical resources (hide)'!AZ$6:AZ$105)+SUMIF(Capacity_Resource,$E152,'Critical resources (hide)'!AZ$6:AZ$105)+SUMIF(Capacity_Resource,$F152,'Critical resources (hide)'!AZ$6:AZ$105)&gt;0,$E$1=2),0,1)</f>
        <v>1</v>
      </c>
      <c r="AN152" s="68">
        <f ca="1">IF(AND(SUMIF(Capacity_Resource,$D152,'Critical resources (hide)'!BA$6:BA$105)+SUMIF(Capacity_Resource,$E152,'Critical resources (hide)'!BA$6:BA$105)+SUMIF(Capacity_Resource,$F152,'Critical resources (hide)'!BA$6:BA$105)&gt;0,$E$1=2),0,1)</f>
        <v>1</v>
      </c>
      <c r="AO152" s="68">
        <f ca="1">IF(AND(SUMIF(Capacity_Resource,$D152,'Critical resources (hide)'!BB$6:BB$105)+SUMIF(Capacity_Resource,$E152,'Critical resources (hide)'!BB$6:BB$105)+SUMIF(Capacity_Resource,$F152,'Critical resources (hide)'!BB$6:BB$105)&gt;0,$E$1=2),0,1)</f>
        <v>1</v>
      </c>
      <c r="AP152" s="68">
        <f ca="1">IF(AND(SUMIF(Capacity_Resource,$D152,'Critical resources (hide)'!BC$6:BC$105)+SUMIF(Capacity_Resource,$E152,'Critical resources (hide)'!BC$6:BC$105)+SUMIF(Capacity_Resource,$F152,'Critical resources (hide)'!BC$6:BC$105)&gt;0,$E$1=2),0,1)</f>
        <v>1</v>
      </c>
      <c r="AQ152" s="68">
        <f ca="1">IF(AND(SUMIF(Capacity_Resource,$D152,'Critical resources (hide)'!BD$6:BD$105)+SUMIF(Capacity_Resource,$E152,'Critical resources (hide)'!BD$6:BD$105)+SUMIF(Capacity_Resource,$F152,'Critical resources (hide)'!BD$6:BD$105)&gt;0,$E$1=2),0,1)</f>
        <v>1</v>
      </c>
      <c r="AR152" s="68">
        <f ca="1">IF(AND(SUMIF(Capacity_Resource,$D152,'Critical resources (hide)'!BE$6:BE$105)+SUMIF(Capacity_Resource,$E152,'Critical resources (hide)'!BE$6:BE$105)+SUMIF(Capacity_Resource,$F152,'Critical resources (hide)'!BE$6:BE$105)&gt;0,$E$1=2),0,1)</f>
        <v>1</v>
      </c>
      <c r="AS152" s="68">
        <f ca="1">IF(AND(SUMIF(Capacity_Resource,$D152,'Critical resources (hide)'!BF$6:BF$105)+SUMIF(Capacity_Resource,$E152,'Critical resources (hide)'!BF$6:BF$105)+SUMIF(Capacity_Resource,$F152,'Critical resources (hide)'!BF$6:BF$105)&gt;0,$E$1=2),0,1)</f>
        <v>1</v>
      </c>
      <c r="AT152" s="68">
        <f ca="1">IF(AND(SUMIF(Capacity_Resource,$D152,'Critical resources (hide)'!BG$6:BG$105)+SUMIF(Capacity_Resource,$E152,'Critical resources (hide)'!BG$6:BG$105)+SUMIF(Capacity_Resource,$F152,'Critical resources (hide)'!BG$6:BG$105)&gt;0,$E$1=2),0,1)</f>
        <v>1</v>
      </c>
      <c r="AU152" s="68">
        <f ca="1">IF(AND(SUMIF(Capacity_Resource,$D152,'Critical resources (hide)'!BH$6:BH$105)+SUMIF(Capacity_Resource,$E152,'Critical resources (hide)'!BH$6:BH$105)+SUMIF(Capacity_Resource,$F152,'Critical resources (hide)'!BH$6:BH$105)&gt;0,$E$1=2),0,1)</f>
        <v>1</v>
      </c>
      <c r="AV152" s="68">
        <f ca="1">IF(AND(SUMIF(Capacity_Resource,$D152,'Critical resources (hide)'!BI$6:BI$105)+SUMIF(Capacity_Resource,$E152,'Critical resources (hide)'!BI$6:BI$105)+SUMIF(Capacity_Resource,$F152,'Critical resources (hide)'!BI$6:BI$105)&gt;0,$E$1=2),0,1)</f>
        <v>1</v>
      </c>
      <c r="AW152" s="68">
        <f ca="1">IF(AND(SUMIF(Capacity_Resource,$D152,'Critical resources (hide)'!BJ$6:BJ$105)+SUMIF(Capacity_Resource,$E152,'Critical resources (hide)'!BJ$6:BJ$105)+SUMIF(Capacity_Resource,$F152,'Critical resources (hide)'!BJ$6:BJ$105)&gt;0,$E$1=2),0,1)</f>
        <v>1</v>
      </c>
      <c r="AX152" s="68">
        <f ca="1">IF(AND(SUMIF(Capacity_Resource,$D152,'Critical resources (hide)'!BK$6:BK$105)+SUMIF(Capacity_Resource,$E152,'Critical resources (hide)'!BK$6:BK$105)+SUMIF(Capacity_Resource,$F152,'Critical resources (hide)'!BK$6:BK$105)&gt;0,$E$1=2),0,1)</f>
        <v>1</v>
      </c>
      <c r="AY152" s="68">
        <f ca="1">IF(AND(SUMIF(Capacity_Resource,$D152,'Critical resources (hide)'!BL$6:BL$105)+SUMIF(Capacity_Resource,$E152,'Critical resources (hide)'!BL$6:BL$105)+SUMIF(Capacity_Resource,$F152,'Critical resources (hide)'!BL$6:BL$105)&gt;0,$E$1=2),0,1)</f>
        <v>1</v>
      </c>
      <c r="AZ152" s="68">
        <f ca="1">IF(AND(SUMIF(Capacity_Resource,$D152,'Critical resources (hide)'!BM$6:BM$105)+SUMIF(Capacity_Resource,$E152,'Critical resources (hide)'!BM$6:BM$105)+SUMIF(Capacity_Resource,$F152,'Critical resources (hide)'!BM$6:BM$105)&gt;0,$E$1=2),0,1)</f>
        <v>1</v>
      </c>
      <c r="BA152" s="68">
        <f ca="1">IF(AND(SUMIF(Capacity_Resource,$D152,'Critical resources (hide)'!BN$6:BN$105)+SUMIF(Capacity_Resource,$E152,'Critical resources (hide)'!BN$6:BN$105)+SUMIF(Capacity_Resource,$F152,'Critical resources (hide)'!BN$6:BN$105)&gt;0,$E$1=2),0,1)</f>
        <v>1</v>
      </c>
      <c r="BB152" s="68">
        <f ca="1">IF(AND(SUMIF(Capacity_Resource,$D152,'Critical resources (hide)'!BO$6:BO$105)+SUMIF(Capacity_Resource,$E152,'Critical resources (hide)'!BO$6:BO$105)+SUMIF(Capacity_Resource,$F152,'Critical resources (hide)'!BO$6:BO$105)&gt;0,$E$1=2),0,1)</f>
        <v>1</v>
      </c>
      <c r="BC152" s="68">
        <f ca="1">IF(AND(SUMIF(Capacity_Resource,$D152,'Critical resources (hide)'!BP$6:BP$105)+SUMIF(Capacity_Resource,$E152,'Critical resources (hide)'!BP$6:BP$105)+SUMIF(Capacity_Resource,$F152,'Critical resources (hide)'!BP$6:BP$105)&gt;0,$E$1=2),0,1)</f>
        <v>1</v>
      </c>
      <c r="BD152" s="68">
        <f ca="1">IF(AND(SUMIF(Capacity_Resource,$D152,'Critical resources (hide)'!BQ$6:BQ$105)+SUMIF(Capacity_Resource,$E152,'Critical resources (hide)'!BQ$6:BQ$105)+SUMIF(Capacity_Resource,$F152,'Critical resources (hide)'!BQ$6:BQ$105)&gt;0,$E$1=2),0,1)</f>
        <v>1</v>
      </c>
      <c r="BE152" s="68">
        <f ca="1">IF(AND(SUMIF(Capacity_Resource,$D152,'Critical resources (hide)'!BR$6:BR$105)+SUMIF(Capacity_Resource,$E152,'Critical resources (hide)'!BR$6:BR$105)+SUMIF(Capacity_Resource,$F152,'Critical resources (hide)'!BR$6:BR$105)&gt;0,$E$1=2),0,1)</f>
        <v>1</v>
      </c>
      <c r="BF152" s="68">
        <f ca="1">IF(AND(SUMIF(Capacity_Resource,$D152,'Critical resources (hide)'!BS$6:BS$105)+SUMIF(Capacity_Resource,$E152,'Critical resources (hide)'!BS$6:BS$105)+SUMIF(Capacity_Resource,$F152,'Critical resources (hide)'!BS$6:BS$105)&gt;0,$E$1=2),0,1)</f>
        <v>1</v>
      </c>
      <c r="BG152" s="68">
        <f ca="1">IF(AND(SUMIF(Capacity_Resource,$D152,'Critical resources (hide)'!BT$6:BT$105)+SUMIF(Capacity_Resource,$E152,'Critical resources (hide)'!BT$6:BT$105)+SUMIF(Capacity_Resource,$F152,'Critical resources (hide)'!BT$6:BT$105)&gt;0,$E$1=2),0,1)</f>
        <v>1</v>
      </c>
      <c r="BH152" s="68">
        <f>IF(ROW(A41)&lt;=Capacity!$M$16,IF('Capacity summary'!$C$14="No",SUM(H152:BG152),'Capacity summary'!$E64),0)</f>
        <v>0</v>
      </c>
      <c r="BI152" s="68" t="str">
        <f>IF(BH152&gt;0,IF(BH152&lt;Capacity!Q57,Capacity!R57,Capacity!T57/'Capacity calculation (hide)'!BH152),"")</f>
        <v/>
      </c>
      <c r="BJ152" s="5"/>
      <c r="BK152" s="5">
        <f>IF($BI152&lt;&gt;"",IF('Capacity summary'!$C$14="Yes",IF(COUNTBLANK('Capacity summary'!$H64:$BG64)&lt;52,IF('Capacity summary'!H64&lt;&gt;"",$BI152*H152,0),H152*$BI152),H152*$BI152),0)</f>
        <v>0</v>
      </c>
      <c r="BL152" s="5">
        <f>IF($BI152&lt;&gt;"",IF('Capacity summary'!$C$14="Yes",IF(COUNTBLANK('Capacity summary'!$H64:$BG64)&lt;52,IF('Capacity summary'!I64&lt;&gt;"",$BI152*I152,0),I152*$BI152),I152*$BI152),0)</f>
        <v>0</v>
      </c>
      <c r="BM152" s="5">
        <f>IF($BI152&lt;&gt;"",IF('Capacity summary'!$C$14="Yes",IF(COUNTBLANK('Capacity summary'!$H64:$BG64)&lt;52,IF('Capacity summary'!J64&lt;&gt;"",$BI152*J152,0),J152*$BI152),J152*$BI152),0)</f>
        <v>0</v>
      </c>
      <c r="BN152" s="5">
        <f>IF($BI152&lt;&gt;"",IF('Capacity summary'!$C$14="Yes",IF(COUNTBLANK('Capacity summary'!$H64:$BG64)&lt;52,IF('Capacity summary'!K64&lt;&gt;"",$BI152*K152,0),K152*$BI152),K152*$BI152),0)</f>
        <v>0</v>
      </c>
      <c r="BO152" s="5">
        <f>IF($BI152&lt;&gt;"",IF('Capacity summary'!$C$14="Yes",IF(COUNTBLANK('Capacity summary'!$H64:$BG64)&lt;52,IF('Capacity summary'!L64&lt;&gt;"",$BI152*L152,0),L152*$BI152),L152*$BI152),0)</f>
        <v>0</v>
      </c>
      <c r="BP152" s="5">
        <f>IF($BI152&lt;&gt;"",IF('Capacity summary'!$C$14="Yes",IF(COUNTBLANK('Capacity summary'!$H64:$BG64)&lt;52,IF('Capacity summary'!M64&lt;&gt;"",$BI152*M152,0),M152*$BI152),M152*$BI152),0)</f>
        <v>0</v>
      </c>
      <c r="BQ152" s="5">
        <f>IF($BI152&lt;&gt;"",IF('Capacity summary'!$C$14="Yes",IF(COUNTBLANK('Capacity summary'!$H64:$BG64)&lt;52,IF('Capacity summary'!N64&lt;&gt;"",$BI152*N152,0),N152*$BI152),N152*$BI152),0)</f>
        <v>0</v>
      </c>
      <c r="BR152" s="5">
        <f>IF($BI152&lt;&gt;"",IF('Capacity summary'!$C$14="Yes",IF(COUNTBLANK('Capacity summary'!$H64:$BG64)&lt;52,IF('Capacity summary'!O64&lt;&gt;"",$BI152*O152,0),O152*$BI152),O152*$BI152),0)</f>
        <v>0</v>
      </c>
      <c r="BS152" s="5">
        <f>IF($BI152&lt;&gt;"",IF('Capacity summary'!$C$14="Yes",IF(COUNTBLANK('Capacity summary'!$H64:$BG64)&lt;52,IF('Capacity summary'!P64&lt;&gt;"",$BI152*P152,0),P152*$BI152),P152*$BI152),0)</f>
        <v>0</v>
      </c>
      <c r="BT152" s="5">
        <f>IF($BI152&lt;&gt;"",IF('Capacity summary'!$C$14="Yes",IF(COUNTBLANK('Capacity summary'!$H64:$BG64)&lt;52,IF('Capacity summary'!Q64&lt;&gt;"",$BI152*Q152,0),Q152*$BI152),Q152*$BI152),0)</f>
        <v>0</v>
      </c>
      <c r="BU152" s="5">
        <f>IF($BI152&lt;&gt;"",IF('Capacity summary'!$C$14="Yes",IF(COUNTBLANK('Capacity summary'!$H64:$BG64)&lt;52,IF('Capacity summary'!R64&lt;&gt;"",$BI152*R152,0),R152*$BI152),R152*$BI152),0)</f>
        <v>0</v>
      </c>
      <c r="BV152" s="5">
        <f>IF($BI152&lt;&gt;"",IF('Capacity summary'!$C$14="Yes",IF(COUNTBLANK('Capacity summary'!$H64:$BG64)&lt;52,IF('Capacity summary'!S64&lt;&gt;"",$BI152*S152,0),S152*$BI152),S152*$BI152),0)</f>
        <v>0</v>
      </c>
      <c r="BW152" s="5">
        <f>IF($BI152&lt;&gt;"",IF('Capacity summary'!$C$14="Yes",IF(COUNTBLANK('Capacity summary'!$H64:$BG64)&lt;52,IF('Capacity summary'!T64&lt;&gt;"",$BI152*T152,0),T152*$BI152),T152*$BI152),0)</f>
        <v>0</v>
      </c>
      <c r="BX152" s="5">
        <f>IF($BI152&lt;&gt;"",IF('Capacity summary'!$C$14="Yes",IF(COUNTBLANK('Capacity summary'!$H64:$BG64)&lt;52,IF('Capacity summary'!U64&lt;&gt;"",$BI152*U152,0),U152*$BI152),U152*$BI152),0)</f>
        <v>0</v>
      </c>
      <c r="BY152" s="5">
        <f>IF($BI152&lt;&gt;"",IF('Capacity summary'!$C$14="Yes",IF(COUNTBLANK('Capacity summary'!$H64:$BG64)&lt;52,IF('Capacity summary'!V64&lt;&gt;"",$BI152*V152,0),V152*$BI152),V152*$BI152),0)</f>
        <v>0</v>
      </c>
      <c r="BZ152" s="5">
        <f>IF($BI152&lt;&gt;"",IF('Capacity summary'!$C$14="Yes",IF(COUNTBLANK('Capacity summary'!$H64:$BG64)&lt;52,IF('Capacity summary'!W64&lt;&gt;"",$BI152*W152,0),W152*$BI152),W152*$BI152),0)</f>
        <v>0</v>
      </c>
      <c r="CA152" s="5">
        <f>IF($BI152&lt;&gt;"",IF('Capacity summary'!$C$14="Yes",IF(COUNTBLANK('Capacity summary'!$H64:$BG64)&lt;52,IF('Capacity summary'!X64&lt;&gt;"",$BI152*X152,0),X152*$BI152),X152*$BI152),0)</f>
        <v>0</v>
      </c>
      <c r="CB152" s="5">
        <f>IF($BI152&lt;&gt;"",IF('Capacity summary'!$C$14="Yes",IF(COUNTBLANK('Capacity summary'!$H64:$BG64)&lt;52,IF('Capacity summary'!Y64&lt;&gt;"",$BI152*Y152,0),Y152*$BI152),Y152*$BI152),0)</f>
        <v>0</v>
      </c>
      <c r="CC152" s="5">
        <f>IF($BI152&lt;&gt;"",IF('Capacity summary'!$C$14="Yes",IF(COUNTBLANK('Capacity summary'!$H64:$BG64)&lt;52,IF('Capacity summary'!Z64&lt;&gt;"",$BI152*Z152,0),Z152*$BI152),Z152*$BI152),0)</f>
        <v>0</v>
      </c>
      <c r="CD152" s="5">
        <f>IF($BI152&lt;&gt;"",IF('Capacity summary'!$C$14="Yes",IF(COUNTBLANK('Capacity summary'!$H64:$BG64)&lt;52,IF('Capacity summary'!AA64&lt;&gt;"",$BI152*AA152,0),AA152*$BI152),AA152*$BI152),0)</f>
        <v>0</v>
      </c>
      <c r="CE152" s="5">
        <f>IF($BI152&lt;&gt;"",IF('Capacity summary'!$C$14="Yes",IF(COUNTBLANK('Capacity summary'!$H64:$BG64)&lt;52,IF('Capacity summary'!AB64&lt;&gt;"",$BI152*AB152,0),AB152*$BI152),AB152*$BI152),0)</f>
        <v>0</v>
      </c>
      <c r="CF152" s="5">
        <f>IF($BI152&lt;&gt;"",IF('Capacity summary'!$C$14="Yes",IF(COUNTBLANK('Capacity summary'!$H64:$BG64)&lt;52,IF('Capacity summary'!AC64&lt;&gt;"",$BI152*AC152,0),AC152*$BI152),AC152*$BI152),0)</f>
        <v>0</v>
      </c>
      <c r="CG152" s="5">
        <f>IF($BI152&lt;&gt;"",IF('Capacity summary'!$C$14="Yes",IF(COUNTBLANK('Capacity summary'!$H64:$BG64)&lt;52,IF('Capacity summary'!AD64&lt;&gt;"",$BI152*AD152,0),AD152*$BI152),AD152*$BI152),0)</f>
        <v>0</v>
      </c>
      <c r="CH152" s="5">
        <f>IF($BI152&lt;&gt;"",IF('Capacity summary'!$C$14="Yes",IF(COUNTBLANK('Capacity summary'!$H64:$BG64)&lt;52,IF('Capacity summary'!AE64&lt;&gt;"",$BI152*AE152,0),AE152*$BI152),AE152*$BI152),0)</f>
        <v>0</v>
      </c>
      <c r="CI152" s="5">
        <f>IF($BI152&lt;&gt;"",IF('Capacity summary'!$C$14="Yes",IF(COUNTBLANK('Capacity summary'!$H64:$BG64)&lt;52,IF('Capacity summary'!AF64&lt;&gt;"",$BI152*AF152,0),AF152*$BI152),AF152*$BI152),0)</f>
        <v>0</v>
      </c>
      <c r="CJ152" s="5">
        <f>IF($BI152&lt;&gt;"",IF('Capacity summary'!$C$14="Yes",IF(COUNTBLANK('Capacity summary'!$H64:$BG64)&lt;52,IF('Capacity summary'!AG64&lt;&gt;"",$BI152*AG152,0),AG152*$BI152),AG152*$BI152),0)</f>
        <v>0</v>
      </c>
      <c r="CK152" s="5">
        <f>IF($BI152&lt;&gt;"",IF('Capacity summary'!$C$14="Yes",IF(COUNTBLANK('Capacity summary'!$H64:$BG64)&lt;52,IF('Capacity summary'!AH64&lt;&gt;"",$BI152*AH152,0),AH152*$BI152),AH152*$BI152),0)</f>
        <v>0</v>
      </c>
      <c r="CL152" s="5">
        <f>IF($BI152&lt;&gt;"",IF('Capacity summary'!$C$14="Yes",IF(COUNTBLANK('Capacity summary'!$H64:$BG64)&lt;52,IF('Capacity summary'!AI64&lt;&gt;"",$BI152*AI152,0),AI152*$BI152),AI152*$BI152),0)</f>
        <v>0</v>
      </c>
      <c r="CM152" s="5">
        <f>IF($BI152&lt;&gt;"",IF('Capacity summary'!$C$14="Yes",IF(COUNTBLANK('Capacity summary'!$H64:$BG64)&lt;52,IF('Capacity summary'!AJ64&lt;&gt;"",$BI152*AJ152,0),AJ152*$BI152),AJ152*$BI152),0)</f>
        <v>0</v>
      </c>
      <c r="CN152" s="5">
        <f>IF($BI152&lt;&gt;"",IF('Capacity summary'!$C$14="Yes",IF(COUNTBLANK('Capacity summary'!$H64:$BG64)&lt;52,IF('Capacity summary'!AK64&lt;&gt;"",$BI152*AK152,0),AK152*$BI152),AK152*$BI152),0)</f>
        <v>0</v>
      </c>
      <c r="CO152" s="5">
        <f>IF($BI152&lt;&gt;"",IF('Capacity summary'!$C$14="Yes",IF(COUNTBLANK('Capacity summary'!$H64:$BG64)&lt;52,IF('Capacity summary'!AL64&lt;&gt;"",$BI152*AL152,0),AL152*$BI152),AL152*$BI152),0)</f>
        <v>0</v>
      </c>
      <c r="CP152" s="5">
        <f>IF($BI152&lt;&gt;"",IF('Capacity summary'!$C$14="Yes",IF(COUNTBLANK('Capacity summary'!$H64:$BG64)&lt;52,IF('Capacity summary'!AM64&lt;&gt;"",$BI152*AM152,0),AM152*$BI152),AM152*$BI152),0)</f>
        <v>0</v>
      </c>
      <c r="CQ152" s="5">
        <f>IF($BI152&lt;&gt;"",IF('Capacity summary'!$C$14="Yes",IF(COUNTBLANK('Capacity summary'!$H64:$BG64)&lt;52,IF('Capacity summary'!AN64&lt;&gt;"",$BI152*AN152,0),AN152*$BI152),AN152*$BI152),0)</f>
        <v>0</v>
      </c>
      <c r="CR152" s="5">
        <f>IF($BI152&lt;&gt;"",IF('Capacity summary'!$C$14="Yes",IF(COUNTBLANK('Capacity summary'!$H64:$BG64)&lt;52,IF('Capacity summary'!AO64&lt;&gt;"",$BI152*AO152,0),AO152*$BI152),AO152*$BI152),0)</f>
        <v>0</v>
      </c>
      <c r="CS152" s="5">
        <f>IF($BI152&lt;&gt;"",IF('Capacity summary'!$C$14="Yes",IF(COUNTBLANK('Capacity summary'!$H64:$BG64)&lt;52,IF('Capacity summary'!AP64&lt;&gt;"",$BI152*AP152,0),AP152*$BI152),AP152*$BI152),0)</f>
        <v>0</v>
      </c>
      <c r="CT152" s="5">
        <f>IF($BI152&lt;&gt;"",IF('Capacity summary'!$C$14="Yes",IF(COUNTBLANK('Capacity summary'!$H64:$BG64)&lt;52,IF('Capacity summary'!AQ64&lt;&gt;"",$BI152*AQ152,0),AQ152*$BI152),AQ152*$BI152),0)</f>
        <v>0</v>
      </c>
      <c r="CU152" s="5">
        <f>IF($BI152&lt;&gt;"",IF('Capacity summary'!$C$14="Yes",IF(COUNTBLANK('Capacity summary'!$H64:$BG64)&lt;52,IF('Capacity summary'!AR64&lt;&gt;"",$BI152*AR152,0),AR152*$BI152),AR152*$BI152),0)</f>
        <v>0</v>
      </c>
      <c r="CV152" s="5">
        <f>IF($BI152&lt;&gt;"",IF('Capacity summary'!$C$14="Yes",IF(COUNTBLANK('Capacity summary'!$H64:$BG64)&lt;52,IF('Capacity summary'!AS64&lt;&gt;"",$BI152*AS152,0),AS152*$BI152),AS152*$BI152),0)</f>
        <v>0</v>
      </c>
      <c r="CW152" s="5">
        <f>IF($BI152&lt;&gt;"",IF('Capacity summary'!$C$14="Yes",IF(COUNTBLANK('Capacity summary'!$H64:$BG64)&lt;52,IF('Capacity summary'!AT64&lt;&gt;"",$BI152*AT152,0),AT152*$BI152),AT152*$BI152),0)</f>
        <v>0</v>
      </c>
      <c r="CX152" s="5">
        <f>IF($BI152&lt;&gt;"",IF('Capacity summary'!$C$14="Yes",IF(COUNTBLANK('Capacity summary'!$H64:$BG64)&lt;52,IF('Capacity summary'!AU64&lt;&gt;"",$BI152*AU152,0),AU152*$BI152),AU152*$BI152),0)</f>
        <v>0</v>
      </c>
      <c r="CY152" s="5">
        <f>IF($BI152&lt;&gt;"",IF('Capacity summary'!$C$14="Yes",IF(COUNTBLANK('Capacity summary'!$H64:$BG64)&lt;52,IF('Capacity summary'!AV64&lt;&gt;"",$BI152*AV152,0),AV152*$BI152),AV152*$BI152),0)</f>
        <v>0</v>
      </c>
      <c r="CZ152" s="5">
        <f>IF($BI152&lt;&gt;"",IF('Capacity summary'!$C$14="Yes",IF(COUNTBLANK('Capacity summary'!$H64:$BG64)&lt;52,IF('Capacity summary'!AW64&lt;&gt;"",$BI152*AW152,0),AW152*$BI152),AW152*$BI152),0)</f>
        <v>0</v>
      </c>
      <c r="DA152" s="5">
        <f>IF($BI152&lt;&gt;"",IF('Capacity summary'!$C$14="Yes",IF(COUNTBLANK('Capacity summary'!$H64:$BG64)&lt;52,IF('Capacity summary'!AX64&lt;&gt;"",$BI152*AX152,0),AX152*$BI152),AX152*$BI152),0)</f>
        <v>0</v>
      </c>
      <c r="DB152" s="5">
        <f>IF($BI152&lt;&gt;"",IF('Capacity summary'!$C$14="Yes",IF(COUNTBLANK('Capacity summary'!$H64:$BG64)&lt;52,IF('Capacity summary'!AY64&lt;&gt;"",$BI152*AY152,0),AY152*$BI152),AY152*$BI152),0)</f>
        <v>0</v>
      </c>
      <c r="DC152" s="5">
        <f>IF($BI152&lt;&gt;"",IF('Capacity summary'!$C$14="Yes",IF(COUNTBLANK('Capacity summary'!$H64:$BG64)&lt;52,IF('Capacity summary'!AZ64&lt;&gt;"",$BI152*AZ152,0),AZ152*$BI152),AZ152*$BI152),0)</f>
        <v>0</v>
      </c>
      <c r="DD152" s="5">
        <f>IF($BI152&lt;&gt;"",IF('Capacity summary'!$C$14="Yes",IF(COUNTBLANK('Capacity summary'!$H64:$BG64)&lt;52,IF('Capacity summary'!BA64&lt;&gt;"",$BI152*BA152,0),BA152*$BI152),BA152*$BI152),0)</f>
        <v>0</v>
      </c>
      <c r="DE152" s="5">
        <f>IF($BI152&lt;&gt;"",IF('Capacity summary'!$C$14="Yes",IF(COUNTBLANK('Capacity summary'!$H64:$BG64)&lt;52,IF('Capacity summary'!BB64&lt;&gt;"",$BI152*BB152,0),BB152*$BI152),BB152*$BI152),0)</f>
        <v>0</v>
      </c>
      <c r="DF152" s="5">
        <f>IF($BI152&lt;&gt;"",IF('Capacity summary'!$C$14="Yes",IF(COUNTBLANK('Capacity summary'!$H64:$BG64)&lt;52,IF('Capacity summary'!BC64&lt;&gt;"",$BI152*BC152,0),BC152*$BI152),BC152*$BI152),0)</f>
        <v>0</v>
      </c>
      <c r="DG152" s="5">
        <f>IF($BI152&lt;&gt;"",IF('Capacity summary'!$C$14="Yes",IF(COUNTBLANK('Capacity summary'!$H64:$BG64)&lt;52,IF('Capacity summary'!BD64&lt;&gt;"",$BI152*BD152,0),BD152*$BI152),BD152*$BI152),0)</f>
        <v>0</v>
      </c>
      <c r="DH152" s="5">
        <f>IF($BI152&lt;&gt;"",IF('Capacity summary'!$C$14="Yes",IF(COUNTBLANK('Capacity summary'!$H64:$BG64)&lt;52,IF('Capacity summary'!BE64&lt;&gt;"",$BI152*BE152,0),BE152*$BI152),BE152*$BI152),0)</f>
        <v>0</v>
      </c>
      <c r="DI152" s="5">
        <f>IF($BI152&lt;&gt;"",IF('Capacity summary'!$C$14="Yes",IF(COUNTBLANK('Capacity summary'!$H64:$BG64)&lt;52,IF('Capacity summary'!BF64&lt;&gt;"",$BI152*BF152,0),BF152*$BI152),BF152*$BI152),0)</f>
        <v>0</v>
      </c>
      <c r="DJ152" s="5">
        <f>IF($BI152&lt;&gt;"",IF('Capacity summary'!$C$14="Yes",IF(COUNTBLANK('Capacity summary'!$H64:$BG64)&lt;52,IF('Capacity summary'!BG64&lt;&gt;"",$BI152*BG152,0),BG152*$BI152),BG152*$BI152),0)</f>
        <v>0</v>
      </c>
      <c r="DK152" s="138">
        <f t="shared" si="6"/>
        <v>0</v>
      </c>
    </row>
    <row r="153" spans="3:115" x14ac:dyDescent="0.2">
      <c r="C153" s="68" t="str">
        <f>ROW(A42)&amp;". "&amp;Capacity!N58</f>
        <v xml:space="preserve">42. </v>
      </c>
      <c r="D153" s="68">
        <f>'Capacity setup'!C159</f>
        <v>0</v>
      </c>
      <c r="E153" s="68">
        <f>'Capacity setup'!D159</f>
        <v>0</v>
      </c>
      <c r="F153" s="68">
        <f>'Capacity setup'!E159</f>
        <v>0</v>
      </c>
      <c r="H153" s="68">
        <f ca="1">IF(AND(SUMIF(Capacity_Resource,$D153,'Critical resources (hide)'!U$6:U$105)+SUMIF(Capacity_Resource,$E153,'Critical resources (hide)'!U$6:U$105)+SUMIF(Capacity_Resource,$F153,'Critical resources (hide)'!U$6:U$105)&gt;0,$E$1=2),0,1)</f>
        <v>1</v>
      </c>
      <c r="I153" s="68">
        <f ca="1">IF(AND(SUMIF(Capacity_Resource,$D153,'Critical resources (hide)'!V$6:V$105)+SUMIF(Capacity_Resource,$E153,'Critical resources (hide)'!V$6:V$105)+SUMIF(Capacity_Resource,$F153,'Critical resources (hide)'!V$6:V$105)&gt;0,$E$1=2),0,1)</f>
        <v>1</v>
      </c>
      <c r="J153" s="68">
        <f ca="1">IF(AND(SUMIF(Capacity_Resource,$D153,'Critical resources (hide)'!W$6:W$105)+SUMIF(Capacity_Resource,$E153,'Critical resources (hide)'!W$6:W$105)+SUMIF(Capacity_Resource,$F153,'Critical resources (hide)'!W$6:W$105)&gt;0,$E$1=2),0,1)</f>
        <v>1</v>
      </c>
      <c r="K153" s="68">
        <f ca="1">IF(AND(SUMIF(Capacity_Resource,$D153,'Critical resources (hide)'!X$6:X$105)+SUMIF(Capacity_Resource,$E153,'Critical resources (hide)'!X$6:X$105)+SUMIF(Capacity_Resource,$F153,'Critical resources (hide)'!X$6:X$105)&gt;0,$E$1=2),0,1)</f>
        <v>1</v>
      </c>
      <c r="L153" s="68">
        <f ca="1">IF(AND(SUMIF(Capacity_Resource,$D153,'Critical resources (hide)'!Y$6:Y$105)+SUMIF(Capacity_Resource,$E153,'Critical resources (hide)'!Y$6:Y$105)+SUMIF(Capacity_Resource,$F153,'Critical resources (hide)'!Y$6:Y$105)&gt;0,$E$1=2),0,1)</f>
        <v>1</v>
      </c>
      <c r="M153" s="68">
        <f ca="1">IF(AND(SUMIF(Capacity_Resource,$D153,'Critical resources (hide)'!Z$6:Z$105)+SUMIF(Capacity_Resource,$E153,'Critical resources (hide)'!Z$6:Z$105)+SUMIF(Capacity_Resource,$F153,'Critical resources (hide)'!Z$6:Z$105)&gt;0,$E$1=2),0,1)</f>
        <v>1</v>
      </c>
      <c r="N153" s="68">
        <f ca="1">IF(AND(SUMIF(Capacity_Resource,$D153,'Critical resources (hide)'!AA$6:AA$105)+SUMIF(Capacity_Resource,$E153,'Critical resources (hide)'!AA$6:AA$105)+SUMIF(Capacity_Resource,$F153,'Critical resources (hide)'!AA$6:AA$105)&gt;0,$E$1=2),0,1)</f>
        <v>1</v>
      </c>
      <c r="O153" s="68">
        <f ca="1">IF(AND(SUMIF(Capacity_Resource,$D153,'Critical resources (hide)'!AB$6:AB$105)+SUMIF(Capacity_Resource,$E153,'Critical resources (hide)'!AB$6:AB$105)+SUMIF(Capacity_Resource,$F153,'Critical resources (hide)'!AB$6:AB$105)&gt;0,$E$1=2),0,1)</f>
        <v>1</v>
      </c>
      <c r="P153" s="68">
        <f ca="1">IF(AND(SUMIF(Capacity_Resource,$D153,'Critical resources (hide)'!AC$6:AC$105)+SUMIF(Capacity_Resource,$E153,'Critical resources (hide)'!AC$6:AC$105)+SUMIF(Capacity_Resource,$F153,'Critical resources (hide)'!AC$6:AC$105)&gt;0,$E$1=2),0,1)</f>
        <v>1</v>
      </c>
      <c r="Q153" s="68">
        <f ca="1">IF(AND(SUMIF(Capacity_Resource,$D153,'Critical resources (hide)'!AD$6:AD$105)+SUMIF(Capacity_Resource,$E153,'Critical resources (hide)'!AD$6:AD$105)+SUMIF(Capacity_Resource,$F153,'Critical resources (hide)'!AD$6:AD$105)&gt;0,$E$1=2),0,1)</f>
        <v>1</v>
      </c>
      <c r="R153" s="68">
        <f ca="1">IF(AND(SUMIF(Capacity_Resource,$D153,'Critical resources (hide)'!AE$6:AE$105)+SUMIF(Capacity_Resource,$E153,'Critical resources (hide)'!AE$6:AE$105)+SUMIF(Capacity_Resource,$F153,'Critical resources (hide)'!AE$6:AE$105)&gt;0,$E$1=2),0,1)</f>
        <v>1</v>
      </c>
      <c r="S153" s="68">
        <f ca="1">IF(AND(SUMIF(Capacity_Resource,$D153,'Critical resources (hide)'!AF$6:AF$105)+SUMIF(Capacity_Resource,$E153,'Critical resources (hide)'!AF$6:AF$105)+SUMIF(Capacity_Resource,$F153,'Critical resources (hide)'!AF$6:AF$105)&gt;0,$E$1=2),0,1)</f>
        <v>1</v>
      </c>
      <c r="T153" s="68">
        <f ca="1">IF(AND(SUMIF(Capacity_Resource,$D153,'Critical resources (hide)'!AG$6:AG$105)+SUMIF(Capacity_Resource,$E153,'Critical resources (hide)'!AG$6:AG$105)+SUMIF(Capacity_Resource,$F153,'Critical resources (hide)'!AG$6:AG$105)&gt;0,$E$1=2),0,1)</f>
        <v>1</v>
      </c>
      <c r="U153" s="68">
        <f ca="1">IF(AND(SUMIF(Capacity_Resource,$D153,'Critical resources (hide)'!AH$6:AH$105)+SUMIF(Capacity_Resource,$E153,'Critical resources (hide)'!AH$6:AH$105)+SUMIF(Capacity_Resource,$F153,'Critical resources (hide)'!AH$6:AH$105)&gt;0,$E$1=2),0,1)</f>
        <v>1</v>
      </c>
      <c r="V153" s="68">
        <f ca="1">IF(AND(SUMIF(Capacity_Resource,$D153,'Critical resources (hide)'!AI$6:AI$105)+SUMIF(Capacity_Resource,$E153,'Critical resources (hide)'!AI$6:AI$105)+SUMIF(Capacity_Resource,$F153,'Critical resources (hide)'!AI$6:AI$105)&gt;0,$E$1=2),0,1)</f>
        <v>1</v>
      </c>
      <c r="W153" s="68">
        <f ca="1">IF(AND(SUMIF(Capacity_Resource,$D153,'Critical resources (hide)'!AJ$6:AJ$105)+SUMIF(Capacity_Resource,$E153,'Critical resources (hide)'!AJ$6:AJ$105)+SUMIF(Capacity_Resource,$F153,'Critical resources (hide)'!AJ$6:AJ$105)&gt;0,$E$1=2),0,1)</f>
        <v>1</v>
      </c>
      <c r="X153" s="68">
        <f ca="1">IF(AND(SUMIF(Capacity_Resource,$D153,'Critical resources (hide)'!AK$6:AK$105)+SUMIF(Capacity_Resource,$E153,'Critical resources (hide)'!AK$6:AK$105)+SUMIF(Capacity_Resource,$F153,'Critical resources (hide)'!AK$6:AK$105)&gt;0,$E$1=2),0,1)</f>
        <v>1</v>
      </c>
      <c r="Y153" s="68">
        <f ca="1">IF(AND(SUMIF(Capacity_Resource,$D153,'Critical resources (hide)'!AL$6:AL$105)+SUMIF(Capacity_Resource,$E153,'Critical resources (hide)'!AL$6:AL$105)+SUMIF(Capacity_Resource,$F153,'Critical resources (hide)'!AL$6:AL$105)&gt;0,$E$1=2),0,1)</f>
        <v>1</v>
      </c>
      <c r="Z153" s="68">
        <f ca="1">IF(AND(SUMIF(Capacity_Resource,$D153,'Critical resources (hide)'!AM$6:AM$105)+SUMIF(Capacity_Resource,$E153,'Critical resources (hide)'!AM$6:AM$105)+SUMIF(Capacity_Resource,$F153,'Critical resources (hide)'!AM$6:AM$105)&gt;0,$E$1=2),0,1)</f>
        <v>1</v>
      </c>
      <c r="AA153" s="68">
        <f ca="1">IF(AND(SUMIF(Capacity_Resource,$D153,'Critical resources (hide)'!AN$6:AN$105)+SUMIF(Capacity_Resource,$E153,'Critical resources (hide)'!AN$6:AN$105)+SUMIF(Capacity_Resource,$F153,'Critical resources (hide)'!AN$6:AN$105)&gt;0,$E$1=2),0,1)</f>
        <v>1</v>
      </c>
      <c r="AB153" s="68">
        <f ca="1">IF(AND(SUMIF(Capacity_Resource,$D153,'Critical resources (hide)'!AO$6:AO$105)+SUMIF(Capacity_Resource,$E153,'Critical resources (hide)'!AO$6:AO$105)+SUMIF(Capacity_Resource,$F153,'Critical resources (hide)'!AO$6:AO$105)&gt;0,$E$1=2),0,1)</f>
        <v>1</v>
      </c>
      <c r="AC153" s="68">
        <f ca="1">IF(AND(SUMIF(Capacity_Resource,$D153,'Critical resources (hide)'!AP$6:AP$105)+SUMIF(Capacity_Resource,$E153,'Critical resources (hide)'!AP$6:AP$105)+SUMIF(Capacity_Resource,$F153,'Critical resources (hide)'!AP$6:AP$105)&gt;0,$E$1=2),0,1)</f>
        <v>1</v>
      </c>
      <c r="AD153" s="68">
        <f ca="1">IF(AND(SUMIF(Capacity_Resource,$D153,'Critical resources (hide)'!AQ$6:AQ$105)+SUMIF(Capacity_Resource,$E153,'Critical resources (hide)'!AQ$6:AQ$105)+SUMIF(Capacity_Resource,$F153,'Critical resources (hide)'!AQ$6:AQ$105)&gt;0,$E$1=2),0,1)</f>
        <v>1</v>
      </c>
      <c r="AE153" s="68">
        <f ca="1">IF(AND(SUMIF(Capacity_Resource,$D153,'Critical resources (hide)'!AR$6:AR$105)+SUMIF(Capacity_Resource,$E153,'Critical resources (hide)'!AR$6:AR$105)+SUMIF(Capacity_Resource,$F153,'Critical resources (hide)'!AR$6:AR$105)&gt;0,$E$1=2),0,1)</f>
        <v>1</v>
      </c>
      <c r="AF153" s="68">
        <f ca="1">IF(AND(SUMIF(Capacity_Resource,$D153,'Critical resources (hide)'!AS$6:AS$105)+SUMIF(Capacity_Resource,$E153,'Critical resources (hide)'!AS$6:AS$105)+SUMIF(Capacity_Resource,$F153,'Critical resources (hide)'!AS$6:AS$105)&gt;0,$E$1=2),0,1)</f>
        <v>1</v>
      </c>
      <c r="AG153" s="68">
        <f ca="1">IF(AND(SUMIF(Capacity_Resource,$D153,'Critical resources (hide)'!AT$6:AT$105)+SUMIF(Capacity_Resource,$E153,'Critical resources (hide)'!AT$6:AT$105)+SUMIF(Capacity_Resource,$F153,'Critical resources (hide)'!AT$6:AT$105)&gt;0,$E$1=2),0,1)</f>
        <v>1</v>
      </c>
      <c r="AH153" s="68">
        <f ca="1">IF(AND(SUMIF(Capacity_Resource,$D153,'Critical resources (hide)'!AU$6:AU$105)+SUMIF(Capacity_Resource,$E153,'Critical resources (hide)'!AU$6:AU$105)+SUMIF(Capacity_Resource,$F153,'Critical resources (hide)'!AU$6:AU$105)&gt;0,$E$1=2),0,1)</f>
        <v>1</v>
      </c>
      <c r="AI153" s="68">
        <f ca="1">IF(AND(SUMIF(Capacity_Resource,$D153,'Critical resources (hide)'!AV$6:AV$105)+SUMIF(Capacity_Resource,$E153,'Critical resources (hide)'!AV$6:AV$105)+SUMIF(Capacity_Resource,$F153,'Critical resources (hide)'!AV$6:AV$105)&gt;0,$E$1=2),0,1)</f>
        <v>1</v>
      </c>
      <c r="AJ153" s="68">
        <f ca="1">IF(AND(SUMIF(Capacity_Resource,$D153,'Critical resources (hide)'!AW$6:AW$105)+SUMIF(Capacity_Resource,$E153,'Critical resources (hide)'!AW$6:AW$105)+SUMIF(Capacity_Resource,$F153,'Critical resources (hide)'!AW$6:AW$105)&gt;0,$E$1=2),0,1)</f>
        <v>1</v>
      </c>
      <c r="AK153" s="68">
        <f ca="1">IF(AND(SUMIF(Capacity_Resource,$D153,'Critical resources (hide)'!AX$6:AX$105)+SUMIF(Capacity_Resource,$E153,'Critical resources (hide)'!AX$6:AX$105)+SUMIF(Capacity_Resource,$F153,'Critical resources (hide)'!AX$6:AX$105)&gt;0,$E$1=2),0,1)</f>
        <v>1</v>
      </c>
      <c r="AL153" s="68">
        <f ca="1">IF(AND(SUMIF(Capacity_Resource,$D153,'Critical resources (hide)'!AY$6:AY$105)+SUMIF(Capacity_Resource,$E153,'Critical resources (hide)'!AY$6:AY$105)+SUMIF(Capacity_Resource,$F153,'Critical resources (hide)'!AY$6:AY$105)&gt;0,$E$1=2),0,1)</f>
        <v>1</v>
      </c>
      <c r="AM153" s="68">
        <f ca="1">IF(AND(SUMIF(Capacity_Resource,$D153,'Critical resources (hide)'!AZ$6:AZ$105)+SUMIF(Capacity_Resource,$E153,'Critical resources (hide)'!AZ$6:AZ$105)+SUMIF(Capacity_Resource,$F153,'Critical resources (hide)'!AZ$6:AZ$105)&gt;0,$E$1=2),0,1)</f>
        <v>1</v>
      </c>
      <c r="AN153" s="68">
        <f ca="1">IF(AND(SUMIF(Capacity_Resource,$D153,'Critical resources (hide)'!BA$6:BA$105)+SUMIF(Capacity_Resource,$E153,'Critical resources (hide)'!BA$6:BA$105)+SUMIF(Capacity_Resource,$F153,'Critical resources (hide)'!BA$6:BA$105)&gt;0,$E$1=2),0,1)</f>
        <v>1</v>
      </c>
      <c r="AO153" s="68">
        <f ca="1">IF(AND(SUMIF(Capacity_Resource,$D153,'Critical resources (hide)'!BB$6:BB$105)+SUMIF(Capacity_Resource,$E153,'Critical resources (hide)'!BB$6:BB$105)+SUMIF(Capacity_Resource,$F153,'Critical resources (hide)'!BB$6:BB$105)&gt;0,$E$1=2),0,1)</f>
        <v>1</v>
      </c>
      <c r="AP153" s="68">
        <f ca="1">IF(AND(SUMIF(Capacity_Resource,$D153,'Critical resources (hide)'!BC$6:BC$105)+SUMIF(Capacity_Resource,$E153,'Critical resources (hide)'!BC$6:BC$105)+SUMIF(Capacity_Resource,$F153,'Critical resources (hide)'!BC$6:BC$105)&gt;0,$E$1=2),0,1)</f>
        <v>1</v>
      </c>
      <c r="AQ153" s="68">
        <f ca="1">IF(AND(SUMIF(Capacity_Resource,$D153,'Critical resources (hide)'!BD$6:BD$105)+SUMIF(Capacity_Resource,$E153,'Critical resources (hide)'!BD$6:BD$105)+SUMIF(Capacity_Resource,$F153,'Critical resources (hide)'!BD$6:BD$105)&gt;0,$E$1=2),0,1)</f>
        <v>1</v>
      </c>
      <c r="AR153" s="68">
        <f ca="1">IF(AND(SUMIF(Capacity_Resource,$D153,'Critical resources (hide)'!BE$6:BE$105)+SUMIF(Capacity_Resource,$E153,'Critical resources (hide)'!BE$6:BE$105)+SUMIF(Capacity_Resource,$F153,'Critical resources (hide)'!BE$6:BE$105)&gt;0,$E$1=2),0,1)</f>
        <v>1</v>
      </c>
      <c r="AS153" s="68">
        <f ca="1">IF(AND(SUMIF(Capacity_Resource,$D153,'Critical resources (hide)'!BF$6:BF$105)+SUMIF(Capacity_Resource,$E153,'Critical resources (hide)'!BF$6:BF$105)+SUMIF(Capacity_Resource,$F153,'Critical resources (hide)'!BF$6:BF$105)&gt;0,$E$1=2),0,1)</f>
        <v>1</v>
      </c>
      <c r="AT153" s="68">
        <f ca="1">IF(AND(SUMIF(Capacity_Resource,$D153,'Critical resources (hide)'!BG$6:BG$105)+SUMIF(Capacity_Resource,$E153,'Critical resources (hide)'!BG$6:BG$105)+SUMIF(Capacity_Resource,$F153,'Critical resources (hide)'!BG$6:BG$105)&gt;0,$E$1=2),0,1)</f>
        <v>1</v>
      </c>
      <c r="AU153" s="68">
        <f ca="1">IF(AND(SUMIF(Capacity_Resource,$D153,'Critical resources (hide)'!BH$6:BH$105)+SUMIF(Capacity_Resource,$E153,'Critical resources (hide)'!BH$6:BH$105)+SUMIF(Capacity_Resource,$F153,'Critical resources (hide)'!BH$6:BH$105)&gt;0,$E$1=2),0,1)</f>
        <v>1</v>
      </c>
      <c r="AV153" s="68">
        <f ca="1">IF(AND(SUMIF(Capacity_Resource,$D153,'Critical resources (hide)'!BI$6:BI$105)+SUMIF(Capacity_Resource,$E153,'Critical resources (hide)'!BI$6:BI$105)+SUMIF(Capacity_Resource,$F153,'Critical resources (hide)'!BI$6:BI$105)&gt;0,$E$1=2),0,1)</f>
        <v>1</v>
      </c>
      <c r="AW153" s="68">
        <f ca="1">IF(AND(SUMIF(Capacity_Resource,$D153,'Critical resources (hide)'!BJ$6:BJ$105)+SUMIF(Capacity_Resource,$E153,'Critical resources (hide)'!BJ$6:BJ$105)+SUMIF(Capacity_Resource,$F153,'Critical resources (hide)'!BJ$6:BJ$105)&gt;0,$E$1=2),0,1)</f>
        <v>1</v>
      </c>
      <c r="AX153" s="68">
        <f ca="1">IF(AND(SUMIF(Capacity_Resource,$D153,'Critical resources (hide)'!BK$6:BK$105)+SUMIF(Capacity_Resource,$E153,'Critical resources (hide)'!BK$6:BK$105)+SUMIF(Capacity_Resource,$F153,'Critical resources (hide)'!BK$6:BK$105)&gt;0,$E$1=2),0,1)</f>
        <v>1</v>
      </c>
      <c r="AY153" s="68">
        <f ca="1">IF(AND(SUMIF(Capacity_Resource,$D153,'Critical resources (hide)'!BL$6:BL$105)+SUMIF(Capacity_Resource,$E153,'Critical resources (hide)'!BL$6:BL$105)+SUMIF(Capacity_Resource,$F153,'Critical resources (hide)'!BL$6:BL$105)&gt;0,$E$1=2),0,1)</f>
        <v>1</v>
      </c>
      <c r="AZ153" s="68">
        <f ca="1">IF(AND(SUMIF(Capacity_Resource,$D153,'Critical resources (hide)'!BM$6:BM$105)+SUMIF(Capacity_Resource,$E153,'Critical resources (hide)'!BM$6:BM$105)+SUMIF(Capacity_Resource,$F153,'Critical resources (hide)'!BM$6:BM$105)&gt;0,$E$1=2),0,1)</f>
        <v>1</v>
      </c>
      <c r="BA153" s="68">
        <f ca="1">IF(AND(SUMIF(Capacity_Resource,$D153,'Critical resources (hide)'!BN$6:BN$105)+SUMIF(Capacity_Resource,$E153,'Critical resources (hide)'!BN$6:BN$105)+SUMIF(Capacity_Resource,$F153,'Critical resources (hide)'!BN$6:BN$105)&gt;0,$E$1=2),0,1)</f>
        <v>1</v>
      </c>
      <c r="BB153" s="68">
        <f ca="1">IF(AND(SUMIF(Capacity_Resource,$D153,'Critical resources (hide)'!BO$6:BO$105)+SUMIF(Capacity_Resource,$E153,'Critical resources (hide)'!BO$6:BO$105)+SUMIF(Capacity_Resource,$F153,'Critical resources (hide)'!BO$6:BO$105)&gt;0,$E$1=2),0,1)</f>
        <v>1</v>
      </c>
      <c r="BC153" s="68">
        <f ca="1">IF(AND(SUMIF(Capacity_Resource,$D153,'Critical resources (hide)'!BP$6:BP$105)+SUMIF(Capacity_Resource,$E153,'Critical resources (hide)'!BP$6:BP$105)+SUMIF(Capacity_Resource,$F153,'Critical resources (hide)'!BP$6:BP$105)&gt;0,$E$1=2),0,1)</f>
        <v>1</v>
      </c>
      <c r="BD153" s="68">
        <f ca="1">IF(AND(SUMIF(Capacity_Resource,$D153,'Critical resources (hide)'!BQ$6:BQ$105)+SUMIF(Capacity_Resource,$E153,'Critical resources (hide)'!BQ$6:BQ$105)+SUMIF(Capacity_Resource,$F153,'Critical resources (hide)'!BQ$6:BQ$105)&gt;0,$E$1=2),0,1)</f>
        <v>1</v>
      </c>
      <c r="BE153" s="68">
        <f ca="1">IF(AND(SUMIF(Capacity_Resource,$D153,'Critical resources (hide)'!BR$6:BR$105)+SUMIF(Capacity_Resource,$E153,'Critical resources (hide)'!BR$6:BR$105)+SUMIF(Capacity_Resource,$F153,'Critical resources (hide)'!BR$6:BR$105)&gt;0,$E$1=2),0,1)</f>
        <v>1</v>
      </c>
      <c r="BF153" s="68">
        <f ca="1">IF(AND(SUMIF(Capacity_Resource,$D153,'Critical resources (hide)'!BS$6:BS$105)+SUMIF(Capacity_Resource,$E153,'Critical resources (hide)'!BS$6:BS$105)+SUMIF(Capacity_Resource,$F153,'Critical resources (hide)'!BS$6:BS$105)&gt;0,$E$1=2),0,1)</f>
        <v>1</v>
      </c>
      <c r="BG153" s="68">
        <f ca="1">IF(AND(SUMIF(Capacity_Resource,$D153,'Critical resources (hide)'!BT$6:BT$105)+SUMIF(Capacity_Resource,$E153,'Critical resources (hide)'!BT$6:BT$105)+SUMIF(Capacity_Resource,$F153,'Critical resources (hide)'!BT$6:BT$105)&gt;0,$E$1=2),0,1)</f>
        <v>1</v>
      </c>
      <c r="BH153" s="68">
        <f>IF(ROW(A42)&lt;=Capacity!$M$16,IF('Capacity summary'!$C$14="No",SUM(H153:BG153),'Capacity summary'!$E65),0)</f>
        <v>0</v>
      </c>
      <c r="BI153" s="68" t="str">
        <f>IF(BH153&gt;0,IF(BH153&lt;Capacity!Q58,Capacity!R58,Capacity!T58/'Capacity calculation (hide)'!BH153),"")</f>
        <v/>
      </c>
      <c r="BJ153" s="5"/>
      <c r="BK153" s="5">
        <f>IF($BI153&lt;&gt;"",IF('Capacity summary'!$C$14="Yes",IF(COUNTBLANK('Capacity summary'!$H65:$BG65)&lt;52,IF('Capacity summary'!H65&lt;&gt;"",$BI153*H153,0),H153*$BI153),H153*$BI153),0)</f>
        <v>0</v>
      </c>
      <c r="BL153" s="5">
        <f>IF($BI153&lt;&gt;"",IF('Capacity summary'!$C$14="Yes",IF(COUNTBLANK('Capacity summary'!$H65:$BG65)&lt;52,IF('Capacity summary'!I65&lt;&gt;"",$BI153*I153,0),I153*$BI153),I153*$BI153),0)</f>
        <v>0</v>
      </c>
      <c r="BM153" s="5">
        <f>IF($BI153&lt;&gt;"",IF('Capacity summary'!$C$14="Yes",IF(COUNTBLANK('Capacity summary'!$H65:$BG65)&lt;52,IF('Capacity summary'!J65&lt;&gt;"",$BI153*J153,0),J153*$BI153),J153*$BI153),0)</f>
        <v>0</v>
      </c>
      <c r="BN153" s="5">
        <f>IF($BI153&lt;&gt;"",IF('Capacity summary'!$C$14="Yes",IF(COUNTBLANK('Capacity summary'!$H65:$BG65)&lt;52,IF('Capacity summary'!K65&lt;&gt;"",$BI153*K153,0),K153*$BI153),K153*$BI153),0)</f>
        <v>0</v>
      </c>
      <c r="BO153" s="5">
        <f>IF($BI153&lt;&gt;"",IF('Capacity summary'!$C$14="Yes",IF(COUNTBLANK('Capacity summary'!$H65:$BG65)&lt;52,IF('Capacity summary'!L65&lt;&gt;"",$BI153*L153,0),L153*$BI153),L153*$BI153),0)</f>
        <v>0</v>
      </c>
      <c r="BP153" s="5">
        <f>IF($BI153&lt;&gt;"",IF('Capacity summary'!$C$14="Yes",IF(COUNTBLANK('Capacity summary'!$H65:$BG65)&lt;52,IF('Capacity summary'!M65&lt;&gt;"",$BI153*M153,0),M153*$BI153),M153*$BI153),0)</f>
        <v>0</v>
      </c>
      <c r="BQ153" s="5">
        <f>IF($BI153&lt;&gt;"",IF('Capacity summary'!$C$14="Yes",IF(COUNTBLANK('Capacity summary'!$H65:$BG65)&lt;52,IF('Capacity summary'!N65&lt;&gt;"",$BI153*N153,0),N153*$BI153),N153*$BI153),0)</f>
        <v>0</v>
      </c>
      <c r="BR153" s="5">
        <f>IF($BI153&lt;&gt;"",IF('Capacity summary'!$C$14="Yes",IF(COUNTBLANK('Capacity summary'!$H65:$BG65)&lt;52,IF('Capacity summary'!O65&lt;&gt;"",$BI153*O153,0),O153*$BI153),O153*$BI153),0)</f>
        <v>0</v>
      </c>
      <c r="BS153" s="5">
        <f>IF($BI153&lt;&gt;"",IF('Capacity summary'!$C$14="Yes",IF(COUNTBLANK('Capacity summary'!$H65:$BG65)&lt;52,IF('Capacity summary'!P65&lt;&gt;"",$BI153*P153,0),P153*$BI153),P153*$BI153),0)</f>
        <v>0</v>
      </c>
      <c r="BT153" s="5">
        <f>IF($BI153&lt;&gt;"",IF('Capacity summary'!$C$14="Yes",IF(COUNTBLANK('Capacity summary'!$H65:$BG65)&lt;52,IF('Capacity summary'!Q65&lt;&gt;"",$BI153*Q153,0),Q153*$BI153),Q153*$BI153),0)</f>
        <v>0</v>
      </c>
      <c r="BU153" s="5">
        <f>IF($BI153&lt;&gt;"",IF('Capacity summary'!$C$14="Yes",IF(COUNTBLANK('Capacity summary'!$H65:$BG65)&lt;52,IF('Capacity summary'!R65&lt;&gt;"",$BI153*R153,0),R153*$BI153),R153*$BI153),0)</f>
        <v>0</v>
      </c>
      <c r="BV153" s="5">
        <f>IF($BI153&lt;&gt;"",IF('Capacity summary'!$C$14="Yes",IF(COUNTBLANK('Capacity summary'!$H65:$BG65)&lt;52,IF('Capacity summary'!S65&lt;&gt;"",$BI153*S153,0),S153*$BI153),S153*$BI153),0)</f>
        <v>0</v>
      </c>
      <c r="BW153" s="5">
        <f>IF($BI153&lt;&gt;"",IF('Capacity summary'!$C$14="Yes",IF(COUNTBLANK('Capacity summary'!$H65:$BG65)&lt;52,IF('Capacity summary'!T65&lt;&gt;"",$BI153*T153,0),T153*$BI153),T153*$BI153),0)</f>
        <v>0</v>
      </c>
      <c r="BX153" s="5">
        <f>IF($BI153&lt;&gt;"",IF('Capacity summary'!$C$14="Yes",IF(COUNTBLANK('Capacity summary'!$H65:$BG65)&lt;52,IF('Capacity summary'!U65&lt;&gt;"",$BI153*U153,0),U153*$BI153),U153*$BI153),0)</f>
        <v>0</v>
      </c>
      <c r="BY153" s="5">
        <f>IF($BI153&lt;&gt;"",IF('Capacity summary'!$C$14="Yes",IF(COUNTBLANK('Capacity summary'!$H65:$BG65)&lt;52,IF('Capacity summary'!V65&lt;&gt;"",$BI153*V153,0),V153*$BI153),V153*$BI153),0)</f>
        <v>0</v>
      </c>
      <c r="BZ153" s="5">
        <f>IF($BI153&lt;&gt;"",IF('Capacity summary'!$C$14="Yes",IF(COUNTBLANK('Capacity summary'!$H65:$BG65)&lt;52,IF('Capacity summary'!W65&lt;&gt;"",$BI153*W153,0),W153*$BI153),W153*$BI153),0)</f>
        <v>0</v>
      </c>
      <c r="CA153" s="5">
        <f>IF($BI153&lt;&gt;"",IF('Capacity summary'!$C$14="Yes",IF(COUNTBLANK('Capacity summary'!$H65:$BG65)&lt;52,IF('Capacity summary'!X65&lt;&gt;"",$BI153*X153,0),X153*$BI153),X153*$BI153),0)</f>
        <v>0</v>
      </c>
      <c r="CB153" s="5">
        <f>IF($BI153&lt;&gt;"",IF('Capacity summary'!$C$14="Yes",IF(COUNTBLANK('Capacity summary'!$H65:$BG65)&lt;52,IF('Capacity summary'!Y65&lt;&gt;"",$BI153*Y153,0),Y153*$BI153),Y153*$BI153),0)</f>
        <v>0</v>
      </c>
      <c r="CC153" s="5">
        <f>IF($BI153&lt;&gt;"",IF('Capacity summary'!$C$14="Yes",IF(COUNTBLANK('Capacity summary'!$H65:$BG65)&lt;52,IF('Capacity summary'!Z65&lt;&gt;"",$BI153*Z153,0),Z153*$BI153),Z153*$BI153),0)</f>
        <v>0</v>
      </c>
      <c r="CD153" s="5">
        <f>IF($BI153&lt;&gt;"",IF('Capacity summary'!$C$14="Yes",IF(COUNTBLANK('Capacity summary'!$H65:$BG65)&lt;52,IF('Capacity summary'!AA65&lt;&gt;"",$BI153*AA153,0),AA153*$BI153),AA153*$BI153),0)</f>
        <v>0</v>
      </c>
      <c r="CE153" s="5">
        <f>IF($BI153&lt;&gt;"",IF('Capacity summary'!$C$14="Yes",IF(COUNTBLANK('Capacity summary'!$H65:$BG65)&lt;52,IF('Capacity summary'!AB65&lt;&gt;"",$BI153*AB153,0),AB153*$BI153),AB153*$BI153),0)</f>
        <v>0</v>
      </c>
      <c r="CF153" s="5">
        <f>IF($BI153&lt;&gt;"",IF('Capacity summary'!$C$14="Yes",IF(COUNTBLANK('Capacity summary'!$H65:$BG65)&lt;52,IF('Capacity summary'!AC65&lt;&gt;"",$BI153*AC153,0),AC153*$BI153),AC153*$BI153),0)</f>
        <v>0</v>
      </c>
      <c r="CG153" s="5">
        <f>IF($BI153&lt;&gt;"",IF('Capacity summary'!$C$14="Yes",IF(COUNTBLANK('Capacity summary'!$H65:$BG65)&lt;52,IF('Capacity summary'!AD65&lt;&gt;"",$BI153*AD153,0),AD153*$BI153),AD153*$BI153),0)</f>
        <v>0</v>
      </c>
      <c r="CH153" s="5">
        <f>IF($BI153&lt;&gt;"",IF('Capacity summary'!$C$14="Yes",IF(COUNTBLANK('Capacity summary'!$H65:$BG65)&lt;52,IF('Capacity summary'!AE65&lt;&gt;"",$BI153*AE153,0),AE153*$BI153),AE153*$BI153),0)</f>
        <v>0</v>
      </c>
      <c r="CI153" s="5">
        <f>IF($BI153&lt;&gt;"",IF('Capacity summary'!$C$14="Yes",IF(COUNTBLANK('Capacity summary'!$H65:$BG65)&lt;52,IF('Capacity summary'!AF65&lt;&gt;"",$BI153*AF153,0),AF153*$BI153),AF153*$BI153),0)</f>
        <v>0</v>
      </c>
      <c r="CJ153" s="5">
        <f>IF($BI153&lt;&gt;"",IF('Capacity summary'!$C$14="Yes",IF(COUNTBLANK('Capacity summary'!$H65:$BG65)&lt;52,IF('Capacity summary'!AG65&lt;&gt;"",$BI153*AG153,0),AG153*$BI153),AG153*$BI153),0)</f>
        <v>0</v>
      </c>
      <c r="CK153" s="5">
        <f>IF($BI153&lt;&gt;"",IF('Capacity summary'!$C$14="Yes",IF(COUNTBLANK('Capacity summary'!$H65:$BG65)&lt;52,IF('Capacity summary'!AH65&lt;&gt;"",$BI153*AH153,0),AH153*$BI153),AH153*$BI153),0)</f>
        <v>0</v>
      </c>
      <c r="CL153" s="5">
        <f>IF($BI153&lt;&gt;"",IF('Capacity summary'!$C$14="Yes",IF(COUNTBLANK('Capacity summary'!$H65:$BG65)&lt;52,IF('Capacity summary'!AI65&lt;&gt;"",$BI153*AI153,0),AI153*$BI153),AI153*$BI153),0)</f>
        <v>0</v>
      </c>
      <c r="CM153" s="5">
        <f>IF($BI153&lt;&gt;"",IF('Capacity summary'!$C$14="Yes",IF(COUNTBLANK('Capacity summary'!$H65:$BG65)&lt;52,IF('Capacity summary'!AJ65&lt;&gt;"",$BI153*AJ153,0),AJ153*$BI153),AJ153*$BI153),0)</f>
        <v>0</v>
      </c>
      <c r="CN153" s="5">
        <f>IF($BI153&lt;&gt;"",IF('Capacity summary'!$C$14="Yes",IF(COUNTBLANK('Capacity summary'!$H65:$BG65)&lt;52,IF('Capacity summary'!AK65&lt;&gt;"",$BI153*AK153,0),AK153*$BI153),AK153*$BI153),0)</f>
        <v>0</v>
      </c>
      <c r="CO153" s="5">
        <f>IF($BI153&lt;&gt;"",IF('Capacity summary'!$C$14="Yes",IF(COUNTBLANK('Capacity summary'!$H65:$BG65)&lt;52,IF('Capacity summary'!AL65&lt;&gt;"",$BI153*AL153,0),AL153*$BI153),AL153*$BI153),0)</f>
        <v>0</v>
      </c>
      <c r="CP153" s="5">
        <f>IF($BI153&lt;&gt;"",IF('Capacity summary'!$C$14="Yes",IF(COUNTBLANK('Capacity summary'!$H65:$BG65)&lt;52,IF('Capacity summary'!AM65&lt;&gt;"",$BI153*AM153,0),AM153*$BI153),AM153*$BI153),0)</f>
        <v>0</v>
      </c>
      <c r="CQ153" s="5">
        <f>IF($BI153&lt;&gt;"",IF('Capacity summary'!$C$14="Yes",IF(COUNTBLANK('Capacity summary'!$H65:$BG65)&lt;52,IF('Capacity summary'!AN65&lt;&gt;"",$BI153*AN153,0),AN153*$BI153),AN153*$BI153),0)</f>
        <v>0</v>
      </c>
      <c r="CR153" s="5">
        <f>IF($BI153&lt;&gt;"",IF('Capacity summary'!$C$14="Yes",IF(COUNTBLANK('Capacity summary'!$H65:$BG65)&lt;52,IF('Capacity summary'!AO65&lt;&gt;"",$BI153*AO153,0),AO153*$BI153),AO153*$BI153),0)</f>
        <v>0</v>
      </c>
      <c r="CS153" s="5">
        <f>IF($BI153&lt;&gt;"",IF('Capacity summary'!$C$14="Yes",IF(COUNTBLANK('Capacity summary'!$H65:$BG65)&lt;52,IF('Capacity summary'!AP65&lt;&gt;"",$BI153*AP153,0),AP153*$BI153),AP153*$BI153),0)</f>
        <v>0</v>
      </c>
      <c r="CT153" s="5">
        <f>IF($BI153&lt;&gt;"",IF('Capacity summary'!$C$14="Yes",IF(COUNTBLANK('Capacity summary'!$H65:$BG65)&lt;52,IF('Capacity summary'!AQ65&lt;&gt;"",$BI153*AQ153,0),AQ153*$BI153),AQ153*$BI153),0)</f>
        <v>0</v>
      </c>
      <c r="CU153" s="5">
        <f>IF($BI153&lt;&gt;"",IF('Capacity summary'!$C$14="Yes",IF(COUNTBLANK('Capacity summary'!$H65:$BG65)&lt;52,IF('Capacity summary'!AR65&lt;&gt;"",$BI153*AR153,0),AR153*$BI153),AR153*$BI153),0)</f>
        <v>0</v>
      </c>
      <c r="CV153" s="5">
        <f>IF($BI153&lt;&gt;"",IF('Capacity summary'!$C$14="Yes",IF(COUNTBLANK('Capacity summary'!$H65:$BG65)&lt;52,IF('Capacity summary'!AS65&lt;&gt;"",$BI153*AS153,0),AS153*$BI153),AS153*$BI153),0)</f>
        <v>0</v>
      </c>
      <c r="CW153" s="5">
        <f>IF($BI153&lt;&gt;"",IF('Capacity summary'!$C$14="Yes",IF(COUNTBLANK('Capacity summary'!$H65:$BG65)&lt;52,IF('Capacity summary'!AT65&lt;&gt;"",$BI153*AT153,0),AT153*$BI153),AT153*$BI153),0)</f>
        <v>0</v>
      </c>
      <c r="CX153" s="5">
        <f>IF($BI153&lt;&gt;"",IF('Capacity summary'!$C$14="Yes",IF(COUNTBLANK('Capacity summary'!$H65:$BG65)&lt;52,IF('Capacity summary'!AU65&lt;&gt;"",$BI153*AU153,0),AU153*$BI153),AU153*$BI153),0)</f>
        <v>0</v>
      </c>
      <c r="CY153" s="5">
        <f>IF($BI153&lt;&gt;"",IF('Capacity summary'!$C$14="Yes",IF(COUNTBLANK('Capacity summary'!$H65:$BG65)&lt;52,IF('Capacity summary'!AV65&lt;&gt;"",$BI153*AV153,0),AV153*$BI153),AV153*$BI153),0)</f>
        <v>0</v>
      </c>
      <c r="CZ153" s="5">
        <f>IF($BI153&lt;&gt;"",IF('Capacity summary'!$C$14="Yes",IF(COUNTBLANK('Capacity summary'!$H65:$BG65)&lt;52,IF('Capacity summary'!AW65&lt;&gt;"",$BI153*AW153,0),AW153*$BI153),AW153*$BI153),0)</f>
        <v>0</v>
      </c>
      <c r="DA153" s="5">
        <f>IF($BI153&lt;&gt;"",IF('Capacity summary'!$C$14="Yes",IF(COUNTBLANK('Capacity summary'!$H65:$BG65)&lt;52,IF('Capacity summary'!AX65&lt;&gt;"",$BI153*AX153,0),AX153*$BI153),AX153*$BI153),0)</f>
        <v>0</v>
      </c>
      <c r="DB153" s="5">
        <f>IF($BI153&lt;&gt;"",IF('Capacity summary'!$C$14="Yes",IF(COUNTBLANK('Capacity summary'!$H65:$BG65)&lt;52,IF('Capacity summary'!AY65&lt;&gt;"",$BI153*AY153,0),AY153*$BI153),AY153*$BI153),0)</f>
        <v>0</v>
      </c>
      <c r="DC153" s="5">
        <f>IF($BI153&lt;&gt;"",IF('Capacity summary'!$C$14="Yes",IF(COUNTBLANK('Capacity summary'!$H65:$BG65)&lt;52,IF('Capacity summary'!AZ65&lt;&gt;"",$BI153*AZ153,0),AZ153*$BI153),AZ153*$BI153),0)</f>
        <v>0</v>
      </c>
      <c r="DD153" s="5">
        <f>IF($BI153&lt;&gt;"",IF('Capacity summary'!$C$14="Yes",IF(COUNTBLANK('Capacity summary'!$H65:$BG65)&lt;52,IF('Capacity summary'!BA65&lt;&gt;"",$BI153*BA153,0),BA153*$BI153),BA153*$BI153),0)</f>
        <v>0</v>
      </c>
      <c r="DE153" s="5">
        <f>IF($BI153&lt;&gt;"",IF('Capacity summary'!$C$14="Yes",IF(COUNTBLANK('Capacity summary'!$H65:$BG65)&lt;52,IF('Capacity summary'!BB65&lt;&gt;"",$BI153*BB153,0),BB153*$BI153),BB153*$BI153),0)</f>
        <v>0</v>
      </c>
      <c r="DF153" s="5">
        <f>IF($BI153&lt;&gt;"",IF('Capacity summary'!$C$14="Yes",IF(COUNTBLANK('Capacity summary'!$H65:$BG65)&lt;52,IF('Capacity summary'!BC65&lt;&gt;"",$BI153*BC153,0),BC153*$BI153),BC153*$BI153),0)</f>
        <v>0</v>
      </c>
      <c r="DG153" s="5">
        <f>IF($BI153&lt;&gt;"",IF('Capacity summary'!$C$14="Yes",IF(COUNTBLANK('Capacity summary'!$H65:$BG65)&lt;52,IF('Capacity summary'!BD65&lt;&gt;"",$BI153*BD153,0),BD153*$BI153),BD153*$BI153),0)</f>
        <v>0</v>
      </c>
      <c r="DH153" s="5">
        <f>IF($BI153&lt;&gt;"",IF('Capacity summary'!$C$14="Yes",IF(COUNTBLANK('Capacity summary'!$H65:$BG65)&lt;52,IF('Capacity summary'!BE65&lt;&gt;"",$BI153*BE153,0),BE153*$BI153),BE153*$BI153),0)</f>
        <v>0</v>
      </c>
      <c r="DI153" s="5">
        <f>IF($BI153&lt;&gt;"",IF('Capacity summary'!$C$14="Yes",IF(COUNTBLANK('Capacity summary'!$H65:$BG65)&lt;52,IF('Capacity summary'!BF65&lt;&gt;"",$BI153*BF153,0),BF153*$BI153),BF153*$BI153),0)</f>
        <v>0</v>
      </c>
      <c r="DJ153" s="5">
        <f>IF($BI153&lt;&gt;"",IF('Capacity summary'!$C$14="Yes",IF(COUNTBLANK('Capacity summary'!$H65:$BG65)&lt;52,IF('Capacity summary'!BG65&lt;&gt;"",$BI153*BG153,0),BG153*$BI153),BG153*$BI153),0)</f>
        <v>0</v>
      </c>
      <c r="DK153" s="138">
        <f t="shared" si="6"/>
        <v>0</v>
      </c>
    </row>
    <row r="154" spans="3:115" x14ac:dyDescent="0.2">
      <c r="C154" s="68" t="str">
        <f>ROW(A43)&amp;". "&amp;Capacity!N59</f>
        <v xml:space="preserve">43. </v>
      </c>
      <c r="D154" s="68">
        <f>'Capacity setup'!C160</f>
        <v>0</v>
      </c>
      <c r="E154" s="68">
        <f>'Capacity setup'!D160</f>
        <v>0</v>
      </c>
      <c r="F154" s="68">
        <f>'Capacity setup'!E160</f>
        <v>0</v>
      </c>
      <c r="H154" s="68">
        <f ca="1">IF(AND(SUMIF(Capacity_Resource,$D154,'Critical resources (hide)'!U$6:U$105)+SUMIF(Capacity_Resource,$E154,'Critical resources (hide)'!U$6:U$105)+SUMIF(Capacity_Resource,$F154,'Critical resources (hide)'!U$6:U$105)&gt;0,$E$1=2),0,1)</f>
        <v>1</v>
      </c>
      <c r="I154" s="68">
        <f ca="1">IF(AND(SUMIF(Capacity_Resource,$D154,'Critical resources (hide)'!V$6:V$105)+SUMIF(Capacity_Resource,$E154,'Critical resources (hide)'!V$6:V$105)+SUMIF(Capacity_Resource,$F154,'Critical resources (hide)'!V$6:V$105)&gt;0,$E$1=2),0,1)</f>
        <v>1</v>
      </c>
      <c r="J154" s="68">
        <f ca="1">IF(AND(SUMIF(Capacity_Resource,$D154,'Critical resources (hide)'!W$6:W$105)+SUMIF(Capacity_Resource,$E154,'Critical resources (hide)'!W$6:W$105)+SUMIF(Capacity_Resource,$F154,'Critical resources (hide)'!W$6:W$105)&gt;0,$E$1=2),0,1)</f>
        <v>1</v>
      </c>
      <c r="K154" s="68">
        <f ca="1">IF(AND(SUMIF(Capacity_Resource,$D154,'Critical resources (hide)'!X$6:X$105)+SUMIF(Capacity_Resource,$E154,'Critical resources (hide)'!X$6:X$105)+SUMIF(Capacity_Resource,$F154,'Critical resources (hide)'!X$6:X$105)&gt;0,$E$1=2),0,1)</f>
        <v>1</v>
      </c>
      <c r="L154" s="68">
        <f ca="1">IF(AND(SUMIF(Capacity_Resource,$D154,'Critical resources (hide)'!Y$6:Y$105)+SUMIF(Capacity_Resource,$E154,'Critical resources (hide)'!Y$6:Y$105)+SUMIF(Capacity_Resource,$F154,'Critical resources (hide)'!Y$6:Y$105)&gt;0,$E$1=2),0,1)</f>
        <v>1</v>
      </c>
      <c r="M154" s="68">
        <f ca="1">IF(AND(SUMIF(Capacity_Resource,$D154,'Critical resources (hide)'!Z$6:Z$105)+SUMIF(Capacity_Resource,$E154,'Critical resources (hide)'!Z$6:Z$105)+SUMIF(Capacity_Resource,$F154,'Critical resources (hide)'!Z$6:Z$105)&gt;0,$E$1=2),0,1)</f>
        <v>1</v>
      </c>
      <c r="N154" s="68">
        <f ca="1">IF(AND(SUMIF(Capacity_Resource,$D154,'Critical resources (hide)'!AA$6:AA$105)+SUMIF(Capacity_Resource,$E154,'Critical resources (hide)'!AA$6:AA$105)+SUMIF(Capacity_Resource,$F154,'Critical resources (hide)'!AA$6:AA$105)&gt;0,$E$1=2),0,1)</f>
        <v>1</v>
      </c>
      <c r="O154" s="68">
        <f ca="1">IF(AND(SUMIF(Capacity_Resource,$D154,'Critical resources (hide)'!AB$6:AB$105)+SUMIF(Capacity_Resource,$E154,'Critical resources (hide)'!AB$6:AB$105)+SUMIF(Capacity_Resource,$F154,'Critical resources (hide)'!AB$6:AB$105)&gt;0,$E$1=2),0,1)</f>
        <v>1</v>
      </c>
      <c r="P154" s="68">
        <f ca="1">IF(AND(SUMIF(Capacity_Resource,$D154,'Critical resources (hide)'!AC$6:AC$105)+SUMIF(Capacity_Resource,$E154,'Critical resources (hide)'!AC$6:AC$105)+SUMIF(Capacity_Resource,$F154,'Critical resources (hide)'!AC$6:AC$105)&gt;0,$E$1=2),0,1)</f>
        <v>1</v>
      </c>
      <c r="Q154" s="68">
        <f ca="1">IF(AND(SUMIF(Capacity_Resource,$D154,'Critical resources (hide)'!AD$6:AD$105)+SUMIF(Capacity_Resource,$E154,'Critical resources (hide)'!AD$6:AD$105)+SUMIF(Capacity_Resource,$F154,'Critical resources (hide)'!AD$6:AD$105)&gt;0,$E$1=2),0,1)</f>
        <v>1</v>
      </c>
      <c r="R154" s="68">
        <f ca="1">IF(AND(SUMIF(Capacity_Resource,$D154,'Critical resources (hide)'!AE$6:AE$105)+SUMIF(Capacity_Resource,$E154,'Critical resources (hide)'!AE$6:AE$105)+SUMIF(Capacity_Resource,$F154,'Critical resources (hide)'!AE$6:AE$105)&gt;0,$E$1=2),0,1)</f>
        <v>1</v>
      </c>
      <c r="S154" s="68">
        <f ca="1">IF(AND(SUMIF(Capacity_Resource,$D154,'Critical resources (hide)'!AF$6:AF$105)+SUMIF(Capacity_Resource,$E154,'Critical resources (hide)'!AF$6:AF$105)+SUMIF(Capacity_Resource,$F154,'Critical resources (hide)'!AF$6:AF$105)&gt;0,$E$1=2),0,1)</f>
        <v>1</v>
      </c>
      <c r="T154" s="68">
        <f ca="1">IF(AND(SUMIF(Capacity_Resource,$D154,'Critical resources (hide)'!AG$6:AG$105)+SUMIF(Capacity_Resource,$E154,'Critical resources (hide)'!AG$6:AG$105)+SUMIF(Capacity_Resource,$F154,'Critical resources (hide)'!AG$6:AG$105)&gt;0,$E$1=2),0,1)</f>
        <v>1</v>
      </c>
      <c r="U154" s="68">
        <f ca="1">IF(AND(SUMIF(Capacity_Resource,$D154,'Critical resources (hide)'!AH$6:AH$105)+SUMIF(Capacity_Resource,$E154,'Critical resources (hide)'!AH$6:AH$105)+SUMIF(Capacity_Resource,$F154,'Critical resources (hide)'!AH$6:AH$105)&gt;0,$E$1=2),0,1)</f>
        <v>1</v>
      </c>
      <c r="V154" s="68">
        <f ca="1">IF(AND(SUMIF(Capacity_Resource,$D154,'Critical resources (hide)'!AI$6:AI$105)+SUMIF(Capacity_Resource,$E154,'Critical resources (hide)'!AI$6:AI$105)+SUMIF(Capacity_Resource,$F154,'Critical resources (hide)'!AI$6:AI$105)&gt;0,$E$1=2),0,1)</f>
        <v>1</v>
      </c>
      <c r="W154" s="68">
        <f ca="1">IF(AND(SUMIF(Capacity_Resource,$D154,'Critical resources (hide)'!AJ$6:AJ$105)+SUMIF(Capacity_Resource,$E154,'Critical resources (hide)'!AJ$6:AJ$105)+SUMIF(Capacity_Resource,$F154,'Critical resources (hide)'!AJ$6:AJ$105)&gt;0,$E$1=2),0,1)</f>
        <v>1</v>
      </c>
      <c r="X154" s="68">
        <f ca="1">IF(AND(SUMIF(Capacity_Resource,$D154,'Critical resources (hide)'!AK$6:AK$105)+SUMIF(Capacity_Resource,$E154,'Critical resources (hide)'!AK$6:AK$105)+SUMIF(Capacity_Resource,$F154,'Critical resources (hide)'!AK$6:AK$105)&gt;0,$E$1=2),0,1)</f>
        <v>1</v>
      </c>
      <c r="Y154" s="68">
        <f ca="1">IF(AND(SUMIF(Capacity_Resource,$D154,'Critical resources (hide)'!AL$6:AL$105)+SUMIF(Capacity_Resource,$E154,'Critical resources (hide)'!AL$6:AL$105)+SUMIF(Capacity_Resource,$F154,'Critical resources (hide)'!AL$6:AL$105)&gt;0,$E$1=2),0,1)</f>
        <v>1</v>
      </c>
      <c r="Z154" s="68">
        <f ca="1">IF(AND(SUMIF(Capacity_Resource,$D154,'Critical resources (hide)'!AM$6:AM$105)+SUMIF(Capacity_Resource,$E154,'Critical resources (hide)'!AM$6:AM$105)+SUMIF(Capacity_Resource,$F154,'Critical resources (hide)'!AM$6:AM$105)&gt;0,$E$1=2),0,1)</f>
        <v>1</v>
      </c>
      <c r="AA154" s="68">
        <f ca="1">IF(AND(SUMIF(Capacity_Resource,$D154,'Critical resources (hide)'!AN$6:AN$105)+SUMIF(Capacity_Resource,$E154,'Critical resources (hide)'!AN$6:AN$105)+SUMIF(Capacity_Resource,$F154,'Critical resources (hide)'!AN$6:AN$105)&gt;0,$E$1=2),0,1)</f>
        <v>1</v>
      </c>
      <c r="AB154" s="68">
        <f ca="1">IF(AND(SUMIF(Capacity_Resource,$D154,'Critical resources (hide)'!AO$6:AO$105)+SUMIF(Capacity_Resource,$E154,'Critical resources (hide)'!AO$6:AO$105)+SUMIF(Capacity_Resource,$F154,'Critical resources (hide)'!AO$6:AO$105)&gt;0,$E$1=2),0,1)</f>
        <v>1</v>
      </c>
      <c r="AC154" s="68">
        <f ca="1">IF(AND(SUMIF(Capacity_Resource,$D154,'Critical resources (hide)'!AP$6:AP$105)+SUMIF(Capacity_Resource,$E154,'Critical resources (hide)'!AP$6:AP$105)+SUMIF(Capacity_Resource,$F154,'Critical resources (hide)'!AP$6:AP$105)&gt;0,$E$1=2),0,1)</f>
        <v>1</v>
      </c>
      <c r="AD154" s="68">
        <f ca="1">IF(AND(SUMIF(Capacity_Resource,$D154,'Critical resources (hide)'!AQ$6:AQ$105)+SUMIF(Capacity_Resource,$E154,'Critical resources (hide)'!AQ$6:AQ$105)+SUMIF(Capacity_Resource,$F154,'Critical resources (hide)'!AQ$6:AQ$105)&gt;0,$E$1=2),0,1)</f>
        <v>1</v>
      </c>
      <c r="AE154" s="68">
        <f ca="1">IF(AND(SUMIF(Capacity_Resource,$D154,'Critical resources (hide)'!AR$6:AR$105)+SUMIF(Capacity_Resource,$E154,'Critical resources (hide)'!AR$6:AR$105)+SUMIF(Capacity_Resource,$F154,'Critical resources (hide)'!AR$6:AR$105)&gt;0,$E$1=2),0,1)</f>
        <v>1</v>
      </c>
      <c r="AF154" s="68">
        <f ca="1">IF(AND(SUMIF(Capacity_Resource,$D154,'Critical resources (hide)'!AS$6:AS$105)+SUMIF(Capacity_Resource,$E154,'Critical resources (hide)'!AS$6:AS$105)+SUMIF(Capacity_Resource,$F154,'Critical resources (hide)'!AS$6:AS$105)&gt;0,$E$1=2),0,1)</f>
        <v>1</v>
      </c>
      <c r="AG154" s="68">
        <f ca="1">IF(AND(SUMIF(Capacity_Resource,$D154,'Critical resources (hide)'!AT$6:AT$105)+SUMIF(Capacity_Resource,$E154,'Critical resources (hide)'!AT$6:AT$105)+SUMIF(Capacity_Resource,$F154,'Critical resources (hide)'!AT$6:AT$105)&gt;0,$E$1=2),0,1)</f>
        <v>1</v>
      </c>
      <c r="AH154" s="68">
        <f ca="1">IF(AND(SUMIF(Capacity_Resource,$D154,'Critical resources (hide)'!AU$6:AU$105)+SUMIF(Capacity_Resource,$E154,'Critical resources (hide)'!AU$6:AU$105)+SUMIF(Capacity_Resource,$F154,'Critical resources (hide)'!AU$6:AU$105)&gt;0,$E$1=2),0,1)</f>
        <v>1</v>
      </c>
      <c r="AI154" s="68">
        <f ca="1">IF(AND(SUMIF(Capacity_Resource,$D154,'Critical resources (hide)'!AV$6:AV$105)+SUMIF(Capacity_Resource,$E154,'Critical resources (hide)'!AV$6:AV$105)+SUMIF(Capacity_Resource,$F154,'Critical resources (hide)'!AV$6:AV$105)&gt;0,$E$1=2),0,1)</f>
        <v>1</v>
      </c>
      <c r="AJ154" s="68">
        <f ca="1">IF(AND(SUMIF(Capacity_Resource,$D154,'Critical resources (hide)'!AW$6:AW$105)+SUMIF(Capacity_Resource,$E154,'Critical resources (hide)'!AW$6:AW$105)+SUMIF(Capacity_Resource,$F154,'Critical resources (hide)'!AW$6:AW$105)&gt;0,$E$1=2),0,1)</f>
        <v>1</v>
      </c>
      <c r="AK154" s="68">
        <f ca="1">IF(AND(SUMIF(Capacity_Resource,$D154,'Critical resources (hide)'!AX$6:AX$105)+SUMIF(Capacity_Resource,$E154,'Critical resources (hide)'!AX$6:AX$105)+SUMIF(Capacity_Resource,$F154,'Critical resources (hide)'!AX$6:AX$105)&gt;0,$E$1=2),0,1)</f>
        <v>1</v>
      </c>
      <c r="AL154" s="68">
        <f ca="1">IF(AND(SUMIF(Capacity_Resource,$D154,'Critical resources (hide)'!AY$6:AY$105)+SUMIF(Capacity_Resource,$E154,'Critical resources (hide)'!AY$6:AY$105)+SUMIF(Capacity_Resource,$F154,'Critical resources (hide)'!AY$6:AY$105)&gt;0,$E$1=2),0,1)</f>
        <v>1</v>
      </c>
      <c r="AM154" s="68">
        <f ca="1">IF(AND(SUMIF(Capacity_Resource,$D154,'Critical resources (hide)'!AZ$6:AZ$105)+SUMIF(Capacity_Resource,$E154,'Critical resources (hide)'!AZ$6:AZ$105)+SUMIF(Capacity_Resource,$F154,'Critical resources (hide)'!AZ$6:AZ$105)&gt;0,$E$1=2),0,1)</f>
        <v>1</v>
      </c>
      <c r="AN154" s="68">
        <f ca="1">IF(AND(SUMIF(Capacity_Resource,$D154,'Critical resources (hide)'!BA$6:BA$105)+SUMIF(Capacity_Resource,$E154,'Critical resources (hide)'!BA$6:BA$105)+SUMIF(Capacity_Resource,$F154,'Critical resources (hide)'!BA$6:BA$105)&gt;0,$E$1=2),0,1)</f>
        <v>1</v>
      </c>
      <c r="AO154" s="68">
        <f ca="1">IF(AND(SUMIF(Capacity_Resource,$D154,'Critical resources (hide)'!BB$6:BB$105)+SUMIF(Capacity_Resource,$E154,'Critical resources (hide)'!BB$6:BB$105)+SUMIF(Capacity_Resource,$F154,'Critical resources (hide)'!BB$6:BB$105)&gt;0,$E$1=2),0,1)</f>
        <v>1</v>
      </c>
      <c r="AP154" s="68">
        <f ca="1">IF(AND(SUMIF(Capacity_Resource,$D154,'Critical resources (hide)'!BC$6:BC$105)+SUMIF(Capacity_Resource,$E154,'Critical resources (hide)'!BC$6:BC$105)+SUMIF(Capacity_Resource,$F154,'Critical resources (hide)'!BC$6:BC$105)&gt;0,$E$1=2),0,1)</f>
        <v>1</v>
      </c>
      <c r="AQ154" s="68">
        <f ca="1">IF(AND(SUMIF(Capacity_Resource,$D154,'Critical resources (hide)'!BD$6:BD$105)+SUMIF(Capacity_Resource,$E154,'Critical resources (hide)'!BD$6:BD$105)+SUMIF(Capacity_Resource,$F154,'Critical resources (hide)'!BD$6:BD$105)&gt;0,$E$1=2),0,1)</f>
        <v>1</v>
      </c>
      <c r="AR154" s="68">
        <f ca="1">IF(AND(SUMIF(Capacity_Resource,$D154,'Critical resources (hide)'!BE$6:BE$105)+SUMIF(Capacity_Resource,$E154,'Critical resources (hide)'!BE$6:BE$105)+SUMIF(Capacity_Resource,$F154,'Critical resources (hide)'!BE$6:BE$105)&gt;0,$E$1=2),0,1)</f>
        <v>1</v>
      </c>
      <c r="AS154" s="68">
        <f ca="1">IF(AND(SUMIF(Capacity_Resource,$D154,'Critical resources (hide)'!BF$6:BF$105)+SUMIF(Capacity_Resource,$E154,'Critical resources (hide)'!BF$6:BF$105)+SUMIF(Capacity_Resource,$F154,'Critical resources (hide)'!BF$6:BF$105)&gt;0,$E$1=2),0,1)</f>
        <v>1</v>
      </c>
      <c r="AT154" s="68">
        <f ca="1">IF(AND(SUMIF(Capacity_Resource,$D154,'Critical resources (hide)'!BG$6:BG$105)+SUMIF(Capacity_Resource,$E154,'Critical resources (hide)'!BG$6:BG$105)+SUMIF(Capacity_Resource,$F154,'Critical resources (hide)'!BG$6:BG$105)&gt;0,$E$1=2),0,1)</f>
        <v>1</v>
      </c>
      <c r="AU154" s="68">
        <f ca="1">IF(AND(SUMIF(Capacity_Resource,$D154,'Critical resources (hide)'!BH$6:BH$105)+SUMIF(Capacity_Resource,$E154,'Critical resources (hide)'!BH$6:BH$105)+SUMIF(Capacity_Resource,$F154,'Critical resources (hide)'!BH$6:BH$105)&gt;0,$E$1=2),0,1)</f>
        <v>1</v>
      </c>
      <c r="AV154" s="68">
        <f ca="1">IF(AND(SUMIF(Capacity_Resource,$D154,'Critical resources (hide)'!BI$6:BI$105)+SUMIF(Capacity_Resource,$E154,'Critical resources (hide)'!BI$6:BI$105)+SUMIF(Capacity_Resource,$F154,'Critical resources (hide)'!BI$6:BI$105)&gt;0,$E$1=2),0,1)</f>
        <v>1</v>
      </c>
      <c r="AW154" s="68">
        <f ca="1">IF(AND(SUMIF(Capacity_Resource,$D154,'Critical resources (hide)'!BJ$6:BJ$105)+SUMIF(Capacity_Resource,$E154,'Critical resources (hide)'!BJ$6:BJ$105)+SUMIF(Capacity_Resource,$F154,'Critical resources (hide)'!BJ$6:BJ$105)&gt;0,$E$1=2),0,1)</f>
        <v>1</v>
      </c>
      <c r="AX154" s="68">
        <f ca="1">IF(AND(SUMIF(Capacity_Resource,$D154,'Critical resources (hide)'!BK$6:BK$105)+SUMIF(Capacity_Resource,$E154,'Critical resources (hide)'!BK$6:BK$105)+SUMIF(Capacity_Resource,$F154,'Critical resources (hide)'!BK$6:BK$105)&gt;0,$E$1=2),0,1)</f>
        <v>1</v>
      </c>
      <c r="AY154" s="68">
        <f ca="1">IF(AND(SUMIF(Capacity_Resource,$D154,'Critical resources (hide)'!BL$6:BL$105)+SUMIF(Capacity_Resource,$E154,'Critical resources (hide)'!BL$6:BL$105)+SUMIF(Capacity_Resource,$F154,'Critical resources (hide)'!BL$6:BL$105)&gt;0,$E$1=2),0,1)</f>
        <v>1</v>
      </c>
      <c r="AZ154" s="68">
        <f ca="1">IF(AND(SUMIF(Capacity_Resource,$D154,'Critical resources (hide)'!BM$6:BM$105)+SUMIF(Capacity_Resource,$E154,'Critical resources (hide)'!BM$6:BM$105)+SUMIF(Capacity_Resource,$F154,'Critical resources (hide)'!BM$6:BM$105)&gt;0,$E$1=2),0,1)</f>
        <v>1</v>
      </c>
      <c r="BA154" s="68">
        <f ca="1">IF(AND(SUMIF(Capacity_Resource,$D154,'Critical resources (hide)'!BN$6:BN$105)+SUMIF(Capacity_Resource,$E154,'Critical resources (hide)'!BN$6:BN$105)+SUMIF(Capacity_Resource,$F154,'Critical resources (hide)'!BN$6:BN$105)&gt;0,$E$1=2),0,1)</f>
        <v>1</v>
      </c>
      <c r="BB154" s="68">
        <f ca="1">IF(AND(SUMIF(Capacity_Resource,$D154,'Critical resources (hide)'!BO$6:BO$105)+SUMIF(Capacity_Resource,$E154,'Critical resources (hide)'!BO$6:BO$105)+SUMIF(Capacity_Resource,$F154,'Critical resources (hide)'!BO$6:BO$105)&gt;0,$E$1=2),0,1)</f>
        <v>1</v>
      </c>
      <c r="BC154" s="68">
        <f ca="1">IF(AND(SUMIF(Capacity_Resource,$D154,'Critical resources (hide)'!BP$6:BP$105)+SUMIF(Capacity_Resource,$E154,'Critical resources (hide)'!BP$6:BP$105)+SUMIF(Capacity_Resource,$F154,'Critical resources (hide)'!BP$6:BP$105)&gt;0,$E$1=2),0,1)</f>
        <v>1</v>
      </c>
      <c r="BD154" s="68">
        <f ca="1">IF(AND(SUMIF(Capacity_Resource,$D154,'Critical resources (hide)'!BQ$6:BQ$105)+SUMIF(Capacity_Resource,$E154,'Critical resources (hide)'!BQ$6:BQ$105)+SUMIF(Capacity_Resource,$F154,'Critical resources (hide)'!BQ$6:BQ$105)&gt;0,$E$1=2),0,1)</f>
        <v>1</v>
      </c>
      <c r="BE154" s="68">
        <f ca="1">IF(AND(SUMIF(Capacity_Resource,$D154,'Critical resources (hide)'!BR$6:BR$105)+SUMIF(Capacity_Resource,$E154,'Critical resources (hide)'!BR$6:BR$105)+SUMIF(Capacity_Resource,$F154,'Critical resources (hide)'!BR$6:BR$105)&gt;0,$E$1=2),0,1)</f>
        <v>1</v>
      </c>
      <c r="BF154" s="68">
        <f ca="1">IF(AND(SUMIF(Capacity_Resource,$D154,'Critical resources (hide)'!BS$6:BS$105)+SUMIF(Capacity_Resource,$E154,'Critical resources (hide)'!BS$6:BS$105)+SUMIF(Capacity_Resource,$F154,'Critical resources (hide)'!BS$6:BS$105)&gt;0,$E$1=2),0,1)</f>
        <v>1</v>
      </c>
      <c r="BG154" s="68">
        <f ca="1">IF(AND(SUMIF(Capacity_Resource,$D154,'Critical resources (hide)'!BT$6:BT$105)+SUMIF(Capacity_Resource,$E154,'Critical resources (hide)'!BT$6:BT$105)+SUMIF(Capacity_Resource,$F154,'Critical resources (hide)'!BT$6:BT$105)&gt;0,$E$1=2),0,1)</f>
        <v>1</v>
      </c>
      <c r="BH154" s="68">
        <f>IF(ROW(A43)&lt;=Capacity!$M$16,IF('Capacity summary'!$C$14="No",SUM(H154:BG154),'Capacity summary'!$E66),0)</f>
        <v>0</v>
      </c>
      <c r="BI154" s="68" t="str">
        <f>IF(BH154&gt;0,IF(BH154&lt;Capacity!Q59,Capacity!R59,Capacity!T59/'Capacity calculation (hide)'!BH154),"")</f>
        <v/>
      </c>
      <c r="BJ154" s="5"/>
      <c r="BK154" s="5">
        <f>IF($BI154&lt;&gt;"",IF('Capacity summary'!$C$14="Yes",IF(COUNTBLANK('Capacity summary'!$H66:$BG66)&lt;52,IF('Capacity summary'!H66&lt;&gt;"",$BI154*H154,0),H154*$BI154),H154*$BI154),0)</f>
        <v>0</v>
      </c>
      <c r="BL154" s="5">
        <f>IF($BI154&lt;&gt;"",IF('Capacity summary'!$C$14="Yes",IF(COUNTBLANK('Capacity summary'!$H66:$BG66)&lt;52,IF('Capacity summary'!I66&lt;&gt;"",$BI154*I154,0),I154*$BI154),I154*$BI154),0)</f>
        <v>0</v>
      </c>
      <c r="BM154" s="5">
        <f>IF($BI154&lt;&gt;"",IF('Capacity summary'!$C$14="Yes",IF(COUNTBLANK('Capacity summary'!$H66:$BG66)&lt;52,IF('Capacity summary'!J66&lt;&gt;"",$BI154*J154,0),J154*$BI154),J154*$BI154),0)</f>
        <v>0</v>
      </c>
      <c r="BN154" s="5">
        <f>IF($BI154&lt;&gt;"",IF('Capacity summary'!$C$14="Yes",IF(COUNTBLANK('Capacity summary'!$H66:$BG66)&lt;52,IF('Capacity summary'!K66&lt;&gt;"",$BI154*K154,0),K154*$BI154),K154*$BI154),0)</f>
        <v>0</v>
      </c>
      <c r="BO154" s="5">
        <f>IF($BI154&lt;&gt;"",IF('Capacity summary'!$C$14="Yes",IF(COUNTBLANK('Capacity summary'!$H66:$BG66)&lt;52,IF('Capacity summary'!L66&lt;&gt;"",$BI154*L154,0),L154*$BI154),L154*$BI154),0)</f>
        <v>0</v>
      </c>
      <c r="BP154" s="5">
        <f>IF($BI154&lt;&gt;"",IF('Capacity summary'!$C$14="Yes",IF(COUNTBLANK('Capacity summary'!$H66:$BG66)&lt;52,IF('Capacity summary'!M66&lt;&gt;"",$BI154*M154,0),M154*$BI154),M154*$BI154),0)</f>
        <v>0</v>
      </c>
      <c r="BQ154" s="5">
        <f>IF($BI154&lt;&gt;"",IF('Capacity summary'!$C$14="Yes",IF(COUNTBLANK('Capacity summary'!$H66:$BG66)&lt;52,IF('Capacity summary'!N66&lt;&gt;"",$BI154*N154,0),N154*$BI154),N154*$BI154),0)</f>
        <v>0</v>
      </c>
      <c r="BR154" s="5">
        <f>IF($BI154&lt;&gt;"",IF('Capacity summary'!$C$14="Yes",IF(COUNTBLANK('Capacity summary'!$H66:$BG66)&lt;52,IF('Capacity summary'!O66&lt;&gt;"",$BI154*O154,0),O154*$BI154),O154*$BI154),0)</f>
        <v>0</v>
      </c>
      <c r="BS154" s="5">
        <f>IF($BI154&lt;&gt;"",IF('Capacity summary'!$C$14="Yes",IF(COUNTBLANK('Capacity summary'!$H66:$BG66)&lt;52,IF('Capacity summary'!P66&lt;&gt;"",$BI154*P154,0),P154*$BI154),P154*$BI154),0)</f>
        <v>0</v>
      </c>
      <c r="BT154" s="5">
        <f>IF($BI154&lt;&gt;"",IF('Capacity summary'!$C$14="Yes",IF(COUNTBLANK('Capacity summary'!$H66:$BG66)&lt;52,IF('Capacity summary'!Q66&lt;&gt;"",$BI154*Q154,0),Q154*$BI154),Q154*$BI154),0)</f>
        <v>0</v>
      </c>
      <c r="BU154" s="5">
        <f>IF($BI154&lt;&gt;"",IF('Capacity summary'!$C$14="Yes",IF(COUNTBLANK('Capacity summary'!$H66:$BG66)&lt;52,IF('Capacity summary'!R66&lt;&gt;"",$BI154*R154,0),R154*$BI154),R154*$BI154),0)</f>
        <v>0</v>
      </c>
      <c r="BV154" s="5">
        <f>IF($BI154&lt;&gt;"",IF('Capacity summary'!$C$14="Yes",IF(COUNTBLANK('Capacity summary'!$H66:$BG66)&lt;52,IF('Capacity summary'!S66&lt;&gt;"",$BI154*S154,0),S154*$BI154),S154*$BI154),0)</f>
        <v>0</v>
      </c>
      <c r="BW154" s="5">
        <f>IF($BI154&lt;&gt;"",IF('Capacity summary'!$C$14="Yes",IF(COUNTBLANK('Capacity summary'!$H66:$BG66)&lt;52,IF('Capacity summary'!T66&lt;&gt;"",$BI154*T154,0),T154*$BI154),T154*$BI154),0)</f>
        <v>0</v>
      </c>
      <c r="BX154" s="5">
        <f>IF($BI154&lt;&gt;"",IF('Capacity summary'!$C$14="Yes",IF(COUNTBLANK('Capacity summary'!$H66:$BG66)&lt;52,IF('Capacity summary'!U66&lt;&gt;"",$BI154*U154,0),U154*$BI154),U154*$BI154),0)</f>
        <v>0</v>
      </c>
      <c r="BY154" s="5">
        <f>IF($BI154&lt;&gt;"",IF('Capacity summary'!$C$14="Yes",IF(COUNTBLANK('Capacity summary'!$H66:$BG66)&lt;52,IF('Capacity summary'!V66&lt;&gt;"",$BI154*V154,0),V154*$BI154),V154*$BI154),0)</f>
        <v>0</v>
      </c>
      <c r="BZ154" s="5">
        <f>IF($BI154&lt;&gt;"",IF('Capacity summary'!$C$14="Yes",IF(COUNTBLANK('Capacity summary'!$H66:$BG66)&lt;52,IF('Capacity summary'!W66&lt;&gt;"",$BI154*W154,0),W154*$BI154),W154*$BI154),0)</f>
        <v>0</v>
      </c>
      <c r="CA154" s="5">
        <f>IF($BI154&lt;&gt;"",IF('Capacity summary'!$C$14="Yes",IF(COUNTBLANK('Capacity summary'!$H66:$BG66)&lt;52,IF('Capacity summary'!X66&lt;&gt;"",$BI154*X154,0),X154*$BI154),X154*$BI154),0)</f>
        <v>0</v>
      </c>
      <c r="CB154" s="5">
        <f>IF($BI154&lt;&gt;"",IF('Capacity summary'!$C$14="Yes",IF(COUNTBLANK('Capacity summary'!$H66:$BG66)&lt;52,IF('Capacity summary'!Y66&lt;&gt;"",$BI154*Y154,0),Y154*$BI154),Y154*$BI154),0)</f>
        <v>0</v>
      </c>
      <c r="CC154" s="5">
        <f>IF($BI154&lt;&gt;"",IF('Capacity summary'!$C$14="Yes",IF(COUNTBLANK('Capacity summary'!$H66:$BG66)&lt;52,IF('Capacity summary'!Z66&lt;&gt;"",$BI154*Z154,0),Z154*$BI154),Z154*$BI154),0)</f>
        <v>0</v>
      </c>
      <c r="CD154" s="5">
        <f>IF($BI154&lt;&gt;"",IF('Capacity summary'!$C$14="Yes",IF(COUNTBLANK('Capacity summary'!$H66:$BG66)&lt;52,IF('Capacity summary'!AA66&lt;&gt;"",$BI154*AA154,0),AA154*$BI154),AA154*$BI154),0)</f>
        <v>0</v>
      </c>
      <c r="CE154" s="5">
        <f>IF($BI154&lt;&gt;"",IF('Capacity summary'!$C$14="Yes",IF(COUNTBLANK('Capacity summary'!$H66:$BG66)&lt;52,IF('Capacity summary'!AB66&lt;&gt;"",$BI154*AB154,0),AB154*$BI154),AB154*$BI154),0)</f>
        <v>0</v>
      </c>
      <c r="CF154" s="5">
        <f>IF($BI154&lt;&gt;"",IF('Capacity summary'!$C$14="Yes",IF(COUNTBLANK('Capacity summary'!$H66:$BG66)&lt;52,IF('Capacity summary'!AC66&lt;&gt;"",$BI154*AC154,0),AC154*$BI154),AC154*$BI154),0)</f>
        <v>0</v>
      </c>
      <c r="CG154" s="5">
        <f>IF($BI154&lt;&gt;"",IF('Capacity summary'!$C$14="Yes",IF(COUNTBLANK('Capacity summary'!$H66:$BG66)&lt;52,IF('Capacity summary'!AD66&lt;&gt;"",$BI154*AD154,0),AD154*$BI154),AD154*$BI154),0)</f>
        <v>0</v>
      </c>
      <c r="CH154" s="5">
        <f>IF($BI154&lt;&gt;"",IF('Capacity summary'!$C$14="Yes",IF(COUNTBLANK('Capacity summary'!$H66:$BG66)&lt;52,IF('Capacity summary'!AE66&lt;&gt;"",$BI154*AE154,0),AE154*$BI154),AE154*$BI154),0)</f>
        <v>0</v>
      </c>
      <c r="CI154" s="5">
        <f>IF($BI154&lt;&gt;"",IF('Capacity summary'!$C$14="Yes",IF(COUNTBLANK('Capacity summary'!$H66:$BG66)&lt;52,IF('Capacity summary'!AF66&lt;&gt;"",$BI154*AF154,0),AF154*$BI154),AF154*$BI154),0)</f>
        <v>0</v>
      </c>
      <c r="CJ154" s="5">
        <f>IF($BI154&lt;&gt;"",IF('Capacity summary'!$C$14="Yes",IF(COUNTBLANK('Capacity summary'!$H66:$BG66)&lt;52,IF('Capacity summary'!AG66&lt;&gt;"",$BI154*AG154,0),AG154*$BI154),AG154*$BI154),0)</f>
        <v>0</v>
      </c>
      <c r="CK154" s="5">
        <f>IF($BI154&lt;&gt;"",IF('Capacity summary'!$C$14="Yes",IF(COUNTBLANK('Capacity summary'!$H66:$BG66)&lt;52,IF('Capacity summary'!AH66&lt;&gt;"",$BI154*AH154,0),AH154*$BI154),AH154*$BI154),0)</f>
        <v>0</v>
      </c>
      <c r="CL154" s="5">
        <f>IF($BI154&lt;&gt;"",IF('Capacity summary'!$C$14="Yes",IF(COUNTBLANK('Capacity summary'!$H66:$BG66)&lt;52,IF('Capacity summary'!AI66&lt;&gt;"",$BI154*AI154,0),AI154*$BI154),AI154*$BI154),0)</f>
        <v>0</v>
      </c>
      <c r="CM154" s="5">
        <f>IF($BI154&lt;&gt;"",IF('Capacity summary'!$C$14="Yes",IF(COUNTBLANK('Capacity summary'!$H66:$BG66)&lt;52,IF('Capacity summary'!AJ66&lt;&gt;"",$BI154*AJ154,0),AJ154*$BI154),AJ154*$BI154),0)</f>
        <v>0</v>
      </c>
      <c r="CN154" s="5">
        <f>IF($BI154&lt;&gt;"",IF('Capacity summary'!$C$14="Yes",IF(COUNTBLANK('Capacity summary'!$H66:$BG66)&lt;52,IF('Capacity summary'!AK66&lt;&gt;"",$BI154*AK154,0),AK154*$BI154),AK154*$BI154),0)</f>
        <v>0</v>
      </c>
      <c r="CO154" s="5">
        <f>IF($BI154&lt;&gt;"",IF('Capacity summary'!$C$14="Yes",IF(COUNTBLANK('Capacity summary'!$H66:$BG66)&lt;52,IF('Capacity summary'!AL66&lt;&gt;"",$BI154*AL154,0),AL154*$BI154),AL154*$BI154),0)</f>
        <v>0</v>
      </c>
      <c r="CP154" s="5">
        <f>IF($BI154&lt;&gt;"",IF('Capacity summary'!$C$14="Yes",IF(COUNTBLANK('Capacity summary'!$H66:$BG66)&lt;52,IF('Capacity summary'!AM66&lt;&gt;"",$BI154*AM154,0),AM154*$BI154),AM154*$BI154),0)</f>
        <v>0</v>
      </c>
      <c r="CQ154" s="5">
        <f>IF($BI154&lt;&gt;"",IF('Capacity summary'!$C$14="Yes",IF(COUNTBLANK('Capacity summary'!$H66:$BG66)&lt;52,IF('Capacity summary'!AN66&lt;&gt;"",$BI154*AN154,0),AN154*$BI154),AN154*$BI154),0)</f>
        <v>0</v>
      </c>
      <c r="CR154" s="5">
        <f>IF($BI154&lt;&gt;"",IF('Capacity summary'!$C$14="Yes",IF(COUNTBLANK('Capacity summary'!$H66:$BG66)&lt;52,IF('Capacity summary'!AO66&lt;&gt;"",$BI154*AO154,0),AO154*$BI154),AO154*$BI154),0)</f>
        <v>0</v>
      </c>
      <c r="CS154" s="5">
        <f>IF($BI154&lt;&gt;"",IF('Capacity summary'!$C$14="Yes",IF(COUNTBLANK('Capacity summary'!$H66:$BG66)&lt;52,IF('Capacity summary'!AP66&lt;&gt;"",$BI154*AP154,0),AP154*$BI154),AP154*$BI154),0)</f>
        <v>0</v>
      </c>
      <c r="CT154" s="5">
        <f>IF($BI154&lt;&gt;"",IF('Capacity summary'!$C$14="Yes",IF(COUNTBLANK('Capacity summary'!$H66:$BG66)&lt;52,IF('Capacity summary'!AQ66&lt;&gt;"",$BI154*AQ154,0),AQ154*$BI154),AQ154*$BI154),0)</f>
        <v>0</v>
      </c>
      <c r="CU154" s="5">
        <f>IF($BI154&lt;&gt;"",IF('Capacity summary'!$C$14="Yes",IF(COUNTBLANK('Capacity summary'!$H66:$BG66)&lt;52,IF('Capacity summary'!AR66&lt;&gt;"",$BI154*AR154,0),AR154*$BI154),AR154*$BI154),0)</f>
        <v>0</v>
      </c>
      <c r="CV154" s="5">
        <f>IF($BI154&lt;&gt;"",IF('Capacity summary'!$C$14="Yes",IF(COUNTBLANK('Capacity summary'!$H66:$BG66)&lt;52,IF('Capacity summary'!AS66&lt;&gt;"",$BI154*AS154,0),AS154*$BI154),AS154*$BI154),0)</f>
        <v>0</v>
      </c>
      <c r="CW154" s="5">
        <f>IF($BI154&lt;&gt;"",IF('Capacity summary'!$C$14="Yes",IF(COUNTBLANK('Capacity summary'!$H66:$BG66)&lt;52,IF('Capacity summary'!AT66&lt;&gt;"",$BI154*AT154,0),AT154*$BI154),AT154*$BI154),0)</f>
        <v>0</v>
      </c>
      <c r="CX154" s="5">
        <f>IF($BI154&lt;&gt;"",IF('Capacity summary'!$C$14="Yes",IF(COUNTBLANK('Capacity summary'!$H66:$BG66)&lt;52,IF('Capacity summary'!AU66&lt;&gt;"",$BI154*AU154,0),AU154*$BI154),AU154*$BI154),0)</f>
        <v>0</v>
      </c>
      <c r="CY154" s="5">
        <f>IF($BI154&lt;&gt;"",IF('Capacity summary'!$C$14="Yes",IF(COUNTBLANK('Capacity summary'!$H66:$BG66)&lt;52,IF('Capacity summary'!AV66&lt;&gt;"",$BI154*AV154,0),AV154*$BI154),AV154*$BI154),0)</f>
        <v>0</v>
      </c>
      <c r="CZ154" s="5">
        <f>IF($BI154&lt;&gt;"",IF('Capacity summary'!$C$14="Yes",IF(COUNTBLANK('Capacity summary'!$H66:$BG66)&lt;52,IF('Capacity summary'!AW66&lt;&gt;"",$BI154*AW154,0),AW154*$BI154),AW154*$BI154),0)</f>
        <v>0</v>
      </c>
      <c r="DA154" s="5">
        <f>IF($BI154&lt;&gt;"",IF('Capacity summary'!$C$14="Yes",IF(COUNTBLANK('Capacity summary'!$H66:$BG66)&lt;52,IF('Capacity summary'!AX66&lt;&gt;"",$BI154*AX154,0),AX154*$BI154),AX154*$BI154),0)</f>
        <v>0</v>
      </c>
      <c r="DB154" s="5">
        <f>IF($BI154&lt;&gt;"",IF('Capacity summary'!$C$14="Yes",IF(COUNTBLANK('Capacity summary'!$H66:$BG66)&lt;52,IF('Capacity summary'!AY66&lt;&gt;"",$BI154*AY154,0),AY154*$BI154),AY154*$BI154),0)</f>
        <v>0</v>
      </c>
      <c r="DC154" s="5">
        <f>IF($BI154&lt;&gt;"",IF('Capacity summary'!$C$14="Yes",IF(COUNTBLANK('Capacity summary'!$H66:$BG66)&lt;52,IF('Capacity summary'!AZ66&lt;&gt;"",$BI154*AZ154,0),AZ154*$BI154),AZ154*$BI154),0)</f>
        <v>0</v>
      </c>
      <c r="DD154" s="5">
        <f>IF($BI154&lt;&gt;"",IF('Capacity summary'!$C$14="Yes",IF(COUNTBLANK('Capacity summary'!$H66:$BG66)&lt;52,IF('Capacity summary'!BA66&lt;&gt;"",$BI154*BA154,0),BA154*$BI154),BA154*$BI154),0)</f>
        <v>0</v>
      </c>
      <c r="DE154" s="5">
        <f>IF($BI154&lt;&gt;"",IF('Capacity summary'!$C$14="Yes",IF(COUNTBLANK('Capacity summary'!$H66:$BG66)&lt;52,IF('Capacity summary'!BB66&lt;&gt;"",$BI154*BB154,0),BB154*$BI154),BB154*$BI154),0)</f>
        <v>0</v>
      </c>
      <c r="DF154" s="5">
        <f>IF($BI154&lt;&gt;"",IF('Capacity summary'!$C$14="Yes",IF(COUNTBLANK('Capacity summary'!$H66:$BG66)&lt;52,IF('Capacity summary'!BC66&lt;&gt;"",$BI154*BC154,0),BC154*$BI154),BC154*$BI154),0)</f>
        <v>0</v>
      </c>
      <c r="DG154" s="5">
        <f>IF($BI154&lt;&gt;"",IF('Capacity summary'!$C$14="Yes",IF(COUNTBLANK('Capacity summary'!$H66:$BG66)&lt;52,IF('Capacity summary'!BD66&lt;&gt;"",$BI154*BD154,0),BD154*$BI154),BD154*$BI154),0)</f>
        <v>0</v>
      </c>
      <c r="DH154" s="5">
        <f>IF($BI154&lt;&gt;"",IF('Capacity summary'!$C$14="Yes",IF(COUNTBLANK('Capacity summary'!$H66:$BG66)&lt;52,IF('Capacity summary'!BE66&lt;&gt;"",$BI154*BE154,0),BE154*$BI154),BE154*$BI154),0)</f>
        <v>0</v>
      </c>
      <c r="DI154" s="5">
        <f>IF($BI154&lt;&gt;"",IF('Capacity summary'!$C$14="Yes",IF(COUNTBLANK('Capacity summary'!$H66:$BG66)&lt;52,IF('Capacity summary'!BF66&lt;&gt;"",$BI154*BF154,0),BF154*$BI154),BF154*$BI154),0)</f>
        <v>0</v>
      </c>
      <c r="DJ154" s="5">
        <f>IF($BI154&lt;&gt;"",IF('Capacity summary'!$C$14="Yes",IF(COUNTBLANK('Capacity summary'!$H66:$BG66)&lt;52,IF('Capacity summary'!BG66&lt;&gt;"",$BI154*BG154,0),BG154*$BI154),BG154*$BI154),0)</f>
        <v>0</v>
      </c>
      <c r="DK154" s="138">
        <f t="shared" si="6"/>
        <v>0</v>
      </c>
    </row>
    <row r="155" spans="3:115" x14ac:dyDescent="0.2">
      <c r="C155" s="68" t="str">
        <f>ROW(A44)&amp;". "&amp;Capacity!N60</f>
        <v xml:space="preserve">44. </v>
      </c>
      <c r="D155" s="68">
        <f>'Capacity setup'!C161</f>
        <v>0</v>
      </c>
      <c r="E155" s="68">
        <f>'Capacity setup'!D161</f>
        <v>0</v>
      </c>
      <c r="F155" s="68">
        <f>'Capacity setup'!E161</f>
        <v>0</v>
      </c>
      <c r="H155" s="68">
        <f ca="1">IF(AND(SUMIF(Capacity_Resource,$D155,'Critical resources (hide)'!U$6:U$105)+SUMIF(Capacity_Resource,$E155,'Critical resources (hide)'!U$6:U$105)+SUMIF(Capacity_Resource,$F155,'Critical resources (hide)'!U$6:U$105)&gt;0,$E$1=2),0,1)</f>
        <v>1</v>
      </c>
      <c r="I155" s="68">
        <f ca="1">IF(AND(SUMIF(Capacity_Resource,$D155,'Critical resources (hide)'!V$6:V$105)+SUMIF(Capacity_Resource,$E155,'Critical resources (hide)'!V$6:V$105)+SUMIF(Capacity_Resource,$F155,'Critical resources (hide)'!V$6:V$105)&gt;0,$E$1=2),0,1)</f>
        <v>1</v>
      </c>
      <c r="J155" s="68">
        <f ca="1">IF(AND(SUMIF(Capacity_Resource,$D155,'Critical resources (hide)'!W$6:W$105)+SUMIF(Capacity_Resource,$E155,'Critical resources (hide)'!W$6:W$105)+SUMIF(Capacity_Resource,$F155,'Critical resources (hide)'!W$6:W$105)&gt;0,$E$1=2),0,1)</f>
        <v>1</v>
      </c>
      <c r="K155" s="68">
        <f ca="1">IF(AND(SUMIF(Capacity_Resource,$D155,'Critical resources (hide)'!X$6:X$105)+SUMIF(Capacity_Resource,$E155,'Critical resources (hide)'!X$6:X$105)+SUMIF(Capacity_Resource,$F155,'Critical resources (hide)'!X$6:X$105)&gt;0,$E$1=2),0,1)</f>
        <v>1</v>
      </c>
      <c r="L155" s="68">
        <f ca="1">IF(AND(SUMIF(Capacity_Resource,$D155,'Critical resources (hide)'!Y$6:Y$105)+SUMIF(Capacity_Resource,$E155,'Critical resources (hide)'!Y$6:Y$105)+SUMIF(Capacity_Resource,$F155,'Critical resources (hide)'!Y$6:Y$105)&gt;0,$E$1=2),0,1)</f>
        <v>1</v>
      </c>
      <c r="M155" s="68">
        <f ca="1">IF(AND(SUMIF(Capacity_Resource,$D155,'Critical resources (hide)'!Z$6:Z$105)+SUMIF(Capacity_Resource,$E155,'Critical resources (hide)'!Z$6:Z$105)+SUMIF(Capacity_Resource,$F155,'Critical resources (hide)'!Z$6:Z$105)&gt;0,$E$1=2),0,1)</f>
        <v>1</v>
      </c>
      <c r="N155" s="68">
        <f ca="1">IF(AND(SUMIF(Capacity_Resource,$D155,'Critical resources (hide)'!AA$6:AA$105)+SUMIF(Capacity_Resource,$E155,'Critical resources (hide)'!AA$6:AA$105)+SUMIF(Capacity_Resource,$F155,'Critical resources (hide)'!AA$6:AA$105)&gt;0,$E$1=2),0,1)</f>
        <v>1</v>
      </c>
      <c r="O155" s="68">
        <f ca="1">IF(AND(SUMIF(Capacity_Resource,$D155,'Critical resources (hide)'!AB$6:AB$105)+SUMIF(Capacity_Resource,$E155,'Critical resources (hide)'!AB$6:AB$105)+SUMIF(Capacity_Resource,$F155,'Critical resources (hide)'!AB$6:AB$105)&gt;0,$E$1=2),0,1)</f>
        <v>1</v>
      </c>
      <c r="P155" s="68">
        <f ca="1">IF(AND(SUMIF(Capacity_Resource,$D155,'Critical resources (hide)'!AC$6:AC$105)+SUMIF(Capacity_Resource,$E155,'Critical resources (hide)'!AC$6:AC$105)+SUMIF(Capacity_Resource,$F155,'Critical resources (hide)'!AC$6:AC$105)&gt;0,$E$1=2),0,1)</f>
        <v>1</v>
      </c>
      <c r="Q155" s="68">
        <f ca="1">IF(AND(SUMIF(Capacity_Resource,$D155,'Critical resources (hide)'!AD$6:AD$105)+SUMIF(Capacity_Resource,$E155,'Critical resources (hide)'!AD$6:AD$105)+SUMIF(Capacity_Resource,$F155,'Critical resources (hide)'!AD$6:AD$105)&gt;0,$E$1=2),0,1)</f>
        <v>1</v>
      </c>
      <c r="R155" s="68">
        <f ca="1">IF(AND(SUMIF(Capacity_Resource,$D155,'Critical resources (hide)'!AE$6:AE$105)+SUMIF(Capacity_Resource,$E155,'Critical resources (hide)'!AE$6:AE$105)+SUMIF(Capacity_Resource,$F155,'Critical resources (hide)'!AE$6:AE$105)&gt;0,$E$1=2),0,1)</f>
        <v>1</v>
      </c>
      <c r="S155" s="68">
        <f ca="1">IF(AND(SUMIF(Capacity_Resource,$D155,'Critical resources (hide)'!AF$6:AF$105)+SUMIF(Capacity_Resource,$E155,'Critical resources (hide)'!AF$6:AF$105)+SUMIF(Capacity_Resource,$F155,'Critical resources (hide)'!AF$6:AF$105)&gt;0,$E$1=2),0,1)</f>
        <v>1</v>
      </c>
      <c r="T155" s="68">
        <f ca="1">IF(AND(SUMIF(Capacity_Resource,$D155,'Critical resources (hide)'!AG$6:AG$105)+SUMIF(Capacity_Resource,$E155,'Critical resources (hide)'!AG$6:AG$105)+SUMIF(Capacity_Resource,$F155,'Critical resources (hide)'!AG$6:AG$105)&gt;0,$E$1=2),0,1)</f>
        <v>1</v>
      </c>
      <c r="U155" s="68">
        <f ca="1">IF(AND(SUMIF(Capacity_Resource,$D155,'Critical resources (hide)'!AH$6:AH$105)+SUMIF(Capacity_Resource,$E155,'Critical resources (hide)'!AH$6:AH$105)+SUMIF(Capacity_Resource,$F155,'Critical resources (hide)'!AH$6:AH$105)&gt;0,$E$1=2),0,1)</f>
        <v>1</v>
      </c>
      <c r="V155" s="68">
        <f ca="1">IF(AND(SUMIF(Capacity_Resource,$D155,'Critical resources (hide)'!AI$6:AI$105)+SUMIF(Capacity_Resource,$E155,'Critical resources (hide)'!AI$6:AI$105)+SUMIF(Capacity_Resource,$F155,'Critical resources (hide)'!AI$6:AI$105)&gt;0,$E$1=2),0,1)</f>
        <v>1</v>
      </c>
      <c r="W155" s="68">
        <f ca="1">IF(AND(SUMIF(Capacity_Resource,$D155,'Critical resources (hide)'!AJ$6:AJ$105)+SUMIF(Capacity_Resource,$E155,'Critical resources (hide)'!AJ$6:AJ$105)+SUMIF(Capacity_Resource,$F155,'Critical resources (hide)'!AJ$6:AJ$105)&gt;0,$E$1=2),0,1)</f>
        <v>1</v>
      </c>
      <c r="X155" s="68">
        <f ca="1">IF(AND(SUMIF(Capacity_Resource,$D155,'Critical resources (hide)'!AK$6:AK$105)+SUMIF(Capacity_Resource,$E155,'Critical resources (hide)'!AK$6:AK$105)+SUMIF(Capacity_Resource,$F155,'Critical resources (hide)'!AK$6:AK$105)&gt;0,$E$1=2),0,1)</f>
        <v>1</v>
      </c>
      <c r="Y155" s="68">
        <f ca="1">IF(AND(SUMIF(Capacity_Resource,$D155,'Critical resources (hide)'!AL$6:AL$105)+SUMIF(Capacity_Resource,$E155,'Critical resources (hide)'!AL$6:AL$105)+SUMIF(Capacity_Resource,$F155,'Critical resources (hide)'!AL$6:AL$105)&gt;0,$E$1=2),0,1)</f>
        <v>1</v>
      </c>
      <c r="Z155" s="68">
        <f ca="1">IF(AND(SUMIF(Capacity_Resource,$D155,'Critical resources (hide)'!AM$6:AM$105)+SUMIF(Capacity_Resource,$E155,'Critical resources (hide)'!AM$6:AM$105)+SUMIF(Capacity_Resource,$F155,'Critical resources (hide)'!AM$6:AM$105)&gt;0,$E$1=2),0,1)</f>
        <v>1</v>
      </c>
      <c r="AA155" s="68">
        <f ca="1">IF(AND(SUMIF(Capacity_Resource,$D155,'Critical resources (hide)'!AN$6:AN$105)+SUMIF(Capacity_Resource,$E155,'Critical resources (hide)'!AN$6:AN$105)+SUMIF(Capacity_Resource,$F155,'Critical resources (hide)'!AN$6:AN$105)&gt;0,$E$1=2),0,1)</f>
        <v>1</v>
      </c>
      <c r="AB155" s="68">
        <f ca="1">IF(AND(SUMIF(Capacity_Resource,$D155,'Critical resources (hide)'!AO$6:AO$105)+SUMIF(Capacity_Resource,$E155,'Critical resources (hide)'!AO$6:AO$105)+SUMIF(Capacity_Resource,$F155,'Critical resources (hide)'!AO$6:AO$105)&gt;0,$E$1=2),0,1)</f>
        <v>1</v>
      </c>
      <c r="AC155" s="68">
        <f ca="1">IF(AND(SUMIF(Capacity_Resource,$D155,'Critical resources (hide)'!AP$6:AP$105)+SUMIF(Capacity_Resource,$E155,'Critical resources (hide)'!AP$6:AP$105)+SUMIF(Capacity_Resource,$F155,'Critical resources (hide)'!AP$6:AP$105)&gt;0,$E$1=2),0,1)</f>
        <v>1</v>
      </c>
      <c r="AD155" s="68">
        <f ca="1">IF(AND(SUMIF(Capacity_Resource,$D155,'Critical resources (hide)'!AQ$6:AQ$105)+SUMIF(Capacity_Resource,$E155,'Critical resources (hide)'!AQ$6:AQ$105)+SUMIF(Capacity_Resource,$F155,'Critical resources (hide)'!AQ$6:AQ$105)&gt;0,$E$1=2),0,1)</f>
        <v>1</v>
      </c>
      <c r="AE155" s="68">
        <f ca="1">IF(AND(SUMIF(Capacity_Resource,$D155,'Critical resources (hide)'!AR$6:AR$105)+SUMIF(Capacity_Resource,$E155,'Critical resources (hide)'!AR$6:AR$105)+SUMIF(Capacity_Resource,$F155,'Critical resources (hide)'!AR$6:AR$105)&gt;0,$E$1=2),0,1)</f>
        <v>1</v>
      </c>
      <c r="AF155" s="68">
        <f ca="1">IF(AND(SUMIF(Capacity_Resource,$D155,'Critical resources (hide)'!AS$6:AS$105)+SUMIF(Capacity_Resource,$E155,'Critical resources (hide)'!AS$6:AS$105)+SUMIF(Capacity_Resource,$F155,'Critical resources (hide)'!AS$6:AS$105)&gt;0,$E$1=2),0,1)</f>
        <v>1</v>
      </c>
      <c r="AG155" s="68">
        <f ca="1">IF(AND(SUMIF(Capacity_Resource,$D155,'Critical resources (hide)'!AT$6:AT$105)+SUMIF(Capacity_Resource,$E155,'Critical resources (hide)'!AT$6:AT$105)+SUMIF(Capacity_Resource,$F155,'Critical resources (hide)'!AT$6:AT$105)&gt;0,$E$1=2),0,1)</f>
        <v>1</v>
      </c>
      <c r="AH155" s="68">
        <f ca="1">IF(AND(SUMIF(Capacity_Resource,$D155,'Critical resources (hide)'!AU$6:AU$105)+SUMIF(Capacity_Resource,$E155,'Critical resources (hide)'!AU$6:AU$105)+SUMIF(Capacity_Resource,$F155,'Critical resources (hide)'!AU$6:AU$105)&gt;0,$E$1=2),0,1)</f>
        <v>1</v>
      </c>
      <c r="AI155" s="68">
        <f ca="1">IF(AND(SUMIF(Capacity_Resource,$D155,'Critical resources (hide)'!AV$6:AV$105)+SUMIF(Capacity_Resource,$E155,'Critical resources (hide)'!AV$6:AV$105)+SUMIF(Capacity_Resource,$F155,'Critical resources (hide)'!AV$6:AV$105)&gt;0,$E$1=2),0,1)</f>
        <v>1</v>
      </c>
      <c r="AJ155" s="68">
        <f ca="1">IF(AND(SUMIF(Capacity_Resource,$D155,'Critical resources (hide)'!AW$6:AW$105)+SUMIF(Capacity_Resource,$E155,'Critical resources (hide)'!AW$6:AW$105)+SUMIF(Capacity_Resource,$F155,'Critical resources (hide)'!AW$6:AW$105)&gt;0,$E$1=2),0,1)</f>
        <v>1</v>
      </c>
      <c r="AK155" s="68">
        <f ca="1">IF(AND(SUMIF(Capacity_Resource,$D155,'Critical resources (hide)'!AX$6:AX$105)+SUMIF(Capacity_Resource,$E155,'Critical resources (hide)'!AX$6:AX$105)+SUMIF(Capacity_Resource,$F155,'Critical resources (hide)'!AX$6:AX$105)&gt;0,$E$1=2),0,1)</f>
        <v>1</v>
      </c>
      <c r="AL155" s="68">
        <f ca="1">IF(AND(SUMIF(Capacity_Resource,$D155,'Critical resources (hide)'!AY$6:AY$105)+SUMIF(Capacity_Resource,$E155,'Critical resources (hide)'!AY$6:AY$105)+SUMIF(Capacity_Resource,$F155,'Critical resources (hide)'!AY$6:AY$105)&gt;0,$E$1=2),0,1)</f>
        <v>1</v>
      </c>
      <c r="AM155" s="68">
        <f ca="1">IF(AND(SUMIF(Capacity_Resource,$D155,'Critical resources (hide)'!AZ$6:AZ$105)+SUMIF(Capacity_Resource,$E155,'Critical resources (hide)'!AZ$6:AZ$105)+SUMIF(Capacity_Resource,$F155,'Critical resources (hide)'!AZ$6:AZ$105)&gt;0,$E$1=2),0,1)</f>
        <v>1</v>
      </c>
      <c r="AN155" s="68">
        <f ca="1">IF(AND(SUMIF(Capacity_Resource,$D155,'Critical resources (hide)'!BA$6:BA$105)+SUMIF(Capacity_Resource,$E155,'Critical resources (hide)'!BA$6:BA$105)+SUMIF(Capacity_Resource,$F155,'Critical resources (hide)'!BA$6:BA$105)&gt;0,$E$1=2),0,1)</f>
        <v>1</v>
      </c>
      <c r="AO155" s="68">
        <f ca="1">IF(AND(SUMIF(Capacity_Resource,$D155,'Critical resources (hide)'!BB$6:BB$105)+SUMIF(Capacity_Resource,$E155,'Critical resources (hide)'!BB$6:BB$105)+SUMIF(Capacity_Resource,$F155,'Critical resources (hide)'!BB$6:BB$105)&gt;0,$E$1=2),0,1)</f>
        <v>1</v>
      </c>
      <c r="AP155" s="68">
        <f ca="1">IF(AND(SUMIF(Capacity_Resource,$D155,'Critical resources (hide)'!BC$6:BC$105)+SUMIF(Capacity_Resource,$E155,'Critical resources (hide)'!BC$6:BC$105)+SUMIF(Capacity_Resource,$F155,'Critical resources (hide)'!BC$6:BC$105)&gt;0,$E$1=2),0,1)</f>
        <v>1</v>
      </c>
      <c r="AQ155" s="68">
        <f ca="1">IF(AND(SUMIF(Capacity_Resource,$D155,'Critical resources (hide)'!BD$6:BD$105)+SUMIF(Capacity_Resource,$E155,'Critical resources (hide)'!BD$6:BD$105)+SUMIF(Capacity_Resource,$F155,'Critical resources (hide)'!BD$6:BD$105)&gt;0,$E$1=2),0,1)</f>
        <v>1</v>
      </c>
      <c r="AR155" s="68">
        <f ca="1">IF(AND(SUMIF(Capacity_Resource,$D155,'Critical resources (hide)'!BE$6:BE$105)+SUMIF(Capacity_Resource,$E155,'Critical resources (hide)'!BE$6:BE$105)+SUMIF(Capacity_Resource,$F155,'Critical resources (hide)'!BE$6:BE$105)&gt;0,$E$1=2),0,1)</f>
        <v>1</v>
      </c>
      <c r="AS155" s="68">
        <f ca="1">IF(AND(SUMIF(Capacity_Resource,$D155,'Critical resources (hide)'!BF$6:BF$105)+SUMIF(Capacity_Resource,$E155,'Critical resources (hide)'!BF$6:BF$105)+SUMIF(Capacity_Resource,$F155,'Critical resources (hide)'!BF$6:BF$105)&gt;0,$E$1=2),0,1)</f>
        <v>1</v>
      </c>
      <c r="AT155" s="68">
        <f ca="1">IF(AND(SUMIF(Capacity_Resource,$D155,'Critical resources (hide)'!BG$6:BG$105)+SUMIF(Capacity_Resource,$E155,'Critical resources (hide)'!BG$6:BG$105)+SUMIF(Capacity_Resource,$F155,'Critical resources (hide)'!BG$6:BG$105)&gt;0,$E$1=2),0,1)</f>
        <v>1</v>
      </c>
      <c r="AU155" s="68">
        <f ca="1">IF(AND(SUMIF(Capacity_Resource,$D155,'Critical resources (hide)'!BH$6:BH$105)+SUMIF(Capacity_Resource,$E155,'Critical resources (hide)'!BH$6:BH$105)+SUMIF(Capacity_Resource,$F155,'Critical resources (hide)'!BH$6:BH$105)&gt;0,$E$1=2),0,1)</f>
        <v>1</v>
      </c>
      <c r="AV155" s="68">
        <f ca="1">IF(AND(SUMIF(Capacity_Resource,$D155,'Critical resources (hide)'!BI$6:BI$105)+SUMIF(Capacity_Resource,$E155,'Critical resources (hide)'!BI$6:BI$105)+SUMIF(Capacity_Resource,$F155,'Critical resources (hide)'!BI$6:BI$105)&gt;0,$E$1=2),0,1)</f>
        <v>1</v>
      </c>
      <c r="AW155" s="68">
        <f ca="1">IF(AND(SUMIF(Capacity_Resource,$D155,'Critical resources (hide)'!BJ$6:BJ$105)+SUMIF(Capacity_Resource,$E155,'Critical resources (hide)'!BJ$6:BJ$105)+SUMIF(Capacity_Resource,$F155,'Critical resources (hide)'!BJ$6:BJ$105)&gt;0,$E$1=2),0,1)</f>
        <v>1</v>
      </c>
      <c r="AX155" s="68">
        <f ca="1">IF(AND(SUMIF(Capacity_Resource,$D155,'Critical resources (hide)'!BK$6:BK$105)+SUMIF(Capacity_Resource,$E155,'Critical resources (hide)'!BK$6:BK$105)+SUMIF(Capacity_Resource,$F155,'Critical resources (hide)'!BK$6:BK$105)&gt;0,$E$1=2),0,1)</f>
        <v>1</v>
      </c>
      <c r="AY155" s="68">
        <f ca="1">IF(AND(SUMIF(Capacity_Resource,$D155,'Critical resources (hide)'!BL$6:BL$105)+SUMIF(Capacity_Resource,$E155,'Critical resources (hide)'!BL$6:BL$105)+SUMIF(Capacity_Resource,$F155,'Critical resources (hide)'!BL$6:BL$105)&gt;0,$E$1=2),0,1)</f>
        <v>1</v>
      </c>
      <c r="AZ155" s="68">
        <f ca="1">IF(AND(SUMIF(Capacity_Resource,$D155,'Critical resources (hide)'!BM$6:BM$105)+SUMIF(Capacity_Resource,$E155,'Critical resources (hide)'!BM$6:BM$105)+SUMIF(Capacity_Resource,$F155,'Critical resources (hide)'!BM$6:BM$105)&gt;0,$E$1=2),0,1)</f>
        <v>1</v>
      </c>
      <c r="BA155" s="68">
        <f ca="1">IF(AND(SUMIF(Capacity_Resource,$D155,'Critical resources (hide)'!BN$6:BN$105)+SUMIF(Capacity_Resource,$E155,'Critical resources (hide)'!BN$6:BN$105)+SUMIF(Capacity_Resource,$F155,'Critical resources (hide)'!BN$6:BN$105)&gt;0,$E$1=2),0,1)</f>
        <v>1</v>
      </c>
      <c r="BB155" s="68">
        <f ca="1">IF(AND(SUMIF(Capacity_Resource,$D155,'Critical resources (hide)'!BO$6:BO$105)+SUMIF(Capacity_Resource,$E155,'Critical resources (hide)'!BO$6:BO$105)+SUMIF(Capacity_Resource,$F155,'Critical resources (hide)'!BO$6:BO$105)&gt;0,$E$1=2),0,1)</f>
        <v>1</v>
      </c>
      <c r="BC155" s="68">
        <f ca="1">IF(AND(SUMIF(Capacity_Resource,$D155,'Critical resources (hide)'!BP$6:BP$105)+SUMIF(Capacity_Resource,$E155,'Critical resources (hide)'!BP$6:BP$105)+SUMIF(Capacity_Resource,$F155,'Critical resources (hide)'!BP$6:BP$105)&gt;0,$E$1=2),0,1)</f>
        <v>1</v>
      </c>
      <c r="BD155" s="68">
        <f ca="1">IF(AND(SUMIF(Capacity_Resource,$D155,'Critical resources (hide)'!BQ$6:BQ$105)+SUMIF(Capacity_Resource,$E155,'Critical resources (hide)'!BQ$6:BQ$105)+SUMIF(Capacity_Resource,$F155,'Critical resources (hide)'!BQ$6:BQ$105)&gt;0,$E$1=2),0,1)</f>
        <v>1</v>
      </c>
      <c r="BE155" s="68">
        <f ca="1">IF(AND(SUMIF(Capacity_Resource,$D155,'Critical resources (hide)'!BR$6:BR$105)+SUMIF(Capacity_Resource,$E155,'Critical resources (hide)'!BR$6:BR$105)+SUMIF(Capacity_Resource,$F155,'Critical resources (hide)'!BR$6:BR$105)&gt;0,$E$1=2),0,1)</f>
        <v>1</v>
      </c>
      <c r="BF155" s="68">
        <f ca="1">IF(AND(SUMIF(Capacity_Resource,$D155,'Critical resources (hide)'!BS$6:BS$105)+SUMIF(Capacity_Resource,$E155,'Critical resources (hide)'!BS$6:BS$105)+SUMIF(Capacity_Resource,$F155,'Critical resources (hide)'!BS$6:BS$105)&gt;0,$E$1=2),0,1)</f>
        <v>1</v>
      </c>
      <c r="BG155" s="68">
        <f ca="1">IF(AND(SUMIF(Capacity_Resource,$D155,'Critical resources (hide)'!BT$6:BT$105)+SUMIF(Capacity_Resource,$E155,'Critical resources (hide)'!BT$6:BT$105)+SUMIF(Capacity_Resource,$F155,'Critical resources (hide)'!BT$6:BT$105)&gt;0,$E$1=2),0,1)</f>
        <v>1</v>
      </c>
      <c r="BH155" s="68">
        <f>IF(ROW(A44)&lt;=Capacity!$M$16,IF('Capacity summary'!$C$14="No",SUM(H155:BG155),'Capacity summary'!$E67),0)</f>
        <v>0</v>
      </c>
      <c r="BI155" s="68" t="str">
        <f>IF(BH155&gt;0,IF(BH155&lt;Capacity!Q60,Capacity!R60,Capacity!T60/'Capacity calculation (hide)'!BH155),"")</f>
        <v/>
      </c>
      <c r="BJ155" s="5"/>
      <c r="BK155" s="5">
        <f>IF($BI155&lt;&gt;"",IF('Capacity summary'!$C$14="Yes",IF(COUNTBLANK('Capacity summary'!$H67:$BG67)&lt;52,IF('Capacity summary'!H67&lt;&gt;"",$BI155*H155,0),H155*$BI155),H155*$BI155),0)</f>
        <v>0</v>
      </c>
      <c r="BL155" s="5">
        <f>IF($BI155&lt;&gt;"",IF('Capacity summary'!$C$14="Yes",IF(COUNTBLANK('Capacity summary'!$H67:$BG67)&lt;52,IF('Capacity summary'!I67&lt;&gt;"",$BI155*I155,0),I155*$BI155),I155*$BI155),0)</f>
        <v>0</v>
      </c>
      <c r="BM155" s="5">
        <f>IF($BI155&lt;&gt;"",IF('Capacity summary'!$C$14="Yes",IF(COUNTBLANK('Capacity summary'!$H67:$BG67)&lt;52,IF('Capacity summary'!J67&lt;&gt;"",$BI155*J155,0),J155*$BI155),J155*$BI155),0)</f>
        <v>0</v>
      </c>
      <c r="BN155" s="5">
        <f>IF($BI155&lt;&gt;"",IF('Capacity summary'!$C$14="Yes",IF(COUNTBLANK('Capacity summary'!$H67:$BG67)&lt;52,IF('Capacity summary'!K67&lt;&gt;"",$BI155*K155,0),K155*$BI155),K155*$BI155),0)</f>
        <v>0</v>
      </c>
      <c r="BO155" s="5">
        <f>IF($BI155&lt;&gt;"",IF('Capacity summary'!$C$14="Yes",IF(COUNTBLANK('Capacity summary'!$H67:$BG67)&lt;52,IF('Capacity summary'!L67&lt;&gt;"",$BI155*L155,0),L155*$BI155),L155*$BI155),0)</f>
        <v>0</v>
      </c>
      <c r="BP155" s="5">
        <f>IF($BI155&lt;&gt;"",IF('Capacity summary'!$C$14="Yes",IF(COUNTBLANK('Capacity summary'!$H67:$BG67)&lt;52,IF('Capacity summary'!M67&lt;&gt;"",$BI155*M155,0),M155*$BI155),M155*$BI155),0)</f>
        <v>0</v>
      </c>
      <c r="BQ155" s="5">
        <f>IF($BI155&lt;&gt;"",IF('Capacity summary'!$C$14="Yes",IF(COUNTBLANK('Capacity summary'!$H67:$BG67)&lt;52,IF('Capacity summary'!N67&lt;&gt;"",$BI155*N155,0),N155*$BI155),N155*$BI155),0)</f>
        <v>0</v>
      </c>
      <c r="BR155" s="5">
        <f>IF($BI155&lt;&gt;"",IF('Capacity summary'!$C$14="Yes",IF(COUNTBLANK('Capacity summary'!$H67:$BG67)&lt;52,IF('Capacity summary'!O67&lt;&gt;"",$BI155*O155,0),O155*$BI155),O155*$BI155),0)</f>
        <v>0</v>
      </c>
      <c r="BS155" s="5">
        <f>IF($BI155&lt;&gt;"",IF('Capacity summary'!$C$14="Yes",IF(COUNTBLANK('Capacity summary'!$H67:$BG67)&lt;52,IF('Capacity summary'!P67&lt;&gt;"",$BI155*P155,0),P155*$BI155),P155*$BI155),0)</f>
        <v>0</v>
      </c>
      <c r="BT155" s="5">
        <f>IF($BI155&lt;&gt;"",IF('Capacity summary'!$C$14="Yes",IF(COUNTBLANK('Capacity summary'!$H67:$BG67)&lt;52,IF('Capacity summary'!Q67&lt;&gt;"",$BI155*Q155,0),Q155*$BI155),Q155*$BI155),0)</f>
        <v>0</v>
      </c>
      <c r="BU155" s="5">
        <f>IF($BI155&lt;&gt;"",IF('Capacity summary'!$C$14="Yes",IF(COUNTBLANK('Capacity summary'!$H67:$BG67)&lt;52,IF('Capacity summary'!R67&lt;&gt;"",$BI155*R155,0),R155*$BI155),R155*$BI155),0)</f>
        <v>0</v>
      </c>
      <c r="BV155" s="5">
        <f>IF($BI155&lt;&gt;"",IF('Capacity summary'!$C$14="Yes",IF(COUNTBLANK('Capacity summary'!$H67:$BG67)&lt;52,IF('Capacity summary'!S67&lt;&gt;"",$BI155*S155,0),S155*$BI155),S155*$BI155),0)</f>
        <v>0</v>
      </c>
      <c r="BW155" s="5">
        <f>IF($BI155&lt;&gt;"",IF('Capacity summary'!$C$14="Yes",IF(COUNTBLANK('Capacity summary'!$H67:$BG67)&lt;52,IF('Capacity summary'!T67&lt;&gt;"",$BI155*T155,0),T155*$BI155),T155*$BI155),0)</f>
        <v>0</v>
      </c>
      <c r="BX155" s="5">
        <f>IF($BI155&lt;&gt;"",IF('Capacity summary'!$C$14="Yes",IF(COUNTBLANK('Capacity summary'!$H67:$BG67)&lt;52,IF('Capacity summary'!U67&lt;&gt;"",$BI155*U155,0),U155*$BI155),U155*$BI155),0)</f>
        <v>0</v>
      </c>
      <c r="BY155" s="5">
        <f>IF($BI155&lt;&gt;"",IF('Capacity summary'!$C$14="Yes",IF(COUNTBLANK('Capacity summary'!$H67:$BG67)&lt;52,IF('Capacity summary'!V67&lt;&gt;"",$BI155*V155,0),V155*$BI155),V155*$BI155),0)</f>
        <v>0</v>
      </c>
      <c r="BZ155" s="5">
        <f>IF($BI155&lt;&gt;"",IF('Capacity summary'!$C$14="Yes",IF(COUNTBLANK('Capacity summary'!$H67:$BG67)&lt;52,IF('Capacity summary'!W67&lt;&gt;"",$BI155*W155,0),W155*$BI155),W155*$BI155),0)</f>
        <v>0</v>
      </c>
      <c r="CA155" s="5">
        <f>IF($BI155&lt;&gt;"",IF('Capacity summary'!$C$14="Yes",IF(COUNTBLANK('Capacity summary'!$H67:$BG67)&lt;52,IF('Capacity summary'!X67&lt;&gt;"",$BI155*X155,0),X155*$BI155),X155*$BI155),0)</f>
        <v>0</v>
      </c>
      <c r="CB155" s="5">
        <f>IF($BI155&lt;&gt;"",IF('Capacity summary'!$C$14="Yes",IF(COUNTBLANK('Capacity summary'!$H67:$BG67)&lt;52,IF('Capacity summary'!Y67&lt;&gt;"",$BI155*Y155,0),Y155*$BI155),Y155*$BI155),0)</f>
        <v>0</v>
      </c>
      <c r="CC155" s="5">
        <f>IF($BI155&lt;&gt;"",IF('Capacity summary'!$C$14="Yes",IF(COUNTBLANK('Capacity summary'!$H67:$BG67)&lt;52,IF('Capacity summary'!Z67&lt;&gt;"",$BI155*Z155,0),Z155*$BI155),Z155*$BI155),0)</f>
        <v>0</v>
      </c>
      <c r="CD155" s="5">
        <f>IF($BI155&lt;&gt;"",IF('Capacity summary'!$C$14="Yes",IF(COUNTBLANK('Capacity summary'!$H67:$BG67)&lt;52,IF('Capacity summary'!AA67&lt;&gt;"",$BI155*AA155,0),AA155*$BI155),AA155*$BI155),0)</f>
        <v>0</v>
      </c>
      <c r="CE155" s="5">
        <f>IF($BI155&lt;&gt;"",IF('Capacity summary'!$C$14="Yes",IF(COUNTBLANK('Capacity summary'!$H67:$BG67)&lt;52,IF('Capacity summary'!AB67&lt;&gt;"",$BI155*AB155,0),AB155*$BI155),AB155*$BI155),0)</f>
        <v>0</v>
      </c>
      <c r="CF155" s="5">
        <f>IF($BI155&lt;&gt;"",IF('Capacity summary'!$C$14="Yes",IF(COUNTBLANK('Capacity summary'!$H67:$BG67)&lt;52,IF('Capacity summary'!AC67&lt;&gt;"",$BI155*AC155,0),AC155*$BI155),AC155*$BI155),0)</f>
        <v>0</v>
      </c>
      <c r="CG155" s="5">
        <f>IF($BI155&lt;&gt;"",IF('Capacity summary'!$C$14="Yes",IF(COUNTBLANK('Capacity summary'!$H67:$BG67)&lt;52,IF('Capacity summary'!AD67&lt;&gt;"",$BI155*AD155,0),AD155*$BI155),AD155*$BI155),0)</f>
        <v>0</v>
      </c>
      <c r="CH155" s="5">
        <f>IF($BI155&lt;&gt;"",IF('Capacity summary'!$C$14="Yes",IF(COUNTBLANK('Capacity summary'!$H67:$BG67)&lt;52,IF('Capacity summary'!AE67&lt;&gt;"",$BI155*AE155,0),AE155*$BI155),AE155*$BI155),0)</f>
        <v>0</v>
      </c>
      <c r="CI155" s="5">
        <f>IF($BI155&lt;&gt;"",IF('Capacity summary'!$C$14="Yes",IF(COUNTBLANK('Capacity summary'!$H67:$BG67)&lt;52,IF('Capacity summary'!AF67&lt;&gt;"",$BI155*AF155,0),AF155*$BI155),AF155*$BI155),0)</f>
        <v>0</v>
      </c>
      <c r="CJ155" s="5">
        <f>IF($BI155&lt;&gt;"",IF('Capacity summary'!$C$14="Yes",IF(COUNTBLANK('Capacity summary'!$H67:$BG67)&lt;52,IF('Capacity summary'!AG67&lt;&gt;"",$BI155*AG155,0),AG155*$BI155),AG155*$BI155),0)</f>
        <v>0</v>
      </c>
      <c r="CK155" s="5">
        <f>IF($BI155&lt;&gt;"",IF('Capacity summary'!$C$14="Yes",IF(COUNTBLANK('Capacity summary'!$H67:$BG67)&lt;52,IF('Capacity summary'!AH67&lt;&gt;"",$BI155*AH155,0),AH155*$BI155),AH155*$BI155),0)</f>
        <v>0</v>
      </c>
      <c r="CL155" s="5">
        <f>IF($BI155&lt;&gt;"",IF('Capacity summary'!$C$14="Yes",IF(COUNTBLANK('Capacity summary'!$H67:$BG67)&lt;52,IF('Capacity summary'!AI67&lt;&gt;"",$BI155*AI155,0),AI155*$BI155),AI155*$BI155),0)</f>
        <v>0</v>
      </c>
      <c r="CM155" s="5">
        <f>IF($BI155&lt;&gt;"",IF('Capacity summary'!$C$14="Yes",IF(COUNTBLANK('Capacity summary'!$H67:$BG67)&lt;52,IF('Capacity summary'!AJ67&lt;&gt;"",$BI155*AJ155,0),AJ155*$BI155),AJ155*$BI155),0)</f>
        <v>0</v>
      </c>
      <c r="CN155" s="5">
        <f>IF($BI155&lt;&gt;"",IF('Capacity summary'!$C$14="Yes",IF(COUNTBLANK('Capacity summary'!$H67:$BG67)&lt;52,IF('Capacity summary'!AK67&lt;&gt;"",$BI155*AK155,0),AK155*$BI155),AK155*$BI155),0)</f>
        <v>0</v>
      </c>
      <c r="CO155" s="5">
        <f>IF($BI155&lt;&gt;"",IF('Capacity summary'!$C$14="Yes",IF(COUNTBLANK('Capacity summary'!$H67:$BG67)&lt;52,IF('Capacity summary'!AL67&lt;&gt;"",$BI155*AL155,0),AL155*$BI155),AL155*$BI155),0)</f>
        <v>0</v>
      </c>
      <c r="CP155" s="5">
        <f>IF($BI155&lt;&gt;"",IF('Capacity summary'!$C$14="Yes",IF(COUNTBLANK('Capacity summary'!$H67:$BG67)&lt;52,IF('Capacity summary'!AM67&lt;&gt;"",$BI155*AM155,0),AM155*$BI155),AM155*$BI155),0)</f>
        <v>0</v>
      </c>
      <c r="CQ155" s="5">
        <f>IF($BI155&lt;&gt;"",IF('Capacity summary'!$C$14="Yes",IF(COUNTBLANK('Capacity summary'!$H67:$BG67)&lt;52,IF('Capacity summary'!AN67&lt;&gt;"",$BI155*AN155,0),AN155*$BI155),AN155*$BI155),0)</f>
        <v>0</v>
      </c>
      <c r="CR155" s="5">
        <f>IF($BI155&lt;&gt;"",IF('Capacity summary'!$C$14="Yes",IF(COUNTBLANK('Capacity summary'!$H67:$BG67)&lt;52,IF('Capacity summary'!AO67&lt;&gt;"",$BI155*AO155,0),AO155*$BI155),AO155*$BI155),0)</f>
        <v>0</v>
      </c>
      <c r="CS155" s="5">
        <f>IF($BI155&lt;&gt;"",IF('Capacity summary'!$C$14="Yes",IF(COUNTBLANK('Capacity summary'!$H67:$BG67)&lt;52,IF('Capacity summary'!AP67&lt;&gt;"",$BI155*AP155,0),AP155*$BI155),AP155*$BI155),0)</f>
        <v>0</v>
      </c>
      <c r="CT155" s="5">
        <f>IF($BI155&lt;&gt;"",IF('Capacity summary'!$C$14="Yes",IF(COUNTBLANK('Capacity summary'!$H67:$BG67)&lt;52,IF('Capacity summary'!AQ67&lt;&gt;"",$BI155*AQ155,0),AQ155*$BI155),AQ155*$BI155),0)</f>
        <v>0</v>
      </c>
      <c r="CU155" s="5">
        <f>IF($BI155&lt;&gt;"",IF('Capacity summary'!$C$14="Yes",IF(COUNTBLANK('Capacity summary'!$H67:$BG67)&lt;52,IF('Capacity summary'!AR67&lt;&gt;"",$BI155*AR155,0),AR155*$BI155),AR155*$BI155),0)</f>
        <v>0</v>
      </c>
      <c r="CV155" s="5">
        <f>IF($BI155&lt;&gt;"",IF('Capacity summary'!$C$14="Yes",IF(COUNTBLANK('Capacity summary'!$H67:$BG67)&lt;52,IF('Capacity summary'!AS67&lt;&gt;"",$BI155*AS155,0),AS155*$BI155),AS155*$BI155),0)</f>
        <v>0</v>
      </c>
      <c r="CW155" s="5">
        <f>IF($BI155&lt;&gt;"",IF('Capacity summary'!$C$14="Yes",IF(COUNTBLANK('Capacity summary'!$H67:$BG67)&lt;52,IF('Capacity summary'!AT67&lt;&gt;"",$BI155*AT155,0),AT155*$BI155),AT155*$BI155),0)</f>
        <v>0</v>
      </c>
      <c r="CX155" s="5">
        <f>IF($BI155&lt;&gt;"",IF('Capacity summary'!$C$14="Yes",IF(COUNTBLANK('Capacity summary'!$H67:$BG67)&lt;52,IF('Capacity summary'!AU67&lt;&gt;"",$BI155*AU155,0),AU155*$BI155),AU155*$BI155),0)</f>
        <v>0</v>
      </c>
      <c r="CY155" s="5">
        <f>IF($BI155&lt;&gt;"",IF('Capacity summary'!$C$14="Yes",IF(COUNTBLANK('Capacity summary'!$H67:$BG67)&lt;52,IF('Capacity summary'!AV67&lt;&gt;"",$BI155*AV155,0),AV155*$BI155),AV155*$BI155),0)</f>
        <v>0</v>
      </c>
      <c r="CZ155" s="5">
        <f>IF($BI155&lt;&gt;"",IF('Capacity summary'!$C$14="Yes",IF(COUNTBLANK('Capacity summary'!$H67:$BG67)&lt;52,IF('Capacity summary'!AW67&lt;&gt;"",$BI155*AW155,0),AW155*$BI155),AW155*$BI155),0)</f>
        <v>0</v>
      </c>
      <c r="DA155" s="5">
        <f>IF($BI155&lt;&gt;"",IF('Capacity summary'!$C$14="Yes",IF(COUNTBLANK('Capacity summary'!$H67:$BG67)&lt;52,IF('Capacity summary'!AX67&lt;&gt;"",$BI155*AX155,0),AX155*$BI155),AX155*$BI155),0)</f>
        <v>0</v>
      </c>
      <c r="DB155" s="5">
        <f>IF($BI155&lt;&gt;"",IF('Capacity summary'!$C$14="Yes",IF(COUNTBLANK('Capacity summary'!$H67:$BG67)&lt;52,IF('Capacity summary'!AY67&lt;&gt;"",$BI155*AY155,0),AY155*$BI155),AY155*$BI155),0)</f>
        <v>0</v>
      </c>
      <c r="DC155" s="5">
        <f>IF($BI155&lt;&gt;"",IF('Capacity summary'!$C$14="Yes",IF(COUNTBLANK('Capacity summary'!$H67:$BG67)&lt;52,IF('Capacity summary'!AZ67&lt;&gt;"",$BI155*AZ155,0),AZ155*$BI155),AZ155*$BI155),0)</f>
        <v>0</v>
      </c>
      <c r="DD155" s="5">
        <f>IF($BI155&lt;&gt;"",IF('Capacity summary'!$C$14="Yes",IF(COUNTBLANK('Capacity summary'!$H67:$BG67)&lt;52,IF('Capacity summary'!BA67&lt;&gt;"",$BI155*BA155,0),BA155*$BI155),BA155*$BI155),0)</f>
        <v>0</v>
      </c>
      <c r="DE155" s="5">
        <f>IF($BI155&lt;&gt;"",IF('Capacity summary'!$C$14="Yes",IF(COUNTBLANK('Capacity summary'!$H67:$BG67)&lt;52,IF('Capacity summary'!BB67&lt;&gt;"",$BI155*BB155,0),BB155*$BI155),BB155*$BI155),0)</f>
        <v>0</v>
      </c>
      <c r="DF155" s="5">
        <f>IF($BI155&lt;&gt;"",IF('Capacity summary'!$C$14="Yes",IF(COUNTBLANK('Capacity summary'!$H67:$BG67)&lt;52,IF('Capacity summary'!BC67&lt;&gt;"",$BI155*BC155,0),BC155*$BI155),BC155*$BI155),0)</f>
        <v>0</v>
      </c>
      <c r="DG155" s="5">
        <f>IF($BI155&lt;&gt;"",IF('Capacity summary'!$C$14="Yes",IF(COUNTBLANK('Capacity summary'!$H67:$BG67)&lt;52,IF('Capacity summary'!BD67&lt;&gt;"",$BI155*BD155,0),BD155*$BI155),BD155*$BI155),0)</f>
        <v>0</v>
      </c>
      <c r="DH155" s="5">
        <f>IF($BI155&lt;&gt;"",IF('Capacity summary'!$C$14="Yes",IF(COUNTBLANK('Capacity summary'!$H67:$BG67)&lt;52,IF('Capacity summary'!BE67&lt;&gt;"",$BI155*BE155,0),BE155*$BI155),BE155*$BI155),0)</f>
        <v>0</v>
      </c>
      <c r="DI155" s="5">
        <f>IF($BI155&lt;&gt;"",IF('Capacity summary'!$C$14="Yes",IF(COUNTBLANK('Capacity summary'!$H67:$BG67)&lt;52,IF('Capacity summary'!BF67&lt;&gt;"",$BI155*BF155,0),BF155*$BI155),BF155*$BI155),0)</f>
        <v>0</v>
      </c>
      <c r="DJ155" s="5">
        <f>IF($BI155&lt;&gt;"",IF('Capacity summary'!$C$14="Yes",IF(COUNTBLANK('Capacity summary'!$H67:$BG67)&lt;52,IF('Capacity summary'!BG67&lt;&gt;"",$BI155*BG155,0),BG155*$BI155),BG155*$BI155),0)</f>
        <v>0</v>
      </c>
      <c r="DK155" s="138">
        <f t="shared" si="6"/>
        <v>0</v>
      </c>
    </row>
    <row r="156" spans="3:115" x14ac:dyDescent="0.2">
      <c r="C156" s="68" t="str">
        <f>ROW(A45)&amp;". "&amp;Capacity!N61</f>
        <v xml:space="preserve">45. </v>
      </c>
      <c r="D156" s="68">
        <f>'Capacity setup'!C162</f>
        <v>0</v>
      </c>
      <c r="E156" s="68">
        <f>'Capacity setup'!D162</f>
        <v>0</v>
      </c>
      <c r="F156" s="68">
        <f>'Capacity setup'!E162</f>
        <v>0</v>
      </c>
      <c r="H156" s="68">
        <f ca="1">IF(AND(SUMIF(Capacity_Resource,$D156,'Critical resources (hide)'!U$6:U$105)+SUMIF(Capacity_Resource,$E156,'Critical resources (hide)'!U$6:U$105)+SUMIF(Capacity_Resource,$F156,'Critical resources (hide)'!U$6:U$105)&gt;0,$E$1=2),0,1)</f>
        <v>1</v>
      </c>
      <c r="I156" s="68">
        <f ca="1">IF(AND(SUMIF(Capacity_Resource,$D156,'Critical resources (hide)'!V$6:V$105)+SUMIF(Capacity_Resource,$E156,'Critical resources (hide)'!V$6:V$105)+SUMIF(Capacity_Resource,$F156,'Critical resources (hide)'!V$6:V$105)&gt;0,$E$1=2),0,1)</f>
        <v>1</v>
      </c>
      <c r="J156" s="68">
        <f ca="1">IF(AND(SUMIF(Capacity_Resource,$D156,'Critical resources (hide)'!W$6:W$105)+SUMIF(Capacity_Resource,$E156,'Critical resources (hide)'!W$6:W$105)+SUMIF(Capacity_Resource,$F156,'Critical resources (hide)'!W$6:W$105)&gt;0,$E$1=2),0,1)</f>
        <v>1</v>
      </c>
      <c r="K156" s="68">
        <f ca="1">IF(AND(SUMIF(Capacity_Resource,$D156,'Critical resources (hide)'!X$6:X$105)+SUMIF(Capacity_Resource,$E156,'Critical resources (hide)'!X$6:X$105)+SUMIF(Capacity_Resource,$F156,'Critical resources (hide)'!X$6:X$105)&gt;0,$E$1=2),0,1)</f>
        <v>1</v>
      </c>
      <c r="L156" s="68">
        <f ca="1">IF(AND(SUMIF(Capacity_Resource,$D156,'Critical resources (hide)'!Y$6:Y$105)+SUMIF(Capacity_Resource,$E156,'Critical resources (hide)'!Y$6:Y$105)+SUMIF(Capacity_Resource,$F156,'Critical resources (hide)'!Y$6:Y$105)&gt;0,$E$1=2),0,1)</f>
        <v>1</v>
      </c>
      <c r="M156" s="68">
        <f ca="1">IF(AND(SUMIF(Capacity_Resource,$D156,'Critical resources (hide)'!Z$6:Z$105)+SUMIF(Capacity_Resource,$E156,'Critical resources (hide)'!Z$6:Z$105)+SUMIF(Capacity_Resource,$F156,'Critical resources (hide)'!Z$6:Z$105)&gt;0,$E$1=2),0,1)</f>
        <v>1</v>
      </c>
      <c r="N156" s="68">
        <f ca="1">IF(AND(SUMIF(Capacity_Resource,$D156,'Critical resources (hide)'!AA$6:AA$105)+SUMIF(Capacity_Resource,$E156,'Critical resources (hide)'!AA$6:AA$105)+SUMIF(Capacity_Resource,$F156,'Critical resources (hide)'!AA$6:AA$105)&gt;0,$E$1=2),0,1)</f>
        <v>1</v>
      </c>
      <c r="O156" s="68">
        <f ca="1">IF(AND(SUMIF(Capacity_Resource,$D156,'Critical resources (hide)'!AB$6:AB$105)+SUMIF(Capacity_Resource,$E156,'Critical resources (hide)'!AB$6:AB$105)+SUMIF(Capacity_Resource,$F156,'Critical resources (hide)'!AB$6:AB$105)&gt;0,$E$1=2),0,1)</f>
        <v>1</v>
      </c>
      <c r="P156" s="68">
        <f ca="1">IF(AND(SUMIF(Capacity_Resource,$D156,'Critical resources (hide)'!AC$6:AC$105)+SUMIF(Capacity_Resource,$E156,'Critical resources (hide)'!AC$6:AC$105)+SUMIF(Capacity_Resource,$F156,'Critical resources (hide)'!AC$6:AC$105)&gt;0,$E$1=2),0,1)</f>
        <v>1</v>
      </c>
      <c r="Q156" s="68">
        <f ca="1">IF(AND(SUMIF(Capacity_Resource,$D156,'Critical resources (hide)'!AD$6:AD$105)+SUMIF(Capacity_Resource,$E156,'Critical resources (hide)'!AD$6:AD$105)+SUMIF(Capacity_Resource,$F156,'Critical resources (hide)'!AD$6:AD$105)&gt;0,$E$1=2),0,1)</f>
        <v>1</v>
      </c>
      <c r="R156" s="68">
        <f ca="1">IF(AND(SUMIF(Capacity_Resource,$D156,'Critical resources (hide)'!AE$6:AE$105)+SUMIF(Capacity_Resource,$E156,'Critical resources (hide)'!AE$6:AE$105)+SUMIF(Capacity_Resource,$F156,'Critical resources (hide)'!AE$6:AE$105)&gt;0,$E$1=2),0,1)</f>
        <v>1</v>
      </c>
      <c r="S156" s="68">
        <f ca="1">IF(AND(SUMIF(Capacity_Resource,$D156,'Critical resources (hide)'!AF$6:AF$105)+SUMIF(Capacity_Resource,$E156,'Critical resources (hide)'!AF$6:AF$105)+SUMIF(Capacity_Resource,$F156,'Critical resources (hide)'!AF$6:AF$105)&gt;0,$E$1=2),0,1)</f>
        <v>1</v>
      </c>
      <c r="T156" s="68">
        <f ca="1">IF(AND(SUMIF(Capacity_Resource,$D156,'Critical resources (hide)'!AG$6:AG$105)+SUMIF(Capacity_Resource,$E156,'Critical resources (hide)'!AG$6:AG$105)+SUMIF(Capacity_Resource,$F156,'Critical resources (hide)'!AG$6:AG$105)&gt;0,$E$1=2),0,1)</f>
        <v>1</v>
      </c>
      <c r="U156" s="68">
        <f ca="1">IF(AND(SUMIF(Capacity_Resource,$D156,'Critical resources (hide)'!AH$6:AH$105)+SUMIF(Capacity_Resource,$E156,'Critical resources (hide)'!AH$6:AH$105)+SUMIF(Capacity_Resource,$F156,'Critical resources (hide)'!AH$6:AH$105)&gt;0,$E$1=2),0,1)</f>
        <v>1</v>
      </c>
      <c r="V156" s="68">
        <f ca="1">IF(AND(SUMIF(Capacity_Resource,$D156,'Critical resources (hide)'!AI$6:AI$105)+SUMIF(Capacity_Resource,$E156,'Critical resources (hide)'!AI$6:AI$105)+SUMIF(Capacity_Resource,$F156,'Critical resources (hide)'!AI$6:AI$105)&gt;0,$E$1=2),0,1)</f>
        <v>1</v>
      </c>
      <c r="W156" s="68">
        <f ca="1">IF(AND(SUMIF(Capacity_Resource,$D156,'Critical resources (hide)'!AJ$6:AJ$105)+SUMIF(Capacity_Resource,$E156,'Critical resources (hide)'!AJ$6:AJ$105)+SUMIF(Capacity_Resource,$F156,'Critical resources (hide)'!AJ$6:AJ$105)&gt;0,$E$1=2),0,1)</f>
        <v>1</v>
      </c>
      <c r="X156" s="68">
        <f ca="1">IF(AND(SUMIF(Capacity_Resource,$D156,'Critical resources (hide)'!AK$6:AK$105)+SUMIF(Capacity_Resource,$E156,'Critical resources (hide)'!AK$6:AK$105)+SUMIF(Capacity_Resource,$F156,'Critical resources (hide)'!AK$6:AK$105)&gt;0,$E$1=2),0,1)</f>
        <v>1</v>
      </c>
      <c r="Y156" s="68">
        <f ca="1">IF(AND(SUMIF(Capacity_Resource,$D156,'Critical resources (hide)'!AL$6:AL$105)+SUMIF(Capacity_Resource,$E156,'Critical resources (hide)'!AL$6:AL$105)+SUMIF(Capacity_Resource,$F156,'Critical resources (hide)'!AL$6:AL$105)&gt;0,$E$1=2),0,1)</f>
        <v>1</v>
      </c>
      <c r="Z156" s="68">
        <f ca="1">IF(AND(SUMIF(Capacity_Resource,$D156,'Critical resources (hide)'!AM$6:AM$105)+SUMIF(Capacity_Resource,$E156,'Critical resources (hide)'!AM$6:AM$105)+SUMIF(Capacity_Resource,$F156,'Critical resources (hide)'!AM$6:AM$105)&gt;0,$E$1=2),0,1)</f>
        <v>1</v>
      </c>
      <c r="AA156" s="68">
        <f ca="1">IF(AND(SUMIF(Capacity_Resource,$D156,'Critical resources (hide)'!AN$6:AN$105)+SUMIF(Capacity_Resource,$E156,'Critical resources (hide)'!AN$6:AN$105)+SUMIF(Capacity_Resource,$F156,'Critical resources (hide)'!AN$6:AN$105)&gt;0,$E$1=2),0,1)</f>
        <v>1</v>
      </c>
      <c r="AB156" s="68">
        <f ca="1">IF(AND(SUMIF(Capacity_Resource,$D156,'Critical resources (hide)'!AO$6:AO$105)+SUMIF(Capacity_Resource,$E156,'Critical resources (hide)'!AO$6:AO$105)+SUMIF(Capacity_Resource,$F156,'Critical resources (hide)'!AO$6:AO$105)&gt;0,$E$1=2),0,1)</f>
        <v>1</v>
      </c>
      <c r="AC156" s="68">
        <f ca="1">IF(AND(SUMIF(Capacity_Resource,$D156,'Critical resources (hide)'!AP$6:AP$105)+SUMIF(Capacity_Resource,$E156,'Critical resources (hide)'!AP$6:AP$105)+SUMIF(Capacity_Resource,$F156,'Critical resources (hide)'!AP$6:AP$105)&gt;0,$E$1=2),0,1)</f>
        <v>1</v>
      </c>
      <c r="AD156" s="68">
        <f ca="1">IF(AND(SUMIF(Capacity_Resource,$D156,'Critical resources (hide)'!AQ$6:AQ$105)+SUMIF(Capacity_Resource,$E156,'Critical resources (hide)'!AQ$6:AQ$105)+SUMIF(Capacity_Resource,$F156,'Critical resources (hide)'!AQ$6:AQ$105)&gt;0,$E$1=2),0,1)</f>
        <v>1</v>
      </c>
      <c r="AE156" s="68">
        <f ca="1">IF(AND(SUMIF(Capacity_Resource,$D156,'Critical resources (hide)'!AR$6:AR$105)+SUMIF(Capacity_Resource,$E156,'Critical resources (hide)'!AR$6:AR$105)+SUMIF(Capacity_Resource,$F156,'Critical resources (hide)'!AR$6:AR$105)&gt;0,$E$1=2),0,1)</f>
        <v>1</v>
      </c>
      <c r="AF156" s="68">
        <f ca="1">IF(AND(SUMIF(Capacity_Resource,$D156,'Critical resources (hide)'!AS$6:AS$105)+SUMIF(Capacity_Resource,$E156,'Critical resources (hide)'!AS$6:AS$105)+SUMIF(Capacity_Resource,$F156,'Critical resources (hide)'!AS$6:AS$105)&gt;0,$E$1=2),0,1)</f>
        <v>1</v>
      </c>
      <c r="AG156" s="68">
        <f ca="1">IF(AND(SUMIF(Capacity_Resource,$D156,'Critical resources (hide)'!AT$6:AT$105)+SUMIF(Capacity_Resource,$E156,'Critical resources (hide)'!AT$6:AT$105)+SUMIF(Capacity_Resource,$F156,'Critical resources (hide)'!AT$6:AT$105)&gt;0,$E$1=2),0,1)</f>
        <v>1</v>
      </c>
      <c r="AH156" s="68">
        <f ca="1">IF(AND(SUMIF(Capacity_Resource,$D156,'Critical resources (hide)'!AU$6:AU$105)+SUMIF(Capacity_Resource,$E156,'Critical resources (hide)'!AU$6:AU$105)+SUMIF(Capacity_Resource,$F156,'Critical resources (hide)'!AU$6:AU$105)&gt;0,$E$1=2),0,1)</f>
        <v>1</v>
      </c>
      <c r="AI156" s="68">
        <f ca="1">IF(AND(SUMIF(Capacity_Resource,$D156,'Critical resources (hide)'!AV$6:AV$105)+SUMIF(Capacity_Resource,$E156,'Critical resources (hide)'!AV$6:AV$105)+SUMIF(Capacity_Resource,$F156,'Critical resources (hide)'!AV$6:AV$105)&gt;0,$E$1=2),0,1)</f>
        <v>1</v>
      </c>
      <c r="AJ156" s="68">
        <f ca="1">IF(AND(SUMIF(Capacity_Resource,$D156,'Critical resources (hide)'!AW$6:AW$105)+SUMIF(Capacity_Resource,$E156,'Critical resources (hide)'!AW$6:AW$105)+SUMIF(Capacity_Resource,$F156,'Critical resources (hide)'!AW$6:AW$105)&gt;0,$E$1=2),0,1)</f>
        <v>1</v>
      </c>
      <c r="AK156" s="68">
        <f ca="1">IF(AND(SUMIF(Capacity_Resource,$D156,'Critical resources (hide)'!AX$6:AX$105)+SUMIF(Capacity_Resource,$E156,'Critical resources (hide)'!AX$6:AX$105)+SUMIF(Capacity_Resource,$F156,'Critical resources (hide)'!AX$6:AX$105)&gt;0,$E$1=2),0,1)</f>
        <v>1</v>
      </c>
      <c r="AL156" s="68">
        <f ca="1">IF(AND(SUMIF(Capacity_Resource,$D156,'Critical resources (hide)'!AY$6:AY$105)+SUMIF(Capacity_Resource,$E156,'Critical resources (hide)'!AY$6:AY$105)+SUMIF(Capacity_Resource,$F156,'Critical resources (hide)'!AY$6:AY$105)&gt;0,$E$1=2),0,1)</f>
        <v>1</v>
      </c>
      <c r="AM156" s="68">
        <f ca="1">IF(AND(SUMIF(Capacity_Resource,$D156,'Critical resources (hide)'!AZ$6:AZ$105)+SUMIF(Capacity_Resource,$E156,'Critical resources (hide)'!AZ$6:AZ$105)+SUMIF(Capacity_Resource,$F156,'Critical resources (hide)'!AZ$6:AZ$105)&gt;0,$E$1=2),0,1)</f>
        <v>1</v>
      </c>
      <c r="AN156" s="68">
        <f ca="1">IF(AND(SUMIF(Capacity_Resource,$D156,'Critical resources (hide)'!BA$6:BA$105)+SUMIF(Capacity_Resource,$E156,'Critical resources (hide)'!BA$6:BA$105)+SUMIF(Capacity_Resource,$F156,'Critical resources (hide)'!BA$6:BA$105)&gt;0,$E$1=2),0,1)</f>
        <v>1</v>
      </c>
      <c r="AO156" s="68">
        <f ca="1">IF(AND(SUMIF(Capacity_Resource,$D156,'Critical resources (hide)'!BB$6:BB$105)+SUMIF(Capacity_Resource,$E156,'Critical resources (hide)'!BB$6:BB$105)+SUMIF(Capacity_Resource,$F156,'Critical resources (hide)'!BB$6:BB$105)&gt;0,$E$1=2),0,1)</f>
        <v>1</v>
      </c>
      <c r="AP156" s="68">
        <f ca="1">IF(AND(SUMIF(Capacity_Resource,$D156,'Critical resources (hide)'!BC$6:BC$105)+SUMIF(Capacity_Resource,$E156,'Critical resources (hide)'!BC$6:BC$105)+SUMIF(Capacity_Resource,$F156,'Critical resources (hide)'!BC$6:BC$105)&gt;0,$E$1=2),0,1)</f>
        <v>1</v>
      </c>
      <c r="AQ156" s="68">
        <f ca="1">IF(AND(SUMIF(Capacity_Resource,$D156,'Critical resources (hide)'!BD$6:BD$105)+SUMIF(Capacity_Resource,$E156,'Critical resources (hide)'!BD$6:BD$105)+SUMIF(Capacity_Resource,$F156,'Critical resources (hide)'!BD$6:BD$105)&gt;0,$E$1=2),0,1)</f>
        <v>1</v>
      </c>
      <c r="AR156" s="68">
        <f ca="1">IF(AND(SUMIF(Capacity_Resource,$D156,'Critical resources (hide)'!BE$6:BE$105)+SUMIF(Capacity_Resource,$E156,'Critical resources (hide)'!BE$6:BE$105)+SUMIF(Capacity_Resource,$F156,'Critical resources (hide)'!BE$6:BE$105)&gt;0,$E$1=2),0,1)</f>
        <v>1</v>
      </c>
      <c r="AS156" s="68">
        <f ca="1">IF(AND(SUMIF(Capacity_Resource,$D156,'Critical resources (hide)'!BF$6:BF$105)+SUMIF(Capacity_Resource,$E156,'Critical resources (hide)'!BF$6:BF$105)+SUMIF(Capacity_Resource,$F156,'Critical resources (hide)'!BF$6:BF$105)&gt;0,$E$1=2),0,1)</f>
        <v>1</v>
      </c>
      <c r="AT156" s="68">
        <f ca="1">IF(AND(SUMIF(Capacity_Resource,$D156,'Critical resources (hide)'!BG$6:BG$105)+SUMIF(Capacity_Resource,$E156,'Critical resources (hide)'!BG$6:BG$105)+SUMIF(Capacity_Resource,$F156,'Critical resources (hide)'!BG$6:BG$105)&gt;0,$E$1=2),0,1)</f>
        <v>1</v>
      </c>
      <c r="AU156" s="68">
        <f ca="1">IF(AND(SUMIF(Capacity_Resource,$D156,'Critical resources (hide)'!BH$6:BH$105)+SUMIF(Capacity_Resource,$E156,'Critical resources (hide)'!BH$6:BH$105)+SUMIF(Capacity_Resource,$F156,'Critical resources (hide)'!BH$6:BH$105)&gt;0,$E$1=2),0,1)</f>
        <v>1</v>
      </c>
      <c r="AV156" s="68">
        <f ca="1">IF(AND(SUMIF(Capacity_Resource,$D156,'Critical resources (hide)'!BI$6:BI$105)+SUMIF(Capacity_Resource,$E156,'Critical resources (hide)'!BI$6:BI$105)+SUMIF(Capacity_Resource,$F156,'Critical resources (hide)'!BI$6:BI$105)&gt;0,$E$1=2),0,1)</f>
        <v>1</v>
      </c>
      <c r="AW156" s="68">
        <f ca="1">IF(AND(SUMIF(Capacity_Resource,$D156,'Critical resources (hide)'!BJ$6:BJ$105)+SUMIF(Capacity_Resource,$E156,'Critical resources (hide)'!BJ$6:BJ$105)+SUMIF(Capacity_Resource,$F156,'Critical resources (hide)'!BJ$6:BJ$105)&gt;0,$E$1=2),0,1)</f>
        <v>1</v>
      </c>
      <c r="AX156" s="68">
        <f ca="1">IF(AND(SUMIF(Capacity_Resource,$D156,'Critical resources (hide)'!BK$6:BK$105)+SUMIF(Capacity_Resource,$E156,'Critical resources (hide)'!BK$6:BK$105)+SUMIF(Capacity_Resource,$F156,'Critical resources (hide)'!BK$6:BK$105)&gt;0,$E$1=2),0,1)</f>
        <v>1</v>
      </c>
      <c r="AY156" s="68">
        <f ca="1">IF(AND(SUMIF(Capacity_Resource,$D156,'Critical resources (hide)'!BL$6:BL$105)+SUMIF(Capacity_Resource,$E156,'Critical resources (hide)'!BL$6:BL$105)+SUMIF(Capacity_Resource,$F156,'Critical resources (hide)'!BL$6:BL$105)&gt;0,$E$1=2),0,1)</f>
        <v>1</v>
      </c>
      <c r="AZ156" s="68">
        <f ca="1">IF(AND(SUMIF(Capacity_Resource,$D156,'Critical resources (hide)'!BM$6:BM$105)+SUMIF(Capacity_Resource,$E156,'Critical resources (hide)'!BM$6:BM$105)+SUMIF(Capacity_Resource,$F156,'Critical resources (hide)'!BM$6:BM$105)&gt;0,$E$1=2),0,1)</f>
        <v>1</v>
      </c>
      <c r="BA156" s="68">
        <f ca="1">IF(AND(SUMIF(Capacity_Resource,$D156,'Critical resources (hide)'!BN$6:BN$105)+SUMIF(Capacity_Resource,$E156,'Critical resources (hide)'!BN$6:BN$105)+SUMIF(Capacity_Resource,$F156,'Critical resources (hide)'!BN$6:BN$105)&gt;0,$E$1=2),0,1)</f>
        <v>1</v>
      </c>
      <c r="BB156" s="68">
        <f ca="1">IF(AND(SUMIF(Capacity_Resource,$D156,'Critical resources (hide)'!BO$6:BO$105)+SUMIF(Capacity_Resource,$E156,'Critical resources (hide)'!BO$6:BO$105)+SUMIF(Capacity_Resource,$F156,'Critical resources (hide)'!BO$6:BO$105)&gt;0,$E$1=2),0,1)</f>
        <v>1</v>
      </c>
      <c r="BC156" s="68">
        <f ca="1">IF(AND(SUMIF(Capacity_Resource,$D156,'Critical resources (hide)'!BP$6:BP$105)+SUMIF(Capacity_Resource,$E156,'Critical resources (hide)'!BP$6:BP$105)+SUMIF(Capacity_Resource,$F156,'Critical resources (hide)'!BP$6:BP$105)&gt;0,$E$1=2),0,1)</f>
        <v>1</v>
      </c>
      <c r="BD156" s="68">
        <f ca="1">IF(AND(SUMIF(Capacity_Resource,$D156,'Critical resources (hide)'!BQ$6:BQ$105)+SUMIF(Capacity_Resource,$E156,'Critical resources (hide)'!BQ$6:BQ$105)+SUMIF(Capacity_Resource,$F156,'Critical resources (hide)'!BQ$6:BQ$105)&gt;0,$E$1=2),0,1)</f>
        <v>1</v>
      </c>
      <c r="BE156" s="68">
        <f ca="1">IF(AND(SUMIF(Capacity_Resource,$D156,'Critical resources (hide)'!BR$6:BR$105)+SUMIF(Capacity_Resource,$E156,'Critical resources (hide)'!BR$6:BR$105)+SUMIF(Capacity_Resource,$F156,'Critical resources (hide)'!BR$6:BR$105)&gt;0,$E$1=2),0,1)</f>
        <v>1</v>
      </c>
      <c r="BF156" s="68">
        <f ca="1">IF(AND(SUMIF(Capacity_Resource,$D156,'Critical resources (hide)'!BS$6:BS$105)+SUMIF(Capacity_Resource,$E156,'Critical resources (hide)'!BS$6:BS$105)+SUMIF(Capacity_Resource,$F156,'Critical resources (hide)'!BS$6:BS$105)&gt;0,$E$1=2),0,1)</f>
        <v>1</v>
      </c>
      <c r="BG156" s="68">
        <f ca="1">IF(AND(SUMIF(Capacity_Resource,$D156,'Critical resources (hide)'!BT$6:BT$105)+SUMIF(Capacity_Resource,$E156,'Critical resources (hide)'!BT$6:BT$105)+SUMIF(Capacity_Resource,$F156,'Critical resources (hide)'!BT$6:BT$105)&gt;0,$E$1=2),0,1)</f>
        <v>1</v>
      </c>
      <c r="BH156" s="68">
        <f>IF(ROW(A45)&lt;=Capacity!$M$16,IF('Capacity summary'!$C$14="No",SUM(H156:BG156),'Capacity summary'!$E68),0)</f>
        <v>0</v>
      </c>
      <c r="BI156" s="68" t="str">
        <f>IF(BH156&gt;0,IF(BH156&lt;Capacity!Q61,Capacity!R61,Capacity!T61/'Capacity calculation (hide)'!BH156),"")</f>
        <v/>
      </c>
      <c r="BJ156" s="5"/>
      <c r="BK156" s="5">
        <f>IF($BI156&lt;&gt;"",IF('Capacity summary'!$C$14="Yes",IF(COUNTBLANK('Capacity summary'!$H68:$BG68)&lt;52,IF('Capacity summary'!H68&lt;&gt;"",$BI156*H156,0),H156*$BI156),H156*$BI156),0)</f>
        <v>0</v>
      </c>
      <c r="BL156" s="5">
        <f>IF($BI156&lt;&gt;"",IF('Capacity summary'!$C$14="Yes",IF(COUNTBLANK('Capacity summary'!$H68:$BG68)&lt;52,IF('Capacity summary'!I68&lt;&gt;"",$BI156*I156,0),I156*$BI156),I156*$BI156),0)</f>
        <v>0</v>
      </c>
      <c r="BM156" s="5">
        <f>IF($BI156&lt;&gt;"",IF('Capacity summary'!$C$14="Yes",IF(COUNTBLANK('Capacity summary'!$H68:$BG68)&lt;52,IF('Capacity summary'!J68&lt;&gt;"",$BI156*J156,0),J156*$BI156),J156*$BI156),0)</f>
        <v>0</v>
      </c>
      <c r="BN156" s="5">
        <f>IF($BI156&lt;&gt;"",IF('Capacity summary'!$C$14="Yes",IF(COUNTBLANK('Capacity summary'!$H68:$BG68)&lt;52,IF('Capacity summary'!K68&lt;&gt;"",$BI156*K156,0),K156*$BI156),K156*$BI156),0)</f>
        <v>0</v>
      </c>
      <c r="BO156" s="5">
        <f>IF($BI156&lt;&gt;"",IF('Capacity summary'!$C$14="Yes",IF(COUNTBLANK('Capacity summary'!$H68:$BG68)&lt;52,IF('Capacity summary'!L68&lt;&gt;"",$BI156*L156,0),L156*$BI156),L156*$BI156),0)</f>
        <v>0</v>
      </c>
      <c r="BP156" s="5">
        <f>IF($BI156&lt;&gt;"",IF('Capacity summary'!$C$14="Yes",IF(COUNTBLANK('Capacity summary'!$H68:$BG68)&lt;52,IF('Capacity summary'!M68&lt;&gt;"",$BI156*M156,0),M156*$BI156),M156*$BI156),0)</f>
        <v>0</v>
      </c>
      <c r="BQ156" s="5">
        <f>IF($BI156&lt;&gt;"",IF('Capacity summary'!$C$14="Yes",IF(COUNTBLANK('Capacity summary'!$H68:$BG68)&lt;52,IF('Capacity summary'!N68&lt;&gt;"",$BI156*N156,0),N156*$BI156),N156*$BI156),0)</f>
        <v>0</v>
      </c>
      <c r="BR156" s="5">
        <f>IF($BI156&lt;&gt;"",IF('Capacity summary'!$C$14="Yes",IF(COUNTBLANK('Capacity summary'!$H68:$BG68)&lt;52,IF('Capacity summary'!O68&lt;&gt;"",$BI156*O156,0),O156*$BI156),O156*$BI156),0)</f>
        <v>0</v>
      </c>
      <c r="BS156" s="5">
        <f>IF($BI156&lt;&gt;"",IF('Capacity summary'!$C$14="Yes",IF(COUNTBLANK('Capacity summary'!$H68:$BG68)&lt;52,IF('Capacity summary'!P68&lt;&gt;"",$BI156*P156,0),P156*$BI156),P156*$BI156),0)</f>
        <v>0</v>
      </c>
      <c r="BT156" s="5">
        <f>IF($BI156&lt;&gt;"",IF('Capacity summary'!$C$14="Yes",IF(COUNTBLANK('Capacity summary'!$H68:$BG68)&lt;52,IF('Capacity summary'!Q68&lt;&gt;"",$BI156*Q156,0),Q156*$BI156),Q156*$BI156),0)</f>
        <v>0</v>
      </c>
      <c r="BU156" s="5">
        <f>IF($BI156&lt;&gt;"",IF('Capacity summary'!$C$14="Yes",IF(COUNTBLANK('Capacity summary'!$H68:$BG68)&lt;52,IF('Capacity summary'!R68&lt;&gt;"",$BI156*R156,0),R156*$BI156),R156*$BI156),0)</f>
        <v>0</v>
      </c>
      <c r="BV156" s="5">
        <f>IF($BI156&lt;&gt;"",IF('Capacity summary'!$C$14="Yes",IF(COUNTBLANK('Capacity summary'!$H68:$BG68)&lt;52,IF('Capacity summary'!S68&lt;&gt;"",$BI156*S156,0),S156*$BI156),S156*$BI156),0)</f>
        <v>0</v>
      </c>
      <c r="BW156" s="5">
        <f>IF($BI156&lt;&gt;"",IF('Capacity summary'!$C$14="Yes",IF(COUNTBLANK('Capacity summary'!$H68:$BG68)&lt;52,IF('Capacity summary'!T68&lt;&gt;"",$BI156*T156,0),T156*$BI156),T156*$BI156),0)</f>
        <v>0</v>
      </c>
      <c r="BX156" s="5">
        <f>IF($BI156&lt;&gt;"",IF('Capacity summary'!$C$14="Yes",IF(COUNTBLANK('Capacity summary'!$H68:$BG68)&lt;52,IF('Capacity summary'!U68&lt;&gt;"",$BI156*U156,0),U156*$BI156),U156*$BI156),0)</f>
        <v>0</v>
      </c>
      <c r="BY156" s="5">
        <f>IF($BI156&lt;&gt;"",IF('Capacity summary'!$C$14="Yes",IF(COUNTBLANK('Capacity summary'!$H68:$BG68)&lt;52,IF('Capacity summary'!V68&lt;&gt;"",$BI156*V156,0),V156*$BI156),V156*$BI156),0)</f>
        <v>0</v>
      </c>
      <c r="BZ156" s="5">
        <f>IF($BI156&lt;&gt;"",IF('Capacity summary'!$C$14="Yes",IF(COUNTBLANK('Capacity summary'!$H68:$BG68)&lt;52,IF('Capacity summary'!W68&lt;&gt;"",$BI156*W156,0),W156*$BI156),W156*$BI156),0)</f>
        <v>0</v>
      </c>
      <c r="CA156" s="5">
        <f>IF($BI156&lt;&gt;"",IF('Capacity summary'!$C$14="Yes",IF(COUNTBLANK('Capacity summary'!$H68:$BG68)&lt;52,IF('Capacity summary'!X68&lt;&gt;"",$BI156*X156,0),X156*$BI156),X156*$BI156),0)</f>
        <v>0</v>
      </c>
      <c r="CB156" s="5">
        <f>IF($BI156&lt;&gt;"",IF('Capacity summary'!$C$14="Yes",IF(COUNTBLANK('Capacity summary'!$H68:$BG68)&lt;52,IF('Capacity summary'!Y68&lt;&gt;"",$BI156*Y156,0),Y156*$BI156),Y156*$BI156),0)</f>
        <v>0</v>
      </c>
      <c r="CC156" s="5">
        <f>IF($BI156&lt;&gt;"",IF('Capacity summary'!$C$14="Yes",IF(COUNTBLANK('Capacity summary'!$H68:$BG68)&lt;52,IF('Capacity summary'!Z68&lt;&gt;"",$BI156*Z156,0),Z156*$BI156),Z156*$BI156),0)</f>
        <v>0</v>
      </c>
      <c r="CD156" s="5">
        <f>IF($BI156&lt;&gt;"",IF('Capacity summary'!$C$14="Yes",IF(COUNTBLANK('Capacity summary'!$H68:$BG68)&lt;52,IF('Capacity summary'!AA68&lt;&gt;"",$BI156*AA156,0),AA156*$BI156),AA156*$BI156),0)</f>
        <v>0</v>
      </c>
      <c r="CE156" s="5">
        <f>IF($BI156&lt;&gt;"",IF('Capacity summary'!$C$14="Yes",IF(COUNTBLANK('Capacity summary'!$H68:$BG68)&lt;52,IF('Capacity summary'!AB68&lt;&gt;"",$BI156*AB156,0),AB156*$BI156),AB156*$BI156),0)</f>
        <v>0</v>
      </c>
      <c r="CF156" s="5">
        <f>IF($BI156&lt;&gt;"",IF('Capacity summary'!$C$14="Yes",IF(COUNTBLANK('Capacity summary'!$H68:$BG68)&lt;52,IF('Capacity summary'!AC68&lt;&gt;"",$BI156*AC156,0),AC156*$BI156),AC156*$BI156),0)</f>
        <v>0</v>
      </c>
      <c r="CG156" s="5">
        <f>IF($BI156&lt;&gt;"",IF('Capacity summary'!$C$14="Yes",IF(COUNTBLANK('Capacity summary'!$H68:$BG68)&lt;52,IF('Capacity summary'!AD68&lt;&gt;"",$BI156*AD156,0),AD156*$BI156),AD156*$BI156),0)</f>
        <v>0</v>
      </c>
      <c r="CH156" s="5">
        <f>IF($BI156&lt;&gt;"",IF('Capacity summary'!$C$14="Yes",IF(COUNTBLANK('Capacity summary'!$H68:$BG68)&lt;52,IF('Capacity summary'!AE68&lt;&gt;"",$BI156*AE156,0),AE156*$BI156),AE156*$BI156),0)</f>
        <v>0</v>
      </c>
      <c r="CI156" s="5">
        <f>IF($BI156&lt;&gt;"",IF('Capacity summary'!$C$14="Yes",IF(COUNTBLANK('Capacity summary'!$H68:$BG68)&lt;52,IF('Capacity summary'!AF68&lt;&gt;"",$BI156*AF156,0),AF156*$BI156),AF156*$BI156),0)</f>
        <v>0</v>
      </c>
      <c r="CJ156" s="5">
        <f>IF($BI156&lt;&gt;"",IF('Capacity summary'!$C$14="Yes",IF(COUNTBLANK('Capacity summary'!$H68:$BG68)&lt;52,IF('Capacity summary'!AG68&lt;&gt;"",$BI156*AG156,0),AG156*$BI156),AG156*$BI156),0)</f>
        <v>0</v>
      </c>
      <c r="CK156" s="5">
        <f>IF($BI156&lt;&gt;"",IF('Capacity summary'!$C$14="Yes",IF(COUNTBLANK('Capacity summary'!$H68:$BG68)&lt;52,IF('Capacity summary'!AH68&lt;&gt;"",$BI156*AH156,0),AH156*$BI156),AH156*$BI156),0)</f>
        <v>0</v>
      </c>
      <c r="CL156" s="5">
        <f>IF($BI156&lt;&gt;"",IF('Capacity summary'!$C$14="Yes",IF(COUNTBLANK('Capacity summary'!$H68:$BG68)&lt;52,IF('Capacity summary'!AI68&lt;&gt;"",$BI156*AI156,0),AI156*$BI156),AI156*$BI156),0)</f>
        <v>0</v>
      </c>
      <c r="CM156" s="5">
        <f>IF($BI156&lt;&gt;"",IF('Capacity summary'!$C$14="Yes",IF(COUNTBLANK('Capacity summary'!$H68:$BG68)&lt;52,IF('Capacity summary'!AJ68&lt;&gt;"",$BI156*AJ156,0),AJ156*$BI156),AJ156*$BI156),0)</f>
        <v>0</v>
      </c>
      <c r="CN156" s="5">
        <f>IF($BI156&lt;&gt;"",IF('Capacity summary'!$C$14="Yes",IF(COUNTBLANK('Capacity summary'!$H68:$BG68)&lt;52,IF('Capacity summary'!AK68&lt;&gt;"",$BI156*AK156,0),AK156*$BI156),AK156*$BI156),0)</f>
        <v>0</v>
      </c>
      <c r="CO156" s="5">
        <f>IF($BI156&lt;&gt;"",IF('Capacity summary'!$C$14="Yes",IF(COUNTBLANK('Capacity summary'!$H68:$BG68)&lt;52,IF('Capacity summary'!AL68&lt;&gt;"",$BI156*AL156,0),AL156*$BI156),AL156*$BI156),0)</f>
        <v>0</v>
      </c>
      <c r="CP156" s="5">
        <f>IF($BI156&lt;&gt;"",IF('Capacity summary'!$C$14="Yes",IF(COUNTBLANK('Capacity summary'!$H68:$BG68)&lt;52,IF('Capacity summary'!AM68&lt;&gt;"",$BI156*AM156,0),AM156*$BI156),AM156*$BI156),0)</f>
        <v>0</v>
      </c>
      <c r="CQ156" s="5">
        <f>IF($BI156&lt;&gt;"",IF('Capacity summary'!$C$14="Yes",IF(COUNTBLANK('Capacity summary'!$H68:$BG68)&lt;52,IF('Capacity summary'!AN68&lt;&gt;"",$BI156*AN156,0),AN156*$BI156),AN156*$BI156),0)</f>
        <v>0</v>
      </c>
      <c r="CR156" s="5">
        <f>IF($BI156&lt;&gt;"",IF('Capacity summary'!$C$14="Yes",IF(COUNTBLANK('Capacity summary'!$H68:$BG68)&lt;52,IF('Capacity summary'!AO68&lt;&gt;"",$BI156*AO156,0),AO156*$BI156),AO156*$BI156),0)</f>
        <v>0</v>
      </c>
      <c r="CS156" s="5">
        <f>IF($BI156&lt;&gt;"",IF('Capacity summary'!$C$14="Yes",IF(COUNTBLANK('Capacity summary'!$H68:$BG68)&lt;52,IF('Capacity summary'!AP68&lt;&gt;"",$BI156*AP156,0),AP156*$BI156),AP156*$BI156),0)</f>
        <v>0</v>
      </c>
      <c r="CT156" s="5">
        <f>IF($BI156&lt;&gt;"",IF('Capacity summary'!$C$14="Yes",IF(COUNTBLANK('Capacity summary'!$H68:$BG68)&lt;52,IF('Capacity summary'!AQ68&lt;&gt;"",$BI156*AQ156,0),AQ156*$BI156),AQ156*$BI156),0)</f>
        <v>0</v>
      </c>
      <c r="CU156" s="5">
        <f>IF($BI156&lt;&gt;"",IF('Capacity summary'!$C$14="Yes",IF(COUNTBLANK('Capacity summary'!$H68:$BG68)&lt;52,IF('Capacity summary'!AR68&lt;&gt;"",$BI156*AR156,0),AR156*$BI156),AR156*$BI156),0)</f>
        <v>0</v>
      </c>
      <c r="CV156" s="5">
        <f>IF($BI156&lt;&gt;"",IF('Capacity summary'!$C$14="Yes",IF(COUNTBLANK('Capacity summary'!$H68:$BG68)&lt;52,IF('Capacity summary'!AS68&lt;&gt;"",$BI156*AS156,0),AS156*$BI156),AS156*$BI156),0)</f>
        <v>0</v>
      </c>
      <c r="CW156" s="5">
        <f>IF($BI156&lt;&gt;"",IF('Capacity summary'!$C$14="Yes",IF(COUNTBLANK('Capacity summary'!$H68:$BG68)&lt;52,IF('Capacity summary'!AT68&lt;&gt;"",$BI156*AT156,0),AT156*$BI156),AT156*$BI156),0)</f>
        <v>0</v>
      </c>
      <c r="CX156" s="5">
        <f>IF($BI156&lt;&gt;"",IF('Capacity summary'!$C$14="Yes",IF(COUNTBLANK('Capacity summary'!$H68:$BG68)&lt;52,IF('Capacity summary'!AU68&lt;&gt;"",$BI156*AU156,0),AU156*$BI156),AU156*$BI156),0)</f>
        <v>0</v>
      </c>
      <c r="CY156" s="5">
        <f>IF($BI156&lt;&gt;"",IF('Capacity summary'!$C$14="Yes",IF(COUNTBLANK('Capacity summary'!$H68:$BG68)&lt;52,IF('Capacity summary'!AV68&lt;&gt;"",$BI156*AV156,0),AV156*$BI156),AV156*$BI156),0)</f>
        <v>0</v>
      </c>
      <c r="CZ156" s="5">
        <f>IF($BI156&lt;&gt;"",IF('Capacity summary'!$C$14="Yes",IF(COUNTBLANK('Capacity summary'!$H68:$BG68)&lt;52,IF('Capacity summary'!AW68&lt;&gt;"",$BI156*AW156,0),AW156*$BI156),AW156*$BI156),0)</f>
        <v>0</v>
      </c>
      <c r="DA156" s="5">
        <f>IF($BI156&lt;&gt;"",IF('Capacity summary'!$C$14="Yes",IF(COUNTBLANK('Capacity summary'!$H68:$BG68)&lt;52,IF('Capacity summary'!AX68&lt;&gt;"",$BI156*AX156,0),AX156*$BI156),AX156*$BI156),0)</f>
        <v>0</v>
      </c>
      <c r="DB156" s="5">
        <f>IF($BI156&lt;&gt;"",IF('Capacity summary'!$C$14="Yes",IF(COUNTBLANK('Capacity summary'!$H68:$BG68)&lt;52,IF('Capacity summary'!AY68&lt;&gt;"",$BI156*AY156,0),AY156*$BI156),AY156*$BI156),0)</f>
        <v>0</v>
      </c>
      <c r="DC156" s="5">
        <f>IF($BI156&lt;&gt;"",IF('Capacity summary'!$C$14="Yes",IF(COUNTBLANK('Capacity summary'!$H68:$BG68)&lt;52,IF('Capacity summary'!AZ68&lt;&gt;"",$BI156*AZ156,0),AZ156*$BI156),AZ156*$BI156),0)</f>
        <v>0</v>
      </c>
      <c r="DD156" s="5">
        <f>IF($BI156&lt;&gt;"",IF('Capacity summary'!$C$14="Yes",IF(COUNTBLANK('Capacity summary'!$H68:$BG68)&lt;52,IF('Capacity summary'!BA68&lt;&gt;"",$BI156*BA156,0),BA156*$BI156),BA156*$BI156),0)</f>
        <v>0</v>
      </c>
      <c r="DE156" s="5">
        <f>IF($BI156&lt;&gt;"",IF('Capacity summary'!$C$14="Yes",IF(COUNTBLANK('Capacity summary'!$H68:$BG68)&lt;52,IF('Capacity summary'!BB68&lt;&gt;"",$BI156*BB156,0),BB156*$BI156),BB156*$BI156),0)</f>
        <v>0</v>
      </c>
      <c r="DF156" s="5">
        <f>IF($BI156&lt;&gt;"",IF('Capacity summary'!$C$14="Yes",IF(COUNTBLANK('Capacity summary'!$H68:$BG68)&lt;52,IF('Capacity summary'!BC68&lt;&gt;"",$BI156*BC156,0),BC156*$BI156),BC156*$BI156),0)</f>
        <v>0</v>
      </c>
      <c r="DG156" s="5">
        <f>IF($BI156&lt;&gt;"",IF('Capacity summary'!$C$14="Yes",IF(COUNTBLANK('Capacity summary'!$H68:$BG68)&lt;52,IF('Capacity summary'!BD68&lt;&gt;"",$BI156*BD156,0),BD156*$BI156),BD156*$BI156),0)</f>
        <v>0</v>
      </c>
      <c r="DH156" s="5">
        <f>IF($BI156&lt;&gt;"",IF('Capacity summary'!$C$14="Yes",IF(COUNTBLANK('Capacity summary'!$H68:$BG68)&lt;52,IF('Capacity summary'!BE68&lt;&gt;"",$BI156*BE156,0),BE156*$BI156),BE156*$BI156),0)</f>
        <v>0</v>
      </c>
      <c r="DI156" s="5">
        <f>IF($BI156&lt;&gt;"",IF('Capacity summary'!$C$14="Yes",IF(COUNTBLANK('Capacity summary'!$H68:$BG68)&lt;52,IF('Capacity summary'!BF68&lt;&gt;"",$BI156*BF156,0),BF156*$BI156),BF156*$BI156),0)</f>
        <v>0</v>
      </c>
      <c r="DJ156" s="5">
        <f>IF($BI156&lt;&gt;"",IF('Capacity summary'!$C$14="Yes",IF(COUNTBLANK('Capacity summary'!$H68:$BG68)&lt;52,IF('Capacity summary'!BG68&lt;&gt;"",$BI156*BG156,0),BG156*$BI156),BG156*$BI156),0)</f>
        <v>0</v>
      </c>
      <c r="DK156" s="138">
        <f t="shared" si="6"/>
        <v>0</v>
      </c>
    </row>
    <row r="157" spans="3:115" x14ac:dyDescent="0.2">
      <c r="C157" s="68" t="str">
        <f>ROW(A46)&amp;". "&amp;Capacity!N62</f>
        <v xml:space="preserve">46. </v>
      </c>
      <c r="D157" s="68">
        <f>'Capacity setup'!C163</f>
        <v>0</v>
      </c>
      <c r="E157" s="68">
        <f>'Capacity setup'!D163</f>
        <v>0</v>
      </c>
      <c r="F157" s="68">
        <f>'Capacity setup'!E163</f>
        <v>0</v>
      </c>
      <c r="H157" s="68">
        <f ca="1">IF(AND(SUMIF(Capacity_Resource,$D157,'Critical resources (hide)'!U$6:U$105)+SUMIF(Capacity_Resource,$E157,'Critical resources (hide)'!U$6:U$105)+SUMIF(Capacity_Resource,$F157,'Critical resources (hide)'!U$6:U$105)&gt;0,$E$1=2),0,1)</f>
        <v>1</v>
      </c>
      <c r="I157" s="68">
        <f ca="1">IF(AND(SUMIF(Capacity_Resource,$D157,'Critical resources (hide)'!V$6:V$105)+SUMIF(Capacity_Resource,$E157,'Critical resources (hide)'!V$6:V$105)+SUMIF(Capacity_Resource,$F157,'Critical resources (hide)'!V$6:V$105)&gt;0,$E$1=2),0,1)</f>
        <v>1</v>
      </c>
      <c r="J157" s="68">
        <f ca="1">IF(AND(SUMIF(Capacity_Resource,$D157,'Critical resources (hide)'!W$6:W$105)+SUMIF(Capacity_Resource,$E157,'Critical resources (hide)'!W$6:W$105)+SUMIF(Capacity_Resource,$F157,'Critical resources (hide)'!W$6:W$105)&gt;0,$E$1=2),0,1)</f>
        <v>1</v>
      </c>
      <c r="K157" s="68">
        <f ca="1">IF(AND(SUMIF(Capacity_Resource,$D157,'Critical resources (hide)'!X$6:X$105)+SUMIF(Capacity_Resource,$E157,'Critical resources (hide)'!X$6:X$105)+SUMIF(Capacity_Resource,$F157,'Critical resources (hide)'!X$6:X$105)&gt;0,$E$1=2),0,1)</f>
        <v>1</v>
      </c>
      <c r="L157" s="68">
        <f ca="1">IF(AND(SUMIF(Capacity_Resource,$D157,'Critical resources (hide)'!Y$6:Y$105)+SUMIF(Capacity_Resource,$E157,'Critical resources (hide)'!Y$6:Y$105)+SUMIF(Capacity_Resource,$F157,'Critical resources (hide)'!Y$6:Y$105)&gt;0,$E$1=2),0,1)</f>
        <v>1</v>
      </c>
      <c r="M157" s="68">
        <f ca="1">IF(AND(SUMIF(Capacity_Resource,$D157,'Critical resources (hide)'!Z$6:Z$105)+SUMIF(Capacity_Resource,$E157,'Critical resources (hide)'!Z$6:Z$105)+SUMIF(Capacity_Resource,$F157,'Critical resources (hide)'!Z$6:Z$105)&gt;0,$E$1=2),0,1)</f>
        <v>1</v>
      </c>
      <c r="N157" s="68">
        <f ca="1">IF(AND(SUMIF(Capacity_Resource,$D157,'Critical resources (hide)'!AA$6:AA$105)+SUMIF(Capacity_Resource,$E157,'Critical resources (hide)'!AA$6:AA$105)+SUMIF(Capacity_Resource,$F157,'Critical resources (hide)'!AA$6:AA$105)&gt;0,$E$1=2),0,1)</f>
        <v>1</v>
      </c>
      <c r="O157" s="68">
        <f ca="1">IF(AND(SUMIF(Capacity_Resource,$D157,'Critical resources (hide)'!AB$6:AB$105)+SUMIF(Capacity_Resource,$E157,'Critical resources (hide)'!AB$6:AB$105)+SUMIF(Capacity_Resource,$F157,'Critical resources (hide)'!AB$6:AB$105)&gt;0,$E$1=2),0,1)</f>
        <v>1</v>
      </c>
      <c r="P157" s="68">
        <f ca="1">IF(AND(SUMIF(Capacity_Resource,$D157,'Critical resources (hide)'!AC$6:AC$105)+SUMIF(Capacity_Resource,$E157,'Critical resources (hide)'!AC$6:AC$105)+SUMIF(Capacity_Resource,$F157,'Critical resources (hide)'!AC$6:AC$105)&gt;0,$E$1=2),0,1)</f>
        <v>1</v>
      </c>
      <c r="Q157" s="68">
        <f ca="1">IF(AND(SUMIF(Capacity_Resource,$D157,'Critical resources (hide)'!AD$6:AD$105)+SUMIF(Capacity_Resource,$E157,'Critical resources (hide)'!AD$6:AD$105)+SUMIF(Capacity_Resource,$F157,'Critical resources (hide)'!AD$6:AD$105)&gt;0,$E$1=2),0,1)</f>
        <v>1</v>
      </c>
      <c r="R157" s="68">
        <f ca="1">IF(AND(SUMIF(Capacity_Resource,$D157,'Critical resources (hide)'!AE$6:AE$105)+SUMIF(Capacity_Resource,$E157,'Critical resources (hide)'!AE$6:AE$105)+SUMIF(Capacity_Resource,$F157,'Critical resources (hide)'!AE$6:AE$105)&gt;0,$E$1=2),0,1)</f>
        <v>1</v>
      </c>
      <c r="S157" s="68">
        <f ca="1">IF(AND(SUMIF(Capacity_Resource,$D157,'Critical resources (hide)'!AF$6:AF$105)+SUMIF(Capacity_Resource,$E157,'Critical resources (hide)'!AF$6:AF$105)+SUMIF(Capacity_Resource,$F157,'Critical resources (hide)'!AF$6:AF$105)&gt;0,$E$1=2),0,1)</f>
        <v>1</v>
      </c>
      <c r="T157" s="68">
        <f ca="1">IF(AND(SUMIF(Capacity_Resource,$D157,'Critical resources (hide)'!AG$6:AG$105)+SUMIF(Capacity_Resource,$E157,'Critical resources (hide)'!AG$6:AG$105)+SUMIF(Capacity_Resource,$F157,'Critical resources (hide)'!AG$6:AG$105)&gt;0,$E$1=2),0,1)</f>
        <v>1</v>
      </c>
      <c r="U157" s="68">
        <f ca="1">IF(AND(SUMIF(Capacity_Resource,$D157,'Critical resources (hide)'!AH$6:AH$105)+SUMIF(Capacity_Resource,$E157,'Critical resources (hide)'!AH$6:AH$105)+SUMIF(Capacity_Resource,$F157,'Critical resources (hide)'!AH$6:AH$105)&gt;0,$E$1=2),0,1)</f>
        <v>1</v>
      </c>
      <c r="V157" s="68">
        <f ca="1">IF(AND(SUMIF(Capacity_Resource,$D157,'Critical resources (hide)'!AI$6:AI$105)+SUMIF(Capacity_Resource,$E157,'Critical resources (hide)'!AI$6:AI$105)+SUMIF(Capacity_Resource,$F157,'Critical resources (hide)'!AI$6:AI$105)&gt;0,$E$1=2),0,1)</f>
        <v>1</v>
      </c>
      <c r="W157" s="68">
        <f ca="1">IF(AND(SUMIF(Capacity_Resource,$D157,'Critical resources (hide)'!AJ$6:AJ$105)+SUMIF(Capacity_Resource,$E157,'Critical resources (hide)'!AJ$6:AJ$105)+SUMIF(Capacity_Resource,$F157,'Critical resources (hide)'!AJ$6:AJ$105)&gt;0,$E$1=2),0,1)</f>
        <v>1</v>
      </c>
      <c r="X157" s="68">
        <f ca="1">IF(AND(SUMIF(Capacity_Resource,$D157,'Critical resources (hide)'!AK$6:AK$105)+SUMIF(Capacity_Resource,$E157,'Critical resources (hide)'!AK$6:AK$105)+SUMIF(Capacity_Resource,$F157,'Critical resources (hide)'!AK$6:AK$105)&gt;0,$E$1=2),0,1)</f>
        <v>1</v>
      </c>
      <c r="Y157" s="68">
        <f ca="1">IF(AND(SUMIF(Capacity_Resource,$D157,'Critical resources (hide)'!AL$6:AL$105)+SUMIF(Capacity_Resource,$E157,'Critical resources (hide)'!AL$6:AL$105)+SUMIF(Capacity_Resource,$F157,'Critical resources (hide)'!AL$6:AL$105)&gt;0,$E$1=2),0,1)</f>
        <v>1</v>
      </c>
      <c r="Z157" s="68">
        <f ca="1">IF(AND(SUMIF(Capacity_Resource,$D157,'Critical resources (hide)'!AM$6:AM$105)+SUMIF(Capacity_Resource,$E157,'Critical resources (hide)'!AM$6:AM$105)+SUMIF(Capacity_Resource,$F157,'Critical resources (hide)'!AM$6:AM$105)&gt;0,$E$1=2),0,1)</f>
        <v>1</v>
      </c>
      <c r="AA157" s="68">
        <f ca="1">IF(AND(SUMIF(Capacity_Resource,$D157,'Critical resources (hide)'!AN$6:AN$105)+SUMIF(Capacity_Resource,$E157,'Critical resources (hide)'!AN$6:AN$105)+SUMIF(Capacity_Resource,$F157,'Critical resources (hide)'!AN$6:AN$105)&gt;0,$E$1=2),0,1)</f>
        <v>1</v>
      </c>
      <c r="AB157" s="68">
        <f ca="1">IF(AND(SUMIF(Capacity_Resource,$D157,'Critical resources (hide)'!AO$6:AO$105)+SUMIF(Capacity_Resource,$E157,'Critical resources (hide)'!AO$6:AO$105)+SUMIF(Capacity_Resource,$F157,'Critical resources (hide)'!AO$6:AO$105)&gt;0,$E$1=2),0,1)</f>
        <v>1</v>
      </c>
      <c r="AC157" s="68">
        <f ca="1">IF(AND(SUMIF(Capacity_Resource,$D157,'Critical resources (hide)'!AP$6:AP$105)+SUMIF(Capacity_Resource,$E157,'Critical resources (hide)'!AP$6:AP$105)+SUMIF(Capacity_Resource,$F157,'Critical resources (hide)'!AP$6:AP$105)&gt;0,$E$1=2),0,1)</f>
        <v>1</v>
      </c>
      <c r="AD157" s="68">
        <f ca="1">IF(AND(SUMIF(Capacity_Resource,$D157,'Critical resources (hide)'!AQ$6:AQ$105)+SUMIF(Capacity_Resource,$E157,'Critical resources (hide)'!AQ$6:AQ$105)+SUMIF(Capacity_Resource,$F157,'Critical resources (hide)'!AQ$6:AQ$105)&gt;0,$E$1=2),0,1)</f>
        <v>1</v>
      </c>
      <c r="AE157" s="68">
        <f ca="1">IF(AND(SUMIF(Capacity_Resource,$D157,'Critical resources (hide)'!AR$6:AR$105)+SUMIF(Capacity_Resource,$E157,'Critical resources (hide)'!AR$6:AR$105)+SUMIF(Capacity_Resource,$F157,'Critical resources (hide)'!AR$6:AR$105)&gt;0,$E$1=2),0,1)</f>
        <v>1</v>
      </c>
      <c r="AF157" s="68">
        <f ca="1">IF(AND(SUMIF(Capacity_Resource,$D157,'Critical resources (hide)'!AS$6:AS$105)+SUMIF(Capacity_Resource,$E157,'Critical resources (hide)'!AS$6:AS$105)+SUMIF(Capacity_Resource,$F157,'Critical resources (hide)'!AS$6:AS$105)&gt;0,$E$1=2),0,1)</f>
        <v>1</v>
      </c>
      <c r="AG157" s="68">
        <f ca="1">IF(AND(SUMIF(Capacity_Resource,$D157,'Critical resources (hide)'!AT$6:AT$105)+SUMIF(Capacity_Resource,$E157,'Critical resources (hide)'!AT$6:AT$105)+SUMIF(Capacity_Resource,$F157,'Critical resources (hide)'!AT$6:AT$105)&gt;0,$E$1=2),0,1)</f>
        <v>1</v>
      </c>
      <c r="AH157" s="68">
        <f ca="1">IF(AND(SUMIF(Capacity_Resource,$D157,'Critical resources (hide)'!AU$6:AU$105)+SUMIF(Capacity_Resource,$E157,'Critical resources (hide)'!AU$6:AU$105)+SUMIF(Capacity_Resource,$F157,'Critical resources (hide)'!AU$6:AU$105)&gt;0,$E$1=2),0,1)</f>
        <v>1</v>
      </c>
      <c r="AI157" s="68">
        <f ca="1">IF(AND(SUMIF(Capacity_Resource,$D157,'Critical resources (hide)'!AV$6:AV$105)+SUMIF(Capacity_Resource,$E157,'Critical resources (hide)'!AV$6:AV$105)+SUMIF(Capacity_Resource,$F157,'Critical resources (hide)'!AV$6:AV$105)&gt;0,$E$1=2),0,1)</f>
        <v>1</v>
      </c>
      <c r="AJ157" s="68">
        <f ca="1">IF(AND(SUMIF(Capacity_Resource,$D157,'Critical resources (hide)'!AW$6:AW$105)+SUMIF(Capacity_Resource,$E157,'Critical resources (hide)'!AW$6:AW$105)+SUMIF(Capacity_Resource,$F157,'Critical resources (hide)'!AW$6:AW$105)&gt;0,$E$1=2),0,1)</f>
        <v>1</v>
      </c>
      <c r="AK157" s="68">
        <f ca="1">IF(AND(SUMIF(Capacity_Resource,$D157,'Critical resources (hide)'!AX$6:AX$105)+SUMIF(Capacity_Resource,$E157,'Critical resources (hide)'!AX$6:AX$105)+SUMIF(Capacity_Resource,$F157,'Critical resources (hide)'!AX$6:AX$105)&gt;0,$E$1=2),0,1)</f>
        <v>1</v>
      </c>
      <c r="AL157" s="68">
        <f ca="1">IF(AND(SUMIF(Capacity_Resource,$D157,'Critical resources (hide)'!AY$6:AY$105)+SUMIF(Capacity_Resource,$E157,'Critical resources (hide)'!AY$6:AY$105)+SUMIF(Capacity_Resource,$F157,'Critical resources (hide)'!AY$6:AY$105)&gt;0,$E$1=2),0,1)</f>
        <v>1</v>
      </c>
      <c r="AM157" s="68">
        <f ca="1">IF(AND(SUMIF(Capacity_Resource,$D157,'Critical resources (hide)'!AZ$6:AZ$105)+SUMIF(Capacity_Resource,$E157,'Critical resources (hide)'!AZ$6:AZ$105)+SUMIF(Capacity_Resource,$F157,'Critical resources (hide)'!AZ$6:AZ$105)&gt;0,$E$1=2),0,1)</f>
        <v>1</v>
      </c>
      <c r="AN157" s="68">
        <f ca="1">IF(AND(SUMIF(Capacity_Resource,$D157,'Critical resources (hide)'!BA$6:BA$105)+SUMIF(Capacity_Resource,$E157,'Critical resources (hide)'!BA$6:BA$105)+SUMIF(Capacity_Resource,$F157,'Critical resources (hide)'!BA$6:BA$105)&gt;0,$E$1=2),0,1)</f>
        <v>1</v>
      </c>
      <c r="AO157" s="68">
        <f ca="1">IF(AND(SUMIF(Capacity_Resource,$D157,'Critical resources (hide)'!BB$6:BB$105)+SUMIF(Capacity_Resource,$E157,'Critical resources (hide)'!BB$6:BB$105)+SUMIF(Capacity_Resource,$F157,'Critical resources (hide)'!BB$6:BB$105)&gt;0,$E$1=2),0,1)</f>
        <v>1</v>
      </c>
      <c r="AP157" s="68">
        <f ca="1">IF(AND(SUMIF(Capacity_Resource,$D157,'Critical resources (hide)'!BC$6:BC$105)+SUMIF(Capacity_Resource,$E157,'Critical resources (hide)'!BC$6:BC$105)+SUMIF(Capacity_Resource,$F157,'Critical resources (hide)'!BC$6:BC$105)&gt;0,$E$1=2),0,1)</f>
        <v>1</v>
      </c>
      <c r="AQ157" s="68">
        <f ca="1">IF(AND(SUMIF(Capacity_Resource,$D157,'Critical resources (hide)'!BD$6:BD$105)+SUMIF(Capacity_Resource,$E157,'Critical resources (hide)'!BD$6:BD$105)+SUMIF(Capacity_Resource,$F157,'Critical resources (hide)'!BD$6:BD$105)&gt;0,$E$1=2),0,1)</f>
        <v>1</v>
      </c>
      <c r="AR157" s="68">
        <f ca="1">IF(AND(SUMIF(Capacity_Resource,$D157,'Critical resources (hide)'!BE$6:BE$105)+SUMIF(Capacity_Resource,$E157,'Critical resources (hide)'!BE$6:BE$105)+SUMIF(Capacity_Resource,$F157,'Critical resources (hide)'!BE$6:BE$105)&gt;0,$E$1=2),0,1)</f>
        <v>1</v>
      </c>
      <c r="AS157" s="68">
        <f ca="1">IF(AND(SUMIF(Capacity_Resource,$D157,'Critical resources (hide)'!BF$6:BF$105)+SUMIF(Capacity_Resource,$E157,'Critical resources (hide)'!BF$6:BF$105)+SUMIF(Capacity_Resource,$F157,'Critical resources (hide)'!BF$6:BF$105)&gt;0,$E$1=2),0,1)</f>
        <v>1</v>
      </c>
      <c r="AT157" s="68">
        <f ca="1">IF(AND(SUMIF(Capacity_Resource,$D157,'Critical resources (hide)'!BG$6:BG$105)+SUMIF(Capacity_Resource,$E157,'Critical resources (hide)'!BG$6:BG$105)+SUMIF(Capacity_Resource,$F157,'Critical resources (hide)'!BG$6:BG$105)&gt;0,$E$1=2),0,1)</f>
        <v>1</v>
      </c>
      <c r="AU157" s="68">
        <f ca="1">IF(AND(SUMIF(Capacity_Resource,$D157,'Critical resources (hide)'!BH$6:BH$105)+SUMIF(Capacity_Resource,$E157,'Critical resources (hide)'!BH$6:BH$105)+SUMIF(Capacity_Resource,$F157,'Critical resources (hide)'!BH$6:BH$105)&gt;0,$E$1=2),0,1)</f>
        <v>1</v>
      </c>
      <c r="AV157" s="68">
        <f ca="1">IF(AND(SUMIF(Capacity_Resource,$D157,'Critical resources (hide)'!BI$6:BI$105)+SUMIF(Capacity_Resource,$E157,'Critical resources (hide)'!BI$6:BI$105)+SUMIF(Capacity_Resource,$F157,'Critical resources (hide)'!BI$6:BI$105)&gt;0,$E$1=2),0,1)</f>
        <v>1</v>
      </c>
      <c r="AW157" s="68">
        <f ca="1">IF(AND(SUMIF(Capacity_Resource,$D157,'Critical resources (hide)'!BJ$6:BJ$105)+SUMIF(Capacity_Resource,$E157,'Critical resources (hide)'!BJ$6:BJ$105)+SUMIF(Capacity_Resource,$F157,'Critical resources (hide)'!BJ$6:BJ$105)&gt;0,$E$1=2),0,1)</f>
        <v>1</v>
      </c>
      <c r="AX157" s="68">
        <f ca="1">IF(AND(SUMIF(Capacity_Resource,$D157,'Critical resources (hide)'!BK$6:BK$105)+SUMIF(Capacity_Resource,$E157,'Critical resources (hide)'!BK$6:BK$105)+SUMIF(Capacity_Resource,$F157,'Critical resources (hide)'!BK$6:BK$105)&gt;0,$E$1=2),0,1)</f>
        <v>1</v>
      </c>
      <c r="AY157" s="68">
        <f ca="1">IF(AND(SUMIF(Capacity_Resource,$D157,'Critical resources (hide)'!BL$6:BL$105)+SUMIF(Capacity_Resource,$E157,'Critical resources (hide)'!BL$6:BL$105)+SUMIF(Capacity_Resource,$F157,'Critical resources (hide)'!BL$6:BL$105)&gt;0,$E$1=2),0,1)</f>
        <v>1</v>
      </c>
      <c r="AZ157" s="68">
        <f ca="1">IF(AND(SUMIF(Capacity_Resource,$D157,'Critical resources (hide)'!BM$6:BM$105)+SUMIF(Capacity_Resource,$E157,'Critical resources (hide)'!BM$6:BM$105)+SUMIF(Capacity_Resource,$F157,'Critical resources (hide)'!BM$6:BM$105)&gt;0,$E$1=2),0,1)</f>
        <v>1</v>
      </c>
      <c r="BA157" s="68">
        <f ca="1">IF(AND(SUMIF(Capacity_Resource,$D157,'Critical resources (hide)'!BN$6:BN$105)+SUMIF(Capacity_Resource,$E157,'Critical resources (hide)'!BN$6:BN$105)+SUMIF(Capacity_Resource,$F157,'Critical resources (hide)'!BN$6:BN$105)&gt;0,$E$1=2),0,1)</f>
        <v>1</v>
      </c>
      <c r="BB157" s="68">
        <f ca="1">IF(AND(SUMIF(Capacity_Resource,$D157,'Critical resources (hide)'!BO$6:BO$105)+SUMIF(Capacity_Resource,$E157,'Critical resources (hide)'!BO$6:BO$105)+SUMIF(Capacity_Resource,$F157,'Critical resources (hide)'!BO$6:BO$105)&gt;0,$E$1=2),0,1)</f>
        <v>1</v>
      </c>
      <c r="BC157" s="68">
        <f ca="1">IF(AND(SUMIF(Capacity_Resource,$D157,'Critical resources (hide)'!BP$6:BP$105)+SUMIF(Capacity_Resource,$E157,'Critical resources (hide)'!BP$6:BP$105)+SUMIF(Capacity_Resource,$F157,'Critical resources (hide)'!BP$6:BP$105)&gt;0,$E$1=2),0,1)</f>
        <v>1</v>
      </c>
      <c r="BD157" s="68">
        <f ca="1">IF(AND(SUMIF(Capacity_Resource,$D157,'Critical resources (hide)'!BQ$6:BQ$105)+SUMIF(Capacity_Resource,$E157,'Critical resources (hide)'!BQ$6:BQ$105)+SUMIF(Capacity_Resource,$F157,'Critical resources (hide)'!BQ$6:BQ$105)&gt;0,$E$1=2),0,1)</f>
        <v>1</v>
      </c>
      <c r="BE157" s="68">
        <f ca="1">IF(AND(SUMIF(Capacity_Resource,$D157,'Critical resources (hide)'!BR$6:BR$105)+SUMIF(Capacity_Resource,$E157,'Critical resources (hide)'!BR$6:BR$105)+SUMIF(Capacity_Resource,$F157,'Critical resources (hide)'!BR$6:BR$105)&gt;0,$E$1=2),0,1)</f>
        <v>1</v>
      </c>
      <c r="BF157" s="68">
        <f ca="1">IF(AND(SUMIF(Capacity_Resource,$D157,'Critical resources (hide)'!BS$6:BS$105)+SUMIF(Capacity_Resource,$E157,'Critical resources (hide)'!BS$6:BS$105)+SUMIF(Capacity_Resource,$F157,'Critical resources (hide)'!BS$6:BS$105)&gt;0,$E$1=2),0,1)</f>
        <v>1</v>
      </c>
      <c r="BG157" s="68">
        <f ca="1">IF(AND(SUMIF(Capacity_Resource,$D157,'Critical resources (hide)'!BT$6:BT$105)+SUMIF(Capacity_Resource,$E157,'Critical resources (hide)'!BT$6:BT$105)+SUMIF(Capacity_Resource,$F157,'Critical resources (hide)'!BT$6:BT$105)&gt;0,$E$1=2),0,1)</f>
        <v>1</v>
      </c>
      <c r="BH157" s="68">
        <f>IF(ROW(A46)&lt;=Capacity!$M$16,IF('Capacity summary'!$C$14="No",SUM(H157:BG157),'Capacity summary'!$E69),0)</f>
        <v>0</v>
      </c>
      <c r="BI157" s="68" t="str">
        <f>IF(BH157&gt;0,IF(BH157&lt;Capacity!Q62,Capacity!R62,Capacity!T62/'Capacity calculation (hide)'!BH157),"")</f>
        <v/>
      </c>
      <c r="BJ157" s="5"/>
      <c r="BK157" s="5">
        <f>IF($BI157&lt;&gt;"",IF('Capacity summary'!$C$14="Yes",IF(COUNTBLANK('Capacity summary'!$H69:$BG69)&lt;52,IF('Capacity summary'!H69&lt;&gt;"",$BI157*H157,0),H157*$BI157),H157*$BI157),0)</f>
        <v>0</v>
      </c>
      <c r="BL157" s="5">
        <f>IF($BI157&lt;&gt;"",IF('Capacity summary'!$C$14="Yes",IF(COUNTBLANK('Capacity summary'!$H69:$BG69)&lt;52,IF('Capacity summary'!I69&lt;&gt;"",$BI157*I157,0),I157*$BI157),I157*$BI157),0)</f>
        <v>0</v>
      </c>
      <c r="BM157" s="5">
        <f>IF($BI157&lt;&gt;"",IF('Capacity summary'!$C$14="Yes",IF(COUNTBLANK('Capacity summary'!$H69:$BG69)&lt;52,IF('Capacity summary'!J69&lt;&gt;"",$BI157*J157,0),J157*$BI157),J157*$BI157),0)</f>
        <v>0</v>
      </c>
      <c r="BN157" s="5">
        <f>IF($BI157&lt;&gt;"",IF('Capacity summary'!$C$14="Yes",IF(COUNTBLANK('Capacity summary'!$H69:$BG69)&lt;52,IF('Capacity summary'!K69&lt;&gt;"",$BI157*K157,0),K157*$BI157),K157*$BI157),0)</f>
        <v>0</v>
      </c>
      <c r="BO157" s="5">
        <f>IF($BI157&lt;&gt;"",IF('Capacity summary'!$C$14="Yes",IF(COUNTBLANK('Capacity summary'!$H69:$BG69)&lt;52,IF('Capacity summary'!L69&lt;&gt;"",$BI157*L157,0),L157*$BI157),L157*$BI157),0)</f>
        <v>0</v>
      </c>
      <c r="BP157" s="5">
        <f>IF($BI157&lt;&gt;"",IF('Capacity summary'!$C$14="Yes",IF(COUNTBLANK('Capacity summary'!$H69:$BG69)&lt;52,IF('Capacity summary'!M69&lt;&gt;"",$BI157*M157,0),M157*$BI157),M157*$BI157),0)</f>
        <v>0</v>
      </c>
      <c r="BQ157" s="5">
        <f>IF($BI157&lt;&gt;"",IF('Capacity summary'!$C$14="Yes",IF(COUNTBLANK('Capacity summary'!$H69:$BG69)&lt;52,IF('Capacity summary'!N69&lt;&gt;"",$BI157*N157,0),N157*$BI157),N157*$BI157),0)</f>
        <v>0</v>
      </c>
      <c r="BR157" s="5">
        <f>IF($BI157&lt;&gt;"",IF('Capacity summary'!$C$14="Yes",IF(COUNTBLANK('Capacity summary'!$H69:$BG69)&lt;52,IF('Capacity summary'!O69&lt;&gt;"",$BI157*O157,0),O157*$BI157),O157*$BI157),0)</f>
        <v>0</v>
      </c>
      <c r="BS157" s="5">
        <f>IF($BI157&lt;&gt;"",IF('Capacity summary'!$C$14="Yes",IF(COUNTBLANK('Capacity summary'!$H69:$BG69)&lt;52,IF('Capacity summary'!P69&lt;&gt;"",$BI157*P157,0),P157*$BI157),P157*$BI157),0)</f>
        <v>0</v>
      </c>
      <c r="BT157" s="5">
        <f>IF($BI157&lt;&gt;"",IF('Capacity summary'!$C$14="Yes",IF(COUNTBLANK('Capacity summary'!$H69:$BG69)&lt;52,IF('Capacity summary'!Q69&lt;&gt;"",$BI157*Q157,0),Q157*$BI157),Q157*$BI157),0)</f>
        <v>0</v>
      </c>
      <c r="BU157" s="5">
        <f>IF($BI157&lt;&gt;"",IF('Capacity summary'!$C$14="Yes",IF(COUNTBLANK('Capacity summary'!$H69:$BG69)&lt;52,IF('Capacity summary'!R69&lt;&gt;"",$BI157*R157,0),R157*$BI157),R157*$BI157),0)</f>
        <v>0</v>
      </c>
      <c r="BV157" s="5">
        <f>IF($BI157&lt;&gt;"",IF('Capacity summary'!$C$14="Yes",IF(COUNTBLANK('Capacity summary'!$H69:$BG69)&lt;52,IF('Capacity summary'!S69&lt;&gt;"",$BI157*S157,0),S157*$BI157),S157*$BI157),0)</f>
        <v>0</v>
      </c>
      <c r="BW157" s="5">
        <f>IF($BI157&lt;&gt;"",IF('Capacity summary'!$C$14="Yes",IF(COUNTBLANK('Capacity summary'!$H69:$BG69)&lt;52,IF('Capacity summary'!T69&lt;&gt;"",$BI157*T157,0),T157*$BI157),T157*$BI157),0)</f>
        <v>0</v>
      </c>
      <c r="BX157" s="5">
        <f>IF($BI157&lt;&gt;"",IF('Capacity summary'!$C$14="Yes",IF(COUNTBLANK('Capacity summary'!$H69:$BG69)&lt;52,IF('Capacity summary'!U69&lt;&gt;"",$BI157*U157,0),U157*$BI157),U157*$BI157),0)</f>
        <v>0</v>
      </c>
      <c r="BY157" s="5">
        <f>IF($BI157&lt;&gt;"",IF('Capacity summary'!$C$14="Yes",IF(COUNTBLANK('Capacity summary'!$H69:$BG69)&lt;52,IF('Capacity summary'!V69&lt;&gt;"",$BI157*V157,0),V157*$BI157),V157*$BI157),0)</f>
        <v>0</v>
      </c>
      <c r="BZ157" s="5">
        <f>IF($BI157&lt;&gt;"",IF('Capacity summary'!$C$14="Yes",IF(COUNTBLANK('Capacity summary'!$H69:$BG69)&lt;52,IF('Capacity summary'!W69&lt;&gt;"",$BI157*W157,0),W157*$BI157),W157*$BI157),0)</f>
        <v>0</v>
      </c>
      <c r="CA157" s="5">
        <f>IF($BI157&lt;&gt;"",IF('Capacity summary'!$C$14="Yes",IF(COUNTBLANK('Capacity summary'!$H69:$BG69)&lt;52,IF('Capacity summary'!X69&lt;&gt;"",$BI157*X157,0),X157*$BI157),X157*$BI157),0)</f>
        <v>0</v>
      </c>
      <c r="CB157" s="5">
        <f>IF($BI157&lt;&gt;"",IF('Capacity summary'!$C$14="Yes",IF(COUNTBLANK('Capacity summary'!$H69:$BG69)&lt;52,IF('Capacity summary'!Y69&lt;&gt;"",$BI157*Y157,0),Y157*$BI157),Y157*$BI157),0)</f>
        <v>0</v>
      </c>
      <c r="CC157" s="5">
        <f>IF($BI157&lt;&gt;"",IF('Capacity summary'!$C$14="Yes",IF(COUNTBLANK('Capacity summary'!$H69:$BG69)&lt;52,IF('Capacity summary'!Z69&lt;&gt;"",$BI157*Z157,0),Z157*$BI157),Z157*$BI157),0)</f>
        <v>0</v>
      </c>
      <c r="CD157" s="5">
        <f>IF($BI157&lt;&gt;"",IF('Capacity summary'!$C$14="Yes",IF(COUNTBLANK('Capacity summary'!$H69:$BG69)&lt;52,IF('Capacity summary'!AA69&lt;&gt;"",$BI157*AA157,0),AA157*$BI157),AA157*$BI157),0)</f>
        <v>0</v>
      </c>
      <c r="CE157" s="5">
        <f>IF($BI157&lt;&gt;"",IF('Capacity summary'!$C$14="Yes",IF(COUNTBLANK('Capacity summary'!$H69:$BG69)&lt;52,IF('Capacity summary'!AB69&lt;&gt;"",$BI157*AB157,0),AB157*$BI157),AB157*$BI157),0)</f>
        <v>0</v>
      </c>
      <c r="CF157" s="5">
        <f>IF($BI157&lt;&gt;"",IF('Capacity summary'!$C$14="Yes",IF(COUNTBLANK('Capacity summary'!$H69:$BG69)&lt;52,IF('Capacity summary'!AC69&lt;&gt;"",$BI157*AC157,0),AC157*$BI157),AC157*$BI157),0)</f>
        <v>0</v>
      </c>
      <c r="CG157" s="5">
        <f>IF($BI157&lt;&gt;"",IF('Capacity summary'!$C$14="Yes",IF(COUNTBLANK('Capacity summary'!$H69:$BG69)&lt;52,IF('Capacity summary'!AD69&lt;&gt;"",$BI157*AD157,0),AD157*$BI157),AD157*$BI157),0)</f>
        <v>0</v>
      </c>
      <c r="CH157" s="5">
        <f>IF($BI157&lt;&gt;"",IF('Capacity summary'!$C$14="Yes",IF(COUNTBLANK('Capacity summary'!$H69:$BG69)&lt;52,IF('Capacity summary'!AE69&lt;&gt;"",$BI157*AE157,0),AE157*$BI157),AE157*$BI157),0)</f>
        <v>0</v>
      </c>
      <c r="CI157" s="5">
        <f>IF($BI157&lt;&gt;"",IF('Capacity summary'!$C$14="Yes",IF(COUNTBLANK('Capacity summary'!$H69:$BG69)&lt;52,IF('Capacity summary'!AF69&lt;&gt;"",$BI157*AF157,0),AF157*$BI157),AF157*$BI157),0)</f>
        <v>0</v>
      </c>
      <c r="CJ157" s="5">
        <f>IF($BI157&lt;&gt;"",IF('Capacity summary'!$C$14="Yes",IF(COUNTBLANK('Capacity summary'!$H69:$BG69)&lt;52,IF('Capacity summary'!AG69&lt;&gt;"",$BI157*AG157,0),AG157*$BI157),AG157*$BI157),0)</f>
        <v>0</v>
      </c>
      <c r="CK157" s="5">
        <f>IF($BI157&lt;&gt;"",IF('Capacity summary'!$C$14="Yes",IF(COUNTBLANK('Capacity summary'!$H69:$BG69)&lt;52,IF('Capacity summary'!AH69&lt;&gt;"",$BI157*AH157,0),AH157*$BI157),AH157*$BI157),0)</f>
        <v>0</v>
      </c>
      <c r="CL157" s="5">
        <f>IF($BI157&lt;&gt;"",IF('Capacity summary'!$C$14="Yes",IF(COUNTBLANK('Capacity summary'!$H69:$BG69)&lt;52,IF('Capacity summary'!AI69&lt;&gt;"",$BI157*AI157,0),AI157*$BI157),AI157*$BI157),0)</f>
        <v>0</v>
      </c>
      <c r="CM157" s="5">
        <f>IF($BI157&lt;&gt;"",IF('Capacity summary'!$C$14="Yes",IF(COUNTBLANK('Capacity summary'!$H69:$BG69)&lt;52,IF('Capacity summary'!AJ69&lt;&gt;"",$BI157*AJ157,0),AJ157*$BI157),AJ157*$BI157),0)</f>
        <v>0</v>
      </c>
      <c r="CN157" s="5">
        <f>IF($BI157&lt;&gt;"",IF('Capacity summary'!$C$14="Yes",IF(COUNTBLANK('Capacity summary'!$H69:$BG69)&lt;52,IF('Capacity summary'!AK69&lt;&gt;"",$BI157*AK157,0),AK157*$BI157),AK157*$BI157),0)</f>
        <v>0</v>
      </c>
      <c r="CO157" s="5">
        <f>IF($BI157&lt;&gt;"",IF('Capacity summary'!$C$14="Yes",IF(COUNTBLANK('Capacity summary'!$H69:$BG69)&lt;52,IF('Capacity summary'!AL69&lt;&gt;"",$BI157*AL157,0),AL157*$BI157),AL157*$BI157),0)</f>
        <v>0</v>
      </c>
      <c r="CP157" s="5">
        <f>IF($BI157&lt;&gt;"",IF('Capacity summary'!$C$14="Yes",IF(COUNTBLANK('Capacity summary'!$H69:$BG69)&lt;52,IF('Capacity summary'!AM69&lt;&gt;"",$BI157*AM157,0),AM157*$BI157),AM157*$BI157),0)</f>
        <v>0</v>
      </c>
      <c r="CQ157" s="5">
        <f>IF($BI157&lt;&gt;"",IF('Capacity summary'!$C$14="Yes",IF(COUNTBLANK('Capacity summary'!$H69:$BG69)&lt;52,IF('Capacity summary'!AN69&lt;&gt;"",$BI157*AN157,0),AN157*$BI157),AN157*$BI157),0)</f>
        <v>0</v>
      </c>
      <c r="CR157" s="5">
        <f>IF($BI157&lt;&gt;"",IF('Capacity summary'!$C$14="Yes",IF(COUNTBLANK('Capacity summary'!$H69:$BG69)&lt;52,IF('Capacity summary'!AO69&lt;&gt;"",$BI157*AO157,0),AO157*$BI157),AO157*$BI157),0)</f>
        <v>0</v>
      </c>
      <c r="CS157" s="5">
        <f>IF($BI157&lt;&gt;"",IF('Capacity summary'!$C$14="Yes",IF(COUNTBLANK('Capacity summary'!$H69:$BG69)&lt;52,IF('Capacity summary'!AP69&lt;&gt;"",$BI157*AP157,0),AP157*$BI157),AP157*$BI157),0)</f>
        <v>0</v>
      </c>
      <c r="CT157" s="5">
        <f>IF($BI157&lt;&gt;"",IF('Capacity summary'!$C$14="Yes",IF(COUNTBLANK('Capacity summary'!$H69:$BG69)&lt;52,IF('Capacity summary'!AQ69&lt;&gt;"",$BI157*AQ157,0),AQ157*$BI157),AQ157*$BI157),0)</f>
        <v>0</v>
      </c>
      <c r="CU157" s="5">
        <f>IF($BI157&lt;&gt;"",IF('Capacity summary'!$C$14="Yes",IF(COUNTBLANK('Capacity summary'!$H69:$BG69)&lt;52,IF('Capacity summary'!AR69&lt;&gt;"",$BI157*AR157,0),AR157*$BI157),AR157*$BI157),0)</f>
        <v>0</v>
      </c>
      <c r="CV157" s="5">
        <f>IF($BI157&lt;&gt;"",IF('Capacity summary'!$C$14="Yes",IF(COUNTBLANK('Capacity summary'!$H69:$BG69)&lt;52,IF('Capacity summary'!AS69&lt;&gt;"",$BI157*AS157,0),AS157*$BI157),AS157*$BI157),0)</f>
        <v>0</v>
      </c>
      <c r="CW157" s="5">
        <f>IF($BI157&lt;&gt;"",IF('Capacity summary'!$C$14="Yes",IF(COUNTBLANK('Capacity summary'!$H69:$BG69)&lt;52,IF('Capacity summary'!AT69&lt;&gt;"",$BI157*AT157,0),AT157*$BI157),AT157*$BI157),0)</f>
        <v>0</v>
      </c>
      <c r="CX157" s="5">
        <f>IF($BI157&lt;&gt;"",IF('Capacity summary'!$C$14="Yes",IF(COUNTBLANK('Capacity summary'!$H69:$BG69)&lt;52,IF('Capacity summary'!AU69&lt;&gt;"",$BI157*AU157,0),AU157*$BI157),AU157*$BI157),0)</f>
        <v>0</v>
      </c>
      <c r="CY157" s="5">
        <f>IF($BI157&lt;&gt;"",IF('Capacity summary'!$C$14="Yes",IF(COUNTBLANK('Capacity summary'!$H69:$BG69)&lt;52,IF('Capacity summary'!AV69&lt;&gt;"",$BI157*AV157,0),AV157*$BI157),AV157*$BI157),0)</f>
        <v>0</v>
      </c>
      <c r="CZ157" s="5">
        <f>IF($BI157&lt;&gt;"",IF('Capacity summary'!$C$14="Yes",IF(COUNTBLANK('Capacity summary'!$H69:$BG69)&lt;52,IF('Capacity summary'!AW69&lt;&gt;"",$BI157*AW157,0),AW157*$BI157),AW157*$BI157),0)</f>
        <v>0</v>
      </c>
      <c r="DA157" s="5">
        <f>IF($BI157&lt;&gt;"",IF('Capacity summary'!$C$14="Yes",IF(COUNTBLANK('Capacity summary'!$H69:$BG69)&lt;52,IF('Capacity summary'!AX69&lt;&gt;"",$BI157*AX157,0),AX157*$BI157),AX157*$BI157),0)</f>
        <v>0</v>
      </c>
      <c r="DB157" s="5">
        <f>IF($BI157&lt;&gt;"",IF('Capacity summary'!$C$14="Yes",IF(COUNTBLANK('Capacity summary'!$H69:$BG69)&lt;52,IF('Capacity summary'!AY69&lt;&gt;"",$BI157*AY157,0),AY157*$BI157),AY157*$BI157),0)</f>
        <v>0</v>
      </c>
      <c r="DC157" s="5">
        <f>IF($BI157&lt;&gt;"",IF('Capacity summary'!$C$14="Yes",IF(COUNTBLANK('Capacity summary'!$H69:$BG69)&lt;52,IF('Capacity summary'!AZ69&lt;&gt;"",$BI157*AZ157,0),AZ157*$BI157),AZ157*$BI157),0)</f>
        <v>0</v>
      </c>
      <c r="DD157" s="5">
        <f>IF($BI157&lt;&gt;"",IF('Capacity summary'!$C$14="Yes",IF(COUNTBLANK('Capacity summary'!$H69:$BG69)&lt;52,IF('Capacity summary'!BA69&lt;&gt;"",$BI157*BA157,0),BA157*$BI157),BA157*$BI157),0)</f>
        <v>0</v>
      </c>
      <c r="DE157" s="5">
        <f>IF($BI157&lt;&gt;"",IF('Capacity summary'!$C$14="Yes",IF(COUNTBLANK('Capacity summary'!$H69:$BG69)&lt;52,IF('Capacity summary'!BB69&lt;&gt;"",$BI157*BB157,0),BB157*$BI157),BB157*$BI157),0)</f>
        <v>0</v>
      </c>
      <c r="DF157" s="5">
        <f>IF($BI157&lt;&gt;"",IF('Capacity summary'!$C$14="Yes",IF(COUNTBLANK('Capacity summary'!$H69:$BG69)&lt;52,IF('Capacity summary'!BC69&lt;&gt;"",$BI157*BC157,0),BC157*$BI157),BC157*$BI157),0)</f>
        <v>0</v>
      </c>
      <c r="DG157" s="5">
        <f>IF($BI157&lt;&gt;"",IF('Capacity summary'!$C$14="Yes",IF(COUNTBLANK('Capacity summary'!$H69:$BG69)&lt;52,IF('Capacity summary'!BD69&lt;&gt;"",$BI157*BD157,0),BD157*$BI157),BD157*$BI157),0)</f>
        <v>0</v>
      </c>
      <c r="DH157" s="5">
        <f>IF($BI157&lt;&gt;"",IF('Capacity summary'!$C$14="Yes",IF(COUNTBLANK('Capacity summary'!$H69:$BG69)&lt;52,IF('Capacity summary'!BE69&lt;&gt;"",$BI157*BE157,0),BE157*$BI157),BE157*$BI157),0)</f>
        <v>0</v>
      </c>
      <c r="DI157" s="5">
        <f>IF($BI157&lt;&gt;"",IF('Capacity summary'!$C$14="Yes",IF(COUNTBLANK('Capacity summary'!$H69:$BG69)&lt;52,IF('Capacity summary'!BF69&lt;&gt;"",$BI157*BF157,0),BF157*$BI157),BF157*$BI157),0)</f>
        <v>0</v>
      </c>
      <c r="DJ157" s="5">
        <f>IF($BI157&lt;&gt;"",IF('Capacity summary'!$C$14="Yes",IF(COUNTBLANK('Capacity summary'!$H69:$BG69)&lt;52,IF('Capacity summary'!BG69&lt;&gt;"",$BI157*BG157,0),BG157*$BI157),BG157*$BI157),0)</f>
        <v>0</v>
      </c>
      <c r="DK157" s="138">
        <f t="shared" si="6"/>
        <v>0</v>
      </c>
    </row>
    <row r="158" spans="3:115" x14ac:dyDescent="0.2">
      <c r="C158" s="68" t="str">
        <f>ROW(A47)&amp;". "&amp;Capacity!N63</f>
        <v xml:space="preserve">47. </v>
      </c>
      <c r="D158" s="68">
        <f>'Capacity setup'!C164</f>
        <v>0</v>
      </c>
      <c r="E158" s="68">
        <f>'Capacity setup'!D164</f>
        <v>0</v>
      </c>
      <c r="F158" s="68">
        <f>'Capacity setup'!E164</f>
        <v>0</v>
      </c>
      <c r="H158" s="68">
        <f ca="1">IF(AND(SUMIF(Capacity_Resource,$D158,'Critical resources (hide)'!U$6:U$105)+SUMIF(Capacity_Resource,$E158,'Critical resources (hide)'!U$6:U$105)+SUMIF(Capacity_Resource,$F158,'Critical resources (hide)'!U$6:U$105)&gt;0,$E$1=2),0,1)</f>
        <v>1</v>
      </c>
      <c r="I158" s="68">
        <f ca="1">IF(AND(SUMIF(Capacity_Resource,$D158,'Critical resources (hide)'!V$6:V$105)+SUMIF(Capacity_Resource,$E158,'Critical resources (hide)'!V$6:V$105)+SUMIF(Capacity_Resource,$F158,'Critical resources (hide)'!V$6:V$105)&gt;0,$E$1=2),0,1)</f>
        <v>1</v>
      </c>
      <c r="J158" s="68">
        <f ca="1">IF(AND(SUMIF(Capacity_Resource,$D158,'Critical resources (hide)'!W$6:W$105)+SUMIF(Capacity_Resource,$E158,'Critical resources (hide)'!W$6:W$105)+SUMIF(Capacity_Resource,$F158,'Critical resources (hide)'!W$6:W$105)&gt;0,$E$1=2),0,1)</f>
        <v>1</v>
      </c>
      <c r="K158" s="68">
        <f ca="1">IF(AND(SUMIF(Capacity_Resource,$D158,'Critical resources (hide)'!X$6:X$105)+SUMIF(Capacity_Resource,$E158,'Critical resources (hide)'!X$6:X$105)+SUMIF(Capacity_Resource,$F158,'Critical resources (hide)'!X$6:X$105)&gt;0,$E$1=2),0,1)</f>
        <v>1</v>
      </c>
      <c r="L158" s="68">
        <f ca="1">IF(AND(SUMIF(Capacity_Resource,$D158,'Critical resources (hide)'!Y$6:Y$105)+SUMIF(Capacity_Resource,$E158,'Critical resources (hide)'!Y$6:Y$105)+SUMIF(Capacity_Resource,$F158,'Critical resources (hide)'!Y$6:Y$105)&gt;0,$E$1=2),0,1)</f>
        <v>1</v>
      </c>
      <c r="M158" s="68">
        <f ca="1">IF(AND(SUMIF(Capacity_Resource,$D158,'Critical resources (hide)'!Z$6:Z$105)+SUMIF(Capacity_Resource,$E158,'Critical resources (hide)'!Z$6:Z$105)+SUMIF(Capacity_Resource,$F158,'Critical resources (hide)'!Z$6:Z$105)&gt;0,$E$1=2),0,1)</f>
        <v>1</v>
      </c>
      <c r="N158" s="68">
        <f ca="1">IF(AND(SUMIF(Capacity_Resource,$D158,'Critical resources (hide)'!AA$6:AA$105)+SUMIF(Capacity_Resource,$E158,'Critical resources (hide)'!AA$6:AA$105)+SUMIF(Capacity_Resource,$F158,'Critical resources (hide)'!AA$6:AA$105)&gt;0,$E$1=2),0,1)</f>
        <v>1</v>
      </c>
      <c r="O158" s="68">
        <f ca="1">IF(AND(SUMIF(Capacity_Resource,$D158,'Critical resources (hide)'!AB$6:AB$105)+SUMIF(Capacity_Resource,$E158,'Critical resources (hide)'!AB$6:AB$105)+SUMIF(Capacity_Resource,$F158,'Critical resources (hide)'!AB$6:AB$105)&gt;0,$E$1=2),0,1)</f>
        <v>1</v>
      </c>
      <c r="P158" s="68">
        <f ca="1">IF(AND(SUMIF(Capacity_Resource,$D158,'Critical resources (hide)'!AC$6:AC$105)+SUMIF(Capacity_Resource,$E158,'Critical resources (hide)'!AC$6:AC$105)+SUMIF(Capacity_Resource,$F158,'Critical resources (hide)'!AC$6:AC$105)&gt;0,$E$1=2),0,1)</f>
        <v>1</v>
      </c>
      <c r="Q158" s="68">
        <f ca="1">IF(AND(SUMIF(Capacity_Resource,$D158,'Critical resources (hide)'!AD$6:AD$105)+SUMIF(Capacity_Resource,$E158,'Critical resources (hide)'!AD$6:AD$105)+SUMIF(Capacity_Resource,$F158,'Critical resources (hide)'!AD$6:AD$105)&gt;0,$E$1=2),0,1)</f>
        <v>1</v>
      </c>
      <c r="R158" s="68">
        <f ca="1">IF(AND(SUMIF(Capacity_Resource,$D158,'Critical resources (hide)'!AE$6:AE$105)+SUMIF(Capacity_Resource,$E158,'Critical resources (hide)'!AE$6:AE$105)+SUMIF(Capacity_Resource,$F158,'Critical resources (hide)'!AE$6:AE$105)&gt;0,$E$1=2),0,1)</f>
        <v>1</v>
      </c>
      <c r="S158" s="68">
        <f ca="1">IF(AND(SUMIF(Capacity_Resource,$D158,'Critical resources (hide)'!AF$6:AF$105)+SUMIF(Capacity_Resource,$E158,'Critical resources (hide)'!AF$6:AF$105)+SUMIF(Capacity_Resource,$F158,'Critical resources (hide)'!AF$6:AF$105)&gt;0,$E$1=2),0,1)</f>
        <v>1</v>
      </c>
      <c r="T158" s="68">
        <f ca="1">IF(AND(SUMIF(Capacity_Resource,$D158,'Critical resources (hide)'!AG$6:AG$105)+SUMIF(Capacity_Resource,$E158,'Critical resources (hide)'!AG$6:AG$105)+SUMIF(Capacity_Resource,$F158,'Critical resources (hide)'!AG$6:AG$105)&gt;0,$E$1=2),0,1)</f>
        <v>1</v>
      </c>
      <c r="U158" s="68">
        <f ca="1">IF(AND(SUMIF(Capacity_Resource,$D158,'Critical resources (hide)'!AH$6:AH$105)+SUMIF(Capacity_Resource,$E158,'Critical resources (hide)'!AH$6:AH$105)+SUMIF(Capacity_Resource,$F158,'Critical resources (hide)'!AH$6:AH$105)&gt;0,$E$1=2),0,1)</f>
        <v>1</v>
      </c>
      <c r="V158" s="68">
        <f ca="1">IF(AND(SUMIF(Capacity_Resource,$D158,'Critical resources (hide)'!AI$6:AI$105)+SUMIF(Capacity_Resource,$E158,'Critical resources (hide)'!AI$6:AI$105)+SUMIF(Capacity_Resource,$F158,'Critical resources (hide)'!AI$6:AI$105)&gt;0,$E$1=2),0,1)</f>
        <v>1</v>
      </c>
      <c r="W158" s="68">
        <f ca="1">IF(AND(SUMIF(Capacity_Resource,$D158,'Critical resources (hide)'!AJ$6:AJ$105)+SUMIF(Capacity_Resource,$E158,'Critical resources (hide)'!AJ$6:AJ$105)+SUMIF(Capacity_Resource,$F158,'Critical resources (hide)'!AJ$6:AJ$105)&gt;0,$E$1=2),0,1)</f>
        <v>1</v>
      </c>
      <c r="X158" s="68">
        <f ca="1">IF(AND(SUMIF(Capacity_Resource,$D158,'Critical resources (hide)'!AK$6:AK$105)+SUMIF(Capacity_Resource,$E158,'Critical resources (hide)'!AK$6:AK$105)+SUMIF(Capacity_Resource,$F158,'Critical resources (hide)'!AK$6:AK$105)&gt;0,$E$1=2),0,1)</f>
        <v>1</v>
      </c>
      <c r="Y158" s="68">
        <f ca="1">IF(AND(SUMIF(Capacity_Resource,$D158,'Critical resources (hide)'!AL$6:AL$105)+SUMIF(Capacity_Resource,$E158,'Critical resources (hide)'!AL$6:AL$105)+SUMIF(Capacity_Resource,$F158,'Critical resources (hide)'!AL$6:AL$105)&gt;0,$E$1=2),0,1)</f>
        <v>1</v>
      </c>
      <c r="Z158" s="68">
        <f ca="1">IF(AND(SUMIF(Capacity_Resource,$D158,'Critical resources (hide)'!AM$6:AM$105)+SUMIF(Capacity_Resource,$E158,'Critical resources (hide)'!AM$6:AM$105)+SUMIF(Capacity_Resource,$F158,'Critical resources (hide)'!AM$6:AM$105)&gt;0,$E$1=2),0,1)</f>
        <v>1</v>
      </c>
      <c r="AA158" s="68">
        <f ca="1">IF(AND(SUMIF(Capacity_Resource,$D158,'Critical resources (hide)'!AN$6:AN$105)+SUMIF(Capacity_Resource,$E158,'Critical resources (hide)'!AN$6:AN$105)+SUMIF(Capacity_Resource,$F158,'Critical resources (hide)'!AN$6:AN$105)&gt;0,$E$1=2),0,1)</f>
        <v>1</v>
      </c>
      <c r="AB158" s="68">
        <f ca="1">IF(AND(SUMIF(Capacity_Resource,$D158,'Critical resources (hide)'!AO$6:AO$105)+SUMIF(Capacity_Resource,$E158,'Critical resources (hide)'!AO$6:AO$105)+SUMIF(Capacity_Resource,$F158,'Critical resources (hide)'!AO$6:AO$105)&gt;0,$E$1=2),0,1)</f>
        <v>1</v>
      </c>
      <c r="AC158" s="68">
        <f ca="1">IF(AND(SUMIF(Capacity_Resource,$D158,'Critical resources (hide)'!AP$6:AP$105)+SUMIF(Capacity_Resource,$E158,'Critical resources (hide)'!AP$6:AP$105)+SUMIF(Capacity_Resource,$F158,'Critical resources (hide)'!AP$6:AP$105)&gt;0,$E$1=2),0,1)</f>
        <v>1</v>
      </c>
      <c r="AD158" s="68">
        <f ca="1">IF(AND(SUMIF(Capacity_Resource,$D158,'Critical resources (hide)'!AQ$6:AQ$105)+SUMIF(Capacity_Resource,$E158,'Critical resources (hide)'!AQ$6:AQ$105)+SUMIF(Capacity_Resource,$F158,'Critical resources (hide)'!AQ$6:AQ$105)&gt;0,$E$1=2),0,1)</f>
        <v>1</v>
      </c>
      <c r="AE158" s="68">
        <f ca="1">IF(AND(SUMIF(Capacity_Resource,$D158,'Critical resources (hide)'!AR$6:AR$105)+SUMIF(Capacity_Resource,$E158,'Critical resources (hide)'!AR$6:AR$105)+SUMIF(Capacity_Resource,$F158,'Critical resources (hide)'!AR$6:AR$105)&gt;0,$E$1=2),0,1)</f>
        <v>1</v>
      </c>
      <c r="AF158" s="68">
        <f ca="1">IF(AND(SUMIF(Capacity_Resource,$D158,'Critical resources (hide)'!AS$6:AS$105)+SUMIF(Capacity_Resource,$E158,'Critical resources (hide)'!AS$6:AS$105)+SUMIF(Capacity_Resource,$F158,'Critical resources (hide)'!AS$6:AS$105)&gt;0,$E$1=2),0,1)</f>
        <v>1</v>
      </c>
      <c r="AG158" s="68">
        <f ca="1">IF(AND(SUMIF(Capacity_Resource,$D158,'Critical resources (hide)'!AT$6:AT$105)+SUMIF(Capacity_Resource,$E158,'Critical resources (hide)'!AT$6:AT$105)+SUMIF(Capacity_Resource,$F158,'Critical resources (hide)'!AT$6:AT$105)&gt;0,$E$1=2),0,1)</f>
        <v>1</v>
      </c>
      <c r="AH158" s="68">
        <f ca="1">IF(AND(SUMIF(Capacity_Resource,$D158,'Critical resources (hide)'!AU$6:AU$105)+SUMIF(Capacity_Resource,$E158,'Critical resources (hide)'!AU$6:AU$105)+SUMIF(Capacity_Resource,$F158,'Critical resources (hide)'!AU$6:AU$105)&gt;0,$E$1=2),0,1)</f>
        <v>1</v>
      </c>
      <c r="AI158" s="68">
        <f ca="1">IF(AND(SUMIF(Capacity_Resource,$D158,'Critical resources (hide)'!AV$6:AV$105)+SUMIF(Capacity_Resource,$E158,'Critical resources (hide)'!AV$6:AV$105)+SUMIF(Capacity_Resource,$F158,'Critical resources (hide)'!AV$6:AV$105)&gt;0,$E$1=2),0,1)</f>
        <v>1</v>
      </c>
      <c r="AJ158" s="68">
        <f ca="1">IF(AND(SUMIF(Capacity_Resource,$D158,'Critical resources (hide)'!AW$6:AW$105)+SUMIF(Capacity_Resource,$E158,'Critical resources (hide)'!AW$6:AW$105)+SUMIF(Capacity_Resource,$F158,'Critical resources (hide)'!AW$6:AW$105)&gt;0,$E$1=2),0,1)</f>
        <v>1</v>
      </c>
      <c r="AK158" s="68">
        <f ca="1">IF(AND(SUMIF(Capacity_Resource,$D158,'Critical resources (hide)'!AX$6:AX$105)+SUMIF(Capacity_Resource,$E158,'Critical resources (hide)'!AX$6:AX$105)+SUMIF(Capacity_Resource,$F158,'Critical resources (hide)'!AX$6:AX$105)&gt;0,$E$1=2),0,1)</f>
        <v>1</v>
      </c>
      <c r="AL158" s="68">
        <f ca="1">IF(AND(SUMIF(Capacity_Resource,$D158,'Critical resources (hide)'!AY$6:AY$105)+SUMIF(Capacity_Resource,$E158,'Critical resources (hide)'!AY$6:AY$105)+SUMIF(Capacity_Resource,$F158,'Critical resources (hide)'!AY$6:AY$105)&gt;0,$E$1=2),0,1)</f>
        <v>1</v>
      </c>
      <c r="AM158" s="68">
        <f ca="1">IF(AND(SUMIF(Capacity_Resource,$D158,'Critical resources (hide)'!AZ$6:AZ$105)+SUMIF(Capacity_Resource,$E158,'Critical resources (hide)'!AZ$6:AZ$105)+SUMIF(Capacity_Resource,$F158,'Critical resources (hide)'!AZ$6:AZ$105)&gt;0,$E$1=2),0,1)</f>
        <v>1</v>
      </c>
      <c r="AN158" s="68">
        <f ca="1">IF(AND(SUMIF(Capacity_Resource,$D158,'Critical resources (hide)'!BA$6:BA$105)+SUMIF(Capacity_Resource,$E158,'Critical resources (hide)'!BA$6:BA$105)+SUMIF(Capacity_Resource,$F158,'Critical resources (hide)'!BA$6:BA$105)&gt;0,$E$1=2),0,1)</f>
        <v>1</v>
      </c>
      <c r="AO158" s="68">
        <f ca="1">IF(AND(SUMIF(Capacity_Resource,$D158,'Critical resources (hide)'!BB$6:BB$105)+SUMIF(Capacity_Resource,$E158,'Critical resources (hide)'!BB$6:BB$105)+SUMIF(Capacity_Resource,$F158,'Critical resources (hide)'!BB$6:BB$105)&gt;0,$E$1=2),0,1)</f>
        <v>1</v>
      </c>
      <c r="AP158" s="68">
        <f ca="1">IF(AND(SUMIF(Capacity_Resource,$D158,'Critical resources (hide)'!BC$6:BC$105)+SUMIF(Capacity_Resource,$E158,'Critical resources (hide)'!BC$6:BC$105)+SUMIF(Capacity_Resource,$F158,'Critical resources (hide)'!BC$6:BC$105)&gt;0,$E$1=2),0,1)</f>
        <v>1</v>
      </c>
      <c r="AQ158" s="68">
        <f ca="1">IF(AND(SUMIF(Capacity_Resource,$D158,'Critical resources (hide)'!BD$6:BD$105)+SUMIF(Capacity_Resource,$E158,'Critical resources (hide)'!BD$6:BD$105)+SUMIF(Capacity_Resource,$F158,'Critical resources (hide)'!BD$6:BD$105)&gt;0,$E$1=2),0,1)</f>
        <v>1</v>
      </c>
      <c r="AR158" s="68">
        <f ca="1">IF(AND(SUMIF(Capacity_Resource,$D158,'Critical resources (hide)'!BE$6:BE$105)+SUMIF(Capacity_Resource,$E158,'Critical resources (hide)'!BE$6:BE$105)+SUMIF(Capacity_Resource,$F158,'Critical resources (hide)'!BE$6:BE$105)&gt;0,$E$1=2),0,1)</f>
        <v>1</v>
      </c>
      <c r="AS158" s="68">
        <f ca="1">IF(AND(SUMIF(Capacity_Resource,$D158,'Critical resources (hide)'!BF$6:BF$105)+SUMIF(Capacity_Resource,$E158,'Critical resources (hide)'!BF$6:BF$105)+SUMIF(Capacity_Resource,$F158,'Critical resources (hide)'!BF$6:BF$105)&gt;0,$E$1=2),0,1)</f>
        <v>1</v>
      </c>
      <c r="AT158" s="68">
        <f ca="1">IF(AND(SUMIF(Capacity_Resource,$D158,'Critical resources (hide)'!BG$6:BG$105)+SUMIF(Capacity_Resource,$E158,'Critical resources (hide)'!BG$6:BG$105)+SUMIF(Capacity_Resource,$F158,'Critical resources (hide)'!BG$6:BG$105)&gt;0,$E$1=2),0,1)</f>
        <v>1</v>
      </c>
      <c r="AU158" s="68">
        <f ca="1">IF(AND(SUMIF(Capacity_Resource,$D158,'Critical resources (hide)'!BH$6:BH$105)+SUMIF(Capacity_Resource,$E158,'Critical resources (hide)'!BH$6:BH$105)+SUMIF(Capacity_Resource,$F158,'Critical resources (hide)'!BH$6:BH$105)&gt;0,$E$1=2),0,1)</f>
        <v>1</v>
      </c>
      <c r="AV158" s="68">
        <f ca="1">IF(AND(SUMIF(Capacity_Resource,$D158,'Critical resources (hide)'!BI$6:BI$105)+SUMIF(Capacity_Resource,$E158,'Critical resources (hide)'!BI$6:BI$105)+SUMIF(Capacity_Resource,$F158,'Critical resources (hide)'!BI$6:BI$105)&gt;0,$E$1=2),0,1)</f>
        <v>1</v>
      </c>
      <c r="AW158" s="68">
        <f ca="1">IF(AND(SUMIF(Capacity_Resource,$D158,'Critical resources (hide)'!BJ$6:BJ$105)+SUMIF(Capacity_Resource,$E158,'Critical resources (hide)'!BJ$6:BJ$105)+SUMIF(Capacity_Resource,$F158,'Critical resources (hide)'!BJ$6:BJ$105)&gt;0,$E$1=2),0,1)</f>
        <v>1</v>
      </c>
      <c r="AX158" s="68">
        <f ca="1">IF(AND(SUMIF(Capacity_Resource,$D158,'Critical resources (hide)'!BK$6:BK$105)+SUMIF(Capacity_Resource,$E158,'Critical resources (hide)'!BK$6:BK$105)+SUMIF(Capacity_Resource,$F158,'Critical resources (hide)'!BK$6:BK$105)&gt;0,$E$1=2),0,1)</f>
        <v>1</v>
      </c>
      <c r="AY158" s="68">
        <f ca="1">IF(AND(SUMIF(Capacity_Resource,$D158,'Critical resources (hide)'!BL$6:BL$105)+SUMIF(Capacity_Resource,$E158,'Critical resources (hide)'!BL$6:BL$105)+SUMIF(Capacity_Resource,$F158,'Critical resources (hide)'!BL$6:BL$105)&gt;0,$E$1=2),0,1)</f>
        <v>1</v>
      </c>
      <c r="AZ158" s="68">
        <f ca="1">IF(AND(SUMIF(Capacity_Resource,$D158,'Critical resources (hide)'!BM$6:BM$105)+SUMIF(Capacity_Resource,$E158,'Critical resources (hide)'!BM$6:BM$105)+SUMIF(Capacity_Resource,$F158,'Critical resources (hide)'!BM$6:BM$105)&gt;0,$E$1=2),0,1)</f>
        <v>1</v>
      </c>
      <c r="BA158" s="68">
        <f ca="1">IF(AND(SUMIF(Capacity_Resource,$D158,'Critical resources (hide)'!BN$6:BN$105)+SUMIF(Capacity_Resource,$E158,'Critical resources (hide)'!BN$6:BN$105)+SUMIF(Capacity_Resource,$F158,'Critical resources (hide)'!BN$6:BN$105)&gt;0,$E$1=2),0,1)</f>
        <v>1</v>
      </c>
      <c r="BB158" s="68">
        <f ca="1">IF(AND(SUMIF(Capacity_Resource,$D158,'Critical resources (hide)'!BO$6:BO$105)+SUMIF(Capacity_Resource,$E158,'Critical resources (hide)'!BO$6:BO$105)+SUMIF(Capacity_Resource,$F158,'Critical resources (hide)'!BO$6:BO$105)&gt;0,$E$1=2),0,1)</f>
        <v>1</v>
      </c>
      <c r="BC158" s="68">
        <f ca="1">IF(AND(SUMIF(Capacity_Resource,$D158,'Critical resources (hide)'!BP$6:BP$105)+SUMIF(Capacity_Resource,$E158,'Critical resources (hide)'!BP$6:BP$105)+SUMIF(Capacity_Resource,$F158,'Critical resources (hide)'!BP$6:BP$105)&gt;0,$E$1=2),0,1)</f>
        <v>1</v>
      </c>
      <c r="BD158" s="68">
        <f ca="1">IF(AND(SUMIF(Capacity_Resource,$D158,'Critical resources (hide)'!BQ$6:BQ$105)+SUMIF(Capacity_Resource,$E158,'Critical resources (hide)'!BQ$6:BQ$105)+SUMIF(Capacity_Resource,$F158,'Critical resources (hide)'!BQ$6:BQ$105)&gt;0,$E$1=2),0,1)</f>
        <v>1</v>
      </c>
      <c r="BE158" s="68">
        <f ca="1">IF(AND(SUMIF(Capacity_Resource,$D158,'Critical resources (hide)'!BR$6:BR$105)+SUMIF(Capacity_Resource,$E158,'Critical resources (hide)'!BR$6:BR$105)+SUMIF(Capacity_Resource,$F158,'Critical resources (hide)'!BR$6:BR$105)&gt;0,$E$1=2),0,1)</f>
        <v>1</v>
      </c>
      <c r="BF158" s="68">
        <f ca="1">IF(AND(SUMIF(Capacity_Resource,$D158,'Critical resources (hide)'!BS$6:BS$105)+SUMIF(Capacity_Resource,$E158,'Critical resources (hide)'!BS$6:BS$105)+SUMIF(Capacity_Resource,$F158,'Critical resources (hide)'!BS$6:BS$105)&gt;0,$E$1=2),0,1)</f>
        <v>1</v>
      </c>
      <c r="BG158" s="68">
        <f ca="1">IF(AND(SUMIF(Capacity_Resource,$D158,'Critical resources (hide)'!BT$6:BT$105)+SUMIF(Capacity_Resource,$E158,'Critical resources (hide)'!BT$6:BT$105)+SUMIF(Capacity_Resource,$F158,'Critical resources (hide)'!BT$6:BT$105)&gt;0,$E$1=2),0,1)</f>
        <v>1</v>
      </c>
      <c r="BH158" s="68">
        <f>IF(ROW(A47)&lt;=Capacity!$M$16,IF('Capacity summary'!$C$14="No",SUM(H158:BG158),'Capacity summary'!$E70),0)</f>
        <v>0</v>
      </c>
      <c r="BI158" s="68" t="str">
        <f>IF(BH158&gt;0,IF(BH158&lt;Capacity!Q63,Capacity!R63,Capacity!T63/'Capacity calculation (hide)'!BH158),"")</f>
        <v/>
      </c>
      <c r="BJ158" s="5"/>
      <c r="BK158" s="5">
        <f>IF($BI158&lt;&gt;"",IF('Capacity summary'!$C$14="Yes",IF(COUNTBLANK('Capacity summary'!$H70:$BG70)&lt;52,IF('Capacity summary'!H70&lt;&gt;"",$BI158*H158,0),H158*$BI158),H158*$BI158),0)</f>
        <v>0</v>
      </c>
      <c r="BL158" s="5">
        <f>IF($BI158&lt;&gt;"",IF('Capacity summary'!$C$14="Yes",IF(COUNTBLANK('Capacity summary'!$H70:$BG70)&lt;52,IF('Capacity summary'!I70&lt;&gt;"",$BI158*I158,0),I158*$BI158),I158*$BI158),0)</f>
        <v>0</v>
      </c>
      <c r="BM158" s="5">
        <f>IF($BI158&lt;&gt;"",IF('Capacity summary'!$C$14="Yes",IF(COUNTBLANK('Capacity summary'!$H70:$BG70)&lt;52,IF('Capacity summary'!J70&lt;&gt;"",$BI158*J158,0),J158*$BI158),J158*$BI158),0)</f>
        <v>0</v>
      </c>
      <c r="BN158" s="5">
        <f>IF($BI158&lt;&gt;"",IF('Capacity summary'!$C$14="Yes",IF(COUNTBLANK('Capacity summary'!$H70:$BG70)&lt;52,IF('Capacity summary'!K70&lt;&gt;"",$BI158*K158,0),K158*$BI158),K158*$BI158),0)</f>
        <v>0</v>
      </c>
      <c r="BO158" s="5">
        <f>IF($BI158&lt;&gt;"",IF('Capacity summary'!$C$14="Yes",IF(COUNTBLANK('Capacity summary'!$H70:$BG70)&lt;52,IF('Capacity summary'!L70&lt;&gt;"",$BI158*L158,0),L158*$BI158),L158*$BI158),0)</f>
        <v>0</v>
      </c>
      <c r="BP158" s="5">
        <f>IF($BI158&lt;&gt;"",IF('Capacity summary'!$C$14="Yes",IF(COUNTBLANK('Capacity summary'!$H70:$BG70)&lt;52,IF('Capacity summary'!M70&lt;&gt;"",$BI158*M158,0),M158*$BI158),M158*$BI158),0)</f>
        <v>0</v>
      </c>
      <c r="BQ158" s="5">
        <f>IF($BI158&lt;&gt;"",IF('Capacity summary'!$C$14="Yes",IF(COUNTBLANK('Capacity summary'!$H70:$BG70)&lt;52,IF('Capacity summary'!N70&lt;&gt;"",$BI158*N158,0),N158*$BI158),N158*$BI158),0)</f>
        <v>0</v>
      </c>
      <c r="BR158" s="5">
        <f>IF($BI158&lt;&gt;"",IF('Capacity summary'!$C$14="Yes",IF(COUNTBLANK('Capacity summary'!$H70:$BG70)&lt;52,IF('Capacity summary'!O70&lt;&gt;"",$BI158*O158,0),O158*$BI158),O158*$BI158),0)</f>
        <v>0</v>
      </c>
      <c r="BS158" s="5">
        <f>IF($BI158&lt;&gt;"",IF('Capacity summary'!$C$14="Yes",IF(COUNTBLANK('Capacity summary'!$H70:$BG70)&lt;52,IF('Capacity summary'!P70&lt;&gt;"",$BI158*P158,0),P158*$BI158),P158*$BI158),0)</f>
        <v>0</v>
      </c>
      <c r="BT158" s="5">
        <f>IF($BI158&lt;&gt;"",IF('Capacity summary'!$C$14="Yes",IF(COUNTBLANK('Capacity summary'!$H70:$BG70)&lt;52,IF('Capacity summary'!Q70&lt;&gt;"",$BI158*Q158,0),Q158*$BI158),Q158*$BI158),0)</f>
        <v>0</v>
      </c>
      <c r="BU158" s="5">
        <f>IF($BI158&lt;&gt;"",IF('Capacity summary'!$C$14="Yes",IF(COUNTBLANK('Capacity summary'!$H70:$BG70)&lt;52,IF('Capacity summary'!R70&lt;&gt;"",$BI158*R158,0),R158*$BI158),R158*$BI158),0)</f>
        <v>0</v>
      </c>
      <c r="BV158" s="5">
        <f>IF($BI158&lt;&gt;"",IF('Capacity summary'!$C$14="Yes",IF(COUNTBLANK('Capacity summary'!$H70:$BG70)&lt;52,IF('Capacity summary'!S70&lt;&gt;"",$BI158*S158,0),S158*$BI158),S158*$BI158),0)</f>
        <v>0</v>
      </c>
      <c r="BW158" s="5">
        <f>IF($BI158&lt;&gt;"",IF('Capacity summary'!$C$14="Yes",IF(COUNTBLANK('Capacity summary'!$H70:$BG70)&lt;52,IF('Capacity summary'!T70&lt;&gt;"",$BI158*T158,0),T158*$BI158),T158*$BI158),0)</f>
        <v>0</v>
      </c>
      <c r="BX158" s="5">
        <f>IF($BI158&lt;&gt;"",IF('Capacity summary'!$C$14="Yes",IF(COUNTBLANK('Capacity summary'!$H70:$BG70)&lt;52,IF('Capacity summary'!U70&lt;&gt;"",$BI158*U158,0),U158*$BI158),U158*$BI158),0)</f>
        <v>0</v>
      </c>
      <c r="BY158" s="5">
        <f>IF($BI158&lt;&gt;"",IF('Capacity summary'!$C$14="Yes",IF(COUNTBLANK('Capacity summary'!$H70:$BG70)&lt;52,IF('Capacity summary'!V70&lt;&gt;"",$BI158*V158,0),V158*$BI158),V158*$BI158),0)</f>
        <v>0</v>
      </c>
      <c r="BZ158" s="5">
        <f>IF($BI158&lt;&gt;"",IF('Capacity summary'!$C$14="Yes",IF(COUNTBLANK('Capacity summary'!$H70:$BG70)&lt;52,IF('Capacity summary'!W70&lt;&gt;"",$BI158*W158,0),W158*$BI158),W158*$BI158),0)</f>
        <v>0</v>
      </c>
      <c r="CA158" s="5">
        <f>IF($BI158&lt;&gt;"",IF('Capacity summary'!$C$14="Yes",IF(COUNTBLANK('Capacity summary'!$H70:$BG70)&lt;52,IF('Capacity summary'!X70&lt;&gt;"",$BI158*X158,0),X158*$BI158),X158*$BI158),0)</f>
        <v>0</v>
      </c>
      <c r="CB158" s="5">
        <f>IF($BI158&lt;&gt;"",IF('Capacity summary'!$C$14="Yes",IF(COUNTBLANK('Capacity summary'!$H70:$BG70)&lt;52,IF('Capacity summary'!Y70&lt;&gt;"",$BI158*Y158,0),Y158*$BI158),Y158*$BI158),0)</f>
        <v>0</v>
      </c>
      <c r="CC158" s="5">
        <f>IF($BI158&lt;&gt;"",IF('Capacity summary'!$C$14="Yes",IF(COUNTBLANK('Capacity summary'!$H70:$BG70)&lt;52,IF('Capacity summary'!Z70&lt;&gt;"",$BI158*Z158,0),Z158*$BI158),Z158*$BI158),0)</f>
        <v>0</v>
      </c>
      <c r="CD158" s="5">
        <f>IF($BI158&lt;&gt;"",IF('Capacity summary'!$C$14="Yes",IF(COUNTBLANK('Capacity summary'!$H70:$BG70)&lt;52,IF('Capacity summary'!AA70&lt;&gt;"",$BI158*AA158,0),AA158*$BI158),AA158*$BI158),0)</f>
        <v>0</v>
      </c>
      <c r="CE158" s="5">
        <f>IF($BI158&lt;&gt;"",IF('Capacity summary'!$C$14="Yes",IF(COUNTBLANK('Capacity summary'!$H70:$BG70)&lt;52,IF('Capacity summary'!AB70&lt;&gt;"",$BI158*AB158,0),AB158*$BI158),AB158*$BI158),0)</f>
        <v>0</v>
      </c>
      <c r="CF158" s="5">
        <f>IF($BI158&lt;&gt;"",IF('Capacity summary'!$C$14="Yes",IF(COUNTBLANK('Capacity summary'!$H70:$BG70)&lt;52,IF('Capacity summary'!AC70&lt;&gt;"",$BI158*AC158,0),AC158*$BI158),AC158*$BI158),0)</f>
        <v>0</v>
      </c>
      <c r="CG158" s="5">
        <f>IF($BI158&lt;&gt;"",IF('Capacity summary'!$C$14="Yes",IF(COUNTBLANK('Capacity summary'!$H70:$BG70)&lt;52,IF('Capacity summary'!AD70&lt;&gt;"",$BI158*AD158,0),AD158*$BI158),AD158*$BI158),0)</f>
        <v>0</v>
      </c>
      <c r="CH158" s="5">
        <f>IF($BI158&lt;&gt;"",IF('Capacity summary'!$C$14="Yes",IF(COUNTBLANK('Capacity summary'!$H70:$BG70)&lt;52,IF('Capacity summary'!AE70&lt;&gt;"",$BI158*AE158,0),AE158*$BI158),AE158*$BI158),0)</f>
        <v>0</v>
      </c>
      <c r="CI158" s="5">
        <f>IF($BI158&lt;&gt;"",IF('Capacity summary'!$C$14="Yes",IF(COUNTBLANK('Capacity summary'!$H70:$BG70)&lt;52,IF('Capacity summary'!AF70&lt;&gt;"",$BI158*AF158,0),AF158*$BI158),AF158*$BI158),0)</f>
        <v>0</v>
      </c>
      <c r="CJ158" s="5">
        <f>IF($BI158&lt;&gt;"",IF('Capacity summary'!$C$14="Yes",IF(COUNTBLANK('Capacity summary'!$H70:$BG70)&lt;52,IF('Capacity summary'!AG70&lt;&gt;"",$BI158*AG158,0),AG158*$BI158),AG158*$BI158),0)</f>
        <v>0</v>
      </c>
      <c r="CK158" s="5">
        <f>IF($BI158&lt;&gt;"",IF('Capacity summary'!$C$14="Yes",IF(COUNTBLANK('Capacity summary'!$H70:$BG70)&lt;52,IF('Capacity summary'!AH70&lt;&gt;"",$BI158*AH158,0),AH158*$BI158),AH158*$BI158),0)</f>
        <v>0</v>
      </c>
      <c r="CL158" s="5">
        <f>IF($BI158&lt;&gt;"",IF('Capacity summary'!$C$14="Yes",IF(COUNTBLANK('Capacity summary'!$H70:$BG70)&lt;52,IF('Capacity summary'!AI70&lt;&gt;"",$BI158*AI158,0),AI158*$BI158),AI158*$BI158),0)</f>
        <v>0</v>
      </c>
      <c r="CM158" s="5">
        <f>IF($BI158&lt;&gt;"",IF('Capacity summary'!$C$14="Yes",IF(COUNTBLANK('Capacity summary'!$H70:$BG70)&lt;52,IF('Capacity summary'!AJ70&lt;&gt;"",$BI158*AJ158,0),AJ158*$BI158),AJ158*$BI158),0)</f>
        <v>0</v>
      </c>
      <c r="CN158" s="5">
        <f>IF($BI158&lt;&gt;"",IF('Capacity summary'!$C$14="Yes",IF(COUNTBLANK('Capacity summary'!$H70:$BG70)&lt;52,IF('Capacity summary'!AK70&lt;&gt;"",$BI158*AK158,0),AK158*$BI158),AK158*$BI158),0)</f>
        <v>0</v>
      </c>
      <c r="CO158" s="5">
        <f>IF($BI158&lt;&gt;"",IF('Capacity summary'!$C$14="Yes",IF(COUNTBLANK('Capacity summary'!$H70:$BG70)&lt;52,IF('Capacity summary'!AL70&lt;&gt;"",$BI158*AL158,0),AL158*$BI158),AL158*$BI158),0)</f>
        <v>0</v>
      </c>
      <c r="CP158" s="5">
        <f>IF($BI158&lt;&gt;"",IF('Capacity summary'!$C$14="Yes",IF(COUNTBLANK('Capacity summary'!$H70:$BG70)&lt;52,IF('Capacity summary'!AM70&lt;&gt;"",$BI158*AM158,0),AM158*$BI158),AM158*$BI158),0)</f>
        <v>0</v>
      </c>
      <c r="CQ158" s="5">
        <f>IF($BI158&lt;&gt;"",IF('Capacity summary'!$C$14="Yes",IF(COUNTBLANK('Capacity summary'!$H70:$BG70)&lt;52,IF('Capacity summary'!AN70&lt;&gt;"",$BI158*AN158,0),AN158*$BI158),AN158*$BI158),0)</f>
        <v>0</v>
      </c>
      <c r="CR158" s="5">
        <f>IF($BI158&lt;&gt;"",IF('Capacity summary'!$C$14="Yes",IF(COUNTBLANK('Capacity summary'!$H70:$BG70)&lt;52,IF('Capacity summary'!AO70&lt;&gt;"",$BI158*AO158,0),AO158*$BI158),AO158*$BI158),0)</f>
        <v>0</v>
      </c>
      <c r="CS158" s="5">
        <f>IF($BI158&lt;&gt;"",IF('Capacity summary'!$C$14="Yes",IF(COUNTBLANK('Capacity summary'!$H70:$BG70)&lt;52,IF('Capacity summary'!AP70&lt;&gt;"",$BI158*AP158,0),AP158*$BI158),AP158*$BI158),0)</f>
        <v>0</v>
      </c>
      <c r="CT158" s="5">
        <f>IF($BI158&lt;&gt;"",IF('Capacity summary'!$C$14="Yes",IF(COUNTBLANK('Capacity summary'!$H70:$BG70)&lt;52,IF('Capacity summary'!AQ70&lt;&gt;"",$BI158*AQ158,0),AQ158*$BI158),AQ158*$BI158),0)</f>
        <v>0</v>
      </c>
      <c r="CU158" s="5">
        <f>IF($BI158&lt;&gt;"",IF('Capacity summary'!$C$14="Yes",IF(COUNTBLANK('Capacity summary'!$H70:$BG70)&lt;52,IF('Capacity summary'!AR70&lt;&gt;"",$BI158*AR158,0),AR158*$BI158),AR158*$BI158),0)</f>
        <v>0</v>
      </c>
      <c r="CV158" s="5">
        <f>IF($BI158&lt;&gt;"",IF('Capacity summary'!$C$14="Yes",IF(COUNTBLANK('Capacity summary'!$H70:$BG70)&lt;52,IF('Capacity summary'!AS70&lt;&gt;"",$BI158*AS158,0),AS158*$BI158),AS158*$BI158),0)</f>
        <v>0</v>
      </c>
      <c r="CW158" s="5">
        <f>IF($BI158&lt;&gt;"",IF('Capacity summary'!$C$14="Yes",IF(COUNTBLANK('Capacity summary'!$H70:$BG70)&lt;52,IF('Capacity summary'!AT70&lt;&gt;"",$BI158*AT158,0),AT158*$BI158),AT158*$BI158),0)</f>
        <v>0</v>
      </c>
      <c r="CX158" s="5">
        <f>IF($BI158&lt;&gt;"",IF('Capacity summary'!$C$14="Yes",IF(COUNTBLANK('Capacity summary'!$H70:$BG70)&lt;52,IF('Capacity summary'!AU70&lt;&gt;"",$BI158*AU158,0),AU158*$BI158),AU158*$BI158),0)</f>
        <v>0</v>
      </c>
      <c r="CY158" s="5">
        <f>IF($BI158&lt;&gt;"",IF('Capacity summary'!$C$14="Yes",IF(COUNTBLANK('Capacity summary'!$H70:$BG70)&lt;52,IF('Capacity summary'!AV70&lt;&gt;"",$BI158*AV158,0),AV158*$BI158),AV158*$BI158),0)</f>
        <v>0</v>
      </c>
      <c r="CZ158" s="5">
        <f>IF($BI158&lt;&gt;"",IF('Capacity summary'!$C$14="Yes",IF(COUNTBLANK('Capacity summary'!$H70:$BG70)&lt;52,IF('Capacity summary'!AW70&lt;&gt;"",$BI158*AW158,0),AW158*$BI158),AW158*$BI158),0)</f>
        <v>0</v>
      </c>
      <c r="DA158" s="5">
        <f>IF($BI158&lt;&gt;"",IF('Capacity summary'!$C$14="Yes",IF(COUNTBLANK('Capacity summary'!$H70:$BG70)&lt;52,IF('Capacity summary'!AX70&lt;&gt;"",$BI158*AX158,0),AX158*$BI158),AX158*$BI158),0)</f>
        <v>0</v>
      </c>
      <c r="DB158" s="5">
        <f>IF($BI158&lt;&gt;"",IF('Capacity summary'!$C$14="Yes",IF(COUNTBLANK('Capacity summary'!$H70:$BG70)&lt;52,IF('Capacity summary'!AY70&lt;&gt;"",$BI158*AY158,0),AY158*$BI158),AY158*$BI158),0)</f>
        <v>0</v>
      </c>
      <c r="DC158" s="5">
        <f>IF($BI158&lt;&gt;"",IF('Capacity summary'!$C$14="Yes",IF(COUNTBLANK('Capacity summary'!$H70:$BG70)&lt;52,IF('Capacity summary'!AZ70&lt;&gt;"",$BI158*AZ158,0),AZ158*$BI158),AZ158*$BI158),0)</f>
        <v>0</v>
      </c>
      <c r="DD158" s="5">
        <f>IF($BI158&lt;&gt;"",IF('Capacity summary'!$C$14="Yes",IF(COUNTBLANK('Capacity summary'!$H70:$BG70)&lt;52,IF('Capacity summary'!BA70&lt;&gt;"",$BI158*BA158,0),BA158*$BI158),BA158*$BI158),0)</f>
        <v>0</v>
      </c>
      <c r="DE158" s="5">
        <f>IF($BI158&lt;&gt;"",IF('Capacity summary'!$C$14="Yes",IF(COUNTBLANK('Capacity summary'!$H70:$BG70)&lt;52,IF('Capacity summary'!BB70&lt;&gt;"",$BI158*BB158,0),BB158*$BI158),BB158*$BI158),0)</f>
        <v>0</v>
      </c>
      <c r="DF158" s="5">
        <f>IF($BI158&lt;&gt;"",IF('Capacity summary'!$C$14="Yes",IF(COUNTBLANK('Capacity summary'!$H70:$BG70)&lt;52,IF('Capacity summary'!BC70&lt;&gt;"",$BI158*BC158,0),BC158*$BI158),BC158*$BI158),0)</f>
        <v>0</v>
      </c>
      <c r="DG158" s="5">
        <f>IF($BI158&lt;&gt;"",IF('Capacity summary'!$C$14="Yes",IF(COUNTBLANK('Capacity summary'!$H70:$BG70)&lt;52,IF('Capacity summary'!BD70&lt;&gt;"",$BI158*BD158,0),BD158*$BI158),BD158*$BI158),0)</f>
        <v>0</v>
      </c>
      <c r="DH158" s="5">
        <f>IF($BI158&lt;&gt;"",IF('Capacity summary'!$C$14="Yes",IF(COUNTBLANK('Capacity summary'!$H70:$BG70)&lt;52,IF('Capacity summary'!BE70&lt;&gt;"",$BI158*BE158,0),BE158*$BI158),BE158*$BI158),0)</f>
        <v>0</v>
      </c>
      <c r="DI158" s="5">
        <f>IF($BI158&lt;&gt;"",IF('Capacity summary'!$C$14="Yes",IF(COUNTBLANK('Capacity summary'!$H70:$BG70)&lt;52,IF('Capacity summary'!BF70&lt;&gt;"",$BI158*BF158,0),BF158*$BI158),BF158*$BI158),0)</f>
        <v>0</v>
      </c>
      <c r="DJ158" s="5">
        <f>IF($BI158&lt;&gt;"",IF('Capacity summary'!$C$14="Yes",IF(COUNTBLANK('Capacity summary'!$H70:$BG70)&lt;52,IF('Capacity summary'!BG70&lt;&gt;"",$BI158*BG158,0),BG158*$BI158),BG158*$BI158),0)</f>
        <v>0</v>
      </c>
      <c r="DK158" s="138">
        <f t="shared" si="6"/>
        <v>0</v>
      </c>
    </row>
    <row r="159" spans="3:115" x14ac:dyDescent="0.2">
      <c r="C159" s="68" t="str">
        <f>ROW(A48)&amp;". "&amp;Capacity!N64</f>
        <v xml:space="preserve">48. </v>
      </c>
      <c r="D159" s="68">
        <f>'Capacity setup'!C165</f>
        <v>0</v>
      </c>
      <c r="E159" s="68">
        <f>'Capacity setup'!D165</f>
        <v>0</v>
      </c>
      <c r="F159" s="68">
        <f>'Capacity setup'!E165</f>
        <v>0</v>
      </c>
      <c r="H159" s="68">
        <f ca="1">IF(AND(SUMIF(Capacity_Resource,$D159,'Critical resources (hide)'!U$6:U$105)+SUMIF(Capacity_Resource,$E159,'Critical resources (hide)'!U$6:U$105)+SUMIF(Capacity_Resource,$F159,'Critical resources (hide)'!U$6:U$105)&gt;0,$E$1=2),0,1)</f>
        <v>1</v>
      </c>
      <c r="I159" s="68">
        <f ca="1">IF(AND(SUMIF(Capacity_Resource,$D159,'Critical resources (hide)'!V$6:V$105)+SUMIF(Capacity_Resource,$E159,'Critical resources (hide)'!V$6:V$105)+SUMIF(Capacity_Resource,$F159,'Critical resources (hide)'!V$6:V$105)&gt;0,$E$1=2),0,1)</f>
        <v>1</v>
      </c>
      <c r="J159" s="68">
        <f ca="1">IF(AND(SUMIF(Capacity_Resource,$D159,'Critical resources (hide)'!W$6:W$105)+SUMIF(Capacity_Resource,$E159,'Critical resources (hide)'!W$6:W$105)+SUMIF(Capacity_Resource,$F159,'Critical resources (hide)'!W$6:W$105)&gt;0,$E$1=2),0,1)</f>
        <v>1</v>
      </c>
      <c r="K159" s="68">
        <f ca="1">IF(AND(SUMIF(Capacity_Resource,$D159,'Critical resources (hide)'!X$6:X$105)+SUMIF(Capacity_Resource,$E159,'Critical resources (hide)'!X$6:X$105)+SUMIF(Capacity_Resource,$F159,'Critical resources (hide)'!X$6:X$105)&gt;0,$E$1=2),0,1)</f>
        <v>1</v>
      </c>
      <c r="L159" s="68">
        <f ca="1">IF(AND(SUMIF(Capacity_Resource,$D159,'Critical resources (hide)'!Y$6:Y$105)+SUMIF(Capacity_Resource,$E159,'Critical resources (hide)'!Y$6:Y$105)+SUMIF(Capacity_Resource,$F159,'Critical resources (hide)'!Y$6:Y$105)&gt;0,$E$1=2),0,1)</f>
        <v>1</v>
      </c>
      <c r="M159" s="68">
        <f ca="1">IF(AND(SUMIF(Capacity_Resource,$D159,'Critical resources (hide)'!Z$6:Z$105)+SUMIF(Capacity_Resource,$E159,'Critical resources (hide)'!Z$6:Z$105)+SUMIF(Capacity_Resource,$F159,'Critical resources (hide)'!Z$6:Z$105)&gt;0,$E$1=2),0,1)</f>
        <v>1</v>
      </c>
      <c r="N159" s="68">
        <f ca="1">IF(AND(SUMIF(Capacity_Resource,$D159,'Critical resources (hide)'!AA$6:AA$105)+SUMIF(Capacity_Resource,$E159,'Critical resources (hide)'!AA$6:AA$105)+SUMIF(Capacity_Resource,$F159,'Critical resources (hide)'!AA$6:AA$105)&gt;0,$E$1=2),0,1)</f>
        <v>1</v>
      </c>
      <c r="O159" s="68">
        <f ca="1">IF(AND(SUMIF(Capacity_Resource,$D159,'Critical resources (hide)'!AB$6:AB$105)+SUMIF(Capacity_Resource,$E159,'Critical resources (hide)'!AB$6:AB$105)+SUMIF(Capacity_Resource,$F159,'Critical resources (hide)'!AB$6:AB$105)&gt;0,$E$1=2),0,1)</f>
        <v>1</v>
      </c>
      <c r="P159" s="68">
        <f ca="1">IF(AND(SUMIF(Capacity_Resource,$D159,'Critical resources (hide)'!AC$6:AC$105)+SUMIF(Capacity_Resource,$E159,'Critical resources (hide)'!AC$6:AC$105)+SUMIF(Capacity_Resource,$F159,'Critical resources (hide)'!AC$6:AC$105)&gt;0,$E$1=2),0,1)</f>
        <v>1</v>
      </c>
      <c r="Q159" s="68">
        <f ca="1">IF(AND(SUMIF(Capacity_Resource,$D159,'Critical resources (hide)'!AD$6:AD$105)+SUMIF(Capacity_Resource,$E159,'Critical resources (hide)'!AD$6:AD$105)+SUMIF(Capacity_Resource,$F159,'Critical resources (hide)'!AD$6:AD$105)&gt;0,$E$1=2),0,1)</f>
        <v>1</v>
      </c>
      <c r="R159" s="68">
        <f ca="1">IF(AND(SUMIF(Capacity_Resource,$D159,'Critical resources (hide)'!AE$6:AE$105)+SUMIF(Capacity_Resource,$E159,'Critical resources (hide)'!AE$6:AE$105)+SUMIF(Capacity_Resource,$F159,'Critical resources (hide)'!AE$6:AE$105)&gt;0,$E$1=2),0,1)</f>
        <v>1</v>
      </c>
      <c r="S159" s="68">
        <f ca="1">IF(AND(SUMIF(Capacity_Resource,$D159,'Critical resources (hide)'!AF$6:AF$105)+SUMIF(Capacity_Resource,$E159,'Critical resources (hide)'!AF$6:AF$105)+SUMIF(Capacity_Resource,$F159,'Critical resources (hide)'!AF$6:AF$105)&gt;0,$E$1=2),0,1)</f>
        <v>1</v>
      </c>
      <c r="T159" s="68">
        <f ca="1">IF(AND(SUMIF(Capacity_Resource,$D159,'Critical resources (hide)'!AG$6:AG$105)+SUMIF(Capacity_Resource,$E159,'Critical resources (hide)'!AG$6:AG$105)+SUMIF(Capacity_Resource,$F159,'Critical resources (hide)'!AG$6:AG$105)&gt;0,$E$1=2),0,1)</f>
        <v>1</v>
      </c>
      <c r="U159" s="68">
        <f ca="1">IF(AND(SUMIF(Capacity_Resource,$D159,'Critical resources (hide)'!AH$6:AH$105)+SUMIF(Capacity_Resource,$E159,'Critical resources (hide)'!AH$6:AH$105)+SUMIF(Capacity_Resource,$F159,'Critical resources (hide)'!AH$6:AH$105)&gt;0,$E$1=2),0,1)</f>
        <v>1</v>
      </c>
      <c r="V159" s="68">
        <f ca="1">IF(AND(SUMIF(Capacity_Resource,$D159,'Critical resources (hide)'!AI$6:AI$105)+SUMIF(Capacity_Resource,$E159,'Critical resources (hide)'!AI$6:AI$105)+SUMIF(Capacity_Resource,$F159,'Critical resources (hide)'!AI$6:AI$105)&gt;0,$E$1=2),0,1)</f>
        <v>1</v>
      </c>
      <c r="W159" s="68">
        <f ca="1">IF(AND(SUMIF(Capacity_Resource,$D159,'Critical resources (hide)'!AJ$6:AJ$105)+SUMIF(Capacity_Resource,$E159,'Critical resources (hide)'!AJ$6:AJ$105)+SUMIF(Capacity_Resource,$F159,'Critical resources (hide)'!AJ$6:AJ$105)&gt;0,$E$1=2),0,1)</f>
        <v>1</v>
      </c>
      <c r="X159" s="68">
        <f ca="1">IF(AND(SUMIF(Capacity_Resource,$D159,'Critical resources (hide)'!AK$6:AK$105)+SUMIF(Capacity_Resource,$E159,'Critical resources (hide)'!AK$6:AK$105)+SUMIF(Capacity_Resource,$F159,'Critical resources (hide)'!AK$6:AK$105)&gt;0,$E$1=2),0,1)</f>
        <v>1</v>
      </c>
      <c r="Y159" s="68">
        <f ca="1">IF(AND(SUMIF(Capacity_Resource,$D159,'Critical resources (hide)'!AL$6:AL$105)+SUMIF(Capacity_Resource,$E159,'Critical resources (hide)'!AL$6:AL$105)+SUMIF(Capacity_Resource,$F159,'Critical resources (hide)'!AL$6:AL$105)&gt;0,$E$1=2),0,1)</f>
        <v>1</v>
      </c>
      <c r="Z159" s="68">
        <f ca="1">IF(AND(SUMIF(Capacity_Resource,$D159,'Critical resources (hide)'!AM$6:AM$105)+SUMIF(Capacity_Resource,$E159,'Critical resources (hide)'!AM$6:AM$105)+SUMIF(Capacity_Resource,$F159,'Critical resources (hide)'!AM$6:AM$105)&gt;0,$E$1=2),0,1)</f>
        <v>1</v>
      </c>
      <c r="AA159" s="68">
        <f ca="1">IF(AND(SUMIF(Capacity_Resource,$D159,'Critical resources (hide)'!AN$6:AN$105)+SUMIF(Capacity_Resource,$E159,'Critical resources (hide)'!AN$6:AN$105)+SUMIF(Capacity_Resource,$F159,'Critical resources (hide)'!AN$6:AN$105)&gt;0,$E$1=2),0,1)</f>
        <v>1</v>
      </c>
      <c r="AB159" s="68">
        <f ca="1">IF(AND(SUMIF(Capacity_Resource,$D159,'Critical resources (hide)'!AO$6:AO$105)+SUMIF(Capacity_Resource,$E159,'Critical resources (hide)'!AO$6:AO$105)+SUMIF(Capacity_Resource,$F159,'Critical resources (hide)'!AO$6:AO$105)&gt;0,$E$1=2),0,1)</f>
        <v>1</v>
      </c>
      <c r="AC159" s="68">
        <f ca="1">IF(AND(SUMIF(Capacity_Resource,$D159,'Critical resources (hide)'!AP$6:AP$105)+SUMIF(Capacity_Resource,$E159,'Critical resources (hide)'!AP$6:AP$105)+SUMIF(Capacity_Resource,$F159,'Critical resources (hide)'!AP$6:AP$105)&gt;0,$E$1=2),0,1)</f>
        <v>1</v>
      </c>
      <c r="AD159" s="68">
        <f ca="1">IF(AND(SUMIF(Capacity_Resource,$D159,'Critical resources (hide)'!AQ$6:AQ$105)+SUMIF(Capacity_Resource,$E159,'Critical resources (hide)'!AQ$6:AQ$105)+SUMIF(Capacity_Resource,$F159,'Critical resources (hide)'!AQ$6:AQ$105)&gt;0,$E$1=2),0,1)</f>
        <v>1</v>
      </c>
      <c r="AE159" s="68">
        <f ca="1">IF(AND(SUMIF(Capacity_Resource,$D159,'Critical resources (hide)'!AR$6:AR$105)+SUMIF(Capacity_Resource,$E159,'Critical resources (hide)'!AR$6:AR$105)+SUMIF(Capacity_Resource,$F159,'Critical resources (hide)'!AR$6:AR$105)&gt;0,$E$1=2),0,1)</f>
        <v>1</v>
      </c>
      <c r="AF159" s="68">
        <f ca="1">IF(AND(SUMIF(Capacity_Resource,$D159,'Critical resources (hide)'!AS$6:AS$105)+SUMIF(Capacity_Resource,$E159,'Critical resources (hide)'!AS$6:AS$105)+SUMIF(Capacity_Resource,$F159,'Critical resources (hide)'!AS$6:AS$105)&gt;0,$E$1=2),0,1)</f>
        <v>1</v>
      </c>
      <c r="AG159" s="68">
        <f ca="1">IF(AND(SUMIF(Capacity_Resource,$D159,'Critical resources (hide)'!AT$6:AT$105)+SUMIF(Capacity_Resource,$E159,'Critical resources (hide)'!AT$6:AT$105)+SUMIF(Capacity_Resource,$F159,'Critical resources (hide)'!AT$6:AT$105)&gt;0,$E$1=2),0,1)</f>
        <v>1</v>
      </c>
      <c r="AH159" s="68">
        <f ca="1">IF(AND(SUMIF(Capacity_Resource,$D159,'Critical resources (hide)'!AU$6:AU$105)+SUMIF(Capacity_Resource,$E159,'Critical resources (hide)'!AU$6:AU$105)+SUMIF(Capacity_Resource,$F159,'Critical resources (hide)'!AU$6:AU$105)&gt;0,$E$1=2),0,1)</f>
        <v>1</v>
      </c>
      <c r="AI159" s="68">
        <f ca="1">IF(AND(SUMIF(Capacity_Resource,$D159,'Critical resources (hide)'!AV$6:AV$105)+SUMIF(Capacity_Resource,$E159,'Critical resources (hide)'!AV$6:AV$105)+SUMIF(Capacity_Resource,$F159,'Critical resources (hide)'!AV$6:AV$105)&gt;0,$E$1=2),0,1)</f>
        <v>1</v>
      </c>
      <c r="AJ159" s="68">
        <f ca="1">IF(AND(SUMIF(Capacity_Resource,$D159,'Critical resources (hide)'!AW$6:AW$105)+SUMIF(Capacity_Resource,$E159,'Critical resources (hide)'!AW$6:AW$105)+SUMIF(Capacity_Resource,$F159,'Critical resources (hide)'!AW$6:AW$105)&gt;0,$E$1=2),0,1)</f>
        <v>1</v>
      </c>
      <c r="AK159" s="68">
        <f ca="1">IF(AND(SUMIF(Capacity_Resource,$D159,'Critical resources (hide)'!AX$6:AX$105)+SUMIF(Capacity_Resource,$E159,'Critical resources (hide)'!AX$6:AX$105)+SUMIF(Capacity_Resource,$F159,'Critical resources (hide)'!AX$6:AX$105)&gt;0,$E$1=2),0,1)</f>
        <v>1</v>
      </c>
      <c r="AL159" s="68">
        <f ca="1">IF(AND(SUMIF(Capacity_Resource,$D159,'Critical resources (hide)'!AY$6:AY$105)+SUMIF(Capacity_Resource,$E159,'Critical resources (hide)'!AY$6:AY$105)+SUMIF(Capacity_Resource,$F159,'Critical resources (hide)'!AY$6:AY$105)&gt;0,$E$1=2),0,1)</f>
        <v>1</v>
      </c>
      <c r="AM159" s="68">
        <f ca="1">IF(AND(SUMIF(Capacity_Resource,$D159,'Critical resources (hide)'!AZ$6:AZ$105)+SUMIF(Capacity_Resource,$E159,'Critical resources (hide)'!AZ$6:AZ$105)+SUMIF(Capacity_Resource,$F159,'Critical resources (hide)'!AZ$6:AZ$105)&gt;0,$E$1=2),0,1)</f>
        <v>1</v>
      </c>
      <c r="AN159" s="68">
        <f ca="1">IF(AND(SUMIF(Capacity_Resource,$D159,'Critical resources (hide)'!BA$6:BA$105)+SUMIF(Capacity_Resource,$E159,'Critical resources (hide)'!BA$6:BA$105)+SUMIF(Capacity_Resource,$F159,'Critical resources (hide)'!BA$6:BA$105)&gt;0,$E$1=2),0,1)</f>
        <v>1</v>
      </c>
      <c r="AO159" s="68">
        <f ca="1">IF(AND(SUMIF(Capacity_Resource,$D159,'Critical resources (hide)'!BB$6:BB$105)+SUMIF(Capacity_Resource,$E159,'Critical resources (hide)'!BB$6:BB$105)+SUMIF(Capacity_Resource,$F159,'Critical resources (hide)'!BB$6:BB$105)&gt;0,$E$1=2),0,1)</f>
        <v>1</v>
      </c>
      <c r="AP159" s="68">
        <f ca="1">IF(AND(SUMIF(Capacity_Resource,$D159,'Critical resources (hide)'!BC$6:BC$105)+SUMIF(Capacity_Resource,$E159,'Critical resources (hide)'!BC$6:BC$105)+SUMIF(Capacity_Resource,$F159,'Critical resources (hide)'!BC$6:BC$105)&gt;0,$E$1=2),0,1)</f>
        <v>1</v>
      </c>
      <c r="AQ159" s="68">
        <f ca="1">IF(AND(SUMIF(Capacity_Resource,$D159,'Critical resources (hide)'!BD$6:BD$105)+SUMIF(Capacity_Resource,$E159,'Critical resources (hide)'!BD$6:BD$105)+SUMIF(Capacity_Resource,$F159,'Critical resources (hide)'!BD$6:BD$105)&gt;0,$E$1=2),0,1)</f>
        <v>1</v>
      </c>
      <c r="AR159" s="68">
        <f ca="1">IF(AND(SUMIF(Capacity_Resource,$D159,'Critical resources (hide)'!BE$6:BE$105)+SUMIF(Capacity_Resource,$E159,'Critical resources (hide)'!BE$6:BE$105)+SUMIF(Capacity_Resource,$F159,'Critical resources (hide)'!BE$6:BE$105)&gt;0,$E$1=2),0,1)</f>
        <v>1</v>
      </c>
      <c r="AS159" s="68">
        <f ca="1">IF(AND(SUMIF(Capacity_Resource,$D159,'Critical resources (hide)'!BF$6:BF$105)+SUMIF(Capacity_Resource,$E159,'Critical resources (hide)'!BF$6:BF$105)+SUMIF(Capacity_Resource,$F159,'Critical resources (hide)'!BF$6:BF$105)&gt;0,$E$1=2),0,1)</f>
        <v>1</v>
      </c>
      <c r="AT159" s="68">
        <f ca="1">IF(AND(SUMIF(Capacity_Resource,$D159,'Critical resources (hide)'!BG$6:BG$105)+SUMIF(Capacity_Resource,$E159,'Critical resources (hide)'!BG$6:BG$105)+SUMIF(Capacity_Resource,$F159,'Critical resources (hide)'!BG$6:BG$105)&gt;0,$E$1=2),0,1)</f>
        <v>1</v>
      </c>
      <c r="AU159" s="68">
        <f ca="1">IF(AND(SUMIF(Capacity_Resource,$D159,'Critical resources (hide)'!BH$6:BH$105)+SUMIF(Capacity_Resource,$E159,'Critical resources (hide)'!BH$6:BH$105)+SUMIF(Capacity_Resource,$F159,'Critical resources (hide)'!BH$6:BH$105)&gt;0,$E$1=2),0,1)</f>
        <v>1</v>
      </c>
      <c r="AV159" s="68">
        <f ca="1">IF(AND(SUMIF(Capacity_Resource,$D159,'Critical resources (hide)'!BI$6:BI$105)+SUMIF(Capacity_Resource,$E159,'Critical resources (hide)'!BI$6:BI$105)+SUMIF(Capacity_Resource,$F159,'Critical resources (hide)'!BI$6:BI$105)&gt;0,$E$1=2),0,1)</f>
        <v>1</v>
      </c>
      <c r="AW159" s="68">
        <f ca="1">IF(AND(SUMIF(Capacity_Resource,$D159,'Critical resources (hide)'!BJ$6:BJ$105)+SUMIF(Capacity_Resource,$E159,'Critical resources (hide)'!BJ$6:BJ$105)+SUMIF(Capacity_Resource,$F159,'Critical resources (hide)'!BJ$6:BJ$105)&gt;0,$E$1=2),0,1)</f>
        <v>1</v>
      </c>
      <c r="AX159" s="68">
        <f ca="1">IF(AND(SUMIF(Capacity_Resource,$D159,'Critical resources (hide)'!BK$6:BK$105)+SUMIF(Capacity_Resource,$E159,'Critical resources (hide)'!BK$6:BK$105)+SUMIF(Capacity_Resource,$F159,'Critical resources (hide)'!BK$6:BK$105)&gt;0,$E$1=2),0,1)</f>
        <v>1</v>
      </c>
      <c r="AY159" s="68">
        <f ca="1">IF(AND(SUMIF(Capacity_Resource,$D159,'Critical resources (hide)'!BL$6:BL$105)+SUMIF(Capacity_Resource,$E159,'Critical resources (hide)'!BL$6:BL$105)+SUMIF(Capacity_Resource,$F159,'Critical resources (hide)'!BL$6:BL$105)&gt;0,$E$1=2),0,1)</f>
        <v>1</v>
      </c>
      <c r="AZ159" s="68">
        <f ca="1">IF(AND(SUMIF(Capacity_Resource,$D159,'Critical resources (hide)'!BM$6:BM$105)+SUMIF(Capacity_Resource,$E159,'Critical resources (hide)'!BM$6:BM$105)+SUMIF(Capacity_Resource,$F159,'Critical resources (hide)'!BM$6:BM$105)&gt;0,$E$1=2),0,1)</f>
        <v>1</v>
      </c>
      <c r="BA159" s="68">
        <f ca="1">IF(AND(SUMIF(Capacity_Resource,$D159,'Critical resources (hide)'!BN$6:BN$105)+SUMIF(Capacity_Resource,$E159,'Critical resources (hide)'!BN$6:BN$105)+SUMIF(Capacity_Resource,$F159,'Critical resources (hide)'!BN$6:BN$105)&gt;0,$E$1=2),0,1)</f>
        <v>1</v>
      </c>
      <c r="BB159" s="68">
        <f ca="1">IF(AND(SUMIF(Capacity_Resource,$D159,'Critical resources (hide)'!BO$6:BO$105)+SUMIF(Capacity_Resource,$E159,'Critical resources (hide)'!BO$6:BO$105)+SUMIF(Capacity_Resource,$F159,'Critical resources (hide)'!BO$6:BO$105)&gt;0,$E$1=2),0,1)</f>
        <v>1</v>
      </c>
      <c r="BC159" s="68">
        <f ca="1">IF(AND(SUMIF(Capacity_Resource,$D159,'Critical resources (hide)'!BP$6:BP$105)+SUMIF(Capacity_Resource,$E159,'Critical resources (hide)'!BP$6:BP$105)+SUMIF(Capacity_Resource,$F159,'Critical resources (hide)'!BP$6:BP$105)&gt;0,$E$1=2),0,1)</f>
        <v>1</v>
      </c>
      <c r="BD159" s="68">
        <f ca="1">IF(AND(SUMIF(Capacity_Resource,$D159,'Critical resources (hide)'!BQ$6:BQ$105)+SUMIF(Capacity_Resource,$E159,'Critical resources (hide)'!BQ$6:BQ$105)+SUMIF(Capacity_Resource,$F159,'Critical resources (hide)'!BQ$6:BQ$105)&gt;0,$E$1=2),0,1)</f>
        <v>1</v>
      </c>
      <c r="BE159" s="68">
        <f ca="1">IF(AND(SUMIF(Capacity_Resource,$D159,'Critical resources (hide)'!BR$6:BR$105)+SUMIF(Capacity_Resource,$E159,'Critical resources (hide)'!BR$6:BR$105)+SUMIF(Capacity_Resource,$F159,'Critical resources (hide)'!BR$6:BR$105)&gt;0,$E$1=2),0,1)</f>
        <v>1</v>
      </c>
      <c r="BF159" s="68">
        <f ca="1">IF(AND(SUMIF(Capacity_Resource,$D159,'Critical resources (hide)'!BS$6:BS$105)+SUMIF(Capacity_Resource,$E159,'Critical resources (hide)'!BS$6:BS$105)+SUMIF(Capacity_Resource,$F159,'Critical resources (hide)'!BS$6:BS$105)&gt;0,$E$1=2),0,1)</f>
        <v>1</v>
      </c>
      <c r="BG159" s="68">
        <f ca="1">IF(AND(SUMIF(Capacity_Resource,$D159,'Critical resources (hide)'!BT$6:BT$105)+SUMIF(Capacity_Resource,$E159,'Critical resources (hide)'!BT$6:BT$105)+SUMIF(Capacity_Resource,$F159,'Critical resources (hide)'!BT$6:BT$105)&gt;0,$E$1=2),0,1)</f>
        <v>1</v>
      </c>
      <c r="BH159" s="68">
        <f>IF(ROW(A48)&lt;=Capacity!$M$16,IF('Capacity summary'!$C$14="No",SUM(H159:BG159),'Capacity summary'!$E71),0)</f>
        <v>0</v>
      </c>
      <c r="BI159" s="68" t="str">
        <f>IF(BH159&gt;0,IF(BH159&lt;Capacity!Q64,Capacity!R64,Capacity!T64/'Capacity calculation (hide)'!BH159),"")</f>
        <v/>
      </c>
      <c r="BJ159" s="5"/>
      <c r="BK159" s="5">
        <f>IF($BI159&lt;&gt;"",IF('Capacity summary'!$C$14="Yes",IF(COUNTBLANK('Capacity summary'!$H71:$BG71)&lt;52,IF('Capacity summary'!H71&lt;&gt;"",$BI159*H159,0),H159*$BI159),H159*$BI159),0)</f>
        <v>0</v>
      </c>
      <c r="BL159" s="5">
        <f>IF($BI159&lt;&gt;"",IF('Capacity summary'!$C$14="Yes",IF(COUNTBLANK('Capacity summary'!$H71:$BG71)&lt;52,IF('Capacity summary'!I71&lt;&gt;"",$BI159*I159,0),I159*$BI159),I159*$BI159),0)</f>
        <v>0</v>
      </c>
      <c r="BM159" s="5">
        <f>IF($BI159&lt;&gt;"",IF('Capacity summary'!$C$14="Yes",IF(COUNTBLANK('Capacity summary'!$H71:$BG71)&lt;52,IF('Capacity summary'!J71&lt;&gt;"",$BI159*J159,0),J159*$BI159),J159*$BI159),0)</f>
        <v>0</v>
      </c>
      <c r="BN159" s="5">
        <f>IF($BI159&lt;&gt;"",IF('Capacity summary'!$C$14="Yes",IF(COUNTBLANK('Capacity summary'!$H71:$BG71)&lt;52,IF('Capacity summary'!K71&lt;&gt;"",$BI159*K159,0),K159*$BI159),K159*$BI159),0)</f>
        <v>0</v>
      </c>
      <c r="BO159" s="5">
        <f>IF($BI159&lt;&gt;"",IF('Capacity summary'!$C$14="Yes",IF(COUNTBLANK('Capacity summary'!$H71:$BG71)&lt;52,IF('Capacity summary'!L71&lt;&gt;"",$BI159*L159,0),L159*$BI159),L159*$BI159),0)</f>
        <v>0</v>
      </c>
      <c r="BP159" s="5">
        <f>IF($BI159&lt;&gt;"",IF('Capacity summary'!$C$14="Yes",IF(COUNTBLANK('Capacity summary'!$H71:$BG71)&lt;52,IF('Capacity summary'!M71&lt;&gt;"",$BI159*M159,0),M159*$BI159),M159*$BI159),0)</f>
        <v>0</v>
      </c>
      <c r="BQ159" s="5">
        <f>IF($BI159&lt;&gt;"",IF('Capacity summary'!$C$14="Yes",IF(COUNTBLANK('Capacity summary'!$H71:$BG71)&lt;52,IF('Capacity summary'!N71&lt;&gt;"",$BI159*N159,0),N159*$BI159),N159*$BI159),0)</f>
        <v>0</v>
      </c>
      <c r="BR159" s="5">
        <f>IF($BI159&lt;&gt;"",IF('Capacity summary'!$C$14="Yes",IF(COUNTBLANK('Capacity summary'!$H71:$BG71)&lt;52,IF('Capacity summary'!O71&lt;&gt;"",$BI159*O159,0),O159*$BI159),O159*$BI159),0)</f>
        <v>0</v>
      </c>
      <c r="BS159" s="5">
        <f>IF($BI159&lt;&gt;"",IF('Capacity summary'!$C$14="Yes",IF(COUNTBLANK('Capacity summary'!$H71:$BG71)&lt;52,IF('Capacity summary'!P71&lt;&gt;"",$BI159*P159,0),P159*$BI159),P159*$BI159),0)</f>
        <v>0</v>
      </c>
      <c r="BT159" s="5">
        <f>IF($BI159&lt;&gt;"",IF('Capacity summary'!$C$14="Yes",IF(COUNTBLANK('Capacity summary'!$H71:$BG71)&lt;52,IF('Capacity summary'!Q71&lt;&gt;"",$BI159*Q159,0),Q159*$BI159),Q159*$BI159),0)</f>
        <v>0</v>
      </c>
      <c r="BU159" s="5">
        <f>IF($BI159&lt;&gt;"",IF('Capacity summary'!$C$14="Yes",IF(COUNTBLANK('Capacity summary'!$H71:$BG71)&lt;52,IF('Capacity summary'!R71&lt;&gt;"",$BI159*R159,0),R159*$BI159),R159*$BI159),0)</f>
        <v>0</v>
      </c>
      <c r="BV159" s="5">
        <f>IF($BI159&lt;&gt;"",IF('Capacity summary'!$C$14="Yes",IF(COUNTBLANK('Capacity summary'!$H71:$BG71)&lt;52,IF('Capacity summary'!S71&lt;&gt;"",$BI159*S159,0),S159*$BI159),S159*$BI159),0)</f>
        <v>0</v>
      </c>
      <c r="BW159" s="5">
        <f>IF($BI159&lt;&gt;"",IF('Capacity summary'!$C$14="Yes",IF(COUNTBLANK('Capacity summary'!$H71:$BG71)&lt;52,IF('Capacity summary'!T71&lt;&gt;"",$BI159*T159,0),T159*$BI159),T159*$BI159),0)</f>
        <v>0</v>
      </c>
      <c r="BX159" s="5">
        <f>IF($BI159&lt;&gt;"",IF('Capacity summary'!$C$14="Yes",IF(COUNTBLANK('Capacity summary'!$H71:$BG71)&lt;52,IF('Capacity summary'!U71&lt;&gt;"",$BI159*U159,0),U159*$BI159),U159*$BI159),0)</f>
        <v>0</v>
      </c>
      <c r="BY159" s="5">
        <f>IF($BI159&lt;&gt;"",IF('Capacity summary'!$C$14="Yes",IF(COUNTBLANK('Capacity summary'!$H71:$BG71)&lt;52,IF('Capacity summary'!V71&lt;&gt;"",$BI159*V159,0),V159*$BI159),V159*$BI159),0)</f>
        <v>0</v>
      </c>
      <c r="BZ159" s="5">
        <f>IF($BI159&lt;&gt;"",IF('Capacity summary'!$C$14="Yes",IF(COUNTBLANK('Capacity summary'!$H71:$BG71)&lt;52,IF('Capacity summary'!W71&lt;&gt;"",$BI159*W159,0),W159*$BI159),W159*$BI159),0)</f>
        <v>0</v>
      </c>
      <c r="CA159" s="5">
        <f>IF($BI159&lt;&gt;"",IF('Capacity summary'!$C$14="Yes",IF(COUNTBLANK('Capacity summary'!$H71:$BG71)&lt;52,IF('Capacity summary'!X71&lt;&gt;"",$BI159*X159,0),X159*$BI159),X159*$BI159),0)</f>
        <v>0</v>
      </c>
      <c r="CB159" s="5">
        <f>IF($BI159&lt;&gt;"",IF('Capacity summary'!$C$14="Yes",IF(COUNTBLANK('Capacity summary'!$H71:$BG71)&lt;52,IF('Capacity summary'!Y71&lt;&gt;"",$BI159*Y159,0),Y159*$BI159),Y159*$BI159),0)</f>
        <v>0</v>
      </c>
      <c r="CC159" s="5">
        <f>IF($BI159&lt;&gt;"",IF('Capacity summary'!$C$14="Yes",IF(COUNTBLANK('Capacity summary'!$H71:$BG71)&lt;52,IF('Capacity summary'!Z71&lt;&gt;"",$BI159*Z159,0),Z159*$BI159),Z159*$BI159),0)</f>
        <v>0</v>
      </c>
      <c r="CD159" s="5">
        <f>IF($BI159&lt;&gt;"",IF('Capacity summary'!$C$14="Yes",IF(COUNTBLANK('Capacity summary'!$H71:$BG71)&lt;52,IF('Capacity summary'!AA71&lt;&gt;"",$BI159*AA159,0),AA159*$BI159),AA159*$BI159),0)</f>
        <v>0</v>
      </c>
      <c r="CE159" s="5">
        <f>IF($BI159&lt;&gt;"",IF('Capacity summary'!$C$14="Yes",IF(COUNTBLANK('Capacity summary'!$H71:$BG71)&lt;52,IF('Capacity summary'!AB71&lt;&gt;"",$BI159*AB159,0),AB159*$BI159),AB159*$BI159),0)</f>
        <v>0</v>
      </c>
      <c r="CF159" s="5">
        <f>IF($BI159&lt;&gt;"",IF('Capacity summary'!$C$14="Yes",IF(COUNTBLANK('Capacity summary'!$H71:$BG71)&lt;52,IF('Capacity summary'!AC71&lt;&gt;"",$BI159*AC159,0),AC159*$BI159),AC159*$BI159),0)</f>
        <v>0</v>
      </c>
      <c r="CG159" s="5">
        <f>IF($BI159&lt;&gt;"",IF('Capacity summary'!$C$14="Yes",IF(COUNTBLANK('Capacity summary'!$H71:$BG71)&lt;52,IF('Capacity summary'!AD71&lt;&gt;"",$BI159*AD159,0),AD159*$BI159),AD159*$BI159),0)</f>
        <v>0</v>
      </c>
      <c r="CH159" s="5">
        <f>IF($BI159&lt;&gt;"",IF('Capacity summary'!$C$14="Yes",IF(COUNTBLANK('Capacity summary'!$H71:$BG71)&lt;52,IF('Capacity summary'!AE71&lt;&gt;"",$BI159*AE159,0),AE159*$BI159),AE159*$BI159),0)</f>
        <v>0</v>
      </c>
      <c r="CI159" s="5">
        <f>IF($BI159&lt;&gt;"",IF('Capacity summary'!$C$14="Yes",IF(COUNTBLANK('Capacity summary'!$H71:$BG71)&lt;52,IF('Capacity summary'!AF71&lt;&gt;"",$BI159*AF159,0),AF159*$BI159),AF159*$BI159),0)</f>
        <v>0</v>
      </c>
      <c r="CJ159" s="5">
        <f>IF($BI159&lt;&gt;"",IF('Capacity summary'!$C$14="Yes",IF(COUNTBLANK('Capacity summary'!$H71:$BG71)&lt;52,IF('Capacity summary'!AG71&lt;&gt;"",$BI159*AG159,0),AG159*$BI159),AG159*$BI159),0)</f>
        <v>0</v>
      </c>
      <c r="CK159" s="5">
        <f>IF($BI159&lt;&gt;"",IF('Capacity summary'!$C$14="Yes",IF(COUNTBLANK('Capacity summary'!$H71:$BG71)&lt;52,IF('Capacity summary'!AH71&lt;&gt;"",$BI159*AH159,0),AH159*$BI159),AH159*$BI159),0)</f>
        <v>0</v>
      </c>
      <c r="CL159" s="5">
        <f>IF($BI159&lt;&gt;"",IF('Capacity summary'!$C$14="Yes",IF(COUNTBLANK('Capacity summary'!$H71:$BG71)&lt;52,IF('Capacity summary'!AI71&lt;&gt;"",$BI159*AI159,0),AI159*$BI159),AI159*$BI159),0)</f>
        <v>0</v>
      </c>
      <c r="CM159" s="5">
        <f>IF($BI159&lt;&gt;"",IF('Capacity summary'!$C$14="Yes",IF(COUNTBLANK('Capacity summary'!$H71:$BG71)&lt;52,IF('Capacity summary'!AJ71&lt;&gt;"",$BI159*AJ159,0),AJ159*$BI159),AJ159*$BI159),0)</f>
        <v>0</v>
      </c>
      <c r="CN159" s="5">
        <f>IF($BI159&lt;&gt;"",IF('Capacity summary'!$C$14="Yes",IF(COUNTBLANK('Capacity summary'!$H71:$BG71)&lt;52,IF('Capacity summary'!AK71&lt;&gt;"",$BI159*AK159,0),AK159*$BI159),AK159*$BI159),0)</f>
        <v>0</v>
      </c>
      <c r="CO159" s="5">
        <f>IF($BI159&lt;&gt;"",IF('Capacity summary'!$C$14="Yes",IF(COUNTBLANK('Capacity summary'!$H71:$BG71)&lt;52,IF('Capacity summary'!AL71&lt;&gt;"",$BI159*AL159,0),AL159*$BI159),AL159*$BI159),0)</f>
        <v>0</v>
      </c>
      <c r="CP159" s="5">
        <f>IF($BI159&lt;&gt;"",IF('Capacity summary'!$C$14="Yes",IF(COUNTBLANK('Capacity summary'!$H71:$BG71)&lt;52,IF('Capacity summary'!AM71&lt;&gt;"",$BI159*AM159,0),AM159*$BI159),AM159*$BI159),0)</f>
        <v>0</v>
      </c>
      <c r="CQ159" s="5">
        <f>IF($BI159&lt;&gt;"",IF('Capacity summary'!$C$14="Yes",IF(COUNTBLANK('Capacity summary'!$H71:$BG71)&lt;52,IF('Capacity summary'!AN71&lt;&gt;"",$BI159*AN159,0),AN159*$BI159),AN159*$BI159),0)</f>
        <v>0</v>
      </c>
      <c r="CR159" s="5">
        <f>IF($BI159&lt;&gt;"",IF('Capacity summary'!$C$14="Yes",IF(COUNTBLANK('Capacity summary'!$H71:$BG71)&lt;52,IF('Capacity summary'!AO71&lt;&gt;"",$BI159*AO159,0),AO159*$BI159),AO159*$BI159),0)</f>
        <v>0</v>
      </c>
      <c r="CS159" s="5">
        <f>IF($BI159&lt;&gt;"",IF('Capacity summary'!$C$14="Yes",IF(COUNTBLANK('Capacity summary'!$H71:$BG71)&lt;52,IF('Capacity summary'!AP71&lt;&gt;"",$BI159*AP159,0),AP159*$BI159),AP159*$BI159),0)</f>
        <v>0</v>
      </c>
      <c r="CT159" s="5">
        <f>IF($BI159&lt;&gt;"",IF('Capacity summary'!$C$14="Yes",IF(COUNTBLANK('Capacity summary'!$H71:$BG71)&lt;52,IF('Capacity summary'!AQ71&lt;&gt;"",$BI159*AQ159,0),AQ159*$BI159),AQ159*$BI159),0)</f>
        <v>0</v>
      </c>
      <c r="CU159" s="5">
        <f>IF($BI159&lt;&gt;"",IF('Capacity summary'!$C$14="Yes",IF(COUNTBLANK('Capacity summary'!$H71:$BG71)&lt;52,IF('Capacity summary'!AR71&lt;&gt;"",$BI159*AR159,0),AR159*$BI159),AR159*$BI159),0)</f>
        <v>0</v>
      </c>
      <c r="CV159" s="5">
        <f>IF($BI159&lt;&gt;"",IF('Capacity summary'!$C$14="Yes",IF(COUNTBLANK('Capacity summary'!$H71:$BG71)&lt;52,IF('Capacity summary'!AS71&lt;&gt;"",$BI159*AS159,0),AS159*$BI159),AS159*$BI159),0)</f>
        <v>0</v>
      </c>
      <c r="CW159" s="5">
        <f>IF($BI159&lt;&gt;"",IF('Capacity summary'!$C$14="Yes",IF(COUNTBLANK('Capacity summary'!$H71:$BG71)&lt;52,IF('Capacity summary'!AT71&lt;&gt;"",$BI159*AT159,0),AT159*$BI159),AT159*$BI159),0)</f>
        <v>0</v>
      </c>
      <c r="CX159" s="5">
        <f>IF($BI159&lt;&gt;"",IF('Capacity summary'!$C$14="Yes",IF(COUNTBLANK('Capacity summary'!$H71:$BG71)&lt;52,IF('Capacity summary'!AU71&lt;&gt;"",$BI159*AU159,0),AU159*$BI159),AU159*$BI159),0)</f>
        <v>0</v>
      </c>
      <c r="CY159" s="5">
        <f>IF($BI159&lt;&gt;"",IF('Capacity summary'!$C$14="Yes",IF(COUNTBLANK('Capacity summary'!$H71:$BG71)&lt;52,IF('Capacity summary'!AV71&lt;&gt;"",$BI159*AV159,0),AV159*$BI159),AV159*$BI159),0)</f>
        <v>0</v>
      </c>
      <c r="CZ159" s="5">
        <f>IF($BI159&lt;&gt;"",IF('Capacity summary'!$C$14="Yes",IF(COUNTBLANK('Capacity summary'!$H71:$BG71)&lt;52,IF('Capacity summary'!AW71&lt;&gt;"",$BI159*AW159,0),AW159*$BI159),AW159*$BI159),0)</f>
        <v>0</v>
      </c>
      <c r="DA159" s="5">
        <f>IF($BI159&lt;&gt;"",IF('Capacity summary'!$C$14="Yes",IF(COUNTBLANK('Capacity summary'!$H71:$BG71)&lt;52,IF('Capacity summary'!AX71&lt;&gt;"",$BI159*AX159,0),AX159*$BI159),AX159*$BI159),0)</f>
        <v>0</v>
      </c>
      <c r="DB159" s="5">
        <f>IF($BI159&lt;&gt;"",IF('Capacity summary'!$C$14="Yes",IF(COUNTBLANK('Capacity summary'!$H71:$BG71)&lt;52,IF('Capacity summary'!AY71&lt;&gt;"",$BI159*AY159,0),AY159*$BI159),AY159*$BI159),0)</f>
        <v>0</v>
      </c>
      <c r="DC159" s="5">
        <f>IF($BI159&lt;&gt;"",IF('Capacity summary'!$C$14="Yes",IF(COUNTBLANK('Capacity summary'!$H71:$BG71)&lt;52,IF('Capacity summary'!AZ71&lt;&gt;"",$BI159*AZ159,0),AZ159*$BI159),AZ159*$BI159),0)</f>
        <v>0</v>
      </c>
      <c r="DD159" s="5">
        <f>IF($BI159&lt;&gt;"",IF('Capacity summary'!$C$14="Yes",IF(COUNTBLANK('Capacity summary'!$H71:$BG71)&lt;52,IF('Capacity summary'!BA71&lt;&gt;"",$BI159*BA159,0),BA159*$BI159),BA159*$BI159),0)</f>
        <v>0</v>
      </c>
      <c r="DE159" s="5">
        <f>IF($BI159&lt;&gt;"",IF('Capacity summary'!$C$14="Yes",IF(COUNTBLANK('Capacity summary'!$H71:$BG71)&lt;52,IF('Capacity summary'!BB71&lt;&gt;"",$BI159*BB159,0),BB159*$BI159),BB159*$BI159),0)</f>
        <v>0</v>
      </c>
      <c r="DF159" s="5">
        <f>IF($BI159&lt;&gt;"",IF('Capacity summary'!$C$14="Yes",IF(COUNTBLANK('Capacity summary'!$H71:$BG71)&lt;52,IF('Capacity summary'!BC71&lt;&gt;"",$BI159*BC159,0),BC159*$BI159),BC159*$BI159),0)</f>
        <v>0</v>
      </c>
      <c r="DG159" s="5">
        <f>IF($BI159&lt;&gt;"",IF('Capacity summary'!$C$14="Yes",IF(COUNTBLANK('Capacity summary'!$H71:$BG71)&lt;52,IF('Capacity summary'!BD71&lt;&gt;"",$BI159*BD159,0),BD159*$BI159),BD159*$BI159),0)</f>
        <v>0</v>
      </c>
      <c r="DH159" s="5">
        <f>IF($BI159&lt;&gt;"",IF('Capacity summary'!$C$14="Yes",IF(COUNTBLANK('Capacity summary'!$H71:$BG71)&lt;52,IF('Capacity summary'!BE71&lt;&gt;"",$BI159*BE159,0),BE159*$BI159),BE159*$BI159),0)</f>
        <v>0</v>
      </c>
      <c r="DI159" s="5">
        <f>IF($BI159&lt;&gt;"",IF('Capacity summary'!$C$14="Yes",IF(COUNTBLANK('Capacity summary'!$H71:$BG71)&lt;52,IF('Capacity summary'!BF71&lt;&gt;"",$BI159*BF159,0),BF159*$BI159),BF159*$BI159),0)</f>
        <v>0</v>
      </c>
      <c r="DJ159" s="5">
        <f>IF($BI159&lt;&gt;"",IF('Capacity summary'!$C$14="Yes",IF(COUNTBLANK('Capacity summary'!$H71:$BG71)&lt;52,IF('Capacity summary'!BG71&lt;&gt;"",$BI159*BG159,0),BG159*$BI159),BG159*$BI159),0)</f>
        <v>0</v>
      </c>
      <c r="DK159" s="138">
        <f t="shared" si="6"/>
        <v>0</v>
      </c>
    </row>
    <row r="160" spans="3:115" x14ac:dyDescent="0.2">
      <c r="C160" s="68" t="str">
        <f>ROW(A49)&amp;". "&amp;Capacity!N65</f>
        <v xml:space="preserve">49. </v>
      </c>
      <c r="D160" s="68">
        <f>'Capacity setup'!C166</f>
        <v>0</v>
      </c>
      <c r="E160" s="68">
        <f>'Capacity setup'!D166</f>
        <v>0</v>
      </c>
      <c r="F160" s="68">
        <f>'Capacity setup'!E166</f>
        <v>0</v>
      </c>
      <c r="H160" s="68">
        <f ca="1">IF(AND(SUMIF(Capacity_Resource,$D160,'Critical resources (hide)'!U$6:U$105)+SUMIF(Capacity_Resource,$E160,'Critical resources (hide)'!U$6:U$105)+SUMIF(Capacity_Resource,$F160,'Critical resources (hide)'!U$6:U$105)&gt;0,$E$1=2),0,1)</f>
        <v>1</v>
      </c>
      <c r="I160" s="68">
        <f ca="1">IF(AND(SUMIF(Capacity_Resource,$D160,'Critical resources (hide)'!V$6:V$105)+SUMIF(Capacity_Resource,$E160,'Critical resources (hide)'!V$6:V$105)+SUMIF(Capacity_Resource,$F160,'Critical resources (hide)'!V$6:V$105)&gt;0,$E$1=2),0,1)</f>
        <v>1</v>
      </c>
      <c r="J160" s="68">
        <f ca="1">IF(AND(SUMIF(Capacity_Resource,$D160,'Critical resources (hide)'!W$6:W$105)+SUMIF(Capacity_Resource,$E160,'Critical resources (hide)'!W$6:W$105)+SUMIF(Capacity_Resource,$F160,'Critical resources (hide)'!W$6:W$105)&gt;0,$E$1=2),0,1)</f>
        <v>1</v>
      </c>
      <c r="K160" s="68">
        <f ca="1">IF(AND(SUMIF(Capacity_Resource,$D160,'Critical resources (hide)'!X$6:X$105)+SUMIF(Capacity_Resource,$E160,'Critical resources (hide)'!X$6:X$105)+SUMIF(Capacity_Resource,$F160,'Critical resources (hide)'!X$6:X$105)&gt;0,$E$1=2),0,1)</f>
        <v>1</v>
      </c>
      <c r="L160" s="68">
        <f ca="1">IF(AND(SUMIF(Capacity_Resource,$D160,'Critical resources (hide)'!Y$6:Y$105)+SUMIF(Capacity_Resource,$E160,'Critical resources (hide)'!Y$6:Y$105)+SUMIF(Capacity_Resource,$F160,'Critical resources (hide)'!Y$6:Y$105)&gt;0,$E$1=2),0,1)</f>
        <v>1</v>
      </c>
      <c r="M160" s="68">
        <f ca="1">IF(AND(SUMIF(Capacity_Resource,$D160,'Critical resources (hide)'!Z$6:Z$105)+SUMIF(Capacity_Resource,$E160,'Critical resources (hide)'!Z$6:Z$105)+SUMIF(Capacity_Resource,$F160,'Critical resources (hide)'!Z$6:Z$105)&gt;0,$E$1=2),0,1)</f>
        <v>1</v>
      </c>
      <c r="N160" s="68">
        <f ca="1">IF(AND(SUMIF(Capacity_Resource,$D160,'Critical resources (hide)'!AA$6:AA$105)+SUMIF(Capacity_Resource,$E160,'Critical resources (hide)'!AA$6:AA$105)+SUMIF(Capacity_Resource,$F160,'Critical resources (hide)'!AA$6:AA$105)&gt;0,$E$1=2),0,1)</f>
        <v>1</v>
      </c>
      <c r="O160" s="68">
        <f ca="1">IF(AND(SUMIF(Capacity_Resource,$D160,'Critical resources (hide)'!AB$6:AB$105)+SUMIF(Capacity_Resource,$E160,'Critical resources (hide)'!AB$6:AB$105)+SUMIF(Capacity_Resource,$F160,'Critical resources (hide)'!AB$6:AB$105)&gt;0,$E$1=2),0,1)</f>
        <v>1</v>
      </c>
      <c r="P160" s="68">
        <f ca="1">IF(AND(SUMIF(Capacity_Resource,$D160,'Critical resources (hide)'!AC$6:AC$105)+SUMIF(Capacity_Resource,$E160,'Critical resources (hide)'!AC$6:AC$105)+SUMIF(Capacity_Resource,$F160,'Critical resources (hide)'!AC$6:AC$105)&gt;0,$E$1=2),0,1)</f>
        <v>1</v>
      </c>
      <c r="Q160" s="68">
        <f ca="1">IF(AND(SUMIF(Capacity_Resource,$D160,'Critical resources (hide)'!AD$6:AD$105)+SUMIF(Capacity_Resource,$E160,'Critical resources (hide)'!AD$6:AD$105)+SUMIF(Capacity_Resource,$F160,'Critical resources (hide)'!AD$6:AD$105)&gt;0,$E$1=2),0,1)</f>
        <v>1</v>
      </c>
      <c r="R160" s="68">
        <f ca="1">IF(AND(SUMIF(Capacity_Resource,$D160,'Critical resources (hide)'!AE$6:AE$105)+SUMIF(Capacity_Resource,$E160,'Critical resources (hide)'!AE$6:AE$105)+SUMIF(Capacity_Resource,$F160,'Critical resources (hide)'!AE$6:AE$105)&gt;0,$E$1=2),0,1)</f>
        <v>1</v>
      </c>
      <c r="S160" s="68">
        <f ca="1">IF(AND(SUMIF(Capacity_Resource,$D160,'Critical resources (hide)'!AF$6:AF$105)+SUMIF(Capacity_Resource,$E160,'Critical resources (hide)'!AF$6:AF$105)+SUMIF(Capacity_Resource,$F160,'Critical resources (hide)'!AF$6:AF$105)&gt;0,$E$1=2),0,1)</f>
        <v>1</v>
      </c>
      <c r="T160" s="68">
        <f ca="1">IF(AND(SUMIF(Capacity_Resource,$D160,'Critical resources (hide)'!AG$6:AG$105)+SUMIF(Capacity_Resource,$E160,'Critical resources (hide)'!AG$6:AG$105)+SUMIF(Capacity_Resource,$F160,'Critical resources (hide)'!AG$6:AG$105)&gt;0,$E$1=2),0,1)</f>
        <v>1</v>
      </c>
      <c r="U160" s="68">
        <f ca="1">IF(AND(SUMIF(Capacity_Resource,$D160,'Critical resources (hide)'!AH$6:AH$105)+SUMIF(Capacity_Resource,$E160,'Critical resources (hide)'!AH$6:AH$105)+SUMIF(Capacity_Resource,$F160,'Critical resources (hide)'!AH$6:AH$105)&gt;0,$E$1=2),0,1)</f>
        <v>1</v>
      </c>
      <c r="V160" s="68">
        <f ca="1">IF(AND(SUMIF(Capacity_Resource,$D160,'Critical resources (hide)'!AI$6:AI$105)+SUMIF(Capacity_Resource,$E160,'Critical resources (hide)'!AI$6:AI$105)+SUMIF(Capacity_Resource,$F160,'Critical resources (hide)'!AI$6:AI$105)&gt;0,$E$1=2),0,1)</f>
        <v>1</v>
      </c>
      <c r="W160" s="68">
        <f ca="1">IF(AND(SUMIF(Capacity_Resource,$D160,'Critical resources (hide)'!AJ$6:AJ$105)+SUMIF(Capacity_Resource,$E160,'Critical resources (hide)'!AJ$6:AJ$105)+SUMIF(Capacity_Resource,$F160,'Critical resources (hide)'!AJ$6:AJ$105)&gt;0,$E$1=2),0,1)</f>
        <v>1</v>
      </c>
      <c r="X160" s="68">
        <f ca="1">IF(AND(SUMIF(Capacity_Resource,$D160,'Critical resources (hide)'!AK$6:AK$105)+SUMIF(Capacity_Resource,$E160,'Critical resources (hide)'!AK$6:AK$105)+SUMIF(Capacity_Resource,$F160,'Critical resources (hide)'!AK$6:AK$105)&gt;0,$E$1=2),0,1)</f>
        <v>1</v>
      </c>
      <c r="Y160" s="68">
        <f ca="1">IF(AND(SUMIF(Capacity_Resource,$D160,'Critical resources (hide)'!AL$6:AL$105)+SUMIF(Capacity_Resource,$E160,'Critical resources (hide)'!AL$6:AL$105)+SUMIF(Capacity_Resource,$F160,'Critical resources (hide)'!AL$6:AL$105)&gt;0,$E$1=2),0,1)</f>
        <v>1</v>
      </c>
      <c r="Z160" s="68">
        <f ca="1">IF(AND(SUMIF(Capacity_Resource,$D160,'Critical resources (hide)'!AM$6:AM$105)+SUMIF(Capacity_Resource,$E160,'Critical resources (hide)'!AM$6:AM$105)+SUMIF(Capacity_Resource,$F160,'Critical resources (hide)'!AM$6:AM$105)&gt;0,$E$1=2),0,1)</f>
        <v>1</v>
      </c>
      <c r="AA160" s="68">
        <f ca="1">IF(AND(SUMIF(Capacity_Resource,$D160,'Critical resources (hide)'!AN$6:AN$105)+SUMIF(Capacity_Resource,$E160,'Critical resources (hide)'!AN$6:AN$105)+SUMIF(Capacity_Resource,$F160,'Critical resources (hide)'!AN$6:AN$105)&gt;0,$E$1=2),0,1)</f>
        <v>1</v>
      </c>
      <c r="AB160" s="68">
        <f ca="1">IF(AND(SUMIF(Capacity_Resource,$D160,'Critical resources (hide)'!AO$6:AO$105)+SUMIF(Capacity_Resource,$E160,'Critical resources (hide)'!AO$6:AO$105)+SUMIF(Capacity_Resource,$F160,'Critical resources (hide)'!AO$6:AO$105)&gt;0,$E$1=2),0,1)</f>
        <v>1</v>
      </c>
      <c r="AC160" s="68">
        <f ca="1">IF(AND(SUMIF(Capacity_Resource,$D160,'Critical resources (hide)'!AP$6:AP$105)+SUMIF(Capacity_Resource,$E160,'Critical resources (hide)'!AP$6:AP$105)+SUMIF(Capacity_Resource,$F160,'Critical resources (hide)'!AP$6:AP$105)&gt;0,$E$1=2),0,1)</f>
        <v>1</v>
      </c>
      <c r="AD160" s="68">
        <f ca="1">IF(AND(SUMIF(Capacity_Resource,$D160,'Critical resources (hide)'!AQ$6:AQ$105)+SUMIF(Capacity_Resource,$E160,'Critical resources (hide)'!AQ$6:AQ$105)+SUMIF(Capacity_Resource,$F160,'Critical resources (hide)'!AQ$6:AQ$105)&gt;0,$E$1=2),0,1)</f>
        <v>1</v>
      </c>
      <c r="AE160" s="68">
        <f ca="1">IF(AND(SUMIF(Capacity_Resource,$D160,'Critical resources (hide)'!AR$6:AR$105)+SUMIF(Capacity_Resource,$E160,'Critical resources (hide)'!AR$6:AR$105)+SUMIF(Capacity_Resource,$F160,'Critical resources (hide)'!AR$6:AR$105)&gt;0,$E$1=2),0,1)</f>
        <v>1</v>
      </c>
      <c r="AF160" s="68">
        <f ca="1">IF(AND(SUMIF(Capacity_Resource,$D160,'Critical resources (hide)'!AS$6:AS$105)+SUMIF(Capacity_Resource,$E160,'Critical resources (hide)'!AS$6:AS$105)+SUMIF(Capacity_Resource,$F160,'Critical resources (hide)'!AS$6:AS$105)&gt;0,$E$1=2),0,1)</f>
        <v>1</v>
      </c>
      <c r="AG160" s="68">
        <f ca="1">IF(AND(SUMIF(Capacity_Resource,$D160,'Critical resources (hide)'!AT$6:AT$105)+SUMIF(Capacity_Resource,$E160,'Critical resources (hide)'!AT$6:AT$105)+SUMIF(Capacity_Resource,$F160,'Critical resources (hide)'!AT$6:AT$105)&gt;0,$E$1=2),0,1)</f>
        <v>1</v>
      </c>
      <c r="AH160" s="68">
        <f ca="1">IF(AND(SUMIF(Capacity_Resource,$D160,'Critical resources (hide)'!AU$6:AU$105)+SUMIF(Capacity_Resource,$E160,'Critical resources (hide)'!AU$6:AU$105)+SUMIF(Capacity_Resource,$F160,'Critical resources (hide)'!AU$6:AU$105)&gt;0,$E$1=2),0,1)</f>
        <v>1</v>
      </c>
      <c r="AI160" s="68">
        <f ca="1">IF(AND(SUMIF(Capacity_Resource,$D160,'Critical resources (hide)'!AV$6:AV$105)+SUMIF(Capacity_Resource,$E160,'Critical resources (hide)'!AV$6:AV$105)+SUMIF(Capacity_Resource,$F160,'Critical resources (hide)'!AV$6:AV$105)&gt;0,$E$1=2),0,1)</f>
        <v>1</v>
      </c>
      <c r="AJ160" s="68">
        <f ca="1">IF(AND(SUMIF(Capacity_Resource,$D160,'Critical resources (hide)'!AW$6:AW$105)+SUMIF(Capacity_Resource,$E160,'Critical resources (hide)'!AW$6:AW$105)+SUMIF(Capacity_Resource,$F160,'Critical resources (hide)'!AW$6:AW$105)&gt;0,$E$1=2),0,1)</f>
        <v>1</v>
      </c>
      <c r="AK160" s="68">
        <f ca="1">IF(AND(SUMIF(Capacity_Resource,$D160,'Critical resources (hide)'!AX$6:AX$105)+SUMIF(Capacity_Resource,$E160,'Critical resources (hide)'!AX$6:AX$105)+SUMIF(Capacity_Resource,$F160,'Critical resources (hide)'!AX$6:AX$105)&gt;0,$E$1=2),0,1)</f>
        <v>1</v>
      </c>
      <c r="AL160" s="68">
        <f ca="1">IF(AND(SUMIF(Capacity_Resource,$D160,'Critical resources (hide)'!AY$6:AY$105)+SUMIF(Capacity_Resource,$E160,'Critical resources (hide)'!AY$6:AY$105)+SUMIF(Capacity_Resource,$F160,'Critical resources (hide)'!AY$6:AY$105)&gt;0,$E$1=2),0,1)</f>
        <v>1</v>
      </c>
      <c r="AM160" s="68">
        <f ca="1">IF(AND(SUMIF(Capacity_Resource,$D160,'Critical resources (hide)'!AZ$6:AZ$105)+SUMIF(Capacity_Resource,$E160,'Critical resources (hide)'!AZ$6:AZ$105)+SUMIF(Capacity_Resource,$F160,'Critical resources (hide)'!AZ$6:AZ$105)&gt;0,$E$1=2),0,1)</f>
        <v>1</v>
      </c>
      <c r="AN160" s="68">
        <f ca="1">IF(AND(SUMIF(Capacity_Resource,$D160,'Critical resources (hide)'!BA$6:BA$105)+SUMIF(Capacity_Resource,$E160,'Critical resources (hide)'!BA$6:BA$105)+SUMIF(Capacity_Resource,$F160,'Critical resources (hide)'!BA$6:BA$105)&gt;0,$E$1=2),0,1)</f>
        <v>1</v>
      </c>
      <c r="AO160" s="68">
        <f ca="1">IF(AND(SUMIF(Capacity_Resource,$D160,'Critical resources (hide)'!BB$6:BB$105)+SUMIF(Capacity_Resource,$E160,'Critical resources (hide)'!BB$6:BB$105)+SUMIF(Capacity_Resource,$F160,'Critical resources (hide)'!BB$6:BB$105)&gt;0,$E$1=2),0,1)</f>
        <v>1</v>
      </c>
      <c r="AP160" s="68">
        <f ca="1">IF(AND(SUMIF(Capacity_Resource,$D160,'Critical resources (hide)'!BC$6:BC$105)+SUMIF(Capacity_Resource,$E160,'Critical resources (hide)'!BC$6:BC$105)+SUMIF(Capacity_Resource,$F160,'Critical resources (hide)'!BC$6:BC$105)&gt;0,$E$1=2),0,1)</f>
        <v>1</v>
      </c>
      <c r="AQ160" s="68">
        <f ca="1">IF(AND(SUMIF(Capacity_Resource,$D160,'Critical resources (hide)'!BD$6:BD$105)+SUMIF(Capacity_Resource,$E160,'Critical resources (hide)'!BD$6:BD$105)+SUMIF(Capacity_Resource,$F160,'Critical resources (hide)'!BD$6:BD$105)&gt;0,$E$1=2),0,1)</f>
        <v>1</v>
      </c>
      <c r="AR160" s="68">
        <f ca="1">IF(AND(SUMIF(Capacity_Resource,$D160,'Critical resources (hide)'!BE$6:BE$105)+SUMIF(Capacity_Resource,$E160,'Critical resources (hide)'!BE$6:BE$105)+SUMIF(Capacity_Resource,$F160,'Critical resources (hide)'!BE$6:BE$105)&gt;0,$E$1=2),0,1)</f>
        <v>1</v>
      </c>
      <c r="AS160" s="68">
        <f ca="1">IF(AND(SUMIF(Capacity_Resource,$D160,'Critical resources (hide)'!BF$6:BF$105)+SUMIF(Capacity_Resource,$E160,'Critical resources (hide)'!BF$6:BF$105)+SUMIF(Capacity_Resource,$F160,'Critical resources (hide)'!BF$6:BF$105)&gt;0,$E$1=2),0,1)</f>
        <v>1</v>
      </c>
      <c r="AT160" s="68">
        <f ca="1">IF(AND(SUMIF(Capacity_Resource,$D160,'Critical resources (hide)'!BG$6:BG$105)+SUMIF(Capacity_Resource,$E160,'Critical resources (hide)'!BG$6:BG$105)+SUMIF(Capacity_Resource,$F160,'Critical resources (hide)'!BG$6:BG$105)&gt;0,$E$1=2),0,1)</f>
        <v>1</v>
      </c>
      <c r="AU160" s="68">
        <f ca="1">IF(AND(SUMIF(Capacity_Resource,$D160,'Critical resources (hide)'!BH$6:BH$105)+SUMIF(Capacity_Resource,$E160,'Critical resources (hide)'!BH$6:BH$105)+SUMIF(Capacity_Resource,$F160,'Critical resources (hide)'!BH$6:BH$105)&gt;0,$E$1=2),0,1)</f>
        <v>1</v>
      </c>
      <c r="AV160" s="68">
        <f ca="1">IF(AND(SUMIF(Capacity_Resource,$D160,'Critical resources (hide)'!BI$6:BI$105)+SUMIF(Capacity_Resource,$E160,'Critical resources (hide)'!BI$6:BI$105)+SUMIF(Capacity_Resource,$F160,'Critical resources (hide)'!BI$6:BI$105)&gt;0,$E$1=2),0,1)</f>
        <v>1</v>
      </c>
      <c r="AW160" s="68">
        <f ca="1">IF(AND(SUMIF(Capacity_Resource,$D160,'Critical resources (hide)'!BJ$6:BJ$105)+SUMIF(Capacity_Resource,$E160,'Critical resources (hide)'!BJ$6:BJ$105)+SUMIF(Capacity_Resource,$F160,'Critical resources (hide)'!BJ$6:BJ$105)&gt;0,$E$1=2),0,1)</f>
        <v>1</v>
      </c>
      <c r="AX160" s="68">
        <f ca="1">IF(AND(SUMIF(Capacity_Resource,$D160,'Critical resources (hide)'!BK$6:BK$105)+SUMIF(Capacity_Resource,$E160,'Critical resources (hide)'!BK$6:BK$105)+SUMIF(Capacity_Resource,$F160,'Critical resources (hide)'!BK$6:BK$105)&gt;0,$E$1=2),0,1)</f>
        <v>1</v>
      </c>
      <c r="AY160" s="68">
        <f ca="1">IF(AND(SUMIF(Capacity_Resource,$D160,'Critical resources (hide)'!BL$6:BL$105)+SUMIF(Capacity_Resource,$E160,'Critical resources (hide)'!BL$6:BL$105)+SUMIF(Capacity_Resource,$F160,'Critical resources (hide)'!BL$6:BL$105)&gt;0,$E$1=2),0,1)</f>
        <v>1</v>
      </c>
      <c r="AZ160" s="68">
        <f ca="1">IF(AND(SUMIF(Capacity_Resource,$D160,'Critical resources (hide)'!BM$6:BM$105)+SUMIF(Capacity_Resource,$E160,'Critical resources (hide)'!BM$6:BM$105)+SUMIF(Capacity_Resource,$F160,'Critical resources (hide)'!BM$6:BM$105)&gt;0,$E$1=2),0,1)</f>
        <v>1</v>
      </c>
      <c r="BA160" s="68">
        <f ca="1">IF(AND(SUMIF(Capacity_Resource,$D160,'Critical resources (hide)'!BN$6:BN$105)+SUMIF(Capacity_Resource,$E160,'Critical resources (hide)'!BN$6:BN$105)+SUMIF(Capacity_Resource,$F160,'Critical resources (hide)'!BN$6:BN$105)&gt;0,$E$1=2),0,1)</f>
        <v>1</v>
      </c>
      <c r="BB160" s="68">
        <f ca="1">IF(AND(SUMIF(Capacity_Resource,$D160,'Critical resources (hide)'!BO$6:BO$105)+SUMIF(Capacity_Resource,$E160,'Critical resources (hide)'!BO$6:BO$105)+SUMIF(Capacity_Resource,$F160,'Critical resources (hide)'!BO$6:BO$105)&gt;0,$E$1=2),0,1)</f>
        <v>1</v>
      </c>
      <c r="BC160" s="68">
        <f ca="1">IF(AND(SUMIF(Capacity_Resource,$D160,'Critical resources (hide)'!BP$6:BP$105)+SUMIF(Capacity_Resource,$E160,'Critical resources (hide)'!BP$6:BP$105)+SUMIF(Capacity_Resource,$F160,'Critical resources (hide)'!BP$6:BP$105)&gt;0,$E$1=2),0,1)</f>
        <v>1</v>
      </c>
      <c r="BD160" s="68">
        <f ca="1">IF(AND(SUMIF(Capacity_Resource,$D160,'Critical resources (hide)'!BQ$6:BQ$105)+SUMIF(Capacity_Resource,$E160,'Critical resources (hide)'!BQ$6:BQ$105)+SUMIF(Capacity_Resource,$F160,'Critical resources (hide)'!BQ$6:BQ$105)&gt;0,$E$1=2),0,1)</f>
        <v>1</v>
      </c>
      <c r="BE160" s="68">
        <f ca="1">IF(AND(SUMIF(Capacity_Resource,$D160,'Critical resources (hide)'!BR$6:BR$105)+SUMIF(Capacity_Resource,$E160,'Critical resources (hide)'!BR$6:BR$105)+SUMIF(Capacity_Resource,$F160,'Critical resources (hide)'!BR$6:BR$105)&gt;0,$E$1=2),0,1)</f>
        <v>1</v>
      </c>
      <c r="BF160" s="68">
        <f ca="1">IF(AND(SUMIF(Capacity_Resource,$D160,'Critical resources (hide)'!BS$6:BS$105)+SUMIF(Capacity_Resource,$E160,'Critical resources (hide)'!BS$6:BS$105)+SUMIF(Capacity_Resource,$F160,'Critical resources (hide)'!BS$6:BS$105)&gt;0,$E$1=2),0,1)</f>
        <v>1</v>
      </c>
      <c r="BG160" s="68">
        <f ca="1">IF(AND(SUMIF(Capacity_Resource,$D160,'Critical resources (hide)'!BT$6:BT$105)+SUMIF(Capacity_Resource,$E160,'Critical resources (hide)'!BT$6:BT$105)+SUMIF(Capacity_Resource,$F160,'Critical resources (hide)'!BT$6:BT$105)&gt;0,$E$1=2),0,1)</f>
        <v>1</v>
      </c>
      <c r="BH160" s="68">
        <f>IF(ROW(A49)&lt;=Capacity!$M$16,IF('Capacity summary'!$C$14="No",SUM(H160:BG160),'Capacity summary'!$E72),0)</f>
        <v>0</v>
      </c>
      <c r="BI160" s="68" t="str">
        <f>IF(BH160&gt;0,IF(BH160&lt;Capacity!Q65,Capacity!R65,Capacity!T65/'Capacity calculation (hide)'!BH160),"")</f>
        <v/>
      </c>
      <c r="BJ160" s="5"/>
      <c r="BK160" s="5">
        <f>IF($BI160&lt;&gt;"",IF('Capacity summary'!$C$14="Yes",IF(COUNTBLANK('Capacity summary'!$H72:$BG72)&lt;52,IF('Capacity summary'!H72&lt;&gt;"",$BI160*H160,0),H160*$BI160),H160*$BI160),0)</f>
        <v>0</v>
      </c>
      <c r="BL160" s="5">
        <f>IF($BI160&lt;&gt;"",IF('Capacity summary'!$C$14="Yes",IF(COUNTBLANK('Capacity summary'!$H72:$BG72)&lt;52,IF('Capacity summary'!I72&lt;&gt;"",$BI160*I160,0),I160*$BI160),I160*$BI160),0)</f>
        <v>0</v>
      </c>
      <c r="BM160" s="5">
        <f>IF($BI160&lt;&gt;"",IF('Capacity summary'!$C$14="Yes",IF(COUNTBLANK('Capacity summary'!$H72:$BG72)&lt;52,IF('Capacity summary'!J72&lt;&gt;"",$BI160*J160,0),J160*$BI160),J160*$BI160),0)</f>
        <v>0</v>
      </c>
      <c r="BN160" s="5">
        <f>IF($BI160&lt;&gt;"",IF('Capacity summary'!$C$14="Yes",IF(COUNTBLANK('Capacity summary'!$H72:$BG72)&lt;52,IF('Capacity summary'!K72&lt;&gt;"",$BI160*K160,0),K160*$BI160),K160*$BI160),0)</f>
        <v>0</v>
      </c>
      <c r="BO160" s="5">
        <f>IF($BI160&lt;&gt;"",IF('Capacity summary'!$C$14="Yes",IF(COUNTBLANK('Capacity summary'!$H72:$BG72)&lt;52,IF('Capacity summary'!L72&lt;&gt;"",$BI160*L160,0),L160*$BI160),L160*$BI160),0)</f>
        <v>0</v>
      </c>
      <c r="BP160" s="5">
        <f>IF($BI160&lt;&gt;"",IF('Capacity summary'!$C$14="Yes",IF(COUNTBLANK('Capacity summary'!$H72:$BG72)&lt;52,IF('Capacity summary'!M72&lt;&gt;"",$BI160*M160,0),M160*$BI160),M160*$BI160),0)</f>
        <v>0</v>
      </c>
      <c r="BQ160" s="5">
        <f>IF($BI160&lt;&gt;"",IF('Capacity summary'!$C$14="Yes",IF(COUNTBLANK('Capacity summary'!$H72:$BG72)&lt;52,IF('Capacity summary'!N72&lt;&gt;"",$BI160*N160,0),N160*$BI160),N160*$BI160),0)</f>
        <v>0</v>
      </c>
      <c r="BR160" s="5">
        <f>IF($BI160&lt;&gt;"",IF('Capacity summary'!$C$14="Yes",IF(COUNTBLANK('Capacity summary'!$H72:$BG72)&lt;52,IF('Capacity summary'!O72&lt;&gt;"",$BI160*O160,0),O160*$BI160),O160*$BI160),0)</f>
        <v>0</v>
      </c>
      <c r="BS160" s="5">
        <f>IF($BI160&lt;&gt;"",IF('Capacity summary'!$C$14="Yes",IF(COUNTBLANK('Capacity summary'!$H72:$BG72)&lt;52,IF('Capacity summary'!P72&lt;&gt;"",$BI160*P160,0),P160*$BI160),P160*$BI160),0)</f>
        <v>0</v>
      </c>
      <c r="BT160" s="5">
        <f>IF($BI160&lt;&gt;"",IF('Capacity summary'!$C$14="Yes",IF(COUNTBLANK('Capacity summary'!$H72:$BG72)&lt;52,IF('Capacity summary'!Q72&lt;&gt;"",$BI160*Q160,0),Q160*$BI160),Q160*$BI160),0)</f>
        <v>0</v>
      </c>
      <c r="BU160" s="5">
        <f>IF($BI160&lt;&gt;"",IF('Capacity summary'!$C$14="Yes",IF(COUNTBLANK('Capacity summary'!$H72:$BG72)&lt;52,IF('Capacity summary'!R72&lt;&gt;"",$BI160*R160,0),R160*$BI160),R160*$BI160),0)</f>
        <v>0</v>
      </c>
      <c r="BV160" s="5">
        <f>IF($BI160&lt;&gt;"",IF('Capacity summary'!$C$14="Yes",IF(COUNTBLANK('Capacity summary'!$H72:$BG72)&lt;52,IF('Capacity summary'!S72&lt;&gt;"",$BI160*S160,0),S160*$BI160),S160*$BI160),0)</f>
        <v>0</v>
      </c>
      <c r="BW160" s="5">
        <f>IF($BI160&lt;&gt;"",IF('Capacity summary'!$C$14="Yes",IF(COUNTBLANK('Capacity summary'!$H72:$BG72)&lt;52,IF('Capacity summary'!T72&lt;&gt;"",$BI160*T160,0),T160*$BI160),T160*$BI160),0)</f>
        <v>0</v>
      </c>
      <c r="BX160" s="5">
        <f>IF($BI160&lt;&gt;"",IF('Capacity summary'!$C$14="Yes",IF(COUNTBLANK('Capacity summary'!$H72:$BG72)&lt;52,IF('Capacity summary'!U72&lt;&gt;"",$BI160*U160,0),U160*$BI160),U160*$BI160),0)</f>
        <v>0</v>
      </c>
      <c r="BY160" s="5">
        <f>IF($BI160&lt;&gt;"",IF('Capacity summary'!$C$14="Yes",IF(COUNTBLANK('Capacity summary'!$H72:$BG72)&lt;52,IF('Capacity summary'!V72&lt;&gt;"",$BI160*V160,0),V160*$BI160),V160*$BI160),0)</f>
        <v>0</v>
      </c>
      <c r="BZ160" s="5">
        <f>IF($BI160&lt;&gt;"",IF('Capacity summary'!$C$14="Yes",IF(COUNTBLANK('Capacity summary'!$H72:$BG72)&lt;52,IF('Capacity summary'!W72&lt;&gt;"",$BI160*W160,0),W160*$BI160),W160*$BI160),0)</f>
        <v>0</v>
      </c>
      <c r="CA160" s="5">
        <f>IF($BI160&lt;&gt;"",IF('Capacity summary'!$C$14="Yes",IF(COUNTBLANK('Capacity summary'!$H72:$BG72)&lt;52,IF('Capacity summary'!X72&lt;&gt;"",$BI160*X160,0),X160*$BI160),X160*$BI160),0)</f>
        <v>0</v>
      </c>
      <c r="CB160" s="5">
        <f>IF($BI160&lt;&gt;"",IF('Capacity summary'!$C$14="Yes",IF(COUNTBLANK('Capacity summary'!$H72:$BG72)&lt;52,IF('Capacity summary'!Y72&lt;&gt;"",$BI160*Y160,0),Y160*$BI160),Y160*$BI160),0)</f>
        <v>0</v>
      </c>
      <c r="CC160" s="5">
        <f>IF($BI160&lt;&gt;"",IF('Capacity summary'!$C$14="Yes",IF(COUNTBLANK('Capacity summary'!$H72:$BG72)&lt;52,IF('Capacity summary'!Z72&lt;&gt;"",$BI160*Z160,0),Z160*$BI160),Z160*$BI160),0)</f>
        <v>0</v>
      </c>
      <c r="CD160" s="5">
        <f>IF($BI160&lt;&gt;"",IF('Capacity summary'!$C$14="Yes",IF(COUNTBLANK('Capacity summary'!$H72:$BG72)&lt;52,IF('Capacity summary'!AA72&lt;&gt;"",$BI160*AA160,0),AA160*$BI160),AA160*$BI160),0)</f>
        <v>0</v>
      </c>
      <c r="CE160" s="5">
        <f>IF($BI160&lt;&gt;"",IF('Capacity summary'!$C$14="Yes",IF(COUNTBLANK('Capacity summary'!$H72:$BG72)&lt;52,IF('Capacity summary'!AB72&lt;&gt;"",$BI160*AB160,0),AB160*$BI160),AB160*$BI160),0)</f>
        <v>0</v>
      </c>
      <c r="CF160" s="5">
        <f>IF($BI160&lt;&gt;"",IF('Capacity summary'!$C$14="Yes",IF(COUNTBLANK('Capacity summary'!$H72:$BG72)&lt;52,IF('Capacity summary'!AC72&lt;&gt;"",$BI160*AC160,0),AC160*$BI160),AC160*$BI160),0)</f>
        <v>0</v>
      </c>
      <c r="CG160" s="5">
        <f>IF($BI160&lt;&gt;"",IF('Capacity summary'!$C$14="Yes",IF(COUNTBLANK('Capacity summary'!$H72:$BG72)&lt;52,IF('Capacity summary'!AD72&lt;&gt;"",$BI160*AD160,0),AD160*$BI160),AD160*$BI160),0)</f>
        <v>0</v>
      </c>
      <c r="CH160" s="5">
        <f>IF($BI160&lt;&gt;"",IF('Capacity summary'!$C$14="Yes",IF(COUNTBLANK('Capacity summary'!$H72:$BG72)&lt;52,IF('Capacity summary'!AE72&lt;&gt;"",$BI160*AE160,0),AE160*$BI160),AE160*$BI160),0)</f>
        <v>0</v>
      </c>
      <c r="CI160" s="5">
        <f>IF($BI160&lt;&gt;"",IF('Capacity summary'!$C$14="Yes",IF(COUNTBLANK('Capacity summary'!$H72:$BG72)&lt;52,IF('Capacity summary'!AF72&lt;&gt;"",$BI160*AF160,0),AF160*$BI160),AF160*$BI160),0)</f>
        <v>0</v>
      </c>
      <c r="CJ160" s="5">
        <f>IF($BI160&lt;&gt;"",IF('Capacity summary'!$C$14="Yes",IF(COUNTBLANK('Capacity summary'!$H72:$BG72)&lt;52,IF('Capacity summary'!AG72&lt;&gt;"",$BI160*AG160,0),AG160*$BI160),AG160*$BI160),0)</f>
        <v>0</v>
      </c>
      <c r="CK160" s="5">
        <f>IF($BI160&lt;&gt;"",IF('Capacity summary'!$C$14="Yes",IF(COUNTBLANK('Capacity summary'!$H72:$BG72)&lt;52,IF('Capacity summary'!AH72&lt;&gt;"",$BI160*AH160,0),AH160*$BI160),AH160*$BI160),0)</f>
        <v>0</v>
      </c>
      <c r="CL160" s="5">
        <f>IF($BI160&lt;&gt;"",IF('Capacity summary'!$C$14="Yes",IF(COUNTBLANK('Capacity summary'!$H72:$BG72)&lt;52,IF('Capacity summary'!AI72&lt;&gt;"",$BI160*AI160,0),AI160*$BI160),AI160*$BI160),0)</f>
        <v>0</v>
      </c>
      <c r="CM160" s="5">
        <f>IF($BI160&lt;&gt;"",IF('Capacity summary'!$C$14="Yes",IF(COUNTBLANK('Capacity summary'!$H72:$BG72)&lt;52,IF('Capacity summary'!AJ72&lt;&gt;"",$BI160*AJ160,0),AJ160*$BI160),AJ160*$BI160),0)</f>
        <v>0</v>
      </c>
      <c r="CN160" s="5">
        <f>IF($BI160&lt;&gt;"",IF('Capacity summary'!$C$14="Yes",IF(COUNTBLANK('Capacity summary'!$H72:$BG72)&lt;52,IF('Capacity summary'!AK72&lt;&gt;"",$BI160*AK160,0),AK160*$BI160),AK160*$BI160),0)</f>
        <v>0</v>
      </c>
      <c r="CO160" s="5">
        <f>IF($BI160&lt;&gt;"",IF('Capacity summary'!$C$14="Yes",IF(COUNTBLANK('Capacity summary'!$H72:$BG72)&lt;52,IF('Capacity summary'!AL72&lt;&gt;"",$BI160*AL160,0),AL160*$BI160),AL160*$BI160),0)</f>
        <v>0</v>
      </c>
      <c r="CP160" s="5">
        <f>IF($BI160&lt;&gt;"",IF('Capacity summary'!$C$14="Yes",IF(COUNTBLANK('Capacity summary'!$H72:$BG72)&lt;52,IF('Capacity summary'!AM72&lt;&gt;"",$BI160*AM160,0),AM160*$BI160),AM160*$BI160),0)</f>
        <v>0</v>
      </c>
      <c r="CQ160" s="5">
        <f>IF($BI160&lt;&gt;"",IF('Capacity summary'!$C$14="Yes",IF(COUNTBLANK('Capacity summary'!$H72:$BG72)&lt;52,IF('Capacity summary'!AN72&lt;&gt;"",$BI160*AN160,0),AN160*$BI160),AN160*$BI160),0)</f>
        <v>0</v>
      </c>
      <c r="CR160" s="5">
        <f>IF($BI160&lt;&gt;"",IF('Capacity summary'!$C$14="Yes",IF(COUNTBLANK('Capacity summary'!$H72:$BG72)&lt;52,IF('Capacity summary'!AO72&lt;&gt;"",$BI160*AO160,0),AO160*$BI160),AO160*$BI160),0)</f>
        <v>0</v>
      </c>
      <c r="CS160" s="5">
        <f>IF($BI160&lt;&gt;"",IF('Capacity summary'!$C$14="Yes",IF(COUNTBLANK('Capacity summary'!$H72:$BG72)&lt;52,IF('Capacity summary'!AP72&lt;&gt;"",$BI160*AP160,0),AP160*$BI160),AP160*$BI160),0)</f>
        <v>0</v>
      </c>
      <c r="CT160" s="5">
        <f>IF($BI160&lt;&gt;"",IF('Capacity summary'!$C$14="Yes",IF(COUNTBLANK('Capacity summary'!$H72:$BG72)&lt;52,IF('Capacity summary'!AQ72&lt;&gt;"",$BI160*AQ160,0),AQ160*$BI160),AQ160*$BI160),0)</f>
        <v>0</v>
      </c>
      <c r="CU160" s="5">
        <f>IF($BI160&lt;&gt;"",IF('Capacity summary'!$C$14="Yes",IF(COUNTBLANK('Capacity summary'!$H72:$BG72)&lt;52,IF('Capacity summary'!AR72&lt;&gt;"",$BI160*AR160,0),AR160*$BI160),AR160*$BI160),0)</f>
        <v>0</v>
      </c>
      <c r="CV160" s="5">
        <f>IF($BI160&lt;&gt;"",IF('Capacity summary'!$C$14="Yes",IF(COUNTBLANK('Capacity summary'!$H72:$BG72)&lt;52,IF('Capacity summary'!AS72&lt;&gt;"",$BI160*AS160,0),AS160*$BI160),AS160*$BI160),0)</f>
        <v>0</v>
      </c>
      <c r="CW160" s="5">
        <f>IF($BI160&lt;&gt;"",IF('Capacity summary'!$C$14="Yes",IF(COUNTBLANK('Capacity summary'!$H72:$BG72)&lt;52,IF('Capacity summary'!AT72&lt;&gt;"",$BI160*AT160,0),AT160*$BI160),AT160*$BI160),0)</f>
        <v>0</v>
      </c>
      <c r="CX160" s="5">
        <f>IF($BI160&lt;&gt;"",IF('Capacity summary'!$C$14="Yes",IF(COUNTBLANK('Capacity summary'!$H72:$BG72)&lt;52,IF('Capacity summary'!AU72&lt;&gt;"",$BI160*AU160,0),AU160*$BI160),AU160*$BI160),0)</f>
        <v>0</v>
      </c>
      <c r="CY160" s="5">
        <f>IF($BI160&lt;&gt;"",IF('Capacity summary'!$C$14="Yes",IF(COUNTBLANK('Capacity summary'!$H72:$BG72)&lt;52,IF('Capacity summary'!AV72&lt;&gt;"",$BI160*AV160,0),AV160*$BI160),AV160*$BI160),0)</f>
        <v>0</v>
      </c>
      <c r="CZ160" s="5">
        <f>IF($BI160&lt;&gt;"",IF('Capacity summary'!$C$14="Yes",IF(COUNTBLANK('Capacity summary'!$H72:$BG72)&lt;52,IF('Capacity summary'!AW72&lt;&gt;"",$BI160*AW160,0),AW160*$BI160),AW160*$BI160),0)</f>
        <v>0</v>
      </c>
      <c r="DA160" s="5">
        <f>IF($BI160&lt;&gt;"",IF('Capacity summary'!$C$14="Yes",IF(COUNTBLANK('Capacity summary'!$H72:$BG72)&lt;52,IF('Capacity summary'!AX72&lt;&gt;"",$BI160*AX160,0),AX160*$BI160),AX160*$BI160),0)</f>
        <v>0</v>
      </c>
      <c r="DB160" s="5">
        <f>IF($BI160&lt;&gt;"",IF('Capacity summary'!$C$14="Yes",IF(COUNTBLANK('Capacity summary'!$H72:$BG72)&lt;52,IF('Capacity summary'!AY72&lt;&gt;"",$BI160*AY160,0),AY160*$BI160),AY160*$BI160),0)</f>
        <v>0</v>
      </c>
      <c r="DC160" s="5">
        <f>IF($BI160&lt;&gt;"",IF('Capacity summary'!$C$14="Yes",IF(COUNTBLANK('Capacity summary'!$H72:$BG72)&lt;52,IF('Capacity summary'!AZ72&lt;&gt;"",$BI160*AZ160,0),AZ160*$BI160),AZ160*$BI160),0)</f>
        <v>0</v>
      </c>
      <c r="DD160" s="5">
        <f>IF($BI160&lt;&gt;"",IF('Capacity summary'!$C$14="Yes",IF(COUNTBLANK('Capacity summary'!$H72:$BG72)&lt;52,IF('Capacity summary'!BA72&lt;&gt;"",$BI160*BA160,0),BA160*$BI160),BA160*$BI160),0)</f>
        <v>0</v>
      </c>
      <c r="DE160" s="5">
        <f>IF($BI160&lt;&gt;"",IF('Capacity summary'!$C$14="Yes",IF(COUNTBLANK('Capacity summary'!$H72:$BG72)&lt;52,IF('Capacity summary'!BB72&lt;&gt;"",$BI160*BB160,0),BB160*$BI160),BB160*$BI160),0)</f>
        <v>0</v>
      </c>
      <c r="DF160" s="5">
        <f>IF($BI160&lt;&gt;"",IF('Capacity summary'!$C$14="Yes",IF(COUNTBLANK('Capacity summary'!$H72:$BG72)&lt;52,IF('Capacity summary'!BC72&lt;&gt;"",$BI160*BC160,0),BC160*$BI160),BC160*$BI160),0)</f>
        <v>0</v>
      </c>
      <c r="DG160" s="5">
        <f>IF($BI160&lt;&gt;"",IF('Capacity summary'!$C$14="Yes",IF(COUNTBLANK('Capacity summary'!$H72:$BG72)&lt;52,IF('Capacity summary'!BD72&lt;&gt;"",$BI160*BD160,0),BD160*$BI160),BD160*$BI160),0)</f>
        <v>0</v>
      </c>
      <c r="DH160" s="5">
        <f>IF($BI160&lt;&gt;"",IF('Capacity summary'!$C$14="Yes",IF(COUNTBLANK('Capacity summary'!$H72:$BG72)&lt;52,IF('Capacity summary'!BE72&lt;&gt;"",$BI160*BE160,0),BE160*$BI160),BE160*$BI160),0)</f>
        <v>0</v>
      </c>
      <c r="DI160" s="5">
        <f>IF($BI160&lt;&gt;"",IF('Capacity summary'!$C$14="Yes",IF(COUNTBLANK('Capacity summary'!$H72:$BG72)&lt;52,IF('Capacity summary'!BF72&lt;&gt;"",$BI160*BF160,0),BF160*$BI160),BF160*$BI160),0)</f>
        <v>0</v>
      </c>
      <c r="DJ160" s="5">
        <f>IF($BI160&lt;&gt;"",IF('Capacity summary'!$C$14="Yes",IF(COUNTBLANK('Capacity summary'!$H72:$BG72)&lt;52,IF('Capacity summary'!BG72&lt;&gt;"",$BI160*BG160,0),BG160*$BI160),BG160*$BI160),0)</f>
        <v>0</v>
      </c>
      <c r="DK160" s="138">
        <f t="shared" si="6"/>
        <v>0</v>
      </c>
    </row>
    <row r="161" spans="3:115" x14ac:dyDescent="0.2">
      <c r="C161" s="68" t="str">
        <f>ROW(A50)&amp;". "&amp;Capacity!N66</f>
        <v xml:space="preserve">50. </v>
      </c>
      <c r="D161" s="68">
        <f>'Capacity setup'!C167</f>
        <v>0</v>
      </c>
      <c r="E161" s="68">
        <f>'Capacity setup'!D167</f>
        <v>0</v>
      </c>
      <c r="F161" s="68">
        <f>'Capacity setup'!E167</f>
        <v>0</v>
      </c>
      <c r="H161" s="68">
        <f ca="1">IF(AND(SUMIF(Capacity_Resource,$D161,'Critical resources (hide)'!U$6:U$105)+SUMIF(Capacity_Resource,$E161,'Critical resources (hide)'!U$6:U$105)+SUMIF(Capacity_Resource,$F161,'Critical resources (hide)'!U$6:U$105)&gt;0,$E$1=2),0,1)</f>
        <v>1</v>
      </c>
      <c r="I161" s="68">
        <f ca="1">IF(AND(SUMIF(Capacity_Resource,$D161,'Critical resources (hide)'!V$6:V$105)+SUMIF(Capacity_Resource,$E161,'Critical resources (hide)'!V$6:V$105)+SUMIF(Capacity_Resource,$F161,'Critical resources (hide)'!V$6:V$105)&gt;0,$E$1=2),0,1)</f>
        <v>1</v>
      </c>
      <c r="J161" s="68">
        <f ca="1">IF(AND(SUMIF(Capacity_Resource,$D161,'Critical resources (hide)'!W$6:W$105)+SUMIF(Capacity_Resource,$E161,'Critical resources (hide)'!W$6:W$105)+SUMIF(Capacity_Resource,$F161,'Critical resources (hide)'!W$6:W$105)&gt;0,$E$1=2),0,1)</f>
        <v>1</v>
      </c>
      <c r="K161" s="68">
        <f ca="1">IF(AND(SUMIF(Capacity_Resource,$D161,'Critical resources (hide)'!X$6:X$105)+SUMIF(Capacity_Resource,$E161,'Critical resources (hide)'!X$6:X$105)+SUMIF(Capacity_Resource,$F161,'Critical resources (hide)'!X$6:X$105)&gt;0,$E$1=2),0,1)</f>
        <v>1</v>
      </c>
      <c r="L161" s="68">
        <f ca="1">IF(AND(SUMIF(Capacity_Resource,$D161,'Critical resources (hide)'!Y$6:Y$105)+SUMIF(Capacity_Resource,$E161,'Critical resources (hide)'!Y$6:Y$105)+SUMIF(Capacity_Resource,$F161,'Critical resources (hide)'!Y$6:Y$105)&gt;0,$E$1=2),0,1)</f>
        <v>1</v>
      </c>
      <c r="M161" s="68">
        <f ca="1">IF(AND(SUMIF(Capacity_Resource,$D161,'Critical resources (hide)'!Z$6:Z$105)+SUMIF(Capacity_Resource,$E161,'Critical resources (hide)'!Z$6:Z$105)+SUMIF(Capacity_Resource,$F161,'Critical resources (hide)'!Z$6:Z$105)&gt;0,$E$1=2),0,1)</f>
        <v>1</v>
      </c>
      <c r="N161" s="68">
        <f ca="1">IF(AND(SUMIF(Capacity_Resource,$D161,'Critical resources (hide)'!AA$6:AA$105)+SUMIF(Capacity_Resource,$E161,'Critical resources (hide)'!AA$6:AA$105)+SUMIF(Capacity_Resource,$F161,'Critical resources (hide)'!AA$6:AA$105)&gt;0,$E$1=2),0,1)</f>
        <v>1</v>
      </c>
      <c r="O161" s="68">
        <f ca="1">IF(AND(SUMIF(Capacity_Resource,$D161,'Critical resources (hide)'!AB$6:AB$105)+SUMIF(Capacity_Resource,$E161,'Critical resources (hide)'!AB$6:AB$105)+SUMIF(Capacity_Resource,$F161,'Critical resources (hide)'!AB$6:AB$105)&gt;0,$E$1=2),0,1)</f>
        <v>1</v>
      </c>
      <c r="P161" s="68">
        <f ca="1">IF(AND(SUMIF(Capacity_Resource,$D161,'Critical resources (hide)'!AC$6:AC$105)+SUMIF(Capacity_Resource,$E161,'Critical resources (hide)'!AC$6:AC$105)+SUMIF(Capacity_Resource,$F161,'Critical resources (hide)'!AC$6:AC$105)&gt;0,$E$1=2),0,1)</f>
        <v>1</v>
      </c>
      <c r="Q161" s="68">
        <f ca="1">IF(AND(SUMIF(Capacity_Resource,$D161,'Critical resources (hide)'!AD$6:AD$105)+SUMIF(Capacity_Resource,$E161,'Critical resources (hide)'!AD$6:AD$105)+SUMIF(Capacity_Resource,$F161,'Critical resources (hide)'!AD$6:AD$105)&gt;0,$E$1=2),0,1)</f>
        <v>1</v>
      </c>
      <c r="R161" s="68">
        <f ca="1">IF(AND(SUMIF(Capacity_Resource,$D161,'Critical resources (hide)'!AE$6:AE$105)+SUMIF(Capacity_Resource,$E161,'Critical resources (hide)'!AE$6:AE$105)+SUMIF(Capacity_Resource,$F161,'Critical resources (hide)'!AE$6:AE$105)&gt;0,$E$1=2),0,1)</f>
        <v>1</v>
      </c>
      <c r="S161" s="68">
        <f ca="1">IF(AND(SUMIF(Capacity_Resource,$D161,'Critical resources (hide)'!AF$6:AF$105)+SUMIF(Capacity_Resource,$E161,'Critical resources (hide)'!AF$6:AF$105)+SUMIF(Capacity_Resource,$F161,'Critical resources (hide)'!AF$6:AF$105)&gt;0,$E$1=2),0,1)</f>
        <v>1</v>
      </c>
      <c r="T161" s="68">
        <f ca="1">IF(AND(SUMIF(Capacity_Resource,$D161,'Critical resources (hide)'!AG$6:AG$105)+SUMIF(Capacity_Resource,$E161,'Critical resources (hide)'!AG$6:AG$105)+SUMIF(Capacity_Resource,$F161,'Critical resources (hide)'!AG$6:AG$105)&gt;0,$E$1=2),0,1)</f>
        <v>1</v>
      </c>
      <c r="U161" s="68">
        <f ca="1">IF(AND(SUMIF(Capacity_Resource,$D161,'Critical resources (hide)'!AH$6:AH$105)+SUMIF(Capacity_Resource,$E161,'Critical resources (hide)'!AH$6:AH$105)+SUMIF(Capacity_Resource,$F161,'Critical resources (hide)'!AH$6:AH$105)&gt;0,$E$1=2),0,1)</f>
        <v>1</v>
      </c>
      <c r="V161" s="68">
        <f ca="1">IF(AND(SUMIF(Capacity_Resource,$D161,'Critical resources (hide)'!AI$6:AI$105)+SUMIF(Capacity_Resource,$E161,'Critical resources (hide)'!AI$6:AI$105)+SUMIF(Capacity_Resource,$F161,'Critical resources (hide)'!AI$6:AI$105)&gt;0,$E$1=2),0,1)</f>
        <v>1</v>
      </c>
      <c r="W161" s="68">
        <f ca="1">IF(AND(SUMIF(Capacity_Resource,$D161,'Critical resources (hide)'!AJ$6:AJ$105)+SUMIF(Capacity_Resource,$E161,'Critical resources (hide)'!AJ$6:AJ$105)+SUMIF(Capacity_Resource,$F161,'Critical resources (hide)'!AJ$6:AJ$105)&gt;0,$E$1=2),0,1)</f>
        <v>1</v>
      </c>
      <c r="X161" s="68">
        <f ca="1">IF(AND(SUMIF(Capacity_Resource,$D161,'Critical resources (hide)'!AK$6:AK$105)+SUMIF(Capacity_Resource,$E161,'Critical resources (hide)'!AK$6:AK$105)+SUMIF(Capacity_Resource,$F161,'Critical resources (hide)'!AK$6:AK$105)&gt;0,$E$1=2),0,1)</f>
        <v>1</v>
      </c>
      <c r="Y161" s="68">
        <f ca="1">IF(AND(SUMIF(Capacity_Resource,$D161,'Critical resources (hide)'!AL$6:AL$105)+SUMIF(Capacity_Resource,$E161,'Critical resources (hide)'!AL$6:AL$105)+SUMIF(Capacity_Resource,$F161,'Critical resources (hide)'!AL$6:AL$105)&gt;0,$E$1=2),0,1)</f>
        <v>1</v>
      </c>
      <c r="Z161" s="68">
        <f ca="1">IF(AND(SUMIF(Capacity_Resource,$D161,'Critical resources (hide)'!AM$6:AM$105)+SUMIF(Capacity_Resource,$E161,'Critical resources (hide)'!AM$6:AM$105)+SUMIF(Capacity_Resource,$F161,'Critical resources (hide)'!AM$6:AM$105)&gt;0,$E$1=2),0,1)</f>
        <v>1</v>
      </c>
      <c r="AA161" s="68">
        <f ca="1">IF(AND(SUMIF(Capacity_Resource,$D161,'Critical resources (hide)'!AN$6:AN$105)+SUMIF(Capacity_Resource,$E161,'Critical resources (hide)'!AN$6:AN$105)+SUMIF(Capacity_Resource,$F161,'Critical resources (hide)'!AN$6:AN$105)&gt;0,$E$1=2),0,1)</f>
        <v>1</v>
      </c>
      <c r="AB161" s="68">
        <f ca="1">IF(AND(SUMIF(Capacity_Resource,$D161,'Critical resources (hide)'!AO$6:AO$105)+SUMIF(Capacity_Resource,$E161,'Critical resources (hide)'!AO$6:AO$105)+SUMIF(Capacity_Resource,$F161,'Critical resources (hide)'!AO$6:AO$105)&gt;0,$E$1=2),0,1)</f>
        <v>1</v>
      </c>
      <c r="AC161" s="68">
        <f ca="1">IF(AND(SUMIF(Capacity_Resource,$D161,'Critical resources (hide)'!AP$6:AP$105)+SUMIF(Capacity_Resource,$E161,'Critical resources (hide)'!AP$6:AP$105)+SUMIF(Capacity_Resource,$F161,'Critical resources (hide)'!AP$6:AP$105)&gt;0,$E$1=2),0,1)</f>
        <v>1</v>
      </c>
      <c r="AD161" s="68">
        <f ca="1">IF(AND(SUMIF(Capacity_Resource,$D161,'Critical resources (hide)'!AQ$6:AQ$105)+SUMIF(Capacity_Resource,$E161,'Critical resources (hide)'!AQ$6:AQ$105)+SUMIF(Capacity_Resource,$F161,'Critical resources (hide)'!AQ$6:AQ$105)&gt;0,$E$1=2),0,1)</f>
        <v>1</v>
      </c>
      <c r="AE161" s="68">
        <f ca="1">IF(AND(SUMIF(Capacity_Resource,$D161,'Critical resources (hide)'!AR$6:AR$105)+SUMIF(Capacity_Resource,$E161,'Critical resources (hide)'!AR$6:AR$105)+SUMIF(Capacity_Resource,$F161,'Critical resources (hide)'!AR$6:AR$105)&gt;0,$E$1=2),0,1)</f>
        <v>1</v>
      </c>
      <c r="AF161" s="68">
        <f ca="1">IF(AND(SUMIF(Capacity_Resource,$D161,'Critical resources (hide)'!AS$6:AS$105)+SUMIF(Capacity_Resource,$E161,'Critical resources (hide)'!AS$6:AS$105)+SUMIF(Capacity_Resource,$F161,'Critical resources (hide)'!AS$6:AS$105)&gt;0,$E$1=2),0,1)</f>
        <v>1</v>
      </c>
      <c r="AG161" s="68">
        <f ca="1">IF(AND(SUMIF(Capacity_Resource,$D161,'Critical resources (hide)'!AT$6:AT$105)+SUMIF(Capacity_Resource,$E161,'Critical resources (hide)'!AT$6:AT$105)+SUMIF(Capacity_Resource,$F161,'Critical resources (hide)'!AT$6:AT$105)&gt;0,$E$1=2),0,1)</f>
        <v>1</v>
      </c>
      <c r="AH161" s="68">
        <f ca="1">IF(AND(SUMIF(Capacity_Resource,$D161,'Critical resources (hide)'!AU$6:AU$105)+SUMIF(Capacity_Resource,$E161,'Critical resources (hide)'!AU$6:AU$105)+SUMIF(Capacity_Resource,$F161,'Critical resources (hide)'!AU$6:AU$105)&gt;0,$E$1=2),0,1)</f>
        <v>1</v>
      </c>
      <c r="AI161" s="68">
        <f ca="1">IF(AND(SUMIF(Capacity_Resource,$D161,'Critical resources (hide)'!AV$6:AV$105)+SUMIF(Capacity_Resource,$E161,'Critical resources (hide)'!AV$6:AV$105)+SUMIF(Capacity_Resource,$F161,'Critical resources (hide)'!AV$6:AV$105)&gt;0,$E$1=2),0,1)</f>
        <v>1</v>
      </c>
      <c r="AJ161" s="68">
        <f ca="1">IF(AND(SUMIF(Capacity_Resource,$D161,'Critical resources (hide)'!AW$6:AW$105)+SUMIF(Capacity_Resource,$E161,'Critical resources (hide)'!AW$6:AW$105)+SUMIF(Capacity_Resource,$F161,'Critical resources (hide)'!AW$6:AW$105)&gt;0,$E$1=2),0,1)</f>
        <v>1</v>
      </c>
      <c r="AK161" s="68">
        <f ca="1">IF(AND(SUMIF(Capacity_Resource,$D161,'Critical resources (hide)'!AX$6:AX$105)+SUMIF(Capacity_Resource,$E161,'Critical resources (hide)'!AX$6:AX$105)+SUMIF(Capacity_Resource,$F161,'Critical resources (hide)'!AX$6:AX$105)&gt;0,$E$1=2),0,1)</f>
        <v>1</v>
      </c>
      <c r="AL161" s="68">
        <f ca="1">IF(AND(SUMIF(Capacity_Resource,$D161,'Critical resources (hide)'!AY$6:AY$105)+SUMIF(Capacity_Resource,$E161,'Critical resources (hide)'!AY$6:AY$105)+SUMIF(Capacity_Resource,$F161,'Critical resources (hide)'!AY$6:AY$105)&gt;0,$E$1=2),0,1)</f>
        <v>1</v>
      </c>
      <c r="AM161" s="68">
        <f ca="1">IF(AND(SUMIF(Capacity_Resource,$D161,'Critical resources (hide)'!AZ$6:AZ$105)+SUMIF(Capacity_Resource,$E161,'Critical resources (hide)'!AZ$6:AZ$105)+SUMIF(Capacity_Resource,$F161,'Critical resources (hide)'!AZ$6:AZ$105)&gt;0,$E$1=2),0,1)</f>
        <v>1</v>
      </c>
      <c r="AN161" s="68">
        <f ca="1">IF(AND(SUMIF(Capacity_Resource,$D161,'Critical resources (hide)'!BA$6:BA$105)+SUMIF(Capacity_Resource,$E161,'Critical resources (hide)'!BA$6:BA$105)+SUMIF(Capacity_Resource,$F161,'Critical resources (hide)'!BA$6:BA$105)&gt;0,$E$1=2),0,1)</f>
        <v>1</v>
      </c>
      <c r="AO161" s="68">
        <f ca="1">IF(AND(SUMIF(Capacity_Resource,$D161,'Critical resources (hide)'!BB$6:BB$105)+SUMIF(Capacity_Resource,$E161,'Critical resources (hide)'!BB$6:BB$105)+SUMIF(Capacity_Resource,$F161,'Critical resources (hide)'!BB$6:BB$105)&gt;0,$E$1=2),0,1)</f>
        <v>1</v>
      </c>
      <c r="AP161" s="68">
        <f ca="1">IF(AND(SUMIF(Capacity_Resource,$D161,'Critical resources (hide)'!BC$6:BC$105)+SUMIF(Capacity_Resource,$E161,'Critical resources (hide)'!BC$6:BC$105)+SUMIF(Capacity_Resource,$F161,'Critical resources (hide)'!BC$6:BC$105)&gt;0,$E$1=2),0,1)</f>
        <v>1</v>
      </c>
      <c r="AQ161" s="68">
        <f ca="1">IF(AND(SUMIF(Capacity_Resource,$D161,'Critical resources (hide)'!BD$6:BD$105)+SUMIF(Capacity_Resource,$E161,'Critical resources (hide)'!BD$6:BD$105)+SUMIF(Capacity_Resource,$F161,'Critical resources (hide)'!BD$6:BD$105)&gt;0,$E$1=2),0,1)</f>
        <v>1</v>
      </c>
      <c r="AR161" s="68">
        <f ca="1">IF(AND(SUMIF(Capacity_Resource,$D161,'Critical resources (hide)'!BE$6:BE$105)+SUMIF(Capacity_Resource,$E161,'Critical resources (hide)'!BE$6:BE$105)+SUMIF(Capacity_Resource,$F161,'Critical resources (hide)'!BE$6:BE$105)&gt;0,$E$1=2),0,1)</f>
        <v>1</v>
      </c>
      <c r="AS161" s="68">
        <f ca="1">IF(AND(SUMIF(Capacity_Resource,$D161,'Critical resources (hide)'!BF$6:BF$105)+SUMIF(Capacity_Resource,$E161,'Critical resources (hide)'!BF$6:BF$105)+SUMIF(Capacity_Resource,$F161,'Critical resources (hide)'!BF$6:BF$105)&gt;0,$E$1=2),0,1)</f>
        <v>1</v>
      </c>
      <c r="AT161" s="68">
        <f ca="1">IF(AND(SUMIF(Capacity_Resource,$D161,'Critical resources (hide)'!BG$6:BG$105)+SUMIF(Capacity_Resource,$E161,'Critical resources (hide)'!BG$6:BG$105)+SUMIF(Capacity_Resource,$F161,'Critical resources (hide)'!BG$6:BG$105)&gt;0,$E$1=2),0,1)</f>
        <v>1</v>
      </c>
      <c r="AU161" s="68">
        <f ca="1">IF(AND(SUMIF(Capacity_Resource,$D161,'Critical resources (hide)'!BH$6:BH$105)+SUMIF(Capacity_Resource,$E161,'Critical resources (hide)'!BH$6:BH$105)+SUMIF(Capacity_Resource,$F161,'Critical resources (hide)'!BH$6:BH$105)&gt;0,$E$1=2),0,1)</f>
        <v>1</v>
      </c>
      <c r="AV161" s="68">
        <f ca="1">IF(AND(SUMIF(Capacity_Resource,$D161,'Critical resources (hide)'!BI$6:BI$105)+SUMIF(Capacity_Resource,$E161,'Critical resources (hide)'!BI$6:BI$105)+SUMIF(Capacity_Resource,$F161,'Critical resources (hide)'!BI$6:BI$105)&gt;0,$E$1=2),0,1)</f>
        <v>1</v>
      </c>
      <c r="AW161" s="68">
        <f ca="1">IF(AND(SUMIF(Capacity_Resource,$D161,'Critical resources (hide)'!BJ$6:BJ$105)+SUMIF(Capacity_Resource,$E161,'Critical resources (hide)'!BJ$6:BJ$105)+SUMIF(Capacity_Resource,$F161,'Critical resources (hide)'!BJ$6:BJ$105)&gt;0,$E$1=2),0,1)</f>
        <v>1</v>
      </c>
      <c r="AX161" s="68">
        <f ca="1">IF(AND(SUMIF(Capacity_Resource,$D161,'Critical resources (hide)'!BK$6:BK$105)+SUMIF(Capacity_Resource,$E161,'Critical resources (hide)'!BK$6:BK$105)+SUMIF(Capacity_Resource,$F161,'Critical resources (hide)'!BK$6:BK$105)&gt;0,$E$1=2),0,1)</f>
        <v>1</v>
      </c>
      <c r="AY161" s="68">
        <f ca="1">IF(AND(SUMIF(Capacity_Resource,$D161,'Critical resources (hide)'!BL$6:BL$105)+SUMIF(Capacity_Resource,$E161,'Critical resources (hide)'!BL$6:BL$105)+SUMIF(Capacity_Resource,$F161,'Critical resources (hide)'!BL$6:BL$105)&gt;0,$E$1=2),0,1)</f>
        <v>1</v>
      </c>
      <c r="AZ161" s="68">
        <f ca="1">IF(AND(SUMIF(Capacity_Resource,$D161,'Critical resources (hide)'!BM$6:BM$105)+SUMIF(Capacity_Resource,$E161,'Critical resources (hide)'!BM$6:BM$105)+SUMIF(Capacity_Resource,$F161,'Critical resources (hide)'!BM$6:BM$105)&gt;0,$E$1=2),0,1)</f>
        <v>1</v>
      </c>
      <c r="BA161" s="68">
        <f ca="1">IF(AND(SUMIF(Capacity_Resource,$D161,'Critical resources (hide)'!BN$6:BN$105)+SUMIF(Capacity_Resource,$E161,'Critical resources (hide)'!BN$6:BN$105)+SUMIF(Capacity_Resource,$F161,'Critical resources (hide)'!BN$6:BN$105)&gt;0,$E$1=2),0,1)</f>
        <v>1</v>
      </c>
      <c r="BB161" s="68">
        <f ca="1">IF(AND(SUMIF(Capacity_Resource,$D161,'Critical resources (hide)'!BO$6:BO$105)+SUMIF(Capacity_Resource,$E161,'Critical resources (hide)'!BO$6:BO$105)+SUMIF(Capacity_Resource,$F161,'Critical resources (hide)'!BO$6:BO$105)&gt;0,$E$1=2),0,1)</f>
        <v>1</v>
      </c>
      <c r="BC161" s="68">
        <f ca="1">IF(AND(SUMIF(Capacity_Resource,$D161,'Critical resources (hide)'!BP$6:BP$105)+SUMIF(Capacity_Resource,$E161,'Critical resources (hide)'!BP$6:BP$105)+SUMIF(Capacity_Resource,$F161,'Critical resources (hide)'!BP$6:BP$105)&gt;0,$E$1=2),0,1)</f>
        <v>1</v>
      </c>
      <c r="BD161" s="68">
        <f ca="1">IF(AND(SUMIF(Capacity_Resource,$D161,'Critical resources (hide)'!BQ$6:BQ$105)+SUMIF(Capacity_Resource,$E161,'Critical resources (hide)'!BQ$6:BQ$105)+SUMIF(Capacity_Resource,$F161,'Critical resources (hide)'!BQ$6:BQ$105)&gt;0,$E$1=2),0,1)</f>
        <v>1</v>
      </c>
      <c r="BE161" s="68">
        <f ca="1">IF(AND(SUMIF(Capacity_Resource,$D161,'Critical resources (hide)'!BR$6:BR$105)+SUMIF(Capacity_Resource,$E161,'Critical resources (hide)'!BR$6:BR$105)+SUMIF(Capacity_Resource,$F161,'Critical resources (hide)'!BR$6:BR$105)&gt;0,$E$1=2),0,1)</f>
        <v>1</v>
      </c>
      <c r="BF161" s="68">
        <f ca="1">IF(AND(SUMIF(Capacity_Resource,$D161,'Critical resources (hide)'!BS$6:BS$105)+SUMIF(Capacity_Resource,$E161,'Critical resources (hide)'!BS$6:BS$105)+SUMIF(Capacity_Resource,$F161,'Critical resources (hide)'!BS$6:BS$105)&gt;0,$E$1=2),0,1)</f>
        <v>1</v>
      </c>
      <c r="BG161" s="68">
        <f ca="1">IF(AND(SUMIF(Capacity_Resource,$D161,'Critical resources (hide)'!BT$6:BT$105)+SUMIF(Capacity_Resource,$E161,'Critical resources (hide)'!BT$6:BT$105)+SUMIF(Capacity_Resource,$F161,'Critical resources (hide)'!BT$6:BT$105)&gt;0,$E$1=2),0,1)</f>
        <v>1</v>
      </c>
      <c r="BH161" s="68">
        <f>IF(ROW(A50)&lt;=Capacity!$M$16,IF('Capacity summary'!$C$14="No",SUM(H161:BG161),'Capacity summary'!$E73),0)</f>
        <v>0</v>
      </c>
      <c r="BI161" s="68" t="str">
        <f>IF(BH161&gt;0,IF(BH161&lt;Capacity!Q66,Capacity!R66,Capacity!T66/'Capacity calculation (hide)'!BH161),"")</f>
        <v/>
      </c>
      <c r="BJ161" s="5"/>
      <c r="BK161" s="5">
        <f>IF($BI161&lt;&gt;"",IF('Capacity summary'!$C$14="Yes",IF(COUNTBLANK('Capacity summary'!$H73:$BG73)&lt;52,IF('Capacity summary'!H73&lt;&gt;"",$BI161*H161,0),H161*$BI161),H161*$BI161),0)</f>
        <v>0</v>
      </c>
      <c r="BL161" s="5">
        <f>IF($BI161&lt;&gt;"",IF('Capacity summary'!$C$14="Yes",IF(COUNTBLANK('Capacity summary'!$H73:$BG73)&lt;52,IF('Capacity summary'!I73&lt;&gt;"",$BI161*I161,0),I161*$BI161),I161*$BI161),0)</f>
        <v>0</v>
      </c>
      <c r="BM161" s="5">
        <f>IF($BI161&lt;&gt;"",IF('Capacity summary'!$C$14="Yes",IF(COUNTBLANK('Capacity summary'!$H73:$BG73)&lt;52,IF('Capacity summary'!J73&lt;&gt;"",$BI161*J161,0),J161*$BI161),J161*$BI161),0)</f>
        <v>0</v>
      </c>
      <c r="BN161" s="5">
        <f>IF($BI161&lt;&gt;"",IF('Capacity summary'!$C$14="Yes",IF(COUNTBLANK('Capacity summary'!$H73:$BG73)&lt;52,IF('Capacity summary'!K73&lt;&gt;"",$BI161*K161,0),K161*$BI161),K161*$BI161),0)</f>
        <v>0</v>
      </c>
      <c r="BO161" s="5">
        <f>IF($BI161&lt;&gt;"",IF('Capacity summary'!$C$14="Yes",IF(COUNTBLANK('Capacity summary'!$H73:$BG73)&lt;52,IF('Capacity summary'!L73&lt;&gt;"",$BI161*L161,0),L161*$BI161),L161*$BI161),0)</f>
        <v>0</v>
      </c>
      <c r="BP161" s="5">
        <f>IF($BI161&lt;&gt;"",IF('Capacity summary'!$C$14="Yes",IF(COUNTBLANK('Capacity summary'!$H73:$BG73)&lt;52,IF('Capacity summary'!M73&lt;&gt;"",$BI161*M161,0),M161*$BI161),M161*$BI161),0)</f>
        <v>0</v>
      </c>
      <c r="BQ161" s="5">
        <f>IF($BI161&lt;&gt;"",IF('Capacity summary'!$C$14="Yes",IF(COUNTBLANK('Capacity summary'!$H73:$BG73)&lt;52,IF('Capacity summary'!N73&lt;&gt;"",$BI161*N161,0),N161*$BI161),N161*$BI161),0)</f>
        <v>0</v>
      </c>
      <c r="BR161" s="5">
        <f>IF($BI161&lt;&gt;"",IF('Capacity summary'!$C$14="Yes",IF(COUNTBLANK('Capacity summary'!$H73:$BG73)&lt;52,IF('Capacity summary'!O73&lt;&gt;"",$BI161*O161,0),O161*$BI161),O161*$BI161),0)</f>
        <v>0</v>
      </c>
      <c r="BS161" s="5">
        <f>IF($BI161&lt;&gt;"",IF('Capacity summary'!$C$14="Yes",IF(COUNTBLANK('Capacity summary'!$H73:$BG73)&lt;52,IF('Capacity summary'!P73&lt;&gt;"",$BI161*P161,0),P161*$BI161),P161*$BI161),0)</f>
        <v>0</v>
      </c>
      <c r="BT161" s="5">
        <f>IF($BI161&lt;&gt;"",IF('Capacity summary'!$C$14="Yes",IF(COUNTBLANK('Capacity summary'!$H73:$BG73)&lt;52,IF('Capacity summary'!Q73&lt;&gt;"",$BI161*Q161,0),Q161*$BI161),Q161*$BI161),0)</f>
        <v>0</v>
      </c>
      <c r="BU161" s="5">
        <f>IF($BI161&lt;&gt;"",IF('Capacity summary'!$C$14="Yes",IF(COUNTBLANK('Capacity summary'!$H73:$BG73)&lt;52,IF('Capacity summary'!R73&lt;&gt;"",$BI161*R161,0),R161*$BI161),R161*$BI161),0)</f>
        <v>0</v>
      </c>
      <c r="BV161" s="5">
        <f>IF($BI161&lt;&gt;"",IF('Capacity summary'!$C$14="Yes",IF(COUNTBLANK('Capacity summary'!$H73:$BG73)&lt;52,IF('Capacity summary'!S73&lt;&gt;"",$BI161*S161,0),S161*$BI161),S161*$BI161),0)</f>
        <v>0</v>
      </c>
      <c r="BW161" s="5">
        <f>IF($BI161&lt;&gt;"",IF('Capacity summary'!$C$14="Yes",IF(COUNTBLANK('Capacity summary'!$H73:$BG73)&lt;52,IF('Capacity summary'!T73&lt;&gt;"",$BI161*T161,0),T161*$BI161),T161*$BI161),0)</f>
        <v>0</v>
      </c>
      <c r="BX161" s="5">
        <f>IF($BI161&lt;&gt;"",IF('Capacity summary'!$C$14="Yes",IF(COUNTBLANK('Capacity summary'!$H73:$BG73)&lt;52,IF('Capacity summary'!U73&lt;&gt;"",$BI161*U161,0),U161*$BI161),U161*$BI161),0)</f>
        <v>0</v>
      </c>
      <c r="BY161" s="5">
        <f>IF($BI161&lt;&gt;"",IF('Capacity summary'!$C$14="Yes",IF(COUNTBLANK('Capacity summary'!$H73:$BG73)&lt;52,IF('Capacity summary'!V73&lt;&gt;"",$BI161*V161,0),V161*$BI161),V161*$BI161),0)</f>
        <v>0</v>
      </c>
      <c r="BZ161" s="5">
        <f>IF($BI161&lt;&gt;"",IF('Capacity summary'!$C$14="Yes",IF(COUNTBLANK('Capacity summary'!$H73:$BG73)&lt;52,IF('Capacity summary'!W73&lt;&gt;"",$BI161*W161,0),W161*$BI161),W161*$BI161),0)</f>
        <v>0</v>
      </c>
      <c r="CA161" s="5">
        <f>IF($BI161&lt;&gt;"",IF('Capacity summary'!$C$14="Yes",IF(COUNTBLANK('Capacity summary'!$H73:$BG73)&lt;52,IF('Capacity summary'!X73&lt;&gt;"",$BI161*X161,0),X161*$BI161),X161*$BI161),0)</f>
        <v>0</v>
      </c>
      <c r="CB161" s="5">
        <f>IF($BI161&lt;&gt;"",IF('Capacity summary'!$C$14="Yes",IF(COUNTBLANK('Capacity summary'!$H73:$BG73)&lt;52,IF('Capacity summary'!Y73&lt;&gt;"",$BI161*Y161,0),Y161*$BI161),Y161*$BI161),0)</f>
        <v>0</v>
      </c>
      <c r="CC161" s="5">
        <f>IF($BI161&lt;&gt;"",IF('Capacity summary'!$C$14="Yes",IF(COUNTBLANK('Capacity summary'!$H73:$BG73)&lt;52,IF('Capacity summary'!Z73&lt;&gt;"",$BI161*Z161,0),Z161*$BI161),Z161*$BI161),0)</f>
        <v>0</v>
      </c>
      <c r="CD161" s="5">
        <f>IF($BI161&lt;&gt;"",IF('Capacity summary'!$C$14="Yes",IF(COUNTBLANK('Capacity summary'!$H73:$BG73)&lt;52,IF('Capacity summary'!AA73&lt;&gt;"",$BI161*AA161,0),AA161*$BI161),AA161*$BI161),0)</f>
        <v>0</v>
      </c>
      <c r="CE161" s="5">
        <f>IF($BI161&lt;&gt;"",IF('Capacity summary'!$C$14="Yes",IF(COUNTBLANK('Capacity summary'!$H73:$BG73)&lt;52,IF('Capacity summary'!AB73&lt;&gt;"",$BI161*AB161,0),AB161*$BI161),AB161*$BI161),0)</f>
        <v>0</v>
      </c>
      <c r="CF161" s="5">
        <f>IF($BI161&lt;&gt;"",IF('Capacity summary'!$C$14="Yes",IF(COUNTBLANK('Capacity summary'!$H73:$BG73)&lt;52,IF('Capacity summary'!AC73&lt;&gt;"",$BI161*AC161,0),AC161*$BI161),AC161*$BI161),0)</f>
        <v>0</v>
      </c>
      <c r="CG161" s="5">
        <f>IF($BI161&lt;&gt;"",IF('Capacity summary'!$C$14="Yes",IF(COUNTBLANK('Capacity summary'!$H73:$BG73)&lt;52,IF('Capacity summary'!AD73&lt;&gt;"",$BI161*AD161,0),AD161*$BI161),AD161*$BI161),0)</f>
        <v>0</v>
      </c>
      <c r="CH161" s="5">
        <f>IF($BI161&lt;&gt;"",IF('Capacity summary'!$C$14="Yes",IF(COUNTBLANK('Capacity summary'!$H73:$BG73)&lt;52,IF('Capacity summary'!AE73&lt;&gt;"",$BI161*AE161,0),AE161*$BI161),AE161*$BI161),0)</f>
        <v>0</v>
      </c>
      <c r="CI161" s="5">
        <f>IF($BI161&lt;&gt;"",IF('Capacity summary'!$C$14="Yes",IF(COUNTBLANK('Capacity summary'!$H73:$BG73)&lt;52,IF('Capacity summary'!AF73&lt;&gt;"",$BI161*AF161,0),AF161*$BI161),AF161*$BI161),0)</f>
        <v>0</v>
      </c>
      <c r="CJ161" s="5">
        <f>IF($BI161&lt;&gt;"",IF('Capacity summary'!$C$14="Yes",IF(COUNTBLANK('Capacity summary'!$H73:$BG73)&lt;52,IF('Capacity summary'!AG73&lt;&gt;"",$BI161*AG161,0),AG161*$BI161),AG161*$BI161),0)</f>
        <v>0</v>
      </c>
      <c r="CK161" s="5">
        <f>IF($BI161&lt;&gt;"",IF('Capacity summary'!$C$14="Yes",IF(COUNTBLANK('Capacity summary'!$H73:$BG73)&lt;52,IF('Capacity summary'!AH73&lt;&gt;"",$BI161*AH161,0),AH161*$BI161),AH161*$BI161),0)</f>
        <v>0</v>
      </c>
      <c r="CL161" s="5">
        <f>IF($BI161&lt;&gt;"",IF('Capacity summary'!$C$14="Yes",IF(COUNTBLANK('Capacity summary'!$H73:$BG73)&lt;52,IF('Capacity summary'!AI73&lt;&gt;"",$BI161*AI161,0),AI161*$BI161),AI161*$BI161),0)</f>
        <v>0</v>
      </c>
      <c r="CM161" s="5">
        <f>IF($BI161&lt;&gt;"",IF('Capacity summary'!$C$14="Yes",IF(COUNTBLANK('Capacity summary'!$H73:$BG73)&lt;52,IF('Capacity summary'!AJ73&lt;&gt;"",$BI161*AJ161,0),AJ161*$BI161),AJ161*$BI161),0)</f>
        <v>0</v>
      </c>
      <c r="CN161" s="5">
        <f>IF($BI161&lt;&gt;"",IF('Capacity summary'!$C$14="Yes",IF(COUNTBLANK('Capacity summary'!$H73:$BG73)&lt;52,IF('Capacity summary'!AK73&lt;&gt;"",$BI161*AK161,0),AK161*$BI161),AK161*$BI161),0)</f>
        <v>0</v>
      </c>
      <c r="CO161" s="5">
        <f>IF($BI161&lt;&gt;"",IF('Capacity summary'!$C$14="Yes",IF(COUNTBLANK('Capacity summary'!$H73:$BG73)&lt;52,IF('Capacity summary'!AL73&lt;&gt;"",$BI161*AL161,0),AL161*$BI161),AL161*$BI161),0)</f>
        <v>0</v>
      </c>
      <c r="CP161" s="5">
        <f>IF($BI161&lt;&gt;"",IF('Capacity summary'!$C$14="Yes",IF(COUNTBLANK('Capacity summary'!$H73:$BG73)&lt;52,IF('Capacity summary'!AM73&lt;&gt;"",$BI161*AM161,0),AM161*$BI161),AM161*$BI161),0)</f>
        <v>0</v>
      </c>
      <c r="CQ161" s="5">
        <f>IF($BI161&lt;&gt;"",IF('Capacity summary'!$C$14="Yes",IF(COUNTBLANK('Capacity summary'!$H73:$BG73)&lt;52,IF('Capacity summary'!AN73&lt;&gt;"",$BI161*AN161,0),AN161*$BI161),AN161*$BI161),0)</f>
        <v>0</v>
      </c>
      <c r="CR161" s="5">
        <f>IF($BI161&lt;&gt;"",IF('Capacity summary'!$C$14="Yes",IF(COUNTBLANK('Capacity summary'!$H73:$BG73)&lt;52,IF('Capacity summary'!AO73&lt;&gt;"",$BI161*AO161,0),AO161*$BI161),AO161*$BI161),0)</f>
        <v>0</v>
      </c>
      <c r="CS161" s="5">
        <f>IF($BI161&lt;&gt;"",IF('Capacity summary'!$C$14="Yes",IF(COUNTBLANK('Capacity summary'!$H73:$BG73)&lt;52,IF('Capacity summary'!AP73&lt;&gt;"",$BI161*AP161,0),AP161*$BI161),AP161*$BI161),0)</f>
        <v>0</v>
      </c>
      <c r="CT161" s="5">
        <f>IF($BI161&lt;&gt;"",IF('Capacity summary'!$C$14="Yes",IF(COUNTBLANK('Capacity summary'!$H73:$BG73)&lt;52,IF('Capacity summary'!AQ73&lt;&gt;"",$BI161*AQ161,0),AQ161*$BI161),AQ161*$BI161),0)</f>
        <v>0</v>
      </c>
      <c r="CU161" s="5">
        <f>IF($BI161&lt;&gt;"",IF('Capacity summary'!$C$14="Yes",IF(COUNTBLANK('Capacity summary'!$H73:$BG73)&lt;52,IF('Capacity summary'!AR73&lt;&gt;"",$BI161*AR161,0),AR161*$BI161),AR161*$BI161),0)</f>
        <v>0</v>
      </c>
      <c r="CV161" s="5">
        <f>IF($BI161&lt;&gt;"",IF('Capacity summary'!$C$14="Yes",IF(COUNTBLANK('Capacity summary'!$H73:$BG73)&lt;52,IF('Capacity summary'!AS73&lt;&gt;"",$BI161*AS161,0),AS161*$BI161),AS161*$BI161),0)</f>
        <v>0</v>
      </c>
      <c r="CW161" s="5">
        <f>IF($BI161&lt;&gt;"",IF('Capacity summary'!$C$14="Yes",IF(COUNTBLANK('Capacity summary'!$H73:$BG73)&lt;52,IF('Capacity summary'!AT73&lt;&gt;"",$BI161*AT161,0),AT161*$BI161),AT161*$BI161),0)</f>
        <v>0</v>
      </c>
      <c r="CX161" s="5">
        <f>IF($BI161&lt;&gt;"",IF('Capacity summary'!$C$14="Yes",IF(COUNTBLANK('Capacity summary'!$H73:$BG73)&lt;52,IF('Capacity summary'!AU73&lt;&gt;"",$BI161*AU161,0),AU161*$BI161),AU161*$BI161),0)</f>
        <v>0</v>
      </c>
      <c r="CY161" s="5">
        <f>IF($BI161&lt;&gt;"",IF('Capacity summary'!$C$14="Yes",IF(COUNTBLANK('Capacity summary'!$H73:$BG73)&lt;52,IF('Capacity summary'!AV73&lt;&gt;"",$BI161*AV161,0),AV161*$BI161),AV161*$BI161),0)</f>
        <v>0</v>
      </c>
      <c r="CZ161" s="5">
        <f>IF($BI161&lt;&gt;"",IF('Capacity summary'!$C$14="Yes",IF(COUNTBLANK('Capacity summary'!$H73:$BG73)&lt;52,IF('Capacity summary'!AW73&lt;&gt;"",$BI161*AW161,0),AW161*$BI161),AW161*$BI161),0)</f>
        <v>0</v>
      </c>
      <c r="DA161" s="5">
        <f>IF($BI161&lt;&gt;"",IF('Capacity summary'!$C$14="Yes",IF(COUNTBLANK('Capacity summary'!$H73:$BG73)&lt;52,IF('Capacity summary'!AX73&lt;&gt;"",$BI161*AX161,0),AX161*$BI161),AX161*$BI161),0)</f>
        <v>0</v>
      </c>
      <c r="DB161" s="5">
        <f>IF($BI161&lt;&gt;"",IF('Capacity summary'!$C$14="Yes",IF(COUNTBLANK('Capacity summary'!$H73:$BG73)&lt;52,IF('Capacity summary'!AY73&lt;&gt;"",$BI161*AY161,0),AY161*$BI161),AY161*$BI161),0)</f>
        <v>0</v>
      </c>
      <c r="DC161" s="5">
        <f>IF($BI161&lt;&gt;"",IF('Capacity summary'!$C$14="Yes",IF(COUNTBLANK('Capacity summary'!$H73:$BG73)&lt;52,IF('Capacity summary'!AZ73&lt;&gt;"",$BI161*AZ161,0),AZ161*$BI161),AZ161*$BI161),0)</f>
        <v>0</v>
      </c>
      <c r="DD161" s="5">
        <f>IF($BI161&lt;&gt;"",IF('Capacity summary'!$C$14="Yes",IF(COUNTBLANK('Capacity summary'!$H73:$BG73)&lt;52,IF('Capacity summary'!BA73&lt;&gt;"",$BI161*BA161,0),BA161*$BI161),BA161*$BI161),0)</f>
        <v>0</v>
      </c>
      <c r="DE161" s="5">
        <f>IF($BI161&lt;&gt;"",IF('Capacity summary'!$C$14="Yes",IF(COUNTBLANK('Capacity summary'!$H73:$BG73)&lt;52,IF('Capacity summary'!BB73&lt;&gt;"",$BI161*BB161,0),BB161*$BI161),BB161*$BI161),0)</f>
        <v>0</v>
      </c>
      <c r="DF161" s="5">
        <f>IF($BI161&lt;&gt;"",IF('Capacity summary'!$C$14="Yes",IF(COUNTBLANK('Capacity summary'!$H73:$BG73)&lt;52,IF('Capacity summary'!BC73&lt;&gt;"",$BI161*BC161,0),BC161*$BI161),BC161*$BI161),0)</f>
        <v>0</v>
      </c>
      <c r="DG161" s="5">
        <f>IF($BI161&lt;&gt;"",IF('Capacity summary'!$C$14="Yes",IF(COUNTBLANK('Capacity summary'!$H73:$BG73)&lt;52,IF('Capacity summary'!BD73&lt;&gt;"",$BI161*BD161,0),BD161*$BI161),BD161*$BI161),0)</f>
        <v>0</v>
      </c>
      <c r="DH161" s="5">
        <f>IF($BI161&lt;&gt;"",IF('Capacity summary'!$C$14="Yes",IF(COUNTBLANK('Capacity summary'!$H73:$BG73)&lt;52,IF('Capacity summary'!BE73&lt;&gt;"",$BI161*BE161,0),BE161*$BI161),BE161*$BI161),0)</f>
        <v>0</v>
      </c>
      <c r="DI161" s="5">
        <f>IF($BI161&lt;&gt;"",IF('Capacity summary'!$C$14="Yes",IF(COUNTBLANK('Capacity summary'!$H73:$BG73)&lt;52,IF('Capacity summary'!BF73&lt;&gt;"",$BI161*BF161,0),BF161*$BI161),BF161*$BI161),0)</f>
        <v>0</v>
      </c>
      <c r="DJ161" s="5">
        <f>IF($BI161&lt;&gt;"",IF('Capacity summary'!$C$14="Yes",IF(COUNTBLANK('Capacity summary'!$H73:$BG73)&lt;52,IF('Capacity summary'!BG73&lt;&gt;"",$BI161*BG161,0),BG161*$BI161),BG161*$BI161),0)</f>
        <v>0</v>
      </c>
      <c r="DK161" s="138">
        <f t="shared" si="6"/>
        <v>0</v>
      </c>
    </row>
    <row r="162" spans="3:115" x14ac:dyDescent="0.2">
      <c r="C162" s="68" t="str">
        <f>ROW(A51)&amp;". "&amp;Capacity!N67</f>
        <v xml:space="preserve">51. </v>
      </c>
      <c r="D162" s="68">
        <f>'Capacity setup'!C168</f>
        <v>0</v>
      </c>
      <c r="E162" s="68">
        <f>'Capacity setup'!D168</f>
        <v>0</v>
      </c>
      <c r="F162" s="68">
        <f>'Capacity setup'!E168</f>
        <v>0</v>
      </c>
      <c r="H162" s="68">
        <f ca="1">IF(AND(SUMIF(Capacity_Resource,$D162,'Critical resources (hide)'!U$6:U$105)+SUMIF(Capacity_Resource,$E162,'Critical resources (hide)'!U$6:U$105)+SUMIF(Capacity_Resource,$F162,'Critical resources (hide)'!U$6:U$105)&gt;0,$E$1=2),0,1)</f>
        <v>1</v>
      </c>
      <c r="I162" s="68">
        <f ca="1">IF(AND(SUMIF(Capacity_Resource,$D162,'Critical resources (hide)'!V$6:V$105)+SUMIF(Capacity_Resource,$E162,'Critical resources (hide)'!V$6:V$105)+SUMIF(Capacity_Resource,$F162,'Critical resources (hide)'!V$6:V$105)&gt;0,$E$1=2),0,1)</f>
        <v>1</v>
      </c>
      <c r="J162" s="68">
        <f ca="1">IF(AND(SUMIF(Capacity_Resource,$D162,'Critical resources (hide)'!W$6:W$105)+SUMIF(Capacity_Resource,$E162,'Critical resources (hide)'!W$6:W$105)+SUMIF(Capacity_Resource,$F162,'Critical resources (hide)'!W$6:W$105)&gt;0,$E$1=2),0,1)</f>
        <v>1</v>
      </c>
      <c r="K162" s="68">
        <f ca="1">IF(AND(SUMIF(Capacity_Resource,$D162,'Critical resources (hide)'!X$6:X$105)+SUMIF(Capacity_Resource,$E162,'Critical resources (hide)'!X$6:X$105)+SUMIF(Capacity_Resource,$F162,'Critical resources (hide)'!X$6:X$105)&gt;0,$E$1=2),0,1)</f>
        <v>1</v>
      </c>
      <c r="L162" s="68">
        <f ca="1">IF(AND(SUMIF(Capacity_Resource,$D162,'Critical resources (hide)'!Y$6:Y$105)+SUMIF(Capacity_Resource,$E162,'Critical resources (hide)'!Y$6:Y$105)+SUMIF(Capacity_Resource,$F162,'Critical resources (hide)'!Y$6:Y$105)&gt;0,$E$1=2),0,1)</f>
        <v>1</v>
      </c>
      <c r="M162" s="68">
        <f ca="1">IF(AND(SUMIF(Capacity_Resource,$D162,'Critical resources (hide)'!Z$6:Z$105)+SUMIF(Capacity_Resource,$E162,'Critical resources (hide)'!Z$6:Z$105)+SUMIF(Capacity_Resource,$F162,'Critical resources (hide)'!Z$6:Z$105)&gt;0,$E$1=2),0,1)</f>
        <v>1</v>
      </c>
      <c r="N162" s="68">
        <f ca="1">IF(AND(SUMIF(Capacity_Resource,$D162,'Critical resources (hide)'!AA$6:AA$105)+SUMIF(Capacity_Resource,$E162,'Critical resources (hide)'!AA$6:AA$105)+SUMIF(Capacity_Resource,$F162,'Critical resources (hide)'!AA$6:AA$105)&gt;0,$E$1=2),0,1)</f>
        <v>1</v>
      </c>
      <c r="O162" s="68">
        <f ca="1">IF(AND(SUMIF(Capacity_Resource,$D162,'Critical resources (hide)'!AB$6:AB$105)+SUMIF(Capacity_Resource,$E162,'Critical resources (hide)'!AB$6:AB$105)+SUMIF(Capacity_Resource,$F162,'Critical resources (hide)'!AB$6:AB$105)&gt;0,$E$1=2),0,1)</f>
        <v>1</v>
      </c>
      <c r="P162" s="68">
        <f ca="1">IF(AND(SUMIF(Capacity_Resource,$D162,'Critical resources (hide)'!AC$6:AC$105)+SUMIF(Capacity_Resource,$E162,'Critical resources (hide)'!AC$6:AC$105)+SUMIF(Capacity_Resource,$F162,'Critical resources (hide)'!AC$6:AC$105)&gt;0,$E$1=2),0,1)</f>
        <v>1</v>
      </c>
      <c r="Q162" s="68">
        <f ca="1">IF(AND(SUMIF(Capacity_Resource,$D162,'Critical resources (hide)'!AD$6:AD$105)+SUMIF(Capacity_Resource,$E162,'Critical resources (hide)'!AD$6:AD$105)+SUMIF(Capacity_Resource,$F162,'Critical resources (hide)'!AD$6:AD$105)&gt;0,$E$1=2),0,1)</f>
        <v>1</v>
      </c>
      <c r="R162" s="68">
        <f ca="1">IF(AND(SUMIF(Capacity_Resource,$D162,'Critical resources (hide)'!AE$6:AE$105)+SUMIF(Capacity_Resource,$E162,'Critical resources (hide)'!AE$6:AE$105)+SUMIF(Capacity_Resource,$F162,'Critical resources (hide)'!AE$6:AE$105)&gt;0,$E$1=2),0,1)</f>
        <v>1</v>
      </c>
      <c r="S162" s="68">
        <f ca="1">IF(AND(SUMIF(Capacity_Resource,$D162,'Critical resources (hide)'!AF$6:AF$105)+SUMIF(Capacity_Resource,$E162,'Critical resources (hide)'!AF$6:AF$105)+SUMIF(Capacity_Resource,$F162,'Critical resources (hide)'!AF$6:AF$105)&gt;0,$E$1=2),0,1)</f>
        <v>1</v>
      </c>
      <c r="T162" s="68">
        <f ca="1">IF(AND(SUMIF(Capacity_Resource,$D162,'Critical resources (hide)'!AG$6:AG$105)+SUMIF(Capacity_Resource,$E162,'Critical resources (hide)'!AG$6:AG$105)+SUMIF(Capacity_Resource,$F162,'Critical resources (hide)'!AG$6:AG$105)&gt;0,$E$1=2),0,1)</f>
        <v>1</v>
      </c>
      <c r="U162" s="68">
        <f ca="1">IF(AND(SUMIF(Capacity_Resource,$D162,'Critical resources (hide)'!AH$6:AH$105)+SUMIF(Capacity_Resource,$E162,'Critical resources (hide)'!AH$6:AH$105)+SUMIF(Capacity_Resource,$F162,'Critical resources (hide)'!AH$6:AH$105)&gt;0,$E$1=2),0,1)</f>
        <v>1</v>
      </c>
      <c r="V162" s="68">
        <f ca="1">IF(AND(SUMIF(Capacity_Resource,$D162,'Critical resources (hide)'!AI$6:AI$105)+SUMIF(Capacity_Resource,$E162,'Critical resources (hide)'!AI$6:AI$105)+SUMIF(Capacity_Resource,$F162,'Critical resources (hide)'!AI$6:AI$105)&gt;0,$E$1=2),0,1)</f>
        <v>1</v>
      </c>
      <c r="W162" s="68">
        <f ca="1">IF(AND(SUMIF(Capacity_Resource,$D162,'Critical resources (hide)'!AJ$6:AJ$105)+SUMIF(Capacity_Resource,$E162,'Critical resources (hide)'!AJ$6:AJ$105)+SUMIF(Capacity_Resource,$F162,'Critical resources (hide)'!AJ$6:AJ$105)&gt;0,$E$1=2),0,1)</f>
        <v>1</v>
      </c>
      <c r="X162" s="68">
        <f ca="1">IF(AND(SUMIF(Capacity_Resource,$D162,'Critical resources (hide)'!AK$6:AK$105)+SUMIF(Capacity_Resource,$E162,'Critical resources (hide)'!AK$6:AK$105)+SUMIF(Capacity_Resource,$F162,'Critical resources (hide)'!AK$6:AK$105)&gt;0,$E$1=2),0,1)</f>
        <v>1</v>
      </c>
      <c r="Y162" s="68">
        <f ca="1">IF(AND(SUMIF(Capacity_Resource,$D162,'Critical resources (hide)'!AL$6:AL$105)+SUMIF(Capacity_Resource,$E162,'Critical resources (hide)'!AL$6:AL$105)+SUMIF(Capacity_Resource,$F162,'Critical resources (hide)'!AL$6:AL$105)&gt;0,$E$1=2),0,1)</f>
        <v>1</v>
      </c>
      <c r="Z162" s="68">
        <f ca="1">IF(AND(SUMIF(Capacity_Resource,$D162,'Critical resources (hide)'!AM$6:AM$105)+SUMIF(Capacity_Resource,$E162,'Critical resources (hide)'!AM$6:AM$105)+SUMIF(Capacity_Resource,$F162,'Critical resources (hide)'!AM$6:AM$105)&gt;0,$E$1=2),0,1)</f>
        <v>1</v>
      </c>
      <c r="AA162" s="68">
        <f ca="1">IF(AND(SUMIF(Capacity_Resource,$D162,'Critical resources (hide)'!AN$6:AN$105)+SUMIF(Capacity_Resource,$E162,'Critical resources (hide)'!AN$6:AN$105)+SUMIF(Capacity_Resource,$F162,'Critical resources (hide)'!AN$6:AN$105)&gt;0,$E$1=2),0,1)</f>
        <v>1</v>
      </c>
      <c r="AB162" s="68">
        <f ca="1">IF(AND(SUMIF(Capacity_Resource,$D162,'Critical resources (hide)'!AO$6:AO$105)+SUMIF(Capacity_Resource,$E162,'Critical resources (hide)'!AO$6:AO$105)+SUMIF(Capacity_Resource,$F162,'Critical resources (hide)'!AO$6:AO$105)&gt;0,$E$1=2),0,1)</f>
        <v>1</v>
      </c>
      <c r="AC162" s="68">
        <f ca="1">IF(AND(SUMIF(Capacity_Resource,$D162,'Critical resources (hide)'!AP$6:AP$105)+SUMIF(Capacity_Resource,$E162,'Critical resources (hide)'!AP$6:AP$105)+SUMIF(Capacity_Resource,$F162,'Critical resources (hide)'!AP$6:AP$105)&gt;0,$E$1=2),0,1)</f>
        <v>1</v>
      </c>
      <c r="AD162" s="68">
        <f ca="1">IF(AND(SUMIF(Capacity_Resource,$D162,'Critical resources (hide)'!AQ$6:AQ$105)+SUMIF(Capacity_Resource,$E162,'Critical resources (hide)'!AQ$6:AQ$105)+SUMIF(Capacity_Resource,$F162,'Critical resources (hide)'!AQ$6:AQ$105)&gt;0,$E$1=2),0,1)</f>
        <v>1</v>
      </c>
      <c r="AE162" s="68">
        <f ca="1">IF(AND(SUMIF(Capacity_Resource,$D162,'Critical resources (hide)'!AR$6:AR$105)+SUMIF(Capacity_Resource,$E162,'Critical resources (hide)'!AR$6:AR$105)+SUMIF(Capacity_Resource,$F162,'Critical resources (hide)'!AR$6:AR$105)&gt;0,$E$1=2),0,1)</f>
        <v>1</v>
      </c>
      <c r="AF162" s="68">
        <f ca="1">IF(AND(SUMIF(Capacity_Resource,$D162,'Critical resources (hide)'!AS$6:AS$105)+SUMIF(Capacity_Resource,$E162,'Critical resources (hide)'!AS$6:AS$105)+SUMIF(Capacity_Resource,$F162,'Critical resources (hide)'!AS$6:AS$105)&gt;0,$E$1=2),0,1)</f>
        <v>1</v>
      </c>
      <c r="AG162" s="68">
        <f ca="1">IF(AND(SUMIF(Capacity_Resource,$D162,'Critical resources (hide)'!AT$6:AT$105)+SUMIF(Capacity_Resource,$E162,'Critical resources (hide)'!AT$6:AT$105)+SUMIF(Capacity_Resource,$F162,'Critical resources (hide)'!AT$6:AT$105)&gt;0,$E$1=2),0,1)</f>
        <v>1</v>
      </c>
      <c r="AH162" s="68">
        <f ca="1">IF(AND(SUMIF(Capacity_Resource,$D162,'Critical resources (hide)'!AU$6:AU$105)+SUMIF(Capacity_Resource,$E162,'Critical resources (hide)'!AU$6:AU$105)+SUMIF(Capacity_Resource,$F162,'Critical resources (hide)'!AU$6:AU$105)&gt;0,$E$1=2),0,1)</f>
        <v>1</v>
      </c>
      <c r="AI162" s="68">
        <f ca="1">IF(AND(SUMIF(Capacity_Resource,$D162,'Critical resources (hide)'!AV$6:AV$105)+SUMIF(Capacity_Resource,$E162,'Critical resources (hide)'!AV$6:AV$105)+SUMIF(Capacity_Resource,$F162,'Critical resources (hide)'!AV$6:AV$105)&gt;0,$E$1=2),0,1)</f>
        <v>1</v>
      </c>
      <c r="AJ162" s="68">
        <f ca="1">IF(AND(SUMIF(Capacity_Resource,$D162,'Critical resources (hide)'!AW$6:AW$105)+SUMIF(Capacity_Resource,$E162,'Critical resources (hide)'!AW$6:AW$105)+SUMIF(Capacity_Resource,$F162,'Critical resources (hide)'!AW$6:AW$105)&gt;0,$E$1=2),0,1)</f>
        <v>1</v>
      </c>
      <c r="AK162" s="68">
        <f ca="1">IF(AND(SUMIF(Capacity_Resource,$D162,'Critical resources (hide)'!AX$6:AX$105)+SUMIF(Capacity_Resource,$E162,'Critical resources (hide)'!AX$6:AX$105)+SUMIF(Capacity_Resource,$F162,'Critical resources (hide)'!AX$6:AX$105)&gt;0,$E$1=2),0,1)</f>
        <v>1</v>
      </c>
      <c r="AL162" s="68">
        <f ca="1">IF(AND(SUMIF(Capacity_Resource,$D162,'Critical resources (hide)'!AY$6:AY$105)+SUMIF(Capacity_Resource,$E162,'Critical resources (hide)'!AY$6:AY$105)+SUMIF(Capacity_Resource,$F162,'Critical resources (hide)'!AY$6:AY$105)&gt;0,$E$1=2),0,1)</f>
        <v>1</v>
      </c>
      <c r="AM162" s="68">
        <f ca="1">IF(AND(SUMIF(Capacity_Resource,$D162,'Critical resources (hide)'!AZ$6:AZ$105)+SUMIF(Capacity_Resource,$E162,'Critical resources (hide)'!AZ$6:AZ$105)+SUMIF(Capacity_Resource,$F162,'Critical resources (hide)'!AZ$6:AZ$105)&gt;0,$E$1=2),0,1)</f>
        <v>1</v>
      </c>
      <c r="AN162" s="68">
        <f ca="1">IF(AND(SUMIF(Capacity_Resource,$D162,'Critical resources (hide)'!BA$6:BA$105)+SUMIF(Capacity_Resource,$E162,'Critical resources (hide)'!BA$6:BA$105)+SUMIF(Capacity_Resource,$F162,'Critical resources (hide)'!BA$6:BA$105)&gt;0,$E$1=2),0,1)</f>
        <v>1</v>
      </c>
      <c r="AO162" s="68">
        <f ca="1">IF(AND(SUMIF(Capacity_Resource,$D162,'Critical resources (hide)'!BB$6:BB$105)+SUMIF(Capacity_Resource,$E162,'Critical resources (hide)'!BB$6:BB$105)+SUMIF(Capacity_Resource,$F162,'Critical resources (hide)'!BB$6:BB$105)&gt;0,$E$1=2),0,1)</f>
        <v>1</v>
      </c>
      <c r="AP162" s="68">
        <f ca="1">IF(AND(SUMIF(Capacity_Resource,$D162,'Critical resources (hide)'!BC$6:BC$105)+SUMIF(Capacity_Resource,$E162,'Critical resources (hide)'!BC$6:BC$105)+SUMIF(Capacity_Resource,$F162,'Critical resources (hide)'!BC$6:BC$105)&gt;0,$E$1=2),0,1)</f>
        <v>1</v>
      </c>
      <c r="AQ162" s="68">
        <f ca="1">IF(AND(SUMIF(Capacity_Resource,$D162,'Critical resources (hide)'!BD$6:BD$105)+SUMIF(Capacity_Resource,$E162,'Critical resources (hide)'!BD$6:BD$105)+SUMIF(Capacity_Resource,$F162,'Critical resources (hide)'!BD$6:BD$105)&gt;0,$E$1=2),0,1)</f>
        <v>1</v>
      </c>
      <c r="AR162" s="68">
        <f ca="1">IF(AND(SUMIF(Capacity_Resource,$D162,'Critical resources (hide)'!BE$6:BE$105)+SUMIF(Capacity_Resource,$E162,'Critical resources (hide)'!BE$6:BE$105)+SUMIF(Capacity_Resource,$F162,'Critical resources (hide)'!BE$6:BE$105)&gt;0,$E$1=2),0,1)</f>
        <v>1</v>
      </c>
      <c r="AS162" s="68">
        <f ca="1">IF(AND(SUMIF(Capacity_Resource,$D162,'Critical resources (hide)'!BF$6:BF$105)+SUMIF(Capacity_Resource,$E162,'Critical resources (hide)'!BF$6:BF$105)+SUMIF(Capacity_Resource,$F162,'Critical resources (hide)'!BF$6:BF$105)&gt;0,$E$1=2),0,1)</f>
        <v>1</v>
      </c>
      <c r="AT162" s="68">
        <f ca="1">IF(AND(SUMIF(Capacity_Resource,$D162,'Critical resources (hide)'!BG$6:BG$105)+SUMIF(Capacity_Resource,$E162,'Critical resources (hide)'!BG$6:BG$105)+SUMIF(Capacity_Resource,$F162,'Critical resources (hide)'!BG$6:BG$105)&gt;0,$E$1=2),0,1)</f>
        <v>1</v>
      </c>
      <c r="AU162" s="68">
        <f ca="1">IF(AND(SUMIF(Capacity_Resource,$D162,'Critical resources (hide)'!BH$6:BH$105)+SUMIF(Capacity_Resource,$E162,'Critical resources (hide)'!BH$6:BH$105)+SUMIF(Capacity_Resource,$F162,'Critical resources (hide)'!BH$6:BH$105)&gt;0,$E$1=2),0,1)</f>
        <v>1</v>
      </c>
      <c r="AV162" s="68">
        <f ca="1">IF(AND(SUMIF(Capacity_Resource,$D162,'Critical resources (hide)'!BI$6:BI$105)+SUMIF(Capacity_Resource,$E162,'Critical resources (hide)'!BI$6:BI$105)+SUMIF(Capacity_Resource,$F162,'Critical resources (hide)'!BI$6:BI$105)&gt;0,$E$1=2),0,1)</f>
        <v>1</v>
      </c>
      <c r="AW162" s="68">
        <f ca="1">IF(AND(SUMIF(Capacity_Resource,$D162,'Critical resources (hide)'!BJ$6:BJ$105)+SUMIF(Capacity_Resource,$E162,'Critical resources (hide)'!BJ$6:BJ$105)+SUMIF(Capacity_Resource,$F162,'Critical resources (hide)'!BJ$6:BJ$105)&gt;0,$E$1=2),0,1)</f>
        <v>1</v>
      </c>
      <c r="AX162" s="68">
        <f ca="1">IF(AND(SUMIF(Capacity_Resource,$D162,'Critical resources (hide)'!BK$6:BK$105)+SUMIF(Capacity_Resource,$E162,'Critical resources (hide)'!BK$6:BK$105)+SUMIF(Capacity_Resource,$F162,'Critical resources (hide)'!BK$6:BK$105)&gt;0,$E$1=2),0,1)</f>
        <v>1</v>
      </c>
      <c r="AY162" s="68">
        <f ca="1">IF(AND(SUMIF(Capacity_Resource,$D162,'Critical resources (hide)'!BL$6:BL$105)+SUMIF(Capacity_Resource,$E162,'Critical resources (hide)'!BL$6:BL$105)+SUMIF(Capacity_Resource,$F162,'Critical resources (hide)'!BL$6:BL$105)&gt;0,$E$1=2),0,1)</f>
        <v>1</v>
      </c>
      <c r="AZ162" s="68">
        <f ca="1">IF(AND(SUMIF(Capacity_Resource,$D162,'Critical resources (hide)'!BM$6:BM$105)+SUMIF(Capacity_Resource,$E162,'Critical resources (hide)'!BM$6:BM$105)+SUMIF(Capacity_Resource,$F162,'Critical resources (hide)'!BM$6:BM$105)&gt;0,$E$1=2),0,1)</f>
        <v>1</v>
      </c>
      <c r="BA162" s="68">
        <f ca="1">IF(AND(SUMIF(Capacity_Resource,$D162,'Critical resources (hide)'!BN$6:BN$105)+SUMIF(Capacity_Resource,$E162,'Critical resources (hide)'!BN$6:BN$105)+SUMIF(Capacity_Resource,$F162,'Critical resources (hide)'!BN$6:BN$105)&gt;0,$E$1=2),0,1)</f>
        <v>1</v>
      </c>
      <c r="BB162" s="68">
        <f ca="1">IF(AND(SUMIF(Capacity_Resource,$D162,'Critical resources (hide)'!BO$6:BO$105)+SUMIF(Capacity_Resource,$E162,'Critical resources (hide)'!BO$6:BO$105)+SUMIF(Capacity_Resource,$F162,'Critical resources (hide)'!BO$6:BO$105)&gt;0,$E$1=2),0,1)</f>
        <v>1</v>
      </c>
      <c r="BC162" s="68">
        <f ca="1">IF(AND(SUMIF(Capacity_Resource,$D162,'Critical resources (hide)'!BP$6:BP$105)+SUMIF(Capacity_Resource,$E162,'Critical resources (hide)'!BP$6:BP$105)+SUMIF(Capacity_Resource,$F162,'Critical resources (hide)'!BP$6:BP$105)&gt;0,$E$1=2),0,1)</f>
        <v>1</v>
      </c>
      <c r="BD162" s="68">
        <f ca="1">IF(AND(SUMIF(Capacity_Resource,$D162,'Critical resources (hide)'!BQ$6:BQ$105)+SUMIF(Capacity_Resource,$E162,'Critical resources (hide)'!BQ$6:BQ$105)+SUMIF(Capacity_Resource,$F162,'Critical resources (hide)'!BQ$6:BQ$105)&gt;0,$E$1=2),0,1)</f>
        <v>1</v>
      </c>
      <c r="BE162" s="68">
        <f ca="1">IF(AND(SUMIF(Capacity_Resource,$D162,'Critical resources (hide)'!BR$6:BR$105)+SUMIF(Capacity_Resource,$E162,'Critical resources (hide)'!BR$6:BR$105)+SUMIF(Capacity_Resource,$F162,'Critical resources (hide)'!BR$6:BR$105)&gt;0,$E$1=2),0,1)</f>
        <v>1</v>
      </c>
      <c r="BF162" s="68">
        <f ca="1">IF(AND(SUMIF(Capacity_Resource,$D162,'Critical resources (hide)'!BS$6:BS$105)+SUMIF(Capacity_Resource,$E162,'Critical resources (hide)'!BS$6:BS$105)+SUMIF(Capacity_Resource,$F162,'Critical resources (hide)'!BS$6:BS$105)&gt;0,$E$1=2),0,1)</f>
        <v>1</v>
      </c>
      <c r="BG162" s="68">
        <f ca="1">IF(AND(SUMIF(Capacity_Resource,$D162,'Critical resources (hide)'!BT$6:BT$105)+SUMIF(Capacity_Resource,$E162,'Critical resources (hide)'!BT$6:BT$105)+SUMIF(Capacity_Resource,$F162,'Critical resources (hide)'!BT$6:BT$105)&gt;0,$E$1=2),0,1)</f>
        <v>1</v>
      </c>
      <c r="BH162" s="68">
        <f>IF(ROW(A51)&lt;=Capacity!$M$16,IF('Capacity summary'!$C$14="No",SUM(H162:BG162),'Capacity summary'!$E74),0)</f>
        <v>0</v>
      </c>
      <c r="BI162" s="68" t="str">
        <f>IF(BH162&gt;0,IF(BH162&lt;Capacity!Q67,Capacity!R67,Capacity!T67/'Capacity calculation (hide)'!BH162),"")</f>
        <v/>
      </c>
      <c r="BJ162" s="5"/>
      <c r="BK162" s="5">
        <f>IF($BI162&lt;&gt;"",IF('Capacity summary'!$C$14="Yes",IF(COUNTBLANK('Capacity summary'!$H74:$BG74)&lt;52,IF('Capacity summary'!H74&lt;&gt;"",$BI162*H162,0),H162*$BI162),H162*$BI162),0)</f>
        <v>0</v>
      </c>
      <c r="BL162" s="5">
        <f>IF($BI162&lt;&gt;"",IF('Capacity summary'!$C$14="Yes",IF(COUNTBLANK('Capacity summary'!$H74:$BG74)&lt;52,IF('Capacity summary'!I74&lt;&gt;"",$BI162*I162,0),I162*$BI162),I162*$BI162),0)</f>
        <v>0</v>
      </c>
      <c r="BM162" s="5">
        <f>IF($BI162&lt;&gt;"",IF('Capacity summary'!$C$14="Yes",IF(COUNTBLANK('Capacity summary'!$H74:$BG74)&lt;52,IF('Capacity summary'!J74&lt;&gt;"",$BI162*J162,0),J162*$BI162),J162*$BI162),0)</f>
        <v>0</v>
      </c>
      <c r="BN162" s="5">
        <f>IF($BI162&lt;&gt;"",IF('Capacity summary'!$C$14="Yes",IF(COUNTBLANK('Capacity summary'!$H74:$BG74)&lt;52,IF('Capacity summary'!K74&lt;&gt;"",$BI162*K162,0),K162*$BI162),K162*$BI162),0)</f>
        <v>0</v>
      </c>
      <c r="BO162" s="5">
        <f>IF($BI162&lt;&gt;"",IF('Capacity summary'!$C$14="Yes",IF(COUNTBLANK('Capacity summary'!$H74:$BG74)&lt;52,IF('Capacity summary'!L74&lt;&gt;"",$BI162*L162,0),L162*$BI162),L162*$BI162),0)</f>
        <v>0</v>
      </c>
      <c r="BP162" s="5">
        <f>IF($BI162&lt;&gt;"",IF('Capacity summary'!$C$14="Yes",IF(COUNTBLANK('Capacity summary'!$H74:$BG74)&lt;52,IF('Capacity summary'!M74&lt;&gt;"",$BI162*M162,0),M162*$BI162),M162*$BI162),0)</f>
        <v>0</v>
      </c>
      <c r="BQ162" s="5">
        <f>IF($BI162&lt;&gt;"",IF('Capacity summary'!$C$14="Yes",IF(COUNTBLANK('Capacity summary'!$H74:$BG74)&lt;52,IF('Capacity summary'!N74&lt;&gt;"",$BI162*N162,0),N162*$BI162),N162*$BI162),0)</f>
        <v>0</v>
      </c>
      <c r="BR162" s="5">
        <f>IF($BI162&lt;&gt;"",IF('Capacity summary'!$C$14="Yes",IF(COUNTBLANK('Capacity summary'!$H74:$BG74)&lt;52,IF('Capacity summary'!O74&lt;&gt;"",$BI162*O162,0),O162*$BI162),O162*$BI162),0)</f>
        <v>0</v>
      </c>
      <c r="BS162" s="5">
        <f>IF($BI162&lt;&gt;"",IF('Capacity summary'!$C$14="Yes",IF(COUNTBLANK('Capacity summary'!$H74:$BG74)&lt;52,IF('Capacity summary'!P74&lt;&gt;"",$BI162*P162,0),P162*$BI162),P162*$BI162),0)</f>
        <v>0</v>
      </c>
      <c r="BT162" s="5">
        <f>IF($BI162&lt;&gt;"",IF('Capacity summary'!$C$14="Yes",IF(COUNTBLANK('Capacity summary'!$H74:$BG74)&lt;52,IF('Capacity summary'!Q74&lt;&gt;"",$BI162*Q162,0),Q162*$BI162),Q162*$BI162),0)</f>
        <v>0</v>
      </c>
      <c r="BU162" s="5">
        <f>IF($BI162&lt;&gt;"",IF('Capacity summary'!$C$14="Yes",IF(COUNTBLANK('Capacity summary'!$H74:$BG74)&lt;52,IF('Capacity summary'!R74&lt;&gt;"",$BI162*R162,0),R162*$BI162),R162*$BI162),0)</f>
        <v>0</v>
      </c>
      <c r="BV162" s="5">
        <f>IF($BI162&lt;&gt;"",IF('Capacity summary'!$C$14="Yes",IF(COUNTBLANK('Capacity summary'!$H74:$BG74)&lt;52,IF('Capacity summary'!S74&lt;&gt;"",$BI162*S162,0),S162*$BI162),S162*$BI162),0)</f>
        <v>0</v>
      </c>
      <c r="BW162" s="5">
        <f>IF($BI162&lt;&gt;"",IF('Capacity summary'!$C$14="Yes",IF(COUNTBLANK('Capacity summary'!$H74:$BG74)&lt;52,IF('Capacity summary'!T74&lt;&gt;"",$BI162*T162,0),T162*$BI162),T162*$BI162),0)</f>
        <v>0</v>
      </c>
      <c r="BX162" s="5">
        <f>IF($BI162&lt;&gt;"",IF('Capacity summary'!$C$14="Yes",IF(COUNTBLANK('Capacity summary'!$H74:$BG74)&lt;52,IF('Capacity summary'!U74&lt;&gt;"",$BI162*U162,0),U162*$BI162),U162*$BI162),0)</f>
        <v>0</v>
      </c>
      <c r="BY162" s="5">
        <f>IF($BI162&lt;&gt;"",IF('Capacity summary'!$C$14="Yes",IF(COUNTBLANK('Capacity summary'!$H74:$BG74)&lt;52,IF('Capacity summary'!V74&lt;&gt;"",$BI162*V162,0),V162*$BI162),V162*$BI162),0)</f>
        <v>0</v>
      </c>
      <c r="BZ162" s="5">
        <f>IF($BI162&lt;&gt;"",IF('Capacity summary'!$C$14="Yes",IF(COUNTBLANK('Capacity summary'!$H74:$BG74)&lt;52,IF('Capacity summary'!W74&lt;&gt;"",$BI162*W162,0),W162*$BI162),W162*$BI162),0)</f>
        <v>0</v>
      </c>
      <c r="CA162" s="5">
        <f>IF($BI162&lt;&gt;"",IF('Capacity summary'!$C$14="Yes",IF(COUNTBLANK('Capacity summary'!$H74:$BG74)&lt;52,IF('Capacity summary'!X74&lt;&gt;"",$BI162*X162,0),X162*$BI162),X162*$BI162),0)</f>
        <v>0</v>
      </c>
      <c r="CB162" s="5">
        <f>IF($BI162&lt;&gt;"",IF('Capacity summary'!$C$14="Yes",IF(COUNTBLANK('Capacity summary'!$H74:$BG74)&lt;52,IF('Capacity summary'!Y74&lt;&gt;"",$BI162*Y162,0),Y162*$BI162),Y162*$BI162),0)</f>
        <v>0</v>
      </c>
      <c r="CC162" s="5">
        <f>IF($BI162&lt;&gt;"",IF('Capacity summary'!$C$14="Yes",IF(COUNTBLANK('Capacity summary'!$H74:$BG74)&lt;52,IF('Capacity summary'!Z74&lt;&gt;"",$BI162*Z162,0),Z162*$BI162),Z162*$BI162),0)</f>
        <v>0</v>
      </c>
      <c r="CD162" s="5">
        <f>IF($BI162&lt;&gt;"",IF('Capacity summary'!$C$14="Yes",IF(COUNTBLANK('Capacity summary'!$H74:$BG74)&lt;52,IF('Capacity summary'!AA74&lt;&gt;"",$BI162*AA162,0),AA162*$BI162),AA162*$BI162),0)</f>
        <v>0</v>
      </c>
      <c r="CE162" s="5">
        <f>IF($BI162&lt;&gt;"",IF('Capacity summary'!$C$14="Yes",IF(COUNTBLANK('Capacity summary'!$H74:$BG74)&lt;52,IF('Capacity summary'!AB74&lt;&gt;"",$BI162*AB162,0),AB162*$BI162),AB162*$BI162),0)</f>
        <v>0</v>
      </c>
      <c r="CF162" s="5">
        <f>IF($BI162&lt;&gt;"",IF('Capacity summary'!$C$14="Yes",IF(COUNTBLANK('Capacity summary'!$H74:$BG74)&lt;52,IF('Capacity summary'!AC74&lt;&gt;"",$BI162*AC162,0),AC162*$BI162),AC162*$BI162),0)</f>
        <v>0</v>
      </c>
      <c r="CG162" s="5">
        <f>IF($BI162&lt;&gt;"",IF('Capacity summary'!$C$14="Yes",IF(COUNTBLANK('Capacity summary'!$H74:$BG74)&lt;52,IF('Capacity summary'!AD74&lt;&gt;"",$BI162*AD162,0),AD162*$BI162),AD162*$BI162),0)</f>
        <v>0</v>
      </c>
      <c r="CH162" s="5">
        <f>IF($BI162&lt;&gt;"",IF('Capacity summary'!$C$14="Yes",IF(COUNTBLANK('Capacity summary'!$H74:$BG74)&lt;52,IF('Capacity summary'!AE74&lt;&gt;"",$BI162*AE162,0),AE162*$BI162),AE162*$BI162),0)</f>
        <v>0</v>
      </c>
      <c r="CI162" s="5">
        <f>IF($BI162&lt;&gt;"",IF('Capacity summary'!$C$14="Yes",IF(COUNTBLANK('Capacity summary'!$H74:$BG74)&lt;52,IF('Capacity summary'!AF74&lt;&gt;"",$BI162*AF162,0),AF162*$BI162),AF162*$BI162),0)</f>
        <v>0</v>
      </c>
      <c r="CJ162" s="5">
        <f>IF($BI162&lt;&gt;"",IF('Capacity summary'!$C$14="Yes",IF(COUNTBLANK('Capacity summary'!$H74:$BG74)&lt;52,IF('Capacity summary'!AG74&lt;&gt;"",$BI162*AG162,0),AG162*$BI162),AG162*$BI162),0)</f>
        <v>0</v>
      </c>
      <c r="CK162" s="5">
        <f>IF($BI162&lt;&gt;"",IF('Capacity summary'!$C$14="Yes",IF(COUNTBLANK('Capacity summary'!$H74:$BG74)&lt;52,IF('Capacity summary'!AH74&lt;&gt;"",$BI162*AH162,0),AH162*$BI162),AH162*$BI162),0)</f>
        <v>0</v>
      </c>
      <c r="CL162" s="5">
        <f>IF($BI162&lt;&gt;"",IF('Capacity summary'!$C$14="Yes",IF(COUNTBLANK('Capacity summary'!$H74:$BG74)&lt;52,IF('Capacity summary'!AI74&lt;&gt;"",$BI162*AI162,0),AI162*$BI162),AI162*$BI162),0)</f>
        <v>0</v>
      </c>
      <c r="CM162" s="5">
        <f>IF($BI162&lt;&gt;"",IF('Capacity summary'!$C$14="Yes",IF(COUNTBLANK('Capacity summary'!$H74:$BG74)&lt;52,IF('Capacity summary'!AJ74&lt;&gt;"",$BI162*AJ162,0),AJ162*$BI162),AJ162*$BI162),0)</f>
        <v>0</v>
      </c>
      <c r="CN162" s="5">
        <f>IF($BI162&lt;&gt;"",IF('Capacity summary'!$C$14="Yes",IF(COUNTBLANK('Capacity summary'!$H74:$BG74)&lt;52,IF('Capacity summary'!AK74&lt;&gt;"",$BI162*AK162,0),AK162*$BI162),AK162*$BI162),0)</f>
        <v>0</v>
      </c>
      <c r="CO162" s="5">
        <f>IF($BI162&lt;&gt;"",IF('Capacity summary'!$C$14="Yes",IF(COUNTBLANK('Capacity summary'!$H74:$BG74)&lt;52,IF('Capacity summary'!AL74&lt;&gt;"",$BI162*AL162,0),AL162*$BI162),AL162*$BI162),0)</f>
        <v>0</v>
      </c>
      <c r="CP162" s="5">
        <f>IF($BI162&lt;&gt;"",IF('Capacity summary'!$C$14="Yes",IF(COUNTBLANK('Capacity summary'!$H74:$BG74)&lt;52,IF('Capacity summary'!AM74&lt;&gt;"",$BI162*AM162,0),AM162*$BI162),AM162*$BI162),0)</f>
        <v>0</v>
      </c>
      <c r="CQ162" s="5">
        <f>IF($BI162&lt;&gt;"",IF('Capacity summary'!$C$14="Yes",IF(COUNTBLANK('Capacity summary'!$H74:$BG74)&lt;52,IF('Capacity summary'!AN74&lt;&gt;"",$BI162*AN162,0),AN162*$BI162),AN162*$BI162),0)</f>
        <v>0</v>
      </c>
      <c r="CR162" s="5">
        <f>IF($BI162&lt;&gt;"",IF('Capacity summary'!$C$14="Yes",IF(COUNTBLANK('Capacity summary'!$H74:$BG74)&lt;52,IF('Capacity summary'!AO74&lt;&gt;"",$BI162*AO162,0),AO162*$BI162),AO162*$BI162),0)</f>
        <v>0</v>
      </c>
      <c r="CS162" s="5">
        <f>IF($BI162&lt;&gt;"",IF('Capacity summary'!$C$14="Yes",IF(COUNTBLANK('Capacity summary'!$H74:$BG74)&lt;52,IF('Capacity summary'!AP74&lt;&gt;"",$BI162*AP162,0),AP162*$BI162),AP162*$BI162),0)</f>
        <v>0</v>
      </c>
      <c r="CT162" s="5">
        <f>IF($BI162&lt;&gt;"",IF('Capacity summary'!$C$14="Yes",IF(COUNTBLANK('Capacity summary'!$H74:$BG74)&lt;52,IF('Capacity summary'!AQ74&lt;&gt;"",$BI162*AQ162,0),AQ162*$BI162),AQ162*$BI162),0)</f>
        <v>0</v>
      </c>
      <c r="CU162" s="5">
        <f>IF($BI162&lt;&gt;"",IF('Capacity summary'!$C$14="Yes",IF(COUNTBLANK('Capacity summary'!$H74:$BG74)&lt;52,IF('Capacity summary'!AR74&lt;&gt;"",$BI162*AR162,0),AR162*$BI162),AR162*$BI162),0)</f>
        <v>0</v>
      </c>
      <c r="CV162" s="5">
        <f>IF($BI162&lt;&gt;"",IF('Capacity summary'!$C$14="Yes",IF(COUNTBLANK('Capacity summary'!$H74:$BG74)&lt;52,IF('Capacity summary'!AS74&lt;&gt;"",$BI162*AS162,0),AS162*$BI162),AS162*$BI162),0)</f>
        <v>0</v>
      </c>
      <c r="CW162" s="5">
        <f>IF($BI162&lt;&gt;"",IF('Capacity summary'!$C$14="Yes",IF(COUNTBLANK('Capacity summary'!$H74:$BG74)&lt;52,IF('Capacity summary'!AT74&lt;&gt;"",$BI162*AT162,0),AT162*$BI162),AT162*$BI162),0)</f>
        <v>0</v>
      </c>
      <c r="CX162" s="5">
        <f>IF($BI162&lt;&gt;"",IF('Capacity summary'!$C$14="Yes",IF(COUNTBLANK('Capacity summary'!$H74:$BG74)&lt;52,IF('Capacity summary'!AU74&lt;&gt;"",$BI162*AU162,0),AU162*$BI162),AU162*$BI162),0)</f>
        <v>0</v>
      </c>
      <c r="CY162" s="5">
        <f>IF($BI162&lt;&gt;"",IF('Capacity summary'!$C$14="Yes",IF(COUNTBLANK('Capacity summary'!$H74:$BG74)&lt;52,IF('Capacity summary'!AV74&lt;&gt;"",$BI162*AV162,0),AV162*$BI162),AV162*$BI162),0)</f>
        <v>0</v>
      </c>
      <c r="CZ162" s="5">
        <f>IF($BI162&lt;&gt;"",IF('Capacity summary'!$C$14="Yes",IF(COUNTBLANK('Capacity summary'!$H74:$BG74)&lt;52,IF('Capacity summary'!AW74&lt;&gt;"",$BI162*AW162,0),AW162*$BI162),AW162*$BI162),0)</f>
        <v>0</v>
      </c>
      <c r="DA162" s="5">
        <f>IF($BI162&lt;&gt;"",IF('Capacity summary'!$C$14="Yes",IF(COUNTBLANK('Capacity summary'!$H74:$BG74)&lt;52,IF('Capacity summary'!AX74&lt;&gt;"",$BI162*AX162,0),AX162*$BI162),AX162*$BI162),0)</f>
        <v>0</v>
      </c>
      <c r="DB162" s="5">
        <f>IF($BI162&lt;&gt;"",IF('Capacity summary'!$C$14="Yes",IF(COUNTBLANK('Capacity summary'!$H74:$BG74)&lt;52,IF('Capacity summary'!AY74&lt;&gt;"",$BI162*AY162,0),AY162*$BI162),AY162*$BI162),0)</f>
        <v>0</v>
      </c>
      <c r="DC162" s="5">
        <f>IF($BI162&lt;&gt;"",IF('Capacity summary'!$C$14="Yes",IF(COUNTBLANK('Capacity summary'!$H74:$BG74)&lt;52,IF('Capacity summary'!AZ74&lt;&gt;"",$BI162*AZ162,0),AZ162*$BI162),AZ162*$BI162),0)</f>
        <v>0</v>
      </c>
      <c r="DD162" s="5">
        <f>IF($BI162&lt;&gt;"",IF('Capacity summary'!$C$14="Yes",IF(COUNTBLANK('Capacity summary'!$H74:$BG74)&lt;52,IF('Capacity summary'!BA74&lt;&gt;"",$BI162*BA162,0),BA162*$BI162),BA162*$BI162),0)</f>
        <v>0</v>
      </c>
      <c r="DE162" s="5">
        <f>IF($BI162&lt;&gt;"",IF('Capacity summary'!$C$14="Yes",IF(COUNTBLANK('Capacity summary'!$H74:$BG74)&lt;52,IF('Capacity summary'!BB74&lt;&gt;"",$BI162*BB162,0),BB162*$BI162),BB162*$BI162),0)</f>
        <v>0</v>
      </c>
      <c r="DF162" s="5">
        <f>IF($BI162&lt;&gt;"",IF('Capacity summary'!$C$14="Yes",IF(COUNTBLANK('Capacity summary'!$H74:$BG74)&lt;52,IF('Capacity summary'!BC74&lt;&gt;"",$BI162*BC162,0),BC162*$BI162),BC162*$BI162),0)</f>
        <v>0</v>
      </c>
      <c r="DG162" s="5">
        <f>IF($BI162&lt;&gt;"",IF('Capacity summary'!$C$14="Yes",IF(COUNTBLANK('Capacity summary'!$H74:$BG74)&lt;52,IF('Capacity summary'!BD74&lt;&gt;"",$BI162*BD162,0),BD162*$BI162),BD162*$BI162),0)</f>
        <v>0</v>
      </c>
      <c r="DH162" s="5">
        <f>IF($BI162&lt;&gt;"",IF('Capacity summary'!$C$14="Yes",IF(COUNTBLANK('Capacity summary'!$H74:$BG74)&lt;52,IF('Capacity summary'!BE74&lt;&gt;"",$BI162*BE162,0),BE162*$BI162),BE162*$BI162),0)</f>
        <v>0</v>
      </c>
      <c r="DI162" s="5">
        <f>IF($BI162&lt;&gt;"",IF('Capacity summary'!$C$14="Yes",IF(COUNTBLANK('Capacity summary'!$H74:$BG74)&lt;52,IF('Capacity summary'!BF74&lt;&gt;"",$BI162*BF162,0),BF162*$BI162),BF162*$BI162),0)</f>
        <v>0</v>
      </c>
      <c r="DJ162" s="5">
        <f>IF($BI162&lt;&gt;"",IF('Capacity summary'!$C$14="Yes",IF(COUNTBLANK('Capacity summary'!$H74:$BG74)&lt;52,IF('Capacity summary'!BG74&lt;&gt;"",$BI162*BG162,0),BG162*$BI162),BG162*$BI162),0)</f>
        <v>0</v>
      </c>
      <c r="DK162" s="138">
        <f t="shared" si="6"/>
        <v>0</v>
      </c>
    </row>
    <row r="163" spans="3:115" x14ac:dyDescent="0.2">
      <c r="C163" s="68" t="str">
        <f>ROW(A52)&amp;". "&amp;Capacity!N68</f>
        <v xml:space="preserve">52. </v>
      </c>
      <c r="D163" s="68">
        <f>'Capacity setup'!C169</f>
        <v>0</v>
      </c>
      <c r="E163" s="68">
        <f>'Capacity setup'!D169</f>
        <v>0</v>
      </c>
      <c r="F163" s="68">
        <f>'Capacity setup'!E169</f>
        <v>0</v>
      </c>
      <c r="H163" s="68">
        <f ca="1">IF(AND(SUMIF(Capacity_Resource,$D163,'Critical resources (hide)'!U$6:U$105)+SUMIF(Capacity_Resource,$E163,'Critical resources (hide)'!U$6:U$105)+SUMIF(Capacity_Resource,$F163,'Critical resources (hide)'!U$6:U$105)&gt;0,$E$1=2),0,1)</f>
        <v>1</v>
      </c>
      <c r="I163" s="68">
        <f ca="1">IF(AND(SUMIF(Capacity_Resource,$D163,'Critical resources (hide)'!V$6:V$105)+SUMIF(Capacity_Resource,$E163,'Critical resources (hide)'!V$6:V$105)+SUMIF(Capacity_Resource,$F163,'Critical resources (hide)'!V$6:V$105)&gt;0,$E$1=2),0,1)</f>
        <v>1</v>
      </c>
      <c r="J163" s="68">
        <f ca="1">IF(AND(SUMIF(Capacity_Resource,$D163,'Critical resources (hide)'!W$6:W$105)+SUMIF(Capacity_Resource,$E163,'Critical resources (hide)'!W$6:W$105)+SUMIF(Capacity_Resource,$F163,'Critical resources (hide)'!W$6:W$105)&gt;0,$E$1=2),0,1)</f>
        <v>1</v>
      </c>
      <c r="K163" s="68">
        <f ca="1">IF(AND(SUMIF(Capacity_Resource,$D163,'Critical resources (hide)'!X$6:X$105)+SUMIF(Capacity_Resource,$E163,'Critical resources (hide)'!X$6:X$105)+SUMIF(Capacity_Resource,$F163,'Critical resources (hide)'!X$6:X$105)&gt;0,$E$1=2),0,1)</f>
        <v>1</v>
      </c>
      <c r="L163" s="68">
        <f ca="1">IF(AND(SUMIF(Capacity_Resource,$D163,'Critical resources (hide)'!Y$6:Y$105)+SUMIF(Capacity_Resource,$E163,'Critical resources (hide)'!Y$6:Y$105)+SUMIF(Capacity_Resource,$F163,'Critical resources (hide)'!Y$6:Y$105)&gt;0,$E$1=2),0,1)</f>
        <v>1</v>
      </c>
      <c r="M163" s="68">
        <f ca="1">IF(AND(SUMIF(Capacity_Resource,$D163,'Critical resources (hide)'!Z$6:Z$105)+SUMIF(Capacity_Resource,$E163,'Critical resources (hide)'!Z$6:Z$105)+SUMIF(Capacity_Resource,$F163,'Critical resources (hide)'!Z$6:Z$105)&gt;0,$E$1=2),0,1)</f>
        <v>1</v>
      </c>
      <c r="N163" s="68">
        <f ca="1">IF(AND(SUMIF(Capacity_Resource,$D163,'Critical resources (hide)'!AA$6:AA$105)+SUMIF(Capacity_Resource,$E163,'Critical resources (hide)'!AA$6:AA$105)+SUMIF(Capacity_Resource,$F163,'Critical resources (hide)'!AA$6:AA$105)&gt;0,$E$1=2),0,1)</f>
        <v>1</v>
      </c>
      <c r="O163" s="68">
        <f ca="1">IF(AND(SUMIF(Capacity_Resource,$D163,'Critical resources (hide)'!AB$6:AB$105)+SUMIF(Capacity_Resource,$E163,'Critical resources (hide)'!AB$6:AB$105)+SUMIF(Capacity_Resource,$F163,'Critical resources (hide)'!AB$6:AB$105)&gt;0,$E$1=2),0,1)</f>
        <v>1</v>
      </c>
      <c r="P163" s="68">
        <f ca="1">IF(AND(SUMIF(Capacity_Resource,$D163,'Critical resources (hide)'!AC$6:AC$105)+SUMIF(Capacity_Resource,$E163,'Critical resources (hide)'!AC$6:AC$105)+SUMIF(Capacity_Resource,$F163,'Critical resources (hide)'!AC$6:AC$105)&gt;0,$E$1=2),0,1)</f>
        <v>1</v>
      </c>
      <c r="Q163" s="68">
        <f ca="1">IF(AND(SUMIF(Capacity_Resource,$D163,'Critical resources (hide)'!AD$6:AD$105)+SUMIF(Capacity_Resource,$E163,'Critical resources (hide)'!AD$6:AD$105)+SUMIF(Capacity_Resource,$F163,'Critical resources (hide)'!AD$6:AD$105)&gt;0,$E$1=2),0,1)</f>
        <v>1</v>
      </c>
      <c r="R163" s="68">
        <f ca="1">IF(AND(SUMIF(Capacity_Resource,$D163,'Critical resources (hide)'!AE$6:AE$105)+SUMIF(Capacity_Resource,$E163,'Critical resources (hide)'!AE$6:AE$105)+SUMIF(Capacity_Resource,$F163,'Critical resources (hide)'!AE$6:AE$105)&gt;0,$E$1=2),0,1)</f>
        <v>1</v>
      </c>
      <c r="S163" s="68">
        <f ca="1">IF(AND(SUMIF(Capacity_Resource,$D163,'Critical resources (hide)'!AF$6:AF$105)+SUMIF(Capacity_Resource,$E163,'Critical resources (hide)'!AF$6:AF$105)+SUMIF(Capacity_Resource,$F163,'Critical resources (hide)'!AF$6:AF$105)&gt;0,$E$1=2),0,1)</f>
        <v>1</v>
      </c>
      <c r="T163" s="68">
        <f ca="1">IF(AND(SUMIF(Capacity_Resource,$D163,'Critical resources (hide)'!AG$6:AG$105)+SUMIF(Capacity_Resource,$E163,'Critical resources (hide)'!AG$6:AG$105)+SUMIF(Capacity_Resource,$F163,'Critical resources (hide)'!AG$6:AG$105)&gt;0,$E$1=2),0,1)</f>
        <v>1</v>
      </c>
      <c r="U163" s="68">
        <f ca="1">IF(AND(SUMIF(Capacity_Resource,$D163,'Critical resources (hide)'!AH$6:AH$105)+SUMIF(Capacity_Resource,$E163,'Critical resources (hide)'!AH$6:AH$105)+SUMIF(Capacity_Resource,$F163,'Critical resources (hide)'!AH$6:AH$105)&gt;0,$E$1=2),0,1)</f>
        <v>1</v>
      </c>
      <c r="V163" s="68">
        <f ca="1">IF(AND(SUMIF(Capacity_Resource,$D163,'Critical resources (hide)'!AI$6:AI$105)+SUMIF(Capacity_Resource,$E163,'Critical resources (hide)'!AI$6:AI$105)+SUMIF(Capacity_Resource,$F163,'Critical resources (hide)'!AI$6:AI$105)&gt;0,$E$1=2),0,1)</f>
        <v>1</v>
      </c>
      <c r="W163" s="68">
        <f ca="1">IF(AND(SUMIF(Capacity_Resource,$D163,'Critical resources (hide)'!AJ$6:AJ$105)+SUMIF(Capacity_Resource,$E163,'Critical resources (hide)'!AJ$6:AJ$105)+SUMIF(Capacity_Resource,$F163,'Critical resources (hide)'!AJ$6:AJ$105)&gt;0,$E$1=2),0,1)</f>
        <v>1</v>
      </c>
      <c r="X163" s="68">
        <f ca="1">IF(AND(SUMIF(Capacity_Resource,$D163,'Critical resources (hide)'!AK$6:AK$105)+SUMIF(Capacity_Resource,$E163,'Critical resources (hide)'!AK$6:AK$105)+SUMIF(Capacity_Resource,$F163,'Critical resources (hide)'!AK$6:AK$105)&gt;0,$E$1=2),0,1)</f>
        <v>1</v>
      </c>
      <c r="Y163" s="68">
        <f ca="1">IF(AND(SUMIF(Capacity_Resource,$D163,'Critical resources (hide)'!AL$6:AL$105)+SUMIF(Capacity_Resource,$E163,'Critical resources (hide)'!AL$6:AL$105)+SUMIF(Capacity_Resource,$F163,'Critical resources (hide)'!AL$6:AL$105)&gt;0,$E$1=2),0,1)</f>
        <v>1</v>
      </c>
      <c r="Z163" s="68">
        <f ca="1">IF(AND(SUMIF(Capacity_Resource,$D163,'Critical resources (hide)'!AM$6:AM$105)+SUMIF(Capacity_Resource,$E163,'Critical resources (hide)'!AM$6:AM$105)+SUMIF(Capacity_Resource,$F163,'Critical resources (hide)'!AM$6:AM$105)&gt;0,$E$1=2),0,1)</f>
        <v>1</v>
      </c>
      <c r="AA163" s="68">
        <f ca="1">IF(AND(SUMIF(Capacity_Resource,$D163,'Critical resources (hide)'!AN$6:AN$105)+SUMIF(Capacity_Resource,$E163,'Critical resources (hide)'!AN$6:AN$105)+SUMIF(Capacity_Resource,$F163,'Critical resources (hide)'!AN$6:AN$105)&gt;0,$E$1=2),0,1)</f>
        <v>1</v>
      </c>
      <c r="AB163" s="68">
        <f ca="1">IF(AND(SUMIF(Capacity_Resource,$D163,'Critical resources (hide)'!AO$6:AO$105)+SUMIF(Capacity_Resource,$E163,'Critical resources (hide)'!AO$6:AO$105)+SUMIF(Capacity_Resource,$F163,'Critical resources (hide)'!AO$6:AO$105)&gt;0,$E$1=2),0,1)</f>
        <v>1</v>
      </c>
      <c r="AC163" s="68">
        <f ca="1">IF(AND(SUMIF(Capacity_Resource,$D163,'Critical resources (hide)'!AP$6:AP$105)+SUMIF(Capacity_Resource,$E163,'Critical resources (hide)'!AP$6:AP$105)+SUMIF(Capacity_Resource,$F163,'Critical resources (hide)'!AP$6:AP$105)&gt;0,$E$1=2),0,1)</f>
        <v>1</v>
      </c>
      <c r="AD163" s="68">
        <f ca="1">IF(AND(SUMIF(Capacity_Resource,$D163,'Critical resources (hide)'!AQ$6:AQ$105)+SUMIF(Capacity_Resource,$E163,'Critical resources (hide)'!AQ$6:AQ$105)+SUMIF(Capacity_Resource,$F163,'Critical resources (hide)'!AQ$6:AQ$105)&gt;0,$E$1=2),0,1)</f>
        <v>1</v>
      </c>
      <c r="AE163" s="68">
        <f ca="1">IF(AND(SUMIF(Capacity_Resource,$D163,'Critical resources (hide)'!AR$6:AR$105)+SUMIF(Capacity_Resource,$E163,'Critical resources (hide)'!AR$6:AR$105)+SUMIF(Capacity_Resource,$F163,'Critical resources (hide)'!AR$6:AR$105)&gt;0,$E$1=2),0,1)</f>
        <v>1</v>
      </c>
      <c r="AF163" s="68">
        <f ca="1">IF(AND(SUMIF(Capacity_Resource,$D163,'Critical resources (hide)'!AS$6:AS$105)+SUMIF(Capacity_Resource,$E163,'Critical resources (hide)'!AS$6:AS$105)+SUMIF(Capacity_Resource,$F163,'Critical resources (hide)'!AS$6:AS$105)&gt;0,$E$1=2),0,1)</f>
        <v>1</v>
      </c>
      <c r="AG163" s="68">
        <f ca="1">IF(AND(SUMIF(Capacity_Resource,$D163,'Critical resources (hide)'!AT$6:AT$105)+SUMIF(Capacity_Resource,$E163,'Critical resources (hide)'!AT$6:AT$105)+SUMIF(Capacity_Resource,$F163,'Critical resources (hide)'!AT$6:AT$105)&gt;0,$E$1=2),0,1)</f>
        <v>1</v>
      </c>
      <c r="AH163" s="68">
        <f ca="1">IF(AND(SUMIF(Capacity_Resource,$D163,'Critical resources (hide)'!AU$6:AU$105)+SUMIF(Capacity_Resource,$E163,'Critical resources (hide)'!AU$6:AU$105)+SUMIF(Capacity_Resource,$F163,'Critical resources (hide)'!AU$6:AU$105)&gt;0,$E$1=2),0,1)</f>
        <v>1</v>
      </c>
      <c r="AI163" s="68">
        <f ca="1">IF(AND(SUMIF(Capacity_Resource,$D163,'Critical resources (hide)'!AV$6:AV$105)+SUMIF(Capacity_Resource,$E163,'Critical resources (hide)'!AV$6:AV$105)+SUMIF(Capacity_Resource,$F163,'Critical resources (hide)'!AV$6:AV$105)&gt;0,$E$1=2),0,1)</f>
        <v>1</v>
      </c>
      <c r="AJ163" s="68">
        <f ca="1">IF(AND(SUMIF(Capacity_Resource,$D163,'Critical resources (hide)'!AW$6:AW$105)+SUMIF(Capacity_Resource,$E163,'Critical resources (hide)'!AW$6:AW$105)+SUMIF(Capacity_Resource,$F163,'Critical resources (hide)'!AW$6:AW$105)&gt;0,$E$1=2),0,1)</f>
        <v>1</v>
      </c>
      <c r="AK163" s="68">
        <f ca="1">IF(AND(SUMIF(Capacity_Resource,$D163,'Critical resources (hide)'!AX$6:AX$105)+SUMIF(Capacity_Resource,$E163,'Critical resources (hide)'!AX$6:AX$105)+SUMIF(Capacity_Resource,$F163,'Critical resources (hide)'!AX$6:AX$105)&gt;0,$E$1=2),0,1)</f>
        <v>1</v>
      </c>
      <c r="AL163" s="68">
        <f ca="1">IF(AND(SUMIF(Capacity_Resource,$D163,'Critical resources (hide)'!AY$6:AY$105)+SUMIF(Capacity_Resource,$E163,'Critical resources (hide)'!AY$6:AY$105)+SUMIF(Capacity_Resource,$F163,'Critical resources (hide)'!AY$6:AY$105)&gt;0,$E$1=2),0,1)</f>
        <v>1</v>
      </c>
      <c r="AM163" s="68">
        <f ca="1">IF(AND(SUMIF(Capacity_Resource,$D163,'Critical resources (hide)'!AZ$6:AZ$105)+SUMIF(Capacity_Resource,$E163,'Critical resources (hide)'!AZ$6:AZ$105)+SUMIF(Capacity_Resource,$F163,'Critical resources (hide)'!AZ$6:AZ$105)&gt;0,$E$1=2),0,1)</f>
        <v>1</v>
      </c>
      <c r="AN163" s="68">
        <f ca="1">IF(AND(SUMIF(Capacity_Resource,$D163,'Critical resources (hide)'!BA$6:BA$105)+SUMIF(Capacity_Resource,$E163,'Critical resources (hide)'!BA$6:BA$105)+SUMIF(Capacity_Resource,$F163,'Critical resources (hide)'!BA$6:BA$105)&gt;0,$E$1=2),0,1)</f>
        <v>1</v>
      </c>
      <c r="AO163" s="68">
        <f ca="1">IF(AND(SUMIF(Capacity_Resource,$D163,'Critical resources (hide)'!BB$6:BB$105)+SUMIF(Capacity_Resource,$E163,'Critical resources (hide)'!BB$6:BB$105)+SUMIF(Capacity_Resource,$F163,'Critical resources (hide)'!BB$6:BB$105)&gt;0,$E$1=2),0,1)</f>
        <v>1</v>
      </c>
      <c r="AP163" s="68">
        <f ca="1">IF(AND(SUMIF(Capacity_Resource,$D163,'Critical resources (hide)'!BC$6:BC$105)+SUMIF(Capacity_Resource,$E163,'Critical resources (hide)'!BC$6:BC$105)+SUMIF(Capacity_Resource,$F163,'Critical resources (hide)'!BC$6:BC$105)&gt;0,$E$1=2),0,1)</f>
        <v>1</v>
      </c>
      <c r="AQ163" s="68">
        <f ca="1">IF(AND(SUMIF(Capacity_Resource,$D163,'Critical resources (hide)'!BD$6:BD$105)+SUMIF(Capacity_Resource,$E163,'Critical resources (hide)'!BD$6:BD$105)+SUMIF(Capacity_Resource,$F163,'Critical resources (hide)'!BD$6:BD$105)&gt;0,$E$1=2),0,1)</f>
        <v>1</v>
      </c>
      <c r="AR163" s="68">
        <f ca="1">IF(AND(SUMIF(Capacity_Resource,$D163,'Critical resources (hide)'!BE$6:BE$105)+SUMIF(Capacity_Resource,$E163,'Critical resources (hide)'!BE$6:BE$105)+SUMIF(Capacity_Resource,$F163,'Critical resources (hide)'!BE$6:BE$105)&gt;0,$E$1=2),0,1)</f>
        <v>1</v>
      </c>
      <c r="AS163" s="68">
        <f ca="1">IF(AND(SUMIF(Capacity_Resource,$D163,'Critical resources (hide)'!BF$6:BF$105)+SUMIF(Capacity_Resource,$E163,'Critical resources (hide)'!BF$6:BF$105)+SUMIF(Capacity_Resource,$F163,'Critical resources (hide)'!BF$6:BF$105)&gt;0,$E$1=2),0,1)</f>
        <v>1</v>
      </c>
      <c r="AT163" s="68">
        <f ca="1">IF(AND(SUMIF(Capacity_Resource,$D163,'Critical resources (hide)'!BG$6:BG$105)+SUMIF(Capacity_Resource,$E163,'Critical resources (hide)'!BG$6:BG$105)+SUMIF(Capacity_Resource,$F163,'Critical resources (hide)'!BG$6:BG$105)&gt;0,$E$1=2),0,1)</f>
        <v>1</v>
      </c>
      <c r="AU163" s="68">
        <f ca="1">IF(AND(SUMIF(Capacity_Resource,$D163,'Critical resources (hide)'!BH$6:BH$105)+SUMIF(Capacity_Resource,$E163,'Critical resources (hide)'!BH$6:BH$105)+SUMIF(Capacity_Resource,$F163,'Critical resources (hide)'!BH$6:BH$105)&gt;0,$E$1=2),0,1)</f>
        <v>1</v>
      </c>
      <c r="AV163" s="68">
        <f ca="1">IF(AND(SUMIF(Capacity_Resource,$D163,'Critical resources (hide)'!BI$6:BI$105)+SUMIF(Capacity_Resource,$E163,'Critical resources (hide)'!BI$6:BI$105)+SUMIF(Capacity_Resource,$F163,'Critical resources (hide)'!BI$6:BI$105)&gt;0,$E$1=2),0,1)</f>
        <v>1</v>
      </c>
      <c r="AW163" s="68">
        <f ca="1">IF(AND(SUMIF(Capacity_Resource,$D163,'Critical resources (hide)'!BJ$6:BJ$105)+SUMIF(Capacity_Resource,$E163,'Critical resources (hide)'!BJ$6:BJ$105)+SUMIF(Capacity_Resource,$F163,'Critical resources (hide)'!BJ$6:BJ$105)&gt;0,$E$1=2),0,1)</f>
        <v>1</v>
      </c>
      <c r="AX163" s="68">
        <f ca="1">IF(AND(SUMIF(Capacity_Resource,$D163,'Critical resources (hide)'!BK$6:BK$105)+SUMIF(Capacity_Resource,$E163,'Critical resources (hide)'!BK$6:BK$105)+SUMIF(Capacity_Resource,$F163,'Critical resources (hide)'!BK$6:BK$105)&gt;0,$E$1=2),0,1)</f>
        <v>1</v>
      </c>
      <c r="AY163" s="68">
        <f ca="1">IF(AND(SUMIF(Capacity_Resource,$D163,'Critical resources (hide)'!BL$6:BL$105)+SUMIF(Capacity_Resource,$E163,'Critical resources (hide)'!BL$6:BL$105)+SUMIF(Capacity_Resource,$F163,'Critical resources (hide)'!BL$6:BL$105)&gt;0,$E$1=2),0,1)</f>
        <v>1</v>
      </c>
      <c r="AZ163" s="68">
        <f ca="1">IF(AND(SUMIF(Capacity_Resource,$D163,'Critical resources (hide)'!BM$6:BM$105)+SUMIF(Capacity_Resource,$E163,'Critical resources (hide)'!BM$6:BM$105)+SUMIF(Capacity_Resource,$F163,'Critical resources (hide)'!BM$6:BM$105)&gt;0,$E$1=2),0,1)</f>
        <v>1</v>
      </c>
      <c r="BA163" s="68">
        <f ca="1">IF(AND(SUMIF(Capacity_Resource,$D163,'Critical resources (hide)'!BN$6:BN$105)+SUMIF(Capacity_Resource,$E163,'Critical resources (hide)'!BN$6:BN$105)+SUMIF(Capacity_Resource,$F163,'Critical resources (hide)'!BN$6:BN$105)&gt;0,$E$1=2),0,1)</f>
        <v>1</v>
      </c>
      <c r="BB163" s="68">
        <f ca="1">IF(AND(SUMIF(Capacity_Resource,$D163,'Critical resources (hide)'!BO$6:BO$105)+SUMIF(Capacity_Resource,$E163,'Critical resources (hide)'!BO$6:BO$105)+SUMIF(Capacity_Resource,$F163,'Critical resources (hide)'!BO$6:BO$105)&gt;0,$E$1=2),0,1)</f>
        <v>1</v>
      </c>
      <c r="BC163" s="68">
        <f ca="1">IF(AND(SUMIF(Capacity_Resource,$D163,'Critical resources (hide)'!BP$6:BP$105)+SUMIF(Capacity_Resource,$E163,'Critical resources (hide)'!BP$6:BP$105)+SUMIF(Capacity_Resource,$F163,'Critical resources (hide)'!BP$6:BP$105)&gt;0,$E$1=2),0,1)</f>
        <v>1</v>
      </c>
      <c r="BD163" s="68">
        <f ca="1">IF(AND(SUMIF(Capacity_Resource,$D163,'Critical resources (hide)'!BQ$6:BQ$105)+SUMIF(Capacity_Resource,$E163,'Critical resources (hide)'!BQ$6:BQ$105)+SUMIF(Capacity_Resource,$F163,'Critical resources (hide)'!BQ$6:BQ$105)&gt;0,$E$1=2),0,1)</f>
        <v>1</v>
      </c>
      <c r="BE163" s="68">
        <f ca="1">IF(AND(SUMIF(Capacity_Resource,$D163,'Critical resources (hide)'!BR$6:BR$105)+SUMIF(Capacity_Resource,$E163,'Critical resources (hide)'!BR$6:BR$105)+SUMIF(Capacity_Resource,$F163,'Critical resources (hide)'!BR$6:BR$105)&gt;0,$E$1=2),0,1)</f>
        <v>1</v>
      </c>
      <c r="BF163" s="68">
        <f ca="1">IF(AND(SUMIF(Capacity_Resource,$D163,'Critical resources (hide)'!BS$6:BS$105)+SUMIF(Capacity_Resource,$E163,'Critical resources (hide)'!BS$6:BS$105)+SUMIF(Capacity_Resource,$F163,'Critical resources (hide)'!BS$6:BS$105)&gt;0,$E$1=2),0,1)</f>
        <v>1</v>
      </c>
      <c r="BG163" s="68">
        <f ca="1">IF(AND(SUMIF(Capacity_Resource,$D163,'Critical resources (hide)'!BT$6:BT$105)+SUMIF(Capacity_Resource,$E163,'Critical resources (hide)'!BT$6:BT$105)+SUMIF(Capacity_Resource,$F163,'Critical resources (hide)'!BT$6:BT$105)&gt;0,$E$1=2),0,1)</f>
        <v>1</v>
      </c>
      <c r="BH163" s="68">
        <f>IF(ROW(A52)&lt;=Capacity!$M$16,IF('Capacity summary'!$C$14="No",SUM(H163:BG163),'Capacity summary'!$E75),0)</f>
        <v>0</v>
      </c>
      <c r="BI163" s="68" t="str">
        <f>IF(BH163&gt;0,IF(BH163&lt;Capacity!Q68,Capacity!R68,Capacity!T68/'Capacity calculation (hide)'!BH163),"")</f>
        <v/>
      </c>
      <c r="BJ163" s="5"/>
      <c r="BK163" s="5">
        <f>IF($BI163&lt;&gt;"",IF('Capacity summary'!$C$14="Yes",IF(COUNTBLANK('Capacity summary'!$H75:$BG75)&lt;52,IF('Capacity summary'!H75&lt;&gt;"",$BI163*H163,0),H163*$BI163),H163*$BI163),0)</f>
        <v>0</v>
      </c>
      <c r="BL163" s="5">
        <f>IF($BI163&lt;&gt;"",IF('Capacity summary'!$C$14="Yes",IF(COUNTBLANK('Capacity summary'!$H75:$BG75)&lt;52,IF('Capacity summary'!I75&lt;&gt;"",$BI163*I163,0),I163*$BI163),I163*$BI163),0)</f>
        <v>0</v>
      </c>
      <c r="BM163" s="5">
        <f>IF($BI163&lt;&gt;"",IF('Capacity summary'!$C$14="Yes",IF(COUNTBLANK('Capacity summary'!$H75:$BG75)&lt;52,IF('Capacity summary'!J75&lt;&gt;"",$BI163*J163,0),J163*$BI163),J163*$BI163),0)</f>
        <v>0</v>
      </c>
      <c r="BN163" s="5">
        <f>IF($BI163&lt;&gt;"",IF('Capacity summary'!$C$14="Yes",IF(COUNTBLANK('Capacity summary'!$H75:$BG75)&lt;52,IF('Capacity summary'!K75&lt;&gt;"",$BI163*K163,0),K163*$BI163),K163*$BI163),0)</f>
        <v>0</v>
      </c>
      <c r="BO163" s="5">
        <f>IF($BI163&lt;&gt;"",IF('Capacity summary'!$C$14="Yes",IF(COUNTBLANK('Capacity summary'!$H75:$BG75)&lt;52,IF('Capacity summary'!L75&lt;&gt;"",$BI163*L163,0),L163*$BI163),L163*$BI163),0)</f>
        <v>0</v>
      </c>
      <c r="BP163" s="5">
        <f>IF($BI163&lt;&gt;"",IF('Capacity summary'!$C$14="Yes",IF(COUNTBLANK('Capacity summary'!$H75:$BG75)&lt;52,IF('Capacity summary'!M75&lt;&gt;"",$BI163*M163,0),M163*$BI163),M163*$BI163),0)</f>
        <v>0</v>
      </c>
      <c r="BQ163" s="5">
        <f>IF($BI163&lt;&gt;"",IF('Capacity summary'!$C$14="Yes",IF(COUNTBLANK('Capacity summary'!$H75:$BG75)&lt;52,IF('Capacity summary'!N75&lt;&gt;"",$BI163*N163,0),N163*$BI163),N163*$BI163),0)</f>
        <v>0</v>
      </c>
      <c r="BR163" s="5">
        <f>IF($BI163&lt;&gt;"",IF('Capacity summary'!$C$14="Yes",IF(COUNTBLANK('Capacity summary'!$H75:$BG75)&lt;52,IF('Capacity summary'!O75&lt;&gt;"",$BI163*O163,0),O163*$BI163),O163*$BI163),0)</f>
        <v>0</v>
      </c>
      <c r="BS163" s="5">
        <f>IF($BI163&lt;&gt;"",IF('Capacity summary'!$C$14="Yes",IF(COUNTBLANK('Capacity summary'!$H75:$BG75)&lt;52,IF('Capacity summary'!P75&lt;&gt;"",$BI163*P163,0),P163*$BI163),P163*$BI163),0)</f>
        <v>0</v>
      </c>
      <c r="BT163" s="5">
        <f>IF($BI163&lt;&gt;"",IF('Capacity summary'!$C$14="Yes",IF(COUNTBLANK('Capacity summary'!$H75:$BG75)&lt;52,IF('Capacity summary'!Q75&lt;&gt;"",$BI163*Q163,0),Q163*$BI163),Q163*$BI163),0)</f>
        <v>0</v>
      </c>
      <c r="BU163" s="5">
        <f>IF($BI163&lt;&gt;"",IF('Capacity summary'!$C$14="Yes",IF(COUNTBLANK('Capacity summary'!$H75:$BG75)&lt;52,IF('Capacity summary'!R75&lt;&gt;"",$BI163*R163,0),R163*$BI163),R163*$BI163),0)</f>
        <v>0</v>
      </c>
      <c r="BV163" s="5">
        <f>IF($BI163&lt;&gt;"",IF('Capacity summary'!$C$14="Yes",IF(COUNTBLANK('Capacity summary'!$H75:$BG75)&lt;52,IF('Capacity summary'!S75&lt;&gt;"",$BI163*S163,0),S163*$BI163),S163*$BI163),0)</f>
        <v>0</v>
      </c>
      <c r="BW163" s="5">
        <f>IF($BI163&lt;&gt;"",IF('Capacity summary'!$C$14="Yes",IF(COUNTBLANK('Capacity summary'!$H75:$BG75)&lt;52,IF('Capacity summary'!T75&lt;&gt;"",$BI163*T163,0),T163*$BI163),T163*$BI163),0)</f>
        <v>0</v>
      </c>
      <c r="BX163" s="5">
        <f>IF($BI163&lt;&gt;"",IF('Capacity summary'!$C$14="Yes",IF(COUNTBLANK('Capacity summary'!$H75:$BG75)&lt;52,IF('Capacity summary'!U75&lt;&gt;"",$BI163*U163,0),U163*$BI163),U163*$BI163),0)</f>
        <v>0</v>
      </c>
      <c r="BY163" s="5">
        <f>IF($BI163&lt;&gt;"",IF('Capacity summary'!$C$14="Yes",IF(COUNTBLANK('Capacity summary'!$H75:$BG75)&lt;52,IF('Capacity summary'!V75&lt;&gt;"",$BI163*V163,0),V163*$BI163),V163*$BI163),0)</f>
        <v>0</v>
      </c>
      <c r="BZ163" s="5">
        <f>IF($BI163&lt;&gt;"",IF('Capacity summary'!$C$14="Yes",IF(COUNTBLANK('Capacity summary'!$H75:$BG75)&lt;52,IF('Capacity summary'!W75&lt;&gt;"",$BI163*W163,0),W163*$BI163),W163*$BI163),0)</f>
        <v>0</v>
      </c>
      <c r="CA163" s="5">
        <f>IF($BI163&lt;&gt;"",IF('Capacity summary'!$C$14="Yes",IF(COUNTBLANK('Capacity summary'!$H75:$BG75)&lt;52,IF('Capacity summary'!X75&lt;&gt;"",$BI163*X163,0),X163*$BI163),X163*$BI163),0)</f>
        <v>0</v>
      </c>
      <c r="CB163" s="5">
        <f>IF($BI163&lt;&gt;"",IF('Capacity summary'!$C$14="Yes",IF(COUNTBLANK('Capacity summary'!$H75:$BG75)&lt;52,IF('Capacity summary'!Y75&lt;&gt;"",$BI163*Y163,0),Y163*$BI163),Y163*$BI163),0)</f>
        <v>0</v>
      </c>
      <c r="CC163" s="5">
        <f>IF($BI163&lt;&gt;"",IF('Capacity summary'!$C$14="Yes",IF(COUNTBLANK('Capacity summary'!$H75:$BG75)&lt;52,IF('Capacity summary'!Z75&lt;&gt;"",$BI163*Z163,0),Z163*$BI163),Z163*$BI163),0)</f>
        <v>0</v>
      </c>
      <c r="CD163" s="5">
        <f>IF($BI163&lt;&gt;"",IF('Capacity summary'!$C$14="Yes",IF(COUNTBLANK('Capacity summary'!$H75:$BG75)&lt;52,IF('Capacity summary'!AA75&lt;&gt;"",$BI163*AA163,0),AA163*$BI163),AA163*$BI163),0)</f>
        <v>0</v>
      </c>
      <c r="CE163" s="5">
        <f>IF($BI163&lt;&gt;"",IF('Capacity summary'!$C$14="Yes",IF(COUNTBLANK('Capacity summary'!$H75:$BG75)&lt;52,IF('Capacity summary'!AB75&lt;&gt;"",$BI163*AB163,0),AB163*$BI163),AB163*$BI163),0)</f>
        <v>0</v>
      </c>
      <c r="CF163" s="5">
        <f>IF($BI163&lt;&gt;"",IF('Capacity summary'!$C$14="Yes",IF(COUNTBLANK('Capacity summary'!$H75:$BG75)&lt;52,IF('Capacity summary'!AC75&lt;&gt;"",$BI163*AC163,0),AC163*$BI163),AC163*$BI163),0)</f>
        <v>0</v>
      </c>
      <c r="CG163" s="5">
        <f>IF($BI163&lt;&gt;"",IF('Capacity summary'!$C$14="Yes",IF(COUNTBLANK('Capacity summary'!$H75:$BG75)&lt;52,IF('Capacity summary'!AD75&lt;&gt;"",$BI163*AD163,0),AD163*$BI163),AD163*$BI163),0)</f>
        <v>0</v>
      </c>
      <c r="CH163" s="5">
        <f>IF($BI163&lt;&gt;"",IF('Capacity summary'!$C$14="Yes",IF(COUNTBLANK('Capacity summary'!$H75:$BG75)&lt;52,IF('Capacity summary'!AE75&lt;&gt;"",$BI163*AE163,0),AE163*$BI163),AE163*$BI163),0)</f>
        <v>0</v>
      </c>
      <c r="CI163" s="5">
        <f>IF($BI163&lt;&gt;"",IF('Capacity summary'!$C$14="Yes",IF(COUNTBLANK('Capacity summary'!$H75:$BG75)&lt;52,IF('Capacity summary'!AF75&lt;&gt;"",$BI163*AF163,0),AF163*$BI163),AF163*$BI163),0)</f>
        <v>0</v>
      </c>
      <c r="CJ163" s="5">
        <f>IF($BI163&lt;&gt;"",IF('Capacity summary'!$C$14="Yes",IF(COUNTBLANK('Capacity summary'!$H75:$BG75)&lt;52,IF('Capacity summary'!AG75&lt;&gt;"",$BI163*AG163,0),AG163*$BI163),AG163*$BI163),0)</f>
        <v>0</v>
      </c>
      <c r="CK163" s="5">
        <f>IF($BI163&lt;&gt;"",IF('Capacity summary'!$C$14="Yes",IF(COUNTBLANK('Capacity summary'!$H75:$BG75)&lt;52,IF('Capacity summary'!AH75&lt;&gt;"",$BI163*AH163,0),AH163*$BI163),AH163*$BI163),0)</f>
        <v>0</v>
      </c>
      <c r="CL163" s="5">
        <f>IF($BI163&lt;&gt;"",IF('Capacity summary'!$C$14="Yes",IF(COUNTBLANK('Capacity summary'!$H75:$BG75)&lt;52,IF('Capacity summary'!AI75&lt;&gt;"",$BI163*AI163,0),AI163*$BI163),AI163*$BI163),0)</f>
        <v>0</v>
      </c>
      <c r="CM163" s="5">
        <f>IF($BI163&lt;&gt;"",IF('Capacity summary'!$C$14="Yes",IF(COUNTBLANK('Capacity summary'!$H75:$BG75)&lt;52,IF('Capacity summary'!AJ75&lt;&gt;"",$BI163*AJ163,0),AJ163*$BI163),AJ163*$BI163),0)</f>
        <v>0</v>
      </c>
      <c r="CN163" s="5">
        <f>IF($BI163&lt;&gt;"",IF('Capacity summary'!$C$14="Yes",IF(COUNTBLANK('Capacity summary'!$H75:$BG75)&lt;52,IF('Capacity summary'!AK75&lt;&gt;"",$BI163*AK163,0),AK163*$BI163),AK163*$BI163),0)</f>
        <v>0</v>
      </c>
      <c r="CO163" s="5">
        <f>IF($BI163&lt;&gt;"",IF('Capacity summary'!$C$14="Yes",IF(COUNTBLANK('Capacity summary'!$H75:$BG75)&lt;52,IF('Capacity summary'!AL75&lt;&gt;"",$BI163*AL163,0),AL163*$BI163),AL163*$BI163),0)</f>
        <v>0</v>
      </c>
      <c r="CP163" s="5">
        <f>IF($BI163&lt;&gt;"",IF('Capacity summary'!$C$14="Yes",IF(COUNTBLANK('Capacity summary'!$H75:$BG75)&lt;52,IF('Capacity summary'!AM75&lt;&gt;"",$BI163*AM163,0),AM163*$BI163),AM163*$BI163),0)</f>
        <v>0</v>
      </c>
      <c r="CQ163" s="5">
        <f>IF($BI163&lt;&gt;"",IF('Capacity summary'!$C$14="Yes",IF(COUNTBLANK('Capacity summary'!$H75:$BG75)&lt;52,IF('Capacity summary'!AN75&lt;&gt;"",$BI163*AN163,0),AN163*$BI163),AN163*$BI163),0)</f>
        <v>0</v>
      </c>
      <c r="CR163" s="5">
        <f>IF($BI163&lt;&gt;"",IF('Capacity summary'!$C$14="Yes",IF(COUNTBLANK('Capacity summary'!$H75:$BG75)&lt;52,IF('Capacity summary'!AO75&lt;&gt;"",$BI163*AO163,0),AO163*$BI163),AO163*$BI163),0)</f>
        <v>0</v>
      </c>
      <c r="CS163" s="5">
        <f>IF($BI163&lt;&gt;"",IF('Capacity summary'!$C$14="Yes",IF(COUNTBLANK('Capacity summary'!$H75:$BG75)&lt;52,IF('Capacity summary'!AP75&lt;&gt;"",$BI163*AP163,0),AP163*$BI163),AP163*$BI163),0)</f>
        <v>0</v>
      </c>
      <c r="CT163" s="5">
        <f>IF($BI163&lt;&gt;"",IF('Capacity summary'!$C$14="Yes",IF(COUNTBLANK('Capacity summary'!$H75:$BG75)&lt;52,IF('Capacity summary'!AQ75&lt;&gt;"",$BI163*AQ163,0),AQ163*$BI163),AQ163*$BI163),0)</f>
        <v>0</v>
      </c>
      <c r="CU163" s="5">
        <f>IF($BI163&lt;&gt;"",IF('Capacity summary'!$C$14="Yes",IF(COUNTBLANK('Capacity summary'!$H75:$BG75)&lt;52,IF('Capacity summary'!AR75&lt;&gt;"",$BI163*AR163,0),AR163*$BI163),AR163*$BI163),0)</f>
        <v>0</v>
      </c>
      <c r="CV163" s="5">
        <f>IF($BI163&lt;&gt;"",IF('Capacity summary'!$C$14="Yes",IF(COUNTBLANK('Capacity summary'!$H75:$BG75)&lt;52,IF('Capacity summary'!AS75&lt;&gt;"",$BI163*AS163,0),AS163*$BI163),AS163*$BI163),0)</f>
        <v>0</v>
      </c>
      <c r="CW163" s="5">
        <f>IF($BI163&lt;&gt;"",IF('Capacity summary'!$C$14="Yes",IF(COUNTBLANK('Capacity summary'!$H75:$BG75)&lt;52,IF('Capacity summary'!AT75&lt;&gt;"",$BI163*AT163,0),AT163*$BI163),AT163*$BI163),0)</f>
        <v>0</v>
      </c>
      <c r="CX163" s="5">
        <f>IF($BI163&lt;&gt;"",IF('Capacity summary'!$C$14="Yes",IF(COUNTBLANK('Capacity summary'!$H75:$BG75)&lt;52,IF('Capacity summary'!AU75&lt;&gt;"",$BI163*AU163,0),AU163*$BI163),AU163*$BI163),0)</f>
        <v>0</v>
      </c>
      <c r="CY163" s="5">
        <f>IF($BI163&lt;&gt;"",IF('Capacity summary'!$C$14="Yes",IF(COUNTBLANK('Capacity summary'!$H75:$BG75)&lt;52,IF('Capacity summary'!AV75&lt;&gt;"",$BI163*AV163,0),AV163*$BI163),AV163*$BI163),0)</f>
        <v>0</v>
      </c>
      <c r="CZ163" s="5">
        <f>IF($BI163&lt;&gt;"",IF('Capacity summary'!$C$14="Yes",IF(COUNTBLANK('Capacity summary'!$H75:$BG75)&lt;52,IF('Capacity summary'!AW75&lt;&gt;"",$BI163*AW163,0),AW163*$BI163),AW163*$BI163),0)</f>
        <v>0</v>
      </c>
      <c r="DA163" s="5">
        <f>IF($BI163&lt;&gt;"",IF('Capacity summary'!$C$14="Yes",IF(COUNTBLANK('Capacity summary'!$H75:$BG75)&lt;52,IF('Capacity summary'!AX75&lt;&gt;"",$BI163*AX163,0),AX163*$BI163),AX163*$BI163),0)</f>
        <v>0</v>
      </c>
      <c r="DB163" s="5">
        <f>IF($BI163&lt;&gt;"",IF('Capacity summary'!$C$14="Yes",IF(COUNTBLANK('Capacity summary'!$H75:$BG75)&lt;52,IF('Capacity summary'!AY75&lt;&gt;"",$BI163*AY163,0),AY163*$BI163),AY163*$BI163),0)</f>
        <v>0</v>
      </c>
      <c r="DC163" s="5">
        <f>IF($BI163&lt;&gt;"",IF('Capacity summary'!$C$14="Yes",IF(COUNTBLANK('Capacity summary'!$H75:$BG75)&lt;52,IF('Capacity summary'!AZ75&lt;&gt;"",$BI163*AZ163,0),AZ163*$BI163),AZ163*$BI163),0)</f>
        <v>0</v>
      </c>
      <c r="DD163" s="5">
        <f>IF($BI163&lt;&gt;"",IF('Capacity summary'!$C$14="Yes",IF(COUNTBLANK('Capacity summary'!$H75:$BG75)&lt;52,IF('Capacity summary'!BA75&lt;&gt;"",$BI163*BA163,0),BA163*$BI163),BA163*$BI163),0)</f>
        <v>0</v>
      </c>
      <c r="DE163" s="5">
        <f>IF($BI163&lt;&gt;"",IF('Capacity summary'!$C$14="Yes",IF(COUNTBLANK('Capacity summary'!$H75:$BG75)&lt;52,IF('Capacity summary'!BB75&lt;&gt;"",$BI163*BB163,0),BB163*$BI163),BB163*$BI163),0)</f>
        <v>0</v>
      </c>
      <c r="DF163" s="5">
        <f>IF($BI163&lt;&gt;"",IF('Capacity summary'!$C$14="Yes",IF(COUNTBLANK('Capacity summary'!$H75:$BG75)&lt;52,IF('Capacity summary'!BC75&lt;&gt;"",$BI163*BC163,0),BC163*$BI163),BC163*$BI163),0)</f>
        <v>0</v>
      </c>
      <c r="DG163" s="5">
        <f>IF($BI163&lt;&gt;"",IF('Capacity summary'!$C$14="Yes",IF(COUNTBLANK('Capacity summary'!$H75:$BG75)&lt;52,IF('Capacity summary'!BD75&lt;&gt;"",$BI163*BD163,0),BD163*$BI163),BD163*$BI163),0)</f>
        <v>0</v>
      </c>
      <c r="DH163" s="5">
        <f>IF($BI163&lt;&gt;"",IF('Capacity summary'!$C$14="Yes",IF(COUNTBLANK('Capacity summary'!$H75:$BG75)&lt;52,IF('Capacity summary'!BE75&lt;&gt;"",$BI163*BE163,0),BE163*$BI163),BE163*$BI163),0)</f>
        <v>0</v>
      </c>
      <c r="DI163" s="5">
        <f>IF($BI163&lt;&gt;"",IF('Capacity summary'!$C$14="Yes",IF(COUNTBLANK('Capacity summary'!$H75:$BG75)&lt;52,IF('Capacity summary'!BF75&lt;&gt;"",$BI163*BF163,0),BF163*$BI163),BF163*$BI163),0)</f>
        <v>0</v>
      </c>
      <c r="DJ163" s="5">
        <f>IF($BI163&lt;&gt;"",IF('Capacity summary'!$C$14="Yes",IF(COUNTBLANK('Capacity summary'!$H75:$BG75)&lt;52,IF('Capacity summary'!BG75&lt;&gt;"",$BI163*BG163,0),BG163*$BI163),BG163*$BI163),0)</f>
        <v>0</v>
      </c>
      <c r="DK163" s="138">
        <f t="shared" si="6"/>
        <v>0</v>
      </c>
    </row>
    <row r="164" spans="3:115" x14ac:dyDescent="0.2">
      <c r="C164" s="68" t="str">
        <f>ROW(A53)&amp;". "&amp;Capacity!N69</f>
        <v xml:space="preserve">53. </v>
      </c>
      <c r="D164" s="68">
        <f>'Capacity setup'!C170</f>
        <v>0</v>
      </c>
      <c r="E164" s="68">
        <f>'Capacity setup'!D170</f>
        <v>0</v>
      </c>
      <c r="F164" s="68">
        <f>'Capacity setup'!E170</f>
        <v>0</v>
      </c>
      <c r="H164" s="68">
        <f ca="1">IF(AND(SUMIF(Capacity_Resource,$D164,'Critical resources (hide)'!U$6:U$105)+SUMIF(Capacity_Resource,$E164,'Critical resources (hide)'!U$6:U$105)+SUMIF(Capacity_Resource,$F164,'Critical resources (hide)'!U$6:U$105)&gt;0,$E$1=2),0,1)</f>
        <v>1</v>
      </c>
      <c r="I164" s="68">
        <f ca="1">IF(AND(SUMIF(Capacity_Resource,$D164,'Critical resources (hide)'!V$6:V$105)+SUMIF(Capacity_Resource,$E164,'Critical resources (hide)'!V$6:V$105)+SUMIF(Capacity_Resource,$F164,'Critical resources (hide)'!V$6:V$105)&gt;0,$E$1=2),0,1)</f>
        <v>1</v>
      </c>
      <c r="J164" s="68">
        <f ca="1">IF(AND(SUMIF(Capacity_Resource,$D164,'Critical resources (hide)'!W$6:W$105)+SUMIF(Capacity_Resource,$E164,'Critical resources (hide)'!W$6:W$105)+SUMIF(Capacity_Resource,$F164,'Critical resources (hide)'!W$6:W$105)&gt;0,$E$1=2),0,1)</f>
        <v>1</v>
      </c>
      <c r="K164" s="68">
        <f ca="1">IF(AND(SUMIF(Capacity_Resource,$D164,'Critical resources (hide)'!X$6:X$105)+SUMIF(Capacity_Resource,$E164,'Critical resources (hide)'!X$6:X$105)+SUMIF(Capacity_Resource,$F164,'Critical resources (hide)'!X$6:X$105)&gt;0,$E$1=2),0,1)</f>
        <v>1</v>
      </c>
      <c r="L164" s="68">
        <f ca="1">IF(AND(SUMIF(Capacity_Resource,$D164,'Critical resources (hide)'!Y$6:Y$105)+SUMIF(Capacity_Resource,$E164,'Critical resources (hide)'!Y$6:Y$105)+SUMIF(Capacity_Resource,$F164,'Critical resources (hide)'!Y$6:Y$105)&gt;0,$E$1=2),0,1)</f>
        <v>1</v>
      </c>
      <c r="M164" s="68">
        <f ca="1">IF(AND(SUMIF(Capacity_Resource,$D164,'Critical resources (hide)'!Z$6:Z$105)+SUMIF(Capacity_Resource,$E164,'Critical resources (hide)'!Z$6:Z$105)+SUMIF(Capacity_Resource,$F164,'Critical resources (hide)'!Z$6:Z$105)&gt;0,$E$1=2),0,1)</f>
        <v>1</v>
      </c>
      <c r="N164" s="68">
        <f ca="1">IF(AND(SUMIF(Capacity_Resource,$D164,'Critical resources (hide)'!AA$6:AA$105)+SUMIF(Capacity_Resource,$E164,'Critical resources (hide)'!AA$6:AA$105)+SUMIF(Capacity_Resource,$F164,'Critical resources (hide)'!AA$6:AA$105)&gt;0,$E$1=2),0,1)</f>
        <v>1</v>
      </c>
      <c r="O164" s="68">
        <f ca="1">IF(AND(SUMIF(Capacity_Resource,$D164,'Critical resources (hide)'!AB$6:AB$105)+SUMIF(Capacity_Resource,$E164,'Critical resources (hide)'!AB$6:AB$105)+SUMIF(Capacity_Resource,$F164,'Critical resources (hide)'!AB$6:AB$105)&gt;0,$E$1=2),0,1)</f>
        <v>1</v>
      </c>
      <c r="P164" s="68">
        <f ca="1">IF(AND(SUMIF(Capacity_Resource,$D164,'Critical resources (hide)'!AC$6:AC$105)+SUMIF(Capacity_Resource,$E164,'Critical resources (hide)'!AC$6:AC$105)+SUMIF(Capacity_Resource,$F164,'Critical resources (hide)'!AC$6:AC$105)&gt;0,$E$1=2),0,1)</f>
        <v>1</v>
      </c>
      <c r="Q164" s="68">
        <f ca="1">IF(AND(SUMIF(Capacity_Resource,$D164,'Critical resources (hide)'!AD$6:AD$105)+SUMIF(Capacity_Resource,$E164,'Critical resources (hide)'!AD$6:AD$105)+SUMIF(Capacity_Resource,$F164,'Critical resources (hide)'!AD$6:AD$105)&gt;0,$E$1=2),0,1)</f>
        <v>1</v>
      </c>
      <c r="R164" s="68">
        <f ca="1">IF(AND(SUMIF(Capacity_Resource,$D164,'Critical resources (hide)'!AE$6:AE$105)+SUMIF(Capacity_Resource,$E164,'Critical resources (hide)'!AE$6:AE$105)+SUMIF(Capacity_Resource,$F164,'Critical resources (hide)'!AE$6:AE$105)&gt;0,$E$1=2),0,1)</f>
        <v>1</v>
      </c>
      <c r="S164" s="68">
        <f ca="1">IF(AND(SUMIF(Capacity_Resource,$D164,'Critical resources (hide)'!AF$6:AF$105)+SUMIF(Capacity_Resource,$E164,'Critical resources (hide)'!AF$6:AF$105)+SUMIF(Capacity_Resource,$F164,'Critical resources (hide)'!AF$6:AF$105)&gt;0,$E$1=2),0,1)</f>
        <v>1</v>
      </c>
      <c r="T164" s="68">
        <f ca="1">IF(AND(SUMIF(Capacity_Resource,$D164,'Critical resources (hide)'!AG$6:AG$105)+SUMIF(Capacity_Resource,$E164,'Critical resources (hide)'!AG$6:AG$105)+SUMIF(Capacity_Resource,$F164,'Critical resources (hide)'!AG$6:AG$105)&gt;0,$E$1=2),0,1)</f>
        <v>1</v>
      </c>
      <c r="U164" s="68">
        <f ca="1">IF(AND(SUMIF(Capacity_Resource,$D164,'Critical resources (hide)'!AH$6:AH$105)+SUMIF(Capacity_Resource,$E164,'Critical resources (hide)'!AH$6:AH$105)+SUMIF(Capacity_Resource,$F164,'Critical resources (hide)'!AH$6:AH$105)&gt;0,$E$1=2),0,1)</f>
        <v>1</v>
      </c>
      <c r="V164" s="68">
        <f ca="1">IF(AND(SUMIF(Capacity_Resource,$D164,'Critical resources (hide)'!AI$6:AI$105)+SUMIF(Capacity_Resource,$E164,'Critical resources (hide)'!AI$6:AI$105)+SUMIF(Capacity_Resource,$F164,'Critical resources (hide)'!AI$6:AI$105)&gt;0,$E$1=2),0,1)</f>
        <v>1</v>
      </c>
      <c r="W164" s="68">
        <f ca="1">IF(AND(SUMIF(Capacity_Resource,$D164,'Critical resources (hide)'!AJ$6:AJ$105)+SUMIF(Capacity_Resource,$E164,'Critical resources (hide)'!AJ$6:AJ$105)+SUMIF(Capacity_Resource,$F164,'Critical resources (hide)'!AJ$6:AJ$105)&gt;0,$E$1=2),0,1)</f>
        <v>1</v>
      </c>
      <c r="X164" s="68">
        <f ca="1">IF(AND(SUMIF(Capacity_Resource,$D164,'Critical resources (hide)'!AK$6:AK$105)+SUMIF(Capacity_Resource,$E164,'Critical resources (hide)'!AK$6:AK$105)+SUMIF(Capacity_Resource,$F164,'Critical resources (hide)'!AK$6:AK$105)&gt;0,$E$1=2),0,1)</f>
        <v>1</v>
      </c>
      <c r="Y164" s="68">
        <f ca="1">IF(AND(SUMIF(Capacity_Resource,$D164,'Critical resources (hide)'!AL$6:AL$105)+SUMIF(Capacity_Resource,$E164,'Critical resources (hide)'!AL$6:AL$105)+SUMIF(Capacity_Resource,$F164,'Critical resources (hide)'!AL$6:AL$105)&gt;0,$E$1=2),0,1)</f>
        <v>1</v>
      </c>
      <c r="Z164" s="68">
        <f ca="1">IF(AND(SUMIF(Capacity_Resource,$D164,'Critical resources (hide)'!AM$6:AM$105)+SUMIF(Capacity_Resource,$E164,'Critical resources (hide)'!AM$6:AM$105)+SUMIF(Capacity_Resource,$F164,'Critical resources (hide)'!AM$6:AM$105)&gt;0,$E$1=2),0,1)</f>
        <v>1</v>
      </c>
      <c r="AA164" s="68">
        <f ca="1">IF(AND(SUMIF(Capacity_Resource,$D164,'Critical resources (hide)'!AN$6:AN$105)+SUMIF(Capacity_Resource,$E164,'Critical resources (hide)'!AN$6:AN$105)+SUMIF(Capacity_Resource,$F164,'Critical resources (hide)'!AN$6:AN$105)&gt;0,$E$1=2),0,1)</f>
        <v>1</v>
      </c>
      <c r="AB164" s="68">
        <f ca="1">IF(AND(SUMIF(Capacity_Resource,$D164,'Critical resources (hide)'!AO$6:AO$105)+SUMIF(Capacity_Resource,$E164,'Critical resources (hide)'!AO$6:AO$105)+SUMIF(Capacity_Resource,$F164,'Critical resources (hide)'!AO$6:AO$105)&gt;0,$E$1=2),0,1)</f>
        <v>1</v>
      </c>
      <c r="AC164" s="68">
        <f ca="1">IF(AND(SUMIF(Capacity_Resource,$D164,'Critical resources (hide)'!AP$6:AP$105)+SUMIF(Capacity_Resource,$E164,'Critical resources (hide)'!AP$6:AP$105)+SUMIF(Capacity_Resource,$F164,'Critical resources (hide)'!AP$6:AP$105)&gt;0,$E$1=2),0,1)</f>
        <v>1</v>
      </c>
      <c r="AD164" s="68">
        <f ca="1">IF(AND(SUMIF(Capacity_Resource,$D164,'Critical resources (hide)'!AQ$6:AQ$105)+SUMIF(Capacity_Resource,$E164,'Critical resources (hide)'!AQ$6:AQ$105)+SUMIF(Capacity_Resource,$F164,'Critical resources (hide)'!AQ$6:AQ$105)&gt;0,$E$1=2),0,1)</f>
        <v>1</v>
      </c>
      <c r="AE164" s="68">
        <f ca="1">IF(AND(SUMIF(Capacity_Resource,$D164,'Critical resources (hide)'!AR$6:AR$105)+SUMIF(Capacity_Resource,$E164,'Critical resources (hide)'!AR$6:AR$105)+SUMIF(Capacity_Resource,$F164,'Critical resources (hide)'!AR$6:AR$105)&gt;0,$E$1=2),0,1)</f>
        <v>1</v>
      </c>
      <c r="AF164" s="68">
        <f ca="1">IF(AND(SUMIF(Capacity_Resource,$D164,'Critical resources (hide)'!AS$6:AS$105)+SUMIF(Capacity_Resource,$E164,'Critical resources (hide)'!AS$6:AS$105)+SUMIF(Capacity_Resource,$F164,'Critical resources (hide)'!AS$6:AS$105)&gt;0,$E$1=2),0,1)</f>
        <v>1</v>
      </c>
      <c r="AG164" s="68">
        <f ca="1">IF(AND(SUMIF(Capacity_Resource,$D164,'Critical resources (hide)'!AT$6:AT$105)+SUMIF(Capacity_Resource,$E164,'Critical resources (hide)'!AT$6:AT$105)+SUMIF(Capacity_Resource,$F164,'Critical resources (hide)'!AT$6:AT$105)&gt;0,$E$1=2),0,1)</f>
        <v>1</v>
      </c>
      <c r="AH164" s="68">
        <f ca="1">IF(AND(SUMIF(Capacity_Resource,$D164,'Critical resources (hide)'!AU$6:AU$105)+SUMIF(Capacity_Resource,$E164,'Critical resources (hide)'!AU$6:AU$105)+SUMIF(Capacity_Resource,$F164,'Critical resources (hide)'!AU$6:AU$105)&gt;0,$E$1=2),0,1)</f>
        <v>1</v>
      </c>
      <c r="AI164" s="68">
        <f ca="1">IF(AND(SUMIF(Capacity_Resource,$D164,'Critical resources (hide)'!AV$6:AV$105)+SUMIF(Capacity_Resource,$E164,'Critical resources (hide)'!AV$6:AV$105)+SUMIF(Capacity_Resource,$F164,'Critical resources (hide)'!AV$6:AV$105)&gt;0,$E$1=2),0,1)</f>
        <v>1</v>
      </c>
      <c r="AJ164" s="68">
        <f ca="1">IF(AND(SUMIF(Capacity_Resource,$D164,'Critical resources (hide)'!AW$6:AW$105)+SUMIF(Capacity_Resource,$E164,'Critical resources (hide)'!AW$6:AW$105)+SUMIF(Capacity_Resource,$F164,'Critical resources (hide)'!AW$6:AW$105)&gt;0,$E$1=2),0,1)</f>
        <v>1</v>
      </c>
      <c r="AK164" s="68">
        <f ca="1">IF(AND(SUMIF(Capacity_Resource,$D164,'Critical resources (hide)'!AX$6:AX$105)+SUMIF(Capacity_Resource,$E164,'Critical resources (hide)'!AX$6:AX$105)+SUMIF(Capacity_Resource,$F164,'Critical resources (hide)'!AX$6:AX$105)&gt;0,$E$1=2),0,1)</f>
        <v>1</v>
      </c>
      <c r="AL164" s="68">
        <f ca="1">IF(AND(SUMIF(Capacity_Resource,$D164,'Critical resources (hide)'!AY$6:AY$105)+SUMIF(Capacity_Resource,$E164,'Critical resources (hide)'!AY$6:AY$105)+SUMIF(Capacity_Resource,$F164,'Critical resources (hide)'!AY$6:AY$105)&gt;0,$E$1=2),0,1)</f>
        <v>1</v>
      </c>
      <c r="AM164" s="68">
        <f ca="1">IF(AND(SUMIF(Capacity_Resource,$D164,'Critical resources (hide)'!AZ$6:AZ$105)+SUMIF(Capacity_Resource,$E164,'Critical resources (hide)'!AZ$6:AZ$105)+SUMIF(Capacity_Resource,$F164,'Critical resources (hide)'!AZ$6:AZ$105)&gt;0,$E$1=2),0,1)</f>
        <v>1</v>
      </c>
      <c r="AN164" s="68">
        <f ca="1">IF(AND(SUMIF(Capacity_Resource,$D164,'Critical resources (hide)'!BA$6:BA$105)+SUMIF(Capacity_Resource,$E164,'Critical resources (hide)'!BA$6:BA$105)+SUMIF(Capacity_Resource,$F164,'Critical resources (hide)'!BA$6:BA$105)&gt;0,$E$1=2),0,1)</f>
        <v>1</v>
      </c>
      <c r="AO164" s="68">
        <f ca="1">IF(AND(SUMIF(Capacity_Resource,$D164,'Critical resources (hide)'!BB$6:BB$105)+SUMIF(Capacity_Resource,$E164,'Critical resources (hide)'!BB$6:BB$105)+SUMIF(Capacity_Resource,$F164,'Critical resources (hide)'!BB$6:BB$105)&gt;0,$E$1=2),0,1)</f>
        <v>1</v>
      </c>
      <c r="AP164" s="68">
        <f ca="1">IF(AND(SUMIF(Capacity_Resource,$D164,'Critical resources (hide)'!BC$6:BC$105)+SUMIF(Capacity_Resource,$E164,'Critical resources (hide)'!BC$6:BC$105)+SUMIF(Capacity_Resource,$F164,'Critical resources (hide)'!BC$6:BC$105)&gt;0,$E$1=2),0,1)</f>
        <v>1</v>
      </c>
      <c r="AQ164" s="68">
        <f ca="1">IF(AND(SUMIF(Capacity_Resource,$D164,'Critical resources (hide)'!BD$6:BD$105)+SUMIF(Capacity_Resource,$E164,'Critical resources (hide)'!BD$6:BD$105)+SUMIF(Capacity_Resource,$F164,'Critical resources (hide)'!BD$6:BD$105)&gt;0,$E$1=2),0,1)</f>
        <v>1</v>
      </c>
      <c r="AR164" s="68">
        <f ca="1">IF(AND(SUMIF(Capacity_Resource,$D164,'Critical resources (hide)'!BE$6:BE$105)+SUMIF(Capacity_Resource,$E164,'Critical resources (hide)'!BE$6:BE$105)+SUMIF(Capacity_Resource,$F164,'Critical resources (hide)'!BE$6:BE$105)&gt;0,$E$1=2),0,1)</f>
        <v>1</v>
      </c>
      <c r="AS164" s="68">
        <f ca="1">IF(AND(SUMIF(Capacity_Resource,$D164,'Critical resources (hide)'!BF$6:BF$105)+SUMIF(Capacity_Resource,$E164,'Critical resources (hide)'!BF$6:BF$105)+SUMIF(Capacity_Resource,$F164,'Critical resources (hide)'!BF$6:BF$105)&gt;0,$E$1=2),0,1)</f>
        <v>1</v>
      </c>
      <c r="AT164" s="68">
        <f ca="1">IF(AND(SUMIF(Capacity_Resource,$D164,'Critical resources (hide)'!BG$6:BG$105)+SUMIF(Capacity_Resource,$E164,'Critical resources (hide)'!BG$6:BG$105)+SUMIF(Capacity_Resource,$F164,'Critical resources (hide)'!BG$6:BG$105)&gt;0,$E$1=2),0,1)</f>
        <v>1</v>
      </c>
      <c r="AU164" s="68">
        <f ca="1">IF(AND(SUMIF(Capacity_Resource,$D164,'Critical resources (hide)'!BH$6:BH$105)+SUMIF(Capacity_Resource,$E164,'Critical resources (hide)'!BH$6:BH$105)+SUMIF(Capacity_Resource,$F164,'Critical resources (hide)'!BH$6:BH$105)&gt;0,$E$1=2),0,1)</f>
        <v>1</v>
      </c>
      <c r="AV164" s="68">
        <f ca="1">IF(AND(SUMIF(Capacity_Resource,$D164,'Critical resources (hide)'!BI$6:BI$105)+SUMIF(Capacity_Resource,$E164,'Critical resources (hide)'!BI$6:BI$105)+SUMIF(Capacity_Resource,$F164,'Critical resources (hide)'!BI$6:BI$105)&gt;0,$E$1=2),0,1)</f>
        <v>1</v>
      </c>
      <c r="AW164" s="68">
        <f ca="1">IF(AND(SUMIF(Capacity_Resource,$D164,'Critical resources (hide)'!BJ$6:BJ$105)+SUMIF(Capacity_Resource,$E164,'Critical resources (hide)'!BJ$6:BJ$105)+SUMIF(Capacity_Resource,$F164,'Critical resources (hide)'!BJ$6:BJ$105)&gt;0,$E$1=2),0,1)</f>
        <v>1</v>
      </c>
      <c r="AX164" s="68">
        <f ca="1">IF(AND(SUMIF(Capacity_Resource,$D164,'Critical resources (hide)'!BK$6:BK$105)+SUMIF(Capacity_Resource,$E164,'Critical resources (hide)'!BK$6:BK$105)+SUMIF(Capacity_Resource,$F164,'Critical resources (hide)'!BK$6:BK$105)&gt;0,$E$1=2),0,1)</f>
        <v>1</v>
      </c>
      <c r="AY164" s="68">
        <f ca="1">IF(AND(SUMIF(Capacity_Resource,$D164,'Critical resources (hide)'!BL$6:BL$105)+SUMIF(Capacity_Resource,$E164,'Critical resources (hide)'!BL$6:BL$105)+SUMIF(Capacity_Resource,$F164,'Critical resources (hide)'!BL$6:BL$105)&gt;0,$E$1=2),0,1)</f>
        <v>1</v>
      </c>
      <c r="AZ164" s="68">
        <f ca="1">IF(AND(SUMIF(Capacity_Resource,$D164,'Critical resources (hide)'!BM$6:BM$105)+SUMIF(Capacity_Resource,$E164,'Critical resources (hide)'!BM$6:BM$105)+SUMIF(Capacity_Resource,$F164,'Critical resources (hide)'!BM$6:BM$105)&gt;0,$E$1=2),0,1)</f>
        <v>1</v>
      </c>
      <c r="BA164" s="68">
        <f ca="1">IF(AND(SUMIF(Capacity_Resource,$D164,'Critical resources (hide)'!BN$6:BN$105)+SUMIF(Capacity_Resource,$E164,'Critical resources (hide)'!BN$6:BN$105)+SUMIF(Capacity_Resource,$F164,'Critical resources (hide)'!BN$6:BN$105)&gt;0,$E$1=2),0,1)</f>
        <v>1</v>
      </c>
      <c r="BB164" s="68">
        <f ca="1">IF(AND(SUMIF(Capacity_Resource,$D164,'Critical resources (hide)'!BO$6:BO$105)+SUMIF(Capacity_Resource,$E164,'Critical resources (hide)'!BO$6:BO$105)+SUMIF(Capacity_Resource,$F164,'Critical resources (hide)'!BO$6:BO$105)&gt;0,$E$1=2),0,1)</f>
        <v>1</v>
      </c>
      <c r="BC164" s="68">
        <f ca="1">IF(AND(SUMIF(Capacity_Resource,$D164,'Critical resources (hide)'!BP$6:BP$105)+SUMIF(Capacity_Resource,$E164,'Critical resources (hide)'!BP$6:BP$105)+SUMIF(Capacity_Resource,$F164,'Critical resources (hide)'!BP$6:BP$105)&gt;0,$E$1=2),0,1)</f>
        <v>1</v>
      </c>
      <c r="BD164" s="68">
        <f ca="1">IF(AND(SUMIF(Capacity_Resource,$D164,'Critical resources (hide)'!BQ$6:BQ$105)+SUMIF(Capacity_Resource,$E164,'Critical resources (hide)'!BQ$6:BQ$105)+SUMIF(Capacity_Resource,$F164,'Critical resources (hide)'!BQ$6:BQ$105)&gt;0,$E$1=2),0,1)</f>
        <v>1</v>
      </c>
      <c r="BE164" s="68">
        <f ca="1">IF(AND(SUMIF(Capacity_Resource,$D164,'Critical resources (hide)'!BR$6:BR$105)+SUMIF(Capacity_Resource,$E164,'Critical resources (hide)'!BR$6:BR$105)+SUMIF(Capacity_Resource,$F164,'Critical resources (hide)'!BR$6:BR$105)&gt;0,$E$1=2),0,1)</f>
        <v>1</v>
      </c>
      <c r="BF164" s="68">
        <f ca="1">IF(AND(SUMIF(Capacity_Resource,$D164,'Critical resources (hide)'!BS$6:BS$105)+SUMIF(Capacity_Resource,$E164,'Critical resources (hide)'!BS$6:BS$105)+SUMIF(Capacity_Resource,$F164,'Critical resources (hide)'!BS$6:BS$105)&gt;0,$E$1=2),0,1)</f>
        <v>1</v>
      </c>
      <c r="BG164" s="68">
        <f ca="1">IF(AND(SUMIF(Capacity_Resource,$D164,'Critical resources (hide)'!BT$6:BT$105)+SUMIF(Capacity_Resource,$E164,'Critical resources (hide)'!BT$6:BT$105)+SUMIF(Capacity_Resource,$F164,'Critical resources (hide)'!BT$6:BT$105)&gt;0,$E$1=2),0,1)</f>
        <v>1</v>
      </c>
      <c r="BH164" s="68">
        <f>IF(ROW(A53)&lt;=Capacity!$M$16,IF('Capacity summary'!$C$14="No",SUM(H164:BG164),'Capacity summary'!$E76),0)</f>
        <v>0</v>
      </c>
      <c r="BI164" s="68" t="str">
        <f>IF(BH164&gt;0,IF(BH164&lt;Capacity!Q69,Capacity!R69,Capacity!T69/'Capacity calculation (hide)'!BH164),"")</f>
        <v/>
      </c>
      <c r="BJ164" s="5"/>
      <c r="BK164" s="5">
        <f>IF($BI164&lt;&gt;"",IF('Capacity summary'!$C$14="Yes",IF(COUNTBLANK('Capacity summary'!$H76:$BG76)&lt;52,IF('Capacity summary'!H76&lt;&gt;"",$BI164*H164,0),H164*$BI164),H164*$BI164),0)</f>
        <v>0</v>
      </c>
      <c r="BL164" s="5">
        <f>IF($BI164&lt;&gt;"",IF('Capacity summary'!$C$14="Yes",IF(COUNTBLANK('Capacity summary'!$H76:$BG76)&lt;52,IF('Capacity summary'!I76&lt;&gt;"",$BI164*I164,0),I164*$BI164),I164*$BI164),0)</f>
        <v>0</v>
      </c>
      <c r="BM164" s="5">
        <f>IF($BI164&lt;&gt;"",IF('Capacity summary'!$C$14="Yes",IF(COUNTBLANK('Capacity summary'!$H76:$BG76)&lt;52,IF('Capacity summary'!J76&lt;&gt;"",$BI164*J164,0),J164*$BI164),J164*$BI164),0)</f>
        <v>0</v>
      </c>
      <c r="BN164" s="5">
        <f>IF($BI164&lt;&gt;"",IF('Capacity summary'!$C$14="Yes",IF(COUNTBLANK('Capacity summary'!$H76:$BG76)&lt;52,IF('Capacity summary'!K76&lt;&gt;"",$BI164*K164,0),K164*$BI164),K164*$BI164),0)</f>
        <v>0</v>
      </c>
      <c r="BO164" s="5">
        <f>IF($BI164&lt;&gt;"",IF('Capacity summary'!$C$14="Yes",IF(COUNTBLANK('Capacity summary'!$H76:$BG76)&lt;52,IF('Capacity summary'!L76&lt;&gt;"",$BI164*L164,0),L164*$BI164),L164*$BI164),0)</f>
        <v>0</v>
      </c>
      <c r="BP164" s="5">
        <f>IF($BI164&lt;&gt;"",IF('Capacity summary'!$C$14="Yes",IF(COUNTBLANK('Capacity summary'!$H76:$BG76)&lt;52,IF('Capacity summary'!M76&lt;&gt;"",$BI164*M164,0),M164*$BI164),M164*$BI164),0)</f>
        <v>0</v>
      </c>
      <c r="BQ164" s="5">
        <f>IF($BI164&lt;&gt;"",IF('Capacity summary'!$C$14="Yes",IF(COUNTBLANK('Capacity summary'!$H76:$BG76)&lt;52,IF('Capacity summary'!N76&lt;&gt;"",$BI164*N164,0),N164*$BI164),N164*$BI164),0)</f>
        <v>0</v>
      </c>
      <c r="BR164" s="5">
        <f>IF($BI164&lt;&gt;"",IF('Capacity summary'!$C$14="Yes",IF(COUNTBLANK('Capacity summary'!$H76:$BG76)&lt;52,IF('Capacity summary'!O76&lt;&gt;"",$BI164*O164,0),O164*$BI164),O164*$BI164),0)</f>
        <v>0</v>
      </c>
      <c r="BS164" s="5">
        <f>IF($BI164&lt;&gt;"",IF('Capacity summary'!$C$14="Yes",IF(COUNTBLANK('Capacity summary'!$H76:$BG76)&lt;52,IF('Capacity summary'!P76&lt;&gt;"",$BI164*P164,0),P164*$BI164),P164*$BI164),0)</f>
        <v>0</v>
      </c>
      <c r="BT164" s="5">
        <f>IF($BI164&lt;&gt;"",IF('Capacity summary'!$C$14="Yes",IF(COUNTBLANK('Capacity summary'!$H76:$BG76)&lt;52,IF('Capacity summary'!Q76&lt;&gt;"",$BI164*Q164,0),Q164*$BI164),Q164*$BI164),0)</f>
        <v>0</v>
      </c>
      <c r="BU164" s="5">
        <f>IF($BI164&lt;&gt;"",IF('Capacity summary'!$C$14="Yes",IF(COUNTBLANK('Capacity summary'!$H76:$BG76)&lt;52,IF('Capacity summary'!R76&lt;&gt;"",$BI164*R164,0),R164*$BI164),R164*$BI164),0)</f>
        <v>0</v>
      </c>
      <c r="BV164" s="5">
        <f>IF($BI164&lt;&gt;"",IF('Capacity summary'!$C$14="Yes",IF(COUNTBLANK('Capacity summary'!$H76:$BG76)&lt;52,IF('Capacity summary'!S76&lt;&gt;"",$BI164*S164,0),S164*$BI164),S164*$BI164),0)</f>
        <v>0</v>
      </c>
      <c r="BW164" s="5">
        <f>IF($BI164&lt;&gt;"",IF('Capacity summary'!$C$14="Yes",IF(COUNTBLANK('Capacity summary'!$H76:$BG76)&lt;52,IF('Capacity summary'!T76&lt;&gt;"",$BI164*T164,0),T164*$BI164),T164*$BI164),0)</f>
        <v>0</v>
      </c>
      <c r="BX164" s="5">
        <f>IF($BI164&lt;&gt;"",IF('Capacity summary'!$C$14="Yes",IF(COUNTBLANK('Capacity summary'!$H76:$BG76)&lt;52,IF('Capacity summary'!U76&lt;&gt;"",$BI164*U164,0),U164*$BI164),U164*$BI164),0)</f>
        <v>0</v>
      </c>
      <c r="BY164" s="5">
        <f>IF($BI164&lt;&gt;"",IF('Capacity summary'!$C$14="Yes",IF(COUNTBLANK('Capacity summary'!$H76:$BG76)&lt;52,IF('Capacity summary'!V76&lt;&gt;"",$BI164*V164,0),V164*$BI164),V164*$BI164),0)</f>
        <v>0</v>
      </c>
      <c r="BZ164" s="5">
        <f>IF($BI164&lt;&gt;"",IF('Capacity summary'!$C$14="Yes",IF(COUNTBLANK('Capacity summary'!$H76:$BG76)&lt;52,IF('Capacity summary'!W76&lt;&gt;"",$BI164*W164,0),W164*$BI164),W164*$BI164),0)</f>
        <v>0</v>
      </c>
      <c r="CA164" s="5">
        <f>IF($BI164&lt;&gt;"",IF('Capacity summary'!$C$14="Yes",IF(COUNTBLANK('Capacity summary'!$H76:$BG76)&lt;52,IF('Capacity summary'!X76&lt;&gt;"",$BI164*X164,0),X164*$BI164),X164*$BI164),0)</f>
        <v>0</v>
      </c>
      <c r="CB164" s="5">
        <f>IF($BI164&lt;&gt;"",IF('Capacity summary'!$C$14="Yes",IF(COUNTBLANK('Capacity summary'!$H76:$BG76)&lt;52,IF('Capacity summary'!Y76&lt;&gt;"",$BI164*Y164,0),Y164*$BI164),Y164*$BI164),0)</f>
        <v>0</v>
      </c>
      <c r="CC164" s="5">
        <f>IF($BI164&lt;&gt;"",IF('Capacity summary'!$C$14="Yes",IF(COUNTBLANK('Capacity summary'!$H76:$BG76)&lt;52,IF('Capacity summary'!Z76&lt;&gt;"",$BI164*Z164,0),Z164*$BI164),Z164*$BI164),0)</f>
        <v>0</v>
      </c>
      <c r="CD164" s="5">
        <f>IF($BI164&lt;&gt;"",IF('Capacity summary'!$C$14="Yes",IF(COUNTBLANK('Capacity summary'!$H76:$BG76)&lt;52,IF('Capacity summary'!AA76&lt;&gt;"",$BI164*AA164,0),AA164*$BI164),AA164*$BI164),0)</f>
        <v>0</v>
      </c>
      <c r="CE164" s="5">
        <f>IF($BI164&lt;&gt;"",IF('Capacity summary'!$C$14="Yes",IF(COUNTBLANK('Capacity summary'!$H76:$BG76)&lt;52,IF('Capacity summary'!AB76&lt;&gt;"",$BI164*AB164,0),AB164*$BI164),AB164*$BI164),0)</f>
        <v>0</v>
      </c>
      <c r="CF164" s="5">
        <f>IF($BI164&lt;&gt;"",IF('Capacity summary'!$C$14="Yes",IF(COUNTBLANK('Capacity summary'!$H76:$BG76)&lt;52,IF('Capacity summary'!AC76&lt;&gt;"",$BI164*AC164,0),AC164*$BI164),AC164*$BI164),0)</f>
        <v>0</v>
      </c>
      <c r="CG164" s="5">
        <f>IF($BI164&lt;&gt;"",IF('Capacity summary'!$C$14="Yes",IF(COUNTBLANK('Capacity summary'!$H76:$BG76)&lt;52,IF('Capacity summary'!AD76&lt;&gt;"",$BI164*AD164,0),AD164*$BI164),AD164*$BI164),0)</f>
        <v>0</v>
      </c>
      <c r="CH164" s="5">
        <f>IF($BI164&lt;&gt;"",IF('Capacity summary'!$C$14="Yes",IF(COUNTBLANK('Capacity summary'!$H76:$BG76)&lt;52,IF('Capacity summary'!AE76&lt;&gt;"",$BI164*AE164,0),AE164*$BI164),AE164*$BI164),0)</f>
        <v>0</v>
      </c>
      <c r="CI164" s="5">
        <f>IF($BI164&lt;&gt;"",IF('Capacity summary'!$C$14="Yes",IF(COUNTBLANK('Capacity summary'!$H76:$BG76)&lt;52,IF('Capacity summary'!AF76&lt;&gt;"",$BI164*AF164,0),AF164*$BI164),AF164*$BI164),0)</f>
        <v>0</v>
      </c>
      <c r="CJ164" s="5">
        <f>IF($BI164&lt;&gt;"",IF('Capacity summary'!$C$14="Yes",IF(COUNTBLANK('Capacity summary'!$H76:$BG76)&lt;52,IF('Capacity summary'!AG76&lt;&gt;"",$BI164*AG164,0),AG164*$BI164),AG164*$BI164),0)</f>
        <v>0</v>
      </c>
      <c r="CK164" s="5">
        <f>IF($BI164&lt;&gt;"",IF('Capacity summary'!$C$14="Yes",IF(COUNTBLANK('Capacity summary'!$H76:$BG76)&lt;52,IF('Capacity summary'!AH76&lt;&gt;"",$BI164*AH164,0),AH164*$BI164),AH164*$BI164),0)</f>
        <v>0</v>
      </c>
      <c r="CL164" s="5">
        <f>IF($BI164&lt;&gt;"",IF('Capacity summary'!$C$14="Yes",IF(COUNTBLANK('Capacity summary'!$H76:$BG76)&lt;52,IF('Capacity summary'!AI76&lt;&gt;"",$BI164*AI164,0),AI164*$BI164),AI164*$BI164),0)</f>
        <v>0</v>
      </c>
      <c r="CM164" s="5">
        <f>IF($BI164&lt;&gt;"",IF('Capacity summary'!$C$14="Yes",IF(COUNTBLANK('Capacity summary'!$H76:$BG76)&lt;52,IF('Capacity summary'!AJ76&lt;&gt;"",$BI164*AJ164,0),AJ164*$BI164),AJ164*$BI164),0)</f>
        <v>0</v>
      </c>
      <c r="CN164" s="5">
        <f>IF($BI164&lt;&gt;"",IF('Capacity summary'!$C$14="Yes",IF(COUNTBLANK('Capacity summary'!$H76:$BG76)&lt;52,IF('Capacity summary'!AK76&lt;&gt;"",$BI164*AK164,0),AK164*$BI164),AK164*$BI164),0)</f>
        <v>0</v>
      </c>
      <c r="CO164" s="5">
        <f>IF($BI164&lt;&gt;"",IF('Capacity summary'!$C$14="Yes",IF(COUNTBLANK('Capacity summary'!$H76:$BG76)&lt;52,IF('Capacity summary'!AL76&lt;&gt;"",$BI164*AL164,0),AL164*$BI164),AL164*$BI164),0)</f>
        <v>0</v>
      </c>
      <c r="CP164" s="5">
        <f>IF($BI164&lt;&gt;"",IF('Capacity summary'!$C$14="Yes",IF(COUNTBLANK('Capacity summary'!$H76:$BG76)&lt;52,IF('Capacity summary'!AM76&lt;&gt;"",$BI164*AM164,0),AM164*$BI164),AM164*$BI164),0)</f>
        <v>0</v>
      </c>
      <c r="CQ164" s="5">
        <f>IF($BI164&lt;&gt;"",IF('Capacity summary'!$C$14="Yes",IF(COUNTBLANK('Capacity summary'!$H76:$BG76)&lt;52,IF('Capacity summary'!AN76&lt;&gt;"",$BI164*AN164,0),AN164*$BI164),AN164*$BI164),0)</f>
        <v>0</v>
      </c>
      <c r="CR164" s="5">
        <f>IF($BI164&lt;&gt;"",IF('Capacity summary'!$C$14="Yes",IF(COUNTBLANK('Capacity summary'!$H76:$BG76)&lt;52,IF('Capacity summary'!AO76&lt;&gt;"",$BI164*AO164,0),AO164*$BI164),AO164*$BI164),0)</f>
        <v>0</v>
      </c>
      <c r="CS164" s="5">
        <f>IF($BI164&lt;&gt;"",IF('Capacity summary'!$C$14="Yes",IF(COUNTBLANK('Capacity summary'!$H76:$BG76)&lt;52,IF('Capacity summary'!AP76&lt;&gt;"",$BI164*AP164,0),AP164*$BI164),AP164*$BI164),0)</f>
        <v>0</v>
      </c>
      <c r="CT164" s="5">
        <f>IF($BI164&lt;&gt;"",IF('Capacity summary'!$C$14="Yes",IF(COUNTBLANK('Capacity summary'!$H76:$BG76)&lt;52,IF('Capacity summary'!AQ76&lt;&gt;"",$BI164*AQ164,0),AQ164*$BI164),AQ164*$BI164),0)</f>
        <v>0</v>
      </c>
      <c r="CU164" s="5">
        <f>IF($BI164&lt;&gt;"",IF('Capacity summary'!$C$14="Yes",IF(COUNTBLANK('Capacity summary'!$H76:$BG76)&lt;52,IF('Capacity summary'!AR76&lt;&gt;"",$BI164*AR164,0),AR164*$BI164),AR164*$BI164),0)</f>
        <v>0</v>
      </c>
      <c r="CV164" s="5">
        <f>IF($BI164&lt;&gt;"",IF('Capacity summary'!$C$14="Yes",IF(COUNTBLANK('Capacity summary'!$H76:$BG76)&lt;52,IF('Capacity summary'!AS76&lt;&gt;"",$BI164*AS164,0),AS164*$BI164),AS164*$BI164),0)</f>
        <v>0</v>
      </c>
      <c r="CW164" s="5">
        <f>IF($BI164&lt;&gt;"",IF('Capacity summary'!$C$14="Yes",IF(COUNTBLANK('Capacity summary'!$H76:$BG76)&lt;52,IF('Capacity summary'!AT76&lt;&gt;"",$BI164*AT164,0),AT164*$BI164),AT164*$BI164),0)</f>
        <v>0</v>
      </c>
      <c r="CX164" s="5">
        <f>IF($BI164&lt;&gt;"",IF('Capacity summary'!$C$14="Yes",IF(COUNTBLANK('Capacity summary'!$H76:$BG76)&lt;52,IF('Capacity summary'!AU76&lt;&gt;"",$BI164*AU164,0),AU164*$BI164),AU164*$BI164),0)</f>
        <v>0</v>
      </c>
      <c r="CY164" s="5">
        <f>IF($BI164&lt;&gt;"",IF('Capacity summary'!$C$14="Yes",IF(COUNTBLANK('Capacity summary'!$H76:$BG76)&lt;52,IF('Capacity summary'!AV76&lt;&gt;"",$BI164*AV164,0),AV164*$BI164),AV164*$BI164),0)</f>
        <v>0</v>
      </c>
      <c r="CZ164" s="5">
        <f>IF($BI164&lt;&gt;"",IF('Capacity summary'!$C$14="Yes",IF(COUNTBLANK('Capacity summary'!$H76:$BG76)&lt;52,IF('Capacity summary'!AW76&lt;&gt;"",$BI164*AW164,0),AW164*$BI164),AW164*$BI164),0)</f>
        <v>0</v>
      </c>
      <c r="DA164" s="5">
        <f>IF($BI164&lt;&gt;"",IF('Capacity summary'!$C$14="Yes",IF(COUNTBLANK('Capacity summary'!$H76:$BG76)&lt;52,IF('Capacity summary'!AX76&lt;&gt;"",$BI164*AX164,0),AX164*$BI164),AX164*$BI164),0)</f>
        <v>0</v>
      </c>
      <c r="DB164" s="5">
        <f>IF($BI164&lt;&gt;"",IF('Capacity summary'!$C$14="Yes",IF(COUNTBLANK('Capacity summary'!$H76:$BG76)&lt;52,IF('Capacity summary'!AY76&lt;&gt;"",$BI164*AY164,0),AY164*$BI164),AY164*$BI164),0)</f>
        <v>0</v>
      </c>
      <c r="DC164" s="5">
        <f>IF($BI164&lt;&gt;"",IF('Capacity summary'!$C$14="Yes",IF(COUNTBLANK('Capacity summary'!$H76:$BG76)&lt;52,IF('Capacity summary'!AZ76&lt;&gt;"",$BI164*AZ164,0),AZ164*$BI164),AZ164*$BI164),0)</f>
        <v>0</v>
      </c>
      <c r="DD164" s="5">
        <f>IF($BI164&lt;&gt;"",IF('Capacity summary'!$C$14="Yes",IF(COUNTBLANK('Capacity summary'!$H76:$BG76)&lt;52,IF('Capacity summary'!BA76&lt;&gt;"",$BI164*BA164,0),BA164*$BI164),BA164*$BI164),0)</f>
        <v>0</v>
      </c>
      <c r="DE164" s="5">
        <f>IF($BI164&lt;&gt;"",IF('Capacity summary'!$C$14="Yes",IF(COUNTBLANK('Capacity summary'!$H76:$BG76)&lt;52,IF('Capacity summary'!BB76&lt;&gt;"",$BI164*BB164,0),BB164*$BI164),BB164*$BI164),0)</f>
        <v>0</v>
      </c>
      <c r="DF164" s="5">
        <f>IF($BI164&lt;&gt;"",IF('Capacity summary'!$C$14="Yes",IF(COUNTBLANK('Capacity summary'!$H76:$BG76)&lt;52,IF('Capacity summary'!BC76&lt;&gt;"",$BI164*BC164,0),BC164*$BI164),BC164*$BI164),0)</f>
        <v>0</v>
      </c>
      <c r="DG164" s="5">
        <f>IF($BI164&lt;&gt;"",IF('Capacity summary'!$C$14="Yes",IF(COUNTBLANK('Capacity summary'!$H76:$BG76)&lt;52,IF('Capacity summary'!BD76&lt;&gt;"",$BI164*BD164,0),BD164*$BI164),BD164*$BI164),0)</f>
        <v>0</v>
      </c>
      <c r="DH164" s="5">
        <f>IF($BI164&lt;&gt;"",IF('Capacity summary'!$C$14="Yes",IF(COUNTBLANK('Capacity summary'!$H76:$BG76)&lt;52,IF('Capacity summary'!BE76&lt;&gt;"",$BI164*BE164,0),BE164*$BI164),BE164*$BI164),0)</f>
        <v>0</v>
      </c>
      <c r="DI164" s="5">
        <f>IF($BI164&lt;&gt;"",IF('Capacity summary'!$C$14="Yes",IF(COUNTBLANK('Capacity summary'!$H76:$BG76)&lt;52,IF('Capacity summary'!BF76&lt;&gt;"",$BI164*BF164,0),BF164*$BI164),BF164*$BI164),0)</f>
        <v>0</v>
      </c>
      <c r="DJ164" s="5">
        <f>IF($BI164&lt;&gt;"",IF('Capacity summary'!$C$14="Yes",IF(COUNTBLANK('Capacity summary'!$H76:$BG76)&lt;52,IF('Capacity summary'!BG76&lt;&gt;"",$BI164*BG164,0),BG164*$BI164),BG164*$BI164),0)</f>
        <v>0</v>
      </c>
      <c r="DK164" s="138">
        <f t="shared" si="6"/>
        <v>0</v>
      </c>
    </row>
    <row r="165" spans="3:115" x14ac:dyDescent="0.2">
      <c r="C165" s="68" t="str">
        <f>ROW(A54)&amp;". "&amp;Capacity!N70</f>
        <v xml:space="preserve">54. </v>
      </c>
      <c r="D165" s="68">
        <f>'Capacity setup'!C171</f>
        <v>0</v>
      </c>
      <c r="E165" s="68">
        <f>'Capacity setup'!D171</f>
        <v>0</v>
      </c>
      <c r="F165" s="68">
        <f>'Capacity setup'!E171</f>
        <v>0</v>
      </c>
      <c r="H165" s="68">
        <f ca="1">IF(AND(SUMIF(Capacity_Resource,$D165,'Critical resources (hide)'!U$6:U$105)+SUMIF(Capacity_Resource,$E165,'Critical resources (hide)'!U$6:U$105)+SUMIF(Capacity_Resource,$F165,'Critical resources (hide)'!U$6:U$105)&gt;0,$E$1=2),0,1)</f>
        <v>1</v>
      </c>
      <c r="I165" s="68">
        <f ca="1">IF(AND(SUMIF(Capacity_Resource,$D165,'Critical resources (hide)'!V$6:V$105)+SUMIF(Capacity_Resource,$E165,'Critical resources (hide)'!V$6:V$105)+SUMIF(Capacity_Resource,$F165,'Critical resources (hide)'!V$6:V$105)&gt;0,$E$1=2),0,1)</f>
        <v>1</v>
      </c>
      <c r="J165" s="68">
        <f ca="1">IF(AND(SUMIF(Capacity_Resource,$D165,'Critical resources (hide)'!W$6:W$105)+SUMIF(Capacity_Resource,$E165,'Critical resources (hide)'!W$6:W$105)+SUMIF(Capacity_Resource,$F165,'Critical resources (hide)'!W$6:W$105)&gt;0,$E$1=2),0,1)</f>
        <v>1</v>
      </c>
      <c r="K165" s="68">
        <f ca="1">IF(AND(SUMIF(Capacity_Resource,$D165,'Critical resources (hide)'!X$6:X$105)+SUMIF(Capacity_Resource,$E165,'Critical resources (hide)'!X$6:X$105)+SUMIF(Capacity_Resource,$F165,'Critical resources (hide)'!X$6:X$105)&gt;0,$E$1=2),0,1)</f>
        <v>1</v>
      </c>
      <c r="L165" s="68">
        <f ca="1">IF(AND(SUMIF(Capacity_Resource,$D165,'Critical resources (hide)'!Y$6:Y$105)+SUMIF(Capacity_Resource,$E165,'Critical resources (hide)'!Y$6:Y$105)+SUMIF(Capacity_Resource,$F165,'Critical resources (hide)'!Y$6:Y$105)&gt;0,$E$1=2),0,1)</f>
        <v>1</v>
      </c>
      <c r="M165" s="68">
        <f ca="1">IF(AND(SUMIF(Capacity_Resource,$D165,'Critical resources (hide)'!Z$6:Z$105)+SUMIF(Capacity_Resource,$E165,'Critical resources (hide)'!Z$6:Z$105)+SUMIF(Capacity_Resource,$F165,'Critical resources (hide)'!Z$6:Z$105)&gt;0,$E$1=2),0,1)</f>
        <v>1</v>
      </c>
      <c r="N165" s="68">
        <f ca="1">IF(AND(SUMIF(Capacity_Resource,$D165,'Critical resources (hide)'!AA$6:AA$105)+SUMIF(Capacity_Resource,$E165,'Critical resources (hide)'!AA$6:AA$105)+SUMIF(Capacity_Resource,$F165,'Critical resources (hide)'!AA$6:AA$105)&gt;0,$E$1=2),0,1)</f>
        <v>1</v>
      </c>
      <c r="O165" s="68">
        <f ca="1">IF(AND(SUMIF(Capacity_Resource,$D165,'Critical resources (hide)'!AB$6:AB$105)+SUMIF(Capacity_Resource,$E165,'Critical resources (hide)'!AB$6:AB$105)+SUMIF(Capacity_Resource,$F165,'Critical resources (hide)'!AB$6:AB$105)&gt;0,$E$1=2),0,1)</f>
        <v>1</v>
      </c>
      <c r="P165" s="68">
        <f ca="1">IF(AND(SUMIF(Capacity_Resource,$D165,'Critical resources (hide)'!AC$6:AC$105)+SUMIF(Capacity_Resource,$E165,'Critical resources (hide)'!AC$6:AC$105)+SUMIF(Capacity_Resource,$F165,'Critical resources (hide)'!AC$6:AC$105)&gt;0,$E$1=2),0,1)</f>
        <v>1</v>
      </c>
      <c r="Q165" s="68">
        <f ca="1">IF(AND(SUMIF(Capacity_Resource,$D165,'Critical resources (hide)'!AD$6:AD$105)+SUMIF(Capacity_Resource,$E165,'Critical resources (hide)'!AD$6:AD$105)+SUMIF(Capacity_Resource,$F165,'Critical resources (hide)'!AD$6:AD$105)&gt;0,$E$1=2),0,1)</f>
        <v>1</v>
      </c>
      <c r="R165" s="68">
        <f ca="1">IF(AND(SUMIF(Capacity_Resource,$D165,'Critical resources (hide)'!AE$6:AE$105)+SUMIF(Capacity_Resource,$E165,'Critical resources (hide)'!AE$6:AE$105)+SUMIF(Capacity_Resource,$F165,'Critical resources (hide)'!AE$6:AE$105)&gt;0,$E$1=2),0,1)</f>
        <v>1</v>
      </c>
      <c r="S165" s="68">
        <f ca="1">IF(AND(SUMIF(Capacity_Resource,$D165,'Critical resources (hide)'!AF$6:AF$105)+SUMIF(Capacity_Resource,$E165,'Critical resources (hide)'!AF$6:AF$105)+SUMIF(Capacity_Resource,$F165,'Critical resources (hide)'!AF$6:AF$105)&gt;0,$E$1=2),0,1)</f>
        <v>1</v>
      </c>
      <c r="T165" s="68">
        <f ca="1">IF(AND(SUMIF(Capacity_Resource,$D165,'Critical resources (hide)'!AG$6:AG$105)+SUMIF(Capacity_Resource,$E165,'Critical resources (hide)'!AG$6:AG$105)+SUMIF(Capacity_Resource,$F165,'Critical resources (hide)'!AG$6:AG$105)&gt;0,$E$1=2),0,1)</f>
        <v>1</v>
      </c>
      <c r="U165" s="68">
        <f ca="1">IF(AND(SUMIF(Capacity_Resource,$D165,'Critical resources (hide)'!AH$6:AH$105)+SUMIF(Capacity_Resource,$E165,'Critical resources (hide)'!AH$6:AH$105)+SUMIF(Capacity_Resource,$F165,'Critical resources (hide)'!AH$6:AH$105)&gt;0,$E$1=2),0,1)</f>
        <v>1</v>
      </c>
      <c r="V165" s="68">
        <f ca="1">IF(AND(SUMIF(Capacity_Resource,$D165,'Critical resources (hide)'!AI$6:AI$105)+SUMIF(Capacity_Resource,$E165,'Critical resources (hide)'!AI$6:AI$105)+SUMIF(Capacity_Resource,$F165,'Critical resources (hide)'!AI$6:AI$105)&gt;0,$E$1=2),0,1)</f>
        <v>1</v>
      </c>
      <c r="W165" s="68">
        <f ca="1">IF(AND(SUMIF(Capacity_Resource,$D165,'Critical resources (hide)'!AJ$6:AJ$105)+SUMIF(Capacity_Resource,$E165,'Critical resources (hide)'!AJ$6:AJ$105)+SUMIF(Capacity_Resource,$F165,'Critical resources (hide)'!AJ$6:AJ$105)&gt;0,$E$1=2),0,1)</f>
        <v>1</v>
      </c>
      <c r="X165" s="68">
        <f ca="1">IF(AND(SUMIF(Capacity_Resource,$D165,'Critical resources (hide)'!AK$6:AK$105)+SUMIF(Capacity_Resource,$E165,'Critical resources (hide)'!AK$6:AK$105)+SUMIF(Capacity_Resource,$F165,'Critical resources (hide)'!AK$6:AK$105)&gt;0,$E$1=2),0,1)</f>
        <v>1</v>
      </c>
      <c r="Y165" s="68">
        <f ca="1">IF(AND(SUMIF(Capacity_Resource,$D165,'Critical resources (hide)'!AL$6:AL$105)+SUMIF(Capacity_Resource,$E165,'Critical resources (hide)'!AL$6:AL$105)+SUMIF(Capacity_Resource,$F165,'Critical resources (hide)'!AL$6:AL$105)&gt;0,$E$1=2),0,1)</f>
        <v>1</v>
      </c>
      <c r="Z165" s="68">
        <f ca="1">IF(AND(SUMIF(Capacity_Resource,$D165,'Critical resources (hide)'!AM$6:AM$105)+SUMIF(Capacity_Resource,$E165,'Critical resources (hide)'!AM$6:AM$105)+SUMIF(Capacity_Resource,$F165,'Critical resources (hide)'!AM$6:AM$105)&gt;0,$E$1=2),0,1)</f>
        <v>1</v>
      </c>
      <c r="AA165" s="68">
        <f ca="1">IF(AND(SUMIF(Capacity_Resource,$D165,'Critical resources (hide)'!AN$6:AN$105)+SUMIF(Capacity_Resource,$E165,'Critical resources (hide)'!AN$6:AN$105)+SUMIF(Capacity_Resource,$F165,'Critical resources (hide)'!AN$6:AN$105)&gt;0,$E$1=2),0,1)</f>
        <v>1</v>
      </c>
      <c r="AB165" s="68">
        <f ca="1">IF(AND(SUMIF(Capacity_Resource,$D165,'Critical resources (hide)'!AO$6:AO$105)+SUMIF(Capacity_Resource,$E165,'Critical resources (hide)'!AO$6:AO$105)+SUMIF(Capacity_Resource,$F165,'Critical resources (hide)'!AO$6:AO$105)&gt;0,$E$1=2),0,1)</f>
        <v>1</v>
      </c>
      <c r="AC165" s="68">
        <f ca="1">IF(AND(SUMIF(Capacity_Resource,$D165,'Critical resources (hide)'!AP$6:AP$105)+SUMIF(Capacity_Resource,$E165,'Critical resources (hide)'!AP$6:AP$105)+SUMIF(Capacity_Resource,$F165,'Critical resources (hide)'!AP$6:AP$105)&gt;0,$E$1=2),0,1)</f>
        <v>1</v>
      </c>
      <c r="AD165" s="68">
        <f ca="1">IF(AND(SUMIF(Capacity_Resource,$D165,'Critical resources (hide)'!AQ$6:AQ$105)+SUMIF(Capacity_Resource,$E165,'Critical resources (hide)'!AQ$6:AQ$105)+SUMIF(Capacity_Resource,$F165,'Critical resources (hide)'!AQ$6:AQ$105)&gt;0,$E$1=2),0,1)</f>
        <v>1</v>
      </c>
      <c r="AE165" s="68">
        <f ca="1">IF(AND(SUMIF(Capacity_Resource,$D165,'Critical resources (hide)'!AR$6:AR$105)+SUMIF(Capacity_Resource,$E165,'Critical resources (hide)'!AR$6:AR$105)+SUMIF(Capacity_Resource,$F165,'Critical resources (hide)'!AR$6:AR$105)&gt;0,$E$1=2),0,1)</f>
        <v>1</v>
      </c>
      <c r="AF165" s="68">
        <f ca="1">IF(AND(SUMIF(Capacity_Resource,$D165,'Critical resources (hide)'!AS$6:AS$105)+SUMIF(Capacity_Resource,$E165,'Critical resources (hide)'!AS$6:AS$105)+SUMIF(Capacity_Resource,$F165,'Critical resources (hide)'!AS$6:AS$105)&gt;0,$E$1=2),0,1)</f>
        <v>1</v>
      </c>
      <c r="AG165" s="68">
        <f ca="1">IF(AND(SUMIF(Capacity_Resource,$D165,'Critical resources (hide)'!AT$6:AT$105)+SUMIF(Capacity_Resource,$E165,'Critical resources (hide)'!AT$6:AT$105)+SUMIF(Capacity_Resource,$F165,'Critical resources (hide)'!AT$6:AT$105)&gt;0,$E$1=2),0,1)</f>
        <v>1</v>
      </c>
      <c r="AH165" s="68">
        <f ca="1">IF(AND(SUMIF(Capacity_Resource,$D165,'Critical resources (hide)'!AU$6:AU$105)+SUMIF(Capacity_Resource,$E165,'Critical resources (hide)'!AU$6:AU$105)+SUMIF(Capacity_Resource,$F165,'Critical resources (hide)'!AU$6:AU$105)&gt;0,$E$1=2),0,1)</f>
        <v>1</v>
      </c>
      <c r="AI165" s="68">
        <f ca="1">IF(AND(SUMIF(Capacity_Resource,$D165,'Critical resources (hide)'!AV$6:AV$105)+SUMIF(Capacity_Resource,$E165,'Critical resources (hide)'!AV$6:AV$105)+SUMIF(Capacity_Resource,$F165,'Critical resources (hide)'!AV$6:AV$105)&gt;0,$E$1=2),0,1)</f>
        <v>1</v>
      </c>
      <c r="AJ165" s="68">
        <f ca="1">IF(AND(SUMIF(Capacity_Resource,$D165,'Critical resources (hide)'!AW$6:AW$105)+SUMIF(Capacity_Resource,$E165,'Critical resources (hide)'!AW$6:AW$105)+SUMIF(Capacity_Resource,$F165,'Critical resources (hide)'!AW$6:AW$105)&gt;0,$E$1=2),0,1)</f>
        <v>1</v>
      </c>
      <c r="AK165" s="68">
        <f ca="1">IF(AND(SUMIF(Capacity_Resource,$D165,'Critical resources (hide)'!AX$6:AX$105)+SUMIF(Capacity_Resource,$E165,'Critical resources (hide)'!AX$6:AX$105)+SUMIF(Capacity_Resource,$F165,'Critical resources (hide)'!AX$6:AX$105)&gt;0,$E$1=2),0,1)</f>
        <v>1</v>
      </c>
      <c r="AL165" s="68">
        <f ca="1">IF(AND(SUMIF(Capacity_Resource,$D165,'Critical resources (hide)'!AY$6:AY$105)+SUMIF(Capacity_Resource,$E165,'Critical resources (hide)'!AY$6:AY$105)+SUMIF(Capacity_Resource,$F165,'Critical resources (hide)'!AY$6:AY$105)&gt;0,$E$1=2),0,1)</f>
        <v>1</v>
      </c>
      <c r="AM165" s="68">
        <f ca="1">IF(AND(SUMIF(Capacity_Resource,$D165,'Critical resources (hide)'!AZ$6:AZ$105)+SUMIF(Capacity_Resource,$E165,'Critical resources (hide)'!AZ$6:AZ$105)+SUMIF(Capacity_Resource,$F165,'Critical resources (hide)'!AZ$6:AZ$105)&gt;0,$E$1=2),0,1)</f>
        <v>1</v>
      </c>
      <c r="AN165" s="68">
        <f ca="1">IF(AND(SUMIF(Capacity_Resource,$D165,'Critical resources (hide)'!BA$6:BA$105)+SUMIF(Capacity_Resource,$E165,'Critical resources (hide)'!BA$6:BA$105)+SUMIF(Capacity_Resource,$F165,'Critical resources (hide)'!BA$6:BA$105)&gt;0,$E$1=2),0,1)</f>
        <v>1</v>
      </c>
      <c r="AO165" s="68">
        <f ca="1">IF(AND(SUMIF(Capacity_Resource,$D165,'Critical resources (hide)'!BB$6:BB$105)+SUMIF(Capacity_Resource,$E165,'Critical resources (hide)'!BB$6:BB$105)+SUMIF(Capacity_Resource,$F165,'Critical resources (hide)'!BB$6:BB$105)&gt;0,$E$1=2),0,1)</f>
        <v>1</v>
      </c>
      <c r="AP165" s="68">
        <f ca="1">IF(AND(SUMIF(Capacity_Resource,$D165,'Critical resources (hide)'!BC$6:BC$105)+SUMIF(Capacity_Resource,$E165,'Critical resources (hide)'!BC$6:BC$105)+SUMIF(Capacity_Resource,$F165,'Critical resources (hide)'!BC$6:BC$105)&gt;0,$E$1=2),0,1)</f>
        <v>1</v>
      </c>
      <c r="AQ165" s="68">
        <f ca="1">IF(AND(SUMIF(Capacity_Resource,$D165,'Critical resources (hide)'!BD$6:BD$105)+SUMIF(Capacity_Resource,$E165,'Critical resources (hide)'!BD$6:BD$105)+SUMIF(Capacity_Resource,$F165,'Critical resources (hide)'!BD$6:BD$105)&gt;0,$E$1=2),0,1)</f>
        <v>1</v>
      </c>
      <c r="AR165" s="68">
        <f ca="1">IF(AND(SUMIF(Capacity_Resource,$D165,'Critical resources (hide)'!BE$6:BE$105)+SUMIF(Capacity_Resource,$E165,'Critical resources (hide)'!BE$6:BE$105)+SUMIF(Capacity_Resource,$F165,'Critical resources (hide)'!BE$6:BE$105)&gt;0,$E$1=2),0,1)</f>
        <v>1</v>
      </c>
      <c r="AS165" s="68">
        <f ca="1">IF(AND(SUMIF(Capacity_Resource,$D165,'Critical resources (hide)'!BF$6:BF$105)+SUMIF(Capacity_Resource,$E165,'Critical resources (hide)'!BF$6:BF$105)+SUMIF(Capacity_Resource,$F165,'Critical resources (hide)'!BF$6:BF$105)&gt;0,$E$1=2),0,1)</f>
        <v>1</v>
      </c>
      <c r="AT165" s="68">
        <f ca="1">IF(AND(SUMIF(Capacity_Resource,$D165,'Critical resources (hide)'!BG$6:BG$105)+SUMIF(Capacity_Resource,$E165,'Critical resources (hide)'!BG$6:BG$105)+SUMIF(Capacity_Resource,$F165,'Critical resources (hide)'!BG$6:BG$105)&gt;0,$E$1=2),0,1)</f>
        <v>1</v>
      </c>
      <c r="AU165" s="68">
        <f ca="1">IF(AND(SUMIF(Capacity_Resource,$D165,'Critical resources (hide)'!BH$6:BH$105)+SUMIF(Capacity_Resource,$E165,'Critical resources (hide)'!BH$6:BH$105)+SUMIF(Capacity_Resource,$F165,'Critical resources (hide)'!BH$6:BH$105)&gt;0,$E$1=2),0,1)</f>
        <v>1</v>
      </c>
      <c r="AV165" s="68">
        <f ca="1">IF(AND(SUMIF(Capacity_Resource,$D165,'Critical resources (hide)'!BI$6:BI$105)+SUMIF(Capacity_Resource,$E165,'Critical resources (hide)'!BI$6:BI$105)+SUMIF(Capacity_Resource,$F165,'Critical resources (hide)'!BI$6:BI$105)&gt;0,$E$1=2),0,1)</f>
        <v>1</v>
      </c>
      <c r="AW165" s="68">
        <f ca="1">IF(AND(SUMIF(Capacity_Resource,$D165,'Critical resources (hide)'!BJ$6:BJ$105)+SUMIF(Capacity_Resource,$E165,'Critical resources (hide)'!BJ$6:BJ$105)+SUMIF(Capacity_Resource,$F165,'Critical resources (hide)'!BJ$6:BJ$105)&gt;0,$E$1=2),0,1)</f>
        <v>1</v>
      </c>
      <c r="AX165" s="68">
        <f ca="1">IF(AND(SUMIF(Capacity_Resource,$D165,'Critical resources (hide)'!BK$6:BK$105)+SUMIF(Capacity_Resource,$E165,'Critical resources (hide)'!BK$6:BK$105)+SUMIF(Capacity_Resource,$F165,'Critical resources (hide)'!BK$6:BK$105)&gt;0,$E$1=2),0,1)</f>
        <v>1</v>
      </c>
      <c r="AY165" s="68">
        <f ca="1">IF(AND(SUMIF(Capacity_Resource,$D165,'Critical resources (hide)'!BL$6:BL$105)+SUMIF(Capacity_Resource,$E165,'Critical resources (hide)'!BL$6:BL$105)+SUMIF(Capacity_Resource,$F165,'Critical resources (hide)'!BL$6:BL$105)&gt;0,$E$1=2),0,1)</f>
        <v>1</v>
      </c>
      <c r="AZ165" s="68">
        <f ca="1">IF(AND(SUMIF(Capacity_Resource,$D165,'Critical resources (hide)'!BM$6:BM$105)+SUMIF(Capacity_Resource,$E165,'Critical resources (hide)'!BM$6:BM$105)+SUMIF(Capacity_Resource,$F165,'Critical resources (hide)'!BM$6:BM$105)&gt;0,$E$1=2),0,1)</f>
        <v>1</v>
      </c>
      <c r="BA165" s="68">
        <f ca="1">IF(AND(SUMIF(Capacity_Resource,$D165,'Critical resources (hide)'!BN$6:BN$105)+SUMIF(Capacity_Resource,$E165,'Critical resources (hide)'!BN$6:BN$105)+SUMIF(Capacity_Resource,$F165,'Critical resources (hide)'!BN$6:BN$105)&gt;0,$E$1=2),0,1)</f>
        <v>1</v>
      </c>
      <c r="BB165" s="68">
        <f ca="1">IF(AND(SUMIF(Capacity_Resource,$D165,'Critical resources (hide)'!BO$6:BO$105)+SUMIF(Capacity_Resource,$E165,'Critical resources (hide)'!BO$6:BO$105)+SUMIF(Capacity_Resource,$F165,'Critical resources (hide)'!BO$6:BO$105)&gt;0,$E$1=2),0,1)</f>
        <v>1</v>
      </c>
      <c r="BC165" s="68">
        <f ca="1">IF(AND(SUMIF(Capacity_Resource,$D165,'Critical resources (hide)'!BP$6:BP$105)+SUMIF(Capacity_Resource,$E165,'Critical resources (hide)'!BP$6:BP$105)+SUMIF(Capacity_Resource,$F165,'Critical resources (hide)'!BP$6:BP$105)&gt;0,$E$1=2),0,1)</f>
        <v>1</v>
      </c>
      <c r="BD165" s="68">
        <f ca="1">IF(AND(SUMIF(Capacity_Resource,$D165,'Critical resources (hide)'!BQ$6:BQ$105)+SUMIF(Capacity_Resource,$E165,'Critical resources (hide)'!BQ$6:BQ$105)+SUMIF(Capacity_Resource,$F165,'Critical resources (hide)'!BQ$6:BQ$105)&gt;0,$E$1=2),0,1)</f>
        <v>1</v>
      </c>
      <c r="BE165" s="68">
        <f ca="1">IF(AND(SUMIF(Capacity_Resource,$D165,'Critical resources (hide)'!BR$6:BR$105)+SUMIF(Capacity_Resource,$E165,'Critical resources (hide)'!BR$6:BR$105)+SUMIF(Capacity_Resource,$F165,'Critical resources (hide)'!BR$6:BR$105)&gt;0,$E$1=2),0,1)</f>
        <v>1</v>
      </c>
      <c r="BF165" s="68">
        <f ca="1">IF(AND(SUMIF(Capacity_Resource,$D165,'Critical resources (hide)'!BS$6:BS$105)+SUMIF(Capacity_Resource,$E165,'Critical resources (hide)'!BS$6:BS$105)+SUMIF(Capacity_Resource,$F165,'Critical resources (hide)'!BS$6:BS$105)&gt;0,$E$1=2),0,1)</f>
        <v>1</v>
      </c>
      <c r="BG165" s="68">
        <f ca="1">IF(AND(SUMIF(Capacity_Resource,$D165,'Critical resources (hide)'!BT$6:BT$105)+SUMIF(Capacity_Resource,$E165,'Critical resources (hide)'!BT$6:BT$105)+SUMIF(Capacity_Resource,$F165,'Critical resources (hide)'!BT$6:BT$105)&gt;0,$E$1=2),0,1)</f>
        <v>1</v>
      </c>
      <c r="BH165" s="68">
        <f>IF(ROW(A54)&lt;=Capacity!$M$16,IF('Capacity summary'!$C$14="No",SUM(H165:BG165),'Capacity summary'!$E77),0)</f>
        <v>0</v>
      </c>
      <c r="BI165" s="68" t="str">
        <f>IF(BH165&gt;0,IF(BH165&lt;Capacity!Q70,Capacity!R70,Capacity!T70/'Capacity calculation (hide)'!BH165),"")</f>
        <v/>
      </c>
      <c r="BJ165" s="5"/>
      <c r="BK165" s="5">
        <f>IF($BI165&lt;&gt;"",IF('Capacity summary'!$C$14="Yes",IF(COUNTBLANK('Capacity summary'!$H77:$BG77)&lt;52,IF('Capacity summary'!H77&lt;&gt;"",$BI165*H165,0),H165*$BI165),H165*$BI165),0)</f>
        <v>0</v>
      </c>
      <c r="BL165" s="5">
        <f>IF($BI165&lt;&gt;"",IF('Capacity summary'!$C$14="Yes",IF(COUNTBLANK('Capacity summary'!$H77:$BG77)&lt;52,IF('Capacity summary'!I77&lt;&gt;"",$BI165*I165,0),I165*$BI165),I165*$BI165),0)</f>
        <v>0</v>
      </c>
      <c r="BM165" s="5">
        <f>IF($BI165&lt;&gt;"",IF('Capacity summary'!$C$14="Yes",IF(COUNTBLANK('Capacity summary'!$H77:$BG77)&lt;52,IF('Capacity summary'!J77&lt;&gt;"",$BI165*J165,0),J165*$BI165),J165*$BI165),0)</f>
        <v>0</v>
      </c>
      <c r="BN165" s="5">
        <f>IF($BI165&lt;&gt;"",IF('Capacity summary'!$C$14="Yes",IF(COUNTBLANK('Capacity summary'!$H77:$BG77)&lt;52,IF('Capacity summary'!K77&lt;&gt;"",$BI165*K165,0),K165*$BI165),K165*$BI165),0)</f>
        <v>0</v>
      </c>
      <c r="BO165" s="5">
        <f>IF($BI165&lt;&gt;"",IF('Capacity summary'!$C$14="Yes",IF(COUNTBLANK('Capacity summary'!$H77:$BG77)&lt;52,IF('Capacity summary'!L77&lt;&gt;"",$BI165*L165,0),L165*$BI165),L165*$BI165),0)</f>
        <v>0</v>
      </c>
      <c r="BP165" s="5">
        <f>IF($BI165&lt;&gt;"",IF('Capacity summary'!$C$14="Yes",IF(COUNTBLANK('Capacity summary'!$H77:$BG77)&lt;52,IF('Capacity summary'!M77&lt;&gt;"",$BI165*M165,0),M165*$BI165),M165*$BI165),0)</f>
        <v>0</v>
      </c>
      <c r="BQ165" s="5">
        <f>IF($BI165&lt;&gt;"",IF('Capacity summary'!$C$14="Yes",IF(COUNTBLANK('Capacity summary'!$H77:$BG77)&lt;52,IF('Capacity summary'!N77&lt;&gt;"",$BI165*N165,0),N165*$BI165),N165*$BI165),0)</f>
        <v>0</v>
      </c>
      <c r="BR165" s="5">
        <f>IF($BI165&lt;&gt;"",IF('Capacity summary'!$C$14="Yes",IF(COUNTBLANK('Capacity summary'!$H77:$BG77)&lt;52,IF('Capacity summary'!O77&lt;&gt;"",$BI165*O165,0),O165*$BI165),O165*$BI165),0)</f>
        <v>0</v>
      </c>
      <c r="BS165" s="5">
        <f>IF($BI165&lt;&gt;"",IF('Capacity summary'!$C$14="Yes",IF(COUNTBLANK('Capacity summary'!$H77:$BG77)&lt;52,IF('Capacity summary'!P77&lt;&gt;"",$BI165*P165,0),P165*$BI165),P165*$BI165),0)</f>
        <v>0</v>
      </c>
      <c r="BT165" s="5">
        <f>IF($BI165&lt;&gt;"",IF('Capacity summary'!$C$14="Yes",IF(COUNTBLANK('Capacity summary'!$H77:$BG77)&lt;52,IF('Capacity summary'!Q77&lt;&gt;"",$BI165*Q165,0),Q165*$BI165),Q165*$BI165),0)</f>
        <v>0</v>
      </c>
      <c r="BU165" s="5">
        <f>IF($BI165&lt;&gt;"",IF('Capacity summary'!$C$14="Yes",IF(COUNTBLANK('Capacity summary'!$H77:$BG77)&lt;52,IF('Capacity summary'!R77&lt;&gt;"",$BI165*R165,0),R165*$BI165),R165*$BI165),0)</f>
        <v>0</v>
      </c>
      <c r="BV165" s="5">
        <f>IF($BI165&lt;&gt;"",IF('Capacity summary'!$C$14="Yes",IF(COUNTBLANK('Capacity summary'!$H77:$BG77)&lt;52,IF('Capacity summary'!S77&lt;&gt;"",$BI165*S165,0),S165*$BI165),S165*$BI165),0)</f>
        <v>0</v>
      </c>
      <c r="BW165" s="5">
        <f>IF($BI165&lt;&gt;"",IF('Capacity summary'!$C$14="Yes",IF(COUNTBLANK('Capacity summary'!$H77:$BG77)&lt;52,IF('Capacity summary'!T77&lt;&gt;"",$BI165*T165,0),T165*$BI165),T165*$BI165),0)</f>
        <v>0</v>
      </c>
      <c r="BX165" s="5">
        <f>IF($BI165&lt;&gt;"",IF('Capacity summary'!$C$14="Yes",IF(COUNTBLANK('Capacity summary'!$H77:$BG77)&lt;52,IF('Capacity summary'!U77&lt;&gt;"",$BI165*U165,0),U165*$BI165),U165*$BI165),0)</f>
        <v>0</v>
      </c>
      <c r="BY165" s="5">
        <f>IF($BI165&lt;&gt;"",IF('Capacity summary'!$C$14="Yes",IF(COUNTBLANK('Capacity summary'!$H77:$BG77)&lt;52,IF('Capacity summary'!V77&lt;&gt;"",$BI165*V165,0),V165*$BI165),V165*$BI165),0)</f>
        <v>0</v>
      </c>
      <c r="BZ165" s="5">
        <f>IF($BI165&lt;&gt;"",IF('Capacity summary'!$C$14="Yes",IF(COUNTBLANK('Capacity summary'!$H77:$BG77)&lt;52,IF('Capacity summary'!W77&lt;&gt;"",$BI165*W165,0),W165*$BI165),W165*$BI165),0)</f>
        <v>0</v>
      </c>
      <c r="CA165" s="5">
        <f>IF($BI165&lt;&gt;"",IF('Capacity summary'!$C$14="Yes",IF(COUNTBLANK('Capacity summary'!$H77:$BG77)&lt;52,IF('Capacity summary'!X77&lt;&gt;"",$BI165*X165,0),X165*$BI165),X165*$BI165),0)</f>
        <v>0</v>
      </c>
      <c r="CB165" s="5">
        <f>IF($BI165&lt;&gt;"",IF('Capacity summary'!$C$14="Yes",IF(COUNTBLANK('Capacity summary'!$H77:$BG77)&lt;52,IF('Capacity summary'!Y77&lt;&gt;"",$BI165*Y165,0),Y165*$BI165),Y165*$BI165),0)</f>
        <v>0</v>
      </c>
      <c r="CC165" s="5">
        <f>IF($BI165&lt;&gt;"",IF('Capacity summary'!$C$14="Yes",IF(COUNTBLANK('Capacity summary'!$H77:$BG77)&lt;52,IF('Capacity summary'!Z77&lt;&gt;"",$BI165*Z165,0),Z165*$BI165),Z165*$BI165),0)</f>
        <v>0</v>
      </c>
      <c r="CD165" s="5">
        <f>IF($BI165&lt;&gt;"",IF('Capacity summary'!$C$14="Yes",IF(COUNTBLANK('Capacity summary'!$H77:$BG77)&lt;52,IF('Capacity summary'!AA77&lt;&gt;"",$BI165*AA165,0),AA165*$BI165),AA165*$BI165),0)</f>
        <v>0</v>
      </c>
      <c r="CE165" s="5">
        <f>IF($BI165&lt;&gt;"",IF('Capacity summary'!$C$14="Yes",IF(COUNTBLANK('Capacity summary'!$H77:$BG77)&lt;52,IF('Capacity summary'!AB77&lt;&gt;"",$BI165*AB165,0),AB165*$BI165),AB165*$BI165),0)</f>
        <v>0</v>
      </c>
      <c r="CF165" s="5">
        <f>IF($BI165&lt;&gt;"",IF('Capacity summary'!$C$14="Yes",IF(COUNTBLANK('Capacity summary'!$H77:$BG77)&lt;52,IF('Capacity summary'!AC77&lt;&gt;"",$BI165*AC165,0),AC165*$BI165),AC165*$BI165),0)</f>
        <v>0</v>
      </c>
      <c r="CG165" s="5">
        <f>IF($BI165&lt;&gt;"",IF('Capacity summary'!$C$14="Yes",IF(COUNTBLANK('Capacity summary'!$H77:$BG77)&lt;52,IF('Capacity summary'!AD77&lt;&gt;"",$BI165*AD165,0),AD165*$BI165),AD165*$BI165),0)</f>
        <v>0</v>
      </c>
      <c r="CH165" s="5">
        <f>IF($BI165&lt;&gt;"",IF('Capacity summary'!$C$14="Yes",IF(COUNTBLANK('Capacity summary'!$H77:$BG77)&lt;52,IF('Capacity summary'!AE77&lt;&gt;"",$BI165*AE165,0),AE165*$BI165),AE165*$BI165),0)</f>
        <v>0</v>
      </c>
      <c r="CI165" s="5">
        <f>IF($BI165&lt;&gt;"",IF('Capacity summary'!$C$14="Yes",IF(COUNTBLANK('Capacity summary'!$H77:$BG77)&lt;52,IF('Capacity summary'!AF77&lt;&gt;"",$BI165*AF165,0),AF165*$BI165),AF165*$BI165),0)</f>
        <v>0</v>
      </c>
      <c r="CJ165" s="5">
        <f>IF($BI165&lt;&gt;"",IF('Capacity summary'!$C$14="Yes",IF(COUNTBLANK('Capacity summary'!$H77:$BG77)&lt;52,IF('Capacity summary'!AG77&lt;&gt;"",$BI165*AG165,0),AG165*$BI165),AG165*$BI165),0)</f>
        <v>0</v>
      </c>
      <c r="CK165" s="5">
        <f>IF($BI165&lt;&gt;"",IF('Capacity summary'!$C$14="Yes",IF(COUNTBLANK('Capacity summary'!$H77:$BG77)&lt;52,IF('Capacity summary'!AH77&lt;&gt;"",$BI165*AH165,0),AH165*$BI165),AH165*$BI165),0)</f>
        <v>0</v>
      </c>
      <c r="CL165" s="5">
        <f>IF($BI165&lt;&gt;"",IF('Capacity summary'!$C$14="Yes",IF(COUNTBLANK('Capacity summary'!$H77:$BG77)&lt;52,IF('Capacity summary'!AI77&lt;&gt;"",$BI165*AI165,0),AI165*$BI165),AI165*$BI165),0)</f>
        <v>0</v>
      </c>
      <c r="CM165" s="5">
        <f>IF($BI165&lt;&gt;"",IF('Capacity summary'!$C$14="Yes",IF(COUNTBLANK('Capacity summary'!$H77:$BG77)&lt;52,IF('Capacity summary'!AJ77&lt;&gt;"",$BI165*AJ165,0),AJ165*$BI165),AJ165*$BI165),0)</f>
        <v>0</v>
      </c>
      <c r="CN165" s="5">
        <f>IF($BI165&lt;&gt;"",IF('Capacity summary'!$C$14="Yes",IF(COUNTBLANK('Capacity summary'!$H77:$BG77)&lt;52,IF('Capacity summary'!AK77&lt;&gt;"",$BI165*AK165,0),AK165*$BI165),AK165*$BI165),0)</f>
        <v>0</v>
      </c>
      <c r="CO165" s="5">
        <f>IF($BI165&lt;&gt;"",IF('Capacity summary'!$C$14="Yes",IF(COUNTBLANK('Capacity summary'!$H77:$BG77)&lt;52,IF('Capacity summary'!AL77&lt;&gt;"",$BI165*AL165,0),AL165*$BI165),AL165*$BI165),0)</f>
        <v>0</v>
      </c>
      <c r="CP165" s="5">
        <f>IF($BI165&lt;&gt;"",IF('Capacity summary'!$C$14="Yes",IF(COUNTBLANK('Capacity summary'!$H77:$BG77)&lt;52,IF('Capacity summary'!AM77&lt;&gt;"",$BI165*AM165,0),AM165*$BI165),AM165*$BI165),0)</f>
        <v>0</v>
      </c>
      <c r="CQ165" s="5">
        <f>IF($BI165&lt;&gt;"",IF('Capacity summary'!$C$14="Yes",IF(COUNTBLANK('Capacity summary'!$H77:$BG77)&lt;52,IF('Capacity summary'!AN77&lt;&gt;"",$BI165*AN165,0),AN165*$BI165),AN165*$BI165),0)</f>
        <v>0</v>
      </c>
      <c r="CR165" s="5">
        <f>IF($BI165&lt;&gt;"",IF('Capacity summary'!$C$14="Yes",IF(COUNTBLANK('Capacity summary'!$H77:$BG77)&lt;52,IF('Capacity summary'!AO77&lt;&gt;"",$BI165*AO165,0),AO165*$BI165),AO165*$BI165),0)</f>
        <v>0</v>
      </c>
      <c r="CS165" s="5">
        <f>IF($BI165&lt;&gt;"",IF('Capacity summary'!$C$14="Yes",IF(COUNTBLANK('Capacity summary'!$H77:$BG77)&lt;52,IF('Capacity summary'!AP77&lt;&gt;"",$BI165*AP165,0),AP165*$BI165),AP165*$BI165),0)</f>
        <v>0</v>
      </c>
      <c r="CT165" s="5">
        <f>IF($BI165&lt;&gt;"",IF('Capacity summary'!$C$14="Yes",IF(COUNTBLANK('Capacity summary'!$H77:$BG77)&lt;52,IF('Capacity summary'!AQ77&lt;&gt;"",$BI165*AQ165,0),AQ165*$BI165),AQ165*$BI165),0)</f>
        <v>0</v>
      </c>
      <c r="CU165" s="5">
        <f>IF($BI165&lt;&gt;"",IF('Capacity summary'!$C$14="Yes",IF(COUNTBLANK('Capacity summary'!$H77:$BG77)&lt;52,IF('Capacity summary'!AR77&lt;&gt;"",$BI165*AR165,0),AR165*$BI165),AR165*$BI165),0)</f>
        <v>0</v>
      </c>
      <c r="CV165" s="5">
        <f>IF($BI165&lt;&gt;"",IF('Capacity summary'!$C$14="Yes",IF(COUNTBLANK('Capacity summary'!$H77:$BG77)&lt;52,IF('Capacity summary'!AS77&lt;&gt;"",$BI165*AS165,0),AS165*$BI165),AS165*$BI165),0)</f>
        <v>0</v>
      </c>
      <c r="CW165" s="5">
        <f>IF($BI165&lt;&gt;"",IF('Capacity summary'!$C$14="Yes",IF(COUNTBLANK('Capacity summary'!$H77:$BG77)&lt;52,IF('Capacity summary'!AT77&lt;&gt;"",$BI165*AT165,0),AT165*$BI165),AT165*$BI165),0)</f>
        <v>0</v>
      </c>
      <c r="CX165" s="5">
        <f>IF($BI165&lt;&gt;"",IF('Capacity summary'!$C$14="Yes",IF(COUNTBLANK('Capacity summary'!$H77:$BG77)&lt;52,IF('Capacity summary'!AU77&lt;&gt;"",$BI165*AU165,0),AU165*$BI165),AU165*$BI165),0)</f>
        <v>0</v>
      </c>
      <c r="CY165" s="5">
        <f>IF($BI165&lt;&gt;"",IF('Capacity summary'!$C$14="Yes",IF(COUNTBLANK('Capacity summary'!$H77:$BG77)&lt;52,IF('Capacity summary'!AV77&lt;&gt;"",$BI165*AV165,0),AV165*$BI165),AV165*$BI165),0)</f>
        <v>0</v>
      </c>
      <c r="CZ165" s="5">
        <f>IF($BI165&lt;&gt;"",IF('Capacity summary'!$C$14="Yes",IF(COUNTBLANK('Capacity summary'!$H77:$BG77)&lt;52,IF('Capacity summary'!AW77&lt;&gt;"",$BI165*AW165,0),AW165*$BI165),AW165*$BI165),0)</f>
        <v>0</v>
      </c>
      <c r="DA165" s="5">
        <f>IF($BI165&lt;&gt;"",IF('Capacity summary'!$C$14="Yes",IF(COUNTBLANK('Capacity summary'!$H77:$BG77)&lt;52,IF('Capacity summary'!AX77&lt;&gt;"",$BI165*AX165,0),AX165*$BI165),AX165*$BI165),0)</f>
        <v>0</v>
      </c>
      <c r="DB165" s="5">
        <f>IF($BI165&lt;&gt;"",IF('Capacity summary'!$C$14="Yes",IF(COUNTBLANK('Capacity summary'!$H77:$BG77)&lt;52,IF('Capacity summary'!AY77&lt;&gt;"",$BI165*AY165,0),AY165*$BI165),AY165*$BI165),0)</f>
        <v>0</v>
      </c>
      <c r="DC165" s="5">
        <f>IF($BI165&lt;&gt;"",IF('Capacity summary'!$C$14="Yes",IF(COUNTBLANK('Capacity summary'!$H77:$BG77)&lt;52,IF('Capacity summary'!AZ77&lt;&gt;"",$BI165*AZ165,0),AZ165*$BI165),AZ165*$BI165),0)</f>
        <v>0</v>
      </c>
      <c r="DD165" s="5">
        <f>IF($BI165&lt;&gt;"",IF('Capacity summary'!$C$14="Yes",IF(COUNTBLANK('Capacity summary'!$H77:$BG77)&lt;52,IF('Capacity summary'!BA77&lt;&gt;"",$BI165*BA165,0),BA165*$BI165),BA165*$BI165),0)</f>
        <v>0</v>
      </c>
      <c r="DE165" s="5">
        <f>IF($BI165&lt;&gt;"",IF('Capacity summary'!$C$14="Yes",IF(COUNTBLANK('Capacity summary'!$H77:$BG77)&lt;52,IF('Capacity summary'!BB77&lt;&gt;"",$BI165*BB165,0),BB165*$BI165),BB165*$BI165),0)</f>
        <v>0</v>
      </c>
      <c r="DF165" s="5">
        <f>IF($BI165&lt;&gt;"",IF('Capacity summary'!$C$14="Yes",IF(COUNTBLANK('Capacity summary'!$H77:$BG77)&lt;52,IF('Capacity summary'!BC77&lt;&gt;"",$BI165*BC165,0),BC165*$BI165),BC165*$BI165),0)</f>
        <v>0</v>
      </c>
      <c r="DG165" s="5">
        <f>IF($BI165&lt;&gt;"",IF('Capacity summary'!$C$14="Yes",IF(COUNTBLANK('Capacity summary'!$H77:$BG77)&lt;52,IF('Capacity summary'!BD77&lt;&gt;"",$BI165*BD165,0),BD165*$BI165),BD165*$BI165),0)</f>
        <v>0</v>
      </c>
      <c r="DH165" s="5">
        <f>IF($BI165&lt;&gt;"",IF('Capacity summary'!$C$14="Yes",IF(COUNTBLANK('Capacity summary'!$H77:$BG77)&lt;52,IF('Capacity summary'!BE77&lt;&gt;"",$BI165*BE165,0),BE165*$BI165),BE165*$BI165),0)</f>
        <v>0</v>
      </c>
      <c r="DI165" s="5">
        <f>IF($BI165&lt;&gt;"",IF('Capacity summary'!$C$14="Yes",IF(COUNTBLANK('Capacity summary'!$H77:$BG77)&lt;52,IF('Capacity summary'!BF77&lt;&gt;"",$BI165*BF165,0),BF165*$BI165),BF165*$BI165),0)</f>
        <v>0</v>
      </c>
      <c r="DJ165" s="5">
        <f>IF($BI165&lt;&gt;"",IF('Capacity summary'!$C$14="Yes",IF(COUNTBLANK('Capacity summary'!$H77:$BG77)&lt;52,IF('Capacity summary'!BG77&lt;&gt;"",$BI165*BG165,0),BG165*$BI165),BG165*$BI165),0)</f>
        <v>0</v>
      </c>
      <c r="DK165" s="138">
        <f t="shared" si="6"/>
        <v>0</v>
      </c>
    </row>
    <row r="166" spans="3:115" x14ac:dyDescent="0.2">
      <c r="C166" s="68" t="str">
        <f>ROW(A55)&amp;". "&amp;Capacity!N71</f>
        <v xml:space="preserve">55. </v>
      </c>
      <c r="D166" s="68">
        <f>'Capacity setup'!C172</f>
        <v>0</v>
      </c>
      <c r="E166" s="68">
        <f>'Capacity setup'!D172</f>
        <v>0</v>
      </c>
      <c r="F166" s="68">
        <f>'Capacity setup'!E172</f>
        <v>0</v>
      </c>
      <c r="H166" s="68">
        <f ca="1">IF(AND(SUMIF(Capacity_Resource,$D166,'Critical resources (hide)'!U$6:U$105)+SUMIF(Capacity_Resource,$E166,'Critical resources (hide)'!U$6:U$105)+SUMIF(Capacity_Resource,$F166,'Critical resources (hide)'!U$6:U$105)&gt;0,$E$1=2),0,1)</f>
        <v>1</v>
      </c>
      <c r="I166" s="68">
        <f ca="1">IF(AND(SUMIF(Capacity_Resource,$D166,'Critical resources (hide)'!V$6:V$105)+SUMIF(Capacity_Resource,$E166,'Critical resources (hide)'!V$6:V$105)+SUMIF(Capacity_Resource,$F166,'Critical resources (hide)'!V$6:V$105)&gt;0,$E$1=2),0,1)</f>
        <v>1</v>
      </c>
      <c r="J166" s="68">
        <f ca="1">IF(AND(SUMIF(Capacity_Resource,$D166,'Critical resources (hide)'!W$6:W$105)+SUMIF(Capacity_Resource,$E166,'Critical resources (hide)'!W$6:W$105)+SUMIF(Capacity_Resource,$F166,'Critical resources (hide)'!W$6:W$105)&gt;0,$E$1=2),0,1)</f>
        <v>1</v>
      </c>
      <c r="K166" s="68">
        <f ca="1">IF(AND(SUMIF(Capacity_Resource,$D166,'Critical resources (hide)'!X$6:X$105)+SUMIF(Capacity_Resource,$E166,'Critical resources (hide)'!X$6:X$105)+SUMIF(Capacity_Resource,$F166,'Critical resources (hide)'!X$6:X$105)&gt;0,$E$1=2),0,1)</f>
        <v>1</v>
      </c>
      <c r="L166" s="68">
        <f ca="1">IF(AND(SUMIF(Capacity_Resource,$D166,'Critical resources (hide)'!Y$6:Y$105)+SUMIF(Capacity_Resource,$E166,'Critical resources (hide)'!Y$6:Y$105)+SUMIF(Capacity_Resource,$F166,'Critical resources (hide)'!Y$6:Y$105)&gt;0,$E$1=2),0,1)</f>
        <v>1</v>
      </c>
      <c r="M166" s="68">
        <f ca="1">IF(AND(SUMIF(Capacity_Resource,$D166,'Critical resources (hide)'!Z$6:Z$105)+SUMIF(Capacity_Resource,$E166,'Critical resources (hide)'!Z$6:Z$105)+SUMIF(Capacity_Resource,$F166,'Critical resources (hide)'!Z$6:Z$105)&gt;0,$E$1=2),0,1)</f>
        <v>1</v>
      </c>
      <c r="N166" s="68">
        <f ca="1">IF(AND(SUMIF(Capacity_Resource,$D166,'Critical resources (hide)'!AA$6:AA$105)+SUMIF(Capacity_Resource,$E166,'Critical resources (hide)'!AA$6:AA$105)+SUMIF(Capacity_Resource,$F166,'Critical resources (hide)'!AA$6:AA$105)&gt;0,$E$1=2),0,1)</f>
        <v>1</v>
      </c>
      <c r="O166" s="68">
        <f ca="1">IF(AND(SUMIF(Capacity_Resource,$D166,'Critical resources (hide)'!AB$6:AB$105)+SUMIF(Capacity_Resource,$E166,'Critical resources (hide)'!AB$6:AB$105)+SUMIF(Capacity_Resource,$F166,'Critical resources (hide)'!AB$6:AB$105)&gt;0,$E$1=2),0,1)</f>
        <v>1</v>
      </c>
      <c r="P166" s="68">
        <f ca="1">IF(AND(SUMIF(Capacity_Resource,$D166,'Critical resources (hide)'!AC$6:AC$105)+SUMIF(Capacity_Resource,$E166,'Critical resources (hide)'!AC$6:AC$105)+SUMIF(Capacity_Resource,$F166,'Critical resources (hide)'!AC$6:AC$105)&gt;0,$E$1=2),0,1)</f>
        <v>1</v>
      </c>
      <c r="Q166" s="68">
        <f ca="1">IF(AND(SUMIF(Capacity_Resource,$D166,'Critical resources (hide)'!AD$6:AD$105)+SUMIF(Capacity_Resource,$E166,'Critical resources (hide)'!AD$6:AD$105)+SUMIF(Capacity_Resource,$F166,'Critical resources (hide)'!AD$6:AD$105)&gt;0,$E$1=2),0,1)</f>
        <v>1</v>
      </c>
      <c r="R166" s="68">
        <f ca="1">IF(AND(SUMIF(Capacity_Resource,$D166,'Critical resources (hide)'!AE$6:AE$105)+SUMIF(Capacity_Resource,$E166,'Critical resources (hide)'!AE$6:AE$105)+SUMIF(Capacity_Resource,$F166,'Critical resources (hide)'!AE$6:AE$105)&gt;0,$E$1=2),0,1)</f>
        <v>1</v>
      </c>
      <c r="S166" s="68">
        <f ca="1">IF(AND(SUMIF(Capacity_Resource,$D166,'Critical resources (hide)'!AF$6:AF$105)+SUMIF(Capacity_Resource,$E166,'Critical resources (hide)'!AF$6:AF$105)+SUMIF(Capacity_Resource,$F166,'Critical resources (hide)'!AF$6:AF$105)&gt;0,$E$1=2),0,1)</f>
        <v>1</v>
      </c>
      <c r="T166" s="68">
        <f ca="1">IF(AND(SUMIF(Capacity_Resource,$D166,'Critical resources (hide)'!AG$6:AG$105)+SUMIF(Capacity_Resource,$E166,'Critical resources (hide)'!AG$6:AG$105)+SUMIF(Capacity_Resource,$F166,'Critical resources (hide)'!AG$6:AG$105)&gt;0,$E$1=2),0,1)</f>
        <v>1</v>
      </c>
      <c r="U166" s="68">
        <f ca="1">IF(AND(SUMIF(Capacity_Resource,$D166,'Critical resources (hide)'!AH$6:AH$105)+SUMIF(Capacity_Resource,$E166,'Critical resources (hide)'!AH$6:AH$105)+SUMIF(Capacity_Resource,$F166,'Critical resources (hide)'!AH$6:AH$105)&gt;0,$E$1=2),0,1)</f>
        <v>1</v>
      </c>
      <c r="V166" s="68">
        <f ca="1">IF(AND(SUMIF(Capacity_Resource,$D166,'Critical resources (hide)'!AI$6:AI$105)+SUMIF(Capacity_Resource,$E166,'Critical resources (hide)'!AI$6:AI$105)+SUMIF(Capacity_Resource,$F166,'Critical resources (hide)'!AI$6:AI$105)&gt;0,$E$1=2),0,1)</f>
        <v>1</v>
      </c>
      <c r="W166" s="68">
        <f ca="1">IF(AND(SUMIF(Capacity_Resource,$D166,'Critical resources (hide)'!AJ$6:AJ$105)+SUMIF(Capacity_Resource,$E166,'Critical resources (hide)'!AJ$6:AJ$105)+SUMIF(Capacity_Resource,$F166,'Critical resources (hide)'!AJ$6:AJ$105)&gt;0,$E$1=2),0,1)</f>
        <v>1</v>
      </c>
      <c r="X166" s="68">
        <f ca="1">IF(AND(SUMIF(Capacity_Resource,$D166,'Critical resources (hide)'!AK$6:AK$105)+SUMIF(Capacity_Resource,$E166,'Critical resources (hide)'!AK$6:AK$105)+SUMIF(Capacity_Resource,$F166,'Critical resources (hide)'!AK$6:AK$105)&gt;0,$E$1=2),0,1)</f>
        <v>1</v>
      </c>
      <c r="Y166" s="68">
        <f ca="1">IF(AND(SUMIF(Capacity_Resource,$D166,'Critical resources (hide)'!AL$6:AL$105)+SUMIF(Capacity_Resource,$E166,'Critical resources (hide)'!AL$6:AL$105)+SUMIF(Capacity_Resource,$F166,'Critical resources (hide)'!AL$6:AL$105)&gt;0,$E$1=2),0,1)</f>
        <v>1</v>
      </c>
      <c r="Z166" s="68">
        <f ca="1">IF(AND(SUMIF(Capacity_Resource,$D166,'Critical resources (hide)'!AM$6:AM$105)+SUMIF(Capacity_Resource,$E166,'Critical resources (hide)'!AM$6:AM$105)+SUMIF(Capacity_Resource,$F166,'Critical resources (hide)'!AM$6:AM$105)&gt;0,$E$1=2),0,1)</f>
        <v>1</v>
      </c>
      <c r="AA166" s="68">
        <f ca="1">IF(AND(SUMIF(Capacity_Resource,$D166,'Critical resources (hide)'!AN$6:AN$105)+SUMIF(Capacity_Resource,$E166,'Critical resources (hide)'!AN$6:AN$105)+SUMIF(Capacity_Resource,$F166,'Critical resources (hide)'!AN$6:AN$105)&gt;0,$E$1=2),0,1)</f>
        <v>1</v>
      </c>
      <c r="AB166" s="68">
        <f ca="1">IF(AND(SUMIF(Capacity_Resource,$D166,'Critical resources (hide)'!AO$6:AO$105)+SUMIF(Capacity_Resource,$E166,'Critical resources (hide)'!AO$6:AO$105)+SUMIF(Capacity_Resource,$F166,'Critical resources (hide)'!AO$6:AO$105)&gt;0,$E$1=2),0,1)</f>
        <v>1</v>
      </c>
      <c r="AC166" s="68">
        <f ca="1">IF(AND(SUMIF(Capacity_Resource,$D166,'Critical resources (hide)'!AP$6:AP$105)+SUMIF(Capacity_Resource,$E166,'Critical resources (hide)'!AP$6:AP$105)+SUMIF(Capacity_Resource,$F166,'Critical resources (hide)'!AP$6:AP$105)&gt;0,$E$1=2),0,1)</f>
        <v>1</v>
      </c>
      <c r="AD166" s="68">
        <f ca="1">IF(AND(SUMIF(Capacity_Resource,$D166,'Critical resources (hide)'!AQ$6:AQ$105)+SUMIF(Capacity_Resource,$E166,'Critical resources (hide)'!AQ$6:AQ$105)+SUMIF(Capacity_Resource,$F166,'Critical resources (hide)'!AQ$6:AQ$105)&gt;0,$E$1=2),0,1)</f>
        <v>1</v>
      </c>
      <c r="AE166" s="68">
        <f ca="1">IF(AND(SUMIF(Capacity_Resource,$D166,'Critical resources (hide)'!AR$6:AR$105)+SUMIF(Capacity_Resource,$E166,'Critical resources (hide)'!AR$6:AR$105)+SUMIF(Capacity_Resource,$F166,'Critical resources (hide)'!AR$6:AR$105)&gt;0,$E$1=2),0,1)</f>
        <v>1</v>
      </c>
      <c r="AF166" s="68">
        <f ca="1">IF(AND(SUMIF(Capacity_Resource,$D166,'Critical resources (hide)'!AS$6:AS$105)+SUMIF(Capacity_Resource,$E166,'Critical resources (hide)'!AS$6:AS$105)+SUMIF(Capacity_Resource,$F166,'Critical resources (hide)'!AS$6:AS$105)&gt;0,$E$1=2),0,1)</f>
        <v>1</v>
      </c>
      <c r="AG166" s="68">
        <f ca="1">IF(AND(SUMIF(Capacity_Resource,$D166,'Critical resources (hide)'!AT$6:AT$105)+SUMIF(Capacity_Resource,$E166,'Critical resources (hide)'!AT$6:AT$105)+SUMIF(Capacity_Resource,$F166,'Critical resources (hide)'!AT$6:AT$105)&gt;0,$E$1=2),0,1)</f>
        <v>1</v>
      </c>
      <c r="AH166" s="68">
        <f ca="1">IF(AND(SUMIF(Capacity_Resource,$D166,'Critical resources (hide)'!AU$6:AU$105)+SUMIF(Capacity_Resource,$E166,'Critical resources (hide)'!AU$6:AU$105)+SUMIF(Capacity_Resource,$F166,'Critical resources (hide)'!AU$6:AU$105)&gt;0,$E$1=2),0,1)</f>
        <v>1</v>
      </c>
      <c r="AI166" s="68">
        <f ca="1">IF(AND(SUMIF(Capacity_Resource,$D166,'Critical resources (hide)'!AV$6:AV$105)+SUMIF(Capacity_Resource,$E166,'Critical resources (hide)'!AV$6:AV$105)+SUMIF(Capacity_Resource,$F166,'Critical resources (hide)'!AV$6:AV$105)&gt;0,$E$1=2),0,1)</f>
        <v>1</v>
      </c>
      <c r="AJ166" s="68">
        <f ca="1">IF(AND(SUMIF(Capacity_Resource,$D166,'Critical resources (hide)'!AW$6:AW$105)+SUMIF(Capacity_Resource,$E166,'Critical resources (hide)'!AW$6:AW$105)+SUMIF(Capacity_Resource,$F166,'Critical resources (hide)'!AW$6:AW$105)&gt;0,$E$1=2),0,1)</f>
        <v>1</v>
      </c>
      <c r="AK166" s="68">
        <f ca="1">IF(AND(SUMIF(Capacity_Resource,$D166,'Critical resources (hide)'!AX$6:AX$105)+SUMIF(Capacity_Resource,$E166,'Critical resources (hide)'!AX$6:AX$105)+SUMIF(Capacity_Resource,$F166,'Critical resources (hide)'!AX$6:AX$105)&gt;0,$E$1=2),0,1)</f>
        <v>1</v>
      </c>
      <c r="AL166" s="68">
        <f ca="1">IF(AND(SUMIF(Capacity_Resource,$D166,'Critical resources (hide)'!AY$6:AY$105)+SUMIF(Capacity_Resource,$E166,'Critical resources (hide)'!AY$6:AY$105)+SUMIF(Capacity_Resource,$F166,'Critical resources (hide)'!AY$6:AY$105)&gt;0,$E$1=2),0,1)</f>
        <v>1</v>
      </c>
      <c r="AM166" s="68">
        <f ca="1">IF(AND(SUMIF(Capacity_Resource,$D166,'Critical resources (hide)'!AZ$6:AZ$105)+SUMIF(Capacity_Resource,$E166,'Critical resources (hide)'!AZ$6:AZ$105)+SUMIF(Capacity_Resource,$F166,'Critical resources (hide)'!AZ$6:AZ$105)&gt;0,$E$1=2),0,1)</f>
        <v>1</v>
      </c>
      <c r="AN166" s="68">
        <f ca="1">IF(AND(SUMIF(Capacity_Resource,$D166,'Critical resources (hide)'!BA$6:BA$105)+SUMIF(Capacity_Resource,$E166,'Critical resources (hide)'!BA$6:BA$105)+SUMIF(Capacity_Resource,$F166,'Critical resources (hide)'!BA$6:BA$105)&gt;0,$E$1=2),0,1)</f>
        <v>1</v>
      </c>
      <c r="AO166" s="68">
        <f ca="1">IF(AND(SUMIF(Capacity_Resource,$D166,'Critical resources (hide)'!BB$6:BB$105)+SUMIF(Capacity_Resource,$E166,'Critical resources (hide)'!BB$6:BB$105)+SUMIF(Capacity_Resource,$F166,'Critical resources (hide)'!BB$6:BB$105)&gt;0,$E$1=2),0,1)</f>
        <v>1</v>
      </c>
      <c r="AP166" s="68">
        <f ca="1">IF(AND(SUMIF(Capacity_Resource,$D166,'Critical resources (hide)'!BC$6:BC$105)+SUMIF(Capacity_Resource,$E166,'Critical resources (hide)'!BC$6:BC$105)+SUMIF(Capacity_Resource,$F166,'Critical resources (hide)'!BC$6:BC$105)&gt;0,$E$1=2),0,1)</f>
        <v>1</v>
      </c>
      <c r="AQ166" s="68">
        <f ca="1">IF(AND(SUMIF(Capacity_Resource,$D166,'Critical resources (hide)'!BD$6:BD$105)+SUMIF(Capacity_Resource,$E166,'Critical resources (hide)'!BD$6:BD$105)+SUMIF(Capacity_Resource,$F166,'Critical resources (hide)'!BD$6:BD$105)&gt;0,$E$1=2),0,1)</f>
        <v>1</v>
      </c>
      <c r="AR166" s="68">
        <f ca="1">IF(AND(SUMIF(Capacity_Resource,$D166,'Critical resources (hide)'!BE$6:BE$105)+SUMIF(Capacity_Resource,$E166,'Critical resources (hide)'!BE$6:BE$105)+SUMIF(Capacity_Resource,$F166,'Critical resources (hide)'!BE$6:BE$105)&gt;0,$E$1=2),0,1)</f>
        <v>1</v>
      </c>
      <c r="AS166" s="68">
        <f ca="1">IF(AND(SUMIF(Capacity_Resource,$D166,'Critical resources (hide)'!BF$6:BF$105)+SUMIF(Capacity_Resource,$E166,'Critical resources (hide)'!BF$6:BF$105)+SUMIF(Capacity_Resource,$F166,'Critical resources (hide)'!BF$6:BF$105)&gt;0,$E$1=2),0,1)</f>
        <v>1</v>
      </c>
      <c r="AT166" s="68">
        <f ca="1">IF(AND(SUMIF(Capacity_Resource,$D166,'Critical resources (hide)'!BG$6:BG$105)+SUMIF(Capacity_Resource,$E166,'Critical resources (hide)'!BG$6:BG$105)+SUMIF(Capacity_Resource,$F166,'Critical resources (hide)'!BG$6:BG$105)&gt;0,$E$1=2),0,1)</f>
        <v>1</v>
      </c>
      <c r="AU166" s="68">
        <f ca="1">IF(AND(SUMIF(Capacity_Resource,$D166,'Critical resources (hide)'!BH$6:BH$105)+SUMIF(Capacity_Resource,$E166,'Critical resources (hide)'!BH$6:BH$105)+SUMIF(Capacity_Resource,$F166,'Critical resources (hide)'!BH$6:BH$105)&gt;0,$E$1=2),0,1)</f>
        <v>1</v>
      </c>
      <c r="AV166" s="68">
        <f ca="1">IF(AND(SUMIF(Capacity_Resource,$D166,'Critical resources (hide)'!BI$6:BI$105)+SUMIF(Capacity_Resource,$E166,'Critical resources (hide)'!BI$6:BI$105)+SUMIF(Capacity_Resource,$F166,'Critical resources (hide)'!BI$6:BI$105)&gt;0,$E$1=2),0,1)</f>
        <v>1</v>
      </c>
      <c r="AW166" s="68">
        <f ca="1">IF(AND(SUMIF(Capacity_Resource,$D166,'Critical resources (hide)'!BJ$6:BJ$105)+SUMIF(Capacity_Resource,$E166,'Critical resources (hide)'!BJ$6:BJ$105)+SUMIF(Capacity_Resource,$F166,'Critical resources (hide)'!BJ$6:BJ$105)&gt;0,$E$1=2),0,1)</f>
        <v>1</v>
      </c>
      <c r="AX166" s="68">
        <f ca="1">IF(AND(SUMIF(Capacity_Resource,$D166,'Critical resources (hide)'!BK$6:BK$105)+SUMIF(Capacity_Resource,$E166,'Critical resources (hide)'!BK$6:BK$105)+SUMIF(Capacity_Resource,$F166,'Critical resources (hide)'!BK$6:BK$105)&gt;0,$E$1=2),0,1)</f>
        <v>1</v>
      </c>
      <c r="AY166" s="68">
        <f ca="1">IF(AND(SUMIF(Capacity_Resource,$D166,'Critical resources (hide)'!BL$6:BL$105)+SUMIF(Capacity_Resource,$E166,'Critical resources (hide)'!BL$6:BL$105)+SUMIF(Capacity_Resource,$F166,'Critical resources (hide)'!BL$6:BL$105)&gt;0,$E$1=2),0,1)</f>
        <v>1</v>
      </c>
      <c r="AZ166" s="68">
        <f ca="1">IF(AND(SUMIF(Capacity_Resource,$D166,'Critical resources (hide)'!BM$6:BM$105)+SUMIF(Capacity_Resource,$E166,'Critical resources (hide)'!BM$6:BM$105)+SUMIF(Capacity_Resource,$F166,'Critical resources (hide)'!BM$6:BM$105)&gt;0,$E$1=2),0,1)</f>
        <v>1</v>
      </c>
      <c r="BA166" s="68">
        <f ca="1">IF(AND(SUMIF(Capacity_Resource,$D166,'Critical resources (hide)'!BN$6:BN$105)+SUMIF(Capacity_Resource,$E166,'Critical resources (hide)'!BN$6:BN$105)+SUMIF(Capacity_Resource,$F166,'Critical resources (hide)'!BN$6:BN$105)&gt;0,$E$1=2),0,1)</f>
        <v>1</v>
      </c>
      <c r="BB166" s="68">
        <f ca="1">IF(AND(SUMIF(Capacity_Resource,$D166,'Critical resources (hide)'!BO$6:BO$105)+SUMIF(Capacity_Resource,$E166,'Critical resources (hide)'!BO$6:BO$105)+SUMIF(Capacity_Resource,$F166,'Critical resources (hide)'!BO$6:BO$105)&gt;0,$E$1=2),0,1)</f>
        <v>1</v>
      </c>
      <c r="BC166" s="68">
        <f ca="1">IF(AND(SUMIF(Capacity_Resource,$D166,'Critical resources (hide)'!BP$6:BP$105)+SUMIF(Capacity_Resource,$E166,'Critical resources (hide)'!BP$6:BP$105)+SUMIF(Capacity_Resource,$F166,'Critical resources (hide)'!BP$6:BP$105)&gt;0,$E$1=2),0,1)</f>
        <v>1</v>
      </c>
      <c r="BD166" s="68">
        <f ca="1">IF(AND(SUMIF(Capacity_Resource,$D166,'Critical resources (hide)'!BQ$6:BQ$105)+SUMIF(Capacity_Resource,$E166,'Critical resources (hide)'!BQ$6:BQ$105)+SUMIF(Capacity_Resource,$F166,'Critical resources (hide)'!BQ$6:BQ$105)&gt;0,$E$1=2),0,1)</f>
        <v>1</v>
      </c>
      <c r="BE166" s="68">
        <f ca="1">IF(AND(SUMIF(Capacity_Resource,$D166,'Critical resources (hide)'!BR$6:BR$105)+SUMIF(Capacity_Resource,$E166,'Critical resources (hide)'!BR$6:BR$105)+SUMIF(Capacity_Resource,$F166,'Critical resources (hide)'!BR$6:BR$105)&gt;0,$E$1=2),0,1)</f>
        <v>1</v>
      </c>
      <c r="BF166" s="68">
        <f ca="1">IF(AND(SUMIF(Capacity_Resource,$D166,'Critical resources (hide)'!BS$6:BS$105)+SUMIF(Capacity_Resource,$E166,'Critical resources (hide)'!BS$6:BS$105)+SUMIF(Capacity_Resource,$F166,'Critical resources (hide)'!BS$6:BS$105)&gt;0,$E$1=2),0,1)</f>
        <v>1</v>
      </c>
      <c r="BG166" s="68">
        <f ca="1">IF(AND(SUMIF(Capacity_Resource,$D166,'Critical resources (hide)'!BT$6:BT$105)+SUMIF(Capacity_Resource,$E166,'Critical resources (hide)'!BT$6:BT$105)+SUMIF(Capacity_Resource,$F166,'Critical resources (hide)'!BT$6:BT$105)&gt;0,$E$1=2),0,1)</f>
        <v>1</v>
      </c>
      <c r="BH166" s="68">
        <f>IF(ROW(A55)&lt;=Capacity!$M$16,IF('Capacity summary'!$C$14="No",SUM(H166:BG166),'Capacity summary'!$E78),0)</f>
        <v>0</v>
      </c>
      <c r="BI166" s="68" t="str">
        <f>IF(BH166&gt;0,IF(BH166&lt;Capacity!Q71,Capacity!R71,Capacity!T71/'Capacity calculation (hide)'!BH166),"")</f>
        <v/>
      </c>
      <c r="BJ166" s="5"/>
      <c r="BK166" s="5">
        <f>IF($BI166&lt;&gt;"",IF('Capacity summary'!$C$14="Yes",IF(COUNTBLANK('Capacity summary'!$H78:$BG78)&lt;52,IF('Capacity summary'!H78&lt;&gt;"",$BI166*H166,0),H166*$BI166),H166*$BI166),0)</f>
        <v>0</v>
      </c>
      <c r="BL166" s="5">
        <f>IF($BI166&lt;&gt;"",IF('Capacity summary'!$C$14="Yes",IF(COUNTBLANK('Capacity summary'!$H78:$BG78)&lt;52,IF('Capacity summary'!I78&lt;&gt;"",$BI166*I166,0),I166*$BI166),I166*$BI166),0)</f>
        <v>0</v>
      </c>
      <c r="BM166" s="5">
        <f>IF($BI166&lt;&gt;"",IF('Capacity summary'!$C$14="Yes",IF(COUNTBLANK('Capacity summary'!$H78:$BG78)&lt;52,IF('Capacity summary'!J78&lt;&gt;"",$BI166*J166,0),J166*$BI166),J166*$BI166),0)</f>
        <v>0</v>
      </c>
      <c r="BN166" s="5">
        <f>IF($BI166&lt;&gt;"",IF('Capacity summary'!$C$14="Yes",IF(COUNTBLANK('Capacity summary'!$H78:$BG78)&lt;52,IF('Capacity summary'!K78&lt;&gt;"",$BI166*K166,0),K166*$BI166),K166*$BI166),0)</f>
        <v>0</v>
      </c>
      <c r="BO166" s="5">
        <f>IF($BI166&lt;&gt;"",IF('Capacity summary'!$C$14="Yes",IF(COUNTBLANK('Capacity summary'!$H78:$BG78)&lt;52,IF('Capacity summary'!L78&lt;&gt;"",$BI166*L166,0),L166*$BI166),L166*$BI166),0)</f>
        <v>0</v>
      </c>
      <c r="BP166" s="5">
        <f>IF($BI166&lt;&gt;"",IF('Capacity summary'!$C$14="Yes",IF(COUNTBLANK('Capacity summary'!$H78:$BG78)&lt;52,IF('Capacity summary'!M78&lt;&gt;"",$BI166*M166,0),M166*$BI166),M166*$BI166),0)</f>
        <v>0</v>
      </c>
      <c r="BQ166" s="5">
        <f>IF($BI166&lt;&gt;"",IF('Capacity summary'!$C$14="Yes",IF(COUNTBLANK('Capacity summary'!$H78:$BG78)&lt;52,IF('Capacity summary'!N78&lt;&gt;"",$BI166*N166,0),N166*$BI166),N166*$BI166),0)</f>
        <v>0</v>
      </c>
      <c r="BR166" s="5">
        <f>IF($BI166&lt;&gt;"",IF('Capacity summary'!$C$14="Yes",IF(COUNTBLANK('Capacity summary'!$H78:$BG78)&lt;52,IF('Capacity summary'!O78&lt;&gt;"",$BI166*O166,0),O166*$BI166),O166*$BI166),0)</f>
        <v>0</v>
      </c>
      <c r="BS166" s="5">
        <f>IF($BI166&lt;&gt;"",IF('Capacity summary'!$C$14="Yes",IF(COUNTBLANK('Capacity summary'!$H78:$BG78)&lt;52,IF('Capacity summary'!P78&lt;&gt;"",$BI166*P166,0),P166*$BI166),P166*$BI166),0)</f>
        <v>0</v>
      </c>
      <c r="BT166" s="5">
        <f>IF($BI166&lt;&gt;"",IF('Capacity summary'!$C$14="Yes",IF(COUNTBLANK('Capacity summary'!$H78:$BG78)&lt;52,IF('Capacity summary'!Q78&lt;&gt;"",$BI166*Q166,0),Q166*$BI166),Q166*$BI166),0)</f>
        <v>0</v>
      </c>
      <c r="BU166" s="5">
        <f>IF($BI166&lt;&gt;"",IF('Capacity summary'!$C$14="Yes",IF(COUNTBLANK('Capacity summary'!$H78:$BG78)&lt;52,IF('Capacity summary'!R78&lt;&gt;"",$BI166*R166,0),R166*$BI166),R166*$BI166),0)</f>
        <v>0</v>
      </c>
      <c r="BV166" s="5">
        <f>IF($BI166&lt;&gt;"",IF('Capacity summary'!$C$14="Yes",IF(COUNTBLANK('Capacity summary'!$H78:$BG78)&lt;52,IF('Capacity summary'!S78&lt;&gt;"",$BI166*S166,0),S166*$BI166),S166*$BI166),0)</f>
        <v>0</v>
      </c>
      <c r="BW166" s="5">
        <f>IF($BI166&lt;&gt;"",IF('Capacity summary'!$C$14="Yes",IF(COUNTBLANK('Capacity summary'!$H78:$BG78)&lt;52,IF('Capacity summary'!T78&lt;&gt;"",$BI166*T166,0),T166*$BI166),T166*$BI166),0)</f>
        <v>0</v>
      </c>
      <c r="BX166" s="5">
        <f>IF($BI166&lt;&gt;"",IF('Capacity summary'!$C$14="Yes",IF(COUNTBLANK('Capacity summary'!$H78:$BG78)&lt;52,IF('Capacity summary'!U78&lt;&gt;"",$BI166*U166,0),U166*$BI166),U166*$BI166),0)</f>
        <v>0</v>
      </c>
      <c r="BY166" s="5">
        <f>IF($BI166&lt;&gt;"",IF('Capacity summary'!$C$14="Yes",IF(COUNTBLANK('Capacity summary'!$H78:$BG78)&lt;52,IF('Capacity summary'!V78&lt;&gt;"",$BI166*V166,0),V166*$BI166),V166*$BI166),0)</f>
        <v>0</v>
      </c>
      <c r="BZ166" s="5">
        <f>IF($BI166&lt;&gt;"",IF('Capacity summary'!$C$14="Yes",IF(COUNTBLANK('Capacity summary'!$H78:$BG78)&lt;52,IF('Capacity summary'!W78&lt;&gt;"",$BI166*W166,0),W166*$BI166),W166*$BI166),0)</f>
        <v>0</v>
      </c>
      <c r="CA166" s="5">
        <f>IF($BI166&lt;&gt;"",IF('Capacity summary'!$C$14="Yes",IF(COUNTBLANK('Capacity summary'!$H78:$BG78)&lt;52,IF('Capacity summary'!X78&lt;&gt;"",$BI166*X166,0),X166*$BI166),X166*$BI166),0)</f>
        <v>0</v>
      </c>
      <c r="CB166" s="5">
        <f>IF($BI166&lt;&gt;"",IF('Capacity summary'!$C$14="Yes",IF(COUNTBLANK('Capacity summary'!$H78:$BG78)&lt;52,IF('Capacity summary'!Y78&lt;&gt;"",$BI166*Y166,0),Y166*$BI166),Y166*$BI166),0)</f>
        <v>0</v>
      </c>
      <c r="CC166" s="5">
        <f>IF($BI166&lt;&gt;"",IF('Capacity summary'!$C$14="Yes",IF(COUNTBLANK('Capacity summary'!$H78:$BG78)&lt;52,IF('Capacity summary'!Z78&lt;&gt;"",$BI166*Z166,0),Z166*$BI166),Z166*$BI166),0)</f>
        <v>0</v>
      </c>
      <c r="CD166" s="5">
        <f>IF($BI166&lt;&gt;"",IF('Capacity summary'!$C$14="Yes",IF(COUNTBLANK('Capacity summary'!$H78:$BG78)&lt;52,IF('Capacity summary'!AA78&lt;&gt;"",$BI166*AA166,0),AA166*$BI166),AA166*$BI166),0)</f>
        <v>0</v>
      </c>
      <c r="CE166" s="5">
        <f>IF($BI166&lt;&gt;"",IF('Capacity summary'!$C$14="Yes",IF(COUNTBLANK('Capacity summary'!$H78:$BG78)&lt;52,IF('Capacity summary'!AB78&lt;&gt;"",$BI166*AB166,0),AB166*$BI166),AB166*$BI166),0)</f>
        <v>0</v>
      </c>
      <c r="CF166" s="5">
        <f>IF($BI166&lt;&gt;"",IF('Capacity summary'!$C$14="Yes",IF(COUNTBLANK('Capacity summary'!$H78:$BG78)&lt;52,IF('Capacity summary'!AC78&lt;&gt;"",$BI166*AC166,0),AC166*$BI166),AC166*$BI166),0)</f>
        <v>0</v>
      </c>
      <c r="CG166" s="5">
        <f>IF($BI166&lt;&gt;"",IF('Capacity summary'!$C$14="Yes",IF(COUNTBLANK('Capacity summary'!$H78:$BG78)&lt;52,IF('Capacity summary'!AD78&lt;&gt;"",$BI166*AD166,0),AD166*$BI166),AD166*$BI166),0)</f>
        <v>0</v>
      </c>
      <c r="CH166" s="5">
        <f>IF($BI166&lt;&gt;"",IF('Capacity summary'!$C$14="Yes",IF(COUNTBLANK('Capacity summary'!$H78:$BG78)&lt;52,IF('Capacity summary'!AE78&lt;&gt;"",$BI166*AE166,0),AE166*$BI166),AE166*$BI166),0)</f>
        <v>0</v>
      </c>
      <c r="CI166" s="5">
        <f>IF($BI166&lt;&gt;"",IF('Capacity summary'!$C$14="Yes",IF(COUNTBLANK('Capacity summary'!$H78:$BG78)&lt;52,IF('Capacity summary'!AF78&lt;&gt;"",$BI166*AF166,0),AF166*$BI166),AF166*$BI166),0)</f>
        <v>0</v>
      </c>
      <c r="CJ166" s="5">
        <f>IF($BI166&lt;&gt;"",IF('Capacity summary'!$C$14="Yes",IF(COUNTBLANK('Capacity summary'!$H78:$BG78)&lt;52,IF('Capacity summary'!AG78&lt;&gt;"",$BI166*AG166,0),AG166*$BI166),AG166*$BI166),0)</f>
        <v>0</v>
      </c>
      <c r="CK166" s="5">
        <f>IF($BI166&lt;&gt;"",IF('Capacity summary'!$C$14="Yes",IF(COUNTBLANK('Capacity summary'!$H78:$BG78)&lt;52,IF('Capacity summary'!AH78&lt;&gt;"",$BI166*AH166,0),AH166*$BI166),AH166*$BI166),0)</f>
        <v>0</v>
      </c>
      <c r="CL166" s="5">
        <f>IF($BI166&lt;&gt;"",IF('Capacity summary'!$C$14="Yes",IF(COUNTBLANK('Capacity summary'!$H78:$BG78)&lt;52,IF('Capacity summary'!AI78&lt;&gt;"",$BI166*AI166,0),AI166*$BI166),AI166*$BI166),0)</f>
        <v>0</v>
      </c>
      <c r="CM166" s="5">
        <f>IF($BI166&lt;&gt;"",IF('Capacity summary'!$C$14="Yes",IF(COUNTBLANK('Capacity summary'!$H78:$BG78)&lt;52,IF('Capacity summary'!AJ78&lt;&gt;"",$BI166*AJ166,0),AJ166*$BI166),AJ166*$BI166),0)</f>
        <v>0</v>
      </c>
      <c r="CN166" s="5">
        <f>IF($BI166&lt;&gt;"",IF('Capacity summary'!$C$14="Yes",IF(COUNTBLANK('Capacity summary'!$H78:$BG78)&lt;52,IF('Capacity summary'!AK78&lt;&gt;"",$BI166*AK166,0),AK166*$BI166),AK166*$BI166),0)</f>
        <v>0</v>
      </c>
      <c r="CO166" s="5">
        <f>IF($BI166&lt;&gt;"",IF('Capacity summary'!$C$14="Yes",IF(COUNTBLANK('Capacity summary'!$H78:$BG78)&lt;52,IF('Capacity summary'!AL78&lt;&gt;"",$BI166*AL166,0),AL166*$BI166),AL166*$BI166),0)</f>
        <v>0</v>
      </c>
      <c r="CP166" s="5">
        <f>IF($BI166&lt;&gt;"",IF('Capacity summary'!$C$14="Yes",IF(COUNTBLANK('Capacity summary'!$H78:$BG78)&lt;52,IF('Capacity summary'!AM78&lt;&gt;"",$BI166*AM166,0),AM166*$BI166),AM166*$BI166),0)</f>
        <v>0</v>
      </c>
      <c r="CQ166" s="5">
        <f>IF($BI166&lt;&gt;"",IF('Capacity summary'!$C$14="Yes",IF(COUNTBLANK('Capacity summary'!$H78:$BG78)&lt;52,IF('Capacity summary'!AN78&lt;&gt;"",$BI166*AN166,0),AN166*$BI166),AN166*$BI166),0)</f>
        <v>0</v>
      </c>
      <c r="CR166" s="5">
        <f>IF($BI166&lt;&gt;"",IF('Capacity summary'!$C$14="Yes",IF(COUNTBLANK('Capacity summary'!$H78:$BG78)&lt;52,IF('Capacity summary'!AO78&lt;&gt;"",$BI166*AO166,0),AO166*$BI166),AO166*$BI166),0)</f>
        <v>0</v>
      </c>
      <c r="CS166" s="5">
        <f>IF($BI166&lt;&gt;"",IF('Capacity summary'!$C$14="Yes",IF(COUNTBLANK('Capacity summary'!$H78:$BG78)&lt;52,IF('Capacity summary'!AP78&lt;&gt;"",$BI166*AP166,0),AP166*$BI166),AP166*$BI166),0)</f>
        <v>0</v>
      </c>
      <c r="CT166" s="5">
        <f>IF($BI166&lt;&gt;"",IF('Capacity summary'!$C$14="Yes",IF(COUNTBLANK('Capacity summary'!$H78:$BG78)&lt;52,IF('Capacity summary'!AQ78&lt;&gt;"",$BI166*AQ166,0),AQ166*$BI166),AQ166*$BI166),0)</f>
        <v>0</v>
      </c>
      <c r="CU166" s="5">
        <f>IF($BI166&lt;&gt;"",IF('Capacity summary'!$C$14="Yes",IF(COUNTBLANK('Capacity summary'!$H78:$BG78)&lt;52,IF('Capacity summary'!AR78&lt;&gt;"",$BI166*AR166,0),AR166*$BI166),AR166*$BI166),0)</f>
        <v>0</v>
      </c>
      <c r="CV166" s="5">
        <f>IF($BI166&lt;&gt;"",IF('Capacity summary'!$C$14="Yes",IF(COUNTBLANK('Capacity summary'!$H78:$BG78)&lt;52,IF('Capacity summary'!AS78&lt;&gt;"",$BI166*AS166,0),AS166*$BI166),AS166*$BI166),0)</f>
        <v>0</v>
      </c>
      <c r="CW166" s="5">
        <f>IF($BI166&lt;&gt;"",IF('Capacity summary'!$C$14="Yes",IF(COUNTBLANK('Capacity summary'!$H78:$BG78)&lt;52,IF('Capacity summary'!AT78&lt;&gt;"",$BI166*AT166,0),AT166*$BI166),AT166*$BI166),0)</f>
        <v>0</v>
      </c>
      <c r="CX166" s="5">
        <f>IF($BI166&lt;&gt;"",IF('Capacity summary'!$C$14="Yes",IF(COUNTBLANK('Capacity summary'!$H78:$BG78)&lt;52,IF('Capacity summary'!AU78&lt;&gt;"",$BI166*AU166,0),AU166*$BI166),AU166*$BI166),0)</f>
        <v>0</v>
      </c>
      <c r="CY166" s="5">
        <f>IF($BI166&lt;&gt;"",IF('Capacity summary'!$C$14="Yes",IF(COUNTBLANK('Capacity summary'!$H78:$BG78)&lt;52,IF('Capacity summary'!AV78&lt;&gt;"",$BI166*AV166,0),AV166*$BI166),AV166*$BI166),0)</f>
        <v>0</v>
      </c>
      <c r="CZ166" s="5">
        <f>IF($BI166&lt;&gt;"",IF('Capacity summary'!$C$14="Yes",IF(COUNTBLANK('Capacity summary'!$H78:$BG78)&lt;52,IF('Capacity summary'!AW78&lt;&gt;"",$BI166*AW166,0),AW166*$BI166),AW166*$BI166),0)</f>
        <v>0</v>
      </c>
      <c r="DA166" s="5">
        <f>IF($BI166&lt;&gt;"",IF('Capacity summary'!$C$14="Yes",IF(COUNTBLANK('Capacity summary'!$H78:$BG78)&lt;52,IF('Capacity summary'!AX78&lt;&gt;"",$BI166*AX166,0),AX166*$BI166),AX166*$BI166),0)</f>
        <v>0</v>
      </c>
      <c r="DB166" s="5">
        <f>IF($BI166&lt;&gt;"",IF('Capacity summary'!$C$14="Yes",IF(COUNTBLANK('Capacity summary'!$H78:$BG78)&lt;52,IF('Capacity summary'!AY78&lt;&gt;"",$BI166*AY166,0),AY166*$BI166),AY166*$BI166),0)</f>
        <v>0</v>
      </c>
      <c r="DC166" s="5">
        <f>IF($BI166&lt;&gt;"",IF('Capacity summary'!$C$14="Yes",IF(COUNTBLANK('Capacity summary'!$H78:$BG78)&lt;52,IF('Capacity summary'!AZ78&lt;&gt;"",$BI166*AZ166,0),AZ166*$BI166),AZ166*$BI166),0)</f>
        <v>0</v>
      </c>
      <c r="DD166" s="5">
        <f>IF($BI166&lt;&gt;"",IF('Capacity summary'!$C$14="Yes",IF(COUNTBLANK('Capacity summary'!$H78:$BG78)&lt;52,IF('Capacity summary'!BA78&lt;&gt;"",$BI166*BA166,0),BA166*$BI166),BA166*$BI166),0)</f>
        <v>0</v>
      </c>
      <c r="DE166" s="5">
        <f>IF($BI166&lt;&gt;"",IF('Capacity summary'!$C$14="Yes",IF(COUNTBLANK('Capacity summary'!$H78:$BG78)&lt;52,IF('Capacity summary'!BB78&lt;&gt;"",$BI166*BB166,0),BB166*$BI166),BB166*$BI166),0)</f>
        <v>0</v>
      </c>
      <c r="DF166" s="5">
        <f>IF($BI166&lt;&gt;"",IF('Capacity summary'!$C$14="Yes",IF(COUNTBLANK('Capacity summary'!$H78:$BG78)&lt;52,IF('Capacity summary'!BC78&lt;&gt;"",$BI166*BC166,0),BC166*$BI166),BC166*$BI166),0)</f>
        <v>0</v>
      </c>
      <c r="DG166" s="5">
        <f>IF($BI166&lt;&gt;"",IF('Capacity summary'!$C$14="Yes",IF(COUNTBLANK('Capacity summary'!$H78:$BG78)&lt;52,IF('Capacity summary'!BD78&lt;&gt;"",$BI166*BD166,0),BD166*$BI166),BD166*$BI166),0)</f>
        <v>0</v>
      </c>
      <c r="DH166" s="5">
        <f>IF($BI166&lt;&gt;"",IF('Capacity summary'!$C$14="Yes",IF(COUNTBLANK('Capacity summary'!$H78:$BG78)&lt;52,IF('Capacity summary'!BE78&lt;&gt;"",$BI166*BE166,0),BE166*$BI166),BE166*$BI166),0)</f>
        <v>0</v>
      </c>
      <c r="DI166" s="5">
        <f>IF($BI166&lt;&gt;"",IF('Capacity summary'!$C$14="Yes",IF(COUNTBLANK('Capacity summary'!$H78:$BG78)&lt;52,IF('Capacity summary'!BF78&lt;&gt;"",$BI166*BF166,0),BF166*$BI166),BF166*$BI166),0)</f>
        <v>0</v>
      </c>
      <c r="DJ166" s="5">
        <f>IF($BI166&lt;&gt;"",IF('Capacity summary'!$C$14="Yes",IF(COUNTBLANK('Capacity summary'!$H78:$BG78)&lt;52,IF('Capacity summary'!BG78&lt;&gt;"",$BI166*BG166,0),BG166*$BI166),BG166*$BI166),0)</f>
        <v>0</v>
      </c>
      <c r="DK166" s="138">
        <f t="shared" si="6"/>
        <v>0</v>
      </c>
    </row>
    <row r="167" spans="3:115" x14ac:dyDescent="0.2">
      <c r="C167" s="68" t="str">
        <f>ROW(A56)&amp;". "&amp;Capacity!N72</f>
        <v xml:space="preserve">56. </v>
      </c>
      <c r="D167" s="68">
        <f>'Capacity setup'!C173</f>
        <v>0</v>
      </c>
      <c r="E167" s="68">
        <f>'Capacity setup'!D173</f>
        <v>0</v>
      </c>
      <c r="F167" s="68">
        <f>'Capacity setup'!E173</f>
        <v>0</v>
      </c>
      <c r="H167" s="68">
        <f ca="1">IF(AND(SUMIF(Capacity_Resource,$D167,'Critical resources (hide)'!U$6:U$105)+SUMIF(Capacity_Resource,$E167,'Critical resources (hide)'!U$6:U$105)+SUMIF(Capacity_Resource,$F167,'Critical resources (hide)'!U$6:U$105)&gt;0,$E$1=2),0,1)</f>
        <v>1</v>
      </c>
      <c r="I167" s="68">
        <f ca="1">IF(AND(SUMIF(Capacity_Resource,$D167,'Critical resources (hide)'!V$6:V$105)+SUMIF(Capacity_Resource,$E167,'Critical resources (hide)'!V$6:V$105)+SUMIF(Capacity_Resource,$F167,'Critical resources (hide)'!V$6:V$105)&gt;0,$E$1=2),0,1)</f>
        <v>1</v>
      </c>
      <c r="J167" s="68">
        <f ca="1">IF(AND(SUMIF(Capacity_Resource,$D167,'Critical resources (hide)'!W$6:W$105)+SUMIF(Capacity_Resource,$E167,'Critical resources (hide)'!W$6:W$105)+SUMIF(Capacity_Resource,$F167,'Critical resources (hide)'!W$6:W$105)&gt;0,$E$1=2),0,1)</f>
        <v>1</v>
      </c>
      <c r="K167" s="68">
        <f ca="1">IF(AND(SUMIF(Capacity_Resource,$D167,'Critical resources (hide)'!X$6:X$105)+SUMIF(Capacity_Resource,$E167,'Critical resources (hide)'!X$6:X$105)+SUMIF(Capacity_Resource,$F167,'Critical resources (hide)'!X$6:X$105)&gt;0,$E$1=2),0,1)</f>
        <v>1</v>
      </c>
      <c r="L167" s="68">
        <f ca="1">IF(AND(SUMIF(Capacity_Resource,$D167,'Critical resources (hide)'!Y$6:Y$105)+SUMIF(Capacity_Resource,$E167,'Critical resources (hide)'!Y$6:Y$105)+SUMIF(Capacity_Resource,$F167,'Critical resources (hide)'!Y$6:Y$105)&gt;0,$E$1=2),0,1)</f>
        <v>1</v>
      </c>
      <c r="M167" s="68">
        <f ca="1">IF(AND(SUMIF(Capacity_Resource,$D167,'Critical resources (hide)'!Z$6:Z$105)+SUMIF(Capacity_Resource,$E167,'Critical resources (hide)'!Z$6:Z$105)+SUMIF(Capacity_Resource,$F167,'Critical resources (hide)'!Z$6:Z$105)&gt;0,$E$1=2),0,1)</f>
        <v>1</v>
      </c>
      <c r="N167" s="68">
        <f ca="1">IF(AND(SUMIF(Capacity_Resource,$D167,'Critical resources (hide)'!AA$6:AA$105)+SUMIF(Capacity_Resource,$E167,'Critical resources (hide)'!AA$6:AA$105)+SUMIF(Capacity_Resource,$F167,'Critical resources (hide)'!AA$6:AA$105)&gt;0,$E$1=2),0,1)</f>
        <v>1</v>
      </c>
      <c r="O167" s="68">
        <f ca="1">IF(AND(SUMIF(Capacity_Resource,$D167,'Critical resources (hide)'!AB$6:AB$105)+SUMIF(Capacity_Resource,$E167,'Critical resources (hide)'!AB$6:AB$105)+SUMIF(Capacity_Resource,$F167,'Critical resources (hide)'!AB$6:AB$105)&gt;0,$E$1=2),0,1)</f>
        <v>1</v>
      </c>
      <c r="P167" s="68">
        <f ca="1">IF(AND(SUMIF(Capacity_Resource,$D167,'Critical resources (hide)'!AC$6:AC$105)+SUMIF(Capacity_Resource,$E167,'Critical resources (hide)'!AC$6:AC$105)+SUMIF(Capacity_Resource,$F167,'Critical resources (hide)'!AC$6:AC$105)&gt;0,$E$1=2),0,1)</f>
        <v>1</v>
      </c>
      <c r="Q167" s="68">
        <f ca="1">IF(AND(SUMIF(Capacity_Resource,$D167,'Critical resources (hide)'!AD$6:AD$105)+SUMIF(Capacity_Resource,$E167,'Critical resources (hide)'!AD$6:AD$105)+SUMIF(Capacity_Resource,$F167,'Critical resources (hide)'!AD$6:AD$105)&gt;0,$E$1=2),0,1)</f>
        <v>1</v>
      </c>
      <c r="R167" s="68">
        <f ca="1">IF(AND(SUMIF(Capacity_Resource,$D167,'Critical resources (hide)'!AE$6:AE$105)+SUMIF(Capacity_Resource,$E167,'Critical resources (hide)'!AE$6:AE$105)+SUMIF(Capacity_Resource,$F167,'Critical resources (hide)'!AE$6:AE$105)&gt;0,$E$1=2),0,1)</f>
        <v>1</v>
      </c>
      <c r="S167" s="68">
        <f ca="1">IF(AND(SUMIF(Capacity_Resource,$D167,'Critical resources (hide)'!AF$6:AF$105)+SUMIF(Capacity_Resource,$E167,'Critical resources (hide)'!AF$6:AF$105)+SUMIF(Capacity_Resource,$F167,'Critical resources (hide)'!AF$6:AF$105)&gt;0,$E$1=2),0,1)</f>
        <v>1</v>
      </c>
      <c r="T167" s="68">
        <f ca="1">IF(AND(SUMIF(Capacity_Resource,$D167,'Critical resources (hide)'!AG$6:AG$105)+SUMIF(Capacity_Resource,$E167,'Critical resources (hide)'!AG$6:AG$105)+SUMIF(Capacity_Resource,$F167,'Critical resources (hide)'!AG$6:AG$105)&gt;0,$E$1=2),0,1)</f>
        <v>1</v>
      </c>
      <c r="U167" s="68">
        <f ca="1">IF(AND(SUMIF(Capacity_Resource,$D167,'Critical resources (hide)'!AH$6:AH$105)+SUMIF(Capacity_Resource,$E167,'Critical resources (hide)'!AH$6:AH$105)+SUMIF(Capacity_Resource,$F167,'Critical resources (hide)'!AH$6:AH$105)&gt;0,$E$1=2),0,1)</f>
        <v>1</v>
      </c>
      <c r="V167" s="68">
        <f ca="1">IF(AND(SUMIF(Capacity_Resource,$D167,'Critical resources (hide)'!AI$6:AI$105)+SUMIF(Capacity_Resource,$E167,'Critical resources (hide)'!AI$6:AI$105)+SUMIF(Capacity_Resource,$F167,'Critical resources (hide)'!AI$6:AI$105)&gt;0,$E$1=2),0,1)</f>
        <v>1</v>
      </c>
      <c r="W167" s="68">
        <f ca="1">IF(AND(SUMIF(Capacity_Resource,$D167,'Critical resources (hide)'!AJ$6:AJ$105)+SUMIF(Capacity_Resource,$E167,'Critical resources (hide)'!AJ$6:AJ$105)+SUMIF(Capacity_Resource,$F167,'Critical resources (hide)'!AJ$6:AJ$105)&gt;0,$E$1=2),0,1)</f>
        <v>1</v>
      </c>
      <c r="X167" s="68">
        <f ca="1">IF(AND(SUMIF(Capacity_Resource,$D167,'Critical resources (hide)'!AK$6:AK$105)+SUMIF(Capacity_Resource,$E167,'Critical resources (hide)'!AK$6:AK$105)+SUMIF(Capacity_Resource,$F167,'Critical resources (hide)'!AK$6:AK$105)&gt;0,$E$1=2),0,1)</f>
        <v>1</v>
      </c>
      <c r="Y167" s="68">
        <f ca="1">IF(AND(SUMIF(Capacity_Resource,$D167,'Critical resources (hide)'!AL$6:AL$105)+SUMIF(Capacity_Resource,$E167,'Critical resources (hide)'!AL$6:AL$105)+SUMIF(Capacity_Resource,$F167,'Critical resources (hide)'!AL$6:AL$105)&gt;0,$E$1=2),0,1)</f>
        <v>1</v>
      </c>
      <c r="Z167" s="68">
        <f ca="1">IF(AND(SUMIF(Capacity_Resource,$D167,'Critical resources (hide)'!AM$6:AM$105)+SUMIF(Capacity_Resource,$E167,'Critical resources (hide)'!AM$6:AM$105)+SUMIF(Capacity_Resource,$F167,'Critical resources (hide)'!AM$6:AM$105)&gt;0,$E$1=2),0,1)</f>
        <v>1</v>
      </c>
      <c r="AA167" s="68">
        <f ca="1">IF(AND(SUMIF(Capacity_Resource,$D167,'Critical resources (hide)'!AN$6:AN$105)+SUMIF(Capacity_Resource,$E167,'Critical resources (hide)'!AN$6:AN$105)+SUMIF(Capacity_Resource,$F167,'Critical resources (hide)'!AN$6:AN$105)&gt;0,$E$1=2),0,1)</f>
        <v>1</v>
      </c>
      <c r="AB167" s="68">
        <f ca="1">IF(AND(SUMIF(Capacity_Resource,$D167,'Critical resources (hide)'!AO$6:AO$105)+SUMIF(Capacity_Resource,$E167,'Critical resources (hide)'!AO$6:AO$105)+SUMIF(Capacity_Resource,$F167,'Critical resources (hide)'!AO$6:AO$105)&gt;0,$E$1=2),0,1)</f>
        <v>1</v>
      </c>
      <c r="AC167" s="68">
        <f ca="1">IF(AND(SUMIF(Capacity_Resource,$D167,'Critical resources (hide)'!AP$6:AP$105)+SUMIF(Capacity_Resource,$E167,'Critical resources (hide)'!AP$6:AP$105)+SUMIF(Capacity_Resource,$F167,'Critical resources (hide)'!AP$6:AP$105)&gt;0,$E$1=2),0,1)</f>
        <v>1</v>
      </c>
      <c r="AD167" s="68">
        <f ca="1">IF(AND(SUMIF(Capacity_Resource,$D167,'Critical resources (hide)'!AQ$6:AQ$105)+SUMIF(Capacity_Resource,$E167,'Critical resources (hide)'!AQ$6:AQ$105)+SUMIF(Capacity_Resource,$F167,'Critical resources (hide)'!AQ$6:AQ$105)&gt;0,$E$1=2),0,1)</f>
        <v>1</v>
      </c>
      <c r="AE167" s="68">
        <f ca="1">IF(AND(SUMIF(Capacity_Resource,$D167,'Critical resources (hide)'!AR$6:AR$105)+SUMIF(Capacity_Resource,$E167,'Critical resources (hide)'!AR$6:AR$105)+SUMIF(Capacity_Resource,$F167,'Critical resources (hide)'!AR$6:AR$105)&gt;0,$E$1=2),0,1)</f>
        <v>1</v>
      </c>
      <c r="AF167" s="68">
        <f ca="1">IF(AND(SUMIF(Capacity_Resource,$D167,'Critical resources (hide)'!AS$6:AS$105)+SUMIF(Capacity_Resource,$E167,'Critical resources (hide)'!AS$6:AS$105)+SUMIF(Capacity_Resource,$F167,'Critical resources (hide)'!AS$6:AS$105)&gt;0,$E$1=2),0,1)</f>
        <v>1</v>
      </c>
      <c r="AG167" s="68">
        <f ca="1">IF(AND(SUMIF(Capacity_Resource,$D167,'Critical resources (hide)'!AT$6:AT$105)+SUMIF(Capacity_Resource,$E167,'Critical resources (hide)'!AT$6:AT$105)+SUMIF(Capacity_Resource,$F167,'Critical resources (hide)'!AT$6:AT$105)&gt;0,$E$1=2),0,1)</f>
        <v>1</v>
      </c>
      <c r="AH167" s="68">
        <f ca="1">IF(AND(SUMIF(Capacity_Resource,$D167,'Critical resources (hide)'!AU$6:AU$105)+SUMIF(Capacity_Resource,$E167,'Critical resources (hide)'!AU$6:AU$105)+SUMIF(Capacity_Resource,$F167,'Critical resources (hide)'!AU$6:AU$105)&gt;0,$E$1=2),0,1)</f>
        <v>1</v>
      </c>
      <c r="AI167" s="68">
        <f ca="1">IF(AND(SUMIF(Capacity_Resource,$D167,'Critical resources (hide)'!AV$6:AV$105)+SUMIF(Capacity_Resource,$E167,'Critical resources (hide)'!AV$6:AV$105)+SUMIF(Capacity_Resource,$F167,'Critical resources (hide)'!AV$6:AV$105)&gt;0,$E$1=2),0,1)</f>
        <v>1</v>
      </c>
      <c r="AJ167" s="68">
        <f ca="1">IF(AND(SUMIF(Capacity_Resource,$D167,'Critical resources (hide)'!AW$6:AW$105)+SUMIF(Capacity_Resource,$E167,'Critical resources (hide)'!AW$6:AW$105)+SUMIF(Capacity_Resource,$F167,'Critical resources (hide)'!AW$6:AW$105)&gt;0,$E$1=2),0,1)</f>
        <v>1</v>
      </c>
      <c r="AK167" s="68">
        <f ca="1">IF(AND(SUMIF(Capacity_Resource,$D167,'Critical resources (hide)'!AX$6:AX$105)+SUMIF(Capacity_Resource,$E167,'Critical resources (hide)'!AX$6:AX$105)+SUMIF(Capacity_Resource,$F167,'Critical resources (hide)'!AX$6:AX$105)&gt;0,$E$1=2),0,1)</f>
        <v>1</v>
      </c>
      <c r="AL167" s="68">
        <f ca="1">IF(AND(SUMIF(Capacity_Resource,$D167,'Critical resources (hide)'!AY$6:AY$105)+SUMIF(Capacity_Resource,$E167,'Critical resources (hide)'!AY$6:AY$105)+SUMIF(Capacity_Resource,$F167,'Critical resources (hide)'!AY$6:AY$105)&gt;0,$E$1=2),0,1)</f>
        <v>1</v>
      </c>
      <c r="AM167" s="68">
        <f ca="1">IF(AND(SUMIF(Capacity_Resource,$D167,'Critical resources (hide)'!AZ$6:AZ$105)+SUMIF(Capacity_Resource,$E167,'Critical resources (hide)'!AZ$6:AZ$105)+SUMIF(Capacity_Resource,$F167,'Critical resources (hide)'!AZ$6:AZ$105)&gt;0,$E$1=2),0,1)</f>
        <v>1</v>
      </c>
      <c r="AN167" s="68">
        <f ca="1">IF(AND(SUMIF(Capacity_Resource,$D167,'Critical resources (hide)'!BA$6:BA$105)+SUMIF(Capacity_Resource,$E167,'Critical resources (hide)'!BA$6:BA$105)+SUMIF(Capacity_Resource,$F167,'Critical resources (hide)'!BA$6:BA$105)&gt;0,$E$1=2),0,1)</f>
        <v>1</v>
      </c>
      <c r="AO167" s="68">
        <f ca="1">IF(AND(SUMIF(Capacity_Resource,$D167,'Critical resources (hide)'!BB$6:BB$105)+SUMIF(Capacity_Resource,$E167,'Critical resources (hide)'!BB$6:BB$105)+SUMIF(Capacity_Resource,$F167,'Critical resources (hide)'!BB$6:BB$105)&gt;0,$E$1=2),0,1)</f>
        <v>1</v>
      </c>
      <c r="AP167" s="68">
        <f ca="1">IF(AND(SUMIF(Capacity_Resource,$D167,'Critical resources (hide)'!BC$6:BC$105)+SUMIF(Capacity_Resource,$E167,'Critical resources (hide)'!BC$6:BC$105)+SUMIF(Capacity_Resource,$F167,'Critical resources (hide)'!BC$6:BC$105)&gt;0,$E$1=2),0,1)</f>
        <v>1</v>
      </c>
      <c r="AQ167" s="68">
        <f ca="1">IF(AND(SUMIF(Capacity_Resource,$D167,'Critical resources (hide)'!BD$6:BD$105)+SUMIF(Capacity_Resource,$E167,'Critical resources (hide)'!BD$6:BD$105)+SUMIF(Capacity_Resource,$F167,'Critical resources (hide)'!BD$6:BD$105)&gt;0,$E$1=2),0,1)</f>
        <v>1</v>
      </c>
      <c r="AR167" s="68">
        <f ca="1">IF(AND(SUMIF(Capacity_Resource,$D167,'Critical resources (hide)'!BE$6:BE$105)+SUMIF(Capacity_Resource,$E167,'Critical resources (hide)'!BE$6:BE$105)+SUMIF(Capacity_Resource,$F167,'Critical resources (hide)'!BE$6:BE$105)&gt;0,$E$1=2),0,1)</f>
        <v>1</v>
      </c>
      <c r="AS167" s="68">
        <f ca="1">IF(AND(SUMIF(Capacity_Resource,$D167,'Critical resources (hide)'!BF$6:BF$105)+SUMIF(Capacity_Resource,$E167,'Critical resources (hide)'!BF$6:BF$105)+SUMIF(Capacity_Resource,$F167,'Critical resources (hide)'!BF$6:BF$105)&gt;0,$E$1=2),0,1)</f>
        <v>1</v>
      </c>
      <c r="AT167" s="68">
        <f ca="1">IF(AND(SUMIF(Capacity_Resource,$D167,'Critical resources (hide)'!BG$6:BG$105)+SUMIF(Capacity_Resource,$E167,'Critical resources (hide)'!BG$6:BG$105)+SUMIF(Capacity_Resource,$F167,'Critical resources (hide)'!BG$6:BG$105)&gt;0,$E$1=2),0,1)</f>
        <v>1</v>
      </c>
      <c r="AU167" s="68">
        <f ca="1">IF(AND(SUMIF(Capacity_Resource,$D167,'Critical resources (hide)'!BH$6:BH$105)+SUMIF(Capacity_Resource,$E167,'Critical resources (hide)'!BH$6:BH$105)+SUMIF(Capacity_Resource,$F167,'Critical resources (hide)'!BH$6:BH$105)&gt;0,$E$1=2),0,1)</f>
        <v>1</v>
      </c>
      <c r="AV167" s="68">
        <f ca="1">IF(AND(SUMIF(Capacity_Resource,$D167,'Critical resources (hide)'!BI$6:BI$105)+SUMIF(Capacity_Resource,$E167,'Critical resources (hide)'!BI$6:BI$105)+SUMIF(Capacity_Resource,$F167,'Critical resources (hide)'!BI$6:BI$105)&gt;0,$E$1=2),0,1)</f>
        <v>1</v>
      </c>
      <c r="AW167" s="68">
        <f ca="1">IF(AND(SUMIF(Capacity_Resource,$D167,'Critical resources (hide)'!BJ$6:BJ$105)+SUMIF(Capacity_Resource,$E167,'Critical resources (hide)'!BJ$6:BJ$105)+SUMIF(Capacity_Resource,$F167,'Critical resources (hide)'!BJ$6:BJ$105)&gt;0,$E$1=2),0,1)</f>
        <v>1</v>
      </c>
      <c r="AX167" s="68">
        <f ca="1">IF(AND(SUMIF(Capacity_Resource,$D167,'Critical resources (hide)'!BK$6:BK$105)+SUMIF(Capacity_Resource,$E167,'Critical resources (hide)'!BK$6:BK$105)+SUMIF(Capacity_Resource,$F167,'Critical resources (hide)'!BK$6:BK$105)&gt;0,$E$1=2),0,1)</f>
        <v>1</v>
      </c>
      <c r="AY167" s="68">
        <f ca="1">IF(AND(SUMIF(Capacity_Resource,$D167,'Critical resources (hide)'!BL$6:BL$105)+SUMIF(Capacity_Resource,$E167,'Critical resources (hide)'!BL$6:BL$105)+SUMIF(Capacity_Resource,$F167,'Critical resources (hide)'!BL$6:BL$105)&gt;0,$E$1=2),0,1)</f>
        <v>1</v>
      </c>
      <c r="AZ167" s="68">
        <f ca="1">IF(AND(SUMIF(Capacity_Resource,$D167,'Critical resources (hide)'!BM$6:BM$105)+SUMIF(Capacity_Resource,$E167,'Critical resources (hide)'!BM$6:BM$105)+SUMIF(Capacity_Resource,$F167,'Critical resources (hide)'!BM$6:BM$105)&gt;0,$E$1=2),0,1)</f>
        <v>1</v>
      </c>
      <c r="BA167" s="68">
        <f ca="1">IF(AND(SUMIF(Capacity_Resource,$D167,'Critical resources (hide)'!BN$6:BN$105)+SUMIF(Capacity_Resource,$E167,'Critical resources (hide)'!BN$6:BN$105)+SUMIF(Capacity_Resource,$F167,'Critical resources (hide)'!BN$6:BN$105)&gt;0,$E$1=2),0,1)</f>
        <v>1</v>
      </c>
      <c r="BB167" s="68">
        <f ca="1">IF(AND(SUMIF(Capacity_Resource,$D167,'Critical resources (hide)'!BO$6:BO$105)+SUMIF(Capacity_Resource,$E167,'Critical resources (hide)'!BO$6:BO$105)+SUMIF(Capacity_Resource,$F167,'Critical resources (hide)'!BO$6:BO$105)&gt;0,$E$1=2),0,1)</f>
        <v>1</v>
      </c>
      <c r="BC167" s="68">
        <f ca="1">IF(AND(SUMIF(Capacity_Resource,$D167,'Critical resources (hide)'!BP$6:BP$105)+SUMIF(Capacity_Resource,$E167,'Critical resources (hide)'!BP$6:BP$105)+SUMIF(Capacity_Resource,$F167,'Critical resources (hide)'!BP$6:BP$105)&gt;0,$E$1=2),0,1)</f>
        <v>1</v>
      </c>
      <c r="BD167" s="68">
        <f ca="1">IF(AND(SUMIF(Capacity_Resource,$D167,'Critical resources (hide)'!BQ$6:BQ$105)+SUMIF(Capacity_Resource,$E167,'Critical resources (hide)'!BQ$6:BQ$105)+SUMIF(Capacity_Resource,$F167,'Critical resources (hide)'!BQ$6:BQ$105)&gt;0,$E$1=2),0,1)</f>
        <v>1</v>
      </c>
      <c r="BE167" s="68">
        <f ca="1">IF(AND(SUMIF(Capacity_Resource,$D167,'Critical resources (hide)'!BR$6:BR$105)+SUMIF(Capacity_Resource,$E167,'Critical resources (hide)'!BR$6:BR$105)+SUMIF(Capacity_Resource,$F167,'Critical resources (hide)'!BR$6:BR$105)&gt;0,$E$1=2),0,1)</f>
        <v>1</v>
      </c>
      <c r="BF167" s="68">
        <f ca="1">IF(AND(SUMIF(Capacity_Resource,$D167,'Critical resources (hide)'!BS$6:BS$105)+SUMIF(Capacity_Resource,$E167,'Critical resources (hide)'!BS$6:BS$105)+SUMIF(Capacity_Resource,$F167,'Critical resources (hide)'!BS$6:BS$105)&gt;0,$E$1=2),0,1)</f>
        <v>1</v>
      </c>
      <c r="BG167" s="68">
        <f ca="1">IF(AND(SUMIF(Capacity_Resource,$D167,'Critical resources (hide)'!BT$6:BT$105)+SUMIF(Capacity_Resource,$E167,'Critical resources (hide)'!BT$6:BT$105)+SUMIF(Capacity_Resource,$F167,'Critical resources (hide)'!BT$6:BT$105)&gt;0,$E$1=2),0,1)</f>
        <v>1</v>
      </c>
      <c r="BH167" s="68">
        <f>IF(ROW(A56)&lt;=Capacity!$M$16,IF('Capacity summary'!$C$14="No",SUM(H167:BG167),'Capacity summary'!$E79),0)</f>
        <v>0</v>
      </c>
      <c r="BI167" s="68" t="str">
        <f>IF(BH167&gt;0,IF(BH167&lt;Capacity!Q72,Capacity!R72,Capacity!T72/'Capacity calculation (hide)'!BH167),"")</f>
        <v/>
      </c>
      <c r="BJ167" s="5"/>
      <c r="BK167" s="5">
        <f>IF($BI167&lt;&gt;"",IF('Capacity summary'!$C$14="Yes",IF(COUNTBLANK('Capacity summary'!$H79:$BG79)&lt;52,IF('Capacity summary'!H79&lt;&gt;"",$BI167*H167,0),H167*$BI167),H167*$BI167),0)</f>
        <v>0</v>
      </c>
      <c r="BL167" s="5">
        <f>IF($BI167&lt;&gt;"",IF('Capacity summary'!$C$14="Yes",IF(COUNTBLANK('Capacity summary'!$H79:$BG79)&lt;52,IF('Capacity summary'!I79&lt;&gt;"",$BI167*I167,0),I167*$BI167),I167*$BI167),0)</f>
        <v>0</v>
      </c>
      <c r="BM167" s="5">
        <f>IF($BI167&lt;&gt;"",IF('Capacity summary'!$C$14="Yes",IF(COUNTBLANK('Capacity summary'!$H79:$BG79)&lt;52,IF('Capacity summary'!J79&lt;&gt;"",$BI167*J167,0),J167*$BI167),J167*$BI167),0)</f>
        <v>0</v>
      </c>
      <c r="BN167" s="5">
        <f>IF($BI167&lt;&gt;"",IF('Capacity summary'!$C$14="Yes",IF(COUNTBLANK('Capacity summary'!$H79:$BG79)&lt;52,IF('Capacity summary'!K79&lt;&gt;"",$BI167*K167,0),K167*$BI167),K167*$BI167),0)</f>
        <v>0</v>
      </c>
      <c r="BO167" s="5">
        <f>IF($BI167&lt;&gt;"",IF('Capacity summary'!$C$14="Yes",IF(COUNTBLANK('Capacity summary'!$H79:$BG79)&lt;52,IF('Capacity summary'!L79&lt;&gt;"",$BI167*L167,0),L167*$BI167),L167*$BI167),0)</f>
        <v>0</v>
      </c>
      <c r="BP167" s="5">
        <f>IF($BI167&lt;&gt;"",IF('Capacity summary'!$C$14="Yes",IF(COUNTBLANK('Capacity summary'!$H79:$BG79)&lt;52,IF('Capacity summary'!M79&lt;&gt;"",$BI167*M167,0),M167*$BI167),M167*$BI167),0)</f>
        <v>0</v>
      </c>
      <c r="BQ167" s="5">
        <f>IF($BI167&lt;&gt;"",IF('Capacity summary'!$C$14="Yes",IF(COUNTBLANK('Capacity summary'!$H79:$BG79)&lt;52,IF('Capacity summary'!N79&lt;&gt;"",$BI167*N167,0),N167*$BI167),N167*$BI167),0)</f>
        <v>0</v>
      </c>
      <c r="BR167" s="5">
        <f>IF($BI167&lt;&gt;"",IF('Capacity summary'!$C$14="Yes",IF(COUNTBLANK('Capacity summary'!$H79:$BG79)&lt;52,IF('Capacity summary'!O79&lt;&gt;"",$BI167*O167,0),O167*$BI167),O167*$BI167),0)</f>
        <v>0</v>
      </c>
      <c r="BS167" s="5">
        <f>IF($BI167&lt;&gt;"",IF('Capacity summary'!$C$14="Yes",IF(COUNTBLANK('Capacity summary'!$H79:$BG79)&lt;52,IF('Capacity summary'!P79&lt;&gt;"",$BI167*P167,0),P167*$BI167),P167*$BI167),0)</f>
        <v>0</v>
      </c>
      <c r="BT167" s="5">
        <f>IF($BI167&lt;&gt;"",IF('Capacity summary'!$C$14="Yes",IF(COUNTBLANK('Capacity summary'!$H79:$BG79)&lt;52,IF('Capacity summary'!Q79&lt;&gt;"",$BI167*Q167,0),Q167*$BI167),Q167*$BI167),0)</f>
        <v>0</v>
      </c>
      <c r="BU167" s="5">
        <f>IF($BI167&lt;&gt;"",IF('Capacity summary'!$C$14="Yes",IF(COUNTBLANK('Capacity summary'!$H79:$BG79)&lt;52,IF('Capacity summary'!R79&lt;&gt;"",$BI167*R167,0),R167*$BI167),R167*$BI167),0)</f>
        <v>0</v>
      </c>
      <c r="BV167" s="5">
        <f>IF($BI167&lt;&gt;"",IF('Capacity summary'!$C$14="Yes",IF(COUNTBLANK('Capacity summary'!$H79:$BG79)&lt;52,IF('Capacity summary'!S79&lt;&gt;"",$BI167*S167,0),S167*$BI167),S167*$BI167),0)</f>
        <v>0</v>
      </c>
      <c r="BW167" s="5">
        <f>IF($BI167&lt;&gt;"",IF('Capacity summary'!$C$14="Yes",IF(COUNTBLANK('Capacity summary'!$H79:$BG79)&lt;52,IF('Capacity summary'!T79&lt;&gt;"",$BI167*T167,0),T167*$BI167),T167*$BI167),0)</f>
        <v>0</v>
      </c>
      <c r="BX167" s="5">
        <f>IF($BI167&lt;&gt;"",IF('Capacity summary'!$C$14="Yes",IF(COUNTBLANK('Capacity summary'!$H79:$BG79)&lt;52,IF('Capacity summary'!U79&lt;&gt;"",$BI167*U167,0),U167*$BI167),U167*$BI167),0)</f>
        <v>0</v>
      </c>
      <c r="BY167" s="5">
        <f>IF($BI167&lt;&gt;"",IF('Capacity summary'!$C$14="Yes",IF(COUNTBLANK('Capacity summary'!$H79:$BG79)&lt;52,IF('Capacity summary'!V79&lt;&gt;"",$BI167*V167,0),V167*$BI167),V167*$BI167),0)</f>
        <v>0</v>
      </c>
      <c r="BZ167" s="5">
        <f>IF($BI167&lt;&gt;"",IF('Capacity summary'!$C$14="Yes",IF(COUNTBLANK('Capacity summary'!$H79:$BG79)&lt;52,IF('Capacity summary'!W79&lt;&gt;"",$BI167*W167,0),W167*$BI167),W167*$BI167),0)</f>
        <v>0</v>
      </c>
      <c r="CA167" s="5">
        <f>IF($BI167&lt;&gt;"",IF('Capacity summary'!$C$14="Yes",IF(COUNTBLANK('Capacity summary'!$H79:$BG79)&lt;52,IF('Capacity summary'!X79&lt;&gt;"",$BI167*X167,0),X167*$BI167),X167*$BI167),0)</f>
        <v>0</v>
      </c>
      <c r="CB167" s="5">
        <f>IF($BI167&lt;&gt;"",IF('Capacity summary'!$C$14="Yes",IF(COUNTBLANK('Capacity summary'!$H79:$BG79)&lt;52,IF('Capacity summary'!Y79&lt;&gt;"",$BI167*Y167,0),Y167*$BI167),Y167*$BI167),0)</f>
        <v>0</v>
      </c>
      <c r="CC167" s="5">
        <f>IF($BI167&lt;&gt;"",IF('Capacity summary'!$C$14="Yes",IF(COUNTBLANK('Capacity summary'!$H79:$BG79)&lt;52,IF('Capacity summary'!Z79&lt;&gt;"",$BI167*Z167,0),Z167*$BI167),Z167*$BI167),0)</f>
        <v>0</v>
      </c>
      <c r="CD167" s="5">
        <f>IF($BI167&lt;&gt;"",IF('Capacity summary'!$C$14="Yes",IF(COUNTBLANK('Capacity summary'!$H79:$BG79)&lt;52,IF('Capacity summary'!AA79&lt;&gt;"",$BI167*AA167,0),AA167*$BI167),AA167*$BI167),0)</f>
        <v>0</v>
      </c>
      <c r="CE167" s="5">
        <f>IF($BI167&lt;&gt;"",IF('Capacity summary'!$C$14="Yes",IF(COUNTBLANK('Capacity summary'!$H79:$BG79)&lt;52,IF('Capacity summary'!AB79&lt;&gt;"",$BI167*AB167,0),AB167*$BI167),AB167*$BI167),0)</f>
        <v>0</v>
      </c>
      <c r="CF167" s="5">
        <f>IF($BI167&lt;&gt;"",IF('Capacity summary'!$C$14="Yes",IF(COUNTBLANK('Capacity summary'!$H79:$BG79)&lt;52,IF('Capacity summary'!AC79&lt;&gt;"",$BI167*AC167,0),AC167*$BI167),AC167*$BI167),0)</f>
        <v>0</v>
      </c>
      <c r="CG167" s="5">
        <f>IF($BI167&lt;&gt;"",IF('Capacity summary'!$C$14="Yes",IF(COUNTBLANK('Capacity summary'!$H79:$BG79)&lt;52,IF('Capacity summary'!AD79&lt;&gt;"",$BI167*AD167,0),AD167*$BI167),AD167*$BI167),0)</f>
        <v>0</v>
      </c>
      <c r="CH167" s="5">
        <f>IF($BI167&lt;&gt;"",IF('Capacity summary'!$C$14="Yes",IF(COUNTBLANK('Capacity summary'!$H79:$BG79)&lt;52,IF('Capacity summary'!AE79&lt;&gt;"",$BI167*AE167,0),AE167*$BI167),AE167*$BI167),0)</f>
        <v>0</v>
      </c>
      <c r="CI167" s="5">
        <f>IF($BI167&lt;&gt;"",IF('Capacity summary'!$C$14="Yes",IF(COUNTBLANK('Capacity summary'!$H79:$BG79)&lt;52,IF('Capacity summary'!AF79&lt;&gt;"",$BI167*AF167,0),AF167*$BI167),AF167*$BI167),0)</f>
        <v>0</v>
      </c>
      <c r="CJ167" s="5">
        <f>IF($BI167&lt;&gt;"",IF('Capacity summary'!$C$14="Yes",IF(COUNTBLANK('Capacity summary'!$H79:$BG79)&lt;52,IF('Capacity summary'!AG79&lt;&gt;"",$BI167*AG167,0),AG167*$BI167),AG167*$BI167),0)</f>
        <v>0</v>
      </c>
      <c r="CK167" s="5">
        <f>IF($BI167&lt;&gt;"",IF('Capacity summary'!$C$14="Yes",IF(COUNTBLANK('Capacity summary'!$H79:$BG79)&lt;52,IF('Capacity summary'!AH79&lt;&gt;"",$BI167*AH167,0),AH167*$BI167),AH167*$BI167),0)</f>
        <v>0</v>
      </c>
      <c r="CL167" s="5">
        <f>IF($BI167&lt;&gt;"",IF('Capacity summary'!$C$14="Yes",IF(COUNTBLANK('Capacity summary'!$H79:$BG79)&lt;52,IF('Capacity summary'!AI79&lt;&gt;"",$BI167*AI167,0),AI167*$BI167),AI167*$BI167),0)</f>
        <v>0</v>
      </c>
      <c r="CM167" s="5">
        <f>IF($BI167&lt;&gt;"",IF('Capacity summary'!$C$14="Yes",IF(COUNTBLANK('Capacity summary'!$H79:$BG79)&lt;52,IF('Capacity summary'!AJ79&lt;&gt;"",$BI167*AJ167,0),AJ167*$BI167),AJ167*$BI167),0)</f>
        <v>0</v>
      </c>
      <c r="CN167" s="5">
        <f>IF($BI167&lt;&gt;"",IF('Capacity summary'!$C$14="Yes",IF(COUNTBLANK('Capacity summary'!$H79:$BG79)&lt;52,IF('Capacity summary'!AK79&lt;&gt;"",$BI167*AK167,0),AK167*$BI167),AK167*$BI167),0)</f>
        <v>0</v>
      </c>
      <c r="CO167" s="5">
        <f>IF($BI167&lt;&gt;"",IF('Capacity summary'!$C$14="Yes",IF(COUNTBLANK('Capacity summary'!$H79:$BG79)&lt;52,IF('Capacity summary'!AL79&lt;&gt;"",$BI167*AL167,0),AL167*$BI167),AL167*$BI167),0)</f>
        <v>0</v>
      </c>
      <c r="CP167" s="5">
        <f>IF($BI167&lt;&gt;"",IF('Capacity summary'!$C$14="Yes",IF(COUNTBLANK('Capacity summary'!$H79:$BG79)&lt;52,IF('Capacity summary'!AM79&lt;&gt;"",$BI167*AM167,0),AM167*$BI167),AM167*$BI167),0)</f>
        <v>0</v>
      </c>
      <c r="CQ167" s="5">
        <f>IF($BI167&lt;&gt;"",IF('Capacity summary'!$C$14="Yes",IF(COUNTBLANK('Capacity summary'!$H79:$BG79)&lt;52,IF('Capacity summary'!AN79&lt;&gt;"",$BI167*AN167,0),AN167*$BI167),AN167*$BI167),0)</f>
        <v>0</v>
      </c>
      <c r="CR167" s="5">
        <f>IF($BI167&lt;&gt;"",IF('Capacity summary'!$C$14="Yes",IF(COUNTBLANK('Capacity summary'!$H79:$BG79)&lt;52,IF('Capacity summary'!AO79&lt;&gt;"",$BI167*AO167,0),AO167*$BI167),AO167*$BI167),0)</f>
        <v>0</v>
      </c>
      <c r="CS167" s="5">
        <f>IF($BI167&lt;&gt;"",IF('Capacity summary'!$C$14="Yes",IF(COUNTBLANK('Capacity summary'!$H79:$BG79)&lt;52,IF('Capacity summary'!AP79&lt;&gt;"",$BI167*AP167,0),AP167*$BI167),AP167*$BI167),0)</f>
        <v>0</v>
      </c>
      <c r="CT167" s="5">
        <f>IF($BI167&lt;&gt;"",IF('Capacity summary'!$C$14="Yes",IF(COUNTBLANK('Capacity summary'!$H79:$BG79)&lt;52,IF('Capacity summary'!AQ79&lt;&gt;"",$BI167*AQ167,0),AQ167*$BI167),AQ167*$BI167),0)</f>
        <v>0</v>
      </c>
      <c r="CU167" s="5">
        <f>IF($BI167&lt;&gt;"",IF('Capacity summary'!$C$14="Yes",IF(COUNTBLANK('Capacity summary'!$H79:$BG79)&lt;52,IF('Capacity summary'!AR79&lt;&gt;"",$BI167*AR167,0),AR167*$BI167),AR167*$BI167),0)</f>
        <v>0</v>
      </c>
      <c r="CV167" s="5">
        <f>IF($BI167&lt;&gt;"",IF('Capacity summary'!$C$14="Yes",IF(COUNTBLANK('Capacity summary'!$H79:$BG79)&lt;52,IF('Capacity summary'!AS79&lt;&gt;"",$BI167*AS167,0),AS167*$BI167),AS167*$BI167),0)</f>
        <v>0</v>
      </c>
      <c r="CW167" s="5">
        <f>IF($BI167&lt;&gt;"",IF('Capacity summary'!$C$14="Yes",IF(COUNTBLANK('Capacity summary'!$H79:$BG79)&lt;52,IF('Capacity summary'!AT79&lt;&gt;"",$BI167*AT167,0),AT167*$BI167),AT167*$BI167),0)</f>
        <v>0</v>
      </c>
      <c r="CX167" s="5">
        <f>IF($BI167&lt;&gt;"",IF('Capacity summary'!$C$14="Yes",IF(COUNTBLANK('Capacity summary'!$H79:$BG79)&lt;52,IF('Capacity summary'!AU79&lt;&gt;"",$BI167*AU167,0),AU167*$BI167),AU167*$BI167),0)</f>
        <v>0</v>
      </c>
      <c r="CY167" s="5">
        <f>IF($BI167&lt;&gt;"",IF('Capacity summary'!$C$14="Yes",IF(COUNTBLANK('Capacity summary'!$H79:$BG79)&lt;52,IF('Capacity summary'!AV79&lt;&gt;"",$BI167*AV167,0),AV167*$BI167),AV167*$BI167),0)</f>
        <v>0</v>
      </c>
      <c r="CZ167" s="5">
        <f>IF($BI167&lt;&gt;"",IF('Capacity summary'!$C$14="Yes",IF(COUNTBLANK('Capacity summary'!$H79:$BG79)&lt;52,IF('Capacity summary'!AW79&lt;&gt;"",$BI167*AW167,0),AW167*$BI167),AW167*$BI167),0)</f>
        <v>0</v>
      </c>
      <c r="DA167" s="5">
        <f>IF($BI167&lt;&gt;"",IF('Capacity summary'!$C$14="Yes",IF(COUNTBLANK('Capacity summary'!$H79:$BG79)&lt;52,IF('Capacity summary'!AX79&lt;&gt;"",$BI167*AX167,0),AX167*$BI167),AX167*$BI167),0)</f>
        <v>0</v>
      </c>
      <c r="DB167" s="5">
        <f>IF($BI167&lt;&gt;"",IF('Capacity summary'!$C$14="Yes",IF(COUNTBLANK('Capacity summary'!$H79:$BG79)&lt;52,IF('Capacity summary'!AY79&lt;&gt;"",$BI167*AY167,0),AY167*$BI167),AY167*$BI167),0)</f>
        <v>0</v>
      </c>
      <c r="DC167" s="5">
        <f>IF($BI167&lt;&gt;"",IF('Capacity summary'!$C$14="Yes",IF(COUNTBLANK('Capacity summary'!$H79:$BG79)&lt;52,IF('Capacity summary'!AZ79&lt;&gt;"",$BI167*AZ167,0),AZ167*$BI167),AZ167*$BI167),0)</f>
        <v>0</v>
      </c>
      <c r="DD167" s="5">
        <f>IF($BI167&lt;&gt;"",IF('Capacity summary'!$C$14="Yes",IF(COUNTBLANK('Capacity summary'!$H79:$BG79)&lt;52,IF('Capacity summary'!BA79&lt;&gt;"",$BI167*BA167,0),BA167*$BI167),BA167*$BI167),0)</f>
        <v>0</v>
      </c>
      <c r="DE167" s="5">
        <f>IF($BI167&lt;&gt;"",IF('Capacity summary'!$C$14="Yes",IF(COUNTBLANK('Capacity summary'!$H79:$BG79)&lt;52,IF('Capacity summary'!BB79&lt;&gt;"",$BI167*BB167,0),BB167*$BI167),BB167*$BI167),0)</f>
        <v>0</v>
      </c>
      <c r="DF167" s="5">
        <f>IF($BI167&lt;&gt;"",IF('Capacity summary'!$C$14="Yes",IF(COUNTBLANK('Capacity summary'!$H79:$BG79)&lt;52,IF('Capacity summary'!BC79&lt;&gt;"",$BI167*BC167,0),BC167*$BI167),BC167*$BI167),0)</f>
        <v>0</v>
      </c>
      <c r="DG167" s="5">
        <f>IF($BI167&lt;&gt;"",IF('Capacity summary'!$C$14="Yes",IF(COUNTBLANK('Capacity summary'!$H79:$BG79)&lt;52,IF('Capacity summary'!BD79&lt;&gt;"",$BI167*BD167,0),BD167*$BI167),BD167*$BI167),0)</f>
        <v>0</v>
      </c>
      <c r="DH167" s="5">
        <f>IF($BI167&lt;&gt;"",IF('Capacity summary'!$C$14="Yes",IF(COUNTBLANK('Capacity summary'!$H79:$BG79)&lt;52,IF('Capacity summary'!BE79&lt;&gt;"",$BI167*BE167,0),BE167*$BI167),BE167*$BI167),0)</f>
        <v>0</v>
      </c>
      <c r="DI167" s="5">
        <f>IF($BI167&lt;&gt;"",IF('Capacity summary'!$C$14="Yes",IF(COUNTBLANK('Capacity summary'!$H79:$BG79)&lt;52,IF('Capacity summary'!BF79&lt;&gt;"",$BI167*BF167,0),BF167*$BI167),BF167*$BI167),0)</f>
        <v>0</v>
      </c>
      <c r="DJ167" s="5">
        <f>IF($BI167&lt;&gt;"",IF('Capacity summary'!$C$14="Yes",IF(COUNTBLANK('Capacity summary'!$H79:$BG79)&lt;52,IF('Capacity summary'!BG79&lt;&gt;"",$BI167*BG167,0),BG167*$BI167),BG167*$BI167),0)</f>
        <v>0</v>
      </c>
      <c r="DK167" s="138">
        <f t="shared" si="6"/>
        <v>0</v>
      </c>
    </row>
    <row r="168" spans="3:115" x14ac:dyDescent="0.2">
      <c r="C168" s="68" t="str">
        <f>ROW(A57)&amp;". "&amp;Capacity!N73</f>
        <v xml:space="preserve">57. </v>
      </c>
      <c r="D168" s="68">
        <f>'Capacity setup'!C174</f>
        <v>0</v>
      </c>
      <c r="E168" s="68">
        <f>'Capacity setup'!D174</f>
        <v>0</v>
      </c>
      <c r="F168" s="68">
        <f>'Capacity setup'!E174</f>
        <v>0</v>
      </c>
      <c r="H168" s="68">
        <f ca="1">IF(AND(SUMIF(Capacity_Resource,$D168,'Critical resources (hide)'!U$6:U$105)+SUMIF(Capacity_Resource,$E168,'Critical resources (hide)'!U$6:U$105)+SUMIF(Capacity_Resource,$F168,'Critical resources (hide)'!U$6:U$105)&gt;0,$E$1=2),0,1)</f>
        <v>1</v>
      </c>
      <c r="I168" s="68">
        <f ca="1">IF(AND(SUMIF(Capacity_Resource,$D168,'Critical resources (hide)'!V$6:V$105)+SUMIF(Capacity_Resource,$E168,'Critical resources (hide)'!V$6:V$105)+SUMIF(Capacity_Resource,$F168,'Critical resources (hide)'!V$6:V$105)&gt;0,$E$1=2),0,1)</f>
        <v>1</v>
      </c>
      <c r="J168" s="68">
        <f ca="1">IF(AND(SUMIF(Capacity_Resource,$D168,'Critical resources (hide)'!W$6:W$105)+SUMIF(Capacity_Resource,$E168,'Critical resources (hide)'!W$6:W$105)+SUMIF(Capacity_Resource,$F168,'Critical resources (hide)'!W$6:W$105)&gt;0,$E$1=2),0,1)</f>
        <v>1</v>
      </c>
      <c r="K168" s="68">
        <f ca="1">IF(AND(SUMIF(Capacity_Resource,$D168,'Critical resources (hide)'!X$6:X$105)+SUMIF(Capacity_Resource,$E168,'Critical resources (hide)'!X$6:X$105)+SUMIF(Capacity_Resource,$F168,'Critical resources (hide)'!X$6:X$105)&gt;0,$E$1=2),0,1)</f>
        <v>1</v>
      </c>
      <c r="L168" s="68">
        <f ca="1">IF(AND(SUMIF(Capacity_Resource,$D168,'Critical resources (hide)'!Y$6:Y$105)+SUMIF(Capacity_Resource,$E168,'Critical resources (hide)'!Y$6:Y$105)+SUMIF(Capacity_Resource,$F168,'Critical resources (hide)'!Y$6:Y$105)&gt;0,$E$1=2),0,1)</f>
        <v>1</v>
      </c>
      <c r="M168" s="68">
        <f ca="1">IF(AND(SUMIF(Capacity_Resource,$D168,'Critical resources (hide)'!Z$6:Z$105)+SUMIF(Capacity_Resource,$E168,'Critical resources (hide)'!Z$6:Z$105)+SUMIF(Capacity_Resource,$F168,'Critical resources (hide)'!Z$6:Z$105)&gt;0,$E$1=2),0,1)</f>
        <v>1</v>
      </c>
      <c r="N168" s="68">
        <f ca="1">IF(AND(SUMIF(Capacity_Resource,$D168,'Critical resources (hide)'!AA$6:AA$105)+SUMIF(Capacity_Resource,$E168,'Critical resources (hide)'!AA$6:AA$105)+SUMIF(Capacity_Resource,$F168,'Critical resources (hide)'!AA$6:AA$105)&gt;0,$E$1=2),0,1)</f>
        <v>1</v>
      </c>
      <c r="O168" s="68">
        <f ca="1">IF(AND(SUMIF(Capacity_Resource,$D168,'Critical resources (hide)'!AB$6:AB$105)+SUMIF(Capacity_Resource,$E168,'Critical resources (hide)'!AB$6:AB$105)+SUMIF(Capacity_Resource,$F168,'Critical resources (hide)'!AB$6:AB$105)&gt;0,$E$1=2),0,1)</f>
        <v>1</v>
      </c>
      <c r="P168" s="68">
        <f ca="1">IF(AND(SUMIF(Capacity_Resource,$D168,'Critical resources (hide)'!AC$6:AC$105)+SUMIF(Capacity_Resource,$E168,'Critical resources (hide)'!AC$6:AC$105)+SUMIF(Capacity_Resource,$F168,'Critical resources (hide)'!AC$6:AC$105)&gt;0,$E$1=2),0,1)</f>
        <v>1</v>
      </c>
      <c r="Q168" s="68">
        <f ca="1">IF(AND(SUMIF(Capacity_Resource,$D168,'Critical resources (hide)'!AD$6:AD$105)+SUMIF(Capacity_Resource,$E168,'Critical resources (hide)'!AD$6:AD$105)+SUMIF(Capacity_Resource,$F168,'Critical resources (hide)'!AD$6:AD$105)&gt;0,$E$1=2),0,1)</f>
        <v>1</v>
      </c>
      <c r="R168" s="68">
        <f ca="1">IF(AND(SUMIF(Capacity_Resource,$D168,'Critical resources (hide)'!AE$6:AE$105)+SUMIF(Capacity_Resource,$E168,'Critical resources (hide)'!AE$6:AE$105)+SUMIF(Capacity_Resource,$F168,'Critical resources (hide)'!AE$6:AE$105)&gt;0,$E$1=2),0,1)</f>
        <v>1</v>
      </c>
      <c r="S168" s="68">
        <f ca="1">IF(AND(SUMIF(Capacity_Resource,$D168,'Critical resources (hide)'!AF$6:AF$105)+SUMIF(Capacity_Resource,$E168,'Critical resources (hide)'!AF$6:AF$105)+SUMIF(Capacity_Resource,$F168,'Critical resources (hide)'!AF$6:AF$105)&gt;0,$E$1=2),0,1)</f>
        <v>1</v>
      </c>
      <c r="T168" s="68">
        <f ca="1">IF(AND(SUMIF(Capacity_Resource,$D168,'Critical resources (hide)'!AG$6:AG$105)+SUMIF(Capacity_Resource,$E168,'Critical resources (hide)'!AG$6:AG$105)+SUMIF(Capacity_Resource,$F168,'Critical resources (hide)'!AG$6:AG$105)&gt;0,$E$1=2),0,1)</f>
        <v>1</v>
      </c>
      <c r="U168" s="68">
        <f ca="1">IF(AND(SUMIF(Capacity_Resource,$D168,'Critical resources (hide)'!AH$6:AH$105)+SUMIF(Capacity_Resource,$E168,'Critical resources (hide)'!AH$6:AH$105)+SUMIF(Capacity_Resource,$F168,'Critical resources (hide)'!AH$6:AH$105)&gt;0,$E$1=2),0,1)</f>
        <v>1</v>
      </c>
      <c r="V168" s="68">
        <f ca="1">IF(AND(SUMIF(Capacity_Resource,$D168,'Critical resources (hide)'!AI$6:AI$105)+SUMIF(Capacity_Resource,$E168,'Critical resources (hide)'!AI$6:AI$105)+SUMIF(Capacity_Resource,$F168,'Critical resources (hide)'!AI$6:AI$105)&gt;0,$E$1=2),0,1)</f>
        <v>1</v>
      </c>
      <c r="W168" s="68">
        <f ca="1">IF(AND(SUMIF(Capacity_Resource,$D168,'Critical resources (hide)'!AJ$6:AJ$105)+SUMIF(Capacity_Resource,$E168,'Critical resources (hide)'!AJ$6:AJ$105)+SUMIF(Capacity_Resource,$F168,'Critical resources (hide)'!AJ$6:AJ$105)&gt;0,$E$1=2),0,1)</f>
        <v>1</v>
      </c>
      <c r="X168" s="68">
        <f ca="1">IF(AND(SUMIF(Capacity_Resource,$D168,'Critical resources (hide)'!AK$6:AK$105)+SUMIF(Capacity_Resource,$E168,'Critical resources (hide)'!AK$6:AK$105)+SUMIF(Capacity_Resource,$F168,'Critical resources (hide)'!AK$6:AK$105)&gt;0,$E$1=2),0,1)</f>
        <v>1</v>
      </c>
      <c r="Y168" s="68">
        <f ca="1">IF(AND(SUMIF(Capacity_Resource,$D168,'Critical resources (hide)'!AL$6:AL$105)+SUMIF(Capacity_Resource,$E168,'Critical resources (hide)'!AL$6:AL$105)+SUMIF(Capacity_Resource,$F168,'Critical resources (hide)'!AL$6:AL$105)&gt;0,$E$1=2),0,1)</f>
        <v>1</v>
      </c>
      <c r="Z168" s="68">
        <f ca="1">IF(AND(SUMIF(Capacity_Resource,$D168,'Critical resources (hide)'!AM$6:AM$105)+SUMIF(Capacity_Resource,$E168,'Critical resources (hide)'!AM$6:AM$105)+SUMIF(Capacity_Resource,$F168,'Critical resources (hide)'!AM$6:AM$105)&gt;0,$E$1=2),0,1)</f>
        <v>1</v>
      </c>
      <c r="AA168" s="68">
        <f ca="1">IF(AND(SUMIF(Capacity_Resource,$D168,'Critical resources (hide)'!AN$6:AN$105)+SUMIF(Capacity_Resource,$E168,'Critical resources (hide)'!AN$6:AN$105)+SUMIF(Capacity_Resource,$F168,'Critical resources (hide)'!AN$6:AN$105)&gt;0,$E$1=2),0,1)</f>
        <v>1</v>
      </c>
      <c r="AB168" s="68">
        <f ca="1">IF(AND(SUMIF(Capacity_Resource,$D168,'Critical resources (hide)'!AO$6:AO$105)+SUMIF(Capacity_Resource,$E168,'Critical resources (hide)'!AO$6:AO$105)+SUMIF(Capacity_Resource,$F168,'Critical resources (hide)'!AO$6:AO$105)&gt;0,$E$1=2),0,1)</f>
        <v>1</v>
      </c>
      <c r="AC168" s="68">
        <f ca="1">IF(AND(SUMIF(Capacity_Resource,$D168,'Critical resources (hide)'!AP$6:AP$105)+SUMIF(Capacity_Resource,$E168,'Critical resources (hide)'!AP$6:AP$105)+SUMIF(Capacity_Resource,$F168,'Critical resources (hide)'!AP$6:AP$105)&gt;0,$E$1=2),0,1)</f>
        <v>1</v>
      </c>
      <c r="AD168" s="68">
        <f ca="1">IF(AND(SUMIF(Capacity_Resource,$D168,'Critical resources (hide)'!AQ$6:AQ$105)+SUMIF(Capacity_Resource,$E168,'Critical resources (hide)'!AQ$6:AQ$105)+SUMIF(Capacity_Resource,$F168,'Critical resources (hide)'!AQ$6:AQ$105)&gt;0,$E$1=2),0,1)</f>
        <v>1</v>
      </c>
      <c r="AE168" s="68">
        <f ca="1">IF(AND(SUMIF(Capacity_Resource,$D168,'Critical resources (hide)'!AR$6:AR$105)+SUMIF(Capacity_Resource,$E168,'Critical resources (hide)'!AR$6:AR$105)+SUMIF(Capacity_Resource,$F168,'Critical resources (hide)'!AR$6:AR$105)&gt;0,$E$1=2),0,1)</f>
        <v>1</v>
      </c>
      <c r="AF168" s="68">
        <f ca="1">IF(AND(SUMIF(Capacity_Resource,$D168,'Critical resources (hide)'!AS$6:AS$105)+SUMIF(Capacity_Resource,$E168,'Critical resources (hide)'!AS$6:AS$105)+SUMIF(Capacity_Resource,$F168,'Critical resources (hide)'!AS$6:AS$105)&gt;0,$E$1=2),0,1)</f>
        <v>1</v>
      </c>
      <c r="AG168" s="68">
        <f ca="1">IF(AND(SUMIF(Capacity_Resource,$D168,'Critical resources (hide)'!AT$6:AT$105)+SUMIF(Capacity_Resource,$E168,'Critical resources (hide)'!AT$6:AT$105)+SUMIF(Capacity_Resource,$F168,'Critical resources (hide)'!AT$6:AT$105)&gt;0,$E$1=2),0,1)</f>
        <v>1</v>
      </c>
      <c r="AH168" s="68">
        <f ca="1">IF(AND(SUMIF(Capacity_Resource,$D168,'Critical resources (hide)'!AU$6:AU$105)+SUMIF(Capacity_Resource,$E168,'Critical resources (hide)'!AU$6:AU$105)+SUMIF(Capacity_Resource,$F168,'Critical resources (hide)'!AU$6:AU$105)&gt;0,$E$1=2),0,1)</f>
        <v>1</v>
      </c>
      <c r="AI168" s="68">
        <f ca="1">IF(AND(SUMIF(Capacity_Resource,$D168,'Critical resources (hide)'!AV$6:AV$105)+SUMIF(Capacity_Resource,$E168,'Critical resources (hide)'!AV$6:AV$105)+SUMIF(Capacity_Resource,$F168,'Critical resources (hide)'!AV$6:AV$105)&gt;0,$E$1=2),0,1)</f>
        <v>1</v>
      </c>
      <c r="AJ168" s="68">
        <f ca="1">IF(AND(SUMIF(Capacity_Resource,$D168,'Critical resources (hide)'!AW$6:AW$105)+SUMIF(Capacity_Resource,$E168,'Critical resources (hide)'!AW$6:AW$105)+SUMIF(Capacity_Resource,$F168,'Critical resources (hide)'!AW$6:AW$105)&gt;0,$E$1=2),0,1)</f>
        <v>1</v>
      </c>
      <c r="AK168" s="68">
        <f ca="1">IF(AND(SUMIF(Capacity_Resource,$D168,'Critical resources (hide)'!AX$6:AX$105)+SUMIF(Capacity_Resource,$E168,'Critical resources (hide)'!AX$6:AX$105)+SUMIF(Capacity_Resource,$F168,'Critical resources (hide)'!AX$6:AX$105)&gt;0,$E$1=2),0,1)</f>
        <v>1</v>
      </c>
      <c r="AL168" s="68">
        <f ca="1">IF(AND(SUMIF(Capacity_Resource,$D168,'Critical resources (hide)'!AY$6:AY$105)+SUMIF(Capacity_Resource,$E168,'Critical resources (hide)'!AY$6:AY$105)+SUMIF(Capacity_Resource,$F168,'Critical resources (hide)'!AY$6:AY$105)&gt;0,$E$1=2),0,1)</f>
        <v>1</v>
      </c>
      <c r="AM168" s="68">
        <f ca="1">IF(AND(SUMIF(Capacity_Resource,$D168,'Critical resources (hide)'!AZ$6:AZ$105)+SUMIF(Capacity_Resource,$E168,'Critical resources (hide)'!AZ$6:AZ$105)+SUMIF(Capacity_Resource,$F168,'Critical resources (hide)'!AZ$6:AZ$105)&gt;0,$E$1=2),0,1)</f>
        <v>1</v>
      </c>
      <c r="AN168" s="68">
        <f ca="1">IF(AND(SUMIF(Capacity_Resource,$D168,'Critical resources (hide)'!BA$6:BA$105)+SUMIF(Capacity_Resource,$E168,'Critical resources (hide)'!BA$6:BA$105)+SUMIF(Capacity_Resource,$F168,'Critical resources (hide)'!BA$6:BA$105)&gt;0,$E$1=2),0,1)</f>
        <v>1</v>
      </c>
      <c r="AO168" s="68">
        <f ca="1">IF(AND(SUMIF(Capacity_Resource,$D168,'Critical resources (hide)'!BB$6:BB$105)+SUMIF(Capacity_Resource,$E168,'Critical resources (hide)'!BB$6:BB$105)+SUMIF(Capacity_Resource,$F168,'Critical resources (hide)'!BB$6:BB$105)&gt;0,$E$1=2),0,1)</f>
        <v>1</v>
      </c>
      <c r="AP168" s="68">
        <f ca="1">IF(AND(SUMIF(Capacity_Resource,$D168,'Critical resources (hide)'!BC$6:BC$105)+SUMIF(Capacity_Resource,$E168,'Critical resources (hide)'!BC$6:BC$105)+SUMIF(Capacity_Resource,$F168,'Critical resources (hide)'!BC$6:BC$105)&gt;0,$E$1=2),0,1)</f>
        <v>1</v>
      </c>
      <c r="AQ168" s="68">
        <f ca="1">IF(AND(SUMIF(Capacity_Resource,$D168,'Critical resources (hide)'!BD$6:BD$105)+SUMIF(Capacity_Resource,$E168,'Critical resources (hide)'!BD$6:BD$105)+SUMIF(Capacity_Resource,$F168,'Critical resources (hide)'!BD$6:BD$105)&gt;0,$E$1=2),0,1)</f>
        <v>1</v>
      </c>
      <c r="AR168" s="68">
        <f ca="1">IF(AND(SUMIF(Capacity_Resource,$D168,'Critical resources (hide)'!BE$6:BE$105)+SUMIF(Capacity_Resource,$E168,'Critical resources (hide)'!BE$6:BE$105)+SUMIF(Capacity_Resource,$F168,'Critical resources (hide)'!BE$6:BE$105)&gt;0,$E$1=2),0,1)</f>
        <v>1</v>
      </c>
      <c r="AS168" s="68">
        <f ca="1">IF(AND(SUMIF(Capacity_Resource,$D168,'Critical resources (hide)'!BF$6:BF$105)+SUMIF(Capacity_Resource,$E168,'Critical resources (hide)'!BF$6:BF$105)+SUMIF(Capacity_Resource,$F168,'Critical resources (hide)'!BF$6:BF$105)&gt;0,$E$1=2),0,1)</f>
        <v>1</v>
      </c>
      <c r="AT168" s="68">
        <f ca="1">IF(AND(SUMIF(Capacity_Resource,$D168,'Critical resources (hide)'!BG$6:BG$105)+SUMIF(Capacity_Resource,$E168,'Critical resources (hide)'!BG$6:BG$105)+SUMIF(Capacity_Resource,$F168,'Critical resources (hide)'!BG$6:BG$105)&gt;0,$E$1=2),0,1)</f>
        <v>1</v>
      </c>
      <c r="AU168" s="68">
        <f ca="1">IF(AND(SUMIF(Capacity_Resource,$D168,'Critical resources (hide)'!BH$6:BH$105)+SUMIF(Capacity_Resource,$E168,'Critical resources (hide)'!BH$6:BH$105)+SUMIF(Capacity_Resource,$F168,'Critical resources (hide)'!BH$6:BH$105)&gt;0,$E$1=2),0,1)</f>
        <v>1</v>
      </c>
      <c r="AV168" s="68">
        <f ca="1">IF(AND(SUMIF(Capacity_Resource,$D168,'Critical resources (hide)'!BI$6:BI$105)+SUMIF(Capacity_Resource,$E168,'Critical resources (hide)'!BI$6:BI$105)+SUMIF(Capacity_Resource,$F168,'Critical resources (hide)'!BI$6:BI$105)&gt;0,$E$1=2),0,1)</f>
        <v>1</v>
      </c>
      <c r="AW168" s="68">
        <f ca="1">IF(AND(SUMIF(Capacity_Resource,$D168,'Critical resources (hide)'!BJ$6:BJ$105)+SUMIF(Capacity_Resource,$E168,'Critical resources (hide)'!BJ$6:BJ$105)+SUMIF(Capacity_Resource,$F168,'Critical resources (hide)'!BJ$6:BJ$105)&gt;0,$E$1=2),0,1)</f>
        <v>1</v>
      </c>
      <c r="AX168" s="68">
        <f ca="1">IF(AND(SUMIF(Capacity_Resource,$D168,'Critical resources (hide)'!BK$6:BK$105)+SUMIF(Capacity_Resource,$E168,'Critical resources (hide)'!BK$6:BK$105)+SUMIF(Capacity_Resource,$F168,'Critical resources (hide)'!BK$6:BK$105)&gt;0,$E$1=2),0,1)</f>
        <v>1</v>
      </c>
      <c r="AY168" s="68">
        <f ca="1">IF(AND(SUMIF(Capacity_Resource,$D168,'Critical resources (hide)'!BL$6:BL$105)+SUMIF(Capacity_Resource,$E168,'Critical resources (hide)'!BL$6:BL$105)+SUMIF(Capacity_Resource,$F168,'Critical resources (hide)'!BL$6:BL$105)&gt;0,$E$1=2),0,1)</f>
        <v>1</v>
      </c>
      <c r="AZ168" s="68">
        <f ca="1">IF(AND(SUMIF(Capacity_Resource,$D168,'Critical resources (hide)'!BM$6:BM$105)+SUMIF(Capacity_Resource,$E168,'Critical resources (hide)'!BM$6:BM$105)+SUMIF(Capacity_Resource,$F168,'Critical resources (hide)'!BM$6:BM$105)&gt;0,$E$1=2),0,1)</f>
        <v>1</v>
      </c>
      <c r="BA168" s="68">
        <f ca="1">IF(AND(SUMIF(Capacity_Resource,$D168,'Critical resources (hide)'!BN$6:BN$105)+SUMIF(Capacity_Resource,$E168,'Critical resources (hide)'!BN$6:BN$105)+SUMIF(Capacity_Resource,$F168,'Critical resources (hide)'!BN$6:BN$105)&gt;0,$E$1=2),0,1)</f>
        <v>1</v>
      </c>
      <c r="BB168" s="68">
        <f ca="1">IF(AND(SUMIF(Capacity_Resource,$D168,'Critical resources (hide)'!BO$6:BO$105)+SUMIF(Capacity_Resource,$E168,'Critical resources (hide)'!BO$6:BO$105)+SUMIF(Capacity_Resource,$F168,'Critical resources (hide)'!BO$6:BO$105)&gt;0,$E$1=2),0,1)</f>
        <v>1</v>
      </c>
      <c r="BC168" s="68">
        <f ca="1">IF(AND(SUMIF(Capacity_Resource,$D168,'Critical resources (hide)'!BP$6:BP$105)+SUMIF(Capacity_Resource,$E168,'Critical resources (hide)'!BP$6:BP$105)+SUMIF(Capacity_Resource,$F168,'Critical resources (hide)'!BP$6:BP$105)&gt;0,$E$1=2),0,1)</f>
        <v>1</v>
      </c>
      <c r="BD168" s="68">
        <f ca="1">IF(AND(SUMIF(Capacity_Resource,$D168,'Critical resources (hide)'!BQ$6:BQ$105)+SUMIF(Capacity_Resource,$E168,'Critical resources (hide)'!BQ$6:BQ$105)+SUMIF(Capacity_Resource,$F168,'Critical resources (hide)'!BQ$6:BQ$105)&gt;0,$E$1=2),0,1)</f>
        <v>1</v>
      </c>
      <c r="BE168" s="68">
        <f ca="1">IF(AND(SUMIF(Capacity_Resource,$D168,'Critical resources (hide)'!BR$6:BR$105)+SUMIF(Capacity_Resource,$E168,'Critical resources (hide)'!BR$6:BR$105)+SUMIF(Capacity_Resource,$F168,'Critical resources (hide)'!BR$6:BR$105)&gt;0,$E$1=2),0,1)</f>
        <v>1</v>
      </c>
      <c r="BF168" s="68">
        <f ca="1">IF(AND(SUMIF(Capacity_Resource,$D168,'Critical resources (hide)'!BS$6:BS$105)+SUMIF(Capacity_Resource,$E168,'Critical resources (hide)'!BS$6:BS$105)+SUMIF(Capacity_Resource,$F168,'Critical resources (hide)'!BS$6:BS$105)&gt;0,$E$1=2),0,1)</f>
        <v>1</v>
      </c>
      <c r="BG168" s="68">
        <f ca="1">IF(AND(SUMIF(Capacity_Resource,$D168,'Critical resources (hide)'!BT$6:BT$105)+SUMIF(Capacity_Resource,$E168,'Critical resources (hide)'!BT$6:BT$105)+SUMIF(Capacity_Resource,$F168,'Critical resources (hide)'!BT$6:BT$105)&gt;0,$E$1=2),0,1)</f>
        <v>1</v>
      </c>
      <c r="BH168" s="68">
        <f>IF(ROW(A57)&lt;=Capacity!$M$16,IF('Capacity summary'!$C$14="No",SUM(H168:BG168),'Capacity summary'!$E80),0)</f>
        <v>0</v>
      </c>
      <c r="BI168" s="68" t="str">
        <f>IF(BH168&gt;0,IF(BH168&lt;Capacity!Q73,Capacity!R73,Capacity!T73/'Capacity calculation (hide)'!BH168),"")</f>
        <v/>
      </c>
      <c r="BJ168" s="5"/>
      <c r="BK168" s="5">
        <f>IF($BI168&lt;&gt;"",IF('Capacity summary'!$C$14="Yes",IF(COUNTBLANK('Capacity summary'!$H80:$BG80)&lt;52,IF('Capacity summary'!H80&lt;&gt;"",$BI168*H168,0),H168*$BI168),H168*$BI168),0)</f>
        <v>0</v>
      </c>
      <c r="BL168" s="5">
        <f>IF($BI168&lt;&gt;"",IF('Capacity summary'!$C$14="Yes",IF(COUNTBLANK('Capacity summary'!$H80:$BG80)&lt;52,IF('Capacity summary'!I80&lt;&gt;"",$BI168*I168,0),I168*$BI168),I168*$BI168),0)</f>
        <v>0</v>
      </c>
      <c r="BM168" s="5">
        <f>IF($BI168&lt;&gt;"",IF('Capacity summary'!$C$14="Yes",IF(COUNTBLANK('Capacity summary'!$H80:$BG80)&lt;52,IF('Capacity summary'!J80&lt;&gt;"",$BI168*J168,0),J168*$BI168),J168*$BI168),0)</f>
        <v>0</v>
      </c>
      <c r="BN168" s="5">
        <f>IF($BI168&lt;&gt;"",IF('Capacity summary'!$C$14="Yes",IF(COUNTBLANK('Capacity summary'!$H80:$BG80)&lt;52,IF('Capacity summary'!K80&lt;&gt;"",$BI168*K168,0),K168*$BI168),K168*$BI168),0)</f>
        <v>0</v>
      </c>
      <c r="BO168" s="5">
        <f>IF($BI168&lt;&gt;"",IF('Capacity summary'!$C$14="Yes",IF(COUNTBLANK('Capacity summary'!$H80:$BG80)&lt;52,IF('Capacity summary'!L80&lt;&gt;"",$BI168*L168,0),L168*$BI168),L168*$BI168),0)</f>
        <v>0</v>
      </c>
      <c r="BP168" s="5">
        <f>IF($BI168&lt;&gt;"",IF('Capacity summary'!$C$14="Yes",IF(COUNTBLANK('Capacity summary'!$H80:$BG80)&lt;52,IF('Capacity summary'!M80&lt;&gt;"",$BI168*M168,0),M168*$BI168),M168*$BI168),0)</f>
        <v>0</v>
      </c>
      <c r="BQ168" s="5">
        <f>IF($BI168&lt;&gt;"",IF('Capacity summary'!$C$14="Yes",IF(COUNTBLANK('Capacity summary'!$H80:$BG80)&lt;52,IF('Capacity summary'!N80&lt;&gt;"",$BI168*N168,0),N168*$BI168),N168*$BI168),0)</f>
        <v>0</v>
      </c>
      <c r="BR168" s="5">
        <f>IF($BI168&lt;&gt;"",IF('Capacity summary'!$C$14="Yes",IF(COUNTBLANK('Capacity summary'!$H80:$BG80)&lt;52,IF('Capacity summary'!O80&lt;&gt;"",$BI168*O168,0),O168*$BI168),O168*$BI168),0)</f>
        <v>0</v>
      </c>
      <c r="BS168" s="5">
        <f>IF($BI168&lt;&gt;"",IF('Capacity summary'!$C$14="Yes",IF(COUNTBLANK('Capacity summary'!$H80:$BG80)&lt;52,IF('Capacity summary'!P80&lt;&gt;"",$BI168*P168,0),P168*$BI168),P168*$BI168),0)</f>
        <v>0</v>
      </c>
      <c r="BT168" s="5">
        <f>IF($BI168&lt;&gt;"",IF('Capacity summary'!$C$14="Yes",IF(COUNTBLANK('Capacity summary'!$H80:$BG80)&lt;52,IF('Capacity summary'!Q80&lt;&gt;"",$BI168*Q168,0),Q168*$BI168),Q168*$BI168),0)</f>
        <v>0</v>
      </c>
      <c r="BU168" s="5">
        <f>IF($BI168&lt;&gt;"",IF('Capacity summary'!$C$14="Yes",IF(COUNTBLANK('Capacity summary'!$H80:$BG80)&lt;52,IF('Capacity summary'!R80&lt;&gt;"",$BI168*R168,0),R168*$BI168),R168*$BI168),0)</f>
        <v>0</v>
      </c>
      <c r="BV168" s="5">
        <f>IF($BI168&lt;&gt;"",IF('Capacity summary'!$C$14="Yes",IF(COUNTBLANK('Capacity summary'!$H80:$BG80)&lt;52,IF('Capacity summary'!S80&lt;&gt;"",$BI168*S168,0),S168*$BI168),S168*$BI168),0)</f>
        <v>0</v>
      </c>
      <c r="BW168" s="5">
        <f>IF($BI168&lt;&gt;"",IF('Capacity summary'!$C$14="Yes",IF(COUNTBLANK('Capacity summary'!$H80:$BG80)&lt;52,IF('Capacity summary'!T80&lt;&gt;"",$BI168*T168,0),T168*$BI168),T168*$BI168),0)</f>
        <v>0</v>
      </c>
      <c r="BX168" s="5">
        <f>IF($BI168&lt;&gt;"",IF('Capacity summary'!$C$14="Yes",IF(COUNTBLANK('Capacity summary'!$H80:$BG80)&lt;52,IF('Capacity summary'!U80&lt;&gt;"",$BI168*U168,0),U168*$BI168),U168*$BI168),0)</f>
        <v>0</v>
      </c>
      <c r="BY168" s="5">
        <f>IF($BI168&lt;&gt;"",IF('Capacity summary'!$C$14="Yes",IF(COUNTBLANK('Capacity summary'!$H80:$BG80)&lt;52,IF('Capacity summary'!V80&lt;&gt;"",$BI168*V168,0),V168*$BI168),V168*$BI168),0)</f>
        <v>0</v>
      </c>
      <c r="BZ168" s="5">
        <f>IF($BI168&lt;&gt;"",IF('Capacity summary'!$C$14="Yes",IF(COUNTBLANK('Capacity summary'!$H80:$BG80)&lt;52,IF('Capacity summary'!W80&lt;&gt;"",$BI168*W168,0),W168*$BI168),W168*$BI168),0)</f>
        <v>0</v>
      </c>
      <c r="CA168" s="5">
        <f>IF($BI168&lt;&gt;"",IF('Capacity summary'!$C$14="Yes",IF(COUNTBLANK('Capacity summary'!$H80:$BG80)&lt;52,IF('Capacity summary'!X80&lt;&gt;"",$BI168*X168,0),X168*$BI168),X168*$BI168),0)</f>
        <v>0</v>
      </c>
      <c r="CB168" s="5">
        <f>IF($BI168&lt;&gt;"",IF('Capacity summary'!$C$14="Yes",IF(COUNTBLANK('Capacity summary'!$H80:$BG80)&lt;52,IF('Capacity summary'!Y80&lt;&gt;"",$BI168*Y168,0),Y168*$BI168),Y168*$BI168),0)</f>
        <v>0</v>
      </c>
      <c r="CC168" s="5">
        <f>IF($BI168&lt;&gt;"",IF('Capacity summary'!$C$14="Yes",IF(COUNTBLANK('Capacity summary'!$H80:$BG80)&lt;52,IF('Capacity summary'!Z80&lt;&gt;"",$BI168*Z168,0),Z168*$BI168),Z168*$BI168),0)</f>
        <v>0</v>
      </c>
      <c r="CD168" s="5">
        <f>IF($BI168&lt;&gt;"",IF('Capacity summary'!$C$14="Yes",IF(COUNTBLANK('Capacity summary'!$H80:$BG80)&lt;52,IF('Capacity summary'!AA80&lt;&gt;"",$BI168*AA168,0),AA168*$BI168),AA168*$BI168),0)</f>
        <v>0</v>
      </c>
      <c r="CE168" s="5">
        <f>IF($BI168&lt;&gt;"",IF('Capacity summary'!$C$14="Yes",IF(COUNTBLANK('Capacity summary'!$H80:$BG80)&lt;52,IF('Capacity summary'!AB80&lt;&gt;"",$BI168*AB168,0),AB168*$BI168),AB168*$BI168),0)</f>
        <v>0</v>
      </c>
      <c r="CF168" s="5">
        <f>IF($BI168&lt;&gt;"",IF('Capacity summary'!$C$14="Yes",IF(COUNTBLANK('Capacity summary'!$H80:$BG80)&lt;52,IF('Capacity summary'!AC80&lt;&gt;"",$BI168*AC168,0),AC168*$BI168),AC168*$BI168),0)</f>
        <v>0</v>
      </c>
      <c r="CG168" s="5">
        <f>IF($BI168&lt;&gt;"",IF('Capacity summary'!$C$14="Yes",IF(COUNTBLANK('Capacity summary'!$H80:$BG80)&lt;52,IF('Capacity summary'!AD80&lt;&gt;"",$BI168*AD168,0),AD168*$BI168),AD168*$BI168),0)</f>
        <v>0</v>
      </c>
      <c r="CH168" s="5">
        <f>IF($BI168&lt;&gt;"",IF('Capacity summary'!$C$14="Yes",IF(COUNTBLANK('Capacity summary'!$H80:$BG80)&lt;52,IF('Capacity summary'!AE80&lt;&gt;"",$BI168*AE168,0),AE168*$BI168),AE168*$BI168),0)</f>
        <v>0</v>
      </c>
      <c r="CI168" s="5">
        <f>IF($BI168&lt;&gt;"",IF('Capacity summary'!$C$14="Yes",IF(COUNTBLANK('Capacity summary'!$H80:$BG80)&lt;52,IF('Capacity summary'!AF80&lt;&gt;"",$BI168*AF168,0),AF168*$BI168),AF168*$BI168),0)</f>
        <v>0</v>
      </c>
      <c r="CJ168" s="5">
        <f>IF($BI168&lt;&gt;"",IF('Capacity summary'!$C$14="Yes",IF(COUNTBLANK('Capacity summary'!$H80:$BG80)&lt;52,IF('Capacity summary'!AG80&lt;&gt;"",$BI168*AG168,0),AG168*$BI168),AG168*$BI168),0)</f>
        <v>0</v>
      </c>
      <c r="CK168" s="5">
        <f>IF($BI168&lt;&gt;"",IF('Capacity summary'!$C$14="Yes",IF(COUNTBLANK('Capacity summary'!$H80:$BG80)&lt;52,IF('Capacity summary'!AH80&lt;&gt;"",$BI168*AH168,0),AH168*$BI168),AH168*$BI168),0)</f>
        <v>0</v>
      </c>
      <c r="CL168" s="5">
        <f>IF($BI168&lt;&gt;"",IF('Capacity summary'!$C$14="Yes",IF(COUNTBLANK('Capacity summary'!$H80:$BG80)&lt;52,IF('Capacity summary'!AI80&lt;&gt;"",$BI168*AI168,0),AI168*$BI168),AI168*$BI168),0)</f>
        <v>0</v>
      </c>
      <c r="CM168" s="5">
        <f>IF($BI168&lt;&gt;"",IF('Capacity summary'!$C$14="Yes",IF(COUNTBLANK('Capacity summary'!$H80:$BG80)&lt;52,IF('Capacity summary'!AJ80&lt;&gt;"",$BI168*AJ168,0),AJ168*$BI168),AJ168*$BI168),0)</f>
        <v>0</v>
      </c>
      <c r="CN168" s="5">
        <f>IF($BI168&lt;&gt;"",IF('Capacity summary'!$C$14="Yes",IF(COUNTBLANK('Capacity summary'!$H80:$BG80)&lt;52,IF('Capacity summary'!AK80&lt;&gt;"",$BI168*AK168,0),AK168*$BI168),AK168*$BI168),0)</f>
        <v>0</v>
      </c>
      <c r="CO168" s="5">
        <f>IF($BI168&lt;&gt;"",IF('Capacity summary'!$C$14="Yes",IF(COUNTBLANK('Capacity summary'!$H80:$BG80)&lt;52,IF('Capacity summary'!AL80&lt;&gt;"",$BI168*AL168,0),AL168*$BI168),AL168*$BI168),0)</f>
        <v>0</v>
      </c>
      <c r="CP168" s="5">
        <f>IF($BI168&lt;&gt;"",IF('Capacity summary'!$C$14="Yes",IF(COUNTBLANK('Capacity summary'!$H80:$BG80)&lt;52,IF('Capacity summary'!AM80&lt;&gt;"",$BI168*AM168,0),AM168*$BI168),AM168*$BI168),0)</f>
        <v>0</v>
      </c>
      <c r="CQ168" s="5">
        <f>IF($BI168&lt;&gt;"",IF('Capacity summary'!$C$14="Yes",IF(COUNTBLANK('Capacity summary'!$H80:$BG80)&lt;52,IF('Capacity summary'!AN80&lt;&gt;"",$BI168*AN168,0),AN168*$BI168),AN168*$BI168),0)</f>
        <v>0</v>
      </c>
      <c r="CR168" s="5">
        <f>IF($BI168&lt;&gt;"",IF('Capacity summary'!$C$14="Yes",IF(COUNTBLANK('Capacity summary'!$H80:$BG80)&lt;52,IF('Capacity summary'!AO80&lt;&gt;"",$BI168*AO168,0),AO168*$BI168),AO168*$BI168),0)</f>
        <v>0</v>
      </c>
      <c r="CS168" s="5">
        <f>IF($BI168&lt;&gt;"",IF('Capacity summary'!$C$14="Yes",IF(COUNTBLANK('Capacity summary'!$H80:$BG80)&lt;52,IF('Capacity summary'!AP80&lt;&gt;"",$BI168*AP168,0),AP168*$BI168),AP168*$BI168),0)</f>
        <v>0</v>
      </c>
      <c r="CT168" s="5">
        <f>IF($BI168&lt;&gt;"",IF('Capacity summary'!$C$14="Yes",IF(COUNTBLANK('Capacity summary'!$H80:$BG80)&lt;52,IF('Capacity summary'!AQ80&lt;&gt;"",$BI168*AQ168,0),AQ168*$BI168),AQ168*$BI168),0)</f>
        <v>0</v>
      </c>
      <c r="CU168" s="5">
        <f>IF($BI168&lt;&gt;"",IF('Capacity summary'!$C$14="Yes",IF(COUNTBLANK('Capacity summary'!$H80:$BG80)&lt;52,IF('Capacity summary'!AR80&lt;&gt;"",$BI168*AR168,0),AR168*$BI168),AR168*$BI168),0)</f>
        <v>0</v>
      </c>
      <c r="CV168" s="5">
        <f>IF($BI168&lt;&gt;"",IF('Capacity summary'!$C$14="Yes",IF(COUNTBLANK('Capacity summary'!$H80:$BG80)&lt;52,IF('Capacity summary'!AS80&lt;&gt;"",$BI168*AS168,0),AS168*$BI168),AS168*$BI168),0)</f>
        <v>0</v>
      </c>
      <c r="CW168" s="5">
        <f>IF($BI168&lt;&gt;"",IF('Capacity summary'!$C$14="Yes",IF(COUNTBLANK('Capacity summary'!$H80:$BG80)&lt;52,IF('Capacity summary'!AT80&lt;&gt;"",$BI168*AT168,0),AT168*$BI168),AT168*$BI168),0)</f>
        <v>0</v>
      </c>
      <c r="CX168" s="5">
        <f>IF($BI168&lt;&gt;"",IF('Capacity summary'!$C$14="Yes",IF(COUNTBLANK('Capacity summary'!$H80:$BG80)&lt;52,IF('Capacity summary'!AU80&lt;&gt;"",$BI168*AU168,0),AU168*$BI168),AU168*$BI168),0)</f>
        <v>0</v>
      </c>
      <c r="CY168" s="5">
        <f>IF($BI168&lt;&gt;"",IF('Capacity summary'!$C$14="Yes",IF(COUNTBLANK('Capacity summary'!$H80:$BG80)&lt;52,IF('Capacity summary'!AV80&lt;&gt;"",$BI168*AV168,0),AV168*$BI168),AV168*$BI168),0)</f>
        <v>0</v>
      </c>
      <c r="CZ168" s="5">
        <f>IF($BI168&lt;&gt;"",IF('Capacity summary'!$C$14="Yes",IF(COUNTBLANK('Capacity summary'!$H80:$BG80)&lt;52,IF('Capacity summary'!AW80&lt;&gt;"",$BI168*AW168,0),AW168*$BI168),AW168*$BI168),0)</f>
        <v>0</v>
      </c>
      <c r="DA168" s="5">
        <f>IF($BI168&lt;&gt;"",IF('Capacity summary'!$C$14="Yes",IF(COUNTBLANK('Capacity summary'!$H80:$BG80)&lt;52,IF('Capacity summary'!AX80&lt;&gt;"",$BI168*AX168,0),AX168*$BI168),AX168*$BI168),0)</f>
        <v>0</v>
      </c>
      <c r="DB168" s="5">
        <f>IF($BI168&lt;&gt;"",IF('Capacity summary'!$C$14="Yes",IF(COUNTBLANK('Capacity summary'!$H80:$BG80)&lt;52,IF('Capacity summary'!AY80&lt;&gt;"",$BI168*AY168,0),AY168*$BI168),AY168*$BI168),0)</f>
        <v>0</v>
      </c>
      <c r="DC168" s="5">
        <f>IF($BI168&lt;&gt;"",IF('Capacity summary'!$C$14="Yes",IF(COUNTBLANK('Capacity summary'!$H80:$BG80)&lt;52,IF('Capacity summary'!AZ80&lt;&gt;"",$BI168*AZ168,0),AZ168*$BI168),AZ168*$BI168),0)</f>
        <v>0</v>
      </c>
      <c r="DD168" s="5">
        <f>IF($BI168&lt;&gt;"",IF('Capacity summary'!$C$14="Yes",IF(COUNTBLANK('Capacity summary'!$H80:$BG80)&lt;52,IF('Capacity summary'!BA80&lt;&gt;"",$BI168*BA168,0),BA168*$BI168),BA168*$BI168),0)</f>
        <v>0</v>
      </c>
      <c r="DE168" s="5">
        <f>IF($BI168&lt;&gt;"",IF('Capacity summary'!$C$14="Yes",IF(COUNTBLANK('Capacity summary'!$H80:$BG80)&lt;52,IF('Capacity summary'!BB80&lt;&gt;"",$BI168*BB168,0),BB168*$BI168),BB168*$BI168),0)</f>
        <v>0</v>
      </c>
      <c r="DF168" s="5">
        <f>IF($BI168&lt;&gt;"",IF('Capacity summary'!$C$14="Yes",IF(COUNTBLANK('Capacity summary'!$H80:$BG80)&lt;52,IF('Capacity summary'!BC80&lt;&gt;"",$BI168*BC168,0),BC168*$BI168),BC168*$BI168),0)</f>
        <v>0</v>
      </c>
      <c r="DG168" s="5">
        <f>IF($BI168&lt;&gt;"",IF('Capacity summary'!$C$14="Yes",IF(COUNTBLANK('Capacity summary'!$H80:$BG80)&lt;52,IF('Capacity summary'!BD80&lt;&gt;"",$BI168*BD168,0),BD168*$BI168),BD168*$BI168),0)</f>
        <v>0</v>
      </c>
      <c r="DH168" s="5">
        <f>IF($BI168&lt;&gt;"",IF('Capacity summary'!$C$14="Yes",IF(COUNTBLANK('Capacity summary'!$H80:$BG80)&lt;52,IF('Capacity summary'!BE80&lt;&gt;"",$BI168*BE168,0),BE168*$BI168),BE168*$BI168),0)</f>
        <v>0</v>
      </c>
      <c r="DI168" s="5">
        <f>IF($BI168&lt;&gt;"",IF('Capacity summary'!$C$14="Yes",IF(COUNTBLANK('Capacity summary'!$H80:$BG80)&lt;52,IF('Capacity summary'!BF80&lt;&gt;"",$BI168*BF168,0),BF168*$BI168),BF168*$BI168),0)</f>
        <v>0</v>
      </c>
      <c r="DJ168" s="5">
        <f>IF($BI168&lt;&gt;"",IF('Capacity summary'!$C$14="Yes",IF(COUNTBLANK('Capacity summary'!$H80:$BG80)&lt;52,IF('Capacity summary'!BG80&lt;&gt;"",$BI168*BG168,0),BG168*$BI168),BG168*$BI168),0)</f>
        <v>0</v>
      </c>
      <c r="DK168" s="138">
        <f t="shared" si="6"/>
        <v>0</v>
      </c>
    </row>
    <row r="169" spans="3:115" x14ac:dyDescent="0.2">
      <c r="C169" s="68" t="str">
        <f>ROW(A58)&amp;". "&amp;Capacity!N74</f>
        <v xml:space="preserve">58. </v>
      </c>
      <c r="D169" s="68">
        <f>'Capacity setup'!C175</f>
        <v>0</v>
      </c>
      <c r="E169" s="68">
        <f>'Capacity setup'!D175</f>
        <v>0</v>
      </c>
      <c r="F169" s="68">
        <f>'Capacity setup'!E175</f>
        <v>0</v>
      </c>
      <c r="H169" s="68">
        <f ca="1">IF(AND(SUMIF(Capacity_Resource,$D169,'Critical resources (hide)'!U$6:U$105)+SUMIF(Capacity_Resource,$E169,'Critical resources (hide)'!U$6:U$105)+SUMIF(Capacity_Resource,$F169,'Critical resources (hide)'!U$6:U$105)&gt;0,$E$1=2),0,1)</f>
        <v>1</v>
      </c>
      <c r="I169" s="68">
        <f ca="1">IF(AND(SUMIF(Capacity_Resource,$D169,'Critical resources (hide)'!V$6:V$105)+SUMIF(Capacity_Resource,$E169,'Critical resources (hide)'!V$6:V$105)+SUMIF(Capacity_Resource,$F169,'Critical resources (hide)'!V$6:V$105)&gt;0,$E$1=2),0,1)</f>
        <v>1</v>
      </c>
      <c r="J169" s="68">
        <f ca="1">IF(AND(SUMIF(Capacity_Resource,$D169,'Critical resources (hide)'!W$6:W$105)+SUMIF(Capacity_Resource,$E169,'Critical resources (hide)'!W$6:W$105)+SUMIF(Capacity_Resource,$F169,'Critical resources (hide)'!W$6:W$105)&gt;0,$E$1=2),0,1)</f>
        <v>1</v>
      </c>
      <c r="K169" s="68">
        <f ca="1">IF(AND(SUMIF(Capacity_Resource,$D169,'Critical resources (hide)'!X$6:X$105)+SUMIF(Capacity_Resource,$E169,'Critical resources (hide)'!X$6:X$105)+SUMIF(Capacity_Resource,$F169,'Critical resources (hide)'!X$6:X$105)&gt;0,$E$1=2),0,1)</f>
        <v>1</v>
      </c>
      <c r="L169" s="68">
        <f ca="1">IF(AND(SUMIF(Capacity_Resource,$D169,'Critical resources (hide)'!Y$6:Y$105)+SUMIF(Capacity_Resource,$E169,'Critical resources (hide)'!Y$6:Y$105)+SUMIF(Capacity_Resource,$F169,'Critical resources (hide)'!Y$6:Y$105)&gt;0,$E$1=2),0,1)</f>
        <v>1</v>
      </c>
      <c r="M169" s="68">
        <f ca="1">IF(AND(SUMIF(Capacity_Resource,$D169,'Critical resources (hide)'!Z$6:Z$105)+SUMIF(Capacity_Resource,$E169,'Critical resources (hide)'!Z$6:Z$105)+SUMIF(Capacity_Resource,$F169,'Critical resources (hide)'!Z$6:Z$105)&gt;0,$E$1=2),0,1)</f>
        <v>1</v>
      </c>
      <c r="N169" s="68">
        <f ca="1">IF(AND(SUMIF(Capacity_Resource,$D169,'Critical resources (hide)'!AA$6:AA$105)+SUMIF(Capacity_Resource,$E169,'Critical resources (hide)'!AA$6:AA$105)+SUMIF(Capacity_Resource,$F169,'Critical resources (hide)'!AA$6:AA$105)&gt;0,$E$1=2),0,1)</f>
        <v>1</v>
      </c>
      <c r="O169" s="68">
        <f ca="1">IF(AND(SUMIF(Capacity_Resource,$D169,'Critical resources (hide)'!AB$6:AB$105)+SUMIF(Capacity_Resource,$E169,'Critical resources (hide)'!AB$6:AB$105)+SUMIF(Capacity_Resource,$F169,'Critical resources (hide)'!AB$6:AB$105)&gt;0,$E$1=2),0,1)</f>
        <v>1</v>
      </c>
      <c r="P169" s="68">
        <f ca="1">IF(AND(SUMIF(Capacity_Resource,$D169,'Critical resources (hide)'!AC$6:AC$105)+SUMIF(Capacity_Resource,$E169,'Critical resources (hide)'!AC$6:AC$105)+SUMIF(Capacity_Resource,$F169,'Critical resources (hide)'!AC$6:AC$105)&gt;0,$E$1=2),0,1)</f>
        <v>1</v>
      </c>
      <c r="Q169" s="68">
        <f ca="1">IF(AND(SUMIF(Capacity_Resource,$D169,'Critical resources (hide)'!AD$6:AD$105)+SUMIF(Capacity_Resource,$E169,'Critical resources (hide)'!AD$6:AD$105)+SUMIF(Capacity_Resource,$F169,'Critical resources (hide)'!AD$6:AD$105)&gt;0,$E$1=2),0,1)</f>
        <v>1</v>
      </c>
      <c r="R169" s="68">
        <f ca="1">IF(AND(SUMIF(Capacity_Resource,$D169,'Critical resources (hide)'!AE$6:AE$105)+SUMIF(Capacity_Resource,$E169,'Critical resources (hide)'!AE$6:AE$105)+SUMIF(Capacity_Resource,$F169,'Critical resources (hide)'!AE$6:AE$105)&gt;0,$E$1=2),0,1)</f>
        <v>1</v>
      </c>
      <c r="S169" s="68">
        <f ca="1">IF(AND(SUMIF(Capacity_Resource,$D169,'Critical resources (hide)'!AF$6:AF$105)+SUMIF(Capacity_Resource,$E169,'Critical resources (hide)'!AF$6:AF$105)+SUMIF(Capacity_Resource,$F169,'Critical resources (hide)'!AF$6:AF$105)&gt;0,$E$1=2),0,1)</f>
        <v>1</v>
      </c>
      <c r="T169" s="68">
        <f ca="1">IF(AND(SUMIF(Capacity_Resource,$D169,'Critical resources (hide)'!AG$6:AG$105)+SUMIF(Capacity_Resource,$E169,'Critical resources (hide)'!AG$6:AG$105)+SUMIF(Capacity_Resource,$F169,'Critical resources (hide)'!AG$6:AG$105)&gt;0,$E$1=2),0,1)</f>
        <v>1</v>
      </c>
      <c r="U169" s="68">
        <f ca="1">IF(AND(SUMIF(Capacity_Resource,$D169,'Critical resources (hide)'!AH$6:AH$105)+SUMIF(Capacity_Resource,$E169,'Critical resources (hide)'!AH$6:AH$105)+SUMIF(Capacity_Resource,$F169,'Critical resources (hide)'!AH$6:AH$105)&gt;0,$E$1=2),0,1)</f>
        <v>1</v>
      </c>
      <c r="V169" s="68">
        <f ca="1">IF(AND(SUMIF(Capacity_Resource,$D169,'Critical resources (hide)'!AI$6:AI$105)+SUMIF(Capacity_Resource,$E169,'Critical resources (hide)'!AI$6:AI$105)+SUMIF(Capacity_Resource,$F169,'Critical resources (hide)'!AI$6:AI$105)&gt;0,$E$1=2),0,1)</f>
        <v>1</v>
      </c>
      <c r="W169" s="68">
        <f ca="1">IF(AND(SUMIF(Capacity_Resource,$D169,'Critical resources (hide)'!AJ$6:AJ$105)+SUMIF(Capacity_Resource,$E169,'Critical resources (hide)'!AJ$6:AJ$105)+SUMIF(Capacity_Resource,$F169,'Critical resources (hide)'!AJ$6:AJ$105)&gt;0,$E$1=2),0,1)</f>
        <v>1</v>
      </c>
      <c r="X169" s="68">
        <f ca="1">IF(AND(SUMIF(Capacity_Resource,$D169,'Critical resources (hide)'!AK$6:AK$105)+SUMIF(Capacity_Resource,$E169,'Critical resources (hide)'!AK$6:AK$105)+SUMIF(Capacity_Resource,$F169,'Critical resources (hide)'!AK$6:AK$105)&gt;0,$E$1=2),0,1)</f>
        <v>1</v>
      </c>
      <c r="Y169" s="68">
        <f ca="1">IF(AND(SUMIF(Capacity_Resource,$D169,'Critical resources (hide)'!AL$6:AL$105)+SUMIF(Capacity_Resource,$E169,'Critical resources (hide)'!AL$6:AL$105)+SUMIF(Capacity_Resource,$F169,'Critical resources (hide)'!AL$6:AL$105)&gt;0,$E$1=2),0,1)</f>
        <v>1</v>
      </c>
      <c r="Z169" s="68">
        <f ca="1">IF(AND(SUMIF(Capacity_Resource,$D169,'Critical resources (hide)'!AM$6:AM$105)+SUMIF(Capacity_Resource,$E169,'Critical resources (hide)'!AM$6:AM$105)+SUMIF(Capacity_Resource,$F169,'Critical resources (hide)'!AM$6:AM$105)&gt;0,$E$1=2),0,1)</f>
        <v>1</v>
      </c>
      <c r="AA169" s="68">
        <f ca="1">IF(AND(SUMIF(Capacity_Resource,$D169,'Critical resources (hide)'!AN$6:AN$105)+SUMIF(Capacity_Resource,$E169,'Critical resources (hide)'!AN$6:AN$105)+SUMIF(Capacity_Resource,$F169,'Critical resources (hide)'!AN$6:AN$105)&gt;0,$E$1=2),0,1)</f>
        <v>1</v>
      </c>
      <c r="AB169" s="68">
        <f ca="1">IF(AND(SUMIF(Capacity_Resource,$D169,'Critical resources (hide)'!AO$6:AO$105)+SUMIF(Capacity_Resource,$E169,'Critical resources (hide)'!AO$6:AO$105)+SUMIF(Capacity_Resource,$F169,'Critical resources (hide)'!AO$6:AO$105)&gt;0,$E$1=2),0,1)</f>
        <v>1</v>
      </c>
      <c r="AC169" s="68">
        <f ca="1">IF(AND(SUMIF(Capacity_Resource,$D169,'Critical resources (hide)'!AP$6:AP$105)+SUMIF(Capacity_Resource,$E169,'Critical resources (hide)'!AP$6:AP$105)+SUMIF(Capacity_Resource,$F169,'Critical resources (hide)'!AP$6:AP$105)&gt;0,$E$1=2),0,1)</f>
        <v>1</v>
      </c>
      <c r="AD169" s="68">
        <f ca="1">IF(AND(SUMIF(Capacity_Resource,$D169,'Critical resources (hide)'!AQ$6:AQ$105)+SUMIF(Capacity_Resource,$E169,'Critical resources (hide)'!AQ$6:AQ$105)+SUMIF(Capacity_Resource,$F169,'Critical resources (hide)'!AQ$6:AQ$105)&gt;0,$E$1=2),0,1)</f>
        <v>1</v>
      </c>
      <c r="AE169" s="68">
        <f ca="1">IF(AND(SUMIF(Capacity_Resource,$D169,'Critical resources (hide)'!AR$6:AR$105)+SUMIF(Capacity_Resource,$E169,'Critical resources (hide)'!AR$6:AR$105)+SUMIF(Capacity_Resource,$F169,'Critical resources (hide)'!AR$6:AR$105)&gt;0,$E$1=2),0,1)</f>
        <v>1</v>
      </c>
      <c r="AF169" s="68">
        <f ca="1">IF(AND(SUMIF(Capacity_Resource,$D169,'Critical resources (hide)'!AS$6:AS$105)+SUMIF(Capacity_Resource,$E169,'Critical resources (hide)'!AS$6:AS$105)+SUMIF(Capacity_Resource,$F169,'Critical resources (hide)'!AS$6:AS$105)&gt;0,$E$1=2),0,1)</f>
        <v>1</v>
      </c>
      <c r="AG169" s="68">
        <f ca="1">IF(AND(SUMIF(Capacity_Resource,$D169,'Critical resources (hide)'!AT$6:AT$105)+SUMIF(Capacity_Resource,$E169,'Critical resources (hide)'!AT$6:AT$105)+SUMIF(Capacity_Resource,$F169,'Critical resources (hide)'!AT$6:AT$105)&gt;0,$E$1=2),0,1)</f>
        <v>1</v>
      </c>
      <c r="AH169" s="68">
        <f ca="1">IF(AND(SUMIF(Capacity_Resource,$D169,'Critical resources (hide)'!AU$6:AU$105)+SUMIF(Capacity_Resource,$E169,'Critical resources (hide)'!AU$6:AU$105)+SUMIF(Capacity_Resource,$F169,'Critical resources (hide)'!AU$6:AU$105)&gt;0,$E$1=2),0,1)</f>
        <v>1</v>
      </c>
      <c r="AI169" s="68">
        <f ca="1">IF(AND(SUMIF(Capacity_Resource,$D169,'Critical resources (hide)'!AV$6:AV$105)+SUMIF(Capacity_Resource,$E169,'Critical resources (hide)'!AV$6:AV$105)+SUMIF(Capacity_Resource,$F169,'Critical resources (hide)'!AV$6:AV$105)&gt;0,$E$1=2),0,1)</f>
        <v>1</v>
      </c>
      <c r="AJ169" s="68">
        <f ca="1">IF(AND(SUMIF(Capacity_Resource,$D169,'Critical resources (hide)'!AW$6:AW$105)+SUMIF(Capacity_Resource,$E169,'Critical resources (hide)'!AW$6:AW$105)+SUMIF(Capacity_Resource,$F169,'Critical resources (hide)'!AW$6:AW$105)&gt;0,$E$1=2),0,1)</f>
        <v>1</v>
      </c>
      <c r="AK169" s="68">
        <f ca="1">IF(AND(SUMIF(Capacity_Resource,$D169,'Critical resources (hide)'!AX$6:AX$105)+SUMIF(Capacity_Resource,$E169,'Critical resources (hide)'!AX$6:AX$105)+SUMIF(Capacity_Resource,$F169,'Critical resources (hide)'!AX$6:AX$105)&gt;0,$E$1=2),0,1)</f>
        <v>1</v>
      </c>
      <c r="AL169" s="68">
        <f ca="1">IF(AND(SUMIF(Capacity_Resource,$D169,'Critical resources (hide)'!AY$6:AY$105)+SUMIF(Capacity_Resource,$E169,'Critical resources (hide)'!AY$6:AY$105)+SUMIF(Capacity_Resource,$F169,'Critical resources (hide)'!AY$6:AY$105)&gt;0,$E$1=2),0,1)</f>
        <v>1</v>
      </c>
      <c r="AM169" s="68">
        <f ca="1">IF(AND(SUMIF(Capacity_Resource,$D169,'Critical resources (hide)'!AZ$6:AZ$105)+SUMIF(Capacity_Resource,$E169,'Critical resources (hide)'!AZ$6:AZ$105)+SUMIF(Capacity_Resource,$F169,'Critical resources (hide)'!AZ$6:AZ$105)&gt;0,$E$1=2),0,1)</f>
        <v>1</v>
      </c>
      <c r="AN169" s="68">
        <f ca="1">IF(AND(SUMIF(Capacity_Resource,$D169,'Critical resources (hide)'!BA$6:BA$105)+SUMIF(Capacity_Resource,$E169,'Critical resources (hide)'!BA$6:BA$105)+SUMIF(Capacity_Resource,$F169,'Critical resources (hide)'!BA$6:BA$105)&gt;0,$E$1=2),0,1)</f>
        <v>1</v>
      </c>
      <c r="AO169" s="68">
        <f ca="1">IF(AND(SUMIF(Capacity_Resource,$D169,'Critical resources (hide)'!BB$6:BB$105)+SUMIF(Capacity_Resource,$E169,'Critical resources (hide)'!BB$6:BB$105)+SUMIF(Capacity_Resource,$F169,'Critical resources (hide)'!BB$6:BB$105)&gt;0,$E$1=2),0,1)</f>
        <v>1</v>
      </c>
      <c r="AP169" s="68">
        <f ca="1">IF(AND(SUMIF(Capacity_Resource,$D169,'Critical resources (hide)'!BC$6:BC$105)+SUMIF(Capacity_Resource,$E169,'Critical resources (hide)'!BC$6:BC$105)+SUMIF(Capacity_Resource,$F169,'Critical resources (hide)'!BC$6:BC$105)&gt;0,$E$1=2),0,1)</f>
        <v>1</v>
      </c>
      <c r="AQ169" s="68">
        <f ca="1">IF(AND(SUMIF(Capacity_Resource,$D169,'Critical resources (hide)'!BD$6:BD$105)+SUMIF(Capacity_Resource,$E169,'Critical resources (hide)'!BD$6:BD$105)+SUMIF(Capacity_Resource,$F169,'Critical resources (hide)'!BD$6:BD$105)&gt;0,$E$1=2),0,1)</f>
        <v>1</v>
      </c>
      <c r="AR169" s="68">
        <f ca="1">IF(AND(SUMIF(Capacity_Resource,$D169,'Critical resources (hide)'!BE$6:BE$105)+SUMIF(Capacity_Resource,$E169,'Critical resources (hide)'!BE$6:BE$105)+SUMIF(Capacity_Resource,$F169,'Critical resources (hide)'!BE$6:BE$105)&gt;0,$E$1=2),0,1)</f>
        <v>1</v>
      </c>
      <c r="AS169" s="68">
        <f ca="1">IF(AND(SUMIF(Capacity_Resource,$D169,'Critical resources (hide)'!BF$6:BF$105)+SUMIF(Capacity_Resource,$E169,'Critical resources (hide)'!BF$6:BF$105)+SUMIF(Capacity_Resource,$F169,'Critical resources (hide)'!BF$6:BF$105)&gt;0,$E$1=2),0,1)</f>
        <v>1</v>
      </c>
      <c r="AT169" s="68">
        <f ca="1">IF(AND(SUMIF(Capacity_Resource,$D169,'Critical resources (hide)'!BG$6:BG$105)+SUMIF(Capacity_Resource,$E169,'Critical resources (hide)'!BG$6:BG$105)+SUMIF(Capacity_Resource,$F169,'Critical resources (hide)'!BG$6:BG$105)&gt;0,$E$1=2),0,1)</f>
        <v>1</v>
      </c>
      <c r="AU169" s="68">
        <f ca="1">IF(AND(SUMIF(Capacity_Resource,$D169,'Critical resources (hide)'!BH$6:BH$105)+SUMIF(Capacity_Resource,$E169,'Critical resources (hide)'!BH$6:BH$105)+SUMIF(Capacity_Resource,$F169,'Critical resources (hide)'!BH$6:BH$105)&gt;0,$E$1=2),0,1)</f>
        <v>1</v>
      </c>
      <c r="AV169" s="68">
        <f ca="1">IF(AND(SUMIF(Capacity_Resource,$D169,'Critical resources (hide)'!BI$6:BI$105)+SUMIF(Capacity_Resource,$E169,'Critical resources (hide)'!BI$6:BI$105)+SUMIF(Capacity_Resource,$F169,'Critical resources (hide)'!BI$6:BI$105)&gt;0,$E$1=2),0,1)</f>
        <v>1</v>
      </c>
      <c r="AW169" s="68">
        <f ca="1">IF(AND(SUMIF(Capacity_Resource,$D169,'Critical resources (hide)'!BJ$6:BJ$105)+SUMIF(Capacity_Resource,$E169,'Critical resources (hide)'!BJ$6:BJ$105)+SUMIF(Capacity_Resource,$F169,'Critical resources (hide)'!BJ$6:BJ$105)&gt;0,$E$1=2),0,1)</f>
        <v>1</v>
      </c>
      <c r="AX169" s="68">
        <f ca="1">IF(AND(SUMIF(Capacity_Resource,$D169,'Critical resources (hide)'!BK$6:BK$105)+SUMIF(Capacity_Resource,$E169,'Critical resources (hide)'!BK$6:BK$105)+SUMIF(Capacity_Resource,$F169,'Critical resources (hide)'!BK$6:BK$105)&gt;0,$E$1=2),0,1)</f>
        <v>1</v>
      </c>
      <c r="AY169" s="68">
        <f ca="1">IF(AND(SUMIF(Capacity_Resource,$D169,'Critical resources (hide)'!BL$6:BL$105)+SUMIF(Capacity_Resource,$E169,'Critical resources (hide)'!BL$6:BL$105)+SUMIF(Capacity_Resource,$F169,'Critical resources (hide)'!BL$6:BL$105)&gt;0,$E$1=2),0,1)</f>
        <v>1</v>
      </c>
      <c r="AZ169" s="68">
        <f ca="1">IF(AND(SUMIF(Capacity_Resource,$D169,'Critical resources (hide)'!BM$6:BM$105)+SUMIF(Capacity_Resource,$E169,'Critical resources (hide)'!BM$6:BM$105)+SUMIF(Capacity_Resource,$F169,'Critical resources (hide)'!BM$6:BM$105)&gt;0,$E$1=2),0,1)</f>
        <v>1</v>
      </c>
      <c r="BA169" s="68">
        <f ca="1">IF(AND(SUMIF(Capacity_Resource,$D169,'Critical resources (hide)'!BN$6:BN$105)+SUMIF(Capacity_Resource,$E169,'Critical resources (hide)'!BN$6:BN$105)+SUMIF(Capacity_Resource,$F169,'Critical resources (hide)'!BN$6:BN$105)&gt;0,$E$1=2),0,1)</f>
        <v>1</v>
      </c>
      <c r="BB169" s="68">
        <f ca="1">IF(AND(SUMIF(Capacity_Resource,$D169,'Critical resources (hide)'!BO$6:BO$105)+SUMIF(Capacity_Resource,$E169,'Critical resources (hide)'!BO$6:BO$105)+SUMIF(Capacity_Resource,$F169,'Critical resources (hide)'!BO$6:BO$105)&gt;0,$E$1=2),0,1)</f>
        <v>1</v>
      </c>
      <c r="BC169" s="68">
        <f ca="1">IF(AND(SUMIF(Capacity_Resource,$D169,'Critical resources (hide)'!BP$6:BP$105)+SUMIF(Capacity_Resource,$E169,'Critical resources (hide)'!BP$6:BP$105)+SUMIF(Capacity_Resource,$F169,'Critical resources (hide)'!BP$6:BP$105)&gt;0,$E$1=2),0,1)</f>
        <v>1</v>
      </c>
      <c r="BD169" s="68">
        <f ca="1">IF(AND(SUMIF(Capacity_Resource,$D169,'Critical resources (hide)'!BQ$6:BQ$105)+SUMIF(Capacity_Resource,$E169,'Critical resources (hide)'!BQ$6:BQ$105)+SUMIF(Capacity_Resource,$F169,'Critical resources (hide)'!BQ$6:BQ$105)&gt;0,$E$1=2),0,1)</f>
        <v>1</v>
      </c>
      <c r="BE169" s="68">
        <f ca="1">IF(AND(SUMIF(Capacity_Resource,$D169,'Critical resources (hide)'!BR$6:BR$105)+SUMIF(Capacity_Resource,$E169,'Critical resources (hide)'!BR$6:BR$105)+SUMIF(Capacity_Resource,$F169,'Critical resources (hide)'!BR$6:BR$105)&gt;0,$E$1=2),0,1)</f>
        <v>1</v>
      </c>
      <c r="BF169" s="68">
        <f ca="1">IF(AND(SUMIF(Capacity_Resource,$D169,'Critical resources (hide)'!BS$6:BS$105)+SUMIF(Capacity_Resource,$E169,'Critical resources (hide)'!BS$6:BS$105)+SUMIF(Capacity_Resource,$F169,'Critical resources (hide)'!BS$6:BS$105)&gt;0,$E$1=2),0,1)</f>
        <v>1</v>
      </c>
      <c r="BG169" s="68">
        <f ca="1">IF(AND(SUMIF(Capacity_Resource,$D169,'Critical resources (hide)'!BT$6:BT$105)+SUMIF(Capacity_Resource,$E169,'Critical resources (hide)'!BT$6:BT$105)+SUMIF(Capacity_Resource,$F169,'Critical resources (hide)'!BT$6:BT$105)&gt;0,$E$1=2),0,1)</f>
        <v>1</v>
      </c>
      <c r="BH169" s="68">
        <f>IF(ROW(A58)&lt;=Capacity!$M$16,IF('Capacity summary'!$C$14="No",SUM(H169:BG169),'Capacity summary'!$E81),0)</f>
        <v>0</v>
      </c>
      <c r="BI169" s="68" t="str">
        <f>IF(BH169&gt;0,IF(BH169&lt;Capacity!Q74,Capacity!R74,Capacity!T74/'Capacity calculation (hide)'!BH169),"")</f>
        <v/>
      </c>
      <c r="BJ169" s="5"/>
      <c r="BK169" s="5">
        <f>IF($BI169&lt;&gt;"",IF('Capacity summary'!$C$14="Yes",IF(COUNTBLANK('Capacity summary'!$H81:$BG81)&lt;52,IF('Capacity summary'!H81&lt;&gt;"",$BI169*H169,0),H169*$BI169),H169*$BI169),0)</f>
        <v>0</v>
      </c>
      <c r="BL169" s="5">
        <f>IF($BI169&lt;&gt;"",IF('Capacity summary'!$C$14="Yes",IF(COUNTBLANK('Capacity summary'!$H81:$BG81)&lt;52,IF('Capacity summary'!I81&lt;&gt;"",$BI169*I169,0),I169*$BI169),I169*$BI169),0)</f>
        <v>0</v>
      </c>
      <c r="BM169" s="5">
        <f>IF($BI169&lt;&gt;"",IF('Capacity summary'!$C$14="Yes",IF(COUNTBLANK('Capacity summary'!$H81:$BG81)&lt;52,IF('Capacity summary'!J81&lt;&gt;"",$BI169*J169,0),J169*$BI169),J169*$BI169),0)</f>
        <v>0</v>
      </c>
      <c r="BN169" s="5">
        <f>IF($BI169&lt;&gt;"",IF('Capacity summary'!$C$14="Yes",IF(COUNTBLANK('Capacity summary'!$H81:$BG81)&lt;52,IF('Capacity summary'!K81&lt;&gt;"",$BI169*K169,0),K169*$BI169),K169*$BI169),0)</f>
        <v>0</v>
      </c>
      <c r="BO169" s="5">
        <f>IF($BI169&lt;&gt;"",IF('Capacity summary'!$C$14="Yes",IF(COUNTBLANK('Capacity summary'!$H81:$BG81)&lt;52,IF('Capacity summary'!L81&lt;&gt;"",$BI169*L169,0),L169*$BI169),L169*$BI169),0)</f>
        <v>0</v>
      </c>
      <c r="BP169" s="5">
        <f>IF($BI169&lt;&gt;"",IF('Capacity summary'!$C$14="Yes",IF(COUNTBLANK('Capacity summary'!$H81:$BG81)&lt;52,IF('Capacity summary'!M81&lt;&gt;"",$BI169*M169,0),M169*$BI169),M169*$BI169),0)</f>
        <v>0</v>
      </c>
      <c r="BQ169" s="5">
        <f>IF($BI169&lt;&gt;"",IF('Capacity summary'!$C$14="Yes",IF(COUNTBLANK('Capacity summary'!$H81:$BG81)&lt;52,IF('Capacity summary'!N81&lt;&gt;"",$BI169*N169,0),N169*$BI169),N169*$BI169),0)</f>
        <v>0</v>
      </c>
      <c r="BR169" s="5">
        <f>IF($BI169&lt;&gt;"",IF('Capacity summary'!$C$14="Yes",IF(COUNTBLANK('Capacity summary'!$H81:$BG81)&lt;52,IF('Capacity summary'!O81&lt;&gt;"",$BI169*O169,0),O169*$BI169),O169*$BI169),0)</f>
        <v>0</v>
      </c>
      <c r="BS169" s="5">
        <f>IF($BI169&lt;&gt;"",IF('Capacity summary'!$C$14="Yes",IF(COUNTBLANK('Capacity summary'!$H81:$BG81)&lt;52,IF('Capacity summary'!P81&lt;&gt;"",$BI169*P169,0),P169*$BI169),P169*$BI169),0)</f>
        <v>0</v>
      </c>
      <c r="BT169" s="5">
        <f>IF($BI169&lt;&gt;"",IF('Capacity summary'!$C$14="Yes",IF(COUNTBLANK('Capacity summary'!$H81:$BG81)&lt;52,IF('Capacity summary'!Q81&lt;&gt;"",$BI169*Q169,0),Q169*$BI169),Q169*$BI169),0)</f>
        <v>0</v>
      </c>
      <c r="BU169" s="5">
        <f>IF($BI169&lt;&gt;"",IF('Capacity summary'!$C$14="Yes",IF(COUNTBLANK('Capacity summary'!$H81:$BG81)&lt;52,IF('Capacity summary'!R81&lt;&gt;"",$BI169*R169,0),R169*$BI169),R169*$BI169),0)</f>
        <v>0</v>
      </c>
      <c r="BV169" s="5">
        <f>IF($BI169&lt;&gt;"",IF('Capacity summary'!$C$14="Yes",IF(COUNTBLANK('Capacity summary'!$H81:$BG81)&lt;52,IF('Capacity summary'!S81&lt;&gt;"",$BI169*S169,0),S169*$BI169),S169*$BI169),0)</f>
        <v>0</v>
      </c>
      <c r="BW169" s="5">
        <f>IF($BI169&lt;&gt;"",IF('Capacity summary'!$C$14="Yes",IF(COUNTBLANK('Capacity summary'!$H81:$BG81)&lt;52,IF('Capacity summary'!T81&lt;&gt;"",$BI169*T169,0),T169*$BI169),T169*$BI169),0)</f>
        <v>0</v>
      </c>
      <c r="BX169" s="5">
        <f>IF($BI169&lt;&gt;"",IF('Capacity summary'!$C$14="Yes",IF(COUNTBLANK('Capacity summary'!$H81:$BG81)&lt;52,IF('Capacity summary'!U81&lt;&gt;"",$BI169*U169,0),U169*$BI169),U169*$BI169),0)</f>
        <v>0</v>
      </c>
      <c r="BY169" s="5">
        <f>IF($BI169&lt;&gt;"",IF('Capacity summary'!$C$14="Yes",IF(COUNTBLANK('Capacity summary'!$H81:$BG81)&lt;52,IF('Capacity summary'!V81&lt;&gt;"",$BI169*V169,0),V169*$BI169),V169*$BI169),0)</f>
        <v>0</v>
      </c>
      <c r="BZ169" s="5">
        <f>IF($BI169&lt;&gt;"",IF('Capacity summary'!$C$14="Yes",IF(COUNTBLANK('Capacity summary'!$H81:$BG81)&lt;52,IF('Capacity summary'!W81&lt;&gt;"",$BI169*W169,0),W169*$BI169),W169*$BI169),0)</f>
        <v>0</v>
      </c>
      <c r="CA169" s="5">
        <f>IF($BI169&lt;&gt;"",IF('Capacity summary'!$C$14="Yes",IF(COUNTBLANK('Capacity summary'!$H81:$BG81)&lt;52,IF('Capacity summary'!X81&lt;&gt;"",$BI169*X169,0),X169*$BI169),X169*$BI169),0)</f>
        <v>0</v>
      </c>
      <c r="CB169" s="5">
        <f>IF($BI169&lt;&gt;"",IF('Capacity summary'!$C$14="Yes",IF(COUNTBLANK('Capacity summary'!$H81:$BG81)&lt;52,IF('Capacity summary'!Y81&lt;&gt;"",$BI169*Y169,0),Y169*$BI169),Y169*$BI169),0)</f>
        <v>0</v>
      </c>
      <c r="CC169" s="5">
        <f>IF($BI169&lt;&gt;"",IF('Capacity summary'!$C$14="Yes",IF(COUNTBLANK('Capacity summary'!$H81:$BG81)&lt;52,IF('Capacity summary'!Z81&lt;&gt;"",$BI169*Z169,0),Z169*$BI169),Z169*$BI169),0)</f>
        <v>0</v>
      </c>
      <c r="CD169" s="5">
        <f>IF($BI169&lt;&gt;"",IF('Capacity summary'!$C$14="Yes",IF(COUNTBLANK('Capacity summary'!$H81:$BG81)&lt;52,IF('Capacity summary'!AA81&lt;&gt;"",$BI169*AA169,0),AA169*$BI169),AA169*$BI169),0)</f>
        <v>0</v>
      </c>
      <c r="CE169" s="5">
        <f>IF($BI169&lt;&gt;"",IF('Capacity summary'!$C$14="Yes",IF(COUNTBLANK('Capacity summary'!$H81:$BG81)&lt;52,IF('Capacity summary'!AB81&lt;&gt;"",$BI169*AB169,0),AB169*$BI169),AB169*$BI169),0)</f>
        <v>0</v>
      </c>
      <c r="CF169" s="5">
        <f>IF($BI169&lt;&gt;"",IF('Capacity summary'!$C$14="Yes",IF(COUNTBLANK('Capacity summary'!$H81:$BG81)&lt;52,IF('Capacity summary'!AC81&lt;&gt;"",$BI169*AC169,0),AC169*$BI169),AC169*$BI169),0)</f>
        <v>0</v>
      </c>
      <c r="CG169" s="5">
        <f>IF($BI169&lt;&gt;"",IF('Capacity summary'!$C$14="Yes",IF(COUNTBLANK('Capacity summary'!$H81:$BG81)&lt;52,IF('Capacity summary'!AD81&lt;&gt;"",$BI169*AD169,0),AD169*$BI169),AD169*$BI169),0)</f>
        <v>0</v>
      </c>
      <c r="CH169" s="5">
        <f>IF($BI169&lt;&gt;"",IF('Capacity summary'!$C$14="Yes",IF(COUNTBLANK('Capacity summary'!$H81:$BG81)&lt;52,IF('Capacity summary'!AE81&lt;&gt;"",$BI169*AE169,0),AE169*$BI169),AE169*$BI169),0)</f>
        <v>0</v>
      </c>
      <c r="CI169" s="5">
        <f>IF($BI169&lt;&gt;"",IF('Capacity summary'!$C$14="Yes",IF(COUNTBLANK('Capacity summary'!$H81:$BG81)&lt;52,IF('Capacity summary'!AF81&lt;&gt;"",$BI169*AF169,0),AF169*$BI169),AF169*$BI169),0)</f>
        <v>0</v>
      </c>
      <c r="CJ169" s="5">
        <f>IF($BI169&lt;&gt;"",IF('Capacity summary'!$C$14="Yes",IF(COUNTBLANK('Capacity summary'!$H81:$BG81)&lt;52,IF('Capacity summary'!AG81&lt;&gt;"",$BI169*AG169,0),AG169*$BI169),AG169*$BI169),0)</f>
        <v>0</v>
      </c>
      <c r="CK169" s="5">
        <f>IF($BI169&lt;&gt;"",IF('Capacity summary'!$C$14="Yes",IF(COUNTBLANK('Capacity summary'!$H81:$BG81)&lt;52,IF('Capacity summary'!AH81&lt;&gt;"",$BI169*AH169,0),AH169*$BI169),AH169*$BI169),0)</f>
        <v>0</v>
      </c>
      <c r="CL169" s="5">
        <f>IF($BI169&lt;&gt;"",IF('Capacity summary'!$C$14="Yes",IF(COUNTBLANK('Capacity summary'!$H81:$BG81)&lt;52,IF('Capacity summary'!AI81&lt;&gt;"",$BI169*AI169,0),AI169*$BI169),AI169*$BI169),0)</f>
        <v>0</v>
      </c>
      <c r="CM169" s="5">
        <f>IF($BI169&lt;&gt;"",IF('Capacity summary'!$C$14="Yes",IF(COUNTBLANK('Capacity summary'!$H81:$BG81)&lt;52,IF('Capacity summary'!AJ81&lt;&gt;"",$BI169*AJ169,0),AJ169*$BI169),AJ169*$BI169),0)</f>
        <v>0</v>
      </c>
      <c r="CN169" s="5">
        <f>IF($BI169&lt;&gt;"",IF('Capacity summary'!$C$14="Yes",IF(COUNTBLANK('Capacity summary'!$H81:$BG81)&lt;52,IF('Capacity summary'!AK81&lt;&gt;"",$BI169*AK169,0),AK169*$BI169),AK169*$BI169),0)</f>
        <v>0</v>
      </c>
      <c r="CO169" s="5">
        <f>IF($BI169&lt;&gt;"",IF('Capacity summary'!$C$14="Yes",IF(COUNTBLANK('Capacity summary'!$H81:$BG81)&lt;52,IF('Capacity summary'!AL81&lt;&gt;"",$BI169*AL169,0),AL169*$BI169),AL169*$BI169),0)</f>
        <v>0</v>
      </c>
      <c r="CP169" s="5">
        <f>IF($BI169&lt;&gt;"",IF('Capacity summary'!$C$14="Yes",IF(COUNTBLANK('Capacity summary'!$H81:$BG81)&lt;52,IF('Capacity summary'!AM81&lt;&gt;"",$BI169*AM169,0),AM169*$BI169),AM169*$BI169),0)</f>
        <v>0</v>
      </c>
      <c r="CQ169" s="5">
        <f>IF($BI169&lt;&gt;"",IF('Capacity summary'!$C$14="Yes",IF(COUNTBLANK('Capacity summary'!$H81:$BG81)&lt;52,IF('Capacity summary'!AN81&lt;&gt;"",$BI169*AN169,0),AN169*$BI169),AN169*$BI169),0)</f>
        <v>0</v>
      </c>
      <c r="CR169" s="5">
        <f>IF($BI169&lt;&gt;"",IF('Capacity summary'!$C$14="Yes",IF(COUNTBLANK('Capacity summary'!$H81:$BG81)&lt;52,IF('Capacity summary'!AO81&lt;&gt;"",$BI169*AO169,0),AO169*$BI169),AO169*$BI169),0)</f>
        <v>0</v>
      </c>
      <c r="CS169" s="5">
        <f>IF($BI169&lt;&gt;"",IF('Capacity summary'!$C$14="Yes",IF(COUNTBLANK('Capacity summary'!$H81:$BG81)&lt;52,IF('Capacity summary'!AP81&lt;&gt;"",$BI169*AP169,0),AP169*$BI169),AP169*$BI169),0)</f>
        <v>0</v>
      </c>
      <c r="CT169" s="5">
        <f>IF($BI169&lt;&gt;"",IF('Capacity summary'!$C$14="Yes",IF(COUNTBLANK('Capacity summary'!$H81:$BG81)&lt;52,IF('Capacity summary'!AQ81&lt;&gt;"",$BI169*AQ169,0),AQ169*$BI169),AQ169*$BI169),0)</f>
        <v>0</v>
      </c>
      <c r="CU169" s="5">
        <f>IF($BI169&lt;&gt;"",IF('Capacity summary'!$C$14="Yes",IF(COUNTBLANK('Capacity summary'!$H81:$BG81)&lt;52,IF('Capacity summary'!AR81&lt;&gt;"",$BI169*AR169,0),AR169*$BI169),AR169*$BI169),0)</f>
        <v>0</v>
      </c>
      <c r="CV169" s="5">
        <f>IF($BI169&lt;&gt;"",IF('Capacity summary'!$C$14="Yes",IF(COUNTBLANK('Capacity summary'!$H81:$BG81)&lt;52,IF('Capacity summary'!AS81&lt;&gt;"",$BI169*AS169,0),AS169*$BI169),AS169*$BI169),0)</f>
        <v>0</v>
      </c>
      <c r="CW169" s="5">
        <f>IF($BI169&lt;&gt;"",IF('Capacity summary'!$C$14="Yes",IF(COUNTBLANK('Capacity summary'!$H81:$BG81)&lt;52,IF('Capacity summary'!AT81&lt;&gt;"",$BI169*AT169,0),AT169*$BI169),AT169*$BI169),0)</f>
        <v>0</v>
      </c>
      <c r="CX169" s="5">
        <f>IF($BI169&lt;&gt;"",IF('Capacity summary'!$C$14="Yes",IF(COUNTBLANK('Capacity summary'!$H81:$BG81)&lt;52,IF('Capacity summary'!AU81&lt;&gt;"",$BI169*AU169,0),AU169*$BI169),AU169*$BI169),0)</f>
        <v>0</v>
      </c>
      <c r="CY169" s="5">
        <f>IF($BI169&lt;&gt;"",IF('Capacity summary'!$C$14="Yes",IF(COUNTBLANK('Capacity summary'!$H81:$BG81)&lt;52,IF('Capacity summary'!AV81&lt;&gt;"",$BI169*AV169,0),AV169*$BI169),AV169*$BI169),0)</f>
        <v>0</v>
      </c>
      <c r="CZ169" s="5">
        <f>IF($BI169&lt;&gt;"",IF('Capacity summary'!$C$14="Yes",IF(COUNTBLANK('Capacity summary'!$H81:$BG81)&lt;52,IF('Capacity summary'!AW81&lt;&gt;"",$BI169*AW169,0),AW169*$BI169),AW169*$BI169),0)</f>
        <v>0</v>
      </c>
      <c r="DA169" s="5">
        <f>IF($BI169&lt;&gt;"",IF('Capacity summary'!$C$14="Yes",IF(COUNTBLANK('Capacity summary'!$H81:$BG81)&lt;52,IF('Capacity summary'!AX81&lt;&gt;"",$BI169*AX169,0),AX169*$BI169),AX169*$BI169),0)</f>
        <v>0</v>
      </c>
      <c r="DB169" s="5">
        <f>IF($BI169&lt;&gt;"",IF('Capacity summary'!$C$14="Yes",IF(COUNTBLANK('Capacity summary'!$H81:$BG81)&lt;52,IF('Capacity summary'!AY81&lt;&gt;"",$BI169*AY169,0),AY169*$BI169),AY169*$BI169),0)</f>
        <v>0</v>
      </c>
      <c r="DC169" s="5">
        <f>IF($BI169&lt;&gt;"",IF('Capacity summary'!$C$14="Yes",IF(COUNTBLANK('Capacity summary'!$H81:$BG81)&lt;52,IF('Capacity summary'!AZ81&lt;&gt;"",$BI169*AZ169,0),AZ169*$BI169),AZ169*$BI169),0)</f>
        <v>0</v>
      </c>
      <c r="DD169" s="5">
        <f>IF($BI169&lt;&gt;"",IF('Capacity summary'!$C$14="Yes",IF(COUNTBLANK('Capacity summary'!$H81:$BG81)&lt;52,IF('Capacity summary'!BA81&lt;&gt;"",$BI169*BA169,0),BA169*$BI169),BA169*$BI169),0)</f>
        <v>0</v>
      </c>
      <c r="DE169" s="5">
        <f>IF($BI169&lt;&gt;"",IF('Capacity summary'!$C$14="Yes",IF(COUNTBLANK('Capacity summary'!$H81:$BG81)&lt;52,IF('Capacity summary'!BB81&lt;&gt;"",$BI169*BB169,0),BB169*$BI169),BB169*$BI169),0)</f>
        <v>0</v>
      </c>
      <c r="DF169" s="5">
        <f>IF($BI169&lt;&gt;"",IF('Capacity summary'!$C$14="Yes",IF(COUNTBLANK('Capacity summary'!$H81:$BG81)&lt;52,IF('Capacity summary'!BC81&lt;&gt;"",$BI169*BC169,0),BC169*$BI169),BC169*$BI169),0)</f>
        <v>0</v>
      </c>
      <c r="DG169" s="5">
        <f>IF($BI169&lt;&gt;"",IF('Capacity summary'!$C$14="Yes",IF(COUNTBLANK('Capacity summary'!$H81:$BG81)&lt;52,IF('Capacity summary'!BD81&lt;&gt;"",$BI169*BD169,0),BD169*$BI169),BD169*$BI169),0)</f>
        <v>0</v>
      </c>
      <c r="DH169" s="5">
        <f>IF($BI169&lt;&gt;"",IF('Capacity summary'!$C$14="Yes",IF(COUNTBLANK('Capacity summary'!$H81:$BG81)&lt;52,IF('Capacity summary'!BE81&lt;&gt;"",$BI169*BE169,0),BE169*$BI169),BE169*$BI169),0)</f>
        <v>0</v>
      </c>
      <c r="DI169" s="5">
        <f>IF($BI169&lt;&gt;"",IF('Capacity summary'!$C$14="Yes",IF(COUNTBLANK('Capacity summary'!$H81:$BG81)&lt;52,IF('Capacity summary'!BF81&lt;&gt;"",$BI169*BF169,0),BF169*$BI169),BF169*$BI169),0)</f>
        <v>0</v>
      </c>
      <c r="DJ169" s="5">
        <f>IF($BI169&lt;&gt;"",IF('Capacity summary'!$C$14="Yes",IF(COUNTBLANK('Capacity summary'!$H81:$BG81)&lt;52,IF('Capacity summary'!BG81&lt;&gt;"",$BI169*BG169,0),BG169*$BI169),BG169*$BI169),0)</f>
        <v>0</v>
      </c>
      <c r="DK169" s="138">
        <f t="shared" si="6"/>
        <v>0</v>
      </c>
    </row>
    <row r="170" spans="3:115" x14ac:dyDescent="0.2">
      <c r="C170" s="68" t="str">
        <f>ROW(A59)&amp;". "&amp;Capacity!N75</f>
        <v xml:space="preserve">59. </v>
      </c>
      <c r="D170" s="68">
        <f>'Capacity setup'!C176</f>
        <v>0</v>
      </c>
      <c r="E170" s="68">
        <f>'Capacity setup'!D176</f>
        <v>0</v>
      </c>
      <c r="F170" s="68">
        <f>'Capacity setup'!E176</f>
        <v>0</v>
      </c>
      <c r="H170" s="68">
        <f ca="1">IF(AND(SUMIF(Capacity_Resource,$D170,'Critical resources (hide)'!U$6:U$105)+SUMIF(Capacity_Resource,$E170,'Critical resources (hide)'!U$6:U$105)+SUMIF(Capacity_Resource,$F170,'Critical resources (hide)'!U$6:U$105)&gt;0,$E$1=2),0,1)</f>
        <v>1</v>
      </c>
      <c r="I170" s="68">
        <f ca="1">IF(AND(SUMIF(Capacity_Resource,$D170,'Critical resources (hide)'!V$6:V$105)+SUMIF(Capacity_Resource,$E170,'Critical resources (hide)'!V$6:V$105)+SUMIF(Capacity_Resource,$F170,'Critical resources (hide)'!V$6:V$105)&gt;0,$E$1=2),0,1)</f>
        <v>1</v>
      </c>
      <c r="J170" s="68">
        <f ca="1">IF(AND(SUMIF(Capacity_Resource,$D170,'Critical resources (hide)'!W$6:W$105)+SUMIF(Capacity_Resource,$E170,'Critical resources (hide)'!W$6:W$105)+SUMIF(Capacity_Resource,$F170,'Critical resources (hide)'!W$6:W$105)&gt;0,$E$1=2),0,1)</f>
        <v>1</v>
      </c>
      <c r="K170" s="68">
        <f ca="1">IF(AND(SUMIF(Capacity_Resource,$D170,'Critical resources (hide)'!X$6:X$105)+SUMIF(Capacity_Resource,$E170,'Critical resources (hide)'!X$6:X$105)+SUMIF(Capacity_Resource,$F170,'Critical resources (hide)'!X$6:X$105)&gt;0,$E$1=2),0,1)</f>
        <v>1</v>
      </c>
      <c r="L170" s="68">
        <f ca="1">IF(AND(SUMIF(Capacity_Resource,$D170,'Critical resources (hide)'!Y$6:Y$105)+SUMIF(Capacity_Resource,$E170,'Critical resources (hide)'!Y$6:Y$105)+SUMIF(Capacity_Resource,$F170,'Critical resources (hide)'!Y$6:Y$105)&gt;0,$E$1=2),0,1)</f>
        <v>1</v>
      </c>
      <c r="M170" s="68">
        <f ca="1">IF(AND(SUMIF(Capacity_Resource,$D170,'Critical resources (hide)'!Z$6:Z$105)+SUMIF(Capacity_Resource,$E170,'Critical resources (hide)'!Z$6:Z$105)+SUMIF(Capacity_Resource,$F170,'Critical resources (hide)'!Z$6:Z$105)&gt;0,$E$1=2),0,1)</f>
        <v>1</v>
      </c>
      <c r="N170" s="68">
        <f ca="1">IF(AND(SUMIF(Capacity_Resource,$D170,'Critical resources (hide)'!AA$6:AA$105)+SUMIF(Capacity_Resource,$E170,'Critical resources (hide)'!AA$6:AA$105)+SUMIF(Capacity_Resource,$F170,'Critical resources (hide)'!AA$6:AA$105)&gt;0,$E$1=2),0,1)</f>
        <v>1</v>
      </c>
      <c r="O170" s="68">
        <f ca="1">IF(AND(SUMIF(Capacity_Resource,$D170,'Critical resources (hide)'!AB$6:AB$105)+SUMIF(Capacity_Resource,$E170,'Critical resources (hide)'!AB$6:AB$105)+SUMIF(Capacity_Resource,$F170,'Critical resources (hide)'!AB$6:AB$105)&gt;0,$E$1=2),0,1)</f>
        <v>1</v>
      </c>
      <c r="P170" s="68">
        <f ca="1">IF(AND(SUMIF(Capacity_Resource,$D170,'Critical resources (hide)'!AC$6:AC$105)+SUMIF(Capacity_Resource,$E170,'Critical resources (hide)'!AC$6:AC$105)+SUMIF(Capacity_Resource,$F170,'Critical resources (hide)'!AC$6:AC$105)&gt;0,$E$1=2),0,1)</f>
        <v>1</v>
      </c>
      <c r="Q170" s="68">
        <f ca="1">IF(AND(SUMIF(Capacity_Resource,$D170,'Critical resources (hide)'!AD$6:AD$105)+SUMIF(Capacity_Resource,$E170,'Critical resources (hide)'!AD$6:AD$105)+SUMIF(Capacity_Resource,$F170,'Critical resources (hide)'!AD$6:AD$105)&gt;0,$E$1=2),0,1)</f>
        <v>1</v>
      </c>
      <c r="R170" s="68">
        <f ca="1">IF(AND(SUMIF(Capacity_Resource,$D170,'Critical resources (hide)'!AE$6:AE$105)+SUMIF(Capacity_Resource,$E170,'Critical resources (hide)'!AE$6:AE$105)+SUMIF(Capacity_Resource,$F170,'Critical resources (hide)'!AE$6:AE$105)&gt;0,$E$1=2),0,1)</f>
        <v>1</v>
      </c>
      <c r="S170" s="68">
        <f ca="1">IF(AND(SUMIF(Capacity_Resource,$D170,'Critical resources (hide)'!AF$6:AF$105)+SUMIF(Capacity_Resource,$E170,'Critical resources (hide)'!AF$6:AF$105)+SUMIF(Capacity_Resource,$F170,'Critical resources (hide)'!AF$6:AF$105)&gt;0,$E$1=2),0,1)</f>
        <v>1</v>
      </c>
      <c r="T170" s="68">
        <f ca="1">IF(AND(SUMIF(Capacity_Resource,$D170,'Critical resources (hide)'!AG$6:AG$105)+SUMIF(Capacity_Resource,$E170,'Critical resources (hide)'!AG$6:AG$105)+SUMIF(Capacity_Resource,$F170,'Critical resources (hide)'!AG$6:AG$105)&gt;0,$E$1=2),0,1)</f>
        <v>1</v>
      </c>
      <c r="U170" s="68">
        <f ca="1">IF(AND(SUMIF(Capacity_Resource,$D170,'Critical resources (hide)'!AH$6:AH$105)+SUMIF(Capacity_Resource,$E170,'Critical resources (hide)'!AH$6:AH$105)+SUMIF(Capacity_Resource,$F170,'Critical resources (hide)'!AH$6:AH$105)&gt;0,$E$1=2),0,1)</f>
        <v>1</v>
      </c>
      <c r="V170" s="68">
        <f ca="1">IF(AND(SUMIF(Capacity_Resource,$D170,'Critical resources (hide)'!AI$6:AI$105)+SUMIF(Capacity_Resource,$E170,'Critical resources (hide)'!AI$6:AI$105)+SUMIF(Capacity_Resource,$F170,'Critical resources (hide)'!AI$6:AI$105)&gt;0,$E$1=2),0,1)</f>
        <v>1</v>
      </c>
      <c r="W170" s="68">
        <f ca="1">IF(AND(SUMIF(Capacity_Resource,$D170,'Critical resources (hide)'!AJ$6:AJ$105)+SUMIF(Capacity_Resource,$E170,'Critical resources (hide)'!AJ$6:AJ$105)+SUMIF(Capacity_Resource,$F170,'Critical resources (hide)'!AJ$6:AJ$105)&gt;0,$E$1=2),0,1)</f>
        <v>1</v>
      </c>
      <c r="X170" s="68">
        <f ca="1">IF(AND(SUMIF(Capacity_Resource,$D170,'Critical resources (hide)'!AK$6:AK$105)+SUMIF(Capacity_Resource,$E170,'Critical resources (hide)'!AK$6:AK$105)+SUMIF(Capacity_Resource,$F170,'Critical resources (hide)'!AK$6:AK$105)&gt;0,$E$1=2),0,1)</f>
        <v>1</v>
      </c>
      <c r="Y170" s="68">
        <f ca="1">IF(AND(SUMIF(Capacity_Resource,$D170,'Critical resources (hide)'!AL$6:AL$105)+SUMIF(Capacity_Resource,$E170,'Critical resources (hide)'!AL$6:AL$105)+SUMIF(Capacity_Resource,$F170,'Critical resources (hide)'!AL$6:AL$105)&gt;0,$E$1=2),0,1)</f>
        <v>1</v>
      </c>
      <c r="Z170" s="68">
        <f ca="1">IF(AND(SUMIF(Capacity_Resource,$D170,'Critical resources (hide)'!AM$6:AM$105)+SUMIF(Capacity_Resource,$E170,'Critical resources (hide)'!AM$6:AM$105)+SUMIF(Capacity_Resource,$F170,'Critical resources (hide)'!AM$6:AM$105)&gt;0,$E$1=2),0,1)</f>
        <v>1</v>
      </c>
      <c r="AA170" s="68">
        <f ca="1">IF(AND(SUMIF(Capacity_Resource,$D170,'Critical resources (hide)'!AN$6:AN$105)+SUMIF(Capacity_Resource,$E170,'Critical resources (hide)'!AN$6:AN$105)+SUMIF(Capacity_Resource,$F170,'Critical resources (hide)'!AN$6:AN$105)&gt;0,$E$1=2),0,1)</f>
        <v>1</v>
      </c>
      <c r="AB170" s="68">
        <f ca="1">IF(AND(SUMIF(Capacity_Resource,$D170,'Critical resources (hide)'!AO$6:AO$105)+SUMIF(Capacity_Resource,$E170,'Critical resources (hide)'!AO$6:AO$105)+SUMIF(Capacity_Resource,$F170,'Critical resources (hide)'!AO$6:AO$105)&gt;0,$E$1=2),0,1)</f>
        <v>1</v>
      </c>
      <c r="AC170" s="68">
        <f ca="1">IF(AND(SUMIF(Capacity_Resource,$D170,'Critical resources (hide)'!AP$6:AP$105)+SUMIF(Capacity_Resource,$E170,'Critical resources (hide)'!AP$6:AP$105)+SUMIF(Capacity_Resource,$F170,'Critical resources (hide)'!AP$6:AP$105)&gt;0,$E$1=2),0,1)</f>
        <v>1</v>
      </c>
      <c r="AD170" s="68">
        <f ca="1">IF(AND(SUMIF(Capacity_Resource,$D170,'Critical resources (hide)'!AQ$6:AQ$105)+SUMIF(Capacity_Resource,$E170,'Critical resources (hide)'!AQ$6:AQ$105)+SUMIF(Capacity_Resource,$F170,'Critical resources (hide)'!AQ$6:AQ$105)&gt;0,$E$1=2),0,1)</f>
        <v>1</v>
      </c>
      <c r="AE170" s="68">
        <f ca="1">IF(AND(SUMIF(Capacity_Resource,$D170,'Critical resources (hide)'!AR$6:AR$105)+SUMIF(Capacity_Resource,$E170,'Critical resources (hide)'!AR$6:AR$105)+SUMIF(Capacity_Resource,$F170,'Critical resources (hide)'!AR$6:AR$105)&gt;0,$E$1=2),0,1)</f>
        <v>1</v>
      </c>
      <c r="AF170" s="68">
        <f ca="1">IF(AND(SUMIF(Capacity_Resource,$D170,'Critical resources (hide)'!AS$6:AS$105)+SUMIF(Capacity_Resource,$E170,'Critical resources (hide)'!AS$6:AS$105)+SUMIF(Capacity_Resource,$F170,'Critical resources (hide)'!AS$6:AS$105)&gt;0,$E$1=2),0,1)</f>
        <v>1</v>
      </c>
      <c r="AG170" s="68">
        <f ca="1">IF(AND(SUMIF(Capacity_Resource,$D170,'Critical resources (hide)'!AT$6:AT$105)+SUMIF(Capacity_Resource,$E170,'Critical resources (hide)'!AT$6:AT$105)+SUMIF(Capacity_Resource,$F170,'Critical resources (hide)'!AT$6:AT$105)&gt;0,$E$1=2),0,1)</f>
        <v>1</v>
      </c>
      <c r="AH170" s="68">
        <f ca="1">IF(AND(SUMIF(Capacity_Resource,$D170,'Critical resources (hide)'!AU$6:AU$105)+SUMIF(Capacity_Resource,$E170,'Critical resources (hide)'!AU$6:AU$105)+SUMIF(Capacity_Resource,$F170,'Critical resources (hide)'!AU$6:AU$105)&gt;0,$E$1=2),0,1)</f>
        <v>1</v>
      </c>
      <c r="AI170" s="68">
        <f ca="1">IF(AND(SUMIF(Capacity_Resource,$D170,'Critical resources (hide)'!AV$6:AV$105)+SUMIF(Capacity_Resource,$E170,'Critical resources (hide)'!AV$6:AV$105)+SUMIF(Capacity_Resource,$F170,'Critical resources (hide)'!AV$6:AV$105)&gt;0,$E$1=2),0,1)</f>
        <v>1</v>
      </c>
      <c r="AJ170" s="68">
        <f ca="1">IF(AND(SUMIF(Capacity_Resource,$D170,'Critical resources (hide)'!AW$6:AW$105)+SUMIF(Capacity_Resource,$E170,'Critical resources (hide)'!AW$6:AW$105)+SUMIF(Capacity_Resource,$F170,'Critical resources (hide)'!AW$6:AW$105)&gt;0,$E$1=2),0,1)</f>
        <v>1</v>
      </c>
      <c r="AK170" s="68">
        <f ca="1">IF(AND(SUMIF(Capacity_Resource,$D170,'Critical resources (hide)'!AX$6:AX$105)+SUMIF(Capacity_Resource,$E170,'Critical resources (hide)'!AX$6:AX$105)+SUMIF(Capacity_Resource,$F170,'Critical resources (hide)'!AX$6:AX$105)&gt;0,$E$1=2),0,1)</f>
        <v>1</v>
      </c>
      <c r="AL170" s="68">
        <f ca="1">IF(AND(SUMIF(Capacity_Resource,$D170,'Critical resources (hide)'!AY$6:AY$105)+SUMIF(Capacity_Resource,$E170,'Critical resources (hide)'!AY$6:AY$105)+SUMIF(Capacity_Resource,$F170,'Critical resources (hide)'!AY$6:AY$105)&gt;0,$E$1=2),0,1)</f>
        <v>1</v>
      </c>
      <c r="AM170" s="68">
        <f ca="1">IF(AND(SUMIF(Capacity_Resource,$D170,'Critical resources (hide)'!AZ$6:AZ$105)+SUMIF(Capacity_Resource,$E170,'Critical resources (hide)'!AZ$6:AZ$105)+SUMIF(Capacity_Resource,$F170,'Critical resources (hide)'!AZ$6:AZ$105)&gt;0,$E$1=2),0,1)</f>
        <v>1</v>
      </c>
      <c r="AN170" s="68">
        <f ca="1">IF(AND(SUMIF(Capacity_Resource,$D170,'Critical resources (hide)'!BA$6:BA$105)+SUMIF(Capacity_Resource,$E170,'Critical resources (hide)'!BA$6:BA$105)+SUMIF(Capacity_Resource,$F170,'Critical resources (hide)'!BA$6:BA$105)&gt;0,$E$1=2),0,1)</f>
        <v>1</v>
      </c>
      <c r="AO170" s="68">
        <f ca="1">IF(AND(SUMIF(Capacity_Resource,$D170,'Critical resources (hide)'!BB$6:BB$105)+SUMIF(Capacity_Resource,$E170,'Critical resources (hide)'!BB$6:BB$105)+SUMIF(Capacity_Resource,$F170,'Critical resources (hide)'!BB$6:BB$105)&gt;0,$E$1=2),0,1)</f>
        <v>1</v>
      </c>
      <c r="AP170" s="68">
        <f ca="1">IF(AND(SUMIF(Capacity_Resource,$D170,'Critical resources (hide)'!BC$6:BC$105)+SUMIF(Capacity_Resource,$E170,'Critical resources (hide)'!BC$6:BC$105)+SUMIF(Capacity_Resource,$F170,'Critical resources (hide)'!BC$6:BC$105)&gt;0,$E$1=2),0,1)</f>
        <v>1</v>
      </c>
      <c r="AQ170" s="68">
        <f ca="1">IF(AND(SUMIF(Capacity_Resource,$D170,'Critical resources (hide)'!BD$6:BD$105)+SUMIF(Capacity_Resource,$E170,'Critical resources (hide)'!BD$6:BD$105)+SUMIF(Capacity_Resource,$F170,'Critical resources (hide)'!BD$6:BD$105)&gt;0,$E$1=2),0,1)</f>
        <v>1</v>
      </c>
      <c r="AR170" s="68">
        <f ca="1">IF(AND(SUMIF(Capacity_Resource,$D170,'Critical resources (hide)'!BE$6:BE$105)+SUMIF(Capacity_Resource,$E170,'Critical resources (hide)'!BE$6:BE$105)+SUMIF(Capacity_Resource,$F170,'Critical resources (hide)'!BE$6:BE$105)&gt;0,$E$1=2),0,1)</f>
        <v>1</v>
      </c>
      <c r="AS170" s="68">
        <f ca="1">IF(AND(SUMIF(Capacity_Resource,$D170,'Critical resources (hide)'!BF$6:BF$105)+SUMIF(Capacity_Resource,$E170,'Critical resources (hide)'!BF$6:BF$105)+SUMIF(Capacity_Resource,$F170,'Critical resources (hide)'!BF$6:BF$105)&gt;0,$E$1=2),0,1)</f>
        <v>1</v>
      </c>
      <c r="AT170" s="68">
        <f ca="1">IF(AND(SUMIF(Capacity_Resource,$D170,'Critical resources (hide)'!BG$6:BG$105)+SUMIF(Capacity_Resource,$E170,'Critical resources (hide)'!BG$6:BG$105)+SUMIF(Capacity_Resource,$F170,'Critical resources (hide)'!BG$6:BG$105)&gt;0,$E$1=2),0,1)</f>
        <v>1</v>
      </c>
      <c r="AU170" s="68">
        <f ca="1">IF(AND(SUMIF(Capacity_Resource,$D170,'Critical resources (hide)'!BH$6:BH$105)+SUMIF(Capacity_Resource,$E170,'Critical resources (hide)'!BH$6:BH$105)+SUMIF(Capacity_Resource,$F170,'Critical resources (hide)'!BH$6:BH$105)&gt;0,$E$1=2),0,1)</f>
        <v>1</v>
      </c>
      <c r="AV170" s="68">
        <f ca="1">IF(AND(SUMIF(Capacity_Resource,$D170,'Critical resources (hide)'!BI$6:BI$105)+SUMIF(Capacity_Resource,$E170,'Critical resources (hide)'!BI$6:BI$105)+SUMIF(Capacity_Resource,$F170,'Critical resources (hide)'!BI$6:BI$105)&gt;0,$E$1=2),0,1)</f>
        <v>1</v>
      </c>
      <c r="AW170" s="68">
        <f ca="1">IF(AND(SUMIF(Capacity_Resource,$D170,'Critical resources (hide)'!BJ$6:BJ$105)+SUMIF(Capacity_Resource,$E170,'Critical resources (hide)'!BJ$6:BJ$105)+SUMIF(Capacity_Resource,$F170,'Critical resources (hide)'!BJ$6:BJ$105)&gt;0,$E$1=2),0,1)</f>
        <v>1</v>
      </c>
      <c r="AX170" s="68">
        <f ca="1">IF(AND(SUMIF(Capacity_Resource,$D170,'Critical resources (hide)'!BK$6:BK$105)+SUMIF(Capacity_Resource,$E170,'Critical resources (hide)'!BK$6:BK$105)+SUMIF(Capacity_Resource,$F170,'Critical resources (hide)'!BK$6:BK$105)&gt;0,$E$1=2),0,1)</f>
        <v>1</v>
      </c>
      <c r="AY170" s="68">
        <f ca="1">IF(AND(SUMIF(Capacity_Resource,$D170,'Critical resources (hide)'!BL$6:BL$105)+SUMIF(Capacity_Resource,$E170,'Critical resources (hide)'!BL$6:BL$105)+SUMIF(Capacity_Resource,$F170,'Critical resources (hide)'!BL$6:BL$105)&gt;0,$E$1=2),0,1)</f>
        <v>1</v>
      </c>
      <c r="AZ170" s="68">
        <f ca="1">IF(AND(SUMIF(Capacity_Resource,$D170,'Critical resources (hide)'!BM$6:BM$105)+SUMIF(Capacity_Resource,$E170,'Critical resources (hide)'!BM$6:BM$105)+SUMIF(Capacity_Resource,$F170,'Critical resources (hide)'!BM$6:BM$105)&gt;0,$E$1=2),0,1)</f>
        <v>1</v>
      </c>
      <c r="BA170" s="68">
        <f ca="1">IF(AND(SUMIF(Capacity_Resource,$D170,'Critical resources (hide)'!BN$6:BN$105)+SUMIF(Capacity_Resource,$E170,'Critical resources (hide)'!BN$6:BN$105)+SUMIF(Capacity_Resource,$F170,'Critical resources (hide)'!BN$6:BN$105)&gt;0,$E$1=2),0,1)</f>
        <v>1</v>
      </c>
      <c r="BB170" s="68">
        <f ca="1">IF(AND(SUMIF(Capacity_Resource,$D170,'Critical resources (hide)'!BO$6:BO$105)+SUMIF(Capacity_Resource,$E170,'Critical resources (hide)'!BO$6:BO$105)+SUMIF(Capacity_Resource,$F170,'Critical resources (hide)'!BO$6:BO$105)&gt;0,$E$1=2),0,1)</f>
        <v>1</v>
      </c>
      <c r="BC170" s="68">
        <f ca="1">IF(AND(SUMIF(Capacity_Resource,$D170,'Critical resources (hide)'!BP$6:BP$105)+SUMIF(Capacity_Resource,$E170,'Critical resources (hide)'!BP$6:BP$105)+SUMIF(Capacity_Resource,$F170,'Critical resources (hide)'!BP$6:BP$105)&gt;0,$E$1=2),0,1)</f>
        <v>1</v>
      </c>
      <c r="BD170" s="68">
        <f ca="1">IF(AND(SUMIF(Capacity_Resource,$D170,'Critical resources (hide)'!BQ$6:BQ$105)+SUMIF(Capacity_Resource,$E170,'Critical resources (hide)'!BQ$6:BQ$105)+SUMIF(Capacity_Resource,$F170,'Critical resources (hide)'!BQ$6:BQ$105)&gt;0,$E$1=2),0,1)</f>
        <v>1</v>
      </c>
      <c r="BE170" s="68">
        <f ca="1">IF(AND(SUMIF(Capacity_Resource,$D170,'Critical resources (hide)'!BR$6:BR$105)+SUMIF(Capacity_Resource,$E170,'Critical resources (hide)'!BR$6:BR$105)+SUMIF(Capacity_Resource,$F170,'Critical resources (hide)'!BR$6:BR$105)&gt;0,$E$1=2),0,1)</f>
        <v>1</v>
      </c>
      <c r="BF170" s="68">
        <f ca="1">IF(AND(SUMIF(Capacity_Resource,$D170,'Critical resources (hide)'!BS$6:BS$105)+SUMIF(Capacity_Resource,$E170,'Critical resources (hide)'!BS$6:BS$105)+SUMIF(Capacity_Resource,$F170,'Critical resources (hide)'!BS$6:BS$105)&gt;0,$E$1=2),0,1)</f>
        <v>1</v>
      </c>
      <c r="BG170" s="68">
        <f ca="1">IF(AND(SUMIF(Capacity_Resource,$D170,'Critical resources (hide)'!BT$6:BT$105)+SUMIF(Capacity_Resource,$E170,'Critical resources (hide)'!BT$6:BT$105)+SUMIF(Capacity_Resource,$F170,'Critical resources (hide)'!BT$6:BT$105)&gt;0,$E$1=2),0,1)</f>
        <v>1</v>
      </c>
      <c r="BH170" s="68">
        <f>IF(ROW(A59)&lt;=Capacity!$M$16,IF('Capacity summary'!$C$14="No",SUM(H170:BG170),'Capacity summary'!$E82),0)</f>
        <v>0</v>
      </c>
      <c r="BI170" s="68" t="str">
        <f>IF(BH170&gt;0,IF(BH170&lt;Capacity!Q75,Capacity!R75,Capacity!T75/'Capacity calculation (hide)'!BH170),"")</f>
        <v/>
      </c>
      <c r="BJ170" s="5"/>
      <c r="BK170" s="5">
        <f>IF($BI170&lt;&gt;"",IF('Capacity summary'!$C$14="Yes",IF(COUNTBLANK('Capacity summary'!$H82:$BG82)&lt;52,IF('Capacity summary'!H82&lt;&gt;"",$BI170*H170,0),H170*$BI170),H170*$BI170),0)</f>
        <v>0</v>
      </c>
      <c r="BL170" s="5">
        <f>IF($BI170&lt;&gt;"",IF('Capacity summary'!$C$14="Yes",IF(COUNTBLANK('Capacity summary'!$H82:$BG82)&lt;52,IF('Capacity summary'!I82&lt;&gt;"",$BI170*I170,0),I170*$BI170),I170*$BI170),0)</f>
        <v>0</v>
      </c>
      <c r="BM170" s="5">
        <f>IF($BI170&lt;&gt;"",IF('Capacity summary'!$C$14="Yes",IF(COUNTBLANK('Capacity summary'!$H82:$BG82)&lt;52,IF('Capacity summary'!J82&lt;&gt;"",$BI170*J170,0),J170*$BI170),J170*$BI170),0)</f>
        <v>0</v>
      </c>
      <c r="BN170" s="5">
        <f>IF($BI170&lt;&gt;"",IF('Capacity summary'!$C$14="Yes",IF(COUNTBLANK('Capacity summary'!$H82:$BG82)&lt;52,IF('Capacity summary'!K82&lt;&gt;"",$BI170*K170,0),K170*$BI170),K170*$BI170),0)</f>
        <v>0</v>
      </c>
      <c r="BO170" s="5">
        <f>IF($BI170&lt;&gt;"",IF('Capacity summary'!$C$14="Yes",IF(COUNTBLANK('Capacity summary'!$H82:$BG82)&lt;52,IF('Capacity summary'!L82&lt;&gt;"",$BI170*L170,0),L170*$BI170),L170*$BI170),0)</f>
        <v>0</v>
      </c>
      <c r="BP170" s="5">
        <f>IF($BI170&lt;&gt;"",IF('Capacity summary'!$C$14="Yes",IF(COUNTBLANK('Capacity summary'!$H82:$BG82)&lt;52,IF('Capacity summary'!M82&lt;&gt;"",$BI170*M170,0),M170*$BI170),M170*$BI170),0)</f>
        <v>0</v>
      </c>
      <c r="BQ170" s="5">
        <f>IF($BI170&lt;&gt;"",IF('Capacity summary'!$C$14="Yes",IF(COUNTBLANK('Capacity summary'!$H82:$BG82)&lt;52,IF('Capacity summary'!N82&lt;&gt;"",$BI170*N170,0),N170*$BI170),N170*$BI170),0)</f>
        <v>0</v>
      </c>
      <c r="BR170" s="5">
        <f>IF($BI170&lt;&gt;"",IF('Capacity summary'!$C$14="Yes",IF(COUNTBLANK('Capacity summary'!$H82:$BG82)&lt;52,IF('Capacity summary'!O82&lt;&gt;"",$BI170*O170,0),O170*$BI170),O170*$BI170),0)</f>
        <v>0</v>
      </c>
      <c r="BS170" s="5">
        <f>IF($BI170&lt;&gt;"",IF('Capacity summary'!$C$14="Yes",IF(COUNTBLANK('Capacity summary'!$H82:$BG82)&lt;52,IF('Capacity summary'!P82&lt;&gt;"",$BI170*P170,0),P170*$BI170),P170*$BI170),0)</f>
        <v>0</v>
      </c>
      <c r="BT170" s="5">
        <f>IF($BI170&lt;&gt;"",IF('Capacity summary'!$C$14="Yes",IF(COUNTBLANK('Capacity summary'!$H82:$BG82)&lt;52,IF('Capacity summary'!Q82&lt;&gt;"",$BI170*Q170,0),Q170*$BI170),Q170*$BI170),0)</f>
        <v>0</v>
      </c>
      <c r="BU170" s="5">
        <f>IF($BI170&lt;&gt;"",IF('Capacity summary'!$C$14="Yes",IF(COUNTBLANK('Capacity summary'!$H82:$BG82)&lt;52,IF('Capacity summary'!R82&lt;&gt;"",$BI170*R170,0),R170*$BI170),R170*$BI170),0)</f>
        <v>0</v>
      </c>
      <c r="BV170" s="5">
        <f>IF($BI170&lt;&gt;"",IF('Capacity summary'!$C$14="Yes",IF(COUNTBLANK('Capacity summary'!$H82:$BG82)&lt;52,IF('Capacity summary'!S82&lt;&gt;"",$BI170*S170,0),S170*$BI170),S170*$BI170),0)</f>
        <v>0</v>
      </c>
      <c r="BW170" s="5">
        <f>IF($BI170&lt;&gt;"",IF('Capacity summary'!$C$14="Yes",IF(COUNTBLANK('Capacity summary'!$H82:$BG82)&lt;52,IF('Capacity summary'!T82&lt;&gt;"",$BI170*T170,0),T170*$BI170),T170*$BI170),0)</f>
        <v>0</v>
      </c>
      <c r="BX170" s="5">
        <f>IF($BI170&lt;&gt;"",IF('Capacity summary'!$C$14="Yes",IF(COUNTBLANK('Capacity summary'!$H82:$BG82)&lt;52,IF('Capacity summary'!U82&lt;&gt;"",$BI170*U170,0),U170*$BI170),U170*$BI170),0)</f>
        <v>0</v>
      </c>
      <c r="BY170" s="5">
        <f>IF($BI170&lt;&gt;"",IF('Capacity summary'!$C$14="Yes",IF(COUNTBLANK('Capacity summary'!$H82:$BG82)&lt;52,IF('Capacity summary'!V82&lt;&gt;"",$BI170*V170,0),V170*$BI170),V170*$BI170),0)</f>
        <v>0</v>
      </c>
      <c r="BZ170" s="5">
        <f>IF($BI170&lt;&gt;"",IF('Capacity summary'!$C$14="Yes",IF(COUNTBLANK('Capacity summary'!$H82:$BG82)&lt;52,IF('Capacity summary'!W82&lt;&gt;"",$BI170*W170,0),W170*$BI170),W170*$BI170),0)</f>
        <v>0</v>
      </c>
      <c r="CA170" s="5">
        <f>IF($BI170&lt;&gt;"",IF('Capacity summary'!$C$14="Yes",IF(COUNTBLANK('Capacity summary'!$H82:$BG82)&lt;52,IF('Capacity summary'!X82&lt;&gt;"",$BI170*X170,0),X170*$BI170),X170*$BI170),0)</f>
        <v>0</v>
      </c>
      <c r="CB170" s="5">
        <f>IF($BI170&lt;&gt;"",IF('Capacity summary'!$C$14="Yes",IF(COUNTBLANK('Capacity summary'!$H82:$BG82)&lt;52,IF('Capacity summary'!Y82&lt;&gt;"",$BI170*Y170,0),Y170*$BI170),Y170*$BI170),0)</f>
        <v>0</v>
      </c>
      <c r="CC170" s="5">
        <f>IF($BI170&lt;&gt;"",IF('Capacity summary'!$C$14="Yes",IF(COUNTBLANK('Capacity summary'!$H82:$BG82)&lt;52,IF('Capacity summary'!Z82&lt;&gt;"",$BI170*Z170,0),Z170*$BI170),Z170*$BI170),0)</f>
        <v>0</v>
      </c>
      <c r="CD170" s="5">
        <f>IF($BI170&lt;&gt;"",IF('Capacity summary'!$C$14="Yes",IF(COUNTBLANK('Capacity summary'!$H82:$BG82)&lt;52,IF('Capacity summary'!AA82&lt;&gt;"",$BI170*AA170,0),AA170*$BI170),AA170*$BI170),0)</f>
        <v>0</v>
      </c>
      <c r="CE170" s="5">
        <f>IF($BI170&lt;&gt;"",IF('Capacity summary'!$C$14="Yes",IF(COUNTBLANK('Capacity summary'!$H82:$BG82)&lt;52,IF('Capacity summary'!AB82&lt;&gt;"",$BI170*AB170,0),AB170*$BI170),AB170*$BI170),0)</f>
        <v>0</v>
      </c>
      <c r="CF170" s="5">
        <f>IF($BI170&lt;&gt;"",IF('Capacity summary'!$C$14="Yes",IF(COUNTBLANK('Capacity summary'!$H82:$BG82)&lt;52,IF('Capacity summary'!AC82&lt;&gt;"",$BI170*AC170,0),AC170*$BI170),AC170*$BI170),0)</f>
        <v>0</v>
      </c>
      <c r="CG170" s="5">
        <f>IF($BI170&lt;&gt;"",IF('Capacity summary'!$C$14="Yes",IF(COUNTBLANK('Capacity summary'!$H82:$BG82)&lt;52,IF('Capacity summary'!AD82&lt;&gt;"",$BI170*AD170,0),AD170*$BI170),AD170*$BI170),0)</f>
        <v>0</v>
      </c>
      <c r="CH170" s="5">
        <f>IF($BI170&lt;&gt;"",IF('Capacity summary'!$C$14="Yes",IF(COUNTBLANK('Capacity summary'!$H82:$BG82)&lt;52,IF('Capacity summary'!AE82&lt;&gt;"",$BI170*AE170,0),AE170*$BI170),AE170*$BI170),0)</f>
        <v>0</v>
      </c>
      <c r="CI170" s="5">
        <f>IF($BI170&lt;&gt;"",IF('Capacity summary'!$C$14="Yes",IF(COUNTBLANK('Capacity summary'!$H82:$BG82)&lt;52,IF('Capacity summary'!AF82&lt;&gt;"",$BI170*AF170,0),AF170*$BI170),AF170*$BI170),0)</f>
        <v>0</v>
      </c>
      <c r="CJ170" s="5">
        <f>IF($BI170&lt;&gt;"",IF('Capacity summary'!$C$14="Yes",IF(COUNTBLANK('Capacity summary'!$H82:$BG82)&lt;52,IF('Capacity summary'!AG82&lt;&gt;"",$BI170*AG170,0),AG170*$BI170),AG170*$BI170),0)</f>
        <v>0</v>
      </c>
      <c r="CK170" s="5">
        <f>IF($BI170&lt;&gt;"",IF('Capacity summary'!$C$14="Yes",IF(COUNTBLANK('Capacity summary'!$H82:$BG82)&lt;52,IF('Capacity summary'!AH82&lt;&gt;"",$BI170*AH170,0),AH170*$BI170),AH170*$BI170),0)</f>
        <v>0</v>
      </c>
      <c r="CL170" s="5">
        <f>IF($BI170&lt;&gt;"",IF('Capacity summary'!$C$14="Yes",IF(COUNTBLANK('Capacity summary'!$H82:$BG82)&lt;52,IF('Capacity summary'!AI82&lt;&gt;"",$BI170*AI170,0),AI170*$BI170),AI170*$BI170),0)</f>
        <v>0</v>
      </c>
      <c r="CM170" s="5">
        <f>IF($BI170&lt;&gt;"",IF('Capacity summary'!$C$14="Yes",IF(COUNTBLANK('Capacity summary'!$H82:$BG82)&lt;52,IF('Capacity summary'!AJ82&lt;&gt;"",$BI170*AJ170,0),AJ170*$BI170),AJ170*$BI170),0)</f>
        <v>0</v>
      </c>
      <c r="CN170" s="5">
        <f>IF($BI170&lt;&gt;"",IF('Capacity summary'!$C$14="Yes",IF(COUNTBLANK('Capacity summary'!$H82:$BG82)&lt;52,IF('Capacity summary'!AK82&lt;&gt;"",$BI170*AK170,0),AK170*$BI170),AK170*$BI170),0)</f>
        <v>0</v>
      </c>
      <c r="CO170" s="5">
        <f>IF($BI170&lt;&gt;"",IF('Capacity summary'!$C$14="Yes",IF(COUNTBLANK('Capacity summary'!$H82:$BG82)&lt;52,IF('Capacity summary'!AL82&lt;&gt;"",$BI170*AL170,0),AL170*$BI170),AL170*$BI170),0)</f>
        <v>0</v>
      </c>
      <c r="CP170" s="5">
        <f>IF($BI170&lt;&gt;"",IF('Capacity summary'!$C$14="Yes",IF(COUNTBLANK('Capacity summary'!$H82:$BG82)&lt;52,IF('Capacity summary'!AM82&lt;&gt;"",$BI170*AM170,0),AM170*$BI170),AM170*$BI170),0)</f>
        <v>0</v>
      </c>
      <c r="CQ170" s="5">
        <f>IF($BI170&lt;&gt;"",IF('Capacity summary'!$C$14="Yes",IF(COUNTBLANK('Capacity summary'!$H82:$BG82)&lt;52,IF('Capacity summary'!AN82&lt;&gt;"",$BI170*AN170,0),AN170*$BI170),AN170*$BI170),0)</f>
        <v>0</v>
      </c>
      <c r="CR170" s="5">
        <f>IF($BI170&lt;&gt;"",IF('Capacity summary'!$C$14="Yes",IF(COUNTBLANK('Capacity summary'!$H82:$BG82)&lt;52,IF('Capacity summary'!AO82&lt;&gt;"",$BI170*AO170,0),AO170*$BI170),AO170*$BI170),0)</f>
        <v>0</v>
      </c>
      <c r="CS170" s="5">
        <f>IF($BI170&lt;&gt;"",IF('Capacity summary'!$C$14="Yes",IF(COUNTBLANK('Capacity summary'!$H82:$BG82)&lt;52,IF('Capacity summary'!AP82&lt;&gt;"",$BI170*AP170,0),AP170*$BI170),AP170*$BI170),0)</f>
        <v>0</v>
      </c>
      <c r="CT170" s="5">
        <f>IF($BI170&lt;&gt;"",IF('Capacity summary'!$C$14="Yes",IF(COUNTBLANK('Capacity summary'!$H82:$BG82)&lt;52,IF('Capacity summary'!AQ82&lt;&gt;"",$BI170*AQ170,0),AQ170*$BI170),AQ170*$BI170),0)</f>
        <v>0</v>
      </c>
      <c r="CU170" s="5">
        <f>IF($BI170&lt;&gt;"",IF('Capacity summary'!$C$14="Yes",IF(COUNTBLANK('Capacity summary'!$H82:$BG82)&lt;52,IF('Capacity summary'!AR82&lt;&gt;"",$BI170*AR170,0),AR170*$BI170),AR170*$BI170),0)</f>
        <v>0</v>
      </c>
      <c r="CV170" s="5">
        <f>IF($BI170&lt;&gt;"",IF('Capacity summary'!$C$14="Yes",IF(COUNTBLANK('Capacity summary'!$H82:$BG82)&lt;52,IF('Capacity summary'!AS82&lt;&gt;"",$BI170*AS170,0),AS170*$BI170),AS170*$BI170),0)</f>
        <v>0</v>
      </c>
      <c r="CW170" s="5">
        <f>IF($BI170&lt;&gt;"",IF('Capacity summary'!$C$14="Yes",IF(COUNTBLANK('Capacity summary'!$H82:$BG82)&lt;52,IF('Capacity summary'!AT82&lt;&gt;"",$BI170*AT170,0),AT170*$BI170),AT170*$BI170),0)</f>
        <v>0</v>
      </c>
      <c r="CX170" s="5">
        <f>IF($BI170&lt;&gt;"",IF('Capacity summary'!$C$14="Yes",IF(COUNTBLANK('Capacity summary'!$H82:$BG82)&lt;52,IF('Capacity summary'!AU82&lt;&gt;"",$BI170*AU170,0),AU170*$BI170),AU170*$BI170),0)</f>
        <v>0</v>
      </c>
      <c r="CY170" s="5">
        <f>IF($BI170&lt;&gt;"",IF('Capacity summary'!$C$14="Yes",IF(COUNTBLANK('Capacity summary'!$H82:$BG82)&lt;52,IF('Capacity summary'!AV82&lt;&gt;"",$BI170*AV170,0),AV170*$BI170),AV170*$BI170),0)</f>
        <v>0</v>
      </c>
      <c r="CZ170" s="5">
        <f>IF($BI170&lt;&gt;"",IF('Capacity summary'!$C$14="Yes",IF(COUNTBLANK('Capacity summary'!$H82:$BG82)&lt;52,IF('Capacity summary'!AW82&lt;&gt;"",$BI170*AW170,0),AW170*$BI170),AW170*$BI170),0)</f>
        <v>0</v>
      </c>
      <c r="DA170" s="5">
        <f>IF($BI170&lt;&gt;"",IF('Capacity summary'!$C$14="Yes",IF(COUNTBLANK('Capacity summary'!$H82:$BG82)&lt;52,IF('Capacity summary'!AX82&lt;&gt;"",$BI170*AX170,0),AX170*$BI170),AX170*$BI170),0)</f>
        <v>0</v>
      </c>
      <c r="DB170" s="5">
        <f>IF($BI170&lt;&gt;"",IF('Capacity summary'!$C$14="Yes",IF(COUNTBLANK('Capacity summary'!$H82:$BG82)&lt;52,IF('Capacity summary'!AY82&lt;&gt;"",$BI170*AY170,0),AY170*$BI170),AY170*$BI170),0)</f>
        <v>0</v>
      </c>
      <c r="DC170" s="5">
        <f>IF($BI170&lt;&gt;"",IF('Capacity summary'!$C$14="Yes",IF(COUNTBLANK('Capacity summary'!$H82:$BG82)&lt;52,IF('Capacity summary'!AZ82&lt;&gt;"",$BI170*AZ170,0),AZ170*$BI170),AZ170*$BI170),0)</f>
        <v>0</v>
      </c>
      <c r="DD170" s="5">
        <f>IF($BI170&lt;&gt;"",IF('Capacity summary'!$C$14="Yes",IF(COUNTBLANK('Capacity summary'!$H82:$BG82)&lt;52,IF('Capacity summary'!BA82&lt;&gt;"",$BI170*BA170,0),BA170*$BI170),BA170*$BI170),0)</f>
        <v>0</v>
      </c>
      <c r="DE170" s="5">
        <f>IF($BI170&lt;&gt;"",IF('Capacity summary'!$C$14="Yes",IF(COUNTBLANK('Capacity summary'!$H82:$BG82)&lt;52,IF('Capacity summary'!BB82&lt;&gt;"",$BI170*BB170,0),BB170*$BI170),BB170*$BI170),0)</f>
        <v>0</v>
      </c>
      <c r="DF170" s="5">
        <f>IF($BI170&lt;&gt;"",IF('Capacity summary'!$C$14="Yes",IF(COUNTBLANK('Capacity summary'!$H82:$BG82)&lt;52,IF('Capacity summary'!BC82&lt;&gt;"",$BI170*BC170,0),BC170*$BI170),BC170*$BI170),0)</f>
        <v>0</v>
      </c>
      <c r="DG170" s="5">
        <f>IF($BI170&lt;&gt;"",IF('Capacity summary'!$C$14="Yes",IF(COUNTBLANK('Capacity summary'!$H82:$BG82)&lt;52,IF('Capacity summary'!BD82&lt;&gt;"",$BI170*BD170,0),BD170*$BI170),BD170*$BI170),0)</f>
        <v>0</v>
      </c>
      <c r="DH170" s="5">
        <f>IF($BI170&lt;&gt;"",IF('Capacity summary'!$C$14="Yes",IF(COUNTBLANK('Capacity summary'!$H82:$BG82)&lt;52,IF('Capacity summary'!BE82&lt;&gt;"",$BI170*BE170,0),BE170*$BI170),BE170*$BI170),0)</f>
        <v>0</v>
      </c>
      <c r="DI170" s="5">
        <f>IF($BI170&lt;&gt;"",IF('Capacity summary'!$C$14="Yes",IF(COUNTBLANK('Capacity summary'!$H82:$BG82)&lt;52,IF('Capacity summary'!BF82&lt;&gt;"",$BI170*BF170,0),BF170*$BI170),BF170*$BI170),0)</f>
        <v>0</v>
      </c>
      <c r="DJ170" s="5">
        <f>IF($BI170&lt;&gt;"",IF('Capacity summary'!$C$14="Yes",IF(COUNTBLANK('Capacity summary'!$H82:$BG82)&lt;52,IF('Capacity summary'!BG82&lt;&gt;"",$BI170*BG170,0),BG170*$BI170),BG170*$BI170),0)</f>
        <v>0</v>
      </c>
      <c r="DK170" s="138">
        <f t="shared" si="6"/>
        <v>0</v>
      </c>
    </row>
    <row r="171" spans="3:115" x14ac:dyDescent="0.2">
      <c r="C171" s="68" t="str">
        <f>ROW(A60)&amp;". "&amp;Capacity!N76</f>
        <v xml:space="preserve">60. </v>
      </c>
      <c r="D171" s="68">
        <f>'Capacity setup'!C177</f>
        <v>0</v>
      </c>
      <c r="E171" s="68">
        <f>'Capacity setup'!D177</f>
        <v>0</v>
      </c>
      <c r="F171" s="68">
        <f>'Capacity setup'!E177</f>
        <v>0</v>
      </c>
      <c r="H171" s="68">
        <f ca="1">IF(AND(SUMIF(Capacity_Resource,$D171,'Critical resources (hide)'!U$6:U$105)+SUMIF(Capacity_Resource,$E171,'Critical resources (hide)'!U$6:U$105)+SUMIF(Capacity_Resource,$F171,'Critical resources (hide)'!U$6:U$105)&gt;0,$E$1=2),0,1)</f>
        <v>1</v>
      </c>
      <c r="I171" s="68">
        <f ca="1">IF(AND(SUMIF(Capacity_Resource,$D171,'Critical resources (hide)'!V$6:V$105)+SUMIF(Capacity_Resource,$E171,'Critical resources (hide)'!V$6:V$105)+SUMIF(Capacity_Resource,$F171,'Critical resources (hide)'!V$6:V$105)&gt;0,$E$1=2),0,1)</f>
        <v>1</v>
      </c>
      <c r="J171" s="68">
        <f ca="1">IF(AND(SUMIF(Capacity_Resource,$D171,'Critical resources (hide)'!W$6:W$105)+SUMIF(Capacity_Resource,$E171,'Critical resources (hide)'!W$6:W$105)+SUMIF(Capacity_Resource,$F171,'Critical resources (hide)'!W$6:W$105)&gt;0,$E$1=2),0,1)</f>
        <v>1</v>
      </c>
      <c r="K171" s="68">
        <f ca="1">IF(AND(SUMIF(Capacity_Resource,$D171,'Critical resources (hide)'!X$6:X$105)+SUMIF(Capacity_Resource,$E171,'Critical resources (hide)'!X$6:X$105)+SUMIF(Capacity_Resource,$F171,'Critical resources (hide)'!X$6:X$105)&gt;0,$E$1=2),0,1)</f>
        <v>1</v>
      </c>
      <c r="L171" s="68">
        <f ca="1">IF(AND(SUMIF(Capacity_Resource,$D171,'Critical resources (hide)'!Y$6:Y$105)+SUMIF(Capacity_Resource,$E171,'Critical resources (hide)'!Y$6:Y$105)+SUMIF(Capacity_Resource,$F171,'Critical resources (hide)'!Y$6:Y$105)&gt;0,$E$1=2),0,1)</f>
        <v>1</v>
      </c>
      <c r="M171" s="68">
        <f ca="1">IF(AND(SUMIF(Capacity_Resource,$D171,'Critical resources (hide)'!Z$6:Z$105)+SUMIF(Capacity_Resource,$E171,'Critical resources (hide)'!Z$6:Z$105)+SUMIF(Capacity_Resource,$F171,'Critical resources (hide)'!Z$6:Z$105)&gt;0,$E$1=2),0,1)</f>
        <v>1</v>
      </c>
      <c r="N171" s="68">
        <f ca="1">IF(AND(SUMIF(Capacity_Resource,$D171,'Critical resources (hide)'!AA$6:AA$105)+SUMIF(Capacity_Resource,$E171,'Critical resources (hide)'!AA$6:AA$105)+SUMIF(Capacity_Resource,$F171,'Critical resources (hide)'!AA$6:AA$105)&gt;0,$E$1=2),0,1)</f>
        <v>1</v>
      </c>
      <c r="O171" s="68">
        <f ca="1">IF(AND(SUMIF(Capacity_Resource,$D171,'Critical resources (hide)'!AB$6:AB$105)+SUMIF(Capacity_Resource,$E171,'Critical resources (hide)'!AB$6:AB$105)+SUMIF(Capacity_Resource,$F171,'Critical resources (hide)'!AB$6:AB$105)&gt;0,$E$1=2),0,1)</f>
        <v>1</v>
      </c>
      <c r="P171" s="68">
        <f ca="1">IF(AND(SUMIF(Capacity_Resource,$D171,'Critical resources (hide)'!AC$6:AC$105)+SUMIF(Capacity_Resource,$E171,'Critical resources (hide)'!AC$6:AC$105)+SUMIF(Capacity_Resource,$F171,'Critical resources (hide)'!AC$6:AC$105)&gt;0,$E$1=2),0,1)</f>
        <v>1</v>
      </c>
      <c r="Q171" s="68">
        <f ca="1">IF(AND(SUMIF(Capacity_Resource,$D171,'Critical resources (hide)'!AD$6:AD$105)+SUMIF(Capacity_Resource,$E171,'Critical resources (hide)'!AD$6:AD$105)+SUMIF(Capacity_Resource,$F171,'Critical resources (hide)'!AD$6:AD$105)&gt;0,$E$1=2),0,1)</f>
        <v>1</v>
      </c>
      <c r="R171" s="68">
        <f ca="1">IF(AND(SUMIF(Capacity_Resource,$D171,'Critical resources (hide)'!AE$6:AE$105)+SUMIF(Capacity_Resource,$E171,'Critical resources (hide)'!AE$6:AE$105)+SUMIF(Capacity_Resource,$F171,'Critical resources (hide)'!AE$6:AE$105)&gt;0,$E$1=2),0,1)</f>
        <v>1</v>
      </c>
      <c r="S171" s="68">
        <f ca="1">IF(AND(SUMIF(Capacity_Resource,$D171,'Critical resources (hide)'!AF$6:AF$105)+SUMIF(Capacity_Resource,$E171,'Critical resources (hide)'!AF$6:AF$105)+SUMIF(Capacity_Resource,$F171,'Critical resources (hide)'!AF$6:AF$105)&gt;0,$E$1=2),0,1)</f>
        <v>1</v>
      </c>
      <c r="T171" s="68">
        <f ca="1">IF(AND(SUMIF(Capacity_Resource,$D171,'Critical resources (hide)'!AG$6:AG$105)+SUMIF(Capacity_Resource,$E171,'Critical resources (hide)'!AG$6:AG$105)+SUMIF(Capacity_Resource,$F171,'Critical resources (hide)'!AG$6:AG$105)&gt;0,$E$1=2),0,1)</f>
        <v>1</v>
      </c>
      <c r="U171" s="68">
        <f ca="1">IF(AND(SUMIF(Capacity_Resource,$D171,'Critical resources (hide)'!AH$6:AH$105)+SUMIF(Capacity_Resource,$E171,'Critical resources (hide)'!AH$6:AH$105)+SUMIF(Capacity_Resource,$F171,'Critical resources (hide)'!AH$6:AH$105)&gt;0,$E$1=2),0,1)</f>
        <v>1</v>
      </c>
      <c r="V171" s="68">
        <f ca="1">IF(AND(SUMIF(Capacity_Resource,$D171,'Critical resources (hide)'!AI$6:AI$105)+SUMIF(Capacity_Resource,$E171,'Critical resources (hide)'!AI$6:AI$105)+SUMIF(Capacity_Resource,$F171,'Critical resources (hide)'!AI$6:AI$105)&gt;0,$E$1=2),0,1)</f>
        <v>1</v>
      </c>
      <c r="W171" s="68">
        <f ca="1">IF(AND(SUMIF(Capacity_Resource,$D171,'Critical resources (hide)'!AJ$6:AJ$105)+SUMIF(Capacity_Resource,$E171,'Critical resources (hide)'!AJ$6:AJ$105)+SUMIF(Capacity_Resource,$F171,'Critical resources (hide)'!AJ$6:AJ$105)&gt;0,$E$1=2),0,1)</f>
        <v>1</v>
      </c>
      <c r="X171" s="68">
        <f ca="1">IF(AND(SUMIF(Capacity_Resource,$D171,'Critical resources (hide)'!AK$6:AK$105)+SUMIF(Capacity_Resource,$E171,'Critical resources (hide)'!AK$6:AK$105)+SUMIF(Capacity_Resource,$F171,'Critical resources (hide)'!AK$6:AK$105)&gt;0,$E$1=2),0,1)</f>
        <v>1</v>
      </c>
      <c r="Y171" s="68">
        <f ca="1">IF(AND(SUMIF(Capacity_Resource,$D171,'Critical resources (hide)'!AL$6:AL$105)+SUMIF(Capacity_Resource,$E171,'Critical resources (hide)'!AL$6:AL$105)+SUMIF(Capacity_Resource,$F171,'Critical resources (hide)'!AL$6:AL$105)&gt;0,$E$1=2),0,1)</f>
        <v>1</v>
      </c>
      <c r="Z171" s="68">
        <f ca="1">IF(AND(SUMIF(Capacity_Resource,$D171,'Critical resources (hide)'!AM$6:AM$105)+SUMIF(Capacity_Resource,$E171,'Critical resources (hide)'!AM$6:AM$105)+SUMIF(Capacity_Resource,$F171,'Critical resources (hide)'!AM$6:AM$105)&gt;0,$E$1=2),0,1)</f>
        <v>1</v>
      </c>
      <c r="AA171" s="68">
        <f ca="1">IF(AND(SUMIF(Capacity_Resource,$D171,'Critical resources (hide)'!AN$6:AN$105)+SUMIF(Capacity_Resource,$E171,'Critical resources (hide)'!AN$6:AN$105)+SUMIF(Capacity_Resource,$F171,'Critical resources (hide)'!AN$6:AN$105)&gt;0,$E$1=2),0,1)</f>
        <v>1</v>
      </c>
      <c r="AB171" s="68">
        <f ca="1">IF(AND(SUMIF(Capacity_Resource,$D171,'Critical resources (hide)'!AO$6:AO$105)+SUMIF(Capacity_Resource,$E171,'Critical resources (hide)'!AO$6:AO$105)+SUMIF(Capacity_Resource,$F171,'Critical resources (hide)'!AO$6:AO$105)&gt;0,$E$1=2),0,1)</f>
        <v>1</v>
      </c>
      <c r="AC171" s="68">
        <f ca="1">IF(AND(SUMIF(Capacity_Resource,$D171,'Critical resources (hide)'!AP$6:AP$105)+SUMIF(Capacity_Resource,$E171,'Critical resources (hide)'!AP$6:AP$105)+SUMIF(Capacity_Resource,$F171,'Critical resources (hide)'!AP$6:AP$105)&gt;0,$E$1=2),0,1)</f>
        <v>1</v>
      </c>
      <c r="AD171" s="68">
        <f ca="1">IF(AND(SUMIF(Capacity_Resource,$D171,'Critical resources (hide)'!AQ$6:AQ$105)+SUMIF(Capacity_Resource,$E171,'Critical resources (hide)'!AQ$6:AQ$105)+SUMIF(Capacity_Resource,$F171,'Critical resources (hide)'!AQ$6:AQ$105)&gt;0,$E$1=2),0,1)</f>
        <v>1</v>
      </c>
      <c r="AE171" s="68">
        <f ca="1">IF(AND(SUMIF(Capacity_Resource,$D171,'Critical resources (hide)'!AR$6:AR$105)+SUMIF(Capacity_Resource,$E171,'Critical resources (hide)'!AR$6:AR$105)+SUMIF(Capacity_Resource,$F171,'Critical resources (hide)'!AR$6:AR$105)&gt;0,$E$1=2),0,1)</f>
        <v>1</v>
      </c>
      <c r="AF171" s="68">
        <f ca="1">IF(AND(SUMIF(Capacity_Resource,$D171,'Critical resources (hide)'!AS$6:AS$105)+SUMIF(Capacity_Resource,$E171,'Critical resources (hide)'!AS$6:AS$105)+SUMIF(Capacity_Resource,$F171,'Critical resources (hide)'!AS$6:AS$105)&gt;0,$E$1=2),0,1)</f>
        <v>1</v>
      </c>
      <c r="AG171" s="68">
        <f ca="1">IF(AND(SUMIF(Capacity_Resource,$D171,'Critical resources (hide)'!AT$6:AT$105)+SUMIF(Capacity_Resource,$E171,'Critical resources (hide)'!AT$6:AT$105)+SUMIF(Capacity_Resource,$F171,'Critical resources (hide)'!AT$6:AT$105)&gt;0,$E$1=2),0,1)</f>
        <v>1</v>
      </c>
      <c r="AH171" s="68">
        <f ca="1">IF(AND(SUMIF(Capacity_Resource,$D171,'Critical resources (hide)'!AU$6:AU$105)+SUMIF(Capacity_Resource,$E171,'Critical resources (hide)'!AU$6:AU$105)+SUMIF(Capacity_Resource,$F171,'Critical resources (hide)'!AU$6:AU$105)&gt;0,$E$1=2),0,1)</f>
        <v>1</v>
      </c>
      <c r="AI171" s="68">
        <f ca="1">IF(AND(SUMIF(Capacity_Resource,$D171,'Critical resources (hide)'!AV$6:AV$105)+SUMIF(Capacity_Resource,$E171,'Critical resources (hide)'!AV$6:AV$105)+SUMIF(Capacity_Resource,$F171,'Critical resources (hide)'!AV$6:AV$105)&gt;0,$E$1=2),0,1)</f>
        <v>1</v>
      </c>
      <c r="AJ171" s="68">
        <f ca="1">IF(AND(SUMIF(Capacity_Resource,$D171,'Critical resources (hide)'!AW$6:AW$105)+SUMIF(Capacity_Resource,$E171,'Critical resources (hide)'!AW$6:AW$105)+SUMIF(Capacity_Resource,$F171,'Critical resources (hide)'!AW$6:AW$105)&gt;0,$E$1=2),0,1)</f>
        <v>1</v>
      </c>
      <c r="AK171" s="68">
        <f ca="1">IF(AND(SUMIF(Capacity_Resource,$D171,'Critical resources (hide)'!AX$6:AX$105)+SUMIF(Capacity_Resource,$E171,'Critical resources (hide)'!AX$6:AX$105)+SUMIF(Capacity_Resource,$F171,'Critical resources (hide)'!AX$6:AX$105)&gt;0,$E$1=2),0,1)</f>
        <v>1</v>
      </c>
      <c r="AL171" s="68">
        <f ca="1">IF(AND(SUMIF(Capacity_Resource,$D171,'Critical resources (hide)'!AY$6:AY$105)+SUMIF(Capacity_Resource,$E171,'Critical resources (hide)'!AY$6:AY$105)+SUMIF(Capacity_Resource,$F171,'Critical resources (hide)'!AY$6:AY$105)&gt;0,$E$1=2),0,1)</f>
        <v>1</v>
      </c>
      <c r="AM171" s="68">
        <f ca="1">IF(AND(SUMIF(Capacity_Resource,$D171,'Critical resources (hide)'!AZ$6:AZ$105)+SUMIF(Capacity_Resource,$E171,'Critical resources (hide)'!AZ$6:AZ$105)+SUMIF(Capacity_Resource,$F171,'Critical resources (hide)'!AZ$6:AZ$105)&gt;0,$E$1=2),0,1)</f>
        <v>1</v>
      </c>
      <c r="AN171" s="68">
        <f ca="1">IF(AND(SUMIF(Capacity_Resource,$D171,'Critical resources (hide)'!BA$6:BA$105)+SUMIF(Capacity_Resource,$E171,'Critical resources (hide)'!BA$6:BA$105)+SUMIF(Capacity_Resource,$F171,'Critical resources (hide)'!BA$6:BA$105)&gt;0,$E$1=2),0,1)</f>
        <v>1</v>
      </c>
      <c r="AO171" s="68">
        <f ca="1">IF(AND(SUMIF(Capacity_Resource,$D171,'Critical resources (hide)'!BB$6:BB$105)+SUMIF(Capacity_Resource,$E171,'Critical resources (hide)'!BB$6:BB$105)+SUMIF(Capacity_Resource,$F171,'Critical resources (hide)'!BB$6:BB$105)&gt;0,$E$1=2),0,1)</f>
        <v>1</v>
      </c>
      <c r="AP171" s="68">
        <f ca="1">IF(AND(SUMIF(Capacity_Resource,$D171,'Critical resources (hide)'!BC$6:BC$105)+SUMIF(Capacity_Resource,$E171,'Critical resources (hide)'!BC$6:BC$105)+SUMIF(Capacity_Resource,$F171,'Critical resources (hide)'!BC$6:BC$105)&gt;0,$E$1=2),0,1)</f>
        <v>1</v>
      </c>
      <c r="AQ171" s="68">
        <f ca="1">IF(AND(SUMIF(Capacity_Resource,$D171,'Critical resources (hide)'!BD$6:BD$105)+SUMIF(Capacity_Resource,$E171,'Critical resources (hide)'!BD$6:BD$105)+SUMIF(Capacity_Resource,$F171,'Critical resources (hide)'!BD$6:BD$105)&gt;0,$E$1=2),0,1)</f>
        <v>1</v>
      </c>
      <c r="AR171" s="68">
        <f ca="1">IF(AND(SUMIF(Capacity_Resource,$D171,'Critical resources (hide)'!BE$6:BE$105)+SUMIF(Capacity_Resource,$E171,'Critical resources (hide)'!BE$6:BE$105)+SUMIF(Capacity_Resource,$F171,'Critical resources (hide)'!BE$6:BE$105)&gt;0,$E$1=2),0,1)</f>
        <v>1</v>
      </c>
      <c r="AS171" s="68">
        <f ca="1">IF(AND(SUMIF(Capacity_Resource,$D171,'Critical resources (hide)'!BF$6:BF$105)+SUMIF(Capacity_Resource,$E171,'Critical resources (hide)'!BF$6:BF$105)+SUMIF(Capacity_Resource,$F171,'Critical resources (hide)'!BF$6:BF$105)&gt;0,$E$1=2),0,1)</f>
        <v>1</v>
      </c>
      <c r="AT171" s="68">
        <f ca="1">IF(AND(SUMIF(Capacity_Resource,$D171,'Critical resources (hide)'!BG$6:BG$105)+SUMIF(Capacity_Resource,$E171,'Critical resources (hide)'!BG$6:BG$105)+SUMIF(Capacity_Resource,$F171,'Critical resources (hide)'!BG$6:BG$105)&gt;0,$E$1=2),0,1)</f>
        <v>1</v>
      </c>
      <c r="AU171" s="68">
        <f ca="1">IF(AND(SUMIF(Capacity_Resource,$D171,'Critical resources (hide)'!BH$6:BH$105)+SUMIF(Capacity_Resource,$E171,'Critical resources (hide)'!BH$6:BH$105)+SUMIF(Capacity_Resource,$F171,'Critical resources (hide)'!BH$6:BH$105)&gt;0,$E$1=2),0,1)</f>
        <v>1</v>
      </c>
      <c r="AV171" s="68">
        <f ca="1">IF(AND(SUMIF(Capacity_Resource,$D171,'Critical resources (hide)'!BI$6:BI$105)+SUMIF(Capacity_Resource,$E171,'Critical resources (hide)'!BI$6:BI$105)+SUMIF(Capacity_Resource,$F171,'Critical resources (hide)'!BI$6:BI$105)&gt;0,$E$1=2),0,1)</f>
        <v>1</v>
      </c>
      <c r="AW171" s="68">
        <f ca="1">IF(AND(SUMIF(Capacity_Resource,$D171,'Critical resources (hide)'!BJ$6:BJ$105)+SUMIF(Capacity_Resource,$E171,'Critical resources (hide)'!BJ$6:BJ$105)+SUMIF(Capacity_Resource,$F171,'Critical resources (hide)'!BJ$6:BJ$105)&gt;0,$E$1=2),0,1)</f>
        <v>1</v>
      </c>
      <c r="AX171" s="68">
        <f ca="1">IF(AND(SUMIF(Capacity_Resource,$D171,'Critical resources (hide)'!BK$6:BK$105)+SUMIF(Capacity_Resource,$E171,'Critical resources (hide)'!BK$6:BK$105)+SUMIF(Capacity_Resource,$F171,'Critical resources (hide)'!BK$6:BK$105)&gt;0,$E$1=2),0,1)</f>
        <v>1</v>
      </c>
      <c r="AY171" s="68">
        <f ca="1">IF(AND(SUMIF(Capacity_Resource,$D171,'Critical resources (hide)'!BL$6:BL$105)+SUMIF(Capacity_Resource,$E171,'Critical resources (hide)'!BL$6:BL$105)+SUMIF(Capacity_Resource,$F171,'Critical resources (hide)'!BL$6:BL$105)&gt;0,$E$1=2),0,1)</f>
        <v>1</v>
      </c>
      <c r="AZ171" s="68">
        <f ca="1">IF(AND(SUMIF(Capacity_Resource,$D171,'Critical resources (hide)'!BM$6:BM$105)+SUMIF(Capacity_Resource,$E171,'Critical resources (hide)'!BM$6:BM$105)+SUMIF(Capacity_Resource,$F171,'Critical resources (hide)'!BM$6:BM$105)&gt;0,$E$1=2),0,1)</f>
        <v>1</v>
      </c>
      <c r="BA171" s="68">
        <f ca="1">IF(AND(SUMIF(Capacity_Resource,$D171,'Critical resources (hide)'!BN$6:BN$105)+SUMIF(Capacity_Resource,$E171,'Critical resources (hide)'!BN$6:BN$105)+SUMIF(Capacity_Resource,$F171,'Critical resources (hide)'!BN$6:BN$105)&gt;0,$E$1=2),0,1)</f>
        <v>1</v>
      </c>
      <c r="BB171" s="68">
        <f ca="1">IF(AND(SUMIF(Capacity_Resource,$D171,'Critical resources (hide)'!BO$6:BO$105)+SUMIF(Capacity_Resource,$E171,'Critical resources (hide)'!BO$6:BO$105)+SUMIF(Capacity_Resource,$F171,'Critical resources (hide)'!BO$6:BO$105)&gt;0,$E$1=2),0,1)</f>
        <v>1</v>
      </c>
      <c r="BC171" s="68">
        <f ca="1">IF(AND(SUMIF(Capacity_Resource,$D171,'Critical resources (hide)'!BP$6:BP$105)+SUMIF(Capacity_Resource,$E171,'Critical resources (hide)'!BP$6:BP$105)+SUMIF(Capacity_Resource,$F171,'Critical resources (hide)'!BP$6:BP$105)&gt;0,$E$1=2),0,1)</f>
        <v>1</v>
      </c>
      <c r="BD171" s="68">
        <f ca="1">IF(AND(SUMIF(Capacity_Resource,$D171,'Critical resources (hide)'!BQ$6:BQ$105)+SUMIF(Capacity_Resource,$E171,'Critical resources (hide)'!BQ$6:BQ$105)+SUMIF(Capacity_Resource,$F171,'Critical resources (hide)'!BQ$6:BQ$105)&gt;0,$E$1=2),0,1)</f>
        <v>1</v>
      </c>
      <c r="BE171" s="68">
        <f ca="1">IF(AND(SUMIF(Capacity_Resource,$D171,'Critical resources (hide)'!BR$6:BR$105)+SUMIF(Capacity_Resource,$E171,'Critical resources (hide)'!BR$6:BR$105)+SUMIF(Capacity_Resource,$F171,'Critical resources (hide)'!BR$6:BR$105)&gt;0,$E$1=2),0,1)</f>
        <v>1</v>
      </c>
      <c r="BF171" s="68">
        <f ca="1">IF(AND(SUMIF(Capacity_Resource,$D171,'Critical resources (hide)'!BS$6:BS$105)+SUMIF(Capacity_Resource,$E171,'Critical resources (hide)'!BS$6:BS$105)+SUMIF(Capacity_Resource,$F171,'Critical resources (hide)'!BS$6:BS$105)&gt;0,$E$1=2),0,1)</f>
        <v>1</v>
      </c>
      <c r="BG171" s="68">
        <f ca="1">IF(AND(SUMIF(Capacity_Resource,$D171,'Critical resources (hide)'!BT$6:BT$105)+SUMIF(Capacity_Resource,$E171,'Critical resources (hide)'!BT$6:BT$105)+SUMIF(Capacity_Resource,$F171,'Critical resources (hide)'!BT$6:BT$105)&gt;0,$E$1=2),0,1)</f>
        <v>1</v>
      </c>
      <c r="BH171" s="68">
        <f>IF(ROW(A60)&lt;=Capacity!$M$16,IF('Capacity summary'!$C$14="No",SUM(H171:BG171),'Capacity summary'!$E83),0)</f>
        <v>0</v>
      </c>
      <c r="BI171" s="68" t="str">
        <f>IF(BH171&gt;0,IF(BH171&lt;Capacity!Q76,Capacity!R76,Capacity!T76/'Capacity calculation (hide)'!BH171),"")</f>
        <v/>
      </c>
      <c r="BJ171" s="5"/>
      <c r="BK171" s="5">
        <f>IF($BI171&lt;&gt;"",IF('Capacity summary'!$C$14="Yes",IF(COUNTBLANK('Capacity summary'!$H83:$BG83)&lt;52,IF('Capacity summary'!H83&lt;&gt;"",$BI171*H171,0),H171*$BI171),H171*$BI171),0)</f>
        <v>0</v>
      </c>
      <c r="BL171" s="5">
        <f>IF($BI171&lt;&gt;"",IF('Capacity summary'!$C$14="Yes",IF(COUNTBLANK('Capacity summary'!$H83:$BG83)&lt;52,IF('Capacity summary'!I83&lt;&gt;"",$BI171*I171,0),I171*$BI171),I171*$BI171),0)</f>
        <v>0</v>
      </c>
      <c r="BM171" s="5">
        <f>IF($BI171&lt;&gt;"",IF('Capacity summary'!$C$14="Yes",IF(COUNTBLANK('Capacity summary'!$H83:$BG83)&lt;52,IF('Capacity summary'!J83&lt;&gt;"",$BI171*J171,0),J171*$BI171),J171*$BI171),0)</f>
        <v>0</v>
      </c>
      <c r="BN171" s="5">
        <f>IF($BI171&lt;&gt;"",IF('Capacity summary'!$C$14="Yes",IF(COUNTBLANK('Capacity summary'!$H83:$BG83)&lt;52,IF('Capacity summary'!K83&lt;&gt;"",$BI171*K171,0),K171*$BI171),K171*$BI171),0)</f>
        <v>0</v>
      </c>
      <c r="BO171" s="5">
        <f>IF($BI171&lt;&gt;"",IF('Capacity summary'!$C$14="Yes",IF(COUNTBLANK('Capacity summary'!$H83:$BG83)&lt;52,IF('Capacity summary'!L83&lt;&gt;"",$BI171*L171,0),L171*$BI171),L171*$BI171),0)</f>
        <v>0</v>
      </c>
      <c r="BP171" s="5">
        <f>IF($BI171&lt;&gt;"",IF('Capacity summary'!$C$14="Yes",IF(COUNTBLANK('Capacity summary'!$H83:$BG83)&lt;52,IF('Capacity summary'!M83&lt;&gt;"",$BI171*M171,0),M171*$BI171),M171*$BI171),0)</f>
        <v>0</v>
      </c>
      <c r="BQ171" s="5">
        <f>IF($BI171&lt;&gt;"",IF('Capacity summary'!$C$14="Yes",IF(COUNTBLANK('Capacity summary'!$H83:$BG83)&lt;52,IF('Capacity summary'!N83&lt;&gt;"",$BI171*N171,0),N171*$BI171),N171*$BI171),0)</f>
        <v>0</v>
      </c>
      <c r="BR171" s="5">
        <f>IF($BI171&lt;&gt;"",IF('Capacity summary'!$C$14="Yes",IF(COUNTBLANK('Capacity summary'!$H83:$BG83)&lt;52,IF('Capacity summary'!O83&lt;&gt;"",$BI171*O171,0),O171*$BI171),O171*$BI171),0)</f>
        <v>0</v>
      </c>
      <c r="BS171" s="5">
        <f>IF($BI171&lt;&gt;"",IF('Capacity summary'!$C$14="Yes",IF(COUNTBLANK('Capacity summary'!$H83:$BG83)&lt;52,IF('Capacity summary'!P83&lt;&gt;"",$BI171*P171,0),P171*$BI171),P171*$BI171),0)</f>
        <v>0</v>
      </c>
      <c r="BT171" s="5">
        <f>IF($BI171&lt;&gt;"",IF('Capacity summary'!$C$14="Yes",IF(COUNTBLANK('Capacity summary'!$H83:$BG83)&lt;52,IF('Capacity summary'!Q83&lt;&gt;"",$BI171*Q171,0),Q171*$BI171),Q171*$BI171),0)</f>
        <v>0</v>
      </c>
      <c r="BU171" s="5">
        <f>IF($BI171&lt;&gt;"",IF('Capacity summary'!$C$14="Yes",IF(COUNTBLANK('Capacity summary'!$H83:$BG83)&lt;52,IF('Capacity summary'!R83&lt;&gt;"",$BI171*R171,0),R171*$BI171),R171*$BI171),0)</f>
        <v>0</v>
      </c>
      <c r="BV171" s="5">
        <f>IF($BI171&lt;&gt;"",IF('Capacity summary'!$C$14="Yes",IF(COUNTBLANK('Capacity summary'!$H83:$BG83)&lt;52,IF('Capacity summary'!S83&lt;&gt;"",$BI171*S171,0),S171*$BI171),S171*$BI171),0)</f>
        <v>0</v>
      </c>
      <c r="BW171" s="5">
        <f>IF($BI171&lt;&gt;"",IF('Capacity summary'!$C$14="Yes",IF(COUNTBLANK('Capacity summary'!$H83:$BG83)&lt;52,IF('Capacity summary'!T83&lt;&gt;"",$BI171*T171,0),T171*$BI171),T171*$BI171),0)</f>
        <v>0</v>
      </c>
      <c r="BX171" s="5">
        <f>IF($BI171&lt;&gt;"",IF('Capacity summary'!$C$14="Yes",IF(COUNTBLANK('Capacity summary'!$H83:$BG83)&lt;52,IF('Capacity summary'!U83&lt;&gt;"",$BI171*U171,0),U171*$BI171),U171*$BI171),0)</f>
        <v>0</v>
      </c>
      <c r="BY171" s="5">
        <f>IF($BI171&lt;&gt;"",IF('Capacity summary'!$C$14="Yes",IF(COUNTBLANK('Capacity summary'!$H83:$BG83)&lt;52,IF('Capacity summary'!V83&lt;&gt;"",$BI171*V171,0),V171*$BI171),V171*$BI171),0)</f>
        <v>0</v>
      </c>
      <c r="BZ171" s="5">
        <f>IF($BI171&lt;&gt;"",IF('Capacity summary'!$C$14="Yes",IF(COUNTBLANK('Capacity summary'!$H83:$BG83)&lt;52,IF('Capacity summary'!W83&lt;&gt;"",$BI171*W171,0),W171*$BI171),W171*$BI171),0)</f>
        <v>0</v>
      </c>
      <c r="CA171" s="5">
        <f>IF($BI171&lt;&gt;"",IF('Capacity summary'!$C$14="Yes",IF(COUNTBLANK('Capacity summary'!$H83:$BG83)&lt;52,IF('Capacity summary'!X83&lt;&gt;"",$BI171*X171,0),X171*$BI171),X171*$BI171),0)</f>
        <v>0</v>
      </c>
      <c r="CB171" s="5">
        <f>IF($BI171&lt;&gt;"",IF('Capacity summary'!$C$14="Yes",IF(COUNTBLANK('Capacity summary'!$H83:$BG83)&lt;52,IF('Capacity summary'!Y83&lt;&gt;"",$BI171*Y171,0),Y171*$BI171),Y171*$BI171),0)</f>
        <v>0</v>
      </c>
      <c r="CC171" s="5">
        <f>IF($BI171&lt;&gt;"",IF('Capacity summary'!$C$14="Yes",IF(COUNTBLANK('Capacity summary'!$H83:$BG83)&lt;52,IF('Capacity summary'!Z83&lt;&gt;"",$BI171*Z171,0),Z171*$BI171),Z171*$BI171),0)</f>
        <v>0</v>
      </c>
      <c r="CD171" s="5">
        <f>IF($BI171&lt;&gt;"",IF('Capacity summary'!$C$14="Yes",IF(COUNTBLANK('Capacity summary'!$H83:$BG83)&lt;52,IF('Capacity summary'!AA83&lt;&gt;"",$BI171*AA171,0),AA171*$BI171),AA171*$BI171),0)</f>
        <v>0</v>
      </c>
      <c r="CE171" s="5">
        <f>IF($BI171&lt;&gt;"",IF('Capacity summary'!$C$14="Yes",IF(COUNTBLANK('Capacity summary'!$H83:$BG83)&lt;52,IF('Capacity summary'!AB83&lt;&gt;"",$BI171*AB171,0),AB171*$BI171),AB171*$BI171),0)</f>
        <v>0</v>
      </c>
      <c r="CF171" s="5">
        <f>IF($BI171&lt;&gt;"",IF('Capacity summary'!$C$14="Yes",IF(COUNTBLANK('Capacity summary'!$H83:$BG83)&lt;52,IF('Capacity summary'!AC83&lt;&gt;"",$BI171*AC171,0),AC171*$BI171),AC171*$BI171),0)</f>
        <v>0</v>
      </c>
      <c r="CG171" s="5">
        <f>IF($BI171&lt;&gt;"",IF('Capacity summary'!$C$14="Yes",IF(COUNTBLANK('Capacity summary'!$H83:$BG83)&lt;52,IF('Capacity summary'!AD83&lt;&gt;"",$BI171*AD171,0),AD171*$BI171),AD171*$BI171),0)</f>
        <v>0</v>
      </c>
      <c r="CH171" s="5">
        <f>IF($BI171&lt;&gt;"",IF('Capacity summary'!$C$14="Yes",IF(COUNTBLANK('Capacity summary'!$H83:$BG83)&lt;52,IF('Capacity summary'!AE83&lt;&gt;"",$BI171*AE171,0),AE171*$BI171),AE171*$BI171),0)</f>
        <v>0</v>
      </c>
      <c r="CI171" s="5">
        <f>IF($BI171&lt;&gt;"",IF('Capacity summary'!$C$14="Yes",IF(COUNTBLANK('Capacity summary'!$H83:$BG83)&lt;52,IF('Capacity summary'!AF83&lt;&gt;"",$BI171*AF171,0),AF171*$BI171),AF171*$BI171),0)</f>
        <v>0</v>
      </c>
      <c r="CJ171" s="5">
        <f>IF($BI171&lt;&gt;"",IF('Capacity summary'!$C$14="Yes",IF(COUNTBLANK('Capacity summary'!$H83:$BG83)&lt;52,IF('Capacity summary'!AG83&lt;&gt;"",$BI171*AG171,0),AG171*$BI171),AG171*$BI171),0)</f>
        <v>0</v>
      </c>
      <c r="CK171" s="5">
        <f>IF($BI171&lt;&gt;"",IF('Capacity summary'!$C$14="Yes",IF(COUNTBLANK('Capacity summary'!$H83:$BG83)&lt;52,IF('Capacity summary'!AH83&lt;&gt;"",$BI171*AH171,0),AH171*$BI171),AH171*$BI171),0)</f>
        <v>0</v>
      </c>
      <c r="CL171" s="5">
        <f>IF($BI171&lt;&gt;"",IF('Capacity summary'!$C$14="Yes",IF(COUNTBLANK('Capacity summary'!$H83:$BG83)&lt;52,IF('Capacity summary'!AI83&lt;&gt;"",$BI171*AI171,0),AI171*$BI171),AI171*$BI171),0)</f>
        <v>0</v>
      </c>
      <c r="CM171" s="5">
        <f>IF($BI171&lt;&gt;"",IF('Capacity summary'!$C$14="Yes",IF(COUNTBLANK('Capacity summary'!$H83:$BG83)&lt;52,IF('Capacity summary'!AJ83&lt;&gt;"",$BI171*AJ171,0),AJ171*$BI171),AJ171*$BI171),0)</f>
        <v>0</v>
      </c>
      <c r="CN171" s="5">
        <f>IF($BI171&lt;&gt;"",IF('Capacity summary'!$C$14="Yes",IF(COUNTBLANK('Capacity summary'!$H83:$BG83)&lt;52,IF('Capacity summary'!AK83&lt;&gt;"",$BI171*AK171,0),AK171*$BI171),AK171*$BI171),0)</f>
        <v>0</v>
      </c>
      <c r="CO171" s="5">
        <f>IF($BI171&lt;&gt;"",IF('Capacity summary'!$C$14="Yes",IF(COUNTBLANK('Capacity summary'!$H83:$BG83)&lt;52,IF('Capacity summary'!AL83&lt;&gt;"",$BI171*AL171,0),AL171*$BI171),AL171*$BI171),0)</f>
        <v>0</v>
      </c>
      <c r="CP171" s="5">
        <f>IF($BI171&lt;&gt;"",IF('Capacity summary'!$C$14="Yes",IF(COUNTBLANK('Capacity summary'!$H83:$BG83)&lt;52,IF('Capacity summary'!AM83&lt;&gt;"",$BI171*AM171,0),AM171*$BI171),AM171*$BI171),0)</f>
        <v>0</v>
      </c>
      <c r="CQ171" s="5">
        <f>IF($BI171&lt;&gt;"",IF('Capacity summary'!$C$14="Yes",IF(COUNTBLANK('Capacity summary'!$H83:$BG83)&lt;52,IF('Capacity summary'!AN83&lt;&gt;"",$BI171*AN171,0),AN171*$BI171),AN171*$BI171),0)</f>
        <v>0</v>
      </c>
      <c r="CR171" s="5">
        <f>IF($BI171&lt;&gt;"",IF('Capacity summary'!$C$14="Yes",IF(COUNTBLANK('Capacity summary'!$H83:$BG83)&lt;52,IF('Capacity summary'!AO83&lt;&gt;"",$BI171*AO171,0),AO171*$BI171),AO171*$BI171),0)</f>
        <v>0</v>
      </c>
      <c r="CS171" s="5">
        <f>IF($BI171&lt;&gt;"",IF('Capacity summary'!$C$14="Yes",IF(COUNTBLANK('Capacity summary'!$H83:$BG83)&lt;52,IF('Capacity summary'!AP83&lt;&gt;"",$BI171*AP171,0),AP171*$BI171),AP171*$BI171),0)</f>
        <v>0</v>
      </c>
      <c r="CT171" s="5">
        <f>IF($BI171&lt;&gt;"",IF('Capacity summary'!$C$14="Yes",IF(COUNTBLANK('Capacity summary'!$H83:$BG83)&lt;52,IF('Capacity summary'!AQ83&lt;&gt;"",$BI171*AQ171,0),AQ171*$BI171),AQ171*$BI171),0)</f>
        <v>0</v>
      </c>
      <c r="CU171" s="5">
        <f>IF($BI171&lt;&gt;"",IF('Capacity summary'!$C$14="Yes",IF(COUNTBLANK('Capacity summary'!$H83:$BG83)&lt;52,IF('Capacity summary'!AR83&lt;&gt;"",$BI171*AR171,0),AR171*$BI171),AR171*$BI171),0)</f>
        <v>0</v>
      </c>
      <c r="CV171" s="5">
        <f>IF($BI171&lt;&gt;"",IF('Capacity summary'!$C$14="Yes",IF(COUNTBLANK('Capacity summary'!$H83:$BG83)&lt;52,IF('Capacity summary'!AS83&lt;&gt;"",$BI171*AS171,0),AS171*$BI171),AS171*$BI171),0)</f>
        <v>0</v>
      </c>
      <c r="CW171" s="5">
        <f>IF($BI171&lt;&gt;"",IF('Capacity summary'!$C$14="Yes",IF(COUNTBLANK('Capacity summary'!$H83:$BG83)&lt;52,IF('Capacity summary'!AT83&lt;&gt;"",$BI171*AT171,0),AT171*$BI171),AT171*$BI171),0)</f>
        <v>0</v>
      </c>
      <c r="CX171" s="5">
        <f>IF($BI171&lt;&gt;"",IF('Capacity summary'!$C$14="Yes",IF(COUNTBLANK('Capacity summary'!$H83:$BG83)&lt;52,IF('Capacity summary'!AU83&lt;&gt;"",$BI171*AU171,0),AU171*$BI171),AU171*$BI171),0)</f>
        <v>0</v>
      </c>
      <c r="CY171" s="5">
        <f>IF($BI171&lt;&gt;"",IF('Capacity summary'!$C$14="Yes",IF(COUNTBLANK('Capacity summary'!$H83:$BG83)&lt;52,IF('Capacity summary'!AV83&lt;&gt;"",$BI171*AV171,0),AV171*$BI171),AV171*$BI171),0)</f>
        <v>0</v>
      </c>
      <c r="CZ171" s="5">
        <f>IF($BI171&lt;&gt;"",IF('Capacity summary'!$C$14="Yes",IF(COUNTBLANK('Capacity summary'!$H83:$BG83)&lt;52,IF('Capacity summary'!AW83&lt;&gt;"",$BI171*AW171,0),AW171*$BI171),AW171*$BI171),0)</f>
        <v>0</v>
      </c>
      <c r="DA171" s="5">
        <f>IF($BI171&lt;&gt;"",IF('Capacity summary'!$C$14="Yes",IF(COUNTBLANK('Capacity summary'!$H83:$BG83)&lt;52,IF('Capacity summary'!AX83&lt;&gt;"",$BI171*AX171,0),AX171*$BI171),AX171*$BI171),0)</f>
        <v>0</v>
      </c>
      <c r="DB171" s="5">
        <f>IF($BI171&lt;&gt;"",IF('Capacity summary'!$C$14="Yes",IF(COUNTBLANK('Capacity summary'!$H83:$BG83)&lt;52,IF('Capacity summary'!AY83&lt;&gt;"",$BI171*AY171,0),AY171*$BI171),AY171*$BI171),0)</f>
        <v>0</v>
      </c>
      <c r="DC171" s="5">
        <f>IF($BI171&lt;&gt;"",IF('Capacity summary'!$C$14="Yes",IF(COUNTBLANK('Capacity summary'!$H83:$BG83)&lt;52,IF('Capacity summary'!AZ83&lt;&gt;"",$BI171*AZ171,0),AZ171*$BI171),AZ171*$BI171),0)</f>
        <v>0</v>
      </c>
      <c r="DD171" s="5">
        <f>IF($BI171&lt;&gt;"",IF('Capacity summary'!$C$14="Yes",IF(COUNTBLANK('Capacity summary'!$H83:$BG83)&lt;52,IF('Capacity summary'!BA83&lt;&gt;"",$BI171*BA171,0),BA171*$BI171),BA171*$BI171),0)</f>
        <v>0</v>
      </c>
      <c r="DE171" s="5">
        <f>IF($BI171&lt;&gt;"",IF('Capacity summary'!$C$14="Yes",IF(COUNTBLANK('Capacity summary'!$H83:$BG83)&lt;52,IF('Capacity summary'!BB83&lt;&gt;"",$BI171*BB171,0),BB171*$BI171),BB171*$BI171),0)</f>
        <v>0</v>
      </c>
      <c r="DF171" s="5">
        <f>IF($BI171&lt;&gt;"",IF('Capacity summary'!$C$14="Yes",IF(COUNTBLANK('Capacity summary'!$H83:$BG83)&lt;52,IF('Capacity summary'!BC83&lt;&gt;"",$BI171*BC171,0),BC171*$BI171),BC171*$BI171),0)</f>
        <v>0</v>
      </c>
      <c r="DG171" s="5">
        <f>IF($BI171&lt;&gt;"",IF('Capacity summary'!$C$14="Yes",IF(COUNTBLANK('Capacity summary'!$H83:$BG83)&lt;52,IF('Capacity summary'!BD83&lt;&gt;"",$BI171*BD171,0),BD171*$BI171),BD171*$BI171),0)</f>
        <v>0</v>
      </c>
      <c r="DH171" s="5">
        <f>IF($BI171&lt;&gt;"",IF('Capacity summary'!$C$14="Yes",IF(COUNTBLANK('Capacity summary'!$H83:$BG83)&lt;52,IF('Capacity summary'!BE83&lt;&gt;"",$BI171*BE171,0),BE171*$BI171),BE171*$BI171),0)</f>
        <v>0</v>
      </c>
      <c r="DI171" s="5">
        <f>IF($BI171&lt;&gt;"",IF('Capacity summary'!$C$14="Yes",IF(COUNTBLANK('Capacity summary'!$H83:$BG83)&lt;52,IF('Capacity summary'!BF83&lt;&gt;"",$BI171*BF171,0),BF171*$BI171),BF171*$BI171),0)</f>
        <v>0</v>
      </c>
      <c r="DJ171" s="5">
        <f>IF($BI171&lt;&gt;"",IF('Capacity summary'!$C$14="Yes",IF(COUNTBLANK('Capacity summary'!$H83:$BG83)&lt;52,IF('Capacity summary'!BG83&lt;&gt;"",$BI171*BG171,0),BG171*$BI171),BG171*$BI171),0)</f>
        <v>0</v>
      </c>
      <c r="DK171" s="138">
        <f t="shared" si="6"/>
        <v>0</v>
      </c>
    </row>
    <row r="172" spans="3:115" x14ac:dyDescent="0.2">
      <c r="C172" s="68" t="str">
        <f>ROW(A61)&amp;". "&amp;Capacity!N77</f>
        <v xml:space="preserve">61. </v>
      </c>
      <c r="D172" s="68">
        <f>'Capacity setup'!C178</f>
        <v>0</v>
      </c>
      <c r="E172" s="68">
        <f>'Capacity setup'!D178</f>
        <v>0</v>
      </c>
      <c r="F172" s="68">
        <f>'Capacity setup'!E178</f>
        <v>0</v>
      </c>
      <c r="H172" s="68">
        <f ca="1">IF(AND(SUMIF(Capacity_Resource,$D172,'Critical resources (hide)'!U$6:U$105)+SUMIF(Capacity_Resource,$E172,'Critical resources (hide)'!U$6:U$105)+SUMIF(Capacity_Resource,$F172,'Critical resources (hide)'!U$6:U$105)&gt;0,$E$1=2),0,1)</f>
        <v>1</v>
      </c>
      <c r="I172" s="68">
        <f ca="1">IF(AND(SUMIF(Capacity_Resource,$D172,'Critical resources (hide)'!V$6:V$105)+SUMIF(Capacity_Resource,$E172,'Critical resources (hide)'!V$6:V$105)+SUMIF(Capacity_Resource,$F172,'Critical resources (hide)'!V$6:V$105)&gt;0,$E$1=2),0,1)</f>
        <v>1</v>
      </c>
      <c r="J172" s="68">
        <f ca="1">IF(AND(SUMIF(Capacity_Resource,$D172,'Critical resources (hide)'!W$6:W$105)+SUMIF(Capacity_Resource,$E172,'Critical resources (hide)'!W$6:W$105)+SUMIF(Capacity_Resource,$F172,'Critical resources (hide)'!W$6:W$105)&gt;0,$E$1=2),0,1)</f>
        <v>1</v>
      </c>
      <c r="K172" s="68">
        <f ca="1">IF(AND(SUMIF(Capacity_Resource,$D172,'Critical resources (hide)'!X$6:X$105)+SUMIF(Capacity_Resource,$E172,'Critical resources (hide)'!X$6:X$105)+SUMIF(Capacity_Resource,$F172,'Critical resources (hide)'!X$6:X$105)&gt;0,$E$1=2),0,1)</f>
        <v>1</v>
      </c>
      <c r="L172" s="68">
        <f ca="1">IF(AND(SUMIF(Capacity_Resource,$D172,'Critical resources (hide)'!Y$6:Y$105)+SUMIF(Capacity_Resource,$E172,'Critical resources (hide)'!Y$6:Y$105)+SUMIF(Capacity_Resource,$F172,'Critical resources (hide)'!Y$6:Y$105)&gt;0,$E$1=2),0,1)</f>
        <v>1</v>
      </c>
      <c r="M172" s="68">
        <f ca="1">IF(AND(SUMIF(Capacity_Resource,$D172,'Critical resources (hide)'!Z$6:Z$105)+SUMIF(Capacity_Resource,$E172,'Critical resources (hide)'!Z$6:Z$105)+SUMIF(Capacity_Resource,$F172,'Critical resources (hide)'!Z$6:Z$105)&gt;0,$E$1=2),0,1)</f>
        <v>1</v>
      </c>
      <c r="N172" s="68">
        <f ca="1">IF(AND(SUMIF(Capacity_Resource,$D172,'Critical resources (hide)'!AA$6:AA$105)+SUMIF(Capacity_Resource,$E172,'Critical resources (hide)'!AA$6:AA$105)+SUMIF(Capacity_Resource,$F172,'Critical resources (hide)'!AA$6:AA$105)&gt;0,$E$1=2),0,1)</f>
        <v>1</v>
      </c>
      <c r="O172" s="68">
        <f ca="1">IF(AND(SUMIF(Capacity_Resource,$D172,'Critical resources (hide)'!AB$6:AB$105)+SUMIF(Capacity_Resource,$E172,'Critical resources (hide)'!AB$6:AB$105)+SUMIF(Capacity_Resource,$F172,'Critical resources (hide)'!AB$6:AB$105)&gt;0,$E$1=2),0,1)</f>
        <v>1</v>
      </c>
      <c r="P172" s="68">
        <f ca="1">IF(AND(SUMIF(Capacity_Resource,$D172,'Critical resources (hide)'!AC$6:AC$105)+SUMIF(Capacity_Resource,$E172,'Critical resources (hide)'!AC$6:AC$105)+SUMIF(Capacity_Resource,$F172,'Critical resources (hide)'!AC$6:AC$105)&gt;0,$E$1=2),0,1)</f>
        <v>1</v>
      </c>
      <c r="Q172" s="68">
        <f ca="1">IF(AND(SUMIF(Capacity_Resource,$D172,'Critical resources (hide)'!AD$6:AD$105)+SUMIF(Capacity_Resource,$E172,'Critical resources (hide)'!AD$6:AD$105)+SUMIF(Capacity_Resource,$F172,'Critical resources (hide)'!AD$6:AD$105)&gt;0,$E$1=2),0,1)</f>
        <v>1</v>
      </c>
      <c r="R172" s="68">
        <f ca="1">IF(AND(SUMIF(Capacity_Resource,$D172,'Critical resources (hide)'!AE$6:AE$105)+SUMIF(Capacity_Resource,$E172,'Critical resources (hide)'!AE$6:AE$105)+SUMIF(Capacity_Resource,$F172,'Critical resources (hide)'!AE$6:AE$105)&gt;0,$E$1=2),0,1)</f>
        <v>1</v>
      </c>
      <c r="S172" s="68">
        <f ca="1">IF(AND(SUMIF(Capacity_Resource,$D172,'Critical resources (hide)'!AF$6:AF$105)+SUMIF(Capacity_Resource,$E172,'Critical resources (hide)'!AF$6:AF$105)+SUMIF(Capacity_Resource,$F172,'Critical resources (hide)'!AF$6:AF$105)&gt;0,$E$1=2),0,1)</f>
        <v>1</v>
      </c>
      <c r="T172" s="68">
        <f ca="1">IF(AND(SUMIF(Capacity_Resource,$D172,'Critical resources (hide)'!AG$6:AG$105)+SUMIF(Capacity_Resource,$E172,'Critical resources (hide)'!AG$6:AG$105)+SUMIF(Capacity_Resource,$F172,'Critical resources (hide)'!AG$6:AG$105)&gt;0,$E$1=2),0,1)</f>
        <v>1</v>
      </c>
      <c r="U172" s="68">
        <f ca="1">IF(AND(SUMIF(Capacity_Resource,$D172,'Critical resources (hide)'!AH$6:AH$105)+SUMIF(Capacity_Resource,$E172,'Critical resources (hide)'!AH$6:AH$105)+SUMIF(Capacity_Resource,$F172,'Critical resources (hide)'!AH$6:AH$105)&gt;0,$E$1=2),0,1)</f>
        <v>1</v>
      </c>
      <c r="V172" s="68">
        <f ca="1">IF(AND(SUMIF(Capacity_Resource,$D172,'Critical resources (hide)'!AI$6:AI$105)+SUMIF(Capacity_Resource,$E172,'Critical resources (hide)'!AI$6:AI$105)+SUMIF(Capacity_Resource,$F172,'Critical resources (hide)'!AI$6:AI$105)&gt;0,$E$1=2),0,1)</f>
        <v>1</v>
      </c>
      <c r="W172" s="68">
        <f ca="1">IF(AND(SUMIF(Capacity_Resource,$D172,'Critical resources (hide)'!AJ$6:AJ$105)+SUMIF(Capacity_Resource,$E172,'Critical resources (hide)'!AJ$6:AJ$105)+SUMIF(Capacity_Resource,$F172,'Critical resources (hide)'!AJ$6:AJ$105)&gt;0,$E$1=2),0,1)</f>
        <v>1</v>
      </c>
      <c r="X172" s="68">
        <f ca="1">IF(AND(SUMIF(Capacity_Resource,$D172,'Critical resources (hide)'!AK$6:AK$105)+SUMIF(Capacity_Resource,$E172,'Critical resources (hide)'!AK$6:AK$105)+SUMIF(Capacity_Resource,$F172,'Critical resources (hide)'!AK$6:AK$105)&gt;0,$E$1=2),0,1)</f>
        <v>1</v>
      </c>
      <c r="Y172" s="68">
        <f ca="1">IF(AND(SUMIF(Capacity_Resource,$D172,'Critical resources (hide)'!AL$6:AL$105)+SUMIF(Capacity_Resource,$E172,'Critical resources (hide)'!AL$6:AL$105)+SUMIF(Capacity_Resource,$F172,'Critical resources (hide)'!AL$6:AL$105)&gt;0,$E$1=2),0,1)</f>
        <v>1</v>
      </c>
      <c r="Z172" s="68">
        <f ca="1">IF(AND(SUMIF(Capacity_Resource,$D172,'Critical resources (hide)'!AM$6:AM$105)+SUMIF(Capacity_Resource,$E172,'Critical resources (hide)'!AM$6:AM$105)+SUMIF(Capacity_Resource,$F172,'Critical resources (hide)'!AM$6:AM$105)&gt;0,$E$1=2),0,1)</f>
        <v>1</v>
      </c>
      <c r="AA172" s="68">
        <f ca="1">IF(AND(SUMIF(Capacity_Resource,$D172,'Critical resources (hide)'!AN$6:AN$105)+SUMIF(Capacity_Resource,$E172,'Critical resources (hide)'!AN$6:AN$105)+SUMIF(Capacity_Resource,$F172,'Critical resources (hide)'!AN$6:AN$105)&gt;0,$E$1=2),0,1)</f>
        <v>1</v>
      </c>
      <c r="AB172" s="68">
        <f ca="1">IF(AND(SUMIF(Capacity_Resource,$D172,'Critical resources (hide)'!AO$6:AO$105)+SUMIF(Capacity_Resource,$E172,'Critical resources (hide)'!AO$6:AO$105)+SUMIF(Capacity_Resource,$F172,'Critical resources (hide)'!AO$6:AO$105)&gt;0,$E$1=2),0,1)</f>
        <v>1</v>
      </c>
      <c r="AC172" s="68">
        <f ca="1">IF(AND(SUMIF(Capacity_Resource,$D172,'Critical resources (hide)'!AP$6:AP$105)+SUMIF(Capacity_Resource,$E172,'Critical resources (hide)'!AP$6:AP$105)+SUMIF(Capacity_Resource,$F172,'Critical resources (hide)'!AP$6:AP$105)&gt;0,$E$1=2),0,1)</f>
        <v>1</v>
      </c>
      <c r="AD172" s="68">
        <f ca="1">IF(AND(SUMIF(Capacity_Resource,$D172,'Critical resources (hide)'!AQ$6:AQ$105)+SUMIF(Capacity_Resource,$E172,'Critical resources (hide)'!AQ$6:AQ$105)+SUMIF(Capacity_Resource,$F172,'Critical resources (hide)'!AQ$6:AQ$105)&gt;0,$E$1=2),0,1)</f>
        <v>1</v>
      </c>
      <c r="AE172" s="68">
        <f ca="1">IF(AND(SUMIF(Capacity_Resource,$D172,'Critical resources (hide)'!AR$6:AR$105)+SUMIF(Capacity_Resource,$E172,'Critical resources (hide)'!AR$6:AR$105)+SUMIF(Capacity_Resource,$F172,'Critical resources (hide)'!AR$6:AR$105)&gt;0,$E$1=2),0,1)</f>
        <v>1</v>
      </c>
      <c r="AF172" s="68">
        <f ca="1">IF(AND(SUMIF(Capacity_Resource,$D172,'Critical resources (hide)'!AS$6:AS$105)+SUMIF(Capacity_Resource,$E172,'Critical resources (hide)'!AS$6:AS$105)+SUMIF(Capacity_Resource,$F172,'Critical resources (hide)'!AS$6:AS$105)&gt;0,$E$1=2),0,1)</f>
        <v>1</v>
      </c>
      <c r="AG172" s="68">
        <f ca="1">IF(AND(SUMIF(Capacity_Resource,$D172,'Critical resources (hide)'!AT$6:AT$105)+SUMIF(Capacity_Resource,$E172,'Critical resources (hide)'!AT$6:AT$105)+SUMIF(Capacity_Resource,$F172,'Critical resources (hide)'!AT$6:AT$105)&gt;0,$E$1=2),0,1)</f>
        <v>1</v>
      </c>
      <c r="AH172" s="68">
        <f ca="1">IF(AND(SUMIF(Capacity_Resource,$D172,'Critical resources (hide)'!AU$6:AU$105)+SUMIF(Capacity_Resource,$E172,'Critical resources (hide)'!AU$6:AU$105)+SUMIF(Capacity_Resource,$F172,'Critical resources (hide)'!AU$6:AU$105)&gt;0,$E$1=2),0,1)</f>
        <v>1</v>
      </c>
      <c r="AI172" s="68">
        <f ca="1">IF(AND(SUMIF(Capacity_Resource,$D172,'Critical resources (hide)'!AV$6:AV$105)+SUMIF(Capacity_Resource,$E172,'Critical resources (hide)'!AV$6:AV$105)+SUMIF(Capacity_Resource,$F172,'Critical resources (hide)'!AV$6:AV$105)&gt;0,$E$1=2),0,1)</f>
        <v>1</v>
      </c>
      <c r="AJ172" s="68">
        <f ca="1">IF(AND(SUMIF(Capacity_Resource,$D172,'Critical resources (hide)'!AW$6:AW$105)+SUMIF(Capacity_Resource,$E172,'Critical resources (hide)'!AW$6:AW$105)+SUMIF(Capacity_Resource,$F172,'Critical resources (hide)'!AW$6:AW$105)&gt;0,$E$1=2),0,1)</f>
        <v>1</v>
      </c>
      <c r="AK172" s="68">
        <f ca="1">IF(AND(SUMIF(Capacity_Resource,$D172,'Critical resources (hide)'!AX$6:AX$105)+SUMIF(Capacity_Resource,$E172,'Critical resources (hide)'!AX$6:AX$105)+SUMIF(Capacity_Resource,$F172,'Critical resources (hide)'!AX$6:AX$105)&gt;0,$E$1=2),0,1)</f>
        <v>1</v>
      </c>
      <c r="AL172" s="68">
        <f ca="1">IF(AND(SUMIF(Capacity_Resource,$D172,'Critical resources (hide)'!AY$6:AY$105)+SUMIF(Capacity_Resource,$E172,'Critical resources (hide)'!AY$6:AY$105)+SUMIF(Capacity_Resource,$F172,'Critical resources (hide)'!AY$6:AY$105)&gt;0,$E$1=2),0,1)</f>
        <v>1</v>
      </c>
      <c r="AM172" s="68">
        <f ca="1">IF(AND(SUMIF(Capacity_Resource,$D172,'Critical resources (hide)'!AZ$6:AZ$105)+SUMIF(Capacity_Resource,$E172,'Critical resources (hide)'!AZ$6:AZ$105)+SUMIF(Capacity_Resource,$F172,'Critical resources (hide)'!AZ$6:AZ$105)&gt;0,$E$1=2),0,1)</f>
        <v>1</v>
      </c>
      <c r="AN172" s="68">
        <f ca="1">IF(AND(SUMIF(Capacity_Resource,$D172,'Critical resources (hide)'!BA$6:BA$105)+SUMIF(Capacity_Resource,$E172,'Critical resources (hide)'!BA$6:BA$105)+SUMIF(Capacity_Resource,$F172,'Critical resources (hide)'!BA$6:BA$105)&gt;0,$E$1=2),0,1)</f>
        <v>1</v>
      </c>
      <c r="AO172" s="68">
        <f ca="1">IF(AND(SUMIF(Capacity_Resource,$D172,'Critical resources (hide)'!BB$6:BB$105)+SUMIF(Capacity_Resource,$E172,'Critical resources (hide)'!BB$6:BB$105)+SUMIF(Capacity_Resource,$F172,'Critical resources (hide)'!BB$6:BB$105)&gt;0,$E$1=2),0,1)</f>
        <v>1</v>
      </c>
      <c r="AP172" s="68">
        <f ca="1">IF(AND(SUMIF(Capacity_Resource,$D172,'Critical resources (hide)'!BC$6:BC$105)+SUMIF(Capacity_Resource,$E172,'Critical resources (hide)'!BC$6:BC$105)+SUMIF(Capacity_Resource,$F172,'Critical resources (hide)'!BC$6:BC$105)&gt;0,$E$1=2),0,1)</f>
        <v>1</v>
      </c>
      <c r="AQ172" s="68">
        <f ca="1">IF(AND(SUMIF(Capacity_Resource,$D172,'Critical resources (hide)'!BD$6:BD$105)+SUMIF(Capacity_Resource,$E172,'Critical resources (hide)'!BD$6:BD$105)+SUMIF(Capacity_Resource,$F172,'Critical resources (hide)'!BD$6:BD$105)&gt;0,$E$1=2),0,1)</f>
        <v>1</v>
      </c>
      <c r="AR172" s="68">
        <f ca="1">IF(AND(SUMIF(Capacity_Resource,$D172,'Critical resources (hide)'!BE$6:BE$105)+SUMIF(Capacity_Resource,$E172,'Critical resources (hide)'!BE$6:BE$105)+SUMIF(Capacity_Resource,$F172,'Critical resources (hide)'!BE$6:BE$105)&gt;0,$E$1=2),0,1)</f>
        <v>1</v>
      </c>
      <c r="AS172" s="68">
        <f ca="1">IF(AND(SUMIF(Capacity_Resource,$D172,'Critical resources (hide)'!BF$6:BF$105)+SUMIF(Capacity_Resource,$E172,'Critical resources (hide)'!BF$6:BF$105)+SUMIF(Capacity_Resource,$F172,'Critical resources (hide)'!BF$6:BF$105)&gt;0,$E$1=2),0,1)</f>
        <v>1</v>
      </c>
      <c r="AT172" s="68">
        <f ca="1">IF(AND(SUMIF(Capacity_Resource,$D172,'Critical resources (hide)'!BG$6:BG$105)+SUMIF(Capacity_Resource,$E172,'Critical resources (hide)'!BG$6:BG$105)+SUMIF(Capacity_Resource,$F172,'Critical resources (hide)'!BG$6:BG$105)&gt;0,$E$1=2),0,1)</f>
        <v>1</v>
      </c>
      <c r="AU172" s="68">
        <f ca="1">IF(AND(SUMIF(Capacity_Resource,$D172,'Critical resources (hide)'!BH$6:BH$105)+SUMIF(Capacity_Resource,$E172,'Critical resources (hide)'!BH$6:BH$105)+SUMIF(Capacity_Resource,$F172,'Critical resources (hide)'!BH$6:BH$105)&gt;0,$E$1=2),0,1)</f>
        <v>1</v>
      </c>
      <c r="AV172" s="68">
        <f ca="1">IF(AND(SUMIF(Capacity_Resource,$D172,'Critical resources (hide)'!BI$6:BI$105)+SUMIF(Capacity_Resource,$E172,'Critical resources (hide)'!BI$6:BI$105)+SUMIF(Capacity_Resource,$F172,'Critical resources (hide)'!BI$6:BI$105)&gt;0,$E$1=2),0,1)</f>
        <v>1</v>
      </c>
      <c r="AW172" s="68">
        <f ca="1">IF(AND(SUMIF(Capacity_Resource,$D172,'Critical resources (hide)'!BJ$6:BJ$105)+SUMIF(Capacity_Resource,$E172,'Critical resources (hide)'!BJ$6:BJ$105)+SUMIF(Capacity_Resource,$F172,'Critical resources (hide)'!BJ$6:BJ$105)&gt;0,$E$1=2),0,1)</f>
        <v>1</v>
      </c>
      <c r="AX172" s="68">
        <f ca="1">IF(AND(SUMIF(Capacity_Resource,$D172,'Critical resources (hide)'!BK$6:BK$105)+SUMIF(Capacity_Resource,$E172,'Critical resources (hide)'!BK$6:BK$105)+SUMIF(Capacity_Resource,$F172,'Critical resources (hide)'!BK$6:BK$105)&gt;0,$E$1=2),0,1)</f>
        <v>1</v>
      </c>
      <c r="AY172" s="68">
        <f ca="1">IF(AND(SUMIF(Capacity_Resource,$D172,'Critical resources (hide)'!BL$6:BL$105)+SUMIF(Capacity_Resource,$E172,'Critical resources (hide)'!BL$6:BL$105)+SUMIF(Capacity_Resource,$F172,'Critical resources (hide)'!BL$6:BL$105)&gt;0,$E$1=2),0,1)</f>
        <v>1</v>
      </c>
      <c r="AZ172" s="68">
        <f ca="1">IF(AND(SUMIF(Capacity_Resource,$D172,'Critical resources (hide)'!BM$6:BM$105)+SUMIF(Capacity_Resource,$E172,'Critical resources (hide)'!BM$6:BM$105)+SUMIF(Capacity_Resource,$F172,'Critical resources (hide)'!BM$6:BM$105)&gt;0,$E$1=2),0,1)</f>
        <v>1</v>
      </c>
      <c r="BA172" s="68">
        <f ca="1">IF(AND(SUMIF(Capacity_Resource,$D172,'Critical resources (hide)'!BN$6:BN$105)+SUMIF(Capacity_Resource,$E172,'Critical resources (hide)'!BN$6:BN$105)+SUMIF(Capacity_Resource,$F172,'Critical resources (hide)'!BN$6:BN$105)&gt;0,$E$1=2),0,1)</f>
        <v>1</v>
      </c>
      <c r="BB172" s="68">
        <f ca="1">IF(AND(SUMIF(Capacity_Resource,$D172,'Critical resources (hide)'!BO$6:BO$105)+SUMIF(Capacity_Resource,$E172,'Critical resources (hide)'!BO$6:BO$105)+SUMIF(Capacity_Resource,$F172,'Critical resources (hide)'!BO$6:BO$105)&gt;0,$E$1=2),0,1)</f>
        <v>1</v>
      </c>
      <c r="BC172" s="68">
        <f ca="1">IF(AND(SUMIF(Capacity_Resource,$D172,'Critical resources (hide)'!BP$6:BP$105)+SUMIF(Capacity_Resource,$E172,'Critical resources (hide)'!BP$6:BP$105)+SUMIF(Capacity_Resource,$F172,'Critical resources (hide)'!BP$6:BP$105)&gt;0,$E$1=2),0,1)</f>
        <v>1</v>
      </c>
      <c r="BD172" s="68">
        <f ca="1">IF(AND(SUMIF(Capacity_Resource,$D172,'Critical resources (hide)'!BQ$6:BQ$105)+SUMIF(Capacity_Resource,$E172,'Critical resources (hide)'!BQ$6:BQ$105)+SUMIF(Capacity_Resource,$F172,'Critical resources (hide)'!BQ$6:BQ$105)&gt;0,$E$1=2),0,1)</f>
        <v>1</v>
      </c>
      <c r="BE172" s="68">
        <f ca="1">IF(AND(SUMIF(Capacity_Resource,$D172,'Critical resources (hide)'!BR$6:BR$105)+SUMIF(Capacity_Resource,$E172,'Critical resources (hide)'!BR$6:BR$105)+SUMIF(Capacity_Resource,$F172,'Critical resources (hide)'!BR$6:BR$105)&gt;0,$E$1=2),0,1)</f>
        <v>1</v>
      </c>
      <c r="BF172" s="68">
        <f ca="1">IF(AND(SUMIF(Capacity_Resource,$D172,'Critical resources (hide)'!BS$6:BS$105)+SUMIF(Capacity_Resource,$E172,'Critical resources (hide)'!BS$6:BS$105)+SUMIF(Capacity_Resource,$F172,'Critical resources (hide)'!BS$6:BS$105)&gt;0,$E$1=2),0,1)</f>
        <v>1</v>
      </c>
      <c r="BG172" s="68">
        <f ca="1">IF(AND(SUMIF(Capacity_Resource,$D172,'Critical resources (hide)'!BT$6:BT$105)+SUMIF(Capacity_Resource,$E172,'Critical resources (hide)'!BT$6:BT$105)+SUMIF(Capacity_Resource,$F172,'Critical resources (hide)'!BT$6:BT$105)&gt;0,$E$1=2),0,1)</f>
        <v>1</v>
      </c>
      <c r="BH172" s="68">
        <f>IF(ROW(A61)&lt;=Capacity!$M$16,IF('Capacity summary'!$C$14="No",SUM(H172:BG172),'Capacity summary'!$E84),0)</f>
        <v>0</v>
      </c>
      <c r="BI172" s="68" t="str">
        <f>IF(BH172&gt;0,IF(BH172&lt;Capacity!Q77,Capacity!R77,Capacity!T77/'Capacity calculation (hide)'!BH172),"")</f>
        <v/>
      </c>
      <c r="BJ172" s="5"/>
      <c r="BK172" s="5">
        <f>IF($BI172&lt;&gt;"",IF('Capacity summary'!$C$14="Yes",IF(COUNTBLANK('Capacity summary'!$H84:$BG84)&lt;52,IF('Capacity summary'!H84&lt;&gt;"",$BI172*H172,0),H172*$BI172),H172*$BI172),0)</f>
        <v>0</v>
      </c>
      <c r="BL172" s="5">
        <f>IF($BI172&lt;&gt;"",IF('Capacity summary'!$C$14="Yes",IF(COUNTBLANK('Capacity summary'!$H84:$BG84)&lt;52,IF('Capacity summary'!I84&lt;&gt;"",$BI172*I172,0),I172*$BI172),I172*$BI172),0)</f>
        <v>0</v>
      </c>
      <c r="BM172" s="5">
        <f>IF($BI172&lt;&gt;"",IF('Capacity summary'!$C$14="Yes",IF(COUNTBLANK('Capacity summary'!$H84:$BG84)&lt;52,IF('Capacity summary'!J84&lt;&gt;"",$BI172*J172,0),J172*$BI172),J172*$BI172),0)</f>
        <v>0</v>
      </c>
      <c r="BN172" s="5">
        <f>IF($BI172&lt;&gt;"",IF('Capacity summary'!$C$14="Yes",IF(COUNTBLANK('Capacity summary'!$H84:$BG84)&lt;52,IF('Capacity summary'!K84&lt;&gt;"",$BI172*K172,0),K172*$BI172),K172*$BI172),0)</f>
        <v>0</v>
      </c>
      <c r="BO172" s="5">
        <f>IF($BI172&lt;&gt;"",IF('Capacity summary'!$C$14="Yes",IF(COUNTBLANK('Capacity summary'!$H84:$BG84)&lt;52,IF('Capacity summary'!L84&lt;&gt;"",$BI172*L172,0),L172*$BI172),L172*$BI172),0)</f>
        <v>0</v>
      </c>
      <c r="BP172" s="5">
        <f>IF($BI172&lt;&gt;"",IF('Capacity summary'!$C$14="Yes",IF(COUNTBLANK('Capacity summary'!$H84:$BG84)&lt;52,IF('Capacity summary'!M84&lt;&gt;"",$BI172*M172,0),M172*$BI172),M172*$BI172),0)</f>
        <v>0</v>
      </c>
      <c r="BQ172" s="5">
        <f>IF($BI172&lt;&gt;"",IF('Capacity summary'!$C$14="Yes",IF(COUNTBLANK('Capacity summary'!$H84:$BG84)&lt;52,IF('Capacity summary'!N84&lt;&gt;"",$BI172*N172,0),N172*$BI172),N172*$BI172),0)</f>
        <v>0</v>
      </c>
      <c r="BR172" s="5">
        <f>IF($BI172&lt;&gt;"",IF('Capacity summary'!$C$14="Yes",IF(COUNTBLANK('Capacity summary'!$H84:$BG84)&lt;52,IF('Capacity summary'!O84&lt;&gt;"",$BI172*O172,0),O172*$BI172),O172*$BI172),0)</f>
        <v>0</v>
      </c>
      <c r="BS172" s="5">
        <f>IF($BI172&lt;&gt;"",IF('Capacity summary'!$C$14="Yes",IF(COUNTBLANK('Capacity summary'!$H84:$BG84)&lt;52,IF('Capacity summary'!P84&lt;&gt;"",$BI172*P172,0),P172*$BI172),P172*$BI172),0)</f>
        <v>0</v>
      </c>
      <c r="BT172" s="5">
        <f>IF($BI172&lt;&gt;"",IF('Capacity summary'!$C$14="Yes",IF(COUNTBLANK('Capacity summary'!$H84:$BG84)&lt;52,IF('Capacity summary'!Q84&lt;&gt;"",$BI172*Q172,0),Q172*$BI172),Q172*$BI172),0)</f>
        <v>0</v>
      </c>
      <c r="BU172" s="5">
        <f>IF($BI172&lt;&gt;"",IF('Capacity summary'!$C$14="Yes",IF(COUNTBLANK('Capacity summary'!$H84:$BG84)&lt;52,IF('Capacity summary'!R84&lt;&gt;"",$BI172*R172,0),R172*$BI172),R172*$BI172),0)</f>
        <v>0</v>
      </c>
      <c r="BV172" s="5">
        <f>IF($BI172&lt;&gt;"",IF('Capacity summary'!$C$14="Yes",IF(COUNTBLANK('Capacity summary'!$H84:$BG84)&lt;52,IF('Capacity summary'!S84&lt;&gt;"",$BI172*S172,0),S172*$BI172),S172*$BI172),0)</f>
        <v>0</v>
      </c>
      <c r="BW172" s="5">
        <f>IF($BI172&lt;&gt;"",IF('Capacity summary'!$C$14="Yes",IF(COUNTBLANK('Capacity summary'!$H84:$BG84)&lt;52,IF('Capacity summary'!T84&lt;&gt;"",$BI172*T172,0),T172*$BI172),T172*$BI172),0)</f>
        <v>0</v>
      </c>
      <c r="BX172" s="5">
        <f>IF($BI172&lt;&gt;"",IF('Capacity summary'!$C$14="Yes",IF(COUNTBLANK('Capacity summary'!$H84:$BG84)&lt;52,IF('Capacity summary'!U84&lt;&gt;"",$BI172*U172,0),U172*$BI172),U172*$BI172),0)</f>
        <v>0</v>
      </c>
      <c r="BY172" s="5">
        <f>IF($BI172&lt;&gt;"",IF('Capacity summary'!$C$14="Yes",IF(COUNTBLANK('Capacity summary'!$H84:$BG84)&lt;52,IF('Capacity summary'!V84&lt;&gt;"",$BI172*V172,0),V172*$BI172),V172*$BI172),0)</f>
        <v>0</v>
      </c>
      <c r="BZ172" s="5">
        <f>IF($BI172&lt;&gt;"",IF('Capacity summary'!$C$14="Yes",IF(COUNTBLANK('Capacity summary'!$H84:$BG84)&lt;52,IF('Capacity summary'!W84&lt;&gt;"",$BI172*W172,0),W172*$BI172),W172*$BI172),0)</f>
        <v>0</v>
      </c>
      <c r="CA172" s="5">
        <f>IF($BI172&lt;&gt;"",IF('Capacity summary'!$C$14="Yes",IF(COUNTBLANK('Capacity summary'!$H84:$BG84)&lt;52,IF('Capacity summary'!X84&lt;&gt;"",$BI172*X172,0),X172*$BI172),X172*$BI172),0)</f>
        <v>0</v>
      </c>
      <c r="CB172" s="5">
        <f>IF($BI172&lt;&gt;"",IF('Capacity summary'!$C$14="Yes",IF(COUNTBLANK('Capacity summary'!$H84:$BG84)&lt;52,IF('Capacity summary'!Y84&lt;&gt;"",$BI172*Y172,0),Y172*$BI172),Y172*$BI172),0)</f>
        <v>0</v>
      </c>
      <c r="CC172" s="5">
        <f>IF($BI172&lt;&gt;"",IF('Capacity summary'!$C$14="Yes",IF(COUNTBLANK('Capacity summary'!$H84:$BG84)&lt;52,IF('Capacity summary'!Z84&lt;&gt;"",$BI172*Z172,0),Z172*$BI172),Z172*$BI172),0)</f>
        <v>0</v>
      </c>
      <c r="CD172" s="5">
        <f>IF($BI172&lt;&gt;"",IF('Capacity summary'!$C$14="Yes",IF(COUNTBLANK('Capacity summary'!$H84:$BG84)&lt;52,IF('Capacity summary'!AA84&lt;&gt;"",$BI172*AA172,0),AA172*$BI172),AA172*$BI172),0)</f>
        <v>0</v>
      </c>
      <c r="CE172" s="5">
        <f>IF($BI172&lt;&gt;"",IF('Capacity summary'!$C$14="Yes",IF(COUNTBLANK('Capacity summary'!$H84:$BG84)&lt;52,IF('Capacity summary'!AB84&lt;&gt;"",$BI172*AB172,0),AB172*$BI172),AB172*$BI172),0)</f>
        <v>0</v>
      </c>
      <c r="CF172" s="5">
        <f>IF($BI172&lt;&gt;"",IF('Capacity summary'!$C$14="Yes",IF(COUNTBLANK('Capacity summary'!$H84:$BG84)&lt;52,IF('Capacity summary'!AC84&lt;&gt;"",$BI172*AC172,0),AC172*$BI172),AC172*$BI172),0)</f>
        <v>0</v>
      </c>
      <c r="CG172" s="5">
        <f>IF($BI172&lt;&gt;"",IF('Capacity summary'!$C$14="Yes",IF(COUNTBLANK('Capacity summary'!$H84:$BG84)&lt;52,IF('Capacity summary'!AD84&lt;&gt;"",$BI172*AD172,0),AD172*$BI172),AD172*$BI172),0)</f>
        <v>0</v>
      </c>
      <c r="CH172" s="5">
        <f>IF($BI172&lt;&gt;"",IF('Capacity summary'!$C$14="Yes",IF(COUNTBLANK('Capacity summary'!$H84:$BG84)&lt;52,IF('Capacity summary'!AE84&lt;&gt;"",$BI172*AE172,0),AE172*$BI172),AE172*$BI172),0)</f>
        <v>0</v>
      </c>
      <c r="CI172" s="5">
        <f>IF($BI172&lt;&gt;"",IF('Capacity summary'!$C$14="Yes",IF(COUNTBLANK('Capacity summary'!$H84:$BG84)&lt;52,IF('Capacity summary'!AF84&lt;&gt;"",$BI172*AF172,0),AF172*$BI172),AF172*$BI172),0)</f>
        <v>0</v>
      </c>
      <c r="CJ172" s="5">
        <f>IF($BI172&lt;&gt;"",IF('Capacity summary'!$C$14="Yes",IF(COUNTBLANK('Capacity summary'!$H84:$BG84)&lt;52,IF('Capacity summary'!AG84&lt;&gt;"",$BI172*AG172,0),AG172*$BI172),AG172*$BI172),0)</f>
        <v>0</v>
      </c>
      <c r="CK172" s="5">
        <f>IF($BI172&lt;&gt;"",IF('Capacity summary'!$C$14="Yes",IF(COUNTBLANK('Capacity summary'!$H84:$BG84)&lt;52,IF('Capacity summary'!AH84&lt;&gt;"",$BI172*AH172,0),AH172*$BI172),AH172*$BI172),0)</f>
        <v>0</v>
      </c>
      <c r="CL172" s="5">
        <f>IF($BI172&lt;&gt;"",IF('Capacity summary'!$C$14="Yes",IF(COUNTBLANK('Capacity summary'!$H84:$BG84)&lt;52,IF('Capacity summary'!AI84&lt;&gt;"",$BI172*AI172,0),AI172*$BI172),AI172*$BI172),0)</f>
        <v>0</v>
      </c>
      <c r="CM172" s="5">
        <f>IF($BI172&lt;&gt;"",IF('Capacity summary'!$C$14="Yes",IF(COUNTBLANK('Capacity summary'!$H84:$BG84)&lt;52,IF('Capacity summary'!AJ84&lt;&gt;"",$BI172*AJ172,0),AJ172*$BI172),AJ172*$BI172),0)</f>
        <v>0</v>
      </c>
      <c r="CN172" s="5">
        <f>IF($BI172&lt;&gt;"",IF('Capacity summary'!$C$14="Yes",IF(COUNTBLANK('Capacity summary'!$H84:$BG84)&lt;52,IF('Capacity summary'!AK84&lt;&gt;"",$BI172*AK172,0),AK172*$BI172),AK172*$BI172),0)</f>
        <v>0</v>
      </c>
      <c r="CO172" s="5">
        <f>IF($BI172&lt;&gt;"",IF('Capacity summary'!$C$14="Yes",IF(COUNTBLANK('Capacity summary'!$H84:$BG84)&lt;52,IF('Capacity summary'!AL84&lt;&gt;"",$BI172*AL172,0),AL172*$BI172),AL172*$BI172),0)</f>
        <v>0</v>
      </c>
      <c r="CP172" s="5">
        <f>IF($BI172&lt;&gt;"",IF('Capacity summary'!$C$14="Yes",IF(COUNTBLANK('Capacity summary'!$H84:$BG84)&lt;52,IF('Capacity summary'!AM84&lt;&gt;"",$BI172*AM172,0),AM172*$BI172),AM172*$BI172),0)</f>
        <v>0</v>
      </c>
      <c r="CQ172" s="5">
        <f>IF($BI172&lt;&gt;"",IF('Capacity summary'!$C$14="Yes",IF(COUNTBLANK('Capacity summary'!$H84:$BG84)&lt;52,IF('Capacity summary'!AN84&lt;&gt;"",$BI172*AN172,0),AN172*$BI172),AN172*$BI172),0)</f>
        <v>0</v>
      </c>
      <c r="CR172" s="5">
        <f>IF($BI172&lt;&gt;"",IF('Capacity summary'!$C$14="Yes",IF(COUNTBLANK('Capacity summary'!$H84:$BG84)&lt;52,IF('Capacity summary'!AO84&lt;&gt;"",$BI172*AO172,0),AO172*$BI172),AO172*$BI172),0)</f>
        <v>0</v>
      </c>
      <c r="CS172" s="5">
        <f>IF($BI172&lt;&gt;"",IF('Capacity summary'!$C$14="Yes",IF(COUNTBLANK('Capacity summary'!$H84:$BG84)&lt;52,IF('Capacity summary'!AP84&lt;&gt;"",$BI172*AP172,0),AP172*$BI172),AP172*$BI172),0)</f>
        <v>0</v>
      </c>
      <c r="CT172" s="5">
        <f>IF($BI172&lt;&gt;"",IF('Capacity summary'!$C$14="Yes",IF(COUNTBLANK('Capacity summary'!$H84:$BG84)&lt;52,IF('Capacity summary'!AQ84&lt;&gt;"",$BI172*AQ172,0),AQ172*$BI172),AQ172*$BI172),0)</f>
        <v>0</v>
      </c>
      <c r="CU172" s="5">
        <f>IF($BI172&lt;&gt;"",IF('Capacity summary'!$C$14="Yes",IF(COUNTBLANK('Capacity summary'!$H84:$BG84)&lt;52,IF('Capacity summary'!AR84&lt;&gt;"",$BI172*AR172,0),AR172*$BI172),AR172*$BI172),0)</f>
        <v>0</v>
      </c>
      <c r="CV172" s="5">
        <f>IF($BI172&lt;&gt;"",IF('Capacity summary'!$C$14="Yes",IF(COUNTBLANK('Capacity summary'!$H84:$BG84)&lt;52,IF('Capacity summary'!AS84&lt;&gt;"",$BI172*AS172,0),AS172*$BI172),AS172*$BI172),0)</f>
        <v>0</v>
      </c>
      <c r="CW172" s="5">
        <f>IF($BI172&lt;&gt;"",IF('Capacity summary'!$C$14="Yes",IF(COUNTBLANK('Capacity summary'!$H84:$BG84)&lt;52,IF('Capacity summary'!AT84&lt;&gt;"",$BI172*AT172,0),AT172*$BI172),AT172*$BI172),0)</f>
        <v>0</v>
      </c>
      <c r="CX172" s="5">
        <f>IF($BI172&lt;&gt;"",IF('Capacity summary'!$C$14="Yes",IF(COUNTBLANK('Capacity summary'!$H84:$BG84)&lt;52,IF('Capacity summary'!AU84&lt;&gt;"",$BI172*AU172,0),AU172*$BI172),AU172*$BI172),0)</f>
        <v>0</v>
      </c>
      <c r="CY172" s="5">
        <f>IF($BI172&lt;&gt;"",IF('Capacity summary'!$C$14="Yes",IF(COUNTBLANK('Capacity summary'!$H84:$BG84)&lt;52,IF('Capacity summary'!AV84&lt;&gt;"",$BI172*AV172,0),AV172*$BI172),AV172*$BI172),0)</f>
        <v>0</v>
      </c>
      <c r="CZ172" s="5">
        <f>IF($BI172&lt;&gt;"",IF('Capacity summary'!$C$14="Yes",IF(COUNTBLANK('Capacity summary'!$H84:$BG84)&lt;52,IF('Capacity summary'!AW84&lt;&gt;"",$BI172*AW172,0),AW172*$BI172),AW172*$BI172),0)</f>
        <v>0</v>
      </c>
      <c r="DA172" s="5">
        <f>IF($BI172&lt;&gt;"",IF('Capacity summary'!$C$14="Yes",IF(COUNTBLANK('Capacity summary'!$H84:$BG84)&lt;52,IF('Capacity summary'!AX84&lt;&gt;"",$BI172*AX172,0),AX172*$BI172),AX172*$BI172),0)</f>
        <v>0</v>
      </c>
      <c r="DB172" s="5">
        <f>IF($BI172&lt;&gt;"",IF('Capacity summary'!$C$14="Yes",IF(COUNTBLANK('Capacity summary'!$H84:$BG84)&lt;52,IF('Capacity summary'!AY84&lt;&gt;"",$BI172*AY172,0),AY172*$BI172),AY172*$BI172),0)</f>
        <v>0</v>
      </c>
      <c r="DC172" s="5">
        <f>IF($BI172&lt;&gt;"",IF('Capacity summary'!$C$14="Yes",IF(COUNTBLANK('Capacity summary'!$H84:$BG84)&lt;52,IF('Capacity summary'!AZ84&lt;&gt;"",$BI172*AZ172,0),AZ172*$BI172),AZ172*$BI172),0)</f>
        <v>0</v>
      </c>
      <c r="DD172" s="5">
        <f>IF($BI172&lt;&gt;"",IF('Capacity summary'!$C$14="Yes",IF(COUNTBLANK('Capacity summary'!$H84:$BG84)&lt;52,IF('Capacity summary'!BA84&lt;&gt;"",$BI172*BA172,0),BA172*$BI172),BA172*$BI172),0)</f>
        <v>0</v>
      </c>
      <c r="DE172" s="5">
        <f>IF($BI172&lt;&gt;"",IF('Capacity summary'!$C$14="Yes",IF(COUNTBLANK('Capacity summary'!$H84:$BG84)&lt;52,IF('Capacity summary'!BB84&lt;&gt;"",$BI172*BB172,0),BB172*$BI172),BB172*$BI172),0)</f>
        <v>0</v>
      </c>
      <c r="DF172" s="5">
        <f>IF($BI172&lt;&gt;"",IF('Capacity summary'!$C$14="Yes",IF(COUNTBLANK('Capacity summary'!$H84:$BG84)&lt;52,IF('Capacity summary'!BC84&lt;&gt;"",$BI172*BC172,0),BC172*$BI172),BC172*$BI172),0)</f>
        <v>0</v>
      </c>
      <c r="DG172" s="5">
        <f>IF($BI172&lt;&gt;"",IF('Capacity summary'!$C$14="Yes",IF(COUNTBLANK('Capacity summary'!$H84:$BG84)&lt;52,IF('Capacity summary'!BD84&lt;&gt;"",$BI172*BD172,0),BD172*$BI172),BD172*$BI172),0)</f>
        <v>0</v>
      </c>
      <c r="DH172" s="5">
        <f>IF($BI172&lt;&gt;"",IF('Capacity summary'!$C$14="Yes",IF(COUNTBLANK('Capacity summary'!$H84:$BG84)&lt;52,IF('Capacity summary'!BE84&lt;&gt;"",$BI172*BE172,0),BE172*$BI172),BE172*$BI172),0)</f>
        <v>0</v>
      </c>
      <c r="DI172" s="5">
        <f>IF($BI172&lt;&gt;"",IF('Capacity summary'!$C$14="Yes",IF(COUNTBLANK('Capacity summary'!$H84:$BG84)&lt;52,IF('Capacity summary'!BF84&lt;&gt;"",$BI172*BF172,0),BF172*$BI172),BF172*$BI172),0)</f>
        <v>0</v>
      </c>
      <c r="DJ172" s="5">
        <f>IF($BI172&lt;&gt;"",IF('Capacity summary'!$C$14="Yes",IF(COUNTBLANK('Capacity summary'!$H84:$BG84)&lt;52,IF('Capacity summary'!BG84&lt;&gt;"",$BI172*BG172,0),BG172*$BI172),BG172*$BI172),0)</f>
        <v>0</v>
      </c>
      <c r="DK172" s="138">
        <f t="shared" si="6"/>
        <v>0</v>
      </c>
    </row>
    <row r="173" spans="3:115" x14ac:dyDescent="0.2">
      <c r="C173" s="68" t="str">
        <f>ROW(A62)&amp;". "&amp;Capacity!N78</f>
        <v xml:space="preserve">62. </v>
      </c>
      <c r="D173" s="68">
        <f>'Capacity setup'!C179</f>
        <v>0</v>
      </c>
      <c r="E173" s="68">
        <f>'Capacity setup'!D179</f>
        <v>0</v>
      </c>
      <c r="F173" s="68">
        <f>'Capacity setup'!E179</f>
        <v>0</v>
      </c>
      <c r="H173" s="68">
        <f ca="1">IF(AND(SUMIF(Capacity_Resource,$D173,'Critical resources (hide)'!U$6:U$105)+SUMIF(Capacity_Resource,$E173,'Critical resources (hide)'!U$6:U$105)+SUMIF(Capacity_Resource,$F173,'Critical resources (hide)'!U$6:U$105)&gt;0,$E$1=2),0,1)</f>
        <v>1</v>
      </c>
      <c r="I173" s="68">
        <f ca="1">IF(AND(SUMIF(Capacity_Resource,$D173,'Critical resources (hide)'!V$6:V$105)+SUMIF(Capacity_Resource,$E173,'Critical resources (hide)'!V$6:V$105)+SUMIF(Capacity_Resource,$F173,'Critical resources (hide)'!V$6:V$105)&gt;0,$E$1=2),0,1)</f>
        <v>1</v>
      </c>
      <c r="J173" s="68">
        <f ca="1">IF(AND(SUMIF(Capacity_Resource,$D173,'Critical resources (hide)'!W$6:W$105)+SUMIF(Capacity_Resource,$E173,'Critical resources (hide)'!W$6:W$105)+SUMIF(Capacity_Resource,$F173,'Critical resources (hide)'!W$6:W$105)&gt;0,$E$1=2),0,1)</f>
        <v>1</v>
      </c>
      <c r="K173" s="68">
        <f ca="1">IF(AND(SUMIF(Capacity_Resource,$D173,'Critical resources (hide)'!X$6:X$105)+SUMIF(Capacity_Resource,$E173,'Critical resources (hide)'!X$6:X$105)+SUMIF(Capacity_Resource,$F173,'Critical resources (hide)'!X$6:X$105)&gt;0,$E$1=2),0,1)</f>
        <v>1</v>
      </c>
      <c r="L173" s="68">
        <f ca="1">IF(AND(SUMIF(Capacity_Resource,$D173,'Critical resources (hide)'!Y$6:Y$105)+SUMIF(Capacity_Resource,$E173,'Critical resources (hide)'!Y$6:Y$105)+SUMIF(Capacity_Resource,$F173,'Critical resources (hide)'!Y$6:Y$105)&gt;0,$E$1=2),0,1)</f>
        <v>1</v>
      </c>
      <c r="M173" s="68">
        <f ca="1">IF(AND(SUMIF(Capacity_Resource,$D173,'Critical resources (hide)'!Z$6:Z$105)+SUMIF(Capacity_Resource,$E173,'Critical resources (hide)'!Z$6:Z$105)+SUMIF(Capacity_Resource,$F173,'Critical resources (hide)'!Z$6:Z$105)&gt;0,$E$1=2),0,1)</f>
        <v>1</v>
      </c>
      <c r="N173" s="68">
        <f ca="1">IF(AND(SUMIF(Capacity_Resource,$D173,'Critical resources (hide)'!AA$6:AA$105)+SUMIF(Capacity_Resource,$E173,'Critical resources (hide)'!AA$6:AA$105)+SUMIF(Capacity_Resource,$F173,'Critical resources (hide)'!AA$6:AA$105)&gt;0,$E$1=2),0,1)</f>
        <v>1</v>
      </c>
      <c r="O173" s="68">
        <f ca="1">IF(AND(SUMIF(Capacity_Resource,$D173,'Critical resources (hide)'!AB$6:AB$105)+SUMIF(Capacity_Resource,$E173,'Critical resources (hide)'!AB$6:AB$105)+SUMIF(Capacity_Resource,$F173,'Critical resources (hide)'!AB$6:AB$105)&gt;0,$E$1=2),0,1)</f>
        <v>1</v>
      </c>
      <c r="P173" s="68">
        <f ca="1">IF(AND(SUMIF(Capacity_Resource,$D173,'Critical resources (hide)'!AC$6:AC$105)+SUMIF(Capacity_Resource,$E173,'Critical resources (hide)'!AC$6:AC$105)+SUMIF(Capacity_Resource,$F173,'Critical resources (hide)'!AC$6:AC$105)&gt;0,$E$1=2),0,1)</f>
        <v>1</v>
      </c>
      <c r="Q173" s="68">
        <f ca="1">IF(AND(SUMIF(Capacity_Resource,$D173,'Critical resources (hide)'!AD$6:AD$105)+SUMIF(Capacity_Resource,$E173,'Critical resources (hide)'!AD$6:AD$105)+SUMIF(Capacity_Resource,$F173,'Critical resources (hide)'!AD$6:AD$105)&gt;0,$E$1=2),0,1)</f>
        <v>1</v>
      </c>
      <c r="R173" s="68">
        <f ca="1">IF(AND(SUMIF(Capacity_Resource,$D173,'Critical resources (hide)'!AE$6:AE$105)+SUMIF(Capacity_Resource,$E173,'Critical resources (hide)'!AE$6:AE$105)+SUMIF(Capacity_Resource,$F173,'Critical resources (hide)'!AE$6:AE$105)&gt;0,$E$1=2),0,1)</f>
        <v>1</v>
      </c>
      <c r="S173" s="68">
        <f ca="1">IF(AND(SUMIF(Capacity_Resource,$D173,'Critical resources (hide)'!AF$6:AF$105)+SUMIF(Capacity_Resource,$E173,'Critical resources (hide)'!AF$6:AF$105)+SUMIF(Capacity_Resource,$F173,'Critical resources (hide)'!AF$6:AF$105)&gt;0,$E$1=2),0,1)</f>
        <v>1</v>
      </c>
      <c r="T173" s="68">
        <f ca="1">IF(AND(SUMIF(Capacity_Resource,$D173,'Critical resources (hide)'!AG$6:AG$105)+SUMIF(Capacity_Resource,$E173,'Critical resources (hide)'!AG$6:AG$105)+SUMIF(Capacity_Resource,$F173,'Critical resources (hide)'!AG$6:AG$105)&gt;0,$E$1=2),0,1)</f>
        <v>1</v>
      </c>
      <c r="U173" s="68">
        <f ca="1">IF(AND(SUMIF(Capacity_Resource,$D173,'Critical resources (hide)'!AH$6:AH$105)+SUMIF(Capacity_Resource,$E173,'Critical resources (hide)'!AH$6:AH$105)+SUMIF(Capacity_Resource,$F173,'Critical resources (hide)'!AH$6:AH$105)&gt;0,$E$1=2),0,1)</f>
        <v>1</v>
      </c>
      <c r="V173" s="68">
        <f ca="1">IF(AND(SUMIF(Capacity_Resource,$D173,'Critical resources (hide)'!AI$6:AI$105)+SUMIF(Capacity_Resource,$E173,'Critical resources (hide)'!AI$6:AI$105)+SUMIF(Capacity_Resource,$F173,'Critical resources (hide)'!AI$6:AI$105)&gt;0,$E$1=2),0,1)</f>
        <v>1</v>
      </c>
      <c r="W173" s="68">
        <f ca="1">IF(AND(SUMIF(Capacity_Resource,$D173,'Critical resources (hide)'!AJ$6:AJ$105)+SUMIF(Capacity_Resource,$E173,'Critical resources (hide)'!AJ$6:AJ$105)+SUMIF(Capacity_Resource,$F173,'Critical resources (hide)'!AJ$6:AJ$105)&gt;0,$E$1=2),0,1)</f>
        <v>1</v>
      </c>
      <c r="X173" s="68">
        <f ca="1">IF(AND(SUMIF(Capacity_Resource,$D173,'Critical resources (hide)'!AK$6:AK$105)+SUMIF(Capacity_Resource,$E173,'Critical resources (hide)'!AK$6:AK$105)+SUMIF(Capacity_Resource,$F173,'Critical resources (hide)'!AK$6:AK$105)&gt;0,$E$1=2),0,1)</f>
        <v>1</v>
      </c>
      <c r="Y173" s="68">
        <f ca="1">IF(AND(SUMIF(Capacity_Resource,$D173,'Critical resources (hide)'!AL$6:AL$105)+SUMIF(Capacity_Resource,$E173,'Critical resources (hide)'!AL$6:AL$105)+SUMIF(Capacity_Resource,$F173,'Critical resources (hide)'!AL$6:AL$105)&gt;0,$E$1=2),0,1)</f>
        <v>1</v>
      </c>
      <c r="Z173" s="68">
        <f ca="1">IF(AND(SUMIF(Capacity_Resource,$D173,'Critical resources (hide)'!AM$6:AM$105)+SUMIF(Capacity_Resource,$E173,'Critical resources (hide)'!AM$6:AM$105)+SUMIF(Capacity_Resource,$F173,'Critical resources (hide)'!AM$6:AM$105)&gt;0,$E$1=2),0,1)</f>
        <v>1</v>
      </c>
      <c r="AA173" s="68">
        <f ca="1">IF(AND(SUMIF(Capacity_Resource,$D173,'Critical resources (hide)'!AN$6:AN$105)+SUMIF(Capacity_Resource,$E173,'Critical resources (hide)'!AN$6:AN$105)+SUMIF(Capacity_Resource,$F173,'Critical resources (hide)'!AN$6:AN$105)&gt;0,$E$1=2),0,1)</f>
        <v>1</v>
      </c>
      <c r="AB173" s="68">
        <f ca="1">IF(AND(SUMIF(Capacity_Resource,$D173,'Critical resources (hide)'!AO$6:AO$105)+SUMIF(Capacity_Resource,$E173,'Critical resources (hide)'!AO$6:AO$105)+SUMIF(Capacity_Resource,$F173,'Critical resources (hide)'!AO$6:AO$105)&gt;0,$E$1=2),0,1)</f>
        <v>1</v>
      </c>
      <c r="AC173" s="68">
        <f ca="1">IF(AND(SUMIF(Capacity_Resource,$D173,'Critical resources (hide)'!AP$6:AP$105)+SUMIF(Capacity_Resource,$E173,'Critical resources (hide)'!AP$6:AP$105)+SUMIF(Capacity_Resource,$F173,'Critical resources (hide)'!AP$6:AP$105)&gt;0,$E$1=2),0,1)</f>
        <v>1</v>
      </c>
      <c r="AD173" s="68">
        <f ca="1">IF(AND(SUMIF(Capacity_Resource,$D173,'Critical resources (hide)'!AQ$6:AQ$105)+SUMIF(Capacity_Resource,$E173,'Critical resources (hide)'!AQ$6:AQ$105)+SUMIF(Capacity_Resource,$F173,'Critical resources (hide)'!AQ$6:AQ$105)&gt;0,$E$1=2),0,1)</f>
        <v>1</v>
      </c>
      <c r="AE173" s="68">
        <f ca="1">IF(AND(SUMIF(Capacity_Resource,$D173,'Critical resources (hide)'!AR$6:AR$105)+SUMIF(Capacity_Resource,$E173,'Critical resources (hide)'!AR$6:AR$105)+SUMIF(Capacity_Resource,$F173,'Critical resources (hide)'!AR$6:AR$105)&gt;0,$E$1=2),0,1)</f>
        <v>1</v>
      </c>
      <c r="AF173" s="68">
        <f ca="1">IF(AND(SUMIF(Capacity_Resource,$D173,'Critical resources (hide)'!AS$6:AS$105)+SUMIF(Capacity_Resource,$E173,'Critical resources (hide)'!AS$6:AS$105)+SUMIF(Capacity_Resource,$F173,'Critical resources (hide)'!AS$6:AS$105)&gt;0,$E$1=2),0,1)</f>
        <v>1</v>
      </c>
      <c r="AG173" s="68">
        <f ca="1">IF(AND(SUMIF(Capacity_Resource,$D173,'Critical resources (hide)'!AT$6:AT$105)+SUMIF(Capacity_Resource,$E173,'Critical resources (hide)'!AT$6:AT$105)+SUMIF(Capacity_Resource,$F173,'Critical resources (hide)'!AT$6:AT$105)&gt;0,$E$1=2),0,1)</f>
        <v>1</v>
      </c>
      <c r="AH173" s="68">
        <f ca="1">IF(AND(SUMIF(Capacity_Resource,$D173,'Critical resources (hide)'!AU$6:AU$105)+SUMIF(Capacity_Resource,$E173,'Critical resources (hide)'!AU$6:AU$105)+SUMIF(Capacity_Resource,$F173,'Critical resources (hide)'!AU$6:AU$105)&gt;0,$E$1=2),0,1)</f>
        <v>1</v>
      </c>
      <c r="AI173" s="68">
        <f ca="1">IF(AND(SUMIF(Capacity_Resource,$D173,'Critical resources (hide)'!AV$6:AV$105)+SUMIF(Capacity_Resource,$E173,'Critical resources (hide)'!AV$6:AV$105)+SUMIF(Capacity_Resource,$F173,'Critical resources (hide)'!AV$6:AV$105)&gt;0,$E$1=2),0,1)</f>
        <v>1</v>
      </c>
      <c r="AJ173" s="68">
        <f ca="1">IF(AND(SUMIF(Capacity_Resource,$D173,'Critical resources (hide)'!AW$6:AW$105)+SUMIF(Capacity_Resource,$E173,'Critical resources (hide)'!AW$6:AW$105)+SUMIF(Capacity_Resource,$F173,'Critical resources (hide)'!AW$6:AW$105)&gt;0,$E$1=2),0,1)</f>
        <v>1</v>
      </c>
      <c r="AK173" s="68">
        <f ca="1">IF(AND(SUMIF(Capacity_Resource,$D173,'Critical resources (hide)'!AX$6:AX$105)+SUMIF(Capacity_Resource,$E173,'Critical resources (hide)'!AX$6:AX$105)+SUMIF(Capacity_Resource,$F173,'Critical resources (hide)'!AX$6:AX$105)&gt;0,$E$1=2),0,1)</f>
        <v>1</v>
      </c>
      <c r="AL173" s="68">
        <f ca="1">IF(AND(SUMIF(Capacity_Resource,$D173,'Critical resources (hide)'!AY$6:AY$105)+SUMIF(Capacity_Resource,$E173,'Critical resources (hide)'!AY$6:AY$105)+SUMIF(Capacity_Resource,$F173,'Critical resources (hide)'!AY$6:AY$105)&gt;0,$E$1=2),0,1)</f>
        <v>1</v>
      </c>
      <c r="AM173" s="68">
        <f ca="1">IF(AND(SUMIF(Capacity_Resource,$D173,'Critical resources (hide)'!AZ$6:AZ$105)+SUMIF(Capacity_Resource,$E173,'Critical resources (hide)'!AZ$6:AZ$105)+SUMIF(Capacity_Resource,$F173,'Critical resources (hide)'!AZ$6:AZ$105)&gt;0,$E$1=2),0,1)</f>
        <v>1</v>
      </c>
      <c r="AN173" s="68">
        <f ca="1">IF(AND(SUMIF(Capacity_Resource,$D173,'Critical resources (hide)'!BA$6:BA$105)+SUMIF(Capacity_Resource,$E173,'Critical resources (hide)'!BA$6:BA$105)+SUMIF(Capacity_Resource,$F173,'Critical resources (hide)'!BA$6:BA$105)&gt;0,$E$1=2),0,1)</f>
        <v>1</v>
      </c>
      <c r="AO173" s="68">
        <f ca="1">IF(AND(SUMIF(Capacity_Resource,$D173,'Critical resources (hide)'!BB$6:BB$105)+SUMIF(Capacity_Resource,$E173,'Critical resources (hide)'!BB$6:BB$105)+SUMIF(Capacity_Resource,$F173,'Critical resources (hide)'!BB$6:BB$105)&gt;0,$E$1=2),0,1)</f>
        <v>1</v>
      </c>
      <c r="AP173" s="68">
        <f ca="1">IF(AND(SUMIF(Capacity_Resource,$D173,'Critical resources (hide)'!BC$6:BC$105)+SUMIF(Capacity_Resource,$E173,'Critical resources (hide)'!BC$6:BC$105)+SUMIF(Capacity_Resource,$F173,'Critical resources (hide)'!BC$6:BC$105)&gt;0,$E$1=2),0,1)</f>
        <v>1</v>
      </c>
      <c r="AQ173" s="68">
        <f ca="1">IF(AND(SUMIF(Capacity_Resource,$D173,'Critical resources (hide)'!BD$6:BD$105)+SUMIF(Capacity_Resource,$E173,'Critical resources (hide)'!BD$6:BD$105)+SUMIF(Capacity_Resource,$F173,'Critical resources (hide)'!BD$6:BD$105)&gt;0,$E$1=2),0,1)</f>
        <v>1</v>
      </c>
      <c r="AR173" s="68">
        <f ca="1">IF(AND(SUMIF(Capacity_Resource,$D173,'Critical resources (hide)'!BE$6:BE$105)+SUMIF(Capacity_Resource,$E173,'Critical resources (hide)'!BE$6:BE$105)+SUMIF(Capacity_Resource,$F173,'Critical resources (hide)'!BE$6:BE$105)&gt;0,$E$1=2),0,1)</f>
        <v>1</v>
      </c>
      <c r="AS173" s="68">
        <f ca="1">IF(AND(SUMIF(Capacity_Resource,$D173,'Critical resources (hide)'!BF$6:BF$105)+SUMIF(Capacity_Resource,$E173,'Critical resources (hide)'!BF$6:BF$105)+SUMIF(Capacity_Resource,$F173,'Critical resources (hide)'!BF$6:BF$105)&gt;0,$E$1=2),0,1)</f>
        <v>1</v>
      </c>
      <c r="AT173" s="68">
        <f ca="1">IF(AND(SUMIF(Capacity_Resource,$D173,'Critical resources (hide)'!BG$6:BG$105)+SUMIF(Capacity_Resource,$E173,'Critical resources (hide)'!BG$6:BG$105)+SUMIF(Capacity_Resource,$F173,'Critical resources (hide)'!BG$6:BG$105)&gt;0,$E$1=2),0,1)</f>
        <v>1</v>
      </c>
      <c r="AU173" s="68">
        <f ca="1">IF(AND(SUMIF(Capacity_Resource,$D173,'Critical resources (hide)'!BH$6:BH$105)+SUMIF(Capacity_Resource,$E173,'Critical resources (hide)'!BH$6:BH$105)+SUMIF(Capacity_Resource,$F173,'Critical resources (hide)'!BH$6:BH$105)&gt;0,$E$1=2),0,1)</f>
        <v>1</v>
      </c>
      <c r="AV173" s="68">
        <f ca="1">IF(AND(SUMIF(Capacity_Resource,$D173,'Critical resources (hide)'!BI$6:BI$105)+SUMIF(Capacity_Resource,$E173,'Critical resources (hide)'!BI$6:BI$105)+SUMIF(Capacity_Resource,$F173,'Critical resources (hide)'!BI$6:BI$105)&gt;0,$E$1=2),0,1)</f>
        <v>1</v>
      </c>
      <c r="AW173" s="68">
        <f ca="1">IF(AND(SUMIF(Capacity_Resource,$D173,'Critical resources (hide)'!BJ$6:BJ$105)+SUMIF(Capacity_Resource,$E173,'Critical resources (hide)'!BJ$6:BJ$105)+SUMIF(Capacity_Resource,$F173,'Critical resources (hide)'!BJ$6:BJ$105)&gt;0,$E$1=2),0,1)</f>
        <v>1</v>
      </c>
      <c r="AX173" s="68">
        <f ca="1">IF(AND(SUMIF(Capacity_Resource,$D173,'Critical resources (hide)'!BK$6:BK$105)+SUMIF(Capacity_Resource,$E173,'Critical resources (hide)'!BK$6:BK$105)+SUMIF(Capacity_Resource,$F173,'Critical resources (hide)'!BK$6:BK$105)&gt;0,$E$1=2),0,1)</f>
        <v>1</v>
      </c>
      <c r="AY173" s="68">
        <f ca="1">IF(AND(SUMIF(Capacity_Resource,$D173,'Critical resources (hide)'!BL$6:BL$105)+SUMIF(Capacity_Resource,$E173,'Critical resources (hide)'!BL$6:BL$105)+SUMIF(Capacity_Resource,$F173,'Critical resources (hide)'!BL$6:BL$105)&gt;0,$E$1=2),0,1)</f>
        <v>1</v>
      </c>
      <c r="AZ173" s="68">
        <f ca="1">IF(AND(SUMIF(Capacity_Resource,$D173,'Critical resources (hide)'!BM$6:BM$105)+SUMIF(Capacity_Resource,$E173,'Critical resources (hide)'!BM$6:BM$105)+SUMIF(Capacity_Resource,$F173,'Critical resources (hide)'!BM$6:BM$105)&gt;0,$E$1=2),0,1)</f>
        <v>1</v>
      </c>
      <c r="BA173" s="68">
        <f ca="1">IF(AND(SUMIF(Capacity_Resource,$D173,'Critical resources (hide)'!BN$6:BN$105)+SUMIF(Capacity_Resource,$E173,'Critical resources (hide)'!BN$6:BN$105)+SUMIF(Capacity_Resource,$F173,'Critical resources (hide)'!BN$6:BN$105)&gt;0,$E$1=2),0,1)</f>
        <v>1</v>
      </c>
      <c r="BB173" s="68">
        <f ca="1">IF(AND(SUMIF(Capacity_Resource,$D173,'Critical resources (hide)'!BO$6:BO$105)+SUMIF(Capacity_Resource,$E173,'Critical resources (hide)'!BO$6:BO$105)+SUMIF(Capacity_Resource,$F173,'Critical resources (hide)'!BO$6:BO$105)&gt;0,$E$1=2),0,1)</f>
        <v>1</v>
      </c>
      <c r="BC173" s="68">
        <f ca="1">IF(AND(SUMIF(Capacity_Resource,$D173,'Critical resources (hide)'!BP$6:BP$105)+SUMIF(Capacity_Resource,$E173,'Critical resources (hide)'!BP$6:BP$105)+SUMIF(Capacity_Resource,$F173,'Critical resources (hide)'!BP$6:BP$105)&gt;0,$E$1=2),0,1)</f>
        <v>1</v>
      </c>
      <c r="BD173" s="68">
        <f ca="1">IF(AND(SUMIF(Capacity_Resource,$D173,'Critical resources (hide)'!BQ$6:BQ$105)+SUMIF(Capacity_Resource,$E173,'Critical resources (hide)'!BQ$6:BQ$105)+SUMIF(Capacity_Resource,$F173,'Critical resources (hide)'!BQ$6:BQ$105)&gt;0,$E$1=2),0,1)</f>
        <v>1</v>
      </c>
      <c r="BE173" s="68">
        <f ca="1">IF(AND(SUMIF(Capacity_Resource,$D173,'Critical resources (hide)'!BR$6:BR$105)+SUMIF(Capacity_Resource,$E173,'Critical resources (hide)'!BR$6:BR$105)+SUMIF(Capacity_Resource,$F173,'Critical resources (hide)'!BR$6:BR$105)&gt;0,$E$1=2),0,1)</f>
        <v>1</v>
      </c>
      <c r="BF173" s="68">
        <f ca="1">IF(AND(SUMIF(Capacity_Resource,$D173,'Critical resources (hide)'!BS$6:BS$105)+SUMIF(Capacity_Resource,$E173,'Critical resources (hide)'!BS$6:BS$105)+SUMIF(Capacity_Resource,$F173,'Critical resources (hide)'!BS$6:BS$105)&gt;0,$E$1=2),0,1)</f>
        <v>1</v>
      </c>
      <c r="BG173" s="68">
        <f ca="1">IF(AND(SUMIF(Capacity_Resource,$D173,'Critical resources (hide)'!BT$6:BT$105)+SUMIF(Capacity_Resource,$E173,'Critical resources (hide)'!BT$6:BT$105)+SUMIF(Capacity_Resource,$F173,'Critical resources (hide)'!BT$6:BT$105)&gt;0,$E$1=2),0,1)</f>
        <v>1</v>
      </c>
      <c r="BH173" s="68">
        <f>IF(ROW(A62)&lt;=Capacity!$M$16,IF('Capacity summary'!$C$14="No",SUM(H173:BG173),'Capacity summary'!$E85),0)</f>
        <v>0</v>
      </c>
      <c r="BI173" s="68" t="str">
        <f>IF(BH173&gt;0,IF(BH173&lt;Capacity!Q78,Capacity!R78,Capacity!T78/'Capacity calculation (hide)'!BH173),"")</f>
        <v/>
      </c>
      <c r="BJ173" s="5"/>
      <c r="BK173" s="5">
        <f>IF($BI173&lt;&gt;"",IF('Capacity summary'!$C$14="Yes",IF(COUNTBLANK('Capacity summary'!$H85:$BG85)&lt;52,IF('Capacity summary'!H85&lt;&gt;"",$BI173*H173,0),H173*$BI173),H173*$BI173),0)</f>
        <v>0</v>
      </c>
      <c r="BL173" s="5">
        <f>IF($BI173&lt;&gt;"",IF('Capacity summary'!$C$14="Yes",IF(COUNTBLANK('Capacity summary'!$H85:$BG85)&lt;52,IF('Capacity summary'!I85&lt;&gt;"",$BI173*I173,0),I173*$BI173),I173*$BI173),0)</f>
        <v>0</v>
      </c>
      <c r="BM173" s="5">
        <f>IF($BI173&lt;&gt;"",IF('Capacity summary'!$C$14="Yes",IF(COUNTBLANK('Capacity summary'!$H85:$BG85)&lt;52,IF('Capacity summary'!J85&lt;&gt;"",$BI173*J173,0),J173*$BI173),J173*$BI173),0)</f>
        <v>0</v>
      </c>
      <c r="BN173" s="5">
        <f>IF($BI173&lt;&gt;"",IF('Capacity summary'!$C$14="Yes",IF(COUNTBLANK('Capacity summary'!$H85:$BG85)&lt;52,IF('Capacity summary'!K85&lt;&gt;"",$BI173*K173,0),K173*$BI173),K173*$BI173),0)</f>
        <v>0</v>
      </c>
      <c r="BO173" s="5">
        <f>IF($BI173&lt;&gt;"",IF('Capacity summary'!$C$14="Yes",IF(COUNTBLANK('Capacity summary'!$H85:$BG85)&lt;52,IF('Capacity summary'!L85&lt;&gt;"",$BI173*L173,0),L173*$BI173),L173*$BI173),0)</f>
        <v>0</v>
      </c>
      <c r="BP173" s="5">
        <f>IF($BI173&lt;&gt;"",IF('Capacity summary'!$C$14="Yes",IF(COUNTBLANK('Capacity summary'!$H85:$BG85)&lt;52,IF('Capacity summary'!M85&lt;&gt;"",$BI173*M173,0),M173*$BI173),M173*$BI173),0)</f>
        <v>0</v>
      </c>
      <c r="BQ173" s="5">
        <f>IF($BI173&lt;&gt;"",IF('Capacity summary'!$C$14="Yes",IF(COUNTBLANK('Capacity summary'!$H85:$BG85)&lt;52,IF('Capacity summary'!N85&lt;&gt;"",$BI173*N173,0),N173*$BI173),N173*$BI173),0)</f>
        <v>0</v>
      </c>
      <c r="BR173" s="5">
        <f>IF($BI173&lt;&gt;"",IF('Capacity summary'!$C$14="Yes",IF(COUNTBLANK('Capacity summary'!$H85:$BG85)&lt;52,IF('Capacity summary'!O85&lt;&gt;"",$BI173*O173,0),O173*$BI173),O173*$BI173),0)</f>
        <v>0</v>
      </c>
      <c r="BS173" s="5">
        <f>IF($BI173&lt;&gt;"",IF('Capacity summary'!$C$14="Yes",IF(COUNTBLANK('Capacity summary'!$H85:$BG85)&lt;52,IF('Capacity summary'!P85&lt;&gt;"",$BI173*P173,0),P173*$BI173),P173*$BI173),0)</f>
        <v>0</v>
      </c>
      <c r="BT173" s="5">
        <f>IF($BI173&lt;&gt;"",IF('Capacity summary'!$C$14="Yes",IF(COUNTBLANK('Capacity summary'!$H85:$BG85)&lt;52,IF('Capacity summary'!Q85&lt;&gt;"",$BI173*Q173,0),Q173*$BI173),Q173*$BI173),0)</f>
        <v>0</v>
      </c>
      <c r="BU173" s="5">
        <f>IF($BI173&lt;&gt;"",IF('Capacity summary'!$C$14="Yes",IF(COUNTBLANK('Capacity summary'!$H85:$BG85)&lt;52,IF('Capacity summary'!R85&lt;&gt;"",$BI173*R173,0),R173*$BI173),R173*$BI173),0)</f>
        <v>0</v>
      </c>
      <c r="BV173" s="5">
        <f>IF($BI173&lt;&gt;"",IF('Capacity summary'!$C$14="Yes",IF(COUNTBLANK('Capacity summary'!$H85:$BG85)&lt;52,IF('Capacity summary'!S85&lt;&gt;"",$BI173*S173,0),S173*$BI173),S173*$BI173),0)</f>
        <v>0</v>
      </c>
      <c r="BW173" s="5">
        <f>IF($BI173&lt;&gt;"",IF('Capacity summary'!$C$14="Yes",IF(COUNTBLANK('Capacity summary'!$H85:$BG85)&lt;52,IF('Capacity summary'!T85&lt;&gt;"",$BI173*T173,0),T173*$BI173),T173*$BI173),0)</f>
        <v>0</v>
      </c>
      <c r="BX173" s="5">
        <f>IF($BI173&lt;&gt;"",IF('Capacity summary'!$C$14="Yes",IF(COUNTBLANK('Capacity summary'!$H85:$BG85)&lt;52,IF('Capacity summary'!U85&lt;&gt;"",$BI173*U173,0),U173*$BI173),U173*$BI173),0)</f>
        <v>0</v>
      </c>
      <c r="BY173" s="5">
        <f>IF($BI173&lt;&gt;"",IF('Capacity summary'!$C$14="Yes",IF(COUNTBLANK('Capacity summary'!$H85:$BG85)&lt;52,IF('Capacity summary'!V85&lt;&gt;"",$BI173*V173,0),V173*$BI173),V173*$BI173),0)</f>
        <v>0</v>
      </c>
      <c r="BZ173" s="5">
        <f>IF($BI173&lt;&gt;"",IF('Capacity summary'!$C$14="Yes",IF(COUNTBLANK('Capacity summary'!$H85:$BG85)&lt;52,IF('Capacity summary'!W85&lt;&gt;"",$BI173*W173,0),W173*$BI173),W173*$BI173),0)</f>
        <v>0</v>
      </c>
      <c r="CA173" s="5">
        <f>IF($BI173&lt;&gt;"",IF('Capacity summary'!$C$14="Yes",IF(COUNTBLANK('Capacity summary'!$H85:$BG85)&lt;52,IF('Capacity summary'!X85&lt;&gt;"",$BI173*X173,0),X173*$BI173),X173*$BI173),0)</f>
        <v>0</v>
      </c>
      <c r="CB173" s="5">
        <f>IF($BI173&lt;&gt;"",IF('Capacity summary'!$C$14="Yes",IF(COUNTBLANK('Capacity summary'!$H85:$BG85)&lt;52,IF('Capacity summary'!Y85&lt;&gt;"",$BI173*Y173,0),Y173*$BI173),Y173*$BI173),0)</f>
        <v>0</v>
      </c>
      <c r="CC173" s="5">
        <f>IF($BI173&lt;&gt;"",IF('Capacity summary'!$C$14="Yes",IF(COUNTBLANK('Capacity summary'!$H85:$BG85)&lt;52,IF('Capacity summary'!Z85&lt;&gt;"",$BI173*Z173,0),Z173*$BI173),Z173*$BI173),0)</f>
        <v>0</v>
      </c>
      <c r="CD173" s="5">
        <f>IF($BI173&lt;&gt;"",IF('Capacity summary'!$C$14="Yes",IF(COUNTBLANK('Capacity summary'!$H85:$BG85)&lt;52,IF('Capacity summary'!AA85&lt;&gt;"",$BI173*AA173,0),AA173*$BI173),AA173*$BI173),0)</f>
        <v>0</v>
      </c>
      <c r="CE173" s="5">
        <f>IF($BI173&lt;&gt;"",IF('Capacity summary'!$C$14="Yes",IF(COUNTBLANK('Capacity summary'!$H85:$BG85)&lt;52,IF('Capacity summary'!AB85&lt;&gt;"",$BI173*AB173,0),AB173*$BI173),AB173*$BI173),0)</f>
        <v>0</v>
      </c>
      <c r="CF173" s="5">
        <f>IF($BI173&lt;&gt;"",IF('Capacity summary'!$C$14="Yes",IF(COUNTBLANK('Capacity summary'!$H85:$BG85)&lt;52,IF('Capacity summary'!AC85&lt;&gt;"",$BI173*AC173,0),AC173*$BI173),AC173*$BI173),0)</f>
        <v>0</v>
      </c>
      <c r="CG173" s="5">
        <f>IF($BI173&lt;&gt;"",IF('Capacity summary'!$C$14="Yes",IF(COUNTBLANK('Capacity summary'!$H85:$BG85)&lt;52,IF('Capacity summary'!AD85&lt;&gt;"",$BI173*AD173,0),AD173*$BI173),AD173*$BI173),0)</f>
        <v>0</v>
      </c>
      <c r="CH173" s="5">
        <f>IF($BI173&lt;&gt;"",IF('Capacity summary'!$C$14="Yes",IF(COUNTBLANK('Capacity summary'!$H85:$BG85)&lt;52,IF('Capacity summary'!AE85&lt;&gt;"",$BI173*AE173,0),AE173*$BI173),AE173*$BI173),0)</f>
        <v>0</v>
      </c>
      <c r="CI173" s="5">
        <f>IF($BI173&lt;&gt;"",IF('Capacity summary'!$C$14="Yes",IF(COUNTBLANK('Capacity summary'!$H85:$BG85)&lt;52,IF('Capacity summary'!AF85&lt;&gt;"",$BI173*AF173,0),AF173*$BI173),AF173*$BI173),0)</f>
        <v>0</v>
      </c>
      <c r="CJ173" s="5">
        <f>IF($BI173&lt;&gt;"",IF('Capacity summary'!$C$14="Yes",IF(COUNTBLANK('Capacity summary'!$H85:$BG85)&lt;52,IF('Capacity summary'!AG85&lt;&gt;"",$BI173*AG173,0),AG173*$BI173),AG173*$BI173),0)</f>
        <v>0</v>
      </c>
      <c r="CK173" s="5">
        <f>IF($BI173&lt;&gt;"",IF('Capacity summary'!$C$14="Yes",IF(COUNTBLANK('Capacity summary'!$H85:$BG85)&lt;52,IF('Capacity summary'!AH85&lt;&gt;"",$BI173*AH173,0),AH173*$BI173),AH173*$BI173),0)</f>
        <v>0</v>
      </c>
      <c r="CL173" s="5">
        <f>IF($BI173&lt;&gt;"",IF('Capacity summary'!$C$14="Yes",IF(COUNTBLANK('Capacity summary'!$H85:$BG85)&lt;52,IF('Capacity summary'!AI85&lt;&gt;"",$BI173*AI173,0),AI173*$BI173),AI173*$BI173),0)</f>
        <v>0</v>
      </c>
      <c r="CM173" s="5">
        <f>IF($BI173&lt;&gt;"",IF('Capacity summary'!$C$14="Yes",IF(COUNTBLANK('Capacity summary'!$H85:$BG85)&lt;52,IF('Capacity summary'!AJ85&lt;&gt;"",$BI173*AJ173,0),AJ173*$BI173),AJ173*$BI173),0)</f>
        <v>0</v>
      </c>
      <c r="CN173" s="5">
        <f>IF($BI173&lt;&gt;"",IF('Capacity summary'!$C$14="Yes",IF(COUNTBLANK('Capacity summary'!$H85:$BG85)&lt;52,IF('Capacity summary'!AK85&lt;&gt;"",$BI173*AK173,0),AK173*$BI173),AK173*$BI173),0)</f>
        <v>0</v>
      </c>
      <c r="CO173" s="5">
        <f>IF($BI173&lt;&gt;"",IF('Capacity summary'!$C$14="Yes",IF(COUNTBLANK('Capacity summary'!$H85:$BG85)&lt;52,IF('Capacity summary'!AL85&lt;&gt;"",$BI173*AL173,0),AL173*$BI173),AL173*$BI173),0)</f>
        <v>0</v>
      </c>
      <c r="CP173" s="5">
        <f>IF($BI173&lt;&gt;"",IF('Capacity summary'!$C$14="Yes",IF(COUNTBLANK('Capacity summary'!$H85:$BG85)&lt;52,IF('Capacity summary'!AM85&lt;&gt;"",$BI173*AM173,0),AM173*$BI173),AM173*$BI173),0)</f>
        <v>0</v>
      </c>
      <c r="CQ173" s="5">
        <f>IF($BI173&lt;&gt;"",IF('Capacity summary'!$C$14="Yes",IF(COUNTBLANK('Capacity summary'!$H85:$BG85)&lt;52,IF('Capacity summary'!AN85&lt;&gt;"",$BI173*AN173,0),AN173*$BI173),AN173*$BI173),0)</f>
        <v>0</v>
      </c>
      <c r="CR173" s="5">
        <f>IF($BI173&lt;&gt;"",IF('Capacity summary'!$C$14="Yes",IF(COUNTBLANK('Capacity summary'!$H85:$BG85)&lt;52,IF('Capacity summary'!AO85&lt;&gt;"",$BI173*AO173,0),AO173*$BI173),AO173*$BI173),0)</f>
        <v>0</v>
      </c>
      <c r="CS173" s="5">
        <f>IF($BI173&lt;&gt;"",IF('Capacity summary'!$C$14="Yes",IF(COUNTBLANK('Capacity summary'!$H85:$BG85)&lt;52,IF('Capacity summary'!AP85&lt;&gt;"",$BI173*AP173,0),AP173*$BI173),AP173*$BI173),0)</f>
        <v>0</v>
      </c>
      <c r="CT173" s="5">
        <f>IF($BI173&lt;&gt;"",IF('Capacity summary'!$C$14="Yes",IF(COUNTBLANK('Capacity summary'!$H85:$BG85)&lt;52,IF('Capacity summary'!AQ85&lt;&gt;"",$BI173*AQ173,0),AQ173*$BI173),AQ173*$BI173),0)</f>
        <v>0</v>
      </c>
      <c r="CU173" s="5">
        <f>IF($BI173&lt;&gt;"",IF('Capacity summary'!$C$14="Yes",IF(COUNTBLANK('Capacity summary'!$H85:$BG85)&lt;52,IF('Capacity summary'!AR85&lt;&gt;"",$BI173*AR173,0),AR173*$BI173),AR173*$BI173),0)</f>
        <v>0</v>
      </c>
      <c r="CV173" s="5">
        <f>IF($BI173&lt;&gt;"",IF('Capacity summary'!$C$14="Yes",IF(COUNTBLANK('Capacity summary'!$H85:$BG85)&lt;52,IF('Capacity summary'!AS85&lt;&gt;"",$BI173*AS173,0),AS173*$BI173),AS173*$BI173),0)</f>
        <v>0</v>
      </c>
      <c r="CW173" s="5">
        <f>IF($BI173&lt;&gt;"",IF('Capacity summary'!$C$14="Yes",IF(COUNTBLANK('Capacity summary'!$H85:$BG85)&lt;52,IF('Capacity summary'!AT85&lt;&gt;"",$BI173*AT173,0),AT173*$BI173),AT173*$BI173),0)</f>
        <v>0</v>
      </c>
      <c r="CX173" s="5">
        <f>IF($BI173&lt;&gt;"",IF('Capacity summary'!$C$14="Yes",IF(COUNTBLANK('Capacity summary'!$H85:$BG85)&lt;52,IF('Capacity summary'!AU85&lt;&gt;"",$BI173*AU173,0),AU173*$BI173),AU173*$BI173),0)</f>
        <v>0</v>
      </c>
      <c r="CY173" s="5">
        <f>IF($BI173&lt;&gt;"",IF('Capacity summary'!$C$14="Yes",IF(COUNTBLANK('Capacity summary'!$H85:$BG85)&lt;52,IF('Capacity summary'!AV85&lt;&gt;"",$BI173*AV173,0),AV173*$BI173),AV173*$BI173),0)</f>
        <v>0</v>
      </c>
      <c r="CZ173" s="5">
        <f>IF($BI173&lt;&gt;"",IF('Capacity summary'!$C$14="Yes",IF(COUNTBLANK('Capacity summary'!$H85:$BG85)&lt;52,IF('Capacity summary'!AW85&lt;&gt;"",$BI173*AW173,0),AW173*$BI173),AW173*$BI173),0)</f>
        <v>0</v>
      </c>
      <c r="DA173" s="5">
        <f>IF($BI173&lt;&gt;"",IF('Capacity summary'!$C$14="Yes",IF(COUNTBLANK('Capacity summary'!$H85:$BG85)&lt;52,IF('Capacity summary'!AX85&lt;&gt;"",$BI173*AX173,0),AX173*$BI173),AX173*$BI173),0)</f>
        <v>0</v>
      </c>
      <c r="DB173" s="5">
        <f>IF($BI173&lt;&gt;"",IF('Capacity summary'!$C$14="Yes",IF(COUNTBLANK('Capacity summary'!$H85:$BG85)&lt;52,IF('Capacity summary'!AY85&lt;&gt;"",$BI173*AY173,0),AY173*$BI173),AY173*$BI173),0)</f>
        <v>0</v>
      </c>
      <c r="DC173" s="5">
        <f>IF($BI173&lt;&gt;"",IF('Capacity summary'!$C$14="Yes",IF(COUNTBLANK('Capacity summary'!$H85:$BG85)&lt;52,IF('Capacity summary'!AZ85&lt;&gt;"",$BI173*AZ173,0),AZ173*$BI173),AZ173*$BI173),0)</f>
        <v>0</v>
      </c>
      <c r="DD173" s="5">
        <f>IF($BI173&lt;&gt;"",IF('Capacity summary'!$C$14="Yes",IF(COUNTBLANK('Capacity summary'!$H85:$BG85)&lt;52,IF('Capacity summary'!BA85&lt;&gt;"",$BI173*BA173,0),BA173*$BI173),BA173*$BI173),0)</f>
        <v>0</v>
      </c>
      <c r="DE173" s="5">
        <f>IF($BI173&lt;&gt;"",IF('Capacity summary'!$C$14="Yes",IF(COUNTBLANK('Capacity summary'!$H85:$BG85)&lt;52,IF('Capacity summary'!BB85&lt;&gt;"",$BI173*BB173,0),BB173*$BI173),BB173*$BI173),0)</f>
        <v>0</v>
      </c>
      <c r="DF173" s="5">
        <f>IF($BI173&lt;&gt;"",IF('Capacity summary'!$C$14="Yes",IF(COUNTBLANK('Capacity summary'!$H85:$BG85)&lt;52,IF('Capacity summary'!BC85&lt;&gt;"",$BI173*BC173,0),BC173*$BI173),BC173*$BI173),0)</f>
        <v>0</v>
      </c>
      <c r="DG173" s="5">
        <f>IF($BI173&lt;&gt;"",IF('Capacity summary'!$C$14="Yes",IF(COUNTBLANK('Capacity summary'!$H85:$BG85)&lt;52,IF('Capacity summary'!BD85&lt;&gt;"",$BI173*BD173,0),BD173*$BI173),BD173*$BI173),0)</f>
        <v>0</v>
      </c>
      <c r="DH173" s="5">
        <f>IF($BI173&lt;&gt;"",IF('Capacity summary'!$C$14="Yes",IF(COUNTBLANK('Capacity summary'!$H85:$BG85)&lt;52,IF('Capacity summary'!BE85&lt;&gt;"",$BI173*BE173,0),BE173*$BI173),BE173*$BI173),0)</f>
        <v>0</v>
      </c>
      <c r="DI173" s="5">
        <f>IF($BI173&lt;&gt;"",IF('Capacity summary'!$C$14="Yes",IF(COUNTBLANK('Capacity summary'!$H85:$BG85)&lt;52,IF('Capacity summary'!BF85&lt;&gt;"",$BI173*BF173,0),BF173*$BI173),BF173*$BI173),0)</f>
        <v>0</v>
      </c>
      <c r="DJ173" s="5">
        <f>IF($BI173&lt;&gt;"",IF('Capacity summary'!$C$14="Yes",IF(COUNTBLANK('Capacity summary'!$H85:$BG85)&lt;52,IF('Capacity summary'!BG85&lt;&gt;"",$BI173*BG173,0),BG173*$BI173),BG173*$BI173),0)</f>
        <v>0</v>
      </c>
      <c r="DK173" s="138">
        <f t="shared" si="6"/>
        <v>0</v>
      </c>
    </row>
    <row r="174" spans="3:115" x14ac:dyDescent="0.2">
      <c r="C174" s="68" t="str">
        <f>ROW(A63)&amp;". "&amp;Capacity!N79</f>
        <v xml:space="preserve">63. </v>
      </c>
      <c r="D174" s="68">
        <f>'Capacity setup'!C180</f>
        <v>0</v>
      </c>
      <c r="E174" s="68">
        <f>'Capacity setup'!D180</f>
        <v>0</v>
      </c>
      <c r="F174" s="68">
        <f>'Capacity setup'!E180</f>
        <v>0</v>
      </c>
      <c r="H174" s="68">
        <f ca="1">IF(AND(SUMIF(Capacity_Resource,$D174,'Critical resources (hide)'!U$6:U$105)+SUMIF(Capacity_Resource,$E174,'Critical resources (hide)'!U$6:U$105)+SUMIF(Capacity_Resource,$F174,'Critical resources (hide)'!U$6:U$105)&gt;0,$E$1=2),0,1)</f>
        <v>1</v>
      </c>
      <c r="I174" s="68">
        <f ca="1">IF(AND(SUMIF(Capacity_Resource,$D174,'Critical resources (hide)'!V$6:V$105)+SUMIF(Capacity_Resource,$E174,'Critical resources (hide)'!V$6:V$105)+SUMIF(Capacity_Resource,$F174,'Critical resources (hide)'!V$6:V$105)&gt;0,$E$1=2),0,1)</f>
        <v>1</v>
      </c>
      <c r="J174" s="68">
        <f ca="1">IF(AND(SUMIF(Capacity_Resource,$D174,'Critical resources (hide)'!W$6:W$105)+SUMIF(Capacity_Resource,$E174,'Critical resources (hide)'!W$6:W$105)+SUMIF(Capacity_Resource,$F174,'Critical resources (hide)'!W$6:W$105)&gt;0,$E$1=2),0,1)</f>
        <v>1</v>
      </c>
      <c r="K174" s="68">
        <f ca="1">IF(AND(SUMIF(Capacity_Resource,$D174,'Critical resources (hide)'!X$6:X$105)+SUMIF(Capacity_Resource,$E174,'Critical resources (hide)'!X$6:X$105)+SUMIF(Capacity_Resource,$F174,'Critical resources (hide)'!X$6:X$105)&gt;0,$E$1=2),0,1)</f>
        <v>1</v>
      </c>
      <c r="L174" s="68">
        <f ca="1">IF(AND(SUMIF(Capacity_Resource,$D174,'Critical resources (hide)'!Y$6:Y$105)+SUMIF(Capacity_Resource,$E174,'Critical resources (hide)'!Y$6:Y$105)+SUMIF(Capacity_Resource,$F174,'Critical resources (hide)'!Y$6:Y$105)&gt;0,$E$1=2),0,1)</f>
        <v>1</v>
      </c>
      <c r="M174" s="68">
        <f ca="1">IF(AND(SUMIF(Capacity_Resource,$D174,'Critical resources (hide)'!Z$6:Z$105)+SUMIF(Capacity_Resource,$E174,'Critical resources (hide)'!Z$6:Z$105)+SUMIF(Capacity_Resource,$F174,'Critical resources (hide)'!Z$6:Z$105)&gt;0,$E$1=2),0,1)</f>
        <v>1</v>
      </c>
      <c r="N174" s="68">
        <f ca="1">IF(AND(SUMIF(Capacity_Resource,$D174,'Critical resources (hide)'!AA$6:AA$105)+SUMIF(Capacity_Resource,$E174,'Critical resources (hide)'!AA$6:AA$105)+SUMIF(Capacity_Resource,$F174,'Critical resources (hide)'!AA$6:AA$105)&gt;0,$E$1=2),0,1)</f>
        <v>1</v>
      </c>
      <c r="O174" s="68">
        <f ca="1">IF(AND(SUMIF(Capacity_Resource,$D174,'Critical resources (hide)'!AB$6:AB$105)+SUMIF(Capacity_Resource,$E174,'Critical resources (hide)'!AB$6:AB$105)+SUMIF(Capacity_Resource,$F174,'Critical resources (hide)'!AB$6:AB$105)&gt;0,$E$1=2),0,1)</f>
        <v>1</v>
      </c>
      <c r="P174" s="68">
        <f ca="1">IF(AND(SUMIF(Capacity_Resource,$D174,'Critical resources (hide)'!AC$6:AC$105)+SUMIF(Capacity_Resource,$E174,'Critical resources (hide)'!AC$6:AC$105)+SUMIF(Capacity_Resource,$F174,'Critical resources (hide)'!AC$6:AC$105)&gt;0,$E$1=2),0,1)</f>
        <v>1</v>
      </c>
      <c r="Q174" s="68">
        <f ca="1">IF(AND(SUMIF(Capacity_Resource,$D174,'Critical resources (hide)'!AD$6:AD$105)+SUMIF(Capacity_Resource,$E174,'Critical resources (hide)'!AD$6:AD$105)+SUMIF(Capacity_Resource,$F174,'Critical resources (hide)'!AD$6:AD$105)&gt;0,$E$1=2),0,1)</f>
        <v>1</v>
      </c>
      <c r="R174" s="68">
        <f ca="1">IF(AND(SUMIF(Capacity_Resource,$D174,'Critical resources (hide)'!AE$6:AE$105)+SUMIF(Capacity_Resource,$E174,'Critical resources (hide)'!AE$6:AE$105)+SUMIF(Capacity_Resource,$F174,'Critical resources (hide)'!AE$6:AE$105)&gt;0,$E$1=2),0,1)</f>
        <v>1</v>
      </c>
      <c r="S174" s="68">
        <f ca="1">IF(AND(SUMIF(Capacity_Resource,$D174,'Critical resources (hide)'!AF$6:AF$105)+SUMIF(Capacity_Resource,$E174,'Critical resources (hide)'!AF$6:AF$105)+SUMIF(Capacity_Resource,$F174,'Critical resources (hide)'!AF$6:AF$105)&gt;0,$E$1=2),0,1)</f>
        <v>1</v>
      </c>
      <c r="T174" s="68">
        <f ca="1">IF(AND(SUMIF(Capacity_Resource,$D174,'Critical resources (hide)'!AG$6:AG$105)+SUMIF(Capacity_Resource,$E174,'Critical resources (hide)'!AG$6:AG$105)+SUMIF(Capacity_Resource,$F174,'Critical resources (hide)'!AG$6:AG$105)&gt;0,$E$1=2),0,1)</f>
        <v>1</v>
      </c>
      <c r="U174" s="68">
        <f ca="1">IF(AND(SUMIF(Capacity_Resource,$D174,'Critical resources (hide)'!AH$6:AH$105)+SUMIF(Capacity_Resource,$E174,'Critical resources (hide)'!AH$6:AH$105)+SUMIF(Capacity_Resource,$F174,'Critical resources (hide)'!AH$6:AH$105)&gt;0,$E$1=2),0,1)</f>
        <v>1</v>
      </c>
      <c r="V174" s="68">
        <f ca="1">IF(AND(SUMIF(Capacity_Resource,$D174,'Critical resources (hide)'!AI$6:AI$105)+SUMIF(Capacity_Resource,$E174,'Critical resources (hide)'!AI$6:AI$105)+SUMIF(Capacity_Resource,$F174,'Critical resources (hide)'!AI$6:AI$105)&gt;0,$E$1=2),0,1)</f>
        <v>1</v>
      </c>
      <c r="W174" s="68">
        <f ca="1">IF(AND(SUMIF(Capacity_Resource,$D174,'Critical resources (hide)'!AJ$6:AJ$105)+SUMIF(Capacity_Resource,$E174,'Critical resources (hide)'!AJ$6:AJ$105)+SUMIF(Capacity_Resource,$F174,'Critical resources (hide)'!AJ$6:AJ$105)&gt;0,$E$1=2),0,1)</f>
        <v>1</v>
      </c>
      <c r="X174" s="68">
        <f ca="1">IF(AND(SUMIF(Capacity_Resource,$D174,'Critical resources (hide)'!AK$6:AK$105)+SUMIF(Capacity_Resource,$E174,'Critical resources (hide)'!AK$6:AK$105)+SUMIF(Capacity_Resource,$F174,'Critical resources (hide)'!AK$6:AK$105)&gt;0,$E$1=2),0,1)</f>
        <v>1</v>
      </c>
      <c r="Y174" s="68">
        <f ca="1">IF(AND(SUMIF(Capacity_Resource,$D174,'Critical resources (hide)'!AL$6:AL$105)+SUMIF(Capacity_Resource,$E174,'Critical resources (hide)'!AL$6:AL$105)+SUMIF(Capacity_Resource,$F174,'Critical resources (hide)'!AL$6:AL$105)&gt;0,$E$1=2),0,1)</f>
        <v>1</v>
      </c>
      <c r="Z174" s="68">
        <f ca="1">IF(AND(SUMIF(Capacity_Resource,$D174,'Critical resources (hide)'!AM$6:AM$105)+SUMIF(Capacity_Resource,$E174,'Critical resources (hide)'!AM$6:AM$105)+SUMIF(Capacity_Resource,$F174,'Critical resources (hide)'!AM$6:AM$105)&gt;0,$E$1=2),0,1)</f>
        <v>1</v>
      </c>
      <c r="AA174" s="68">
        <f ca="1">IF(AND(SUMIF(Capacity_Resource,$D174,'Critical resources (hide)'!AN$6:AN$105)+SUMIF(Capacity_Resource,$E174,'Critical resources (hide)'!AN$6:AN$105)+SUMIF(Capacity_Resource,$F174,'Critical resources (hide)'!AN$6:AN$105)&gt;0,$E$1=2),0,1)</f>
        <v>1</v>
      </c>
      <c r="AB174" s="68">
        <f ca="1">IF(AND(SUMIF(Capacity_Resource,$D174,'Critical resources (hide)'!AO$6:AO$105)+SUMIF(Capacity_Resource,$E174,'Critical resources (hide)'!AO$6:AO$105)+SUMIF(Capacity_Resource,$F174,'Critical resources (hide)'!AO$6:AO$105)&gt;0,$E$1=2),0,1)</f>
        <v>1</v>
      </c>
      <c r="AC174" s="68">
        <f ca="1">IF(AND(SUMIF(Capacity_Resource,$D174,'Critical resources (hide)'!AP$6:AP$105)+SUMIF(Capacity_Resource,$E174,'Critical resources (hide)'!AP$6:AP$105)+SUMIF(Capacity_Resource,$F174,'Critical resources (hide)'!AP$6:AP$105)&gt;0,$E$1=2),0,1)</f>
        <v>1</v>
      </c>
      <c r="AD174" s="68">
        <f ca="1">IF(AND(SUMIF(Capacity_Resource,$D174,'Critical resources (hide)'!AQ$6:AQ$105)+SUMIF(Capacity_Resource,$E174,'Critical resources (hide)'!AQ$6:AQ$105)+SUMIF(Capacity_Resource,$F174,'Critical resources (hide)'!AQ$6:AQ$105)&gt;0,$E$1=2),0,1)</f>
        <v>1</v>
      </c>
      <c r="AE174" s="68">
        <f ca="1">IF(AND(SUMIF(Capacity_Resource,$D174,'Critical resources (hide)'!AR$6:AR$105)+SUMIF(Capacity_Resource,$E174,'Critical resources (hide)'!AR$6:AR$105)+SUMIF(Capacity_Resource,$F174,'Critical resources (hide)'!AR$6:AR$105)&gt;0,$E$1=2),0,1)</f>
        <v>1</v>
      </c>
      <c r="AF174" s="68">
        <f ca="1">IF(AND(SUMIF(Capacity_Resource,$D174,'Critical resources (hide)'!AS$6:AS$105)+SUMIF(Capacity_Resource,$E174,'Critical resources (hide)'!AS$6:AS$105)+SUMIF(Capacity_Resource,$F174,'Critical resources (hide)'!AS$6:AS$105)&gt;0,$E$1=2),0,1)</f>
        <v>1</v>
      </c>
      <c r="AG174" s="68">
        <f ca="1">IF(AND(SUMIF(Capacity_Resource,$D174,'Critical resources (hide)'!AT$6:AT$105)+SUMIF(Capacity_Resource,$E174,'Critical resources (hide)'!AT$6:AT$105)+SUMIF(Capacity_Resource,$F174,'Critical resources (hide)'!AT$6:AT$105)&gt;0,$E$1=2),0,1)</f>
        <v>1</v>
      </c>
      <c r="AH174" s="68">
        <f ca="1">IF(AND(SUMIF(Capacity_Resource,$D174,'Critical resources (hide)'!AU$6:AU$105)+SUMIF(Capacity_Resource,$E174,'Critical resources (hide)'!AU$6:AU$105)+SUMIF(Capacity_Resource,$F174,'Critical resources (hide)'!AU$6:AU$105)&gt;0,$E$1=2),0,1)</f>
        <v>1</v>
      </c>
      <c r="AI174" s="68">
        <f ca="1">IF(AND(SUMIF(Capacity_Resource,$D174,'Critical resources (hide)'!AV$6:AV$105)+SUMIF(Capacity_Resource,$E174,'Critical resources (hide)'!AV$6:AV$105)+SUMIF(Capacity_Resource,$F174,'Critical resources (hide)'!AV$6:AV$105)&gt;0,$E$1=2),0,1)</f>
        <v>1</v>
      </c>
      <c r="AJ174" s="68">
        <f ca="1">IF(AND(SUMIF(Capacity_Resource,$D174,'Critical resources (hide)'!AW$6:AW$105)+SUMIF(Capacity_Resource,$E174,'Critical resources (hide)'!AW$6:AW$105)+SUMIF(Capacity_Resource,$F174,'Critical resources (hide)'!AW$6:AW$105)&gt;0,$E$1=2),0,1)</f>
        <v>1</v>
      </c>
      <c r="AK174" s="68">
        <f ca="1">IF(AND(SUMIF(Capacity_Resource,$D174,'Critical resources (hide)'!AX$6:AX$105)+SUMIF(Capacity_Resource,$E174,'Critical resources (hide)'!AX$6:AX$105)+SUMIF(Capacity_Resource,$F174,'Critical resources (hide)'!AX$6:AX$105)&gt;0,$E$1=2),0,1)</f>
        <v>1</v>
      </c>
      <c r="AL174" s="68">
        <f ca="1">IF(AND(SUMIF(Capacity_Resource,$D174,'Critical resources (hide)'!AY$6:AY$105)+SUMIF(Capacity_Resource,$E174,'Critical resources (hide)'!AY$6:AY$105)+SUMIF(Capacity_Resource,$F174,'Critical resources (hide)'!AY$6:AY$105)&gt;0,$E$1=2),0,1)</f>
        <v>1</v>
      </c>
      <c r="AM174" s="68">
        <f ca="1">IF(AND(SUMIF(Capacity_Resource,$D174,'Critical resources (hide)'!AZ$6:AZ$105)+SUMIF(Capacity_Resource,$E174,'Critical resources (hide)'!AZ$6:AZ$105)+SUMIF(Capacity_Resource,$F174,'Critical resources (hide)'!AZ$6:AZ$105)&gt;0,$E$1=2),0,1)</f>
        <v>1</v>
      </c>
      <c r="AN174" s="68">
        <f ca="1">IF(AND(SUMIF(Capacity_Resource,$D174,'Critical resources (hide)'!BA$6:BA$105)+SUMIF(Capacity_Resource,$E174,'Critical resources (hide)'!BA$6:BA$105)+SUMIF(Capacity_Resource,$F174,'Critical resources (hide)'!BA$6:BA$105)&gt;0,$E$1=2),0,1)</f>
        <v>1</v>
      </c>
      <c r="AO174" s="68">
        <f ca="1">IF(AND(SUMIF(Capacity_Resource,$D174,'Critical resources (hide)'!BB$6:BB$105)+SUMIF(Capacity_Resource,$E174,'Critical resources (hide)'!BB$6:BB$105)+SUMIF(Capacity_Resource,$F174,'Critical resources (hide)'!BB$6:BB$105)&gt;0,$E$1=2),0,1)</f>
        <v>1</v>
      </c>
      <c r="AP174" s="68">
        <f ca="1">IF(AND(SUMIF(Capacity_Resource,$D174,'Critical resources (hide)'!BC$6:BC$105)+SUMIF(Capacity_Resource,$E174,'Critical resources (hide)'!BC$6:BC$105)+SUMIF(Capacity_Resource,$F174,'Critical resources (hide)'!BC$6:BC$105)&gt;0,$E$1=2),0,1)</f>
        <v>1</v>
      </c>
      <c r="AQ174" s="68">
        <f ca="1">IF(AND(SUMIF(Capacity_Resource,$D174,'Critical resources (hide)'!BD$6:BD$105)+SUMIF(Capacity_Resource,$E174,'Critical resources (hide)'!BD$6:BD$105)+SUMIF(Capacity_Resource,$F174,'Critical resources (hide)'!BD$6:BD$105)&gt;0,$E$1=2),0,1)</f>
        <v>1</v>
      </c>
      <c r="AR174" s="68">
        <f ca="1">IF(AND(SUMIF(Capacity_Resource,$D174,'Critical resources (hide)'!BE$6:BE$105)+SUMIF(Capacity_Resource,$E174,'Critical resources (hide)'!BE$6:BE$105)+SUMIF(Capacity_Resource,$F174,'Critical resources (hide)'!BE$6:BE$105)&gt;0,$E$1=2),0,1)</f>
        <v>1</v>
      </c>
      <c r="AS174" s="68">
        <f ca="1">IF(AND(SUMIF(Capacity_Resource,$D174,'Critical resources (hide)'!BF$6:BF$105)+SUMIF(Capacity_Resource,$E174,'Critical resources (hide)'!BF$6:BF$105)+SUMIF(Capacity_Resource,$F174,'Critical resources (hide)'!BF$6:BF$105)&gt;0,$E$1=2),0,1)</f>
        <v>1</v>
      </c>
      <c r="AT174" s="68">
        <f ca="1">IF(AND(SUMIF(Capacity_Resource,$D174,'Critical resources (hide)'!BG$6:BG$105)+SUMIF(Capacity_Resource,$E174,'Critical resources (hide)'!BG$6:BG$105)+SUMIF(Capacity_Resource,$F174,'Critical resources (hide)'!BG$6:BG$105)&gt;0,$E$1=2),0,1)</f>
        <v>1</v>
      </c>
      <c r="AU174" s="68">
        <f ca="1">IF(AND(SUMIF(Capacity_Resource,$D174,'Critical resources (hide)'!BH$6:BH$105)+SUMIF(Capacity_Resource,$E174,'Critical resources (hide)'!BH$6:BH$105)+SUMIF(Capacity_Resource,$F174,'Critical resources (hide)'!BH$6:BH$105)&gt;0,$E$1=2),0,1)</f>
        <v>1</v>
      </c>
      <c r="AV174" s="68">
        <f ca="1">IF(AND(SUMIF(Capacity_Resource,$D174,'Critical resources (hide)'!BI$6:BI$105)+SUMIF(Capacity_Resource,$E174,'Critical resources (hide)'!BI$6:BI$105)+SUMIF(Capacity_Resource,$F174,'Critical resources (hide)'!BI$6:BI$105)&gt;0,$E$1=2),0,1)</f>
        <v>1</v>
      </c>
      <c r="AW174" s="68">
        <f ca="1">IF(AND(SUMIF(Capacity_Resource,$D174,'Critical resources (hide)'!BJ$6:BJ$105)+SUMIF(Capacity_Resource,$E174,'Critical resources (hide)'!BJ$6:BJ$105)+SUMIF(Capacity_Resource,$F174,'Critical resources (hide)'!BJ$6:BJ$105)&gt;0,$E$1=2),0,1)</f>
        <v>1</v>
      </c>
      <c r="AX174" s="68">
        <f ca="1">IF(AND(SUMIF(Capacity_Resource,$D174,'Critical resources (hide)'!BK$6:BK$105)+SUMIF(Capacity_Resource,$E174,'Critical resources (hide)'!BK$6:BK$105)+SUMIF(Capacity_Resource,$F174,'Critical resources (hide)'!BK$6:BK$105)&gt;0,$E$1=2),0,1)</f>
        <v>1</v>
      </c>
      <c r="AY174" s="68">
        <f ca="1">IF(AND(SUMIF(Capacity_Resource,$D174,'Critical resources (hide)'!BL$6:BL$105)+SUMIF(Capacity_Resource,$E174,'Critical resources (hide)'!BL$6:BL$105)+SUMIF(Capacity_Resource,$F174,'Critical resources (hide)'!BL$6:BL$105)&gt;0,$E$1=2),0,1)</f>
        <v>1</v>
      </c>
      <c r="AZ174" s="68">
        <f ca="1">IF(AND(SUMIF(Capacity_Resource,$D174,'Critical resources (hide)'!BM$6:BM$105)+SUMIF(Capacity_Resource,$E174,'Critical resources (hide)'!BM$6:BM$105)+SUMIF(Capacity_Resource,$F174,'Critical resources (hide)'!BM$6:BM$105)&gt;0,$E$1=2),0,1)</f>
        <v>1</v>
      </c>
      <c r="BA174" s="68">
        <f ca="1">IF(AND(SUMIF(Capacity_Resource,$D174,'Critical resources (hide)'!BN$6:BN$105)+SUMIF(Capacity_Resource,$E174,'Critical resources (hide)'!BN$6:BN$105)+SUMIF(Capacity_Resource,$F174,'Critical resources (hide)'!BN$6:BN$105)&gt;0,$E$1=2),0,1)</f>
        <v>1</v>
      </c>
      <c r="BB174" s="68">
        <f ca="1">IF(AND(SUMIF(Capacity_Resource,$D174,'Critical resources (hide)'!BO$6:BO$105)+SUMIF(Capacity_Resource,$E174,'Critical resources (hide)'!BO$6:BO$105)+SUMIF(Capacity_Resource,$F174,'Critical resources (hide)'!BO$6:BO$105)&gt;0,$E$1=2),0,1)</f>
        <v>1</v>
      </c>
      <c r="BC174" s="68">
        <f ca="1">IF(AND(SUMIF(Capacity_Resource,$D174,'Critical resources (hide)'!BP$6:BP$105)+SUMIF(Capacity_Resource,$E174,'Critical resources (hide)'!BP$6:BP$105)+SUMIF(Capacity_Resource,$F174,'Critical resources (hide)'!BP$6:BP$105)&gt;0,$E$1=2),0,1)</f>
        <v>1</v>
      </c>
      <c r="BD174" s="68">
        <f ca="1">IF(AND(SUMIF(Capacity_Resource,$D174,'Critical resources (hide)'!BQ$6:BQ$105)+SUMIF(Capacity_Resource,$E174,'Critical resources (hide)'!BQ$6:BQ$105)+SUMIF(Capacity_Resource,$F174,'Critical resources (hide)'!BQ$6:BQ$105)&gt;0,$E$1=2),0,1)</f>
        <v>1</v>
      </c>
      <c r="BE174" s="68">
        <f ca="1">IF(AND(SUMIF(Capacity_Resource,$D174,'Critical resources (hide)'!BR$6:BR$105)+SUMIF(Capacity_Resource,$E174,'Critical resources (hide)'!BR$6:BR$105)+SUMIF(Capacity_Resource,$F174,'Critical resources (hide)'!BR$6:BR$105)&gt;0,$E$1=2),0,1)</f>
        <v>1</v>
      </c>
      <c r="BF174" s="68">
        <f ca="1">IF(AND(SUMIF(Capacity_Resource,$D174,'Critical resources (hide)'!BS$6:BS$105)+SUMIF(Capacity_Resource,$E174,'Critical resources (hide)'!BS$6:BS$105)+SUMIF(Capacity_Resource,$F174,'Critical resources (hide)'!BS$6:BS$105)&gt;0,$E$1=2),0,1)</f>
        <v>1</v>
      </c>
      <c r="BG174" s="68">
        <f ca="1">IF(AND(SUMIF(Capacity_Resource,$D174,'Critical resources (hide)'!BT$6:BT$105)+SUMIF(Capacity_Resource,$E174,'Critical resources (hide)'!BT$6:BT$105)+SUMIF(Capacity_Resource,$F174,'Critical resources (hide)'!BT$6:BT$105)&gt;0,$E$1=2),0,1)</f>
        <v>1</v>
      </c>
      <c r="BH174" s="68">
        <f>IF(ROW(A63)&lt;=Capacity!$M$16,IF('Capacity summary'!$C$14="No",SUM(H174:BG174),'Capacity summary'!$E86),0)</f>
        <v>0</v>
      </c>
      <c r="BI174" s="68" t="str">
        <f>IF(BH174&gt;0,IF(BH174&lt;Capacity!Q79,Capacity!R79,Capacity!T79/'Capacity calculation (hide)'!BH174),"")</f>
        <v/>
      </c>
      <c r="BJ174" s="5"/>
      <c r="BK174" s="5">
        <f>IF($BI174&lt;&gt;"",IF('Capacity summary'!$C$14="Yes",IF(COUNTBLANK('Capacity summary'!$H86:$BG86)&lt;52,IF('Capacity summary'!H86&lt;&gt;"",$BI174*H174,0),H174*$BI174),H174*$BI174),0)</f>
        <v>0</v>
      </c>
      <c r="BL174" s="5">
        <f>IF($BI174&lt;&gt;"",IF('Capacity summary'!$C$14="Yes",IF(COUNTBLANK('Capacity summary'!$H86:$BG86)&lt;52,IF('Capacity summary'!I86&lt;&gt;"",$BI174*I174,0),I174*$BI174),I174*$BI174),0)</f>
        <v>0</v>
      </c>
      <c r="BM174" s="5">
        <f>IF($BI174&lt;&gt;"",IF('Capacity summary'!$C$14="Yes",IF(COUNTBLANK('Capacity summary'!$H86:$BG86)&lt;52,IF('Capacity summary'!J86&lt;&gt;"",$BI174*J174,0),J174*$BI174),J174*$BI174),0)</f>
        <v>0</v>
      </c>
      <c r="BN174" s="5">
        <f>IF($BI174&lt;&gt;"",IF('Capacity summary'!$C$14="Yes",IF(COUNTBLANK('Capacity summary'!$H86:$BG86)&lt;52,IF('Capacity summary'!K86&lt;&gt;"",$BI174*K174,0),K174*$BI174),K174*$BI174),0)</f>
        <v>0</v>
      </c>
      <c r="BO174" s="5">
        <f>IF($BI174&lt;&gt;"",IF('Capacity summary'!$C$14="Yes",IF(COUNTBLANK('Capacity summary'!$H86:$BG86)&lt;52,IF('Capacity summary'!L86&lt;&gt;"",$BI174*L174,0),L174*$BI174),L174*$BI174),0)</f>
        <v>0</v>
      </c>
      <c r="BP174" s="5">
        <f>IF($BI174&lt;&gt;"",IF('Capacity summary'!$C$14="Yes",IF(COUNTBLANK('Capacity summary'!$H86:$BG86)&lt;52,IF('Capacity summary'!M86&lt;&gt;"",$BI174*M174,0),M174*$BI174),M174*$BI174),0)</f>
        <v>0</v>
      </c>
      <c r="BQ174" s="5">
        <f>IF($BI174&lt;&gt;"",IF('Capacity summary'!$C$14="Yes",IF(COUNTBLANK('Capacity summary'!$H86:$BG86)&lt;52,IF('Capacity summary'!N86&lt;&gt;"",$BI174*N174,0),N174*$BI174),N174*$BI174),0)</f>
        <v>0</v>
      </c>
      <c r="BR174" s="5">
        <f>IF($BI174&lt;&gt;"",IF('Capacity summary'!$C$14="Yes",IF(COUNTBLANK('Capacity summary'!$H86:$BG86)&lt;52,IF('Capacity summary'!O86&lt;&gt;"",$BI174*O174,0),O174*$BI174),O174*$BI174),0)</f>
        <v>0</v>
      </c>
      <c r="BS174" s="5">
        <f>IF($BI174&lt;&gt;"",IF('Capacity summary'!$C$14="Yes",IF(COUNTBLANK('Capacity summary'!$H86:$BG86)&lt;52,IF('Capacity summary'!P86&lt;&gt;"",$BI174*P174,0),P174*$BI174),P174*$BI174),0)</f>
        <v>0</v>
      </c>
      <c r="BT174" s="5">
        <f>IF($BI174&lt;&gt;"",IF('Capacity summary'!$C$14="Yes",IF(COUNTBLANK('Capacity summary'!$H86:$BG86)&lt;52,IF('Capacity summary'!Q86&lt;&gt;"",$BI174*Q174,0),Q174*$BI174),Q174*$BI174),0)</f>
        <v>0</v>
      </c>
      <c r="BU174" s="5">
        <f>IF($BI174&lt;&gt;"",IF('Capacity summary'!$C$14="Yes",IF(COUNTBLANK('Capacity summary'!$H86:$BG86)&lt;52,IF('Capacity summary'!R86&lt;&gt;"",$BI174*R174,0),R174*$BI174),R174*$BI174),0)</f>
        <v>0</v>
      </c>
      <c r="BV174" s="5">
        <f>IF($BI174&lt;&gt;"",IF('Capacity summary'!$C$14="Yes",IF(COUNTBLANK('Capacity summary'!$H86:$BG86)&lt;52,IF('Capacity summary'!S86&lt;&gt;"",$BI174*S174,0),S174*$BI174),S174*$BI174),0)</f>
        <v>0</v>
      </c>
      <c r="BW174" s="5">
        <f>IF($BI174&lt;&gt;"",IF('Capacity summary'!$C$14="Yes",IF(COUNTBLANK('Capacity summary'!$H86:$BG86)&lt;52,IF('Capacity summary'!T86&lt;&gt;"",$BI174*T174,0),T174*$BI174),T174*$BI174),0)</f>
        <v>0</v>
      </c>
      <c r="BX174" s="5">
        <f>IF($BI174&lt;&gt;"",IF('Capacity summary'!$C$14="Yes",IF(COUNTBLANK('Capacity summary'!$H86:$BG86)&lt;52,IF('Capacity summary'!U86&lt;&gt;"",$BI174*U174,0),U174*$BI174),U174*$BI174),0)</f>
        <v>0</v>
      </c>
      <c r="BY174" s="5">
        <f>IF($BI174&lt;&gt;"",IF('Capacity summary'!$C$14="Yes",IF(COUNTBLANK('Capacity summary'!$H86:$BG86)&lt;52,IF('Capacity summary'!V86&lt;&gt;"",$BI174*V174,0),V174*$BI174),V174*$BI174),0)</f>
        <v>0</v>
      </c>
      <c r="BZ174" s="5">
        <f>IF($BI174&lt;&gt;"",IF('Capacity summary'!$C$14="Yes",IF(COUNTBLANK('Capacity summary'!$H86:$BG86)&lt;52,IF('Capacity summary'!W86&lt;&gt;"",$BI174*W174,0),W174*$BI174),W174*$BI174),0)</f>
        <v>0</v>
      </c>
      <c r="CA174" s="5">
        <f>IF($BI174&lt;&gt;"",IF('Capacity summary'!$C$14="Yes",IF(COUNTBLANK('Capacity summary'!$H86:$BG86)&lt;52,IF('Capacity summary'!X86&lt;&gt;"",$BI174*X174,0),X174*$BI174),X174*$BI174),0)</f>
        <v>0</v>
      </c>
      <c r="CB174" s="5">
        <f>IF($BI174&lt;&gt;"",IF('Capacity summary'!$C$14="Yes",IF(COUNTBLANK('Capacity summary'!$H86:$BG86)&lt;52,IF('Capacity summary'!Y86&lt;&gt;"",$BI174*Y174,0),Y174*$BI174),Y174*$BI174),0)</f>
        <v>0</v>
      </c>
      <c r="CC174" s="5">
        <f>IF($BI174&lt;&gt;"",IF('Capacity summary'!$C$14="Yes",IF(COUNTBLANK('Capacity summary'!$H86:$BG86)&lt;52,IF('Capacity summary'!Z86&lt;&gt;"",$BI174*Z174,0),Z174*$BI174),Z174*$BI174),0)</f>
        <v>0</v>
      </c>
      <c r="CD174" s="5">
        <f>IF($BI174&lt;&gt;"",IF('Capacity summary'!$C$14="Yes",IF(COUNTBLANK('Capacity summary'!$H86:$BG86)&lt;52,IF('Capacity summary'!AA86&lt;&gt;"",$BI174*AA174,0),AA174*$BI174),AA174*$BI174),0)</f>
        <v>0</v>
      </c>
      <c r="CE174" s="5">
        <f>IF($BI174&lt;&gt;"",IF('Capacity summary'!$C$14="Yes",IF(COUNTBLANK('Capacity summary'!$H86:$BG86)&lt;52,IF('Capacity summary'!AB86&lt;&gt;"",$BI174*AB174,0),AB174*$BI174),AB174*$BI174),0)</f>
        <v>0</v>
      </c>
      <c r="CF174" s="5">
        <f>IF($BI174&lt;&gt;"",IF('Capacity summary'!$C$14="Yes",IF(COUNTBLANK('Capacity summary'!$H86:$BG86)&lt;52,IF('Capacity summary'!AC86&lt;&gt;"",$BI174*AC174,0),AC174*$BI174),AC174*$BI174),0)</f>
        <v>0</v>
      </c>
      <c r="CG174" s="5">
        <f>IF($BI174&lt;&gt;"",IF('Capacity summary'!$C$14="Yes",IF(COUNTBLANK('Capacity summary'!$H86:$BG86)&lt;52,IF('Capacity summary'!AD86&lt;&gt;"",$BI174*AD174,0),AD174*$BI174),AD174*$BI174),0)</f>
        <v>0</v>
      </c>
      <c r="CH174" s="5">
        <f>IF($BI174&lt;&gt;"",IF('Capacity summary'!$C$14="Yes",IF(COUNTBLANK('Capacity summary'!$H86:$BG86)&lt;52,IF('Capacity summary'!AE86&lt;&gt;"",$BI174*AE174,0),AE174*$BI174),AE174*$BI174),0)</f>
        <v>0</v>
      </c>
      <c r="CI174" s="5">
        <f>IF($BI174&lt;&gt;"",IF('Capacity summary'!$C$14="Yes",IF(COUNTBLANK('Capacity summary'!$H86:$BG86)&lt;52,IF('Capacity summary'!AF86&lt;&gt;"",$BI174*AF174,0),AF174*$BI174),AF174*$BI174),0)</f>
        <v>0</v>
      </c>
      <c r="CJ174" s="5">
        <f>IF($BI174&lt;&gt;"",IF('Capacity summary'!$C$14="Yes",IF(COUNTBLANK('Capacity summary'!$H86:$BG86)&lt;52,IF('Capacity summary'!AG86&lt;&gt;"",$BI174*AG174,0),AG174*$BI174),AG174*$BI174),0)</f>
        <v>0</v>
      </c>
      <c r="CK174" s="5">
        <f>IF($BI174&lt;&gt;"",IF('Capacity summary'!$C$14="Yes",IF(COUNTBLANK('Capacity summary'!$H86:$BG86)&lt;52,IF('Capacity summary'!AH86&lt;&gt;"",$BI174*AH174,0),AH174*$BI174),AH174*$BI174),0)</f>
        <v>0</v>
      </c>
      <c r="CL174" s="5">
        <f>IF($BI174&lt;&gt;"",IF('Capacity summary'!$C$14="Yes",IF(COUNTBLANK('Capacity summary'!$H86:$BG86)&lt;52,IF('Capacity summary'!AI86&lt;&gt;"",$BI174*AI174,0),AI174*$BI174),AI174*$BI174),0)</f>
        <v>0</v>
      </c>
      <c r="CM174" s="5">
        <f>IF($BI174&lt;&gt;"",IF('Capacity summary'!$C$14="Yes",IF(COUNTBLANK('Capacity summary'!$H86:$BG86)&lt;52,IF('Capacity summary'!AJ86&lt;&gt;"",$BI174*AJ174,0),AJ174*$BI174),AJ174*$BI174),0)</f>
        <v>0</v>
      </c>
      <c r="CN174" s="5">
        <f>IF($BI174&lt;&gt;"",IF('Capacity summary'!$C$14="Yes",IF(COUNTBLANK('Capacity summary'!$H86:$BG86)&lt;52,IF('Capacity summary'!AK86&lt;&gt;"",$BI174*AK174,0),AK174*$BI174),AK174*$BI174),0)</f>
        <v>0</v>
      </c>
      <c r="CO174" s="5">
        <f>IF($BI174&lt;&gt;"",IF('Capacity summary'!$C$14="Yes",IF(COUNTBLANK('Capacity summary'!$H86:$BG86)&lt;52,IF('Capacity summary'!AL86&lt;&gt;"",$BI174*AL174,0),AL174*$BI174),AL174*$BI174),0)</f>
        <v>0</v>
      </c>
      <c r="CP174" s="5">
        <f>IF($BI174&lt;&gt;"",IF('Capacity summary'!$C$14="Yes",IF(COUNTBLANK('Capacity summary'!$H86:$BG86)&lt;52,IF('Capacity summary'!AM86&lt;&gt;"",$BI174*AM174,0),AM174*$BI174),AM174*$BI174),0)</f>
        <v>0</v>
      </c>
      <c r="CQ174" s="5">
        <f>IF($BI174&lt;&gt;"",IF('Capacity summary'!$C$14="Yes",IF(COUNTBLANK('Capacity summary'!$H86:$BG86)&lt;52,IF('Capacity summary'!AN86&lt;&gt;"",$BI174*AN174,0),AN174*$BI174),AN174*$BI174),0)</f>
        <v>0</v>
      </c>
      <c r="CR174" s="5">
        <f>IF($BI174&lt;&gt;"",IF('Capacity summary'!$C$14="Yes",IF(COUNTBLANK('Capacity summary'!$H86:$BG86)&lt;52,IF('Capacity summary'!AO86&lt;&gt;"",$BI174*AO174,0),AO174*$BI174),AO174*$BI174),0)</f>
        <v>0</v>
      </c>
      <c r="CS174" s="5">
        <f>IF($BI174&lt;&gt;"",IF('Capacity summary'!$C$14="Yes",IF(COUNTBLANK('Capacity summary'!$H86:$BG86)&lt;52,IF('Capacity summary'!AP86&lt;&gt;"",$BI174*AP174,0),AP174*$BI174),AP174*$BI174),0)</f>
        <v>0</v>
      </c>
      <c r="CT174" s="5">
        <f>IF($BI174&lt;&gt;"",IF('Capacity summary'!$C$14="Yes",IF(COUNTBLANK('Capacity summary'!$H86:$BG86)&lt;52,IF('Capacity summary'!AQ86&lt;&gt;"",$BI174*AQ174,0),AQ174*$BI174),AQ174*$BI174),0)</f>
        <v>0</v>
      </c>
      <c r="CU174" s="5">
        <f>IF($BI174&lt;&gt;"",IF('Capacity summary'!$C$14="Yes",IF(COUNTBLANK('Capacity summary'!$H86:$BG86)&lt;52,IF('Capacity summary'!AR86&lt;&gt;"",$BI174*AR174,0),AR174*$BI174),AR174*$BI174),0)</f>
        <v>0</v>
      </c>
      <c r="CV174" s="5">
        <f>IF($BI174&lt;&gt;"",IF('Capacity summary'!$C$14="Yes",IF(COUNTBLANK('Capacity summary'!$H86:$BG86)&lt;52,IF('Capacity summary'!AS86&lt;&gt;"",$BI174*AS174,0),AS174*$BI174),AS174*$BI174),0)</f>
        <v>0</v>
      </c>
      <c r="CW174" s="5">
        <f>IF($BI174&lt;&gt;"",IF('Capacity summary'!$C$14="Yes",IF(COUNTBLANK('Capacity summary'!$H86:$BG86)&lt;52,IF('Capacity summary'!AT86&lt;&gt;"",$BI174*AT174,0),AT174*$BI174),AT174*$BI174),0)</f>
        <v>0</v>
      </c>
      <c r="CX174" s="5">
        <f>IF($BI174&lt;&gt;"",IF('Capacity summary'!$C$14="Yes",IF(COUNTBLANK('Capacity summary'!$H86:$BG86)&lt;52,IF('Capacity summary'!AU86&lt;&gt;"",$BI174*AU174,0),AU174*$BI174),AU174*$BI174),0)</f>
        <v>0</v>
      </c>
      <c r="CY174" s="5">
        <f>IF($BI174&lt;&gt;"",IF('Capacity summary'!$C$14="Yes",IF(COUNTBLANK('Capacity summary'!$H86:$BG86)&lt;52,IF('Capacity summary'!AV86&lt;&gt;"",$BI174*AV174,0),AV174*$BI174),AV174*$BI174),0)</f>
        <v>0</v>
      </c>
      <c r="CZ174" s="5">
        <f>IF($BI174&lt;&gt;"",IF('Capacity summary'!$C$14="Yes",IF(COUNTBLANK('Capacity summary'!$H86:$BG86)&lt;52,IF('Capacity summary'!AW86&lt;&gt;"",$BI174*AW174,0),AW174*$BI174),AW174*$BI174),0)</f>
        <v>0</v>
      </c>
      <c r="DA174" s="5">
        <f>IF($BI174&lt;&gt;"",IF('Capacity summary'!$C$14="Yes",IF(COUNTBLANK('Capacity summary'!$H86:$BG86)&lt;52,IF('Capacity summary'!AX86&lt;&gt;"",$BI174*AX174,0),AX174*$BI174),AX174*$BI174),0)</f>
        <v>0</v>
      </c>
      <c r="DB174" s="5">
        <f>IF($BI174&lt;&gt;"",IF('Capacity summary'!$C$14="Yes",IF(COUNTBLANK('Capacity summary'!$H86:$BG86)&lt;52,IF('Capacity summary'!AY86&lt;&gt;"",$BI174*AY174,0),AY174*$BI174),AY174*$BI174),0)</f>
        <v>0</v>
      </c>
      <c r="DC174" s="5">
        <f>IF($BI174&lt;&gt;"",IF('Capacity summary'!$C$14="Yes",IF(COUNTBLANK('Capacity summary'!$H86:$BG86)&lt;52,IF('Capacity summary'!AZ86&lt;&gt;"",$BI174*AZ174,0),AZ174*$BI174),AZ174*$BI174),0)</f>
        <v>0</v>
      </c>
      <c r="DD174" s="5">
        <f>IF($BI174&lt;&gt;"",IF('Capacity summary'!$C$14="Yes",IF(COUNTBLANK('Capacity summary'!$H86:$BG86)&lt;52,IF('Capacity summary'!BA86&lt;&gt;"",$BI174*BA174,0),BA174*$BI174),BA174*$BI174),0)</f>
        <v>0</v>
      </c>
      <c r="DE174" s="5">
        <f>IF($BI174&lt;&gt;"",IF('Capacity summary'!$C$14="Yes",IF(COUNTBLANK('Capacity summary'!$H86:$BG86)&lt;52,IF('Capacity summary'!BB86&lt;&gt;"",$BI174*BB174,0),BB174*$BI174),BB174*$BI174),0)</f>
        <v>0</v>
      </c>
      <c r="DF174" s="5">
        <f>IF($BI174&lt;&gt;"",IF('Capacity summary'!$C$14="Yes",IF(COUNTBLANK('Capacity summary'!$H86:$BG86)&lt;52,IF('Capacity summary'!BC86&lt;&gt;"",$BI174*BC174,0),BC174*$BI174),BC174*$BI174),0)</f>
        <v>0</v>
      </c>
      <c r="DG174" s="5">
        <f>IF($BI174&lt;&gt;"",IF('Capacity summary'!$C$14="Yes",IF(COUNTBLANK('Capacity summary'!$H86:$BG86)&lt;52,IF('Capacity summary'!BD86&lt;&gt;"",$BI174*BD174,0),BD174*$BI174),BD174*$BI174),0)</f>
        <v>0</v>
      </c>
      <c r="DH174" s="5">
        <f>IF($BI174&lt;&gt;"",IF('Capacity summary'!$C$14="Yes",IF(COUNTBLANK('Capacity summary'!$H86:$BG86)&lt;52,IF('Capacity summary'!BE86&lt;&gt;"",$BI174*BE174,0),BE174*$BI174),BE174*$BI174),0)</f>
        <v>0</v>
      </c>
      <c r="DI174" s="5">
        <f>IF($BI174&lt;&gt;"",IF('Capacity summary'!$C$14="Yes",IF(COUNTBLANK('Capacity summary'!$H86:$BG86)&lt;52,IF('Capacity summary'!BF86&lt;&gt;"",$BI174*BF174,0),BF174*$BI174),BF174*$BI174),0)</f>
        <v>0</v>
      </c>
      <c r="DJ174" s="5">
        <f>IF($BI174&lt;&gt;"",IF('Capacity summary'!$C$14="Yes",IF(COUNTBLANK('Capacity summary'!$H86:$BG86)&lt;52,IF('Capacity summary'!BG86&lt;&gt;"",$BI174*BG174,0),BG174*$BI174),BG174*$BI174),0)</f>
        <v>0</v>
      </c>
      <c r="DK174" s="138">
        <f t="shared" si="6"/>
        <v>0</v>
      </c>
    </row>
    <row r="175" spans="3:115" x14ac:dyDescent="0.2">
      <c r="C175" s="68" t="str">
        <f>ROW(A64)&amp;". "&amp;Capacity!N80</f>
        <v xml:space="preserve">64. </v>
      </c>
      <c r="D175" s="68">
        <f>'Capacity setup'!C181</f>
        <v>0</v>
      </c>
      <c r="E175" s="68">
        <f>'Capacity setup'!D181</f>
        <v>0</v>
      </c>
      <c r="F175" s="68">
        <f>'Capacity setup'!E181</f>
        <v>0</v>
      </c>
      <c r="H175" s="68">
        <f ca="1">IF(AND(SUMIF(Capacity_Resource,$D175,'Critical resources (hide)'!U$6:U$105)+SUMIF(Capacity_Resource,$E175,'Critical resources (hide)'!U$6:U$105)+SUMIF(Capacity_Resource,$F175,'Critical resources (hide)'!U$6:U$105)&gt;0,$E$1=2),0,1)</f>
        <v>1</v>
      </c>
      <c r="I175" s="68">
        <f ca="1">IF(AND(SUMIF(Capacity_Resource,$D175,'Critical resources (hide)'!V$6:V$105)+SUMIF(Capacity_Resource,$E175,'Critical resources (hide)'!V$6:V$105)+SUMIF(Capacity_Resource,$F175,'Critical resources (hide)'!V$6:V$105)&gt;0,$E$1=2),0,1)</f>
        <v>1</v>
      </c>
      <c r="J175" s="68">
        <f ca="1">IF(AND(SUMIF(Capacity_Resource,$D175,'Critical resources (hide)'!W$6:W$105)+SUMIF(Capacity_Resource,$E175,'Critical resources (hide)'!W$6:W$105)+SUMIF(Capacity_Resource,$F175,'Critical resources (hide)'!W$6:W$105)&gt;0,$E$1=2),0,1)</f>
        <v>1</v>
      </c>
      <c r="K175" s="68">
        <f ca="1">IF(AND(SUMIF(Capacity_Resource,$D175,'Critical resources (hide)'!X$6:X$105)+SUMIF(Capacity_Resource,$E175,'Critical resources (hide)'!X$6:X$105)+SUMIF(Capacity_Resource,$F175,'Critical resources (hide)'!X$6:X$105)&gt;0,$E$1=2),0,1)</f>
        <v>1</v>
      </c>
      <c r="L175" s="68">
        <f ca="1">IF(AND(SUMIF(Capacity_Resource,$D175,'Critical resources (hide)'!Y$6:Y$105)+SUMIF(Capacity_Resource,$E175,'Critical resources (hide)'!Y$6:Y$105)+SUMIF(Capacity_Resource,$F175,'Critical resources (hide)'!Y$6:Y$105)&gt;0,$E$1=2),0,1)</f>
        <v>1</v>
      </c>
      <c r="M175" s="68">
        <f ca="1">IF(AND(SUMIF(Capacity_Resource,$D175,'Critical resources (hide)'!Z$6:Z$105)+SUMIF(Capacity_Resource,$E175,'Critical resources (hide)'!Z$6:Z$105)+SUMIF(Capacity_Resource,$F175,'Critical resources (hide)'!Z$6:Z$105)&gt;0,$E$1=2),0,1)</f>
        <v>1</v>
      </c>
      <c r="N175" s="68">
        <f ca="1">IF(AND(SUMIF(Capacity_Resource,$D175,'Critical resources (hide)'!AA$6:AA$105)+SUMIF(Capacity_Resource,$E175,'Critical resources (hide)'!AA$6:AA$105)+SUMIF(Capacity_Resource,$F175,'Critical resources (hide)'!AA$6:AA$105)&gt;0,$E$1=2),0,1)</f>
        <v>1</v>
      </c>
      <c r="O175" s="68">
        <f ca="1">IF(AND(SUMIF(Capacity_Resource,$D175,'Critical resources (hide)'!AB$6:AB$105)+SUMIF(Capacity_Resource,$E175,'Critical resources (hide)'!AB$6:AB$105)+SUMIF(Capacity_Resource,$F175,'Critical resources (hide)'!AB$6:AB$105)&gt;0,$E$1=2),0,1)</f>
        <v>1</v>
      </c>
      <c r="P175" s="68">
        <f ca="1">IF(AND(SUMIF(Capacity_Resource,$D175,'Critical resources (hide)'!AC$6:AC$105)+SUMIF(Capacity_Resource,$E175,'Critical resources (hide)'!AC$6:AC$105)+SUMIF(Capacity_Resource,$F175,'Critical resources (hide)'!AC$6:AC$105)&gt;0,$E$1=2),0,1)</f>
        <v>1</v>
      </c>
      <c r="Q175" s="68">
        <f ca="1">IF(AND(SUMIF(Capacity_Resource,$D175,'Critical resources (hide)'!AD$6:AD$105)+SUMIF(Capacity_Resource,$E175,'Critical resources (hide)'!AD$6:AD$105)+SUMIF(Capacity_Resource,$F175,'Critical resources (hide)'!AD$6:AD$105)&gt;0,$E$1=2),0,1)</f>
        <v>1</v>
      </c>
      <c r="R175" s="68">
        <f ca="1">IF(AND(SUMIF(Capacity_Resource,$D175,'Critical resources (hide)'!AE$6:AE$105)+SUMIF(Capacity_Resource,$E175,'Critical resources (hide)'!AE$6:AE$105)+SUMIF(Capacity_Resource,$F175,'Critical resources (hide)'!AE$6:AE$105)&gt;0,$E$1=2),0,1)</f>
        <v>1</v>
      </c>
      <c r="S175" s="68">
        <f ca="1">IF(AND(SUMIF(Capacity_Resource,$D175,'Critical resources (hide)'!AF$6:AF$105)+SUMIF(Capacity_Resource,$E175,'Critical resources (hide)'!AF$6:AF$105)+SUMIF(Capacity_Resource,$F175,'Critical resources (hide)'!AF$6:AF$105)&gt;0,$E$1=2),0,1)</f>
        <v>1</v>
      </c>
      <c r="T175" s="68">
        <f ca="1">IF(AND(SUMIF(Capacity_Resource,$D175,'Critical resources (hide)'!AG$6:AG$105)+SUMIF(Capacity_Resource,$E175,'Critical resources (hide)'!AG$6:AG$105)+SUMIF(Capacity_Resource,$F175,'Critical resources (hide)'!AG$6:AG$105)&gt;0,$E$1=2),0,1)</f>
        <v>1</v>
      </c>
      <c r="U175" s="68">
        <f ca="1">IF(AND(SUMIF(Capacity_Resource,$D175,'Critical resources (hide)'!AH$6:AH$105)+SUMIF(Capacity_Resource,$E175,'Critical resources (hide)'!AH$6:AH$105)+SUMIF(Capacity_Resource,$F175,'Critical resources (hide)'!AH$6:AH$105)&gt;0,$E$1=2),0,1)</f>
        <v>1</v>
      </c>
      <c r="V175" s="68">
        <f ca="1">IF(AND(SUMIF(Capacity_Resource,$D175,'Critical resources (hide)'!AI$6:AI$105)+SUMIF(Capacity_Resource,$E175,'Critical resources (hide)'!AI$6:AI$105)+SUMIF(Capacity_Resource,$F175,'Critical resources (hide)'!AI$6:AI$105)&gt;0,$E$1=2),0,1)</f>
        <v>1</v>
      </c>
      <c r="W175" s="68">
        <f ca="1">IF(AND(SUMIF(Capacity_Resource,$D175,'Critical resources (hide)'!AJ$6:AJ$105)+SUMIF(Capacity_Resource,$E175,'Critical resources (hide)'!AJ$6:AJ$105)+SUMIF(Capacity_Resource,$F175,'Critical resources (hide)'!AJ$6:AJ$105)&gt;0,$E$1=2),0,1)</f>
        <v>1</v>
      </c>
      <c r="X175" s="68">
        <f ca="1">IF(AND(SUMIF(Capacity_Resource,$D175,'Critical resources (hide)'!AK$6:AK$105)+SUMIF(Capacity_Resource,$E175,'Critical resources (hide)'!AK$6:AK$105)+SUMIF(Capacity_Resource,$F175,'Critical resources (hide)'!AK$6:AK$105)&gt;0,$E$1=2),0,1)</f>
        <v>1</v>
      </c>
      <c r="Y175" s="68">
        <f ca="1">IF(AND(SUMIF(Capacity_Resource,$D175,'Critical resources (hide)'!AL$6:AL$105)+SUMIF(Capacity_Resource,$E175,'Critical resources (hide)'!AL$6:AL$105)+SUMIF(Capacity_Resource,$F175,'Critical resources (hide)'!AL$6:AL$105)&gt;0,$E$1=2),0,1)</f>
        <v>1</v>
      </c>
      <c r="Z175" s="68">
        <f ca="1">IF(AND(SUMIF(Capacity_Resource,$D175,'Critical resources (hide)'!AM$6:AM$105)+SUMIF(Capacity_Resource,$E175,'Critical resources (hide)'!AM$6:AM$105)+SUMIF(Capacity_Resource,$F175,'Critical resources (hide)'!AM$6:AM$105)&gt;0,$E$1=2),0,1)</f>
        <v>1</v>
      </c>
      <c r="AA175" s="68">
        <f ca="1">IF(AND(SUMIF(Capacity_Resource,$D175,'Critical resources (hide)'!AN$6:AN$105)+SUMIF(Capacity_Resource,$E175,'Critical resources (hide)'!AN$6:AN$105)+SUMIF(Capacity_Resource,$F175,'Critical resources (hide)'!AN$6:AN$105)&gt;0,$E$1=2),0,1)</f>
        <v>1</v>
      </c>
      <c r="AB175" s="68">
        <f ca="1">IF(AND(SUMIF(Capacity_Resource,$D175,'Critical resources (hide)'!AO$6:AO$105)+SUMIF(Capacity_Resource,$E175,'Critical resources (hide)'!AO$6:AO$105)+SUMIF(Capacity_Resource,$F175,'Critical resources (hide)'!AO$6:AO$105)&gt;0,$E$1=2),0,1)</f>
        <v>1</v>
      </c>
      <c r="AC175" s="68">
        <f ca="1">IF(AND(SUMIF(Capacity_Resource,$D175,'Critical resources (hide)'!AP$6:AP$105)+SUMIF(Capacity_Resource,$E175,'Critical resources (hide)'!AP$6:AP$105)+SUMIF(Capacity_Resource,$F175,'Critical resources (hide)'!AP$6:AP$105)&gt;0,$E$1=2),0,1)</f>
        <v>1</v>
      </c>
      <c r="AD175" s="68">
        <f ca="1">IF(AND(SUMIF(Capacity_Resource,$D175,'Critical resources (hide)'!AQ$6:AQ$105)+SUMIF(Capacity_Resource,$E175,'Critical resources (hide)'!AQ$6:AQ$105)+SUMIF(Capacity_Resource,$F175,'Critical resources (hide)'!AQ$6:AQ$105)&gt;0,$E$1=2),0,1)</f>
        <v>1</v>
      </c>
      <c r="AE175" s="68">
        <f ca="1">IF(AND(SUMIF(Capacity_Resource,$D175,'Critical resources (hide)'!AR$6:AR$105)+SUMIF(Capacity_Resource,$E175,'Critical resources (hide)'!AR$6:AR$105)+SUMIF(Capacity_Resource,$F175,'Critical resources (hide)'!AR$6:AR$105)&gt;0,$E$1=2),0,1)</f>
        <v>1</v>
      </c>
      <c r="AF175" s="68">
        <f ca="1">IF(AND(SUMIF(Capacity_Resource,$D175,'Critical resources (hide)'!AS$6:AS$105)+SUMIF(Capacity_Resource,$E175,'Critical resources (hide)'!AS$6:AS$105)+SUMIF(Capacity_Resource,$F175,'Critical resources (hide)'!AS$6:AS$105)&gt;0,$E$1=2),0,1)</f>
        <v>1</v>
      </c>
      <c r="AG175" s="68">
        <f ca="1">IF(AND(SUMIF(Capacity_Resource,$D175,'Critical resources (hide)'!AT$6:AT$105)+SUMIF(Capacity_Resource,$E175,'Critical resources (hide)'!AT$6:AT$105)+SUMIF(Capacity_Resource,$F175,'Critical resources (hide)'!AT$6:AT$105)&gt;0,$E$1=2),0,1)</f>
        <v>1</v>
      </c>
      <c r="AH175" s="68">
        <f ca="1">IF(AND(SUMIF(Capacity_Resource,$D175,'Critical resources (hide)'!AU$6:AU$105)+SUMIF(Capacity_Resource,$E175,'Critical resources (hide)'!AU$6:AU$105)+SUMIF(Capacity_Resource,$F175,'Critical resources (hide)'!AU$6:AU$105)&gt;0,$E$1=2),0,1)</f>
        <v>1</v>
      </c>
      <c r="AI175" s="68">
        <f ca="1">IF(AND(SUMIF(Capacity_Resource,$D175,'Critical resources (hide)'!AV$6:AV$105)+SUMIF(Capacity_Resource,$E175,'Critical resources (hide)'!AV$6:AV$105)+SUMIF(Capacity_Resource,$F175,'Critical resources (hide)'!AV$6:AV$105)&gt;0,$E$1=2),0,1)</f>
        <v>1</v>
      </c>
      <c r="AJ175" s="68">
        <f ca="1">IF(AND(SUMIF(Capacity_Resource,$D175,'Critical resources (hide)'!AW$6:AW$105)+SUMIF(Capacity_Resource,$E175,'Critical resources (hide)'!AW$6:AW$105)+SUMIF(Capacity_Resource,$F175,'Critical resources (hide)'!AW$6:AW$105)&gt;0,$E$1=2),0,1)</f>
        <v>1</v>
      </c>
      <c r="AK175" s="68">
        <f ca="1">IF(AND(SUMIF(Capacity_Resource,$D175,'Critical resources (hide)'!AX$6:AX$105)+SUMIF(Capacity_Resource,$E175,'Critical resources (hide)'!AX$6:AX$105)+SUMIF(Capacity_Resource,$F175,'Critical resources (hide)'!AX$6:AX$105)&gt;0,$E$1=2),0,1)</f>
        <v>1</v>
      </c>
      <c r="AL175" s="68">
        <f ca="1">IF(AND(SUMIF(Capacity_Resource,$D175,'Critical resources (hide)'!AY$6:AY$105)+SUMIF(Capacity_Resource,$E175,'Critical resources (hide)'!AY$6:AY$105)+SUMIF(Capacity_Resource,$F175,'Critical resources (hide)'!AY$6:AY$105)&gt;0,$E$1=2),0,1)</f>
        <v>1</v>
      </c>
      <c r="AM175" s="68">
        <f ca="1">IF(AND(SUMIF(Capacity_Resource,$D175,'Critical resources (hide)'!AZ$6:AZ$105)+SUMIF(Capacity_Resource,$E175,'Critical resources (hide)'!AZ$6:AZ$105)+SUMIF(Capacity_Resource,$F175,'Critical resources (hide)'!AZ$6:AZ$105)&gt;0,$E$1=2),0,1)</f>
        <v>1</v>
      </c>
      <c r="AN175" s="68">
        <f ca="1">IF(AND(SUMIF(Capacity_Resource,$D175,'Critical resources (hide)'!BA$6:BA$105)+SUMIF(Capacity_Resource,$E175,'Critical resources (hide)'!BA$6:BA$105)+SUMIF(Capacity_Resource,$F175,'Critical resources (hide)'!BA$6:BA$105)&gt;0,$E$1=2),0,1)</f>
        <v>1</v>
      </c>
      <c r="AO175" s="68">
        <f ca="1">IF(AND(SUMIF(Capacity_Resource,$D175,'Critical resources (hide)'!BB$6:BB$105)+SUMIF(Capacity_Resource,$E175,'Critical resources (hide)'!BB$6:BB$105)+SUMIF(Capacity_Resource,$F175,'Critical resources (hide)'!BB$6:BB$105)&gt;0,$E$1=2),0,1)</f>
        <v>1</v>
      </c>
      <c r="AP175" s="68">
        <f ca="1">IF(AND(SUMIF(Capacity_Resource,$D175,'Critical resources (hide)'!BC$6:BC$105)+SUMIF(Capacity_Resource,$E175,'Critical resources (hide)'!BC$6:BC$105)+SUMIF(Capacity_Resource,$F175,'Critical resources (hide)'!BC$6:BC$105)&gt;0,$E$1=2),0,1)</f>
        <v>1</v>
      </c>
      <c r="AQ175" s="68">
        <f ca="1">IF(AND(SUMIF(Capacity_Resource,$D175,'Critical resources (hide)'!BD$6:BD$105)+SUMIF(Capacity_Resource,$E175,'Critical resources (hide)'!BD$6:BD$105)+SUMIF(Capacity_Resource,$F175,'Critical resources (hide)'!BD$6:BD$105)&gt;0,$E$1=2),0,1)</f>
        <v>1</v>
      </c>
      <c r="AR175" s="68">
        <f ca="1">IF(AND(SUMIF(Capacity_Resource,$D175,'Critical resources (hide)'!BE$6:BE$105)+SUMIF(Capacity_Resource,$E175,'Critical resources (hide)'!BE$6:BE$105)+SUMIF(Capacity_Resource,$F175,'Critical resources (hide)'!BE$6:BE$105)&gt;0,$E$1=2),0,1)</f>
        <v>1</v>
      </c>
      <c r="AS175" s="68">
        <f ca="1">IF(AND(SUMIF(Capacity_Resource,$D175,'Critical resources (hide)'!BF$6:BF$105)+SUMIF(Capacity_Resource,$E175,'Critical resources (hide)'!BF$6:BF$105)+SUMIF(Capacity_Resource,$F175,'Critical resources (hide)'!BF$6:BF$105)&gt;0,$E$1=2),0,1)</f>
        <v>1</v>
      </c>
      <c r="AT175" s="68">
        <f ca="1">IF(AND(SUMIF(Capacity_Resource,$D175,'Critical resources (hide)'!BG$6:BG$105)+SUMIF(Capacity_Resource,$E175,'Critical resources (hide)'!BG$6:BG$105)+SUMIF(Capacity_Resource,$F175,'Critical resources (hide)'!BG$6:BG$105)&gt;0,$E$1=2),0,1)</f>
        <v>1</v>
      </c>
      <c r="AU175" s="68">
        <f ca="1">IF(AND(SUMIF(Capacity_Resource,$D175,'Critical resources (hide)'!BH$6:BH$105)+SUMIF(Capacity_Resource,$E175,'Critical resources (hide)'!BH$6:BH$105)+SUMIF(Capacity_Resource,$F175,'Critical resources (hide)'!BH$6:BH$105)&gt;0,$E$1=2),0,1)</f>
        <v>1</v>
      </c>
      <c r="AV175" s="68">
        <f ca="1">IF(AND(SUMIF(Capacity_Resource,$D175,'Critical resources (hide)'!BI$6:BI$105)+SUMIF(Capacity_Resource,$E175,'Critical resources (hide)'!BI$6:BI$105)+SUMIF(Capacity_Resource,$F175,'Critical resources (hide)'!BI$6:BI$105)&gt;0,$E$1=2),0,1)</f>
        <v>1</v>
      </c>
      <c r="AW175" s="68">
        <f ca="1">IF(AND(SUMIF(Capacity_Resource,$D175,'Critical resources (hide)'!BJ$6:BJ$105)+SUMIF(Capacity_Resource,$E175,'Critical resources (hide)'!BJ$6:BJ$105)+SUMIF(Capacity_Resource,$F175,'Critical resources (hide)'!BJ$6:BJ$105)&gt;0,$E$1=2),0,1)</f>
        <v>1</v>
      </c>
      <c r="AX175" s="68">
        <f ca="1">IF(AND(SUMIF(Capacity_Resource,$D175,'Critical resources (hide)'!BK$6:BK$105)+SUMIF(Capacity_Resource,$E175,'Critical resources (hide)'!BK$6:BK$105)+SUMIF(Capacity_Resource,$F175,'Critical resources (hide)'!BK$6:BK$105)&gt;0,$E$1=2),0,1)</f>
        <v>1</v>
      </c>
      <c r="AY175" s="68">
        <f ca="1">IF(AND(SUMIF(Capacity_Resource,$D175,'Critical resources (hide)'!BL$6:BL$105)+SUMIF(Capacity_Resource,$E175,'Critical resources (hide)'!BL$6:BL$105)+SUMIF(Capacity_Resource,$F175,'Critical resources (hide)'!BL$6:BL$105)&gt;0,$E$1=2),0,1)</f>
        <v>1</v>
      </c>
      <c r="AZ175" s="68">
        <f ca="1">IF(AND(SUMIF(Capacity_Resource,$D175,'Critical resources (hide)'!BM$6:BM$105)+SUMIF(Capacity_Resource,$E175,'Critical resources (hide)'!BM$6:BM$105)+SUMIF(Capacity_Resource,$F175,'Critical resources (hide)'!BM$6:BM$105)&gt;0,$E$1=2),0,1)</f>
        <v>1</v>
      </c>
      <c r="BA175" s="68">
        <f ca="1">IF(AND(SUMIF(Capacity_Resource,$D175,'Critical resources (hide)'!BN$6:BN$105)+SUMIF(Capacity_Resource,$E175,'Critical resources (hide)'!BN$6:BN$105)+SUMIF(Capacity_Resource,$F175,'Critical resources (hide)'!BN$6:BN$105)&gt;0,$E$1=2),0,1)</f>
        <v>1</v>
      </c>
      <c r="BB175" s="68">
        <f ca="1">IF(AND(SUMIF(Capacity_Resource,$D175,'Critical resources (hide)'!BO$6:BO$105)+SUMIF(Capacity_Resource,$E175,'Critical resources (hide)'!BO$6:BO$105)+SUMIF(Capacity_Resource,$F175,'Critical resources (hide)'!BO$6:BO$105)&gt;0,$E$1=2),0,1)</f>
        <v>1</v>
      </c>
      <c r="BC175" s="68">
        <f ca="1">IF(AND(SUMIF(Capacity_Resource,$D175,'Critical resources (hide)'!BP$6:BP$105)+SUMIF(Capacity_Resource,$E175,'Critical resources (hide)'!BP$6:BP$105)+SUMIF(Capacity_Resource,$F175,'Critical resources (hide)'!BP$6:BP$105)&gt;0,$E$1=2),0,1)</f>
        <v>1</v>
      </c>
      <c r="BD175" s="68">
        <f ca="1">IF(AND(SUMIF(Capacity_Resource,$D175,'Critical resources (hide)'!BQ$6:BQ$105)+SUMIF(Capacity_Resource,$E175,'Critical resources (hide)'!BQ$6:BQ$105)+SUMIF(Capacity_Resource,$F175,'Critical resources (hide)'!BQ$6:BQ$105)&gt;0,$E$1=2),0,1)</f>
        <v>1</v>
      </c>
      <c r="BE175" s="68">
        <f ca="1">IF(AND(SUMIF(Capacity_Resource,$D175,'Critical resources (hide)'!BR$6:BR$105)+SUMIF(Capacity_Resource,$E175,'Critical resources (hide)'!BR$6:BR$105)+SUMIF(Capacity_Resource,$F175,'Critical resources (hide)'!BR$6:BR$105)&gt;0,$E$1=2),0,1)</f>
        <v>1</v>
      </c>
      <c r="BF175" s="68">
        <f ca="1">IF(AND(SUMIF(Capacity_Resource,$D175,'Critical resources (hide)'!BS$6:BS$105)+SUMIF(Capacity_Resource,$E175,'Critical resources (hide)'!BS$6:BS$105)+SUMIF(Capacity_Resource,$F175,'Critical resources (hide)'!BS$6:BS$105)&gt;0,$E$1=2),0,1)</f>
        <v>1</v>
      </c>
      <c r="BG175" s="68">
        <f ca="1">IF(AND(SUMIF(Capacity_Resource,$D175,'Critical resources (hide)'!BT$6:BT$105)+SUMIF(Capacity_Resource,$E175,'Critical resources (hide)'!BT$6:BT$105)+SUMIF(Capacity_Resource,$F175,'Critical resources (hide)'!BT$6:BT$105)&gt;0,$E$1=2),0,1)</f>
        <v>1</v>
      </c>
      <c r="BH175" s="68">
        <f>IF(ROW(A64)&lt;=Capacity!$M$16,IF('Capacity summary'!$C$14="No",SUM(H175:BG175),'Capacity summary'!$E87),0)</f>
        <v>0</v>
      </c>
      <c r="BI175" s="68" t="str">
        <f>IF(BH175&gt;0,IF(BH175&lt;Capacity!Q80,Capacity!R80,Capacity!T80/'Capacity calculation (hide)'!BH175),"")</f>
        <v/>
      </c>
      <c r="BJ175" s="5"/>
      <c r="BK175" s="5">
        <f>IF($BI175&lt;&gt;"",IF('Capacity summary'!$C$14="Yes",IF(COUNTBLANK('Capacity summary'!$H87:$BG87)&lt;52,IF('Capacity summary'!H87&lt;&gt;"",$BI175*H175,0),H175*$BI175),H175*$BI175),0)</f>
        <v>0</v>
      </c>
      <c r="BL175" s="5">
        <f>IF($BI175&lt;&gt;"",IF('Capacity summary'!$C$14="Yes",IF(COUNTBLANK('Capacity summary'!$H87:$BG87)&lt;52,IF('Capacity summary'!I87&lt;&gt;"",$BI175*I175,0),I175*$BI175),I175*$BI175),0)</f>
        <v>0</v>
      </c>
      <c r="BM175" s="5">
        <f>IF($BI175&lt;&gt;"",IF('Capacity summary'!$C$14="Yes",IF(COUNTBLANK('Capacity summary'!$H87:$BG87)&lt;52,IF('Capacity summary'!J87&lt;&gt;"",$BI175*J175,0),J175*$BI175),J175*$BI175),0)</f>
        <v>0</v>
      </c>
      <c r="BN175" s="5">
        <f>IF($BI175&lt;&gt;"",IF('Capacity summary'!$C$14="Yes",IF(COUNTBLANK('Capacity summary'!$H87:$BG87)&lt;52,IF('Capacity summary'!K87&lt;&gt;"",$BI175*K175,0),K175*$BI175),K175*$BI175),0)</f>
        <v>0</v>
      </c>
      <c r="BO175" s="5">
        <f>IF($BI175&lt;&gt;"",IF('Capacity summary'!$C$14="Yes",IF(COUNTBLANK('Capacity summary'!$H87:$BG87)&lt;52,IF('Capacity summary'!L87&lt;&gt;"",$BI175*L175,0),L175*$BI175),L175*$BI175),0)</f>
        <v>0</v>
      </c>
      <c r="BP175" s="5">
        <f>IF($BI175&lt;&gt;"",IF('Capacity summary'!$C$14="Yes",IF(COUNTBLANK('Capacity summary'!$H87:$BG87)&lt;52,IF('Capacity summary'!M87&lt;&gt;"",$BI175*M175,0),M175*$BI175),M175*$BI175),0)</f>
        <v>0</v>
      </c>
      <c r="BQ175" s="5">
        <f>IF($BI175&lt;&gt;"",IF('Capacity summary'!$C$14="Yes",IF(COUNTBLANK('Capacity summary'!$H87:$BG87)&lt;52,IF('Capacity summary'!N87&lt;&gt;"",$BI175*N175,0),N175*$BI175),N175*$BI175),0)</f>
        <v>0</v>
      </c>
      <c r="BR175" s="5">
        <f>IF($BI175&lt;&gt;"",IF('Capacity summary'!$C$14="Yes",IF(COUNTBLANK('Capacity summary'!$H87:$BG87)&lt;52,IF('Capacity summary'!O87&lt;&gt;"",$BI175*O175,0),O175*$BI175),O175*$BI175),0)</f>
        <v>0</v>
      </c>
      <c r="BS175" s="5">
        <f>IF($BI175&lt;&gt;"",IF('Capacity summary'!$C$14="Yes",IF(COUNTBLANK('Capacity summary'!$H87:$BG87)&lt;52,IF('Capacity summary'!P87&lt;&gt;"",$BI175*P175,0),P175*$BI175),P175*$BI175),0)</f>
        <v>0</v>
      </c>
      <c r="BT175" s="5">
        <f>IF($BI175&lt;&gt;"",IF('Capacity summary'!$C$14="Yes",IF(COUNTBLANK('Capacity summary'!$H87:$BG87)&lt;52,IF('Capacity summary'!Q87&lt;&gt;"",$BI175*Q175,0),Q175*$BI175),Q175*$BI175),0)</f>
        <v>0</v>
      </c>
      <c r="BU175" s="5">
        <f>IF($BI175&lt;&gt;"",IF('Capacity summary'!$C$14="Yes",IF(COUNTBLANK('Capacity summary'!$H87:$BG87)&lt;52,IF('Capacity summary'!R87&lt;&gt;"",$BI175*R175,0),R175*$BI175),R175*$BI175),0)</f>
        <v>0</v>
      </c>
      <c r="BV175" s="5">
        <f>IF($BI175&lt;&gt;"",IF('Capacity summary'!$C$14="Yes",IF(COUNTBLANK('Capacity summary'!$H87:$BG87)&lt;52,IF('Capacity summary'!S87&lt;&gt;"",$BI175*S175,0),S175*$BI175),S175*$BI175),0)</f>
        <v>0</v>
      </c>
      <c r="BW175" s="5">
        <f>IF($BI175&lt;&gt;"",IF('Capacity summary'!$C$14="Yes",IF(COUNTBLANK('Capacity summary'!$H87:$BG87)&lt;52,IF('Capacity summary'!T87&lt;&gt;"",$BI175*T175,0),T175*$BI175),T175*$BI175),0)</f>
        <v>0</v>
      </c>
      <c r="BX175" s="5">
        <f>IF($BI175&lt;&gt;"",IF('Capacity summary'!$C$14="Yes",IF(COUNTBLANK('Capacity summary'!$H87:$BG87)&lt;52,IF('Capacity summary'!U87&lt;&gt;"",$BI175*U175,0),U175*$BI175),U175*$BI175),0)</f>
        <v>0</v>
      </c>
      <c r="BY175" s="5">
        <f>IF($BI175&lt;&gt;"",IF('Capacity summary'!$C$14="Yes",IF(COUNTBLANK('Capacity summary'!$H87:$BG87)&lt;52,IF('Capacity summary'!V87&lt;&gt;"",$BI175*V175,0),V175*$BI175),V175*$BI175),0)</f>
        <v>0</v>
      </c>
      <c r="BZ175" s="5">
        <f>IF($BI175&lt;&gt;"",IF('Capacity summary'!$C$14="Yes",IF(COUNTBLANK('Capacity summary'!$H87:$BG87)&lt;52,IF('Capacity summary'!W87&lt;&gt;"",$BI175*W175,0),W175*$BI175),W175*$BI175),0)</f>
        <v>0</v>
      </c>
      <c r="CA175" s="5">
        <f>IF($BI175&lt;&gt;"",IF('Capacity summary'!$C$14="Yes",IF(COUNTBLANK('Capacity summary'!$H87:$BG87)&lt;52,IF('Capacity summary'!X87&lt;&gt;"",$BI175*X175,0),X175*$BI175),X175*$BI175),0)</f>
        <v>0</v>
      </c>
      <c r="CB175" s="5">
        <f>IF($BI175&lt;&gt;"",IF('Capacity summary'!$C$14="Yes",IF(COUNTBLANK('Capacity summary'!$H87:$BG87)&lt;52,IF('Capacity summary'!Y87&lt;&gt;"",$BI175*Y175,0),Y175*$BI175),Y175*$BI175),0)</f>
        <v>0</v>
      </c>
      <c r="CC175" s="5">
        <f>IF($BI175&lt;&gt;"",IF('Capacity summary'!$C$14="Yes",IF(COUNTBLANK('Capacity summary'!$H87:$BG87)&lt;52,IF('Capacity summary'!Z87&lt;&gt;"",$BI175*Z175,0),Z175*$BI175),Z175*$BI175),0)</f>
        <v>0</v>
      </c>
      <c r="CD175" s="5">
        <f>IF($BI175&lt;&gt;"",IF('Capacity summary'!$C$14="Yes",IF(COUNTBLANK('Capacity summary'!$H87:$BG87)&lt;52,IF('Capacity summary'!AA87&lt;&gt;"",$BI175*AA175,0),AA175*$BI175),AA175*$BI175),0)</f>
        <v>0</v>
      </c>
      <c r="CE175" s="5">
        <f>IF($BI175&lt;&gt;"",IF('Capacity summary'!$C$14="Yes",IF(COUNTBLANK('Capacity summary'!$H87:$BG87)&lt;52,IF('Capacity summary'!AB87&lt;&gt;"",$BI175*AB175,0),AB175*$BI175),AB175*$BI175),0)</f>
        <v>0</v>
      </c>
      <c r="CF175" s="5">
        <f>IF($BI175&lt;&gt;"",IF('Capacity summary'!$C$14="Yes",IF(COUNTBLANK('Capacity summary'!$H87:$BG87)&lt;52,IF('Capacity summary'!AC87&lt;&gt;"",$BI175*AC175,0),AC175*$BI175),AC175*$BI175),0)</f>
        <v>0</v>
      </c>
      <c r="CG175" s="5">
        <f>IF($BI175&lt;&gt;"",IF('Capacity summary'!$C$14="Yes",IF(COUNTBLANK('Capacity summary'!$H87:$BG87)&lt;52,IF('Capacity summary'!AD87&lt;&gt;"",$BI175*AD175,0),AD175*$BI175),AD175*$BI175),0)</f>
        <v>0</v>
      </c>
      <c r="CH175" s="5">
        <f>IF($BI175&lt;&gt;"",IF('Capacity summary'!$C$14="Yes",IF(COUNTBLANK('Capacity summary'!$H87:$BG87)&lt;52,IF('Capacity summary'!AE87&lt;&gt;"",$BI175*AE175,0),AE175*$BI175),AE175*$BI175),0)</f>
        <v>0</v>
      </c>
      <c r="CI175" s="5">
        <f>IF($BI175&lt;&gt;"",IF('Capacity summary'!$C$14="Yes",IF(COUNTBLANK('Capacity summary'!$H87:$BG87)&lt;52,IF('Capacity summary'!AF87&lt;&gt;"",$BI175*AF175,0),AF175*$BI175),AF175*$BI175),0)</f>
        <v>0</v>
      </c>
      <c r="CJ175" s="5">
        <f>IF($BI175&lt;&gt;"",IF('Capacity summary'!$C$14="Yes",IF(COUNTBLANK('Capacity summary'!$H87:$BG87)&lt;52,IF('Capacity summary'!AG87&lt;&gt;"",$BI175*AG175,0),AG175*$BI175),AG175*$BI175),0)</f>
        <v>0</v>
      </c>
      <c r="CK175" s="5">
        <f>IF($BI175&lt;&gt;"",IF('Capacity summary'!$C$14="Yes",IF(COUNTBLANK('Capacity summary'!$H87:$BG87)&lt;52,IF('Capacity summary'!AH87&lt;&gt;"",$BI175*AH175,0),AH175*$BI175),AH175*$BI175),0)</f>
        <v>0</v>
      </c>
      <c r="CL175" s="5">
        <f>IF($BI175&lt;&gt;"",IF('Capacity summary'!$C$14="Yes",IF(COUNTBLANK('Capacity summary'!$H87:$BG87)&lt;52,IF('Capacity summary'!AI87&lt;&gt;"",$BI175*AI175,0),AI175*$BI175),AI175*$BI175),0)</f>
        <v>0</v>
      </c>
      <c r="CM175" s="5">
        <f>IF($BI175&lt;&gt;"",IF('Capacity summary'!$C$14="Yes",IF(COUNTBLANK('Capacity summary'!$H87:$BG87)&lt;52,IF('Capacity summary'!AJ87&lt;&gt;"",$BI175*AJ175,0),AJ175*$BI175),AJ175*$BI175),0)</f>
        <v>0</v>
      </c>
      <c r="CN175" s="5">
        <f>IF($BI175&lt;&gt;"",IF('Capacity summary'!$C$14="Yes",IF(COUNTBLANK('Capacity summary'!$H87:$BG87)&lt;52,IF('Capacity summary'!AK87&lt;&gt;"",$BI175*AK175,0),AK175*$BI175),AK175*$BI175),0)</f>
        <v>0</v>
      </c>
      <c r="CO175" s="5">
        <f>IF($BI175&lt;&gt;"",IF('Capacity summary'!$C$14="Yes",IF(COUNTBLANK('Capacity summary'!$H87:$BG87)&lt;52,IF('Capacity summary'!AL87&lt;&gt;"",$BI175*AL175,0),AL175*$BI175),AL175*$BI175),0)</f>
        <v>0</v>
      </c>
      <c r="CP175" s="5">
        <f>IF($BI175&lt;&gt;"",IF('Capacity summary'!$C$14="Yes",IF(COUNTBLANK('Capacity summary'!$H87:$BG87)&lt;52,IF('Capacity summary'!AM87&lt;&gt;"",$BI175*AM175,0),AM175*$BI175),AM175*$BI175),0)</f>
        <v>0</v>
      </c>
      <c r="CQ175" s="5">
        <f>IF($BI175&lt;&gt;"",IF('Capacity summary'!$C$14="Yes",IF(COUNTBLANK('Capacity summary'!$H87:$BG87)&lt;52,IF('Capacity summary'!AN87&lt;&gt;"",$BI175*AN175,0),AN175*$BI175),AN175*$BI175),0)</f>
        <v>0</v>
      </c>
      <c r="CR175" s="5">
        <f>IF($BI175&lt;&gt;"",IF('Capacity summary'!$C$14="Yes",IF(COUNTBLANK('Capacity summary'!$H87:$BG87)&lt;52,IF('Capacity summary'!AO87&lt;&gt;"",$BI175*AO175,0),AO175*$BI175),AO175*$BI175),0)</f>
        <v>0</v>
      </c>
      <c r="CS175" s="5">
        <f>IF($BI175&lt;&gt;"",IF('Capacity summary'!$C$14="Yes",IF(COUNTBLANK('Capacity summary'!$H87:$BG87)&lt;52,IF('Capacity summary'!AP87&lt;&gt;"",$BI175*AP175,0),AP175*$BI175),AP175*$BI175),0)</f>
        <v>0</v>
      </c>
      <c r="CT175" s="5">
        <f>IF($BI175&lt;&gt;"",IF('Capacity summary'!$C$14="Yes",IF(COUNTBLANK('Capacity summary'!$H87:$BG87)&lt;52,IF('Capacity summary'!AQ87&lt;&gt;"",$BI175*AQ175,0),AQ175*$BI175),AQ175*$BI175),0)</f>
        <v>0</v>
      </c>
      <c r="CU175" s="5">
        <f>IF($BI175&lt;&gt;"",IF('Capacity summary'!$C$14="Yes",IF(COUNTBLANK('Capacity summary'!$H87:$BG87)&lt;52,IF('Capacity summary'!AR87&lt;&gt;"",$BI175*AR175,0),AR175*$BI175),AR175*$BI175),0)</f>
        <v>0</v>
      </c>
      <c r="CV175" s="5">
        <f>IF($BI175&lt;&gt;"",IF('Capacity summary'!$C$14="Yes",IF(COUNTBLANK('Capacity summary'!$H87:$BG87)&lt;52,IF('Capacity summary'!AS87&lt;&gt;"",$BI175*AS175,0),AS175*$BI175),AS175*$BI175),0)</f>
        <v>0</v>
      </c>
      <c r="CW175" s="5">
        <f>IF($BI175&lt;&gt;"",IF('Capacity summary'!$C$14="Yes",IF(COUNTBLANK('Capacity summary'!$H87:$BG87)&lt;52,IF('Capacity summary'!AT87&lt;&gt;"",$BI175*AT175,0),AT175*$BI175),AT175*$BI175),0)</f>
        <v>0</v>
      </c>
      <c r="CX175" s="5">
        <f>IF($BI175&lt;&gt;"",IF('Capacity summary'!$C$14="Yes",IF(COUNTBLANK('Capacity summary'!$H87:$BG87)&lt;52,IF('Capacity summary'!AU87&lt;&gt;"",$BI175*AU175,0),AU175*$BI175),AU175*$BI175),0)</f>
        <v>0</v>
      </c>
      <c r="CY175" s="5">
        <f>IF($BI175&lt;&gt;"",IF('Capacity summary'!$C$14="Yes",IF(COUNTBLANK('Capacity summary'!$H87:$BG87)&lt;52,IF('Capacity summary'!AV87&lt;&gt;"",$BI175*AV175,0),AV175*$BI175),AV175*$BI175),0)</f>
        <v>0</v>
      </c>
      <c r="CZ175" s="5">
        <f>IF($BI175&lt;&gt;"",IF('Capacity summary'!$C$14="Yes",IF(COUNTBLANK('Capacity summary'!$H87:$BG87)&lt;52,IF('Capacity summary'!AW87&lt;&gt;"",$BI175*AW175,0),AW175*$BI175),AW175*$BI175),0)</f>
        <v>0</v>
      </c>
      <c r="DA175" s="5">
        <f>IF($BI175&lt;&gt;"",IF('Capacity summary'!$C$14="Yes",IF(COUNTBLANK('Capacity summary'!$H87:$BG87)&lt;52,IF('Capacity summary'!AX87&lt;&gt;"",$BI175*AX175,0),AX175*$BI175),AX175*$BI175),0)</f>
        <v>0</v>
      </c>
      <c r="DB175" s="5">
        <f>IF($BI175&lt;&gt;"",IF('Capacity summary'!$C$14="Yes",IF(COUNTBLANK('Capacity summary'!$H87:$BG87)&lt;52,IF('Capacity summary'!AY87&lt;&gt;"",$BI175*AY175,0),AY175*$BI175),AY175*$BI175),0)</f>
        <v>0</v>
      </c>
      <c r="DC175" s="5">
        <f>IF($BI175&lt;&gt;"",IF('Capacity summary'!$C$14="Yes",IF(COUNTBLANK('Capacity summary'!$H87:$BG87)&lt;52,IF('Capacity summary'!AZ87&lt;&gt;"",$BI175*AZ175,0),AZ175*$BI175),AZ175*$BI175),0)</f>
        <v>0</v>
      </c>
      <c r="DD175" s="5">
        <f>IF($BI175&lt;&gt;"",IF('Capacity summary'!$C$14="Yes",IF(COUNTBLANK('Capacity summary'!$H87:$BG87)&lt;52,IF('Capacity summary'!BA87&lt;&gt;"",$BI175*BA175,0),BA175*$BI175),BA175*$BI175),0)</f>
        <v>0</v>
      </c>
      <c r="DE175" s="5">
        <f>IF($BI175&lt;&gt;"",IF('Capacity summary'!$C$14="Yes",IF(COUNTBLANK('Capacity summary'!$H87:$BG87)&lt;52,IF('Capacity summary'!BB87&lt;&gt;"",$BI175*BB175,0),BB175*$BI175),BB175*$BI175),0)</f>
        <v>0</v>
      </c>
      <c r="DF175" s="5">
        <f>IF($BI175&lt;&gt;"",IF('Capacity summary'!$C$14="Yes",IF(COUNTBLANK('Capacity summary'!$H87:$BG87)&lt;52,IF('Capacity summary'!BC87&lt;&gt;"",$BI175*BC175,0),BC175*$BI175),BC175*$BI175),0)</f>
        <v>0</v>
      </c>
      <c r="DG175" s="5">
        <f>IF($BI175&lt;&gt;"",IF('Capacity summary'!$C$14="Yes",IF(COUNTBLANK('Capacity summary'!$H87:$BG87)&lt;52,IF('Capacity summary'!BD87&lt;&gt;"",$BI175*BD175,0),BD175*$BI175),BD175*$BI175),0)</f>
        <v>0</v>
      </c>
      <c r="DH175" s="5">
        <f>IF($BI175&lt;&gt;"",IF('Capacity summary'!$C$14="Yes",IF(COUNTBLANK('Capacity summary'!$H87:$BG87)&lt;52,IF('Capacity summary'!BE87&lt;&gt;"",$BI175*BE175,0),BE175*$BI175),BE175*$BI175),0)</f>
        <v>0</v>
      </c>
      <c r="DI175" s="5">
        <f>IF($BI175&lt;&gt;"",IF('Capacity summary'!$C$14="Yes",IF(COUNTBLANK('Capacity summary'!$H87:$BG87)&lt;52,IF('Capacity summary'!BF87&lt;&gt;"",$BI175*BF175,0),BF175*$BI175),BF175*$BI175),0)</f>
        <v>0</v>
      </c>
      <c r="DJ175" s="5">
        <f>IF($BI175&lt;&gt;"",IF('Capacity summary'!$C$14="Yes",IF(COUNTBLANK('Capacity summary'!$H87:$BG87)&lt;52,IF('Capacity summary'!BG87&lt;&gt;"",$BI175*BG175,0),BG175*$BI175),BG175*$BI175),0)</f>
        <v>0</v>
      </c>
      <c r="DK175" s="138">
        <f t="shared" si="6"/>
        <v>0</v>
      </c>
    </row>
    <row r="176" spans="3:115" x14ac:dyDescent="0.2">
      <c r="C176" s="68" t="str">
        <f>ROW(A65)&amp;". "&amp;Capacity!N81</f>
        <v xml:space="preserve">65. </v>
      </c>
      <c r="D176" s="68">
        <f>'Capacity setup'!C182</f>
        <v>0</v>
      </c>
      <c r="E176" s="68">
        <f>'Capacity setup'!D182</f>
        <v>0</v>
      </c>
      <c r="F176" s="68">
        <f>'Capacity setup'!E182</f>
        <v>0</v>
      </c>
      <c r="H176" s="68">
        <f ca="1">IF(AND(SUMIF(Capacity_Resource,$D176,'Critical resources (hide)'!U$6:U$105)+SUMIF(Capacity_Resource,$E176,'Critical resources (hide)'!U$6:U$105)+SUMIF(Capacity_Resource,$F176,'Critical resources (hide)'!U$6:U$105)&gt;0,$E$1=2),0,1)</f>
        <v>1</v>
      </c>
      <c r="I176" s="68">
        <f ca="1">IF(AND(SUMIF(Capacity_Resource,$D176,'Critical resources (hide)'!V$6:V$105)+SUMIF(Capacity_Resource,$E176,'Critical resources (hide)'!V$6:V$105)+SUMIF(Capacity_Resource,$F176,'Critical resources (hide)'!V$6:V$105)&gt;0,$E$1=2),0,1)</f>
        <v>1</v>
      </c>
      <c r="J176" s="68">
        <f ca="1">IF(AND(SUMIF(Capacity_Resource,$D176,'Critical resources (hide)'!W$6:W$105)+SUMIF(Capacity_Resource,$E176,'Critical resources (hide)'!W$6:W$105)+SUMIF(Capacity_Resource,$F176,'Critical resources (hide)'!W$6:W$105)&gt;0,$E$1=2),0,1)</f>
        <v>1</v>
      </c>
      <c r="K176" s="68">
        <f ca="1">IF(AND(SUMIF(Capacity_Resource,$D176,'Critical resources (hide)'!X$6:X$105)+SUMIF(Capacity_Resource,$E176,'Critical resources (hide)'!X$6:X$105)+SUMIF(Capacity_Resource,$F176,'Critical resources (hide)'!X$6:X$105)&gt;0,$E$1=2),0,1)</f>
        <v>1</v>
      </c>
      <c r="L176" s="68">
        <f ca="1">IF(AND(SUMIF(Capacity_Resource,$D176,'Critical resources (hide)'!Y$6:Y$105)+SUMIF(Capacity_Resource,$E176,'Critical resources (hide)'!Y$6:Y$105)+SUMIF(Capacity_Resource,$F176,'Critical resources (hide)'!Y$6:Y$105)&gt;0,$E$1=2),0,1)</f>
        <v>1</v>
      </c>
      <c r="M176" s="68">
        <f ca="1">IF(AND(SUMIF(Capacity_Resource,$D176,'Critical resources (hide)'!Z$6:Z$105)+SUMIF(Capacity_Resource,$E176,'Critical resources (hide)'!Z$6:Z$105)+SUMIF(Capacity_Resource,$F176,'Critical resources (hide)'!Z$6:Z$105)&gt;0,$E$1=2),0,1)</f>
        <v>1</v>
      </c>
      <c r="N176" s="68">
        <f ca="1">IF(AND(SUMIF(Capacity_Resource,$D176,'Critical resources (hide)'!AA$6:AA$105)+SUMIF(Capacity_Resource,$E176,'Critical resources (hide)'!AA$6:AA$105)+SUMIF(Capacity_Resource,$F176,'Critical resources (hide)'!AA$6:AA$105)&gt;0,$E$1=2),0,1)</f>
        <v>1</v>
      </c>
      <c r="O176" s="68">
        <f ca="1">IF(AND(SUMIF(Capacity_Resource,$D176,'Critical resources (hide)'!AB$6:AB$105)+SUMIF(Capacity_Resource,$E176,'Critical resources (hide)'!AB$6:AB$105)+SUMIF(Capacity_Resource,$F176,'Critical resources (hide)'!AB$6:AB$105)&gt;0,$E$1=2),0,1)</f>
        <v>1</v>
      </c>
      <c r="P176" s="68">
        <f ca="1">IF(AND(SUMIF(Capacity_Resource,$D176,'Critical resources (hide)'!AC$6:AC$105)+SUMIF(Capacity_Resource,$E176,'Critical resources (hide)'!AC$6:AC$105)+SUMIF(Capacity_Resource,$F176,'Critical resources (hide)'!AC$6:AC$105)&gt;0,$E$1=2),0,1)</f>
        <v>1</v>
      </c>
      <c r="Q176" s="68">
        <f ca="1">IF(AND(SUMIF(Capacity_Resource,$D176,'Critical resources (hide)'!AD$6:AD$105)+SUMIF(Capacity_Resource,$E176,'Critical resources (hide)'!AD$6:AD$105)+SUMIF(Capacity_Resource,$F176,'Critical resources (hide)'!AD$6:AD$105)&gt;0,$E$1=2),0,1)</f>
        <v>1</v>
      </c>
      <c r="R176" s="68">
        <f ca="1">IF(AND(SUMIF(Capacity_Resource,$D176,'Critical resources (hide)'!AE$6:AE$105)+SUMIF(Capacity_Resource,$E176,'Critical resources (hide)'!AE$6:AE$105)+SUMIF(Capacity_Resource,$F176,'Critical resources (hide)'!AE$6:AE$105)&gt;0,$E$1=2),0,1)</f>
        <v>1</v>
      </c>
      <c r="S176" s="68">
        <f ca="1">IF(AND(SUMIF(Capacity_Resource,$D176,'Critical resources (hide)'!AF$6:AF$105)+SUMIF(Capacity_Resource,$E176,'Critical resources (hide)'!AF$6:AF$105)+SUMIF(Capacity_Resource,$F176,'Critical resources (hide)'!AF$6:AF$105)&gt;0,$E$1=2),0,1)</f>
        <v>1</v>
      </c>
      <c r="T176" s="68">
        <f ca="1">IF(AND(SUMIF(Capacity_Resource,$D176,'Critical resources (hide)'!AG$6:AG$105)+SUMIF(Capacity_Resource,$E176,'Critical resources (hide)'!AG$6:AG$105)+SUMIF(Capacity_Resource,$F176,'Critical resources (hide)'!AG$6:AG$105)&gt;0,$E$1=2),0,1)</f>
        <v>1</v>
      </c>
      <c r="U176" s="68">
        <f ca="1">IF(AND(SUMIF(Capacity_Resource,$D176,'Critical resources (hide)'!AH$6:AH$105)+SUMIF(Capacity_Resource,$E176,'Critical resources (hide)'!AH$6:AH$105)+SUMIF(Capacity_Resource,$F176,'Critical resources (hide)'!AH$6:AH$105)&gt;0,$E$1=2),0,1)</f>
        <v>1</v>
      </c>
      <c r="V176" s="68">
        <f ca="1">IF(AND(SUMIF(Capacity_Resource,$D176,'Critical resources (hide)'!AI$6:AI$105)+SUMIF(Capacity_Resource,$E176,'Critical resources (hide)'!AI$6:AI$105)+SUMIF(Capacity_Resource,$F176,'Critical resources (hide)'!AI$6:AI$105)&gt;0,$E$1=2),0,1)</f>
        <v>1</v>
      </c>
      <c r="W176" s="68">
        <f ca="1">IF(AND(SUMIF(Capacity_Resource,$D176,'Critical resources (hide)'!AJ$6:AJ$105)+SUMIF(Capacity_Resource,$E176,'Critical resources (hide)'!AJ$6:AJ$105)+SUMIF(Capacity_Resource,$F176,'Critical resources (hide)'!AJ$6:AJ$105)&gt;0,$E$1=2),0,1)</f>
        <v>1</v>
      </c>
      <c r="X176" s="68">
        <f ca="1">IF(AND(SUMIF(Capacity_Resource,$D176,'Critical resources (hide)'!AK$6:AK$105)+SUMIF(Capacity_Resource,$E176,'Critical resources (hide)'!AK$6:AK$105)+SUMIF(Capacity_Resource,$F176,'Critical resources (hide)'!AK$6:AK$105)&gt;0,$E$1=2),0,1)</f>
        <v>1</v>
      </c>
      <c r="Y176" s="68">
        <f ca="1">IF(AND(SUMIF(Capacity_Resource,$D176,'Critical resources (hide)'!AL$6:AL$105)+SUMIF(Capacity_Resource,$E176,'Critical resources (hide)'!AL$6:AL$105)+SUMIF(Capacity_Resource,$F176,'Critical resources (hide)'!AL$6:AL$105)&gt;0,$E$1=2),0,1)</f>
        <v>1</v>
      </c>
      <c r="Z176" s="68">
        <f ca="1">IF(AND(SUMIF(Capacity_Resource,$D176,'Critical resources (hide)'!AM$6:AM$105)+SUMIF(Capacity_Resource,$E176,'Critical resources (hide)'!AM$6:AM$105)+SUMIF(Capacity_Resource,$F176,'Critical resources (hide)'!AM$6:AM$105)&gt;0,$E$1=2),0,1)</f>
        <v>1</v>
      </c>
      <c r="AA176" s="68">
        <f ca="1">IF(AND(SUMIF(Capacity_Resource,$D176,'Critical resources (hide)'!AN$6:AN$105)+SUMIF(Capacity_Resource,$E176,'Critical resources (hide)'!AN$6:AN$105)+SUMIF(Capacity_Resource,$F176,'Critical resources (hide)'!AN$6:AN$105)&gt;0,$E$1=2),0,1)</f>
        <v>1</v>
      </c>
      <c r="AB176" s="68">
        <f ca="1">IF(AND(SUMIF(Capacity_Resource,$D176,'Critical resources (hide)'!AO$6:AO$105)+SUMIF(Capacity_Resource,$E176,'Critical resources (hide)'!AO$6:AO$105)+SUMIF(Capacity_Resource,$F176,'Critical resources (hide)'!AO$6:AO$105)&gt;0,$E$1=2),0,1)</f>
        <v>1</v>
      </c>
      <c r="AC176" s="68">
        <f ca="1">IF(AND(SUMIF(Capacity_Resource,$D176,'Critical resources (hide)'!AP$6:AP$105)+SUMIF(Capacity_Resource,$E176,'Critical resources (hide)'!AP$6:AP$105)+SUMIF(Capacity_Resource,$F176,'Critical resources (hide)'!AP$6:AP$105)&gt;0,$E$1=2),0,1)</f>
        <v>1</v>
      </c>
      <c r="AD176" s="68">
        <f ca="1">IF(AND(SUMIF(Capacity_Resource,$D176,'Critical resources (hide)'!AQ$6:AQ$105)+SUMIF(Capacity_Resource,$E176,'Critical resources (hide)'!AQ$6:AQ$105)+SUMIF(Capacity_Resource,$F176,'Critical resources (hide)'!AQ$6:AQ$105)&gt;0,$E$1=2),0,1)</f>
        <v>1</v>
      </c>
      <c r="AE176" s="68">
        <f ca="1">IF(AND(SUMIF(Capacity_Resource,$D176,'Critical resources (hide)'!AR$6:AR$105)+SUMIF(Capacity_Resource,$E176,'Critical resources (hide)'!AR$6:AR$105)+SUMIF(Capacity_Resource,$F176,'Critical resources (hide)'!AR$6:AR$105)&gt;0,$E$1=2),0,1)</f>
        <v>1</v>
      </c>
      <c r="AF176" s="68">
        <f ca="1">IF(AND(SUMIF(Capacity_Resource,$D176,'Critical resources (hide)'!AS$6:AS$105)+SUMIF(Capacity_Resource,$E176,'Critical resources (hide)'!AS$6:AS$105)+SUMIF(Capacity_Resource,$F176,'Critical resources (hide)'!AS$6:AS$105)&gt;0,$E$1=2),0,1)</f>
        <v>1</v>
      </c>
      <c r="AG176" s="68">
        <f ca="1">IF(AND(SUMIF(Capacity_Resource,$D176,'Critical resources (hide)'!AT$6:AT$105)+SUMIF(Capacity_Resource,$E176,'Critical resources (hide)'!AT$6:AT$105)+SUMIF(Capacity_Resource,$F176,'Critical resources (hide)'!AT$6:AT$105)&gt;0,$E$1=2),0,1)</f>
        <v>1</v>
      </c>
      <c r="AH176" s="68">
        <f ca="1">IF(AND(SUMIF(Capacity_Resource,$D176,'Critical resources (hide)'!AU$6:AU$105)+SUMIF(Capacity_Resource,$E176,'Critical resources (hide)'!AU$6:AU$105)+SUMIF(Capacity_Resource,$F176,'Critical resources (hide)'!AU$6:AU$105)&gt;0,$E$1=2),0,1)</f>
        <v>1</v>
      </c>
      <c r="AI176" s="68">
        <f ca="1">IF(AND(SUMIF(Capacity_Resource,$D176,'Critical resources (hide)'!AV$6:AV$105)+SUMIF(Capacity_Resource,$E176,'Critical resources (hide)'!AV$6:AV$105)+SUMIF(Capacity_Resource,$F176,'Critical resources (hide)'!AV$6:AV$105)&gt;0,$E$1=2),0,1)</f>
        <v>1</v>
      </c>
      <c r="AJ176" s="68">
        <f ca="1">IF(AND(SUMIF(Capacity_Resource,$D176,'Critical resources (hide)'!AW$6:AW$105)+SUMIF(Capacity_Resource,$E176,'Critical resources (hide)'!AW$6:AW$105)+SUMIF(Capacity_Resource,$F176,'Critical resources (hide)'!AW$6:AW$105)&gt;0,$E$1=2),0,1)</f>
        <v>1</v>
      </c>
      <c r="AK176" s="68">
        <f ca="1">IF(AND(SUMIF(Capacity_Resource,$D176,'Critical resources (hide)'!AX$6:AX$105)+SUMIF(Capacity_Resource,$E176,'Critical resources (hide)'!AX$6:AX$105)+SUMIF(Capacity_Resource,$F176,'Critical resources (hide)'!AX$6:AX$105)&gt;0,$E$1=2),0,1)</f>
        <v>1</v>
      </c>
      <c r="AL176" s="68">
        <f ca="1">IF(AND(SUMIF(Capacity_Resource,$D176,'Critical resources (hide)'!AY$6:AY$105)+SUMIF(Capacity_Resource,$E176,'Critical resources (hide)'!AY$6:AY$105)+SUMIF(Capacity_Resource,$F176,'Critical resources (hide)'!AY$6:AY$105)&gt;0,$E$1=2),0,1)</f>
        <v>1</v>
      </c>
      <c r="AM176" s="68">
        <f ca="1">IF(AND(SUMIF(Capacity_Resource,$D176,'Critical resources (hide)'!AZ$6:AZ$105)+SUMIF(Capacity_Resource,$E176,'Critical resources (hide)'!AZ$6:AZ$105)+SUMIF(Capacity_Resource,$F176,'Critical resources (hide)'!AZ$6:AZ$105)&gt;0,$E$1=2),0,1)</f>
        <v>1</v>
      </c>
      <c r="AN176" s="68">
        <f ca="1">IF(AND(SUMIF(Capacity_Resource,$D176,'Critical resources (hide)'!BA$6:BA$105)+SUMIF(Capacity_Resource,$E176,'Critical resources (hide)'!BA$6:BA$105)+SUMIF(Capacity_Resource,$F176,'Critical resources (hide)'!BA$6:BA$105)&gt;0,$E$1=2),0,1)</f>
        <v>1</v>
      </c>
      <c r="AO176" s="68">
        <f ca="1">IF(AND(SUMIF(Capacity_Resource,$D176,'Critical resources (hide)'!BB$6:BB$105)+SUMIF(Capacity_Resource,$E176,'Critical resources (hide)'!BB$6:BB$105)+SUMIF(Capacity_Resource,$F176,'Critical resources (hide)'!BB$6:BB$105)&gt;0,$E$1=2),0,1)</f>
        <v>1</v>
      </c>
      <c r="AP176" s="68">
        <f ca="1">IF(AND(SUMIF(Capacity_Resource,$D176,'Critical resources (hide)'!BC$6:BC$105)+SUMIF(Capacity_Resource,$E176,'Critical resources (hide)'!BC$6:BC$105)+SUMIF(Capacity_Resource,$F176,'Critical resources (hide)'!BC$6:BC$105)&gt;0,$E$1=2),0,1)</f>
        <v>1</v>
      </c>
      <c r="AQ176" s="68">
        <f ca="1">IF(AND(SUMIF(Capacity_Resource,$D176,'Critical resources (hide)'!BD$6:BD$105)+SUMIF(Capacity_Resource,$E176,'Critical resources (hide)'!BD$6:BD$105)+SUMIF(Capacity_Resource,$F176,'Critical resources (hide)'!BD$6:BD$105)&gt;0,$E$1=2),0,1)</f>
        <v>1</v>
      </c>
      <c r="AR176" s="68">
        <f ca="1">IF(AND(SUMIF(Capacity_Resource,$D176,'Critical resources (hide)'!BE$6:BE$105)+SUMIF(Capacity_Resource,$E176,'Critical resources (hide)'!BE$6:BE$105)+SUMIF(Capacity_Resource,$F176,'Critical resources (hide)'!BE$6:BE$105)&gt;0,$E$1=2),0,1)</f>
        <v>1</v>
      </c>
      <c r="AS176" s="68">
        <f ca="1">IF(AND(SUMIF(Capacity_Resource,$D176,'Critical resources (hide)'!BF$6:BF$105)+SUMIF(Capacity_Resource,$E176,'Critical resources (hide)'!BF$6:BF$105)+SUMIF(Capacity_Resource,$F176,'Critical resources (hide)'!BF$6:BF$105)&gt;0,$E$1=2),0,1)</f>
        <v>1</v>
      </c>
      <c r="AT176" s="68">
        <f ca="1">IF(AND(SUMIF(Capacity_Resource,$D176,'Critical resources (hide)'!BG$6:BG$105)+SUMIF(Capacity_Resource,$E176,'Critical resources (hide)'!BG$6:BG$105)+SUMIF(Capacity_Resource,$F176,'Critical resources (hide)'!BG$6:BG$105)&gt;0,$E$1=2),0,1)</f>
        <v>1</v>
      </c>
      <c r="AU176" s="68">
        <f ca="1">IF(AND(SUMIF(Capacity_Resource,$D176,'Critical resources (hide)'!BH$6:BH$105)+SUMIF(Capacity_Resource,$E176,'Critical resources (hide)'!BH$6:BH$105)+SUMIF(Capacity_Resource,$F176,'Critical resources (hide)'!BH$6:BH$105)&gt;0,$E$1=2),0,1)</f>
        <v>1</v>
      </c>
      <c r="AV176" s="68">
        <f ca="1">IF(AND(SUMIF(Capacity_Resource,$D176,'Critical resources (hide)'!BI$6:BI$105)+SUMIF(Capacity_Resource,$E176,'Critical resources (hide)'!BI$6:BI$105)+SUMIF(Capacity_Resource,$F176,'Critical resources (hide)'!BI$6:BI$105)&gt;0,$E$1=2),0,1)</f>
        <v>1</v>
      </c>
      <c r="AW176" s="68">
        <f ca="1">IF(AND(SUMIF(Capacity_Resource,$D176,'Critical resources (hide)'!BJ$6:BJ$105)+SUMIF(Capacity_Resource,$E176,'Critical resources (hide)'!BJ$6:BJ$105)+SUMIF(Capacity_Resource,$F176,'Critical resources (hide)'!BJ$6:BJ$105)&gt;0,$E$1=2),0,1)</f>
        <v>1</v>
      </c>
      <c r="AX176" s="68">
        <f ca="1">IF(AND(SUMIF(Capacity_Resource,$D176,'Critical resources (hide)'!BK$6:BK$105)+SUMIF(Capacity_Resource,$E176,'Critical resources (hide)'!BK$6:BK$105)+SUMIF(Capacity_Resource,$F176,'Critical resources (hide)'!BK$6:BK$105)&gt;0,$E$1=2),0,1)</f>
        <v>1</v>
      </c>
      <c r="AY176" s="68">
        <f ca="1">IF(AND(SUMIF(Capacity_Resource,$D176,'Critical resources (hide)'!BL$6:BL$105)+SUMIF(Capacity_Resource,$E176,'Critical resources (hide)'!BL$6:BL$105)+SUMIF(Capacity_Resource,$F176,'Critical resources (hide)'!BL$6:BL$105)&gt;0,$E$1=2),0,1)</f>
        <v>1</v>
      </c>
      <c r="AZ176" s="68">
        <f ca="1">IF(AND(SUMIF(Capacity_Resource,$D176,'Critical resources (hide)'!BM$6:BM$105)+SUMIF(Capacity_Resource,$E176,'Critical resources (hide)'!BM$6:BM$105)+SUMIF(Capacity_Resource,$F176,'Critical resources (hide)'!BM$6:BM$105)&gt;0,$E$1=2),0,1)</f>
        <v>1</v>
      </c>
      <c r="BA176" s="68">
        <f ca="1">IF(AND(SUMIF(Capacity_Resource,$D176,'Critical resources (hide)'!BN$6:BN$105)+SUMIF(Capacity_Resource,$E176,'Critical resources (hide)'!BN$6:BN$105)+SUMIF(Capacity_Resource,$F176,'Critical resources (hide)'!BN$6:BN$105)&gt;0,$E$1=2),0,1)</f>
        <v>1</v>
      </c>
      <c r="BB176" s="68">
        <f ca="1">IF(AND(SUMIF(Capacity_Resource,$D176,'Critical resources (hide)'!BO$6:BO$105)+SUMIF(Capacity_Resource,$E176,'Critical resources (hide)'!BO$6:BO$105)+SUMIF(Capacity_Resource,$F176,'Critical resources (hide)'!BO$6:BO$105)&gt;0,$E$1=2),0,1)</f>
        <v>1</v>
      </c>
      <c r="BC176" s="68">
        <f ca="1">IF(AND(SUMIF(Capacity_Resource,$D176,'Critical resources (hide)'!BP$6:BP$105)+SUMIF(Capacity_Resource,$E176,'Critical resources (hide)'!BP$6:BP$105)+SUMIF(Capacity_Resource,$F176,'Critical resources (hide)'!BP$6:BP$105)&gt;0,$E$1=2),0,1)</f>
        <v>1</v>
      </c>
      <c r="BD176" s="68">
        <f ca="1">IF(AND(SUMIF(Capacity_Resource,$D176,'Critical resources (hide)'!BQ$6:BQ$105)+SUMIF(Capacity_Resource,$E176,'Critical resources (hide)'!BQ$6:BQ$105)+SUMIF(Capacity_Resource,$F176,'Critical resources (hide)'!BQ$6:BQ$105)&gt;0,$E$1=2),0,1)</f>
        <v>1</v>
      </c>
      <c r="BE176" s="68">
        <f ca="1">IF(AND(SUMIF(Capacity_Resource,$D176,'Critical resources (hide)'!BR$6:BR$105)+SUMIF(Capacity_Resource,$E176,'Critical resources (hide)'!BR$6:BR$105)+SUMIF(Capacity_Resource,$F176,'Critical resources (hide)'!BR$6:BR$105)&gt;0,$E$1=2),0,1)</f>
        <v>1</v>
      </c>
      <c r="BF176" s="68">
        <f ca="1">IF(AND(SUMIF(Capacity_Resource,$D176,'Critical resources (hide)'!BS$6:BS$105)+SUMIF(Capacity_Resource,$E176,'Critical resources (hide)'!BS$6:BS$105)+SUMIF(Capacity_Resource,$F176,'Critical resources (hide)'!BS$6:BS$105)&gt;0,$E$1=2),0,1)</f>
        <v>1</v>
      </c>
      <c r="BG176" s="68">
        <f ca="1">IF(AND(SUMIF(Capacity_Resource,$D176,'Critical resources (hide)'!BT$6:BT$105)+SUMIF(Capacity_Resource,$E176,'Critical resources (hide)'!BT$6:BT$105)+SUMIF(Capacity_Resource,$F176,'Critical resources (hide)'!BT$6:BT$105)&gt;0,$E$1=2),0,1)</f>
        <v>1</v>
      </c>
      <c r="BH176" s="68">
        <f>IF(ROW(A65)&lt;=Capacity!$M$16,IF('Capacity summary'!$C$14="No",SUM(H176:BG176),'Capacity summary'!$E88),0)</f>
        <v>0</v>
      </c>
      <c r="BI176" s="68" t="str">
        <f>IF(BH176&gt;0,IF(BH176&lt;Capacity!Q81,Capacity!R81,Capacity!T81/'Capacity calculation (hide)'!BH176),"")</f>
        <v/>
      </c>
      <c r="BJ176" s="5"/>
      <c r="BK176" s="5">
        <f>IF($BI176&lt;&gt;"",IF('Capacity summary'!$C$14="Yes",IF(COUNTBLANK('Capacity summary'!$H88:$BG88)&lt;52,IF('Capacity summary'!H88&lt;&gt;"",$BI176*H176,0),H176*$BI176),H176*$BI176),0)</f>
        <v>0</v>
      </c>
      <c r="BL176" s="5">
        <f>IF($BI176&lt;&gt;"",IF('Capacity summary'!$C$14="Yes",IF(COUNTBLANK('Capacity summary'!$H88:$BG88)&lt;52,IF('Capacity summary'!I88&lt;&gt;"",$BI176*I176,0),I176*$BI176),I176*$BI176),0)</f>
        <v>0</v>
      </c>
      <c r="BM176" s="5">
        <f>IF($BI176&lt;&gt;"",IF('Capacity summary'!$C$14="Yes",IF(COUNTBLANK('Capacity summary'!$H88:$BG88)&lt;52,IF('Capacity summary'!J88&lt;&gt;"",$BI176*J176,0),J176*$BI176),J176*$BI176),0)</f>
        <v>0</v>
      </c>
      <c r="BN176" s="5">
        <f>IF($BI176&lt;&gt;"",IF('Capacity summary'!$C$14="Yes",IF(COUNTBLANK('Capacity summary'!$H88:$BG88)&lt;52,IF('Capacity summary'!K88&lt;&gt;"",$BI176*K176,0),K176*$BI176),K176*$BI176),0)</f>
        <v>0</v>
      </c>
      <c r="BO176" s="5">
        <f>IF($BI176&lt;&gt;"",IF('Capacity summary'!$C$14="Yes",IF(COUNTBLANK('Capacity summary'!$H88:$BG88)&lt;52,IF('Capacity summary'!L88&lt;&gt;"",$BI176*L176,0),L176*$BI176),L176*$BI176),0)</f>
        <v>0</v>
      </c>
      <c r="BP176" s="5">
        <f>IF($BI176&lt;&gt;"",IF('Capacity summary'!$C$14="Yes",IF(COUNTBLANK('Capacity summary'!$H88:$BG88)&lt;52,IF('Capacity summary'!M88&lt;&gt;"",$BI176*M176,0),M176*$BI176),M176*$BI176),0)</f>
        <v>0</v>
      </c>
      <c r="BQ176" s="5">
        <f>IF($BI176&lt;&gt;"",IF('Capacity summary'!$C$14="Yes",IF(COUNTBLANK('Capacity summary'!$H88:$BG88)&lt;52,IF('Capacity summary'!N88&lt;&gt;"",$BI176*N176,0),N176*$BI176),N176*$BI176),0)</f>
        <v>0</v>
      </c>
      <c r="BR176" s="5">
        <f>IF($BI176&lt;&gt;"",IF('Capacity summary'!$C$14="Yes",IF(COUNTBLANK('Capacity summary'!$H88:$BG88)&lt;52,IF('Capacity summary'!O88&lt;&gt;"",$BI176*O176,0),O176*$BI176),O176*$BI176),0)</f>
        <v>0</v>
      </c>
      <c r="BS176" s="5">
        <f>IF($BI176&lt;&gt;"",IF('Capacity summary'!$C$14="Yes",IF(COUNTBLANK('Capacity summary'!$H88:$BG88)&lt;52,IF('Capacity summary'!P88&lt;&gt;"",$BI176*P176,0),P176*$BI176),P176*$BI176),0)</f>
        <v>0</v>
      </c>
      <c r="BT176" s="5">
        <f>IF($BI176&lt;&gt;"",IF('Capacity summary'!$C$14="Yes",IF(COUNTBLANK('Capacity summary'!$H88:$BG88)&lt;52,IF('Capacity summary'!Q88&lt;&gt;"",$BI176*Q176,0),Q176*$BI176),Q176*$BI176),0)</f>
        <v>0</v>
      </c>
      <c r="BU176" s="5">
        <f>IF($BI176&lt;&gt;"",IF('Capacity summary'!$C$14="Yes",IF(COUNTBLANK('Capacity summary'!$H88:$BG88)&lt;52,IF('Capacity summary'!R88&lt;&gt;"",$BI176*R176,0),R176*$BI176),R176*$BI176),0)</f>
        <v>0</v>
      </c>
      <c r="BV176" s="5">
        <f>IF($BI176&lt;&gt;"",IF('Capacity summary'!$C$14="Yes",IF(COUNTBLANK('Capacity summary'!$H88:$BG88)&lt;52,IF('Capacity summary'!S88&lt;&gt;"",$BI176*S176,0),S176*$BI176),S176*$BI176),0)</f>
        <v>0</v>
      </c>
      <c r="BW176" s="5">
        <f>IF($BI176&lt;&gt;"",IF('Capacity summary'!$C$14="Yes",IF(COUNTBLANK('Capacity summary'!$H88:$BG88)&lt;52,IF('Capacity summary'!T88&lt;&gt;"",$BI176*T176,0),T176*$BI176),T176*$BI176),0)</f>
        <v>0</v>
      </c>
      <c r="BX176" s="5">
        <f>IF($BI176&lt;&gt;"",IF('Capacity summary'!$C$14="Yes",IF(COUNTBLANK('Capacity summary'!$H88:$BG88)&lt;52,IF('Capacity summary'!U88&lt;&gt;"",$BI176*U176,0),U176*$BI176),U176*$BI176),0)</f>
        <v>0</v>
      </c>
      <c r="BY176" s="5">
        <f>IF($BI176&lt;&gt;"",IF('Capacity summary'!$C$14="Yes",IF(COUNTBLANK('Capacity summary'!$H88:$BG88)&lt;52,IF('Capacity summary'!V88&lt;&gt;"",$BI176*V176,0),V176*$BI176),V176*$BI176),0)</f>
        <v>0</v>
      </c>
      <c r="BZ176" s="5">
        <f>IF($BI176&lt;&gt;"",IF('Capacity summary'!$C$14="Yes",IF(COUNTBLANK('Capacity summary'!$H88:$BG88)&lt;52,IF('Capacity summary'!W88&lt;&gt;"",$BI176*W176,0),W176*$BI176),W176*$BI176),0)</f>
        <v>0</v>
      </c>
      <c r="CA176" s="5">
        <f>IF($BI176&lt;&gt;"",IF('Capacity summary'!$C$14="Yes",IF(COUNTBLANK('Capacity summary'!$H88:$BG88)&lt;52,IF('Capacity summary'!X88&lt;&gt;"",$BI176*X176,0),X176*$BI176),X176*$BI176),0)</f>
        <v>0</v>
      </c>
      <c r="CB176" s="5">
        <f>IF($BI176&lt;&gt;"",IF('Capacity summary'!$C$14="Yes",IF(COUNTBLANK('Capacity summary'!$H88:$BG88)&lt;52,IF('Capacity summary'!Y88&lt;&gt;"",$BI176*Y176,0),Y176*$BI176),Y176*$BI176),0)</f>
        <v>0</v>
      </c>
      <c r="CC176" s="5">
        <f>IF($BI176&lt;&gt;"",IF('Capacity summary'!$C$14="Yes",IF(COUNTBLANK('Capacity summary'!$H88:$BG88)&lt;52,IF('Capacity summary'!Z88&lt;&gt;"",$BI176*Z176,0),Z176*$BI176),Z176*$BI176),0)</f>
        <v>0</v>
      </c>
      <c r="CD176" s="5">
        <f>IF($BI176&lt;&gt;"",IF('Capacity summary'!$C$14="Yes",IF(COUNTBLANK('Capacity summary'!$H88:$BG88)&lt;52,IF('Capacity summary'!AA88&lt;&gt;"",$BI176*AA176,0),AA176*$BI176),AA176*$BI176),0)</f>
        <v>0</v>
      </c>
      <c r="CE176" s="5">
        <f>IF($BI176&lt;&gt;"",IF('Capacity summary'!$C$14="Yes",IF(COUNTBLANK('Capacity summary'!$H88:$BG88)&lt;52,IF('Capacity summary'!AB88&lt;&gt;"",$BI176*AB176,0),AB176*$BI176),AB176*$BI176),0)</f>
        <v>0</v>
      </c>
      <c r="CF176" s="5">
        <f>IF($BI176&lt;&gt;"",IF('Capacity summary'!$C$14="Yes",IF(COUNTBLANK('Capacity summary'!$H88:$BG88)&lt;52,IF('Capacity summary'!AC88&lt;&gt;"",$BI176*AC176,0),AC176*$BI176),AC176*$BI176),0)</f>
        <v>0</v>
      </c>
      <c r="CG176" s="5">
        <f>IF($BI176&lt;&gt;"",IF('Capacity summary'!$C$14="Yes",IF(COUNTBLANK('Capacity summary'!$H88:$BG88)&lt;52,IF('Capacity summary'!AD88&lt;&gt;"",$BI176*AD176,0),AD176*$BI176),AD176*$BI176),0)</f>
        <v>0</v>
      </c>
      <c r="CH176" s="5">
        <f>IF($BI176&lt;&gt;"",IF('Capacity summary'!$C$14="Yes",IF(COUNTBLANK('Capacity summary'!$H88:$BG88)&lt;52,IF('Capacity summary'!AE88&lt;&gt;"",$BI176*AE176,0),AE176*$BI176),AE176*$BI176),0)</f>
        <v>0</v>
      </c>
      <c r="CI176" s="5">
        <f>IF($BI176&lt;&gt;"",IF('Capacity summary'!$C$14="Yes",IF(COUNTBLANK('Capacity summary'!$H88:$BG88)&lt;52,IF('Capacity summary'!AF88&lt;&gt;"",$BI176*AF176,0),AF176*$BI176),AF176*$BI176),0)</f>
        <v>0</v>
      </c>
      <c r="CJ176" s="5">
        <f>IF($BI176&lt;&gt;"",IF('Capacity summary'!$C$14="Yes",IF(COUNTBLANK('Capacity summary'!$H88:$BG88)&lt;52,IF('Capacity summary'!AG88&lt;&gt;"",$BI176*AG176,0),AG176*$BI176),AG176*$BI176),0)</f>
        <v>0</v>
      </c>
      <c r="CK176" s="5">
        <f>IF($BI176&lt;&gt;"",IF('Capacity summary'!$C$14="Yes",IF(COUNTBLANK('Capacity summary'!$H88:$BG88)&lt;52,IF('Capacity summary'!AH88&lt;&gt;"",$BI176*AH176,0),AH176*$BI176),AH176*$BI176),0)</f>
        <v>0</v>
      </c>
      <c r="CL176" s="5">
        <f>IF($BI176&lt;&gt;"",IF('Capacity summary'!$C$14="Yes",IF(COUNTBLANK('Capacity summary'!$H88:$BG88)&lt;52,IF('Capacity summary'!AI88&lt;&gt;"",$BI176*AI176,0),AI176*$BI176),AI176*$BI176),0)</f>
        <v>0</v>
      </c>
      <c r="CM176" s="5">
        <f>IF($BI176&lt;&gt;"",IF('Capacity summary'!$C$14="Yes",IF(COUNTBLANK('Capacity summary'!$H88:$BG88)&lt;52,IF('Capacity summary'!AJ88&lt;&gt;"",$BI176*AJ176,0),AJ176*$BI176),AJ176*$BI176),0)</f>
        <v>0</v>
      </c>
      <c r="CN176" s="5">
        <f>IF($BI176&lt;&gt;"",IF('Capacity summary'!$C$14="Yes",IF(COUNTBLANK('Capacity summary'!$H88:$BG88)&lt;52,IF('Capacity summary'!AK88&lt;&gt;"",$BI176*AK176,0),AK176*$BI176),AK176*$BI176),0)</f>
        <v>0</v>
      </c>
      <c r="CO176" s="5">
        <f>IF($BI176&lt;&gt;"",IF('Capacity summary'!$C$14="Yes",IF(COUNTBLANK('Capacity summary'!$H88:$BG88)&lt;52,IF('Capacity summary'!AL88&lt;&gt;"",$BI176*AL176,0),AL176*$BI176),AL176*$BI176),0)</f>
        <v>0</v>
      </c>
      <c r="CP176" s="5">
        <f>IF($BI176&lt;&gt;"",IF('Capacity summary'!$C$14="Yes",IF(COUNTBLANK('Capacity summary'!$H88:$BG88)&lt;52,IF('Capacity summary'!AM88&lt;&gt;"",$BI176*AM176,0),AM176*$BI176),AM176*$BI176),0)</f>
        <v>0</v>
      </c>
      <c r="CQ176" s="5">
        <f>IF($BI176&lt;&gt;"",IF('Capacity summary'!$C$14="Yes",IF(COUNTBLANK('Capacity summary'!$H88:$BG88)&lt;52,IF('Capacity summary'!AN88&lt;&gt;"",$BI176*AN176,0),AN176*$BI176),AN176*$BI176),0)</f>
        <v>0</v>
      </c>
      <c r="CR176" s="5">
        <f>IF($BI176&lt;&gt;"",IF('Capacity summary'!$C$14="Yes",IF(COUNTBLANK('Capacity summary'!$H88:$BG88)&lt;52,IF('Capacity summary'!AO88&lt;&gt;"",$BI176*AO176,0),AO176*$BI176),AO176*$BI176),0)</f>
        <v>0</v>
      </c>
      <c r="CS176" s="5">
        <f>IF($BI176&lt;&gt;"",IF('Capacity summary'!$C$14="Yes",IF(COUNTBLANK('Capacity summary'!$H88:$BG88)&lt;52,IF('Capacity summary'!AP88&lt;&gt;"",$BI176*AP176,0),AP176*$BI176),AP176*$BI176),0)</f>
        <v>0</v>
      </c>
      <c r="CT176" s="5">
        <f>IF($BI176&lt;&gt;"",IF('Capacity summary'!$C$14="Yes",IF(COUNTBLANK('Capacity summary'!$H88:$BG88)&lt;52,IF('Capacity summary'!AQ88&lt;&gt;"",$BI176*AQ176,0),AQ176*$BI176),AQ176*$BI176),0)</f>
        <v>0</v>
      </c>
      <c r="CU176" s="5">
        <f>IF($BI176&lt;&gt;"",IF('Capacity summary'!$C$14="Yes",IF(COUNTBLANK('Capacity summary'!$H88:$BG88)&lt;52,IF('Capacity summary'!AR88&lt;&gt;"",$BI176*AR176,0),AR176*$BI176),AR176*$BI176),0)</f>
        <v>0</v>
      </c>
      <c r="CV176" s="5">
        <f>IF($BI176&lt;&gt;"",IF('Capacity summary'!$C$14="Yes",IF(COUNTBLANK('Capacity summary'!$H88:$BG88)&lt;52,IF('Capacity summary'!AS88&lt;&gt;"",$BI176*AS176,0),AS176*$BI176),AS176*$BI176),0)</f>
        <v>0</v>
      </c>
      <c r="CW176" s="5">
        <f>IF($BI176&lt;&gt;"",IF('Capacity summary'!$C$14="Yes",IF(COUNTBLANK('Capacity summary'!$H88:$BG88)&lt;52,IF('Capacity summary'!AT88&lt;&gt;"",$BI176*AT176,0),AT176*$BI176),AT176*$BI176),0)</f>
        <v>0</v>
      </c>
      <c r="CX176" s="5">
        <f>IF($BI176&lt;&gt;"",IF('Capacity summary'!$C$14="Yes",IF(COUNTBLANK('Capacity summary'!$H88:$BG88)&lt;52,IF('Capacity summary'!AU88&lt;&gt;"",$BI176*AU176,0),AU176*$BI176),AU176*$BI176),0)</f>
        <v>0</v>
      </c>
      <c r="CY176" s="5">
        <f>IF($BI176&lt;&gt;"",IF('Capacity summary'!$C$14="Yes",IF(COUNTBLANK('Capacity summary'!$H88:$BG88)&lt;52,IF('Capacity summary'!AV88&lt;&gt;"",$BI176*AV176,0),AV176*$BI176),AV176*$BI176),0)</f>
        <v>0</v>
      </c>
      <c r="CZ176" s="5">
        <f>IF($BI176&lt;&gt;"",IF('Capacity summary'!$C$14="Yes",IF(COUNTBLANK('Capacity summary'!$H88:$BG88)&lt;52,IF('Capacity summary'!AW88&lt;&gt;"",$BI176*AW176,0),AW176*$BI176),AW176*$BI176),0)</f>
        <v>0</v>
      </c>
      <c r="DA176" s="5">
        <f>IF($BI176&lt;&gt;"",IF('Capacity summary'!$C$14="Yes",IF(COUNTBLANK('Capacity summary'!$H88:$BG88)&lt;52,IF('Capacity summary'!AX88&lt;&gt;"",$BI176*AX176,0),AX176*$BI176),AX176*$BI176),0)</f>
        <v>0</v>
      </c>
      <c r="DB176" s="5">
        <f>IF($BI176&lt;&gt;"",IF('Capacity summary'!$C$14="Yes",IF(COUNTBLANK('Capacity summary'!$H88:$BG88)&lt;52,IF('Capacity summary'!AY88&lt;&gt;"",$BI176*AY176,0),AY176*$BI176),AY176*$BI176),0)</f>
        <v>0</v>
      </c>
      <c r="DC176" s="5">
        <f>IF($BI176&lt;&gt;"",IF('Capacity summary'!$C$14="Yes",IF(COUNTBLANK('Capacity summary'!$H88:$BG88)&lt;52,IF('Capacity summary'!AZ88&lt;&gt;"",$BI176*AZ176,0),AZ176*$BI176),AZ176*$BI176),0)</f>
        <v>0</v>
      </c>
      <c r="DD176" s="5">
        <f>IF($BI176&lt;&gt;"",IF('Capacity summary'!$C$14="Yes",IF(COUNTBLANK('Capacity summary'!$H88:$BG88)&lt;52,IF('Capacity summary'!BA88&lt;&gt;"",$BI176*BA176,0),BA176*$BI176),BA176*$BI176),0)</f>
        <v>0</v>
      </c>
      <c r="DE176" s="5">
        <f>IF($BI176&lt;&gt;"",IF('Capacity summary'!$C$14="Yes",IF(COUNTBLANK('Capacity summary'!$H88:$BG88)&lt;52,IF('Capacity summary'!BB88&lt;&gt;"",$BI176*BB176,0),BB176*$BI176),BB176*$BI176),0)</f>
        <v>0</v>
      </c>
      <c r="DF176" s="5">
        <f>IF($BI176&lt;&gt;"",IF('Capacity summary'!$C$14="Yes",IF(COUNTBLANK('Capacity summary'!$H88:$BG88)&lt;52,IF('Capacity summary'!BC88&lt;&gt;"",$BI176*BC176,0),BC176*$BI176),BC176*$BI176),0)</f>
        <v>0</v>
      </c>
      <c r="DG176" s="5">
        <f>IF($BI176&lt;&gt;"",IF('Capacity summary'!$C$14="Yes",IF(COUNTBLANK('Capacity summary'!$H88:$BG88)&lt;52,IF('Capacity summary'!BD88&lt;&gt;"",$BI176*BD176,0),BD176*$BI176),BD176*$BI176),0)</f>
        <v>0</v>
      </c>
      <c r="DH176" s="5">
        <f>IF($BI176&lt;&gt;"",IF('Capacity summary'!$C$14="Yes",IF(COUNTBLANK('Capacity summary'!$H88:$BG88)&lt;52,IF('Capacity summary'!BE88&lt;&gt;"",$BI176*BE176,0),BE176*$BI176),BE176*$BI176),0)</f>
        <v>0</v>
      </c>
      <c r="DI176" s="5">
        <f>IF($BI176&lt;&gt;"",IF('Capacity summary'!$C$14="Yes",IF(COUNTBLANK('Capacity summary'!$H88:$BG88)&lt;52,IF('Capacity summary'!BF88&lt;&gt;"",$BI176*BF176,0),BF176*$BI176),BF176*$BI176),0)</f>
        <v>0</v>
      </c>
      <c r="DJ176" s="5">
        <f>IF($BI176&lt;&gt;"",IF('Capacity summary'!$C$14="Yes",IF(COUNTBLANK('Capacity summary'!$H88:$BG88)&lt;52,IF('Capacity summary'!BG88&lt;&gt;"",$BI176*BG176,0),BG176*$BI176),BG176*$BI176),0)</f>
        <v>0</v>
      </c>
      <c r="DK176" s="138">
        <f t="shared" si="6"/>
        <v>0</v>
      </c>
    </row>
    <row r="177" spans="3:115" x14ac:dyDescent="0.2">
      <c r="C177" s="68" t="str">
        <f>ROW(A66)&amp;". "&amp;Capacity!N82</f>
        <v xml:space="preserve">66. </v>
      </c>
      <c r="D177" s="68">
        <f>'Capacity setup'!C183</f>
        <v>0</v>
      </c>
      <c r="E177" s="68">
        <f>'Capacity setup'!D183</f>
        <v>0</v>
      </c>
      <c r="F177" s="68">
        <f>'Capacity setup'!E183</f>
        <v>0</v>
      </c>
      <c r="H177" s="68">
        <f ca="1">IF(AND(SUMIF(Capacity_Resource,$D177,'Critical resources (hide)'!U$6:U$105)+SUMIF(Capacity_Resource,$E177,'Critical resources (hide)'!U$6:U$105)+SUMIF(Capacity_Resource,$F177,'Critical resources (hide)'!U$6:U$105)&gt;0,$E$1=2),0,1)</f>
        <v>1</v>
      </c>
      <c r="I177" s="68">
        <f ca="1">IF(AND(SUMIF(Capacity_Resource,$D177,'Critical resources (hide)'!V$6:V$105)+SUMIF(Capacity_Resource,$E177,'Critical resources (hide)'!V$6:V$105)+SUMIF(Capacity_Resource,$F177,'Critical resources (hide)'!V$6:V$105)&gt;0,$E$1=2),0,1)</f>
        <v>1</v>
      </c>
      <c r="J177" s="68">
        <f ca="1">IF(AND(SUMIF(Capacity_Resource,$D177,'Critical resources (hide)'!W$6:W$105)+SUMIF(Capacity_Resource,$E177,'Critical resources (hide)'!W$6:W$105)+SUMIF(Capacity_Resource,$F177,'Critical resources (hide)'!W$6:W$105)&gt;0,$E$1=2),0,1)</f>
        <v>1</v>
      </c>
      <c r="K177" s="68">
        <f ca="1">IF(AND(SUMIF(Capacity_Resource,$D177,'Critical resources (hide)'!X$6:X$105)+SUMIF(Capacity_Resource,$E177,'Critical resources (hide)'!X$6:X$105)+SUMIF(Capacity_Resource,$F177,'Critical resources (hide)'!X$6:X$105)&gt;0,$E$1=2),0,1)</f>
        <v>1</v>
      </c>
      <c r="L177" s="68">
        <f ca="1">IF(AND(SUMIF(Capacity_Resource,$D177,'Critical resources (hide)'!Y$6:Y$105)+SUMIF(Capacity_Resource,$E177,'Critical resources (hide)'!Y$6:Y$105)+SUMIF(Capacity_Resource,$F177,'Critical resources (hide)'!Y$6:Y$105)&gt;0,$E$1=2),0,1)</f>
        <v>1</v>
      </c>
      <c r="M177" s="68">
        <f ca="1">IF(AND(SUMIF(Capacity_Resource,$D177,'Critical resources (hide)'!Z$6:Z$105)+SUMIF(Capacity_Resource,$E177,'Critical resources (hide)'!Z$6:Z$105)+SUMIF(Capacity_Resource,$F177,'Critical resources (hide)'!Z$6:Z$105)&gt;0,$E$1=2),0,1)</f>
        <v>1</v>
      </c>
      <c r="N177" s="68">
        <f ca="1">IF(AND(SUMIF(Capacity_Resource,$D177,'Critical resources (hide)'!AA$6:AA$105)+SUMIF(Capacity_Resource,$E177,'Critical resources (hide)'!AA$6:AA$105)+SUMIF(Capacity_Resource,$F177,'Critical resources (hide)'!AA$6:AA$105)&gt;0,$E$1=2),0,1)</f>
        <v>1</v>
      </c>
      <c r="O177" s="68">
        <f ca="1">IF(AND(SUMIF(Capacity_Resource,$D177,'Critical resources (hide)'!AB$6:AB$105)+SUMIF(Capacity_Resource,$E177,'Critical resources (hide)'!AB$6:AB$105)+SUMIF(Capacity_Resource,$F177,'Critical resources (hide)'!AB$6:AB$105)&gt;0,$E$1=2),0,1)</f>
        <v>1</v>
      </c>
      <c r="P177" s="68">
        <f ca="1">IF(AND(SUMIF(Capacity_Resource,$D177,'Critical resources (hide)'!AC$6:AC$105)+SUMIF(Capacity_Resource,$E177,'Critical resources (hide)'!AC$6:AC$105)+SUMIF(Capacity_Resource,$F177,'Critical resources (hide)'!AC$6:AC$105)&gt;0,$E$1=2),0,1)</f>
        <v>1</v>
      </c>
      <c r="Q177" s="68">
        <f ca="1">IF(AND(SUMIF(Capacity_Resource,$D177,'Critical resources (hide)'!AD$6:AD$105)+SUMIF(Capacity_Resource,$E177,'Critical resources (hide)'!AD$6:AD$105)+SUMIF(Capacity_Resource,$F177,'Critical resources (hide)'!AD$6:AD$105)&gt;0,$E$1=2),0,1)</f>
        <v>1</v>
      </c>
      <c r="R177" s="68">
        <f ca="1">IF(AND(SUMIF(Capacity_Resource,$D177,'Critical resources (hide)'!AE$6:AE$105)+SUMIF(Capacity_Resource,$E177,'Critical resources (hide)'!AE$6:AE$105)+SUMIF(Capacity_Resource,$F177,'Critical resources (hide)'!AE$6:AE$105)&gt;0,$E$1=2),0,1)</f>
        <v>1</v>
      </c>
      <c r="S177" s="68">
        <f ca="1">IF(AND(SUMIF(Capacity_Resource,$D177,'Critical resources (hide)'!AF$6:AF$105)+SUMIF(Capacity_Resource,$E177,'Critical resources (hide)'!AF$6:AF$105)+SUMIF(Capacity_Resource,$F177,'Critical resources (hide)'!AF$6:AF$105)&gt;0,$E$1=2),0,1)</f>
        <v>1</v>
      </c>
      <c r="T177" s="68">
        <f ca="1">IF(AND(SUMIF(Capacity_Resource,$D177,'Critical resources (hide)'!AG$6:AG$105)+SUMIF(Capacity_Resource,$E177,'Critical resources (hide)'!AG$6:AG$105)+SUMIF(Capacity_Resource,$F177,'Critical resources (hide)'!AG$6:AG$105)&gt;0,$E$1=2),0,1)</f>
        <v>1</v>
      </c>
      <c r="U177" s="68">
        <f ca="1">IF(AND(SUMIF(Capacity_Resource,$D177,'Critical resources (hide)'!AH$6:AH$105)+SUMIF(Capacity_Resource,$E177,'Critical resources (hide)'!AH$6:AH$105)+SUMIF(Capacity_Resource,$F177,'Critical resources (hide)'!AH$6:AH$105)&gt;0,$E$1=2),0,1)</f>
        <v>1</v>
      </c>
      <c r="V177" s="68">
        <f ca="1">IF(AND(SUMIF(Capacity_Resource,$D177,'Critical resources (hide)'!AI$6:AI$105)+SUMIF(Capacity_Resource,$E177,'Critical resources (hide)'!AI$6:AI$105)+SUMIF(Capacity_Resource,$F177,'Critical resources (hide)'!AI$6:AI$105)&gt;0,$E$1=2),0,1)</f>
        <v>1</v>
      </c>
      <c r="W177" s="68">
        <f ca="1">IF(AND(SUMIF(Capacity_Resource,$D177,'Critical resources (hide)'!AJ$6:AJ$105)+SUMIF(Capacity_Resource,$E177,'Critical resources (hide)'!AJ$6:AJ$105)+SUMIF(Capacity_Resource,$F177,'Critical resources (hide)'!AJ$6:AJ$105)&gt;0,$E$1=2),0,1)</f>
        <v>1</v>
      </c>
      <c r="X177" s="68">
        <f ca="1">IF(AND(SUMIF(Capacity_Resource,$D177,'Critical resources (hide)'!AK$6:AK$105)+SUMIF(Capacity_Resource,$E177,'Critical resources (hide)'!AK$6:AK$105)+SUMIF(Capacity_Resource,$F177,'Critical resources (hide)'!AK$6:AK$105)&gt;0,$E$1=2),0,1)</f>
        <v>1</v>
      </c>
      <c r="Y177" s="68">
        <f ca="1">IF(AND(SUMIF(Capacity_Resource,$D177,'Critical resources (hide)'!AL$6:AL$105)+SUMIF(Capacity_Resource,$E177,'Critical resources (hide)'!AL$6:AL$105)+SUMIF(Capacity_Resource,$F177,'Critical resources (hide)'!AL$6:AL$105)&gt;0,$E$1=2),0,1)</f>
        <v>1</v>
      </c>
      <c r="Z177" s="68">
        <f ca="1">IF(AND(SUMIF(Capacity_Resource,$D177,'Critical resources (hide)'!AM$6:AM$105)+SUMIF(Capacity_Resource,$E177,'Critical resources (hide)'!AM$6:AM$105)+SUMIF(Capacity_Resource,$F177,'Critical resources (hide)'!AM$6:AM$105)&gt;0,$E$1=2),0,1)</f>
        <v>1</v>
      </c>
      <c r="AA177" s="68">
        <f ca="1">IF(AND(SUMIF(Capacity_Resource,$D177,'Critical resources (hide)'!AN$6:AN$105)+SUMIF(Capacity_Resource,$E177,'Critical resources (hide)'!AN$6:AN$105)+SUMIF(Capacity_Resource,$F177,'Critical resources (hide)'!AN$6:AN$105)&gt;0,$E$1=2),0,1)</f>
        <v>1</v>
      </c>
      <c r="AB177" s="68">
        <f ca="1">IF(AND(SUMIF(Capacity_Resource,$D177,'Critical resources (hide)'!AO$6:AO$105)+SUMIF(Capacity_Resource,$E177,'Critical resources (hide)'!AO$6:AO$105)+SUMIF(Capacity_Resource,$F177,'Critical resources (hide)'!AO$6:AO$105)&gt;0,$E$1=2),0,1)</f>
        <v>1</v>
      </c>
      <c r="AC177" s="68">
        <f ca="1">IF(AND(SUMIF(Capacity_Resource,$D177,'Critical resources (hide)'!AP$6:AP$105)+SUMIF(Capacity_Resource,$E177,'Critical resources (hide)'!AP$6:AP$105)+SUMIF(Capacity_Resource,$F177,'Critical resources (hide)'!AP$6:AP$105)&gt;0,$E$1=2),0,1)</f>
        <v>1</v>
      </c>
      <c r="AD177" s="68">
        <f ca="1">IF(AND(SUMIF(Capacity_Resource,$D177,'Critical resources (hide)'!AQ$6:AQ$105)+SUMIF(Capacity_Resource,$E177,'Critical resources (hide)'!AQ$6:AQ$105)+SUMIF(Capacity_Resource,$F177,'Critical resources (hide)'!AQ$6:AQ$105)&gt;0,$E$1=2),0,1)</f>
        <v>1</v>
      </c>
      <c r="AE177" s="68">
        <f ca="1">IF(AND(SUMIF(Capacity_Resource,$D177,'Critical resources (hide)'!AR$6:AR$105)+SUMIF(Capacity_Resource,$E177,'Critical resources (hide)'!AR$6:AR$105)+SUMIF(Capacity_Resource,$F177,'Critical resources (hide)'!AR$6:AR$105)&gt;0,$E$1=2),0,1)</f>
        <v>1</v>
      </c>
      <c r="AF177" s="68">
        <f ca="1">IF(AND(SUMIF(Capacity_Resource,$D177,'Critical resources (hide)'!AS$6:AS$105)+SUMIF(Capacity_Resource,$E177,'Critical resources (hide)'!AS$6:AS$105)+SUMIF(Capacity_Resource,$F177,'Critical resources (hide)'!AS$6:AS$105)&gt;0,$E$1=2),0,1)</f>
        <v>1</v>
      </c>
      <c r="AG177" s="68">
        <f ca="1">IF(AND(SUMIF(Capacity_Resource,$D177,'Critical resources (hide)'!AT$6:AT$105)+SUMIF(Capacity_Resource,$E177,'Critical resources (hide)'!AT$6:AT$105)+SUMIF(Capacity_Resource,$F177,'Critical resources (hide)'!AT$6:AT$105)&gt;0,$E$1=2),0,1)</f>
        <v>1</v>
      </c>
      <c r="AH177" s="68">
        <f ca="1">IF(AND(SUMIF(Capacity_Resource,$D177,'Critical resources (hide)'!AU$6:AU$105)+SUMIF(Capacity_Resource,$E177,'Critical resources (hide)'!AU$6:AU$105)+SUMIF(Capacity_Resource,$F177,'Critical resources (hide)'!AU$6:AU$105)&gt;0,$E$1=2),0,1)</f>
        <v>1</v>
      </c>
      <c r="AI177" s="68">
        <f ca="1">IF(AND(SUMIF(Capacity_Resource,$D177,'Critical resources (hide)'!AV$6:AV$105)+SUMIF(Capacity_Resource,$E177,'Critical resources (hide)'!AV$6:AV$105)+SUMIF(Capacity_Resource,$F177,'Critical resources (hide)'!AV$6:AV$105)&gt;0,$E$1=2),0,1)</f>
        <v>1</v>
      </c>
      <c r="AJ177" s="68">
        <f ca="1">IF(AND(SUMIF(Capacity_Resource,$D177,'Critical resources (hide)'!AW$6:AW$105)+SUMIF(Capacity_Resource,$E177,'Critical resources (hide)'!AW$6:AW$105)+SUMIF(Capacity_Resource,$F177,'Critical resources (hide)'!AW$6:AW$105)&gt;0,$E$1=2),0,1)</f>
        <v>1</v>
      </c>
      <c r="AK177" s="68">
        <f ca="1">IF(AND(SUMIF(Capacity_Resource,$D177,'Critical resources (hide)'!AX$6:AX$105)+SUMIF(Capacity_Resource,$E177,'Critical resources (hide)'!AX$6:AX$105)+SUMIF(Capacity_Resource,$F177,'Critical resources (hide)'!AX$6:AX$105)&gt;0,$E$1=2),0,1)</f>
        <v>1</v>
      </c>
      <c r="AL177" s="68">
        <f ca="1">IF(AND(SUMIF(Capacity_Resource,$D177,'Critical resources (hide)'!AY$6:AY$105)+SUMIF(Capacity_Resource,$E177,'Critical resources (hide)'!AY$6:AY$105)+SUMIF(Capacity_Resource,$F177,'Critical resources (hide)'!AY$6:AY$105)&gt;0,$E$1=2),0,1)</f>
        <v>1</v>
      </c>
      <c r="AM177" s="68">
        <f ca="1">IF(AND(SUMIF(Capacity_Resource,$D177,'Critical resources (hide)'!AZ$6:AZ$105)+SUMIF(Capacity_Resource,$E177,'Critical resources (hide)'!AZ$6:AZ$105)+SUMIF(Capacity_Resource,$F177,'Critical resources (hide)'!AZ$6:AZ$105)&gt;0,$E$1=2),0,1)</f>
        <v>1</v>
      </c>
      <c r="AN177" s="68">
        <f ca="1">IF(AND(SUMIF(Capacity_Resource,$D177,'Critical resources (hide)'!BA$6:BA$105)+SUMIF(Capacity_Resource,$E177,'Critical resources (hide)'!BA$6:BA$105)+SUMIF(Capacity_Resource,$F177,'Critical resources (hide)'!BA$6:BA$105)&gt;0,$E$1=2),0,1)</f>
        <v>1</v>
      </c>
      <c r="AO177" s="68">
        <f ca="1">IF(AND(SUMIF(Capacity_Resource,$D177,'Critical resources (hide)'!BB$6:BB$105)+SUMIF(Capacity_Resource,$E177,'Critical resources (hide)'!BB$6:BB$105)+SUMIF(Capacity_Resource,$F177,'Critical resources (hide)'!BB$6:BB$105)&gt;0,$E$1=2),0,1)</f>
        <v>1</v>
      </c>
      <c r="AP177" s="68">
        <f ca="1">IF(AND(SUMIF(Capacity_Resource,$D177,'Critical resources (hide)'!BC$6:BC$105)+SUMIF(Capacity_Resource,$E177,'Critical resources (hide)'!BC$6:BC$105)+SUMIF(Capacity_Resource,$F177,'Critical resources (hide)'!BC$6:BC$105)&gt;0,$E$1=2),0,1)</f>
        <v>1</v>
      </c>
      <c r="AQ177" s="68">
        <f ca="1">IF(AND(SUMIF(Capacity_Resource,$D177,'Critical resources (hide)'!BD$6:BD$105)+SUMIF(Capacity_Resource,$E177,'Critical resources (hide)'!BD$6:BD$105)+SUMIF(Capacity_Resource,$F177,'Critical resources (hide)'!BD$6:BD$105)&gt;0,$E$1=2),0,1)</f>
        <v>1</v>
      </c>
      <c r="AR177" s="68">
        <f ca="1">IF(AND(SUMIF(Capacity_Resource,$D177,'Critical resources (hide)'!BE$6:BE$105)+SUMIF(Capacity_Resource,$E177,'Critical resources (hide)'!BE$6:BE$105)+SUMIF(Capacity_Resource,$F177,'Critical resources (hide)'!BE$6:BE$105)&gt;0,$E$1=2),0,1)</f>
        <v>1</v>
      </c>
      <c r="AS177" s="68">
        <f ca="1">IF(AND(SUMIF(Capacity_Resource,$D177,'Critical resources (hide)'!BF$6:BF$105)+SUMIF(Capacity_Resource,$E177,'Critical resources (hide)'!BF$6:BF$105)+SUMIF(Capacity_Resource,$F177,'Critical resources (hide)'!BF$6:BF$105)&gt;0,$E$1=2),0,1)</f>
        <v>1</v>
      </c>
      <c r="AT177" s="68">
        <f ca="1">IF(AND(SUMIF(Capacity_Resource,$D177,'Critical resources (hide)'!BG$6:BG$105)+SUMIF(Capacity_Resource,$E177,'Critical resources (hide)'!BG$6:BG$105)+SUMIF(Capacity_Resource,$F177,'Critical resources (hide)'!BG$6:BG$105)&gt;0,$E$1=2),0,1)</f>
        <v>1</v>
      </c>
      <c r="AU177" s="68">
        <f ca="1">IF(AND(SUMIF(Capacity_Resource,$D177,'Critical resources (hide)'!BH$6:BH$105)+SUMIF(Capacity_Resource,$E177,'Critical resources (hide)'!BH$6:BH$105)+SUMIF(Capacity_Resource,$F177,'Critical resources (hide)'!BH$6:BH$105)&gt;0,$E$1=2),0,1)</f>
        <v>1</v>
      </c>
      <c r="AV177" s="68">
        <f ca="1">IF(AND(SUMIF(Capacity_Resource,$D177,'Critical resources (hide)'!BI$6:BI$105)+SUMIF(Capacity_Resource,$E177,'Critical resources (hide)'!BI$6:BI$105)+SUMIF(Capacity_Resource,$F177,'Critical resources (hide)'!BI$6:BI$105)&gt;0,$E$1=2),0,1)</f>
        <v>1</v>
      </c>
      <c r="AW177" s="68">
        <f ca="1">IF(AND(SUMIF(Capacity_Resource,$D177,'Critical resources (hide)'!BJ$6:BJ$105)+SUMIF(Capacity_Resource,$E177,'Critical resources (hide)'!BJ$6:BJ$105)+SUMIF(Capacity_Resource,$F177,'Critical resources (hide)'!BJ$6:BJ$105)&gt;0,$E$1=2),0,1)</f>
        <v>1</v>
      </c>
      <c r="AX177" s="68">
        <f ca="1">IF(AND(SUMIF(Capacity_Resource,$D177,'Critical resources (hide)'!BK$6:BK$105)+SUMIF(Capacity_Resource,$E177,'Critical resources (hide)'!BK$6:BK$105)+SUMIF(Capacity_Resource,$F177,'Critical resources (hide)'!BK$6:BK$105)&gt;0,$E$1=2),0,1)</f>
        <v>1</v>
      </c>
      <c r="AY177" s="68">
        <f ca="1">IF(AND(SUMIF(Capacity_Resource,$D177,'Critical resources (hide)'!BL$6:BL$105)+SUMIF(Capacity_Resource,$E177,'Critical resources (hide)'!BL$6:BL$105)+SUMIF(Capacity_Resource,$F177,'Critical resources (hide)'!BL$6:BL$105)&gt;0,$E$1=2),0,1)</f>
        <v>1</v>
      </c>
      <c r="AZ177" s="68">
        <f ca="1">IF(AND(SUMIF(Capacity_Resource,$D177,'Critical resources (hide)'!BM$6:BM$105)+SUMIF(Capacity_Resource,$E177,'Critical resources (hide)'!BM$6:BM$105)+SUMIF(Capacity_Resource,$F177,'Critical resources (hide)'!BM$6:BM$105)&gt;0,$E$1=2),0,1)</f>
        <v>1</v>
      </c>
      <c r="BA177" s="68">
        <f ca="1">IF(AND(SUMIF(Capacity_Resource,$D177,'Critical resources (hide)'!BN$6:BN$105)+SUMIF(Capacity_Resource,$E177,'Critical resources (hide)'!BN$6:BN$105)+SUMIF(Capacity_Resource,$F177,'Critical resources (hide)'!BN$6:BN$105)&gt;0,$E$1=2),0,1)</f>
        <v>1</v>
      </c>
      <c r="BB177" s="68">
        <f ca="1">IF(AND(SUMIF(Capacity_Resource,$D177,'Critical resources (hide)'!BO$6:BO$105)+SUMIF(Capacity_Resource,$E177,'Critical resources (hide)'!BO$6:BO$105)+SUMIF(Capacity_Resource,$F177,'Critical resources (hide)'!BO$6:BO$105)&gt;0,$E$1=2),0,1)</f>
        <v>1</v>
      </c>
      <c r="BC177" s="68">
        <f ca="1">IF(AND(SUMIF(Capacity_Resource,$D177,'Critical resources (hide)'!BP$6:BP$105)+SUMIF(Capacity_Resource,$E177,'Critical resources (hide)'!BP$6:BP$105)+SUMIF(Capacity_Resource,$F177,'Critical resources (hide)'!BP$6:BP$105)&gt;0,$E$1=2),0,1)</f>
        <v>1</v>
      </c>
      <c r="BD177" s="68">
        <f ca="1">IF(AND(SUMIF(Capacity_Resource,$D177,'Critical resources (hide)'!BQ$6:BQ$105)+SUMIF(Capacity_Resource,$E177,'Critical resources (hide)'!BQ$6:BQ$105)+SUMIF(Capacity_Resource,$F177,'Critical resources (hide)'!BQ$6:BQ$105)&gt;0,$E$1=2),0,1)</f>
        <v>1</v>
      </c>
      <c r="BE177" s="68">
        <f ca="1">IF(AND(SUMIF(Capacity_Resource,$D177,'Critical resources (hide)'!BR$6:BR$105)+SUMIF(Capacity_Resource,$E177,'Critical resources (hide)'!BR$6:BR$105)+SUMIF(Capacity_Resource,$F177,'Critical resources (hide)'!BR$6:BR$105)&gt;0,$E$1=2),0,1)</f>
        <v>1</v>
      </c>
      <c r="BF177" s="68">
        <f ca="1">IF(AND(SUMIF(Capacity_Resource,$D177,'Critical resources (hide)'!BS$6:BS$105)+SUMIF(Capacity_Resource,$E177,'Critical resources (hide)'!BS$6:BS$105)+SUMIF(Capacity_Resource,$F177,'Critical resources (hide)'!BS$6:BS$105)&gt;0,$E$1=2),0,1)</f>
        <v>1</v>
      </c>
      <c r="BG177" s="68">
        <f ca="1">IF(AND(SUMIF(Capacity_Resource,$D177,'Critical resources (hide)'!BT$6:BT$105)+SUMIF(Capacity_Resource,$E177,'Critical resources (hide)'!BT$6:BT$105)+SUMIF(Capacity_Resource,$F177,'Critical resources (hide)'!BT$6:BT$105)&gt;0,$E$1=2),0,1)</f>
        <v>1</v>
      </c>
      <c r="BH177" s="68">
        <f>IF(ROW(A66)&lt;=Capacity!$M$16,IF('Capacity summary'!$C$14="No",SUM(H177:BG177),'Capacity summary'!$E89),0)</f>
        <v>0</v>
      </c>
      <c r="BI177" s="68" t="str">
        <f>IF(BH177&gt;0,IF(BH177&lt;Capacity!Q82,Capacity!R82,Capacity!T82/'Capacity calculation (hide)'!BH177),"")</f>
        <v/>
      </c>
      <c r="BJ177" s="5"/>
      <c r="BK177" s="5">
        <f>IF($BI177&lt;&gt;"",IF('Capacity summary'!$C$14="Yes",IF(COUNTBLANK('Capacity summary'!$H89:$BG89)&lt;52,IF('Capacity summary'!H89&lt;&gt;"",$BI177*H177,0),H177*$BI177),H177*$BI177),0)</f>
        <v>0</v>
      </c>
      <c r="BL177" s="5">
        <f>IF($BI177&lt;&gt;"",IF('Capacity summary'!$C$14="Yes",IF(COUNTBLANK('Capacity summary'!$H89:$BG89)&lt;52,IF('Capacity summary'!I89&lt;&gt;"",$BI177*I177,0),I177*$BI177),I177*$BI177),0)</f>
        <v>0</v>
      </c>
      <c r="BM177" s="5">
        <f>IF($BI177&lt;&gt;"",IF('Capacity summary'!$C$14="Yes",IF(COUNTBLANK('Capacity summary'!$H89:$BG89)&lt;52,IF('Capacity summary'!J89&lt;&gt;"",$BI177*J177,0),J177*$BI177),J177*$BI177),0)</f>
        <v>0</v>
      </c>
      <c r="BN177" s="5">
        <f>IF($BI177&lt;&gt;"",IF('Capacity summary'!$C$14="Yes",IF(COUNTBLANK('Capacity summary'!$H89:$BG89)&lt;52,IF('Capacity summary'!K89&lt;&gt;"",$BI177*K177,0),K177*$BI177),K177*$BI177),0)</f>
        <v>0</v>
      </c>
      <c r="BO177" s="5">
        <f>IF($BI177&lt;&gt;"",IF('Capacity summary'!$C$14="Yes",IF(COUNTBLANK('Capacity summary'!$H89:$BG89)&lt;52,IF('Capacity summary'!L89&lt;&gt;"",$BI177*L177,0),L177*$BI177),L177*$BI177),0)</f>
        <v>0</v>
      </c>
      <c r="BP177" s="5">
        <f>IF($BI177&lt;&gt;"",IF('Capacity summary'!$C$14="Yes",IF(COUNTBLANK('Capacity summary'!$H89:$BG89)&lt;52,IF('Capacity summary'!M89&lt;&gt;"",$BI177*M177,0),M177*$BI177),M177*$BI177),0)</f>
        <v>0</v>
      </c>
      <c r="BQ177" s="5">
        <f>IF($BI177&lt;&gt;"",IF('Capacity summary'!$C$14="Yes",IF(COUNTBLANK('Capacity summary'!$H89:$BG89)&lt;52,IF('Capacity summary'!N89&lt;&gt;"",$BI177*N177,0),N177*$BI177),N177*$BI177),0)</f>
        <v>0</v>
      </c>
      <c r="BR177" s="5">
        <f>IF($BI177&lt;&gt;"",IF('Capacity summary'!$C$14="Yes",IF(COUNTBLANK('Capacity summary'!$H89:$BG89)&lt;52,IF('Capacity summary'!O89&lt;&gt;"",$BI177*O177,0),O177*$BI177),O177*$BI177),0)</f>
        <v>0</v>
      </c>
      <c r="BS177" s="5">
        <f>IF($BI177&lt;&gt;"",IF('Capacity summary'!$C$14="Yes",IF(COUNTBLANK('Capacity summary'!$H89:$BG89)&lt;52,IF('Capacity summary'!P89&lt;&gt;"",$BI177*P177,0),P177*$BI177),P177*$BI177),0)</f>
        <v>0</v>
      </c>
      <c r="BT177" s="5">
        <f>IF($BI177&lt;&gt;"",IF('Capacity summary'!$C$14="Yes",IF(COUNTBLANK('Capacity summary'!$H89:$BG89)&lt;52,IF('Capacity summary'!Q89&lt;&gt;"",$BI177*Q177,0),Q177*$BI177),Q177*$BI177),0)</f>
        <v>0</v>
      </c>
      <c r="BU177" s="5">
        <f>IF($BI177&lt;&gt;"",IF('Capacity summary'!$C$14="Yes",IF(COUNTBLANK('Capacity summary'!$H89:$BG89)&lt;52,IF('Capacity summary'!R89&lt;&gt;"",$BI177*R177,0),R177*$BI177),R177*$BI177),0)</f>
        <v>0</v>
      </c>
      <c r="BV177" s="5">
        <f>IF($BI177&lt;&gt;"",IF('Capacity summary'!$C$14="Yes",IF(COUNTBLANK('Capacity summary'!$H89:$BG89)&lt;52,IF('Capacity summary'!S89&lt;&gt;"",$BI177*S177,0),S177*$BI177),S177*$BI177),0)</f>
        <v>0</v>
      </c>
      <c r="BW177" s="5">
        <f>IF($BI177&lt;&gt;"",IF('Capacity summary'!$C$14="Yes",IF(COUNTBLANK('Capacity summary'!$H89:$BG89)&lt;52,IF('Capacity summary'!T89&lt;&gt;"",$BI177*T177,0),T177*$BI177),T177*$BI177),0)</f>
        <v>0</v>
      </c>
      <c r="BX177" s="5">
        <f>IF($BI177&lt;&gt;"",IF('Capacity summary'!$C$14="Yes",IF(COUNTBLANK('Capacity summary'!$H89:$BG89)&lt;52,IF('Capacity summary'!U89&lt;&gt;"",$BI177*U177,0),U177*$BI177),U177*$BI177),0)</f>
        <v>0</v>
      </c>
      <c r="BY177" s="5">
        <f>IF($BI177&lt;&gt;"",IF('Capacity summary'!$C$14="Yes",IF(COUNTBLANK('Capacity summary'!$H89:$BG89)&lt;52,IF('Capacity summary'!V89&lt;&gt;"",$BI177*V177,0),V177*$BI177),V177*$BI177),0)</f>
        <v>0</v>
      </c>
      <c r="BZ177" s="5">
        <f>IF($BI177&lt;&gt;"",IF('Capacity summary'!$C$14="Yes",IF(COUNTBLANK('Capacity summary'!$H89:$BG89)&lt;52,IF('Capacity summary'!W89&lt;&gt;"",$BI177*W177,0),W177*$BI177),W177*$BI177),0)</f>
        <v>0</v>
      </c>
      <c r="CA177" s="5">
        <f>IF($BI177&lt;&gt;"",IF('Capacity summary'!$C$14="Yes",IF(COUNTBLANK('Capacity summary'!$H89:$BG89)&lt;52,IF('Capacity summary'!X89&lt;&gt;"",$BI177*X177,0),X177*$BI177),X177*$BI177),0)</f>
        <v>0</v>
      </c>
      <c r="CB177" s="5">
        <f>IF($BI177&lt;&gt;"",IF('Capacity summary'!$C$14="Yes",IF(COUNTBLANK('Capacity summary'!$H89:$BG89)&lt;52,IF('Capacity summary'!Y89&lt;&gt;"",$BI177*Y177,0),Y177*$BI177),Y177*$BI177),0)</f>
        <v>0</v>
      </c>
      <c r="CC177" s="5">
        <f>IF($BI177&lt;&gt;"",IF('Capacity summary'!$C$14="Yes",IF(COUNTBLANK('Capacity summary'!$H89:$BG89)&lt;52,IF('Capacity summary'!Z89&lt;&gt;"",$BI177*Z177,0),Z177*$BI177),Z177*$BI177),0)</f>
        <v>0</v>
      </c>
      <c r="CD177" s="5">
        <f>IF($BI177&lt;&gt;"",IF('Capacity summary'!$C$14="Yes",IF(COUNTBLANK('Capacity summary'!$H89:$BG89)&lt;52,IF('Capacity summary'!AA89&lt;&gt;"",$BI177*AA177,0),AA177*$BI177),AA177*$BI177),0)</f>
        <v>0</v>
      </c>
      <c r="CE177" s="5">
        <f>IF($BI177&lt;&gt;"",IF('Capacity summary'!$C$14="Yes",IF(COUNTBLANK('Capacity summary'!$H89:$BG89)&lt;52,IF('Capacity summary'!AB89&lt;&gt;"",$BI177*AB177,0),AB177*$BI177),AB177*$BI177),0)</f>
        <v>0</v>
      </c>
      <c r="CF177" s="5">
        <f>IF($BI177&lt;&gt;"",IF('Capacity summary'!$C$14="Yes",IF(COUNTBLANK('Capacity summary'!$H89:$BG89)&lt;52,IF('Capacity summary'!AC89&lt;&gt;"",$BI177*AC177,0),AC177*$BI177),AC177*$BI177),0)</f>
        <v>0</v>
      </c>
      <c r="CG177" s="5">
        <f>IF($BI177&lt;&gt;"",IF('Capacity summary'!$C$14="Yes",IF(COUNTBLANK('Capacity summary'!$H89:$BG89)&lt;52,IF('Capacity summary'!AD89&lt;&gt;"",$BI177*AD177,0),AD177*$BI177),AD177*$BI177),0)</f>
        <v>0</v>
      </c>
      <c r="CH177" s="5">
        <f>IF($BI177&lt;&gt;"",IF('Capacity summary'!$C$14="Yes",IF(COUNTBLANK('Capacity summary'!$H89:$BG89)&lt;52,IF('Capacity summary'!AE89&lt;&gt;"",$BI177*AE177,0),AE177*$BI177),AE177*$BI177),0)</f>
        <v>0</v>
      </c>
      <c r="CI177" s="5">
        <f>IF($BI177&lt;&gt;"",IF('Capacity summary'!$C$14="Yes",IF(COUNTBLANK('Capacity summary'!$H89:$BG89)&lt;52,IF('Capacity summary'!AF89&lt;&gt;"",$BI177*AF177,0),AF177*$BI177),AF177*$BI177),0)</f>
        <v>0</v>
      </c>
      <c r="CJ177" s="5">
        <f>IF($BI177&lt;&gt;"",IF('Capacity summary'!$C$14="Yes",IF(COUNTBLANK('Capacity summary'!$H89:$BG89)&lt;52,IF('Capacity summary'!AG89&lt;&gt;"",$BI177*AG177,0),AG177*$BI177),AG177*$BI177),0)</f>
        <v>0</v>
      </c>
      <c r="CK177" s="5">
        <f>IF($BI177&lt;&gt;"",IF('Capacity summary'!$C$14="Yes",IF(COUNTBLANK('Capacity summary'!$H89:$BG89)&lt;52,IF('Capacity summary'!AH89&lt;&gt;"",$BI177*AH177,0),AH177*$BI177),AH177*$BI177),0)</f>
        <v>0</v>
      </c>
      <c r="CL177" s="5">
        <f>IF($BI177&lt;&gt;"",IF('Capacity summary'!$C$14="Yes",IF(COUNTBLANK('Capacity summary'!$H89:$BG89)&lt;52,IF('Capacity summary'!AI89&lt;&gt;"",$BI177*AI177,0),AI177*$BI177),AI177*$BI177),0)</f>
        <v>0</v>
      </c>
      <c r="CM177" s="5">
        <f>IF($BI177&lt;&gt;"",IF('Capacity summary'!$C$14="Yes",IF(COUNTBLANK('Capacity summary'!$H89:$BG89)&lt;52,IF('Capacity summary'!AJ89&lt;&gt;"",$BI177*AJ177,0),AJ177*$BI177),AJ177*$BI177),0)</f>
        <v>0</v>
      </c>
      <c r="CN177" s="5">
        <f>IF($BI177&lt;&gt;"",IF('Capacity summary'!$C$14="Yes",IF(COUNTBLANK('Capacity summary'!$H89:$BG89)&lt;52,IF('Capacity summary'!AK89&lt;&gt;"",$BI177*AK177,0),AK177*$BI177),AK177*$BI177),0)</f>
        <v>0</v>
      </c>
      <c r="CO177" s="5">
        <f>IF($BI177&lt;&gt;"",IF('Capacity summary'!$C$14="Yes",IF(COUNTBLANK('Capacity summary'!$H89:$BG89)&lt;52,IF('Capacity summary'!AL89&lt;&gt;"",$BI177*AL177,0),AL177*$BI177),AL177*$BI177),0)</f>
        <v>0</v>
      </c>
      <c r="CP177" s="5">
        <f>IF($BI177&lt;&gt;"",IF('Capacity summary'!$C$14="Yes",IF(COUNTBLANK('Capacity summary'!$H89:$BG89)&lt;52,IF('Capacity summary'!AM89&lt;&gt;"",$BI177*AM177,0),AM177*$BI177),AM177*$BI177),0)</f>
        <v>0</v>
      </c>
      <c r="CQ177" s="5">
        <f>IF($BI177&lt;&gt;"",IF('Capacity summary'!$C$14="Yes",IF(COUNTBLANK('Capacity summary'!$H89:$BG89)&lt;52,IF('Capacity summary'!AN89&lt;&gt;"",$BI177*AN177,0),AN177*$BI177),AN177*$BI177),0)</f>
        <v>0</v>
      </c>
      <c r="CR177" s="5">
        <f>IF($BI177&lt;&gt;"",IF('Capacity summary'!$C$14="Yes",IF(COUNTBLANK('Capacity summary'!$H89:$BG89)&lt;52,IF('Capacity summary'!AO89&lt;&gt;"",$BI177*AO177,0),AO177*$BI177),AO177*$BI177),0)</f>
        <v>0</v>
      </c>
      <c r="CS177" s="5">
        <f>IF($BI177&lt;&gt;"",IF('Capacity summary'!$C$14="Yes",IF(COUNTBLANK('Capacity summary'!$H89:$BG89)&lt;52,IF('Capacity summary'!AP89&lt;&gt;"",$BI177*AP177,0),AP177*$BI177),AP177*$BI177),0)</f>
        <v>0</v>
      </c>
      <c r="CT177" s="5">
        <f>IF($BI177&lt;&gt;"",IF('Capacity summary'!$C$14="Yes",IF(COUNTBLANK('Capacity summary'!$H89:$BG89)&lt;52,IF('Capacity summary'!AQ89&lt;&gt;"",$BI177*AQ177,0),AQ177*$BI177),AQ177*$BI177),0)</f>
        <v>0</v>
      </c>
      <c r="CU177" s="5">
        <f>IF($BI177&lt;&gt;"",IF('Capacity summary'!$C$14="Yes",IF(COUNTBLANK('Capacity summary'!$H89:$BG89)&lt;52,IF('Capacity summary'!AR89&lt;&gt;"",$BI177*AR177,0),AR177*$BI177),AR177*$BI177),0)</f>
        <v>0</v>
      </c>
      <c r="CV177" s="5">
        <f>IF($BI177&lt;&gt;"",IF('Capacity summary'!$C$14="Yes",IF(COUNTBLANK('Capacity summary'!$H89:$BG89)&lt;52,IF('Capacity summary'!AS89&lt;&gt;"",$BI177*AS177,0),AS177*$BI177),AS177*$BI177),0)</f>
        <v>0</v>
      </c>
      <c r="CW177" s="5">
        <f>IF($BI177&lt;&gt;"",IF('Capacity summary'!$C$14="Yes",IF(COUNTBLANK('Capacity summary'!$H89:$BG89)&lt;52,IF('Capacity summary'!AT89&lt;&gt;"",$BI177*AT177,0),AT177*$BI177),AT177*$BI177),0)</f>
        <v>0</v>
      </c>
      <c r="CX177" s="5">
        <f>IF($BI177&lt;&gt;"",IF('Capacity summary'!$C$14="Yes",IF(COUNTBLANK('Capacity summary'!$H89:$BG89)&lt;52,IF('Capacity summary'!AU89&lt;&gt;"",$BI177*AU177,0),AU177*$BI177),AU177*$BI177),0)</f>
        <v>0</v>
      </c>
      <c r="CY177" s="5">
        <f>IF($BI177&lt;&gt;"",IF('Capacity summary'!$C$14="Yes",IF(COUNTBLANK('Capacity summary'!$H89:$BG89)&lt;52,IF('Capacity summary'!AV89&lt;&gt;"",$BI177*AV177,0),AV177*$BI177),AV177*$BI177),0)</f>
        <v>0</v>
      </c>
      <c r="CZ177" s="5">
        <f>IF($BI177&lt;&gt;"",IF('Capacity summary'!$C$14="Yes",IF(COUNTBLANK('Capacity summary'!$H89:$BG89)&lt;52,IF('Capacity summary'!AW89&lt;&gt;"",$BI177*AW177,0),AW177*$BI177),AW177*$BI177),0)</f>
        <v>0</v>
      </c>
      <c r="DA177" s="5">
        <f>IF($BI177&lt;&gt;"",IF('Capacity summary'!$C$14="Yes",IF(COUNTBLANK('Capacity summary'!$H89:$BG89)&lt;52,IF('Capacity summary'!AX89&lt;&gt;"",$BI177*AX177,0),AX177*$BI177),AX177*$BI177),0)</f>
        <v>0</v>
      </c>
      <c r="DB177" s="5">
        <f>IF($BI177&lt;&gt;"",IF('Capacity summary'!$C$14="Yes",IF(COUNTBLANK('Capacity summary'!$H89:$BG89)&lt;52,IF('Capacity summary'!AY89&lt;&gt;"",$BI177*AY177,0),AY177*$BI177),AY177*$BI177),0)</f>
        <v>0</v>
      </c>
      <c r="DC177" s="5">
        <f>IF($BI177&lt;&gt;"",IF('Capacity summary'!$C$14="Yes",IF(COUNTBLANK('Capacity summary'!$H89:$BG89)&lt;52,IF('Capacity summary'!AZ89&lt;&gt;"",$BI177*AZ177,0),AZ177*$BI177),AZ177*$BI177),0)</f>
        <v>0</v>
      </c>
      <c r="DD177" s="5">
        <f>IF($BI177&lt;&gt;"",IF('Capacity summary'!$C$14="Yes",IF(COUNTBLANK('Capacity summary'!$H89:$BG89)&lt;52,IF('Capacity summary'!BA89&lt;&gt;"",$BI177*BA177,0),BA177*$BI177),BA177*$BI177),0)</f>
        <v>0</v>
      </c>
      <c r="DE177" s="5">
        <f>IF($BI177&lt;&gt;"",IF('Capacity summary'!$C$14="Yes",IF(COUNTBLANK('Capacity summary'!$H89:$BG89)&lt;52,IF('Capacity summary'!BB89&lt;&gt;"",$BI177*BB177,0),BB177*$BI177),BB177*$BI177),0)</f>
        <v>0</v>
      </c>
      <c r="DF177" s="5">
        <f>IF($BI177&lt;&gt;"",IF('Capacity summary'!$C$14="Yes",IF(COUNTBLANK('Capacity summary'!$H89:$BG89)&lt;52,IF('Capacity summary'!BC89&lt;&gt;"",$BI177*BC177,0),BC177*$BI177),BC177*$BI177),0)</f>
        <v>0</v>
      </c>
      <c r="DG177" s="5">
        <f>IF($BI177&lt;&gt;"",IF('Capacity summary'!$C$14="Yes",IF(COUNTBLANK('Capacity summary'!$H89:$BG89)&lt;52,IF('Capacity summary'!BD89&lt;&gt;"",$BI177*BD177,0),BD177*$BI177),BD177*$BI177),0)</f>
        <v>0</v>
      </c>
      <c r="DH177" s="5">
        <f>IF($BI177&lt;&gt;"",IF('Capacity summary'!$C$14="Yes",IF(COUNTBLANK('Capacity summary'!$H89:$BG89)&lt;52,IF('Capacity summary'!BE89&lt;&gt;"",$BI177*BE177,0),BE177*$BI177),BE177*$BI177),0)</f>
        <v>0</v>
      </c>
      <c r="DI177" s="5">
        <f>IF($BI177&lt;&gt;"",IF('Capacity summary'!$C$14="Yes",IF(COUNTBLANK('Capacity summary'!$H89:$BG89)&lt;52,IF('Capacity summary'!BF89&lt;&gt;"",$BI177*BF177,0),BF177*$BI177),BF177*$BI177),0)</f>
        <v>0</v>
      </c>
      <c r="DJ177" s="5">
        <f>IF($BI177&lt;&gt;"",IF('Capacity summary'!$C$14="Yes",IF(COUNTBLANK('Capacity summary'!$H89:$BG89)&lt;52,IF('Capacity summary'!BG89&lt;&gt;"",$BI177*BG177,0),BG177*$BI177),BG177*$BI177),0)</f>
        <v>0</v>
      </c>
      <c r="DK177" s="138">
        <f t="shared" ref="DK177:DK211" si="7">SUM(BK177:DJ177)</f>
        <v>0</v>
      </c>
    </row>
    <row r="178" spans="3:115" x14ac:dyDescent="0.2">
      <c r="C178" s="68" t="str">
        <f>ROW(A67)&amp;". "&amp;Capacity!N83</f>
        <v xml:space="preserve">67. </v>
      </c>
      <c r="D178" s="68">
        <f>'Capacity setup'!C184</f>
        <v>0</v>
      </c>
      <c r="E178" s="68">
        <f>'Capacity setup'!D184</f>
        <v>0</v>
      </c>
      <c r="F178" s="68">
        <f>'Capacity setup'!E184</f>
        <v>0</v>
      </c>
      <c r="H178" s="68">
        <f ca="1">IF(AND(SUMIF(Capacity_Resource,$D178,'Critical resources (hide)'!U$6:U$105)+SUMIF(Capacity_Resource,$E178,'Critical resources (hide)'!U$6:U$105)+SUMIF(Capacity_Resource,$F178,'Critical resources (hide)'!U$6:U$105)&gt;0,$E$1=2),0,1)</f>
        <v>1</v>
      </c>
      <c r="I178" s="68">
        <f ca="1">IF(AND(SUMIF(Capacity_Resource,$D178,'Critical resources (hide)'!V$6:V$105)+SUMIF(Capacity_Resource,$E178,'Critical resources (hide)'!V$6:V$105)+SUMIF(Capacity_Resource,$F178,'Critical resources (hide)'!V$6:V$105)&gt;0,$E$1=2),0,1)</f>
        <v>1</v>
      </c>
      <c r="J178" s="68">
        <f ca="1">IF(AND(SUMIF(Capacity_Resource,$D178,'Critical resources (hide)'!W$6:W$105)+SUMIF(Capacity_Resource,$E178,'Critical resources (hide)'!W$6:W$105)+SUMIF(Capacity_Resource,$F178,'Critical resources (hide)'!W$6:W$105)&gt;0,$E$1=2),0,1)</f>
        <v>1</v>
      </c>
      <c r="K178" s="68">
        <f ca="1">IF(AND(SUMIF(Capacity_Resource,$D178,'Critical resources (hide)'!X$6:X$105)+SUMIF(Capacity_Resource,$E178,'Critical resources (hide)'!X$6:X$105)+SUMIF(Capacity_Resource,$F178,'Critical resources (hide)'!X$6:X$105)&gt;0,$E$1=2),0,1)</f>
        <v>1</v>
      </c>
      <c r="L178" s="68">
        <f ca="1">IF(AND(SUMIF(Capacity_Resource,$D178,'Critical resources (hide)'!Y$6:Y$105)+SUMIF(Capacity_Resource,$E178,'Critical resources (hide)'!Y$6:Y$105)+SUMIF(Capacity_Resource,$F178,'Critical resources (hide)'!Y$6:Y$105)&gt;0,$E$1=2),0,1)</f>
        <v>1</v>
      </c>
      <c r="M178" s="68">
        <f ca="1">IF(AND(SUMIF(Capacity_Resource,$D178,'Critical resources (hide)'!Z$6:Z$105)+SUMIF(Capacity_Resource,$E178,'Critical resources (hide)'!Z$6:Z$105)+SUMIF(Capacity_Resource,$F178,'Critical resources (hide)'!Z$6:Z$105)&gt;0,$E$1=2),0,1)</f>
        <v>1</v>
      </c>
      <c r="N178" s="68">
        <f ca="1">IF(AND(SUMIF(Capacity_Resource,$D178,'Critical resources (hide)'!AA$6:AA$105)+SUMIF(Capacity_Resource,$E178,'Critical resources (hide)'!AA$6:AA$105)+SUMIF(Capacity_Resource,$F178,'Critical resources (hide)'!AA$6:AA$105)&gt;0,$E$1=2),0,1)</f>
        <v>1</v>
      </c>
      <c r="O178" s="68">
        <f ca="1">IF(AND(SUMIF(Capacity_Resource,$D178,'Critical resources (hide)'!AB$6:AB$105)+SUMIF(Capacity_Resource,$E178,'Critical resources (hide)'!AB$6:AB$105)+SUMIF(Capacity_Resource,$F178,'Critical resources (hide)'!AB$6:AB$105)&gt;0,$E$1=2),0,1)</f>
        <v>1</v>
      </c>
      <c r="P178" s="68">
        <f ca="1">IF(AND(SUMIF(Capacity_Resource,$D178,'Critical resources (hide)'!AC$6:AC$105)+SUMIF(Capacity_Resource,$E178,'Critical resources (hide)'!AC$6:AC$105)+SUMIF(Capacity_Resource,$F178,'Critical resources (hide)'!AC$6:AC$105)&gt;0,$E$1=2),0,1)</f>
        <v>1</v>
      </c>
      <c r="Q178" s="68">
        <f ca="1">IF(AND(SUMIF(Capacity_Resource,$D178,'Critical resources (hide)'!AD$6:AD$105)+SUMIF(Capacity_Resource,$E178,'Critical resources (hide)'!AD$6:AD$105)+SUMIF(Capacity_Resource,$F178,'Critical resources (hide)'!AD$6:AD$105)&gt;0,$E$1=2),0,1)</f>
        <v>1</v>
      </c>
      <c r="R178" s="68">
        <f ca="1">IF(AND(SUMIF(Capacity_Resource,$D178,'Critical resources (hide)'!AE$6:AE$105)+SUMIF(Capacity_Resource,$E178,'Critical resources (hide)'!AE$6:AE$105)+SUMIF(Capacity_Resource,$F178,'Critical resources (hide)'!AE$6:AE$105)&gt;0,$E$1=2),0,1)</f>
        <v>1</v>
      </c>
      <c r="S178" s="68">
        <f ca="1">IF(AND(SUMIF(Capacity_Resource,$D178,'Critical resources (hide)'!AF$6:AF$105)+SUMIF(Capacity_Resource,$E178,'Critical resources (hide)'!AF$6:AF$105)+SUMIF(Capacity_Resource,$F178,'Critical resources (hide)'!AF$6:AF$105)&gt;0,$E$1=2),0,1)</f>
        <v>1</v>
      </c>
      <c r="T178" s="68">
        <f ca="1">IF(AND(SUMIF(Capacity_Resource,$D178,'Critical resources (hide)'!AG$6:AG$105)+SUMIF(Capacity_Resource,$E178,'Critical resources (hide)'!AG$6:AG$105)+SUMIF(Capacity_Resource,$F178,'Critical resources (hide)'!AG$6:AG$105)&gt;0,$E$1=2),0,1)</f>
        <v>1</v>
      </c>
      <c r="U178" s="68">
        <f ca="1">IF(AND(SUMIF(Capacity_Resource,$D178,'Critical resources (hide)'!AH$6:AH$105)+SUMIF(Capacity_Resource,$E178,'Critical resources (hide)'!AH$6:AH$105)+SUMIF(Capacity_Resource,$F178,'Critical resources (hide)'!AH$6:AH$105)&gt;0,$E$1=2),0,1)</f>
        <v>1</v>
      </c>
      <c r="V178" s="68">
        <f ca="1">IF(AND(SUMIF(Capacity_Resource,$D178,'Critical resources (hide)'!AI$6:AI$105)+SUMIF(Capacity_Resource,$E178,'Critical resources (hide)'!AI$6:AI$105)+SUMIF(Capacity_Resource,$F178,'Critical resources (hide)'!AI$6:AI$105)&gt;0,$E$1=2),0,1)</f>
        <v>1</v>
      </c>
      <c r="W178" s="68">
        <f ca="1">IF(AND(SUMIF(Capacity_Resource,$D178,'Critical resources (hide)'!AJ$6:AJ$105)+SUMIF(Capacity_Resource,$E178,'Critical resources (hide)'!AJ$6:AJ$105)+SUMIF(Capacity_Resource,$F178,'Critical resources (hide)'!AJ$6:AJ$105)&gt;0,$E$1=2),0,1)</f>
        <v>1</v>
      </c>
      <c r="X178" s="68">
        <f ca="1">IF(AND(SUMIF(Capacity_Resource,$D178,'Critical resources (hide)'!AK$6:AK$105)+SUMIF(Capacity_Resource,$E178,'Critical resources (hide)'!AK$6:AK$105)+SUMIF(Capacity_Resource,$F178,'Critical resources (hide)'!AK$6:AK$105)&gt;0,$E$1=2),0,1)</f>
        <v>1</v>
      </c>
      <c r="Y178" s="68">
        <f ca="1">IF(AND(SUMIF(Capacity_Resource,$D178,'Critical resources (hide)'!AL$6:AL$105)+SUMIF(Capacity_Resource,$E178,'Critical resources (hide)'!AL$6:AL$105)+SUMIF(Capacity_Resource,$F178,'Critical resources (hide)'!AL$6:AL$105)&gt;0,$E$1=2),0,1)</f>
        <v>1</v>
      </c>
      <c r="Z178" s="68">
        <f ca="1">IF(AND(SUMIF(Capacity_Resource,$D178,'Critical resources (hide)'!AM$6:AM$105)+SUMIF(Capacity_Resource,$E178,'Critical resources (hide)'!AM$6:AM$105)+SUMIF(Capacity_Resource,$F178,'Critical resources (hide)'!AM$6:AM$105)&gt;0,$E$1=2),0,1)</f>
        <v>1</v>
      </c>
      <c r="AA178" s="68">
        <f ca="1">IF(AND(SUMIF(Capacity_Resource,$D178,'Critical resources (hide)'!AN$6:AN$105)+SUMIF(Capacity_Resource,$E178,'Critical resources (hide)'!AN$6:AN$105)+SUMIF(Capacity_Resource,$F178,'Critical resources (hide)'!AN$6:AN$105)&gt;0,$E$1=2),0,1)</f>
        <v>1</v>
      </c>
      <c r="AB178" s="68">
        <f ca="1">IF(AND(SUMIF(Capacity_Resource,$D178,'Critical resources (hide)'!AO$6:AO$105)+SUMIF(Capacity_Resource,$E178,'Critical resources (hide)'!AO$6:AO$105)+SUMIF(Capacity_Resource,$F178,'Critical resources (hide)'!AO$6:AO$105)&gt;0,$E$1=2),0,1)</f>
        <v>1</v>
      </c>
      <c r="AC178" s="68">
        <f ca="1">IF(AND(SUMIF(Capacity_Resource,$D178,'Critical resources (hide)'!AP$6:AP$105)+SUMIF(Capacity_Resource,$E178,'Critical resources (hide)'!AP$6:AP$105)+SUMIF(Capacity_Resource,$F178,'Critical resources (hide)'!AP$6:AP$105)&gt;0,$E$1=2),0,1)</f>
        <v>1</v>
      </c>
      <c r="AD178" s="68">
        <f ca="1">IF(AND(SUMIF(Capacity_Resource,$D178,'Critical resources (hide)'!AQ$6:AQ$105)+SUMIF(Capacity_Resource,$E178,'Critical resources (hide)'!AQ$6:AQ$105)+SUMIF(Capacity_Resource,$F178,'Critical resources (hide)'!AQ$6:AQ$105)&gt;0,$E$1=2),0,1)</f>
        <v>1</v>
      </c>
      <c r="AE178" s="68">
        <f ca="1">IF(AND(SUMIF(Capacity_Resource,$D178,'Critical resources (hide)'!AR$6:AR$105)+SUMIF(Capacity_Resource,$E178,'Critical resources (hide)'!AR$6:AR$105)+SUMIF(Capacity_Resource,$F178,'Critical resources (hide)'!AR$6:AR$105)&gt;0,$E$1=2),0,1)</f>
        <v>1</v>
      </c>
      <c r="AF178" s="68">
        <f ca="1">IF(AND(SUMIF(Capacity_Resource,$D178,'Critical resources (hide)'!AS$6:AS$105)+SUMIF(Capacity_Resource,$E178,'Critical resources (hide)'!AS$6:AS$105)+SUMIF(Capacity_Resource,$F178,'Critical resources (hide)'!AS$6:AS$105)&gt;0,$E$1=2),0,1)</f>
        <v>1</v>
      </c>
      <c r="AG178" s="68">
        <f ca="1">IF(AND(SUMIF(Capacity_Resource,$D178,'Critical resources (hide)'!AT$6:AT$105)+SUMIF(Capacity_Resource,$E178,'Critical resources (hide)'!AT$6:AT$105)+SUMIF(Capacity_Resource,$F178,'Critical resources (hide)'!AT$6:AT$105)&gt;0,$E$1=2),0,1)</f>
        <v>1</v>
      </c>
      <c r="AH178" s="68">
        <f ca="1">IF(AND(SUMIF(Capacity_Resource,$D178,'Critical resources (hide)'!AU$6:AU$105)+SUMIF(Capacity_Resource,$E178,'Critical resources (hide)'!AU$6:AU$105)+SUMIF(Capacity_Resource,$F178,'Critical resources (hide)'!AU$6:AU$105)&gt;0,$E$1=2),0,1)</f>
        <v>1</v>
      </c>
      <c r="AI178" s="68">
        <f ca="1">IF(AND(SUMIF(Capacity_Resource,$D178,'Critical resources (hide)'!AV$6:AV$105)+SUMIF(Capacity_Resource,$E178,'Critical resources (hide)'!AV$6:AV$105)+SUMIF(Capacity_Resource,$F178,'Critical resources (hide)'!AV$6:AV$105)&gt;0,$E$1=2),0,1)</f>
        <v>1</v>
      </c>
      <c r="AJ178" s="68">
        <f ca="1">IF(AND(SUMIF(Capacity_Resource,$D178,'Critical resources (hide)'!AW$6:AW$105)+SUMIF(Capacity_Resource,$E178,'Critical resources (hide)'!AW$6:AW$105)+SUMIF(Capacity_Resource,$F178,'Critical resources (hide)'!AW$6:AW$105)&gt;0,$E$1=2),0,1)</f>
        <v>1</v>
      </c>
      <c r="AK178" s="68">
        <f ca="1">IF(AND(SUMIF(Capacity_Resource,$D178,'Critical resources (hide)'!AX$6:AX$105)+SUMIF(Capacity_Resource,$E178,'Critical resources (hide)'!AX$6:AX$105)+SUMIF(Capacity_Resource,$F178,'Critical resources (hide)'!AX$6:AX$105)&gt;0,$E$1=2),0,1)</f>
        <v>1</v>
      </c>
      <c r="AL178" s="68">
        <f ca="1">IF(AND(SUMIF(Capacity_Resource,$D178,'Critical resources (hide)'!AY$6:AY$105)+SUMIF(Capacity_Resource,$E178,'Critical resources (hide)'!AY$6:AY$105)+SUMIF(Capacity_Resource,$F178,'Critical resources (hide)'!AY$6:AY$105)&gt;0,$E$1=2),0,1)</f>
        <v>1</v>
      </c>
      <c r="AM178" s="68">
        <f ca="1">IF(AND(SUMIF(Capacity_Resource,$D178,'Critical resources (hide)'!AZ$6:AZ$105)+SUMIF(Capacity_Resource,$E178,'Critical resources (hide)'!AZ$6:AZ$105)+SUMIF(Capacity_Resource,$F178,'Critical resources (hide)'!AZ$6:AZ$105)&gt;0,$E$1=2),0,1)</f>
        <v>1</v>
      </c>
      <c r="AN178" s="68">
        <f ca="1">IF(AND(SUMIF(Capacity_Resource,$D178,'Critical resources (hide)'!BA$6:BA$105)+SUMIF(Capacity_Resource,$E178,'Critical resources (hide)'!BA$6:BA$105)+SUMIF(Capacity_Resource,$F178,'Critical resources (hide)'!BA$6:BA$105)&gt;0,$E$1=2),0,1)</f>
        <v>1</v>
      </c>
      <c r="AO178" s="68">
        <f ca="1">IF(AND(SUMIF(Capacity_Resource,$D178,'Critical resources (hide)'!BB$6:BB$105)+SUMIF(Capacity_Resource,$E178,'Critical resources (hide)'!BB$6:BB$105)+SUMIF(Capacity_Resource,$F178,'Critical resources (hide)'!BB$6:BB$105)&gt;0,$E$1=2),0,1)</f>
        <v>1</v>
      </c>
      <c r="AP178" s="68">
        <f ca="1">IF(AND(SUMIF(Capacity_Resource,$D178,'Critical resources (hide)'!BC$6:BC$105)+SUMIF(Capacity_Resource,$E178,'Critical resources (hide)'!BC$6:BC$105)+SUMIF(Capacity_Resource,$F178,'Critical resources (hide)'!BC$6:BC$105)&gt;0,$E$1=2),0,1)</f>
        <v>1</v>
      </c>
      <c r="AQ178" s="68">
        <f ca="1">IF(AND(SUMIF(Capacity_Resource,$D178,'Critical resources (hide)'!BD$6:BD$105)+SUMIF(Capacity_Resource,$E178,'Critical resources (hide)'!BD$6:BD$105)+SUMIF(Capacity_Resource,$F178,'Critical resources (hide)'!BD$6:BD$105)&gt;0,$E$1=2),0,1)</f>
        <v>1</v>
      </c>
      <c r="AR178" s="68">
        <f ca="1">IF(AND(SUMIF(Capacity_Resource,$D178,'Critical resources (hide)'!BE$6:BE$105)+SUMIF(Capacity_Resource,$E178,'Critical resources (hide)'!BE$6:BE$105)+SUMIF(Capacity_Resource,$F178,'Critical resources (hide)'!BE$6:BE$105)&gt;0,$E$1=2),0,1)</f>
        <v>1</v>
      </c>
      <c r="AS178" s="68">
        <f ca="1">IF(AND(SUMIF(Capacity_Resource,$D178,'Critical resources (hide)'!BF$6:BF$105)+SUMIF(Capacity_Resource,$E178,'Critical resources (hide)'!BF$6:BF$105)+SUMIF(Capacity_Resource,$F178,'Critical resources (hide)'!BF$6:BF$105)&gt;0,$E$1=2),0,1)</f>
        <v>1</v>
      </c>
      <c r="AT178" s="68">
        <f ca="1">IF(AND(SUMIF(Capacity_Resource,$D178,'Critical resources (hide)'!BG$6:BG$105)+SUMIF(Capacity_Resource,$E178,'Critical resources (hide)'!BG$6:BG$105)+SUMIF(Capacity_Resource,$F178,'Critical resources (hide)'!BG$6:BG$105)&gt;0,$E$1=2),0,1)</f>
        <v>1</v>
      </c>
      <c r="AU178" s="68">
        <f ca="1">IF(AND(SUMIF(Capacity_Resource,$D178,'Critical resources (hide)'!BH$6:BH$105)+SUMIF(Capacity_Resource,$E178,'Critical resources (hide)'!BH$6:BH$105)+SUMIF(Capacity_Resource,$F178,'Critical resources (hide)'!BH$6:BH$105)&gt;0,$E$1=2),0,1)</f>
        <v>1</v>
      </c>
      <c r="AV178" s="68">
        <f ca="1">IF(AND(SUMIF(Capacity_Resource,$D178,'Critical resources (hide)'!BI$6:BI$105)+SUMIF(Capacity_Resource,$E178,'Critical resources (hide)'!BI$6:BI$105)+SUMIF(Capacity_Resource,$F178,'Critical resources (hide)'!BI$6:BI$105)&gt;0,$E$1=2),0,1)</f>
        <v>1</v>
      </c>
      <c r="AW178" s="68">
        <f ca="1">IF(AND(SUMIF(Capacity_Resource,$D178,'Critical resources (hide)'!BJ$6:BJ$105)+SUMIF(Capacity_Resource,$E178,'Critical resources (hide)'!BJ$6:BJ$105)+SUMIF(Capacity_Resource,$F178,'Critical resources (hide)'!BJ$6:BJ$105)&gt;0,$E$1=2),0,1)</f>
        <v>1</v>
      </c>
      <c r="AX178" s="68">
        <f ca="1">IF(AND(SUMIF(Capacity_Resource,$D178,'Critical resources (hide)'!BK$6:BK$105)+SUMIF(Capacity_Resource,$E178,'Critical resources (hide)'!BK$6:BK$105)+SUMIF(Capacity_Resource,$F178,'Critical resources (hide)'!BK$6:BK$105)&gt;0,$E$1=2),0,1)</f>
        <v>1</v>
      </c>
      <c r="AY178" s="68">
        <f ca="1">IF(AND(SUMIF(Capacity_Resource,$D178,'Critical resources (hide)'!BL$6:BL$105)+SUMIF(Capacity_Resource,$E178,'Critical resources (hide)'!BL$6:BL$105)+SUMIF(Capacity_Resource,$F178,'Critical resources (hide)'!BL$6:BL$105)&gt;0,$E$1=2),0,1)</f>
        <v>1</v>
      </c>
      <c r="AZ178" s="68">
        <f ca="1">IF(AND(SUMIF(Capacity_Resource,$D178,'Critical resources (hide)'!BM$6:BM$105)+SUMIF(Capacity_Resource,$E178,'Critical resources (hide)'!BM$6:BM$105)+SUMIF(Capacity_Resource,$F178,'Critical resources (hide)'!BM$6:BM$105)&gt;0,$E$1=2),0,1)</f>
        <v>1</v>
      </c>
      <c r="BA178" s="68">
        <f ca="1">IF(AND(SUMIF(Capacity_Resource,$D178,'Critical resources (hide)'!BN$6:BN$105)+SUMIF(Capacity_Resource,$E178,'Critical resources (hide)'!BN$6:BN$105)+SUMIF(Capacity_Resource,$F178,'Critical resources (hide)'!BN$6:BN$105)&gt;0,$E$1=2),0,1)</f>
        <v>1</v>
      </c>
      <c r="BB178" s="68">
        <f ca="1">IF(AND(SUMIF(Capacity_Resource,$D178,'Critical resources (hide)'!BO$6:BO$105)+SUMIF(Capacity_Resource,$E178,'Critical resources (hide)'!BO$6:BO$105)+SUMIF(Capacity_Resource,$F178,'Critical resources (hide)'!BO$6:BO$105)&gt;0,$E$1=2),0,1)</f>
        <v>1</v>
      </c>
      <c r="BC178" s="68">
        <f ca="1">IF(AND(SUMIF(Capacity_Resource,$D178,'Critical resources (hide)'!BP$6:BP$105)+SUMIF(Capacity_Resource,$E178,'Critical resources (hide)'!BP$6:BP$105)+SUMIF(Capacity_Resource,$F178,'Critical resources (hide)'!BP$6:BP$105)&gt;0,$E$1=2),0,1)</f>
        <v>1</v>
      </c>
      <c r="BD178" s="68">
        <f ca="1">IF(AND(SUMIF(Capacity_Resource,$D178,'Critical resources (hide)'!BQ$6:BQ$105)+SUMIF(Capacity_Resource,$E178,'Critical resources (hide)'!BQ$6:BQ$105)+SUMIF(Capacity_Resource,$F178,'Critical resources (hide)'!BQ$6:BQ$105)&gt;0,$E$1=2),0,1)</f>
        <v>1</v>
      </c>
      <c r="BE178" s="68">
        <f ca="1">IF(AND(SUMIF(Capacity_Resource,$D178,'Critical resources (hide)'!BR$6:BR$105)+SUMIF(Capacity_Resource,$E178,'Critical resources (hide)'!BR$6:BR$105)+SUMIF(Capacity_Resource,$F178,'Critical resources (hide)'!BR$6:BR$105)&gt;0,$E$1=2),0,1)</f>
        <v>1</v>
      </c>
      <c r="BF178" s="68">
        <f ca="1">IF(AND(SUMIF(Capacity_Resource,$D178,'Critical resources (hide)'!BS$6:BS$105)+SUMIF(Capacity_Resource,$E178,'Critical resources (hide)'!BS$6:BS$105)+SUMIF(Capacity_Resource,$F178,'Critical resources (hide)'!BS$6:BS$105)&gt;0,$E$1=2),0,1)</f>
        <v>1</v>
      </c>
      <c r="BG178" s="68">
        <f ca="1">IF(AND(SUMIF(Capacity_Resource,$D178,'Critical resources (hide)'!BT$6:BT$105)+SUMIF(Capacity_Resource,$E178,'Critical resources (hide)'!BT$6:BT$105)+SUMIF(Capacity_Resource,$F178,'Critical resources (hide)'!BT$6:BT$105)&gt;0,$E$1=2),0,1)</f>
        <v>1</v>
      </c>
      <c r="BH178" s="68">
        <f>IF(ROW(A67)&lt;=Capacity!$M$16,IF('Capacity summary'!$C$14="No",SUM(H178:BG178),'Capacity summary'!$E90),0)</f>
        <v>0</v>
      </c>
      <c r="BI178" s="68" t="str">
        <f>IF(BH178&gt;0,IF(BH178&lt;Capacity!Q83,Capacity!R83,Capacity!T83/'Capacity calculation (hide)'!BH178),"")</f>
        <v/>
      </c>
      <c r="BJ178" s="5"/>
      <c r="BK178" s="5">
        <f>IF($BI178&lt;&gt;"",IF('Capacity summary'!$C$14="Yes",IF(COUNTBLANK('Capacity summary'!$H90:$BG90)&lt;52,IF('Capacity summary'!H90&lt;&gt;"",$BI178*H178,0),H178*$BI178),H178*$BI178),0)</f>
        <v>0</v>
      </c>
      <c r="BL178" s="5">
        <f>IF($BI178&lt;&gt;"",IF('Capacity summary'!$C$14="Yes",IF(COUNTBLANK('Capacity summary'!$H90:$BG90)&lt;52,IF('Capacity summary'!I90&lt;&gt;"",$BI178*I178,0),I178*$BI178),I178*$BI178),0)</f>
        <v>0</v>
      </c>
      <c r="BM178" s="5">
        <f>IF($BI178&lt;&gt;"",IF('Capacity summary'!$C$14="Yes",IF(COUNTBLANK('Capacity summary'!$H90:$BG90)&lt;52,IF('Capacity summary'!J90&lt;&gt;"",$BI178*J178,0),J178*$BI178),J178*$BI178),0)</f>
        <v>0</v>
      </c>
      <c r="BN178" s="5">
        <f>IF($BI178&lt;&gt;"",IF('Capacity summary'!$C$14="Yes",IF(COUNTBLANK('Capacity summary'!$H90:$BG90)&lt;52,IF('Capacity summary'!K90&lt;&gt;"",$BI178*K178,0),K178*$BI178),K178*$BI178),0)</f>
        <v>0</v>
      </c>
      <c r="BO178" s="5">
        <f>IF($BI178&lt;&gt;"",IF('Capacity summary'!$C$14="Yes",IF(COUNTBLANK('Capacity summary'!$H90:$BG90)&lt;52,IF('Capacity summary'!L90&lt;&gt;"",$BI178*L178,0),L178*$BI178),L178*$BI178),0)</f>
        <v>0</v>
      </c>
      <c r="BP178" s="5">
        <f>IF($BI178&lt;&gt;"",IF('Capacity summary'!$C$14="Yes",IF(COUNTBLANK('Capacity summary'!$H90:$BG90)&lt;52,IF('Capacity summary'!M90&lt;&gt;"",$BI178*M178,0),M178*$BI178),M178*$BI178),0)</f>
        <v>0</v>
      </c>
      <c r="BQ178" s="5">
        <f>IF($BI178&lt;&gt;"",IF('Capacity summary'!$C$14="Yes",IF(COUNTBLANK('Capacity summary'!$H90:$BG90)&lt;52,IF('Capacity summary'!N90&lt;&gt;"",$BI178*N178,0),N178*$BI178),N178*$BI178),0)</f>
        <v>0</v>
      </c>
      <c r="BR178" s="5">
        <f>IF($BI178&lt;&gt;"",IF('Capacity summary'!$C$14="Yes",IF(COUNTBLANK('Capacity summary'!$H90:$BG90)&lt;52,IF('Capacity summary'!O90&lt;&gt;"",$BI178*O178,0),O178*$BI178),O178*$BI178),0)</f>
        <v>0</v>
      </c>
      <c r="BS178" s="5">
        <f>IF($BI178&lt;&gt;"",IF('Capacity summary'!$C$14="Yes",IF(COUNTBLANK('Capacity summary'!$H90:$BG90)&lt;52,IF('Capacity summary'!P90&lt;&gt;"",$BI178*P178,0),P178*$BI178),P178*$BI178),0)</f>
        <v>0</v>
      </c>
      <c r="BT178" s="5">
        <f>IF($BI178&lt;&gt;"",IF('Capacity summary'!$C$14="Yes",IF(COUNTBLANK('Capacity summary'!$H90:$BG90)&lt;52,IF('Capacity summary'!Q90&lt;&gt;"",$BI178*Q178,0),Q178*$BI178),Q178*$BI178),0)</f>
        <v>0</v>
      </c>
      <c r="BU178" s="5">
        <f>IF($BI178&lt;&gt;"",IF('Capacity summary'!$C$14="Yes",IF(COUNTBLANK('Capacity summary'!$H90:$BG90)&lt;52,IF('Capacity summary'!R90&lt;&gt;"",$BI178*R178,0),R178*$BI178),R178*$BI178),0)</f>
        <v>0</v>
      </c>
      <c r="BV178" s="5">
        <f>IF($BI178&lt;&gt;"",IF('Capacity summary'!$C$14="Yes",IF(COUNTBLANK('Capacity summary'!$H90:$BG90)&lt;52,IF('Capacity summary'!S90&lt;&gt;"",$BI178*S178,0),S178*$BI178),S178*$BI178),0)</f>
        <v>0</v>
      </c>
      <c r="BW178" s="5">
        <f>IF($BI178&lt;&gt;"",IF('Capacity summary'!$C$14="Yes",IF(COUNTBLANK('Capacity summary'!$H90:$BG90)&lt;52,IF('Capacity summary'!T90&lt;&gt;"",$BI178*T178,0),T178*$BI178),T178*$BI178),0)</f>
        <v>0</v>
      </c>
      <c r="BX178" s="5">
        <f>IF($BI178&lt;&gt;"",IF('Capacity summary'!$C$14="Yes",IF(COUNTBLANK('Capacity summary'!$H90:$BG90)&lt;52,IF('Capacity summary'!U90&lt;&gt;"",$BI178*U178,0),U178*$BI178),U178*$BI178),0)</f>
        <v>0</v>
      </c>
      <c r="BY178" s="5">
        <f>IF($BI178&lt;&gt;"",IF('Capacity summary'!$C$14="Yes",IF(COUNTBLANK('Capacity summary'!$H90:$BG90)&lt;52,IF('Capacity summary'!V90&lt;&gt;"",$BI178*V178,0),V178*$BI178),V178*$BI178),0)</f>
        <v>0</v>
      </c>
      <c r="BZ178" s="5">
        <f>IF($BI178&lt;&gt;"",IF('Capacity summary'!$C$14="Yes",IF(COUNTBLANK('Capacity summary'!$H90:$BG90)&lt;52,IF('Capacity summary'!W90&lt;&gt;"",$BI178*W178,0),W178*$BI178),W178*$BI178),0)</f>
        <v>0</v>
      </c>
      <c r="CA178" s="5">
        <f>IF($BI178&lt;&gt;"",IF('Capacity summary'!$C$14="Yes",IF(COUNTBLANK('Capacity summary'!$H90:$BG90)&lt;52,IF('Capacity summary'!X90&lt;&gt;"",$BI178*X178,0),X178*$BI178),X178*$BI178),0)</f>
        <v>0</v>
      </c>
      <c r="CB178" s="5">
        <f>IF($BI178&lt;&gt;"",IF('Capacity summary'!$C$14="Yes",IF(COUNTBLANK('Capacity summary'!$H90:$BG90)&lt;52,IF('Capacity summary'!Y90&lt;&gt;"",$BI178*Y178,0),Y178*$BI178),Y178*$BI178),0)</f>
        <v>0</v>
      </c>
      <c r="CC178" s="5">
        <f>IF($BI178&lt;&gt;"",IF('Capacity summary'!$C$14="Yes",IF(COUNTBLANK('Capacity summary'!$H90:$BG90)&lt;52,IF('Capacity summary'!Z90&lt;&gt;"",$BI178*Z178,0),Z178*$BI178),Z178*$BI178),0)</f>
        <v>0</v>
      </c>
      <c r="CD178" s="5">
        <f>IF($BI178&lt;&gt;"",IF('Capacity summary'!$C$14="Yes",IF(COUNTBLANK('Capacity summary'!$H90:$BG90)&lt;52,IF('Capacity summary'!AA90&lt;&gt;"",$BI178*AA178,0),AA178*$BI178),AA178*$BI178),0)</f>
        <v>0</v>
      </c>
      <c r="CE178" s="5">
        <f>IF($BI178&lt;&gt;"",IF('Capacity summary'!$C$14="Yes",IF(COUNTBLANK('Capacity summary'!$H90:$BG90)&lt;52,IF('Capacity summary'!AB90&lt;&gt;"",$BI178*AB178,0),AB178*$BI178),AB178*$BI178),0)</f>
        <v>0</v>
      </c>
      <c r="CF178" s="5">
        <f>IF($BI178&lt;&gt;"",IF('Capacity summary'!$C$14="Yes",IF(COUNTBLANK('Capacity summary'!$H90:$BG90)&lt;52,IF('Capacity summary'!AC90&lt;&gt;"",$BI178*AC178,0),AC178*$BI178),AC178*$BI178),0)</f>
        <v>0</v>
      </c>
      <c r="CG178" s="5">
        <f>IF($BI178&lt;&gt;"",IF('Capacity summary'!$C$14="Yes",IF(COUNTBLANK('Capacity summary'!$H90:$BG90)&lt;52,IF('Capacity summary'!AD90&lt;&gt;"",$BI178*AD178,0),AD178*$BI178),AD178*$BI178),0)</f>
        <v>0</v>
      </c>
      <c r="CH178" s="5">
        <f>IF($BI178&lt;&gt;"",IF('Capacity summary'!$C$14="Yes",IF(COUNTBLANK('Capacity summary'!$H90:$BG90)&lt;52,IF('Capacity summary'!AE90&lt;&gt;"",$BI178*AE178,0),AE178*$BI178),AE178*$BI178),0)</f>
        <v>0</v>
      </c>
      <c r="CI178" s="5">
        <f>IF($BI178&lt;&gt;"",IF('Capacity summary'!$C$14="Yes",IF(COUNTBLANK('Capacity summary'!$H90:$BG90)&lt;52,IF('Capacity summary'!AF90&lt;&gt;"",$BI178*AF178,0),AF178*$BI178),AF178*$BI178),0)</f>
        <v>0</v>
      </c>
      <c r="CJ178" s="5">
        <f>IF($BI178&lt;&gt;"",IF('Capacity summary'!$C$14="Yes",IF(COUNTBLANK('Capacity summary'!$H90:$BG90)&lt;52,IF('Capacity summary'!AG90&lt;&gt;"",$BI178*AG178,0),AG178*$BI178),AG178*$BI178),0)</f>
        <v>0</v>
      </c>
      <c r="CK178" s="5">
        <f>IF($BI178&lt;&gt;"",IF('Capacity summary'!$C$14="Yes",IF(COUNTBLANK('Capacity summary'!$H90:$BG90)&lt;52,IF('Capacity summary'!AH90&lt;&gt;"",$BI178*AH178,0),AH178*$BI178),AH178*$BI178),0)</f>
        <v>0</v>
      </c>
      <c r="CL178" s="5">
        <f>IF($BI178&lt;&gt;"",IF('Capacity summary'!$C$14="Yes",IF(COUNTBLANK('Capacity summary'!$H90:$BG90)&lt;52,IF('Capacity summary'!AI90&lt;&gt;"",$BI178*AI178,0),AI178*$BI178),AI178*$BI178),0)</f>
        <v>0</v>
      </c>
      <c r="CM178" s="5">
        <f>IF($BI178&lt;&gt;"",IF('Capacity summary'!$C$14="Yes",IF(COUNTBLANK('Capacity summary'!$H90:$BG90)&lt;52,IF('Capacity summary'!AJ90&lt;&gt;"",$BI178*AJ178,0),AJ178*$BI178),AJ178*$BI178),0)</f>
        <v>0</v>
      </c>
      <c r="CN178" s="5">
        <f>IF($BI178&lt;&gt;"",IF('Capacity summary'!$C$14="Yes",IF(COUNTBLANK('Capacity summary'!$H90:$BG90)&lt;52,IF('Capacity summary'!AK90&lt;&gt;"",$BI178*AK178,0),AK178*$BI178),AK178*$BI178),0)</f>
        <v>0</v>
      </c>
      <c r="CO178" s="5">
        <f>IF($BI178&lt;&gt;"",IF('Capacity summary'!$C$14="Yes",IF(COUNTBLANK('Capacity summary'!$H90:$BG90)&lt;52,IF('Capacity summary'!AL90&lt;&gt;"",$BI178*AL178,0),AL178*$BI178),AL178*$BI178),0)</f>
        <v>0</v>
      </c>
      <c r="CP178" s="5">
        <f>IF($BI178&lt;&gt;"",IF('Capacity summary'!$C$14="Yes",IF(COUNTBLANK('Capacity summary'!$H90:$BG90)&lt;52,IF('Capacity summary'!AM90&lt;&gt;"",$BI178*AM178,0),AM178*$BI178),AM178*$BI178),0)</f>
        <v>0</v>
      </c>
      <c r="CQ178" s="5">
        <f>IF($BI178&lt;&gt;"",IF('Capacity summary'!$C$14="Yes",IF(COUNTBLANK('Capacity summary'!$H90:$BG90)&lt;52,IF('Capacity summary'!AN90&lt;&gt;"",$BI178*AN178,0),AN178*$BI178),AN178*$BI178),0)</f>
        <v>0</v>
      </c>
      <c r="CR178" s="5">
        <f>IF($BI178&lt;&gt;"",IF('Capacity summary'!$C$14="Yes",IF(COUNTBLANK('Capacity summary'!$H90:$BG90)&lt;52,IF('Capacity summary'!AO90&lt;&gt;"",$BI178*AO178,0),AO178*$BI178),AO178*$BI178),0)</f>
        <v>0</v>
      </c>
      <c r="CS178" s="5">
        <f>IF($BI178&lt;&gt;"",IF('Capacity summary'!$C$14="Yes",IF(COUNTBLANK('Capacity summary'!$H90:$BG90)&lt;52,IF('Capacity summary'!AP90&lt;&gt;"",$BI178*AP178,0),AP178*$BI178),AP178*$BI178),0)</f>
        <v>0</v>
      </c>
      <c r="CT178" s="5">
        <f>IF($BI178&lt;&gt;"",IF('Capacity summary'!$C$14="Yes",IF(COUNTBLANK('Capacity summary'!$H90:$BG90)&lt;52,IF('Capacity summary'!AQ90&lt;&gt;"",$BI178*AQ178,0),AQ178*$BI178),AQ178*$BI178),0)</f>
        <v>0</v>
      </c>
      <c r="CU178" s="5">
        <f>IF($BI178&lt;&gt;"",IF('Capacity summary'!$C$14="Yes",IF(COUNTBLANK('Capacity summary'!$H90:$BG90)&lt;52,IF('Capacity summary'!AR90&lt;&gt;"",$BI178*AR178,0),AR178*$BI178),AR178*$BI178),0)</f>
        <v>0</v>
      </c>
      <c r="CV178" s="5">
        <f>IF($BI178&lt;&gt;"",IF('Capacity summary'!$C$14="Yes",IF(COUNTBLANK('Capacity summary'!$H90:$BG90)&lt;52,IF('Capacity summary'!AS90&lt;&gt;"",$BI178*AS178,0),AS178*$BI178),AS178*$BI178),0)</f>
        <v>0</v>
      </c>
      <c r="CW178" s="5">
        <f>IF($BI178&lt;&gt;"",IF('Capacity summary'!$C$14="Yes",IF(COUNTBLANK('Capacity summary'!$H90:$BG90)&lt;52,IF('Capacity summary'!AT90&lt;&gt;"",$BI178*AT178,0),AT178*$BI178),AT178*$BI178),0)</f>
        <v>0</v>
      </c>
      <c r="CX178" s="5">
        <f>IF($BI178&lt;&gt;"",IF('Capacity summary'!$C$14="Yes",IF(COUNTBLANK('Capacity summary'!$H90:$BG90)&lt;52,IF('Capacity summary'!AU90&lt;&gt;"",$BI178*AU178,0),AU178*$BI178),AU178*$BI178),0)</f>
        <v>0</v>
      </c>
      <c r="CY178" s="5">
        <f>IF($BI178&lt;&gt;"",IF('Capacity summary'!$C$14="Yes",IF(COUNTBLANK('Capacity summary'!$H90:$BG90)&lt;52,IF('Capacity summary'!AV90&lt;&gt;"",$BI178*AV178,0),AV178*$BI178),AV178*$BI178),0)</f>
        <v>0</v>
      </c>
      <c r="CZ178" s="5">
        <f>IF($BI178&lt;&gt;"",IF('Capacity summary'!$C$14="Yes",IF(COUNTBLANK('Capacity summary'!$H90:$BG90)&lt;52,IF('Capacity summary'!AW90&lt;&gt;"",$BI178*AW178,0),AW178*$BI178),AW178*$BI178),0)</f>
        <v>0</v>
      </c>
      <c r="DA178" s="5">
        <f>IF($BI178&lt;&gt;"",IF('Capacity summary'!$C$14="Yes",IF(COUNTBLANK('Capacity summary'!$H90:$BG90)&lt;52,IF('Capacity summary'!AX90&lt;&gt;"",$BI178*AX178,0),AX178*$BI178),AX178*$BI178),0)</f>
        <v>0</v>
      </c>
      <c r="DB178" s="5">
        <f>IF($BI178&lt;&gt;"",IF('Capacity summary'!$C$14="Yes",IF(COUNTBLANK('Capacity summary'!$H90:$BG90)&lt;52,IF('Capacity summary'!AY90&lt;&gt;"",$BI178*AY178,0),AY178*$BI178),AY178*$BI178),0)</f>
        <v>0</v>
      </c>
      <c r="DC178" s="5">
        <f>IF($BI178&lt;&gt;"",IF('Capacity summary'!$C$14="Yes",IF(COUNTBLANK('Capacity summary'!$H90:$BG90)&lt;52,IF('Capacity summary'!AZ90&lt;&gt;"",$BI178*AZ178,0),AZ178*$BI178),AZ178*$BI178),0)</f>
        <v>0</v>
      </c>
      <c r="DD178" s="5">
        <f>IF($BI178&lt;&gt;"",IF('Capacity summary'!$C$14="Yes",IF(COUNTBLANK('Capacity summary'!$H90:$BG90)&lt;52,IF('Capacity summary'!BA90&lt;&gt;"",$BI178*BA178,0),BA178*$BI178),BA178*$BI178),0)</f>
        <v>0</v>
      </c>
      <c r="DE178" s="5">
        <f>IF($BI178&lt;&gt;"",IF('Capacity summary'!$C$14="Yes",IF(COUNTBLANK('Capacity summary'!$H90:$BG90)&lt;52,IF('Capacity summary'!BB90&lt;&gt;"",$BI178*BB178,0),BB178*$BI178),BB178*$BI178),0)</f>
        <v>0</v>
      </c>
      <c r="DF178" s="5">
        <f>IF($BI178&lt;&gt;"",IF('Capacity summary'!$C$14="Yes",IF(COUNTBLANK('Capacity summary'!$H90:$BG90)&lt;52,IF('Capacity summary'!BC90&lt;&gt;"",$BI178*BC178,0),BC178*$BI178),BC178*$BI178),0)</f>
        <v>0</v>
      </c>
      <c r="DG178" s="5">
        <f>IF($BI178&lt;&gt;"",IF('Capacity summary'!$C$14="Yes",IF(COUNTBLANK('Capacity summary'!$H90:$BG90)&lt;52,IF('Capacity summary'!BD90&lt;&gt;"",$BI178*BD178,0),BD178*$BI178),BD178*$BI178),0)</f>
        <v>0</v>
      </c>
      <c r="DH178" s="5">
        <f>IF($BI178&lt;&gt;"",IF('Capacity summary'!$C$14="Yes",IF(COUNTBLANK('Capacity summary'!$H90:$BG90)&lt;52,IF('Capacity summary'!BE90&lt;&gt;"",$BI178*BE178,0),BE178*$BI178),BE178*$BI178),0)</f>
        <v>0</v>
      </c>
      <c r="DI178" s="5">
        <f>IF($BI178&lt;&gt;"",IF('Capacity summary'!$C$14="Yes",IF(COUNTBLANK('Capacity summary'!$H90:$BG90)&lt;52,IF('Capacity summary'!BF90&lt;&gt;"",$BI178*BF178,0),BF178*$BI178),BF178*$BI178),0)</f>
        <v>0</v>
      </c>
      <c r="DJ178" s="5">
        <f>IF($BI178&lt;&gt;"",IF('Capacity summary'!$C$14="Yes",IF(COUNTBLANK('Capacity summary'!$H90:$BG90)&lt;52,IF('Capacity summary'!BG90&lt;&gt;"",$BI178*BG178,0),BG178*$BI178),BG178*$BI178),0)</f>
        <v>0</v>
      </c>
      <c r="DK178" s="138">
        <f t="shared" si="7"/>
        <v>0</v>
      </c>
    </row>
    <row r="179" spans="3:115" x14ac:dyDescent="0.2">
      <c r="C179" s="68" t="str">
        <f>ROW(A68)&amp;". "&amp;Capacity!N84</f>
        <v xml:space="preserve">68. </v>
      </c>
      <c r="D179" s="68">
        <f>'Capacity setup'!C185</f>
        <v>0</v>
      </c>
      <c r="E179" s="68">
        <f>'Capacity setup'!D185</f>
        <v>0</v>
      </c>
      <c r="F179" s="68">
        <f>'Capacity setup'!E185</f>
        <v>0</v>
      </c>
      <c r="H179" s="68">
        <f ca="1">IF(AND(SUMIF(Capacity_Resource,$D179,'Critical resources (hide)'!U$6:U$105)+SUMIF(Capacity_Resource,$E179,'Critical resources (hide)'!U$6:U$105)+SUMIF(Capacity_Resource,$F179,'Critical resources (hide)'!U$6:U$105)&gt;0,$E$1=2),0,1)</f>
        <v>1</v>
      </c>
      <c r="I179" s="68">
        <f ca="1">IF(AND(SUMIF(Capacity_Resource,$D179,'Critical resources (hide)'!V$6:V$105)+SUMIF(Capacity_Resource,$E179,'Critical resources (hide)'!V$6:V$105)+SUMIF(Capacity_Resource,$F179,'Critical resources (hide)'!V$6:V$105)&gt;0,$E$1=2),0,1)</f>
        <v>1</v>
      </c>
      <c r="J179" s="68">
        <f ca="1">IF(AND(SUMIF(Capacity_Resource,$D179,'Critical resources (hide)'!W$6:W$105)+SUMIF(Capacity_Resource,$E179,'Critical resources (hide)'!W$6:W$105)+SUMIF(Capacity_Resource,$F179,'Critical resources (hide)'!W$6:W$105)&gt;0,$E$1=2),0,1)</f>
        <v>1</v>
      </c>
      <c r="K179" s="68">
        <f ca="1">IF(AND(SUMIF(Capacity_Resource,$D179,'Critical resources (hide)'!X$6:X$105)+SUMIF(Capacity_Resource,$E179,'Critical resources (hide)'!X$6:X$105)+SUMIF(Capacity_Resource,$F179,'Critical resources (hide)'!X$6:X$105)&gt;0,$E$1=2),0,1)</f>
        <v>1</v>
      </c>
      <c r="L179" s="68">
        <f ca="1">IF(AND(SUMIF(Capacity_Resource,$D179,'Critical resources (hide)'!Y$6:Y$105)+SUMIF(Capacity_Resource,$E179,'Critical resources (hide)'!Y$6:Y$105)+SUMIF(Capacity_Resource,$F179,'Critical resources (hide)'!Y$6:Y$105)&gt;0,$E$1=2),0,1)</f>
        <v>1</v>
      </c>
      <c r="M179" s="68">
        <f ca="1">IF(AND(SUMIF(Capacity_Resource,$D179,'Critical resources (hide)'!Z$6:Z$105)+SUMIF(Capacity_Resource,$E179,'Critical resources (hide)'!Z$6:Z$105)+SUMIF(Capacity_Resource,$F179,'Critical resources (hide)'!Z$6:Z$105)&gt;0,$E$1=2),0,1)</f>
        <v>1</v>
      </c>
      <c r="N179" s="68">
        <f ca="1">IF(AND(SUMIF(Capacity_Resource,$D179,'Critical resources (hide)'!AA$6:AA$105)+SUMIF(Capacity_Resource,$E179,'Critical resources (hide)'!AA$6:AA$105)+SUMIF(Capacity_Resource,$F179,'Critical resources (hide)'!AA$6:AA$105)&gt;0,$E$1=2),0,1)</f>
        <v>1</v>
      </c>
      <c r="O179" s="68">
        <f ca="1">IF(AND(SUMIF(Capacity_Resource,$D179,'Critical resources (hide)'!AB$6:AB$105)+SUMIF(Capacity_Resource,$E179,'Critical resources (hide)'!AB$6:AB$105)+SUMIF(Capacity_Resource,$F179,'Critical resources (hide)'!AB$6:AB$105)&gt;0,$E$1=2),0,1)</f>
        <v>1</v>
      </c>
      <c r="P179" s="68">
        <f ca="1">IF(AND(SUMIF(Capacity_Resource,$D179,'Critical resources (hide)'!AC$6:AC$105)+SUMIF(Capacity_Resource,$E179,'Critical resources (hide)'!AC$6:AC$105)+SUMIF(Capacity_Resource,$F179,'Critical resources (hide)'!AC$6:AC$105)&gt;0,$E$1=2),0,1)</f>
        <v>1</v>
      </c>
      <c r="Q179" s="68">
        <f ca="1">IF(AND(SUMIF(Capacity_Resource,$D179,'Critical resources (hide)'!AD$6:AD$105)+SUMIF(Capacity_Resource,$E179,'Critical resources (hide)'!AD$6:AD$105)+SUMIF(Capacity_Resource,$F179,'Critical resources (hide)'!AD$6:AD$105)&gt;0,$E$1=2),0,1)</f>
        <v>1</v>
      </c>
      <c r="R179" s="68">
        <f ca="1">IF(AND(SUMIF(Capacity_Resource,$D179,'Critical resources (hide)'!AE$6:AE$105)+SUMIF(Capacity_Resource,$E179,'Critical resources (hide)'!AE$6:AE$105)+SUMIF(Capacity_Resource,$F179,'Critical resources (hide)'!AE$6:AE$105)&gt;0,$E$1=2),0,1)</f>
        <v>1</v>
      </c>
      <c r="S179" s="68">
        <f ca="1">IF(AND(SUMIF(Capacity_Resource,$D179,'Critical resources (hide)'!AF$6:AF$105)+SUMIF(Capacity_Resource,$E179,'Critical resources (hide)'!AF$6:AF$105)+SUMIF(Capacity_Resource,$F179,'Critical resources (hide)'!AF$6:AF$105)&gt;0,$E$1=2),0,1)</f>
        <v>1</v>
      </c>
      <c r="T179" s="68">
        <f ca="1">IF(AND(SUMIF(Capacity_Resource,$D179,'Critical resources (hide)'!AG$6:AG$105)+SUMIF(Capacity_Resource,$E179,'Critical resources (hide)'!AG$6:AG$105)+SUMIF(Capacity_Resource,$F179,'Critical resources (hide)'!AG$6:AG$105)&gt;0,$E$1=2),0,1)</f>
        <v>1</v>
      </c>
      <c r="U179" s="68">
        <f ca="1">IF(AND(SUMIF(Capacity_Resource,$D179,'Critical resources (hide)'!AH$6:AH$105)+SUMIF(Capacity_Resource,$E179,'Critical resources (hide)'!AH$6:AH$105)+SUMIF(Capacity_Resource,$F179,'Critical resources (hide)'!AH$6:AH$105)&gt;0,$E$1=2),0,1)</f>
        <v>1</v>
      </c>
      <c r="V179" s="68">
        <f ca="1">IF(AND(SUMIF(Capacity_Resource,$D179,'Critical resources (hide)'!AI$6:AI$105)+SUMIF(Capacity_Resource,$E179,'Critical resources (hide)'!AI$6:AI$105)+SUMIF(Capacity_Resource,$F179,'Critical resources (hide)'!AI$6:AI$105)&gt;0,$E$1=2),0,1)</f>
        <v>1</v>
      </c>
      <c r="W179" s="68">
        <f ca="1">IF(AND(SUMIF(Capacity_Resource,$D179,'Critical resources (hide)'!AJ$6:AJ$105)+SUMIF(Capacity_Resource,$E179,'Critical resources (hide)'!AJ$6:AJ$105)+SUMIF(Capacity_Resource,$F179,'Critical resources (hide)'!AJ$6:AJ$105)&gt;0,$E$1=2),0,1)</f>
        <v>1</v>
      </c>
      <c r="X179" s="68">
        <f ca="1">IF(AND(SUMIF(Capacity_Resource,$D179,'Critical resources (hide)'!AK$6:AK$105)+SUMIF(Capacity_Resource,$E179,'Critical resources (hide)'!AK$6:AK$105)+SUMIF(Capacity_Resource,$F179,'Critical resources (hide)'!AK$6:AK$105)&gt;0,$E$1=2),0,1)</f>
        <v>1</v>
      </c>
      <c r="Y179" s="68">
        <f ca="1">IF(AND(SUMIF(Capacity_Resource,$D179,'Critical resources (hide)'!AL$6:AL$105)+SUMIF(Capacity_Resource,$E179,'Critical resources (hide)'!AL$6:AL$105)+SUMIF(Capacity_Resource,$F179,'Critical resources (hide)'!AL$6:AL$105)&gt;0,$E$1=2),0,1)</f>
        <v>1</v>
      </c>
      <c r="Z179" s="68">
        <f ca="1">IF(AND(SUMIF(Capacity_Resource,$D179,'Critical resources (hide)'!AM$6:AM$105)+SUMIF(Capacity_Resource,$E179,'Critical resources (hide)'!AM$6:AM$105)+SUMIF(Capacity_Resource,$F179,'Critical resources (hide)'!AM$6:AM$105)&gt;0,$E$1=2),0,1)</f>
        <v>1</v>
      </c>
      <c r="AA179" s="68">
        <f ca="1">IF(AND(SUMIF(Capacity_Resource,$D179,'Critical resources (hide)'!AN$6:AN$105)+SUMIF(Capacity_Resource,$E179,'Critical resources (hide)'!AN$6:AN$105)+SUMIF(Capacity_Resource,$F179,'Critical resources (hide)'!AN$6:AN$105)&gt;0,$E$1=2),0,1)</f>
        <v>1</v>
      </c>
      <c r="AB179" s="68">
        <f ca="1">IF(AND(SUMIF(Capacity_Resource,$D179,'Critical resources (hide)'!AO$6:AO$105)+SUMIF(Capacity_Resource,$E179,'Critical resources (hide)'!AO$6:AO$105)+SUMIF(Capacity_Resource,$F179,'Critical resources (hide)'!AO$6:AO$105)&gt;0,$E$1=2),0,1)</f>
        <v>1</v>
      </c>
      <c r="AC179" s="68">
        <f ca="1">IF(AND(SUMIF(Capacity_Resource,$D179,'Critical resources (hide)'!AP$6:AP$105)+SUMIF(Capacity_Resource,$E179,'Critical resources (hide)'!AP$6:AP$105)+SUMIF(Capacity_Resource,$F179,'Critical resources (hide)'!AP$6:AP$105)&gt;0,$E$1=2),0,1)</f>
        <v>1</v>
      </c>
      <c r="AD179" s="68">
        <f ca="1">IF(AND(SUMIF(Capacity_Resource,$D179,'Critical resources (hide)'!AQ$6:AQ$105)+SUMIF(Capacity_Resource,$E179,'Critical resources (hide)'!AQ$6:AQ$105)+SUMIF(Capacity_Resource,$F179,'Critical resources (hide)'!AQ$6:AQ$105)&gt;0,$E$1=2),0,1)</f>
        <v>1</v>
      </c>
      <c r="AE179" s="68">
        <f ca="1">IF(AND(SUMIF(Capacity_Resource,$D179,'Critical resources (hide)'!AR$6:AR$105)+SUMIF(Capacity_Resource,$E179,'Critical resources (hide)'!AR$6:AR$105)+SUMIF(Capacity_Resource,$F179,'Critical resources (hide)'!AR$6:AR$105)&gt;0,$E$1=2),0,1)</f>
        <v>1</v>
      </c>
      <c r="AF179" s="68">
        <f ca="1">IF(AND(SUMIF(Capacity_Resource,$D179,'Critical resources (hide)'!AS$6:AS$105)+SUMIF(Capacity_Resource,$E179,'Critical resources (hide)'!AS$6:AS$105)+SUMIF(Capacity_Resource,$F179,'Critical resources (hide)'!AS$6:AS$105)&gt;0,$E$1=2),0,1)</f>
        <v>1</v>
      </c>
      <c r="AG179" s="68">
        <f ca="1">IF(AND(SUMIF(Capacity_Resource,$D179,'Critical resources (hide)'!AT$6:AT$105)+SUMIF(Capacity_Resource,$E179,'Critical resources (hide)'!AT$6:AT$105)+SUMIF(Capacity_Resource,$F179,'Critical resources (hide)'!AT$6:AT$105)&gt;0,$E$1=2),0,1)</f>
        <v>1</v>
      </c>
      <c r="AH179" s="68">
        <f ca="1">IF(AND(SUMIF(Capacity_Resource,$D179,'Critical resources (hide)'!AU$6:AU$105)+SUMIF(Capacity_Resource,$E179,'Critical resources (hide)'!AU$6:AU$105)+SUMIF(Capacity_Resource,$F179,'Critical resources (hide)'!AU$6:AU$105)&gt;0,$E$1=2),0,1)</f>
        <v>1</v>
      </c>
      <c r="AI179" s="68">
        <f ca="1">IF(AND(SUMIF(Capacity_Resource,$D179,'Critical resources (hide)'!AV$6:AV$105)+SUMIF(Capacity_Resource,$E179,'Critical resources (hide)'!AV$6:AV$105)+SUMIF(Capacity_Resource,$F179,'Critical resources (hide)'!AV$6:AV$105)&gt;0,$E$1=2),0,1)</f>
        <v>1</v>
      </c>
      <c r="AJ179" s="68">
        <f ca="1">IF(AND(SUMIF(Capacity_Resource,$D179,'Critical resources (hide)'!AW$6:AW$105)+SUMIF(Capacity_Resource,$E179,'Critical resources (hide)'!AW$6:AW$105)+SUMIF(Capacity_Resource,$F179,'Critical resources (hide)'!AW$6:AW$105)&gt;0,$E$1=2),0,1)</f>
        <v>1</v>
      </c>
      <c r="AK179" s="68">
        <f ca="1">IF(AND(SUMIF(Capacity_Resource,$D179,'Critical resources (hide)'!AX$6:AX$105)+SUMIF(Capacity_Resource,$E179,'Critical resources (hide)'!AX$6:AX$105)+SUMIF(Capacity_Resource,$F179,'Critical resources (hide)'!AX$6:AX$105)&gt;0,$E$1=2),0,1)</f>
        <v>1</v>
      </c>
      <c r="AL179" s="68">
        <f ca="1">IF(AND(SUMIF(Capacity_Resource,$D179,'Critical resources (hide)'!AY$6:AY$105)+SUMIF(Capacity_Resource,$E179,'Critical resources (hide)'!AY$6:AY$105)+SUMIF(Capacity_Resource,$F179,'Critical resources (hide)'!AY$6:AY$105)&gt;0,$E$1=2),0,1)</f>
        <v>1</v>
      </c>
      <c r="AM179" s="68">
        <f ca="1">IF(AND(SUMIF(Capacity_Resource,$D179,'Critical resources (hide)'!AZ$6:AZ$105)+SUMIF(Capacity_Resource,$E179,'Critical resources (hide)'!AZ$6:AZ$105)+SUMIF(Capacity_Resource,$F179,'Critical resources (hide)'!AZ$6:AZ$105)&gt;0,$E$1=2),0,1)</f>
        <v>1</v>
      </c>
      <c r="AN179" s="68">
        <f ca="1">IF(AND(SUMIF(Capacity_Resource,$D179,'Critical resources (hide)'!BA$6:BA$105)+SUMIF(Capacity_Resource,$E179,'Critical resources (hide)'!BA$6:BA$105)+SUMIF(Capacity_Resource,$F179,'Critical resources (hide)'!BA$6:BA$105)&gt;0,$E$1=2),0,1)</f>
        <v>1</v>
      </c>
      <c r="AO179" s="68">
        <f ca="1">IF(AND(SUMIF(Capacity_Resource,$D179,'Critical resources (hide)'!BB$6:BB$105)+SUMIF(Capacity_Resource,$E179,'Critical resources (hide)'!BB$6:BB$105)+SUMIF(Capacity_Resource,$F179,'Critical resources (hide)'!BB$6:BB$105)&gt;0,$E$1=2),0,1)</f>
        <v>1</v>
      </c>
      <c r="AP179" s="68">
        <f ca="1">IF(AND(SUMIF(Capacity_Resource,$D179,'Critical resources (hide)'!BC$6:BC$105)+SUMIF(Capacity_Resource,$E179,'Critical resources (hide)'!BC$6:BC$105)+SUMIF(Capacity_Resource,$F179,'Critical resources (hide)'!BC$6:BC$105)&gt;0,$E$1=2),0,1)</f>
        <v>1</v>
      </c>
      <c r="AQ179" s="68">
        <f ca="1">IF(AND(SUMIF(Capacity_Resource,$D179,'Critical resources (hide)'!BD$6:BD$105)+SUMIF(Capacity_Resource,$E179,'Critical resources (hide)'!BD$6:BD$105)+SUMIF(Capacity_Resource,$F179,'Critical resources (hide)'!BD$6:BD$105)&gt;0,$E$1=2),0,1)</f>
        <v>1</v>
      </c>
      <c r="AR179" s="68">
        <f ca="1">IF(AND(SUMIF(Capacity_Resource,$D179,'Critical resources (hide)'!BE$6:BE$105)+SUMIF(Capacity_Resource,$E179,'Critical resources (hide)'!BE$6:BE$105)+SUMIF(Capacity_Resource,$F179,'Critical resources (hide)'!BE$6:BE$105)&gt;0,$E$1=2),0,1)</f>
        <v>1</v>
      </c>
      <c r="AS179" s="68">
        <f ca="1">IF(AND(SUMIF(Capacity_Resource,$D179,'Critical resources (hide)'!BF$6:BF$105)+SUMIF(Capacity_Resource,$E179,'Critical resources (hide)'!BF$6:BF$105)+SUMIF(Capacity_Resource,$F179,'Critical resources (hide)'!BF$6:BF$105)&gt;0,$E$1=2),0,1)</f>
        <v>1</v>
      </c>
      <c r="AT179" s="68">
        <f ca="1">IF(AND(SUMIF(Capacity_Resource,$D179,'Critical resources (hide)'!BG$6:BG$105)+SUMIF(Capacity_Resource,$E179,'Critical resources (hide)'!BG$6:BG$105)+SUMIF(Capacity_Resource,$F179,'Critical resources (hide)'!BG$6:BG$105)&gt;0,$E$1=2),0,1)</f>
        <v>1</v>
      </c>
      <c r="AU179" s="68">
        <f ca="1">IF(AND(SUMIF(Capacity_Resource,$D179,'Critical resources (hide)'!BH$6:BH$105)+SUMIF(Capacity_Resource,$E179,'Critical resources (hide)'!BH$6:BH$105)+SUMIF(Capacity_Resource,$F179,'Critical resources (hide)'!BH$6:BH$105)&gt;0,$E$1=2),0,1)</f>
        <v>1</v>
      </c>
      <c r="AV179" s="68">
        <f ca="1">IF(AND(SUMIF(Capacity_Resource,$D179,'Critical resources (hide)'!BI$6:BI$105)+SUMIF(Capacity_Resource,$E179,'Critical resources (hide)'!BI$6:BI$105)+SUMIF(Capacity_Resource,$F179,'Critical resources (hide)'!BI$6:BI$105)&gt;0,$E$1=2),0,1)</f>
        <v>1</v>
      </c>
      <c r="AW179" s="68">
        <f ca="1">IF(AND(SUMIF(Capacity_Resource,$D179,'Critical resources (hide)'!BJ$6:BJ$105)+SUMIF(Capacity_Resource,$E179,'Critical resources (hide)'!BJ$6:BJ$105)+SUMIF(Capacity_Resource,$F179,'Critical resources (hide)'!BJ$6:BJ$105)&gt;0,$E$1=2),0,1)</f>
        <v>1</v>
      </c>
      <c r="AX179" s="68">
        <f ca="1">IF(AND(SUMIF(Capacity_Resource,$D179,'Critical resources (hide)'!BK$6:BK$105)+SUMIF(Capacity_Resource,$E179,'Critical resources (hide)'!BK$6:BK$105)+SUMIF(Capacity_Resource,$F179,'Critical resources (hide)'!BK$6:BK$105)&gt;0,$E$1=2),0,1)</f>
        <v>1</v>
      </c>
      <c r="AY179" s="68">
        <f ca="1">IF(AND(SUMIF(Capacity_Resource,$D179,'Critical resources (hide)'!BL$6:BL$105)+SUMIF(Capacity_Resource,$E179,'Critical resources (hide)'!BL$6:BL$105)+SUMIF(Capacity_Resource,$F179,'Critical resources (hide)'!BL$6:BL$105)&gt;0,$E$1=2),0,1)</f>
        <v>1</v>
      </c>
      <c r="AZ179" s="68">
        <f ca="1">IF(AND(SUMIF(Capacity_Resource,$D179,'Critical resources (hide)'!BM$6:BM$105)+SUMIF(Capacity_Resource,$E179,'Critical resources (hide)'!BM$6:BM$105)+SUMIF(Capacity_Resource,$F179,'Critical resources (hide)'!BM$6:BM$105)&gt;0,$E$1=2),0,1)</f>
        <v>1</v>
      </c>
      <c r="BA179" s="68">
        <f ca="1">IF(AND(SUMIF(Capacity_Resource,$D179,'Critical resources (hide)'!BN$6:BN$105)+SUMIF(Capacity_Resource,$E179,'Critical resources (hide)'!BN$6:BN$105)+SUMIF(Capacity_Resource,$F179,'Critical resources (hide)'!BN$6:BN$105)&gt;0,$E$1=2),0,1)</f>
        <v>1</v>
      </c>
      <c r="BB179" s="68">
        <f ca="1">IF(AND(SUMIF(Capacity_Resource,$D179,'Critical resources (hide)'!BO$6:BO$105)+SUMIF(Capacity_Resource,$E179,'Critical resources (hide)'!BO$6:BO$105)+SUMIF(Capacity_Resource,$F179,'Critical resources (hide)'!BO$6:BO$105)&gt;0,$E$1=2),0,1)</f>
        <v>1</v>
      </c>
      <c r="BC179" s="68">
        <f ca="1">IF(AND(SUMIF(Capacity_Resource,$D179,'Critical resources (hide)'!BP$6:BP$105)+SUMIF(Capacity_Resource,$E179,'Critical resources (hide)'!BP$6:BP$105)+SUMIF(Capacity_Resource,$F179,'Critical resources (hide)'!BP$6:BP$105)&gt;0,$E$1=2),0,1)</f>
        <v>1</v>
      </c>
      <c r="BD179" s="68">
        <f ca="1">IF(AND(SUMIF(Capacity_Resource,$D179,'Critical resources (hide)'!BQ$6:BQ$105)+SUMIF(Capacity_Resource,$E179,'Critical resources (hide)'!BQ$6:BQ$105)+SUMIF(Capacity_Resource,$F179,'Critical resources (hide)'!BQ$6:BQ$105)&gt;0,$E$1=2),0,1)</f>
        <v>1</v>
      </c>
      <c r="BE179" s="68">
        <f ca="1">IF(AND(SUMIF(Capacity_Resource,$D179,'Critical resources (hide)'!BR$6:BR$105)+SUMIF(Capacity_Resource,$E179,'Critical resources (hide)'!BR$6:BR$105)+SUMIF(Capacity_Resource,$F179,'Critical resources (hide)'!BR$6:BR$105)&gt;0,$E$1=2),0,1)</f>
        <v>1</v>
      </c>
      <c r="BF179" s="68">
        <f ca="1">IF(AND(SUMIF(Capacity_Resource,$D179,'Critical resources (hide)'!BS$6:BS$105)+SUMIF(Capacity_Resource,$E179,'Critical resources (hide)'!BS$6:BS$105)+SUMIF(Capacity_Resource,$F179,'Critical resources (hide)'!BS$6:BS$105)&gt;0,$E$1=2),0,1)</f>
        <v>1</v>
      </c>
      <c r="BG179" s="68">
        <f ca="1">IF(AND(SUMIF(Capacity_Resource,$D179,'Critical resources (hide)'!BT$6:BT$105)+SUMIF(Capacity_Resource,$E179,'Critical resources (hide)'!BT$6:BT$105)+SUMIF(Capacity_Resource,$F179,'Critical resources (hide)'!BT$6:BT$105)&gt;0,$E$1=2),0,1)</f>
        <v>1</v>
      </c>
      <c r="BH179" s="68">
        <f>IF(ROW(A68)&lt;=Capacity!$M$16,IF('Capacity summary'!$C$14="No",SUM(H179:BG179),'Capacity summary'!$E91),0)</f>
        <v>0</v>
      </c>
      <c r="BI179" s="68" t="str">
        <f>IF(BH179&gt;0,IF(BH179&lt;Capacity!Q84,Capacity!R84,Capacity!T84/'Capacity calculation (hide)'!BH179),"")</f>
        <v/>
      </c>
      <c r="BJ179" s="5"/>
      <c r="BK179" s="5">
        <f>IF($BI179&lt;&gt;"",IF('Capacity summary'!$C$14="Yes",IF(COUNTBLANK('Capacity summary'!$H91:$BG91)&lt;52,IF('Capacity summary'!H91&lt;&gt;"",$BI179*H179,0),H179*$BI179),H179*$BI179),0)</f>
        <v>0</v>
      </c>
      <c r="BL179" s="5">
        <f>IF($BI179&lt;&gt;"",IF('Capacity summary'!$C$14="Yes",IF(COUNTBLANK('Capacity summary'!$H91:$BG91)&lt;52,IF('Capacity summary'!I91&lt;&gt;"",$BI179*I179,0),I179*$BI179),I179*$BI179),0)</f>
        <v>0</v>
      </c>
      <c r="BM179" s="5">
        <f>IF($BI179&lt;&gt;"",IF('Capacity summary'!$C$14="Yes",IF(COUNTBLANK('Capacity summary'!$H91:$BG91)&lt;52,IF('Capacity summary'!J91&lt;&gt;"",$BI179*J179,0),J179*$BI179),J179*$BI179),0)</f>
        <v>0</v>
      </c>
      <c r="BN179" s="5">
        <f>IF($BI179&lt;&gt;"",IF('Capacity summary'!$C$14="Yes",IF(COUNTBLANK('Capacity summary'!$H91:$BG91)&lt;52,IF('Capacity summary'!K91&lt;&gt;"",$BI179*K179,0),K179*$BI179),K179*$BI179),0)</f>
        <v>0</v>
      </c>
      <c r="BO179" s="5">
        <f>IF($BI179&lt;&gt;"",IF('Capacity summary'!$C$14="Yes",IF(COUNTBLANK('Capacity summary'!$H91:$BG91)&lt;52,IF('Capacity summary'!L91&lt;&gt;"",$BI179*L179,0),L179*$BI179),L179*$BI179),0)</f>
        <v>0</v>
      </c>
      <c r="BP179" s="5">
        <f>IF($BI179&lt;&gt;"",IF('Capacity summary'!$C$14="Yes",IF(COUNTBLANK('Capacity summary'!$H91:$BG91)&lt;52,IF('Capacity summary'!M91&lt;&gt;"",$BI179*M179,0),M179*$BI179),M179*$BI179),0)</f>
        <v>0</v>
      </c>
      <c r="BQ179" s="5">
        <f>IF($BI179&lt;&gt;"",IF('Capacity summary'!$C$14="Yes",IF(COUNTBLANK('Capacity summary'!$H91:$BG91)&lt;52,IF('Capacity summary'!N91&lt;&gt;"",$BI179*N179,0),N179*$BI179),N179*$BI179),0)</f>
        <v>0</v>
      </c>
      <c r="BR179" s="5">
        <f>IF($BI179&lt;&gt;"",IF('Capacity summary'!$C$14="Yes",IF(COUNTBLANK('Capacity summary'!$H91:$BG91)&lt;52,IF('Capacity summary'!O91&lt;&gt;"",$BI179*O179,0),O179*$BI179),O179*$BI179),0)</f>
        <v>0</v>
      </c>
      <c r="BS179" s="5">
        <f>IF($BI179&lt;&gt;"",IF('Capacity summary'!$C$14="Yes",IF(COUNTBLANK('Capacity summary'!$H91:$BG91)&lt;52,IF('Capacity summary'!P91&lt;&gt;"",$BI179*P179,0),P179*$BI179),P179*$BI179),0)</f>
        <v>0</v>
      </c>
      <c r="BT179" s="5">
        <f>IF($BI179&lt;&gt;"",IF('Capacity summary'!$C$14="Yes",IF(COUNTBLANK('Capacity summary'!$H91:$BG91)&lt;52,IF('Capacity summary'!Q91&lt;&gt;"",$BI179*Q179,0),Q179*$BI179),Q179*$BI179),0)</f>
        <v>0</v>
      </c>
      <c r="BU179" s="5">
        <f>IF($BI179&lt;&gt;"",IF('Capacity summary'!$C$14="Yes",IF(COUNTBLANK('Capacity summary'!$H91:$BG91)&lt;52,IF('Capacity summary'!R91&lt;&gt;"",$BI179*R179,0),R179*$BI179),R179*$BI179),0)</f>
        <v>0</v>
      </c>
      <c r="BV179" s="5">
        <f>IF($BI179&lt;&gt;"",IF('Capacity summary'!$C$14="Yes",IF(COUNTBLANK('Capacity summary'!$H91:$BG91)&lt;52,IF('Capacity summary'!S91&lt;&gt;"",$BI179*S179,0),S179*$BI179),S179*$BI179),0)</f>
        <v>0</v>
      </c>
      <c r="BW179" s="5">
        <f>IF($BI179&lt;&gt;"",IF('Capacity summary'!$C$14="Yes",IF(COUNTBLANK('Capacity summary'!$H91:$BG91)&lt;52,IF('Capacity summary'!T91&lt;&gt;"",$BI179*T179,0),T179*$BI179),T179*$BI179),0)</f>
        <v>0</v>
      </c>
      <c r="BX179" s="5">
        <f>IF($BI179&lt;&gt;"",IF('Capacity summary'!$C$14="Yes",IF(COUNTBLANK('Capacity summary'!$H91:$BG91)&lt;52,IF('Capacity summary'!U91&lt;&gt;"",$BI179*U179,0),U179*$BI179),U179*$BI179),0)</f>
        <v>0</v>
      </c>
      <c r="BY179" s="5">
        <f>IF($BI179&lt;&gt;"",IF('Capacity summary'!$C$14="Yes",IF(COUNTBLANK('Capacity summary'!$H91:$BG91)&lt;52,IF('Capacity summary'!V91&lt;&gt;"",$BI179*V179,0),V179*$BI179),V179*$BI179),0)</f>
        <v>0</v>
      </c>
      <c r="BZ179" s="5">
        <f>IF($BI179&lt;&gt;"",IF('Capacity summary'!$C$14="Yes",IF(COUNTBLANK('Capacity summary'!$H91:$BG91)&lt;52,IF('Capacity summary'!W91&lt;&gt;"",$BI179*W179,0),W179*$BI179),W179*$BI179),0)</f>
        <v>0</v>
      </c>
      <c r="CA179" s="5">
        <f>IF($BI179&lt;&gt;"",IF('Capacity summary'!$C$14="Yes",IF(COUNTBLANK('Capacity summary'!$H91:$BG91)&lt;52,IF('Capacity summary'!X91&lt;&gt;"",$BI179*X179,0),X179*$BI179),X179*$BI179),0)</f>
        <v>0</v>
      </c>
      <c r="CB179" s="5">
        <f>IF($BI179&lt;&gt;"",IF('Capacity summary'!$C$14="Yes",IF(COUNTBLANK('Capacity summary'!$H91:$BG91)&lt;52,IF('Capacity summary'!Y91&lt;&gt;"",$BI179*Y179,0),Y179*$BI179),Y179*$BI179),0)</f>
        <v>0</v>
      </c>
      <c r="CC179" s="5">
        <f>IF($BI179&lt;&gt;"",IF('Capacity summary'!$C$14="Yes",IF(COUNTBLANK('Capacity summary'!$H91:$BG91)&lt;52,IF('Capacity summary'!Z91&lt;&gt;"",$BI179*Z179,0),Z179*$BI179),Z179*$BI179),0)</f>
        <v>0</v>
      </c>
      <c r="CD179" s="5">
        <f>IF($BI179&lt;&gt;"",IF('Capacity summary'!$C$14="Yes",IF(COUNTBLANK('Capacity summary'!$H91:$BG91)&lt;52,IF('Capacity summary'!AA91&lt;&gt;"",$BI179*AA179,0),AA179*$BI179),AA179*$BI179),0)</f>
        <v>0</v>
      </c>
      <c r="CE179" s="5">
        <f>IF($BI179&lt;&gt;"",IF('Capacity summary'!$C$14="Yes",IF(COUNTBLANK('Capacity summary'!$H91:$BG91)&lt;52,IF('Capacity summary'!AB91&lt;&gt;"",$BI179*AB179,0),AB179*$BI179),AB179*$BI179),0)</f>
        <v>0</v>
      </c>
      <c r="CF179" s="5">
        <f>IF($BI179&lt;&gt;"",IF('Capacity summary'!$C$14="Yes",IF(COUNTBLANK('Capacity summary'!$H91:$BG91)&lt;52,IF('Capacity summary'!AC91&lt;&gt;"",$BI179*AC179,0),AC179*$BI179),AC179*$BI179),0)</f>
        <v>0</v>
      </c>
      <c r="CG179" s="5">
        <f>IF($BI179&lt;&gt;"",IF('Capacity summary'!$C$14="Yes",IF(COUNTBLANK('Capacity summary'!$H91:$BG91)&lt;52,IF('Capacity summary'!AD91&lt;&gt;"",$BI179*AD179,0),AD179*$BI179),AD179*$BI179),0)</f>
        <v>0</v>
      </c>
      <c r="CH179" s="5">
        <f>IF($BI179&lt;&gt;"",IF('Capacity summary'!$C$14="Yes",IF(COUNTBLANK('Capacity summary'!$H91:$BG91)&lt;52,IF('Capacity summary'!AE91&lt;&gt;"",$BI179*AE179,0),AE179*$BI179),AE179*$BI179),0)</f>
        <v>0</v>
      </c>
      <c r="CI179" s="5">
        <f>IF($BI179&lt;&gt;"",IF('Capacity summary'!$C$14="Yes",IF(COUNTBLANK('Capacity summary'!$H91:$BG91)&lt;52,IF('Capacity summary'!AF91&lt;&gt;"",$BI179*AF179,0),AF179*$BI179),AF179*$BI179),0)</f>
        <v>0</v>
      </c>
      <c r="CJ179" s="5">
        <f>IF($BI179&lt;&gt;"",IF('Capacity summary'!$C$14="Yes",IF(COUNTBLANK('Capacity summary'!$H91:$BG91)&lt;52,IF('Capacity summary'!AG91&lt;&gt;"",$BI179*AG179,0),AG179*$BI179),AG179*$BI179),0)</f>
        <v>0</v>
      </c>
      <c r="CK179" s="5">
        <f>IF($BI179&lt;&gt;"",IF('Capacity summary'!$C$14="Yes",IF(COUNTBLANK('Capacity summary'!$H91:$BG91)&lt;52,IF('Capacity summary'!AH91&lt;&gt;"",$BI179*AH179,0),AH179*$BI179),AH179*$BI179),0)</f>
        <v>0</v>
      </c>
      <c r="CL179" s="5">
        <f>IF($BI179&lt;&gt;"",IF('Capacity summary'!$C$14="Yes",IF(COUNTBLANK('Capacity summary'!$H91:$BG91)&lt;52,IF('Capacity summary'!AI91&lt;&gt;"",$BI179*AI179,0),AI179*$BI179),AI179*$BI179),0)</f>
        <v>0</v>
      </c>
      <c r="CM179" s="5">
        <f>IF($BI179&lt;&gt;"",IF('Capacity summary'!$C$14="Yes",IF(COUNTBLANK('Capacity summary'!$H91:$BG91)&lt;52,IF('Capacity summary'!AJ91&lt;&gt;"",$BI179*AJ179,0),AJ179*$BI179),AJ179*$BI179),0)</f>
        <v>0</v>
      </c>
      <c r="CN179" s="5">
        <f>IF($BI179&lt;&gt;"",IF('Capacity summary'!$C$14="Yes",IF(COUNTBLANK('Capacity summary'!$H91:$BG91)&lt;52,IF('Capacity summary'!AK91&lt;&gt;"",$BI179*AK179,0),AK179*$BI179),AK179*$BI179),0)</f>
        <v>0</v>
      </c>
      <c r="CO179" s="5">
        <f>IF($BI179&lt;&gt;"",IF('Capacity summary'!$C$14="Yes",IF(COUNTBLANK('Capacity summary'!$H91:$BG91)&lt;52,IF('Capacity summary'!AL91&lt;&gt;"",$BI179*AL179,0),AL179*$BI179),AL179*$BI179),0)</f>
        <v>0</v>
      </c>
      <c r="CP179" s="5">
        <f>IF($BI179&lt;&gt;"",IF('Capacity summary'!$C$14="Yes",IF(COUNTBLANK('Capacity summary'!$H91:$BG91)&lt;52,IF('Capacity summary'!AM91&lt;&gt;"",$BI179*AM179,0),AM179*$BI179),AM179*$BI179),0)</f>
        <v>0</v>
      </c>
      <c r="CQ179" s="5">
        <f>IF($BI179&lt;&gt;"",IF('Capacity summary'!$C$14="Yes",IF(COUNTBLANK('Capacity summary'!$H91:$BG91)&lt;52,IF('Capacity summary'!AN91&lt;&gt;"",$BI179*AN179,0),AN179*$BI179),AN179*$BI179),0)</f>
        <v>0</v>
      </c>
      <c r="CR179" s="5">
        <f>IF($BI179&lt;&gt;"",IF('Capacity summary'!$C$14="Yes",IF(COUNTBLANK('Capacity summary'!$H91:$BG91)&lt;52,IF('Capacity summary'!AO91&lt;&gt;"",$BI179*AO179,0),AO179*$BI179),AO179*$BI179),0)</f>
        <v>0</v>
      </c>
      <c r="CS179" s="5">
        <f>IF($BI179&lt;&gt;"",IF('Capacity summary'!$C$14="Yes",IF(COUNTBLANK('Capacity summary'!$H91:$BG91)&lt;52,IF('Capacity summary'!AP91&lt;&gt;"",$BI179*AP179,0),AP179*$BI179),AP179*$BI179),0)</f>
        <v>0</v>
      </c>
      <c r="CT179" s="5">
        <f>IF($BI179&lt;&gt;"",IF('Capacity summary'!$C$14="Yes",IF(COUNTBLANK('Capacity summary'!$H91:$BG91)&lt;52,IF('Capacity summary'!AQ91&lt;&gt;"",$BI179*AQ179,0),AQ179*$BI179),AQ179*$BI179),0)</f>
        <v>0</v>
      </c>
      <c r="CU179" s="5">
        <f>IF($BI179&lt;&gt;"",IF('Capacity summary'!$C$14="Yes",IF(COUNTBLANK('Capacity summary'!$H91:$BG91)&lt;52,IF('Capacity summary'!AR91&lt;&gt;"",$BI179*AR179,0),AR179*$BI179),AR179*$BI179),0)</f>
        <v>0</v>
      </c>
      <c r="CV179" s="5">
        <f>IF($BI179&lt;&gt;"",IF('Capacity summary'!$C$14="Yes",IF(COUNTBLANK('Capacity summary'!$H91:$BG91)&lt;52,IF('Capacity summary'!AS91&lt;&gt;"",$BI179*AS179,0),AS179*$BI179),AS179*$BI179),0)</f>
        <v>0</v>
      </c>
      <c r="CW179" s="5">
        <f>IF($BI179&lt;&gt;"",IF('Capacity summary'!$C$14="Yes",IF(COUNTBLANK('Capacity summary'!$H91:$BG91)&lt;52,IF('Capacity summary'!AT91&lt;&gt;"",$BI179*AT179,0),AT179*$BI179),AT179*$BI179),0)</f>
        <v>0</v>
      </c>
      <c r="CX179" s="5">
        <f>IF($BI179&lt;&gt;"",IF('Capacity summary'!$C$14="Yes",IF(COUNTBLANK('Capacity summary'!$H91:$BG91)&lt;52,IF('Capacity summary'!AU91&lt;&gt;"",$BI179*AU179,0),AU179*$BI179),AU179*$BI179),0)</f>
        <v>0</v>
      </c>
      <c r="CY179" s="5">
        <f>IF($BI179&lt;&gt;"",IF('Capacity summary'!$C$14="Yes",IF(COUNTBLANK('Capacity summary'!$H91:$BG91)&lt;52,IF('Capacity summary'!AV91&lt;&gt;"",$BI179*AV179,0),AV179*$BI179),AV179*$BI179),0)</f>
        <v>0</v>
      </c>
      <c r="CZ179" s="5">
        <f>IF($BI179&lt;&gt;"",IF('Capacity summary'!$C$14="Yes",IF(COUNTBLANK('Capacity summary'!$H91:$BG91)&lt;52,IF('Capacity summary'!AW91&lt;&gt;"",$BI179*AW179,0),AW179*$BI179),AW179*$BI179),0)</f>
        <v>0</v>
      </c>
      <c r="DA179" s="5">
        <f>IF($BI179&lt;&gt;"",IF('Capacity summary'!$C$14="Yes",IF(COUNTBLANK('Capacity summary'!$H91:$BG91)&lt;52,IF('Capacity summary'!AX91&lt;&gt;"",$BI179*AX179,0),AX179*$BI179),AX179*$BI179),0)</f>
        <v>0</v>
      </c>
      <c r="DB179" s="5">
        <f>IF($BI179&lt;&gt;"",IF('Capacity summary'!$C$14="Yes",IF(COUNTBLANK('Capacity summary'!$H91:$BG91)&lt;52,IF('Capacity summary'!AY91&lt;&gt;"",$BI179*AY179,0),AY179*$BI179),AY179*$BI179),0)</f>
        <v>0</v>
      </c>
      <c r="DC179" s="5">
        <f>IF($BI179&lt;&gt;"",IF('Capacity summary'!$C$14="Yes",IF(COUNTBLANK('Capacity summary'!$H91:$BG91)&lt;52,IF('Capacity summary'!AZ91&lt;&gt;"",$BI179*AZ179,0),AZ179*$BI179),AZ179*$BI179),0)</f>
        <v>0</v>
      </c>
      <c r="DD179" s="5">
        <f>IF($BI179&lt;&gt;"",IF('Capacity summary'!$C$14="Yes",IF(COUNTBLANK('Capacity summary'!$H91:$BG91)&lt;52,IF('Capacity summary'!BA91&lt;&gt;"",$BI179*BA179,0),BA179*$BI179),BA179*$BI179),0)</f>
        <v>0</v>
      </c>
      <c r="DE179" s="5">
        <f>IF($BI179&lt;&gt;"",IF('Capacity summary'!$C$14="Yes",IF(COUNTBLANK('Capacity summary'!$H91:$BG91)&lt;52,IF('Capacity summary'!BB91&lt;&gt;"",$BI179*BB179,0),BB179*$BI179),BB179*$BI179),0)</f>
        <v>0</v>
      </c>
      <c r="DF179" s="5">
        <f>IF($BI179&lt;&gt;"",IF('Capacity summary'!$C$14="Yes",IF(COUNTBLANK('Capacity summary'!$H91:$BG91)&lt;52,IF('Capacity summary'!BC91&lt;&gt;"",$BI179*BC179,0),BC179*$BI179),BC179*$BI179),0)</f>
        <v>0</v>
      </c>
      <c r="DG179" s="5">
        <f>IF($BI179&lt;&gt;"",IF('Capacity summary'!$C$14="Yes",IF(COUNTBLANK('Capacity summary'!$H91:$BG91)&lt;52,IF('Capacity summary'!BD91&lt;&gt;"",$BI179*BD179,0),BD179*$BI179),BD179*$BI179),0)</f>
        <v>0</v>
      </c>
      <c r="DH179" s="5">
        <f>IF($BI179&lt;&gt;"",IF('Capacity summary'!$C$14="Yes",IF(COUNTBLANK('Capacity summary'!$H91:$BG91)&lt;52,IF('Capacity summary'!BE91&lt;&gt;"",$BI179*BE179,0),BE179*$BI179),BE179*$BI179),0)</f>
        <v>0</v>
      </c>
      <c r="DI179" s="5">
        <f>IF($BI179&lt;&gt;"",IF('Capacity summary'!$C$14="Yes",IF(COUNTBLANK('Capacity summary'!$H91:$BG91)&lt;52,IF('Capacity summary'!BF91&lt;&gt;"",$BI179*BF179,0),BF179*$BI179),BF179*$BI179),0)</f>
        <v>0</v>
      </c>
      <c r="DJ179" s="5">
        <f>IF($BI179&lt;&gt;"",IF('Capacity summary'!$C$14="Yes",IF(COUNTBLANK('Capacity summary'!$H91:$BG91)&lt;52,IF('Capacity summary'!BG91&lt;&gt;"",$BI179*BG179,0),BG179*$BI179),BG179*$BI179),0)</f>
        <v>0</v>
      </c>
      <c r="DK179" s="138">
        <f t="shared" si="7"/>
        <v>0</v>
      </c>
    </row>
    <row r="180" spans="3:115" x14ac:dyDescent="0.2">
      <c r="C180" s="68" t="str">
        <f>ROW(A69)&amp;". "&amp;Capacity!N85</f>
        <v xml:space="preserve">69. </v>
      </c>
      <c r="D180" s="68">
        <f>'Capacity setup'!C186</f>
        <v>0</v>
      </c>
      <c r="E180" s="68">
        <f>'Capacity setup'!D186</f>
        <v>0</v>
      </c>
      <c r="F180" s="68">
        <f>'Capacity setup'!E186</f>
        <v>0</v>
      </c>
      <c r="H180" s="68">
        <f ca="1">IF(AND(SUMIF(Capacity_Resource,$D180,'Critical resources (hide)'!U$6:U$105)+SUMIF(Capacity_Resource,$E180,'Critical resources (hide)'!U$6:U$105)+SUMIF(Capacity_Resource,$F180,'Critical resources (hide)'!U$6:U$105)&gt;0,$E$1=2),0,1)</f>
        <v>1</v>
      </c>
      <c r="I180" s="68">
        <f ca="1">IF(AND(SUMIF(Capacity_Resource,$D180,'Critical resources (hide)'!V$6:V$105)+SUMIF(Capacity_Resource,$E180,'Critical resources (hide)'!V$6:V$105)+SUMIF(Capacity_Resource,$F180,'Critical resources (hide)'!V$6:V$105)&gt;0,$E$1=2),0,1)</f>
        <v>1</v>
      </c>
      <c r="J180" s="68">
        <f ca="1">IF(AND(SUMIF(Capacity_Resource,$D180,'Critical resources (hide)'!W$6:W$105)+SUMIF(Capacity_Resource,$E180,'Critical resources (hide)'!W$6:W$105)+SUMIF(Capacity_Resource,$F180,'Critical resources (hide)'!W$6:W$105)&gt;0,$E$1=2),0,1)</f>
        <v>1</v>
      </c>
      <c r="K180" s="68">
        <f ca="1">IF(AND(SUMIF(Capacity_Resource,$D180,'Critical resources (hide)'!X$6:X$105)+SUMIF(Capacity_Resource,$E180,'Critical resources (hide)'!X$6:X$105)+SUMIF(Capacity_Resource,$F180,'Critical resources (hide)'!X$6:X$105)&gt;0,$E$1=2),0,1)</f>
        <v>1</v>
      </c>
      <c r="L180" s="68">
        <f ca="1">IF(AND(SUMIF(Capacity_Resource,$D180,'Critical resources (hide)'!Y$6:Y$105)+SUMIF(Capacity_Resource,$E180,'Critical resources (hide)'!Y$6:Y$105)+SUMIF(Capacity_Resource,$F180,'Critical resources (hide)'!Y$6:Y$105)&gt;0,$E$1=2),0,1)</f>
        <v>1</v>
      </c>
      <c r="M180" s="68">
        <f ca="1">IF(AND(SUMIF(Capacity_Resource,$D180,'Critical resources (hide)'!Z$6:Z$105)+SUMIF(Capacity_Resource,$E180,'Critical resources (hide)'!Z$6:Z$105)+SUMIF(Capacity_Resource,$F180,'Critical resources (hide)'!Z$6:Z$105)&gt;0,$E$1=2),0,1)</f>
        <v>1</v>
      </c>
      <c r="N180" s="68">
        <f ca="1">IF(AND(SUMIF(Capacity_Resource,$D180,'Critical resources (hide)'!AA$6:AA$105)+SUMIF(Capacity_Resource,$E180,'Critical resources (hide)'!AA$6:AA$105)+SUMIF(Capacity_Resource,$F180,'Critical resources (hide)'!AA$6:AA$105)&gt;0,$E$1=2),0,1)</f>
        <v>1</v>
      </c>
      <c r="O180" s="68">
        <f ca="1">IF(AND(SUMIF(Capacity_Resource,$D180,'Critical resources (hide)'!AB$6:AB$105)+SUMIF(Capacity_Resource,$E180,'Critical resources (hide)'!AB$6:AB$105)+SUMIF(Capacity_Resource,$F180,'Critical resources (hide)'!AB$6:AB$105)&gt;0,$E$1=2),0,1)</f>
        <v>1</v>
      </c>
      <c r="P180" s="68">
        <f ca="1">IF(AND(SUMIF(Capacity_Resource,$D180,'Critical resources (hide)'!AC$6:AC$105)+SUMIF(Capacity_Resource,$E180,'Critical resources (hide)'!AC$6:AC$105)+SUMIF(Capacity_Resource,$F180,'Critical resources (hide)'!AC$6:AC$105)&gt;0,$E$1=2),0,1)</f>
        <v>1</v>
      </c>
      <c r="Q180" s="68">
        <f ca="1">IF(AND(SUMIF(Capacity_Resource,$D180,'Critical resources (hide)'!AD$6:AD$105)+SUMIF(Capacity_Resource,$E180,'Critical resources (hide)'!AD$6:AD$105)+SUMIF(Capacity_Resource,$F180,'Critical resources (hide)'!AD$6:AD$105)&gt;0,$E$1=2),0,1)</f>
        <v>1</v>
      </c>
      <c r="R180" s="68">
        <f ca="1">IF(AND(SUMIF(Capacity_Resource,$D180,'Critical resources (hide)'!AE$6:AE$105)+SUMIF(Capacity_Resource,$E180,'Critical resources (hide)'!AE$6:AE$105)+SUMIF(Capacity_Resource,$F180,'Critical resources (hide)'!AE$6:AE$105)&gt;0,$E$1=2),0,1)</f>
        <v>1</v>
      </c>
      <c r="S180" s="68">
        <f ca="1">IF(AND(SUMIF(Capacity_Resource,$D180,'Critical resources (hide)'!AF$6:AF$105)+SUMIF(Capacity_Resource,$E180,'Critical resources (hide)'!AF$6:AF$105)+SUMIF(Capacity_Resource,$F180,'Critical resources (hide)'!AF$6:AF$105)&gt;0,$E$1=2),0,1)</f>
        <v>1</v>
      </c>
      <c r="T180" s="68">
        <f ca="1">IF(AND(SUMIF(Capacity_Resource,$D180,'Critical resources (hide)'!AG$6:AG$105)+SUMIF(Capacity_Resource,$E180,'Critical resources (hide)'!AG$6:AG$105)+SUMIF(Capacity_Resource,$F180,'Critical resources (hide)'!AG$6:AG$105)&gt;0,$E$1=2),0,1)</f>
        <v>1</v>
      </c>
      <c r="U180" s="68">
        <f ca="1">IF(AND(SUMIF(Capacity_Resource,$D180,'Critical resources (hide)'!AH$6:AH$105)+SUMIF(Capacity_Resource,$E180,'Critical resources (hide)'!AH$6:AH$105)+SUMIF(Capacity_Resource,$F180,'Critical resources (hide)'!AH$6:AH$105)&gt;0,$E$1=2),0,1)</f>
        <v>1</v>
      </c>
      <c r="V180" s="68">
        <f ca="1">IF(AND(SUMIF(Capacity_Resource,$D180,'Critical resources (hide)'!AI$6:AI$105)+SUMIF(Capacity_Resource,$E180,'Critical resources (hide)'!AI$6:AI$105)+SUMIF(Capacity_Resource,$F180,'Critical resources (hide)'!AI$6:AI$105)&gt;0,$E$1=2),0,1)</f>
        <v>1</v>
      </c>
      <c r="W180" s="68">
        <f ca="1">IF(AND(SUMIF(Capacity_Resource,$D180,'Critical resources (hide)'!AJ$6:AJ$105)+SUMIF(Capacity_Resource,$E180,'Critical resources (hide)'!AJ$6:AJ$105)+SUMIF(Capacity_Resource,$F180,'Critical resources (hide)'!AJ$6:AJ$105)&gt;0,$E$1=2),0,1)</f>
        <v>1</v>
      </c>
      <c r="X180" s="68">
        <f ca="1">IF(AND(SUMIF(Capacity_Resource,$D180,'Critical resources (hide)'!AK$6:AK$105)+SUMIF(Capacity_Resource,$E180,'Critical resources (hide)'!AK$6:AK$105)+SUMIF(Capacity_Resource,$F180,'Critical resources (hide)'!AK$6:AK$105)&gt;0,$E$1=2),0,1)</f>
        <v>1</v>
      </c>
      <c r="Y180" s="68">
        <f ca="1">IF(AND(SUMIF(Capacity_Resource,$D180,'Critical resources (hide)'!AL$6:AL$105)+SUMIF(Capacity_Resource,$E180,'Critical resources (hide)'!AL$6:AL$105)+SUMIF(Capacity_Resource,$F180,'Critical resources (hide)'!AL$6:AL$105)&gt;0,$E$1=2),0,1)</f>
        <v>1</v>
      </c>
      <c r="Z180" s="68">
        <f ca="1">IF(AND(SUMIF(Capacity_Resource,$D180,'Critical resources (hide)'!AM$6:AM$105)+SUMIF(Capacity_Resource,$E180,'Critical resources (hide)'!AM$6:AM$105)+SUMIF(Capacity_Resource,$F180,'Critical resources (hide)'!AM$6:AM$105)&gt;0,$E$1=2),0,1)</f>
        <v>1</v>
      </c>
      <c r="AA180" s="68">
        <f ca="1">IF(AND(SUMIF(Capacity_Resource,$D180,'Critical resources (hide)'!AN$6:AN$105)+SUMIF(Capacity_Resource,$E180,'Critical resources (hide)'!AN$6:AN$105)+SUMIF(Capacity_Resource,$F180,'Critical resources (hide)'!AN$6:AN$105)&gt;0,$E$1=2),0,1)</f>
        <v>1</v>
      </c>
      <c r="AB180" s="68">
        <f ca="1">IF(AND(SUMIF(Capacity_Resource,$D180,'Critical resources (hide)'!AO$6:AO$105)+SUMIF(Capacity_Resource,$E180,'Critical resources (hide)'!AO$6:AO$105)+SUMIF(Capacity_Resource,$F180,'Critical resources (hide)'!AO$6:AO$105)&gt;0,$E$1=2),0,1)</f>
        <v>1</v>
      </c>
      <c r="AC180" s="68">
        <f ca="1">IF(AND(SUMIF(Capacity_Resource,$D180,'Critical resources (hide)'!AP$6:AP$105)+SUMIF(Capacity_Resource,$E180,'Critical resources (hide)'!AP$6:AP$105)+SUMIF(Capacity_Resource,$F180,'Critical resources (hide)'!AP$6:AP$105)&gt;0,$E$1=2),0,1)</f>
        <v>1</v>
      </c>
      <c r="AD180" s="68">
        <f ca="1">IF(AND(SUMIF(Capacity_Resource,$D180,'Critical resources (hide)'!AQ$6:AQ$105)+SUMIF(Capacity_Resource,$E180,'Critical resources (hide)'!AQ$6:AQ$105)+SUMIF(Capacity_Resource,$F180,'Critical resources (hide)'!AQ$6:AQ$105)&gt;0,$E$1=2),0,1)</f>
        <v>1</v>
      </c>
      <c r="AE180" s="68">
        <f ca="1">IF(AND(SUMIF(Capacity_Resource,$D180,'Critical resources (hide)'!AR$6:AR$105)+SUMIF(Capacity_Resource,$E180,'Critical resources (hide)'!AR$6:AR$105)+SUMIF(Capacity_Resource,$F180,'Critical resources (hide)'!AR$6:AR$105)&gt;0,$E$1=2),0,1)</f>
        <v>1</v>
      </c>
      <c r="AF180" s="68">
        <f ca="1">IF(AND(SUMIF(Capacity_Resource,$D180,'Critical resources (hide)'!AS$6:AS$105)+SUMIF(Capacity_Resource,$E180,'Critical resources (hide)'!AS$6:AS$105)+SUMIF(Capacity_Resource,$F180,'Critical resources (hide)'!AS$6:AS$105)&gt;0,$E$1=2),0,1)</f>
        <v>1</v>
      </c>
      <c r="AG180" s="68">
        <f ca="1">IF(AND(SUMIF(Capacity_Resource,$D180,'Critical resources (hide)'!AT$6:AT$105)+SUMIF(Capacity_Resource,$E180,'Critical resources (hide)'!AT$6:AT$105)+SUMIF(Capacity_Resource,$F180,'Critical resources (hide)'!AT$6:AT$105)&gt;0,$E$1=2),0,1)</f>
        <v>1</v>
      </c>
      <c r="AH180" s="68">
        <f ca="1">IF(AND(SUMIF(Capacity_Resource,$D180,'Critical resources (hide)'!AU$6:AU$105)+SUMIF(Capacity_Resource,$E180,'Critical resources (hide)'!AU$6:AU$105)+SUMIF(Capacity_Resource,$F180,'Critical resources (hide)'!AU$6:AU$105)&gt;0,$E$1=2),0,1)</f>
        <v>1</v>
      </c>
      <c r="AI180" s="68">
        <f ca="1">IF(AND(SUMIF(Capacity_Resource,$D180,'Critical resources (hide)'!AV$6:AV$105)+SUMIF(Capacity_Resource,$E180,'Critical resources (hide)'!AV$6:AV$105)+SUMIF(Capacity_Resource,$F180,'Critical resources (hide)'!AV$6:AV$105)&gt;0,$E$1=2),0,1)</f>
        <v>1</v>
      </c>
      <c r="AJ180" s="68">
        <f ca="1">IF(AND(SUMIF(Capacity_Resource,$D180,'Critical resources (hide)'!AW$6:AW$105)+SUMIF(Capacity_Resource,$E180,'Critical resources (hide)'!AW$6:AW$105)+SUMIF(Capacity_Resource,$F180,'Critical resources (hide)'!AW$6:AW$105)&gt;0,$E$1=2),0,1)</f>
        <v>1</v>
      </c>
      <c r="AK180" s="68">
        <f ca="1">IF(AND(SUMIF(Capacity_Resource,$D180,'Critical resources (hide)'!AX$6:AX$105)+SUMIF(Capacity_Resource,$E180,'Critical resources (hide)'!AX$6:AX$105)+SUMIF(Capacity_Resource,$F180,'Critical resources (hide)'!AX$6:AX$105)&gt;0,$E$1=2),0,1)</f>
        <v>1</v>
      </c>
      <c r="AL180" s="68">
        <f ca="1">IF(AND(SUMIF(Capacity_Resource,$D180,'Critical resources (hide)'!AY$6:AY$105)+SUMIF(Capacity_Resource,$E180,'Critical resources (hide)'!AY$6:AY$105)+SUMIF(Capacity_Resource,$F180,'Critical resources (hide)'!AY$6:AY$105)&gt;0,$E$1=2),0,1)</f>
        <v>1</v>
      </c>
      <c r="AM180" s="68">
        <f ca="1">IF(AND(SUMIF(Capacity_Resource,$D180,'Critical resources (hide)'!AZ$6:AZ$105)+SUMIF(Capacity_Resource,$E180,'Critical resources (hide)'!AZ$6:AZ$105)+SUMIF(Capacity_Resource,$F180,'Critical resources (hide)'!AZ$6:AZ$105)&gt;0,$E$1=2),0,1)</f>
        <v>1</v>
      </c>
      <c r="AN180" s="68">
        <f ca="1">IF(AND(SUMIF(Capacity_Resource,$D180,'Critical resources (hide)'!BA$6:BA$105)+SUMIF(Capacity_Resource,$E180,'Critical resources (hide)'!BA$6:BA$105)+SUMIF(Capacity_Resource,$F180,'Critical resources (hide)'!BA$6:BA$105)&gt;0,$E$1=2),0,1)</f>
        <v>1</v>
      </c>
      <c r="AO180" s="68">
        <f ca="1">IF(AND(SUMIF(Capacity_Resource,$D180,'Critical resources (hide)'!BB$6:BB$105)+SUMIF(Capacity_Resource,$E180,'Critical resources (hide)'!BB$6:BB$105)+SUMIF(Capacity_Resource,$F180,'Critical resources (hide)'!BB$6:BB$105)&gt;0,$E$1=2),0,1)</f>
        <v>1</v>
      </c>
      <c r="AP180" s="68">
        <f ca="1">IF(AND(SUMIF(Capacity_Resource,$D180,'Critical resources (hide)'!BC$6:BC$105)+SUMIF(Capacity_Resource,$E180,'Critical resources (hide)'!BC$6:BC$105)+SUMIF(Capacity_Resource,$F180,'Critical resources (hide)'!BC$6:BC$105)&gt;0,$E$1=2),0,1)</f>
        <v>1</v>
      </c>
      <c r="AQ180" s="68">
        <f ca="1">IF(AND(SUMIF(Capacity_Resource,$D180,'Critical resources (hide)'!BD$6:BD$105)+SUMIF(Capacity_Resource,$E180,'Critical resources (hide)'!BD$6:BD$105)+SUMIF(Capacity_Resource,$F180,'Critical resources (hide)'!BD$6:BD$105)&gt;0,$E$1=2),0,1)</f>
        <v>1</v>
      </c>
      <c r="AR180" s="68">
        <f ca="1">IF(AND(SUMIF(Capacity_Resource,$D180,'Critical resources (hide)'!BE$6:BE$105)+SUMIF(Capacity_Resource,$E180,'Critical resources (hide)'!BE$6:BE$105)+SUMIF(Capacity_Resource,$F180,'Critical resources (hide)'!BE$6:BE$105)&gt;0,$E$1=2),0,1)</f>
        <v>1</v>
      </c>
      <c r="AS180" s="68">
        <f ca="1">IF(AND(SUMIF(Capacity_Resource,$D180,'Critical resources (hide)'!BF$6:BF$105)+SUMIF(Capacity_Resource,$E180,'Critical resources (hide)'!BF$6:BF$105)+SUMIF(Capacity_Resource,$F180,'Critical resources (hide)'!BF$6:BF$105)&gt;0,$E$1=2),0,1)</f>
        <v>1</v>
      </c>
      <c r="AT180" s="68">
        <f ca="1">IF(AND(SUMIF(Capacity_Resource,$D180,'Critical resources (hide)'!BG$6:BG$105)+SUMIF(Capacity_Resource,$E180,'Critical resources (hide)'!BG$6:BG$105)+SUMIF(Capacity_Resource,$F180,'Critical resources (hide)'!BG$6:BG$105)&gt;0,$E$1=2),0,1)</f>
        <v>1</v>
      </c>
      <c r="AU180" s="68">
        <f ca="1">IF(AND(SUMIF(Capacity_Resource,$D180,'Critical resources (hide)'!BH$6:BH$105)+SUMIF(Capacity_Resource,$E180,'Critical resources (hide)'!BH$6:BH$105)+SUMIF(Capacity_Resource,$F180,'Critical resources (hide)'!BH$6:BH$105)&gt;0,$E$1=2),0,1)</f>
        <v>1</v>
      </c>
      <c r="AV180" s="68">
        <f ca="1">IF(AND(SUMIF(Capacity_Resource,$D180,'Critical resources (hide)'!BI$6:BI$105)+SUMIF(Capacity_Resource,$E180,'Critical resources (hide)'!BI$6:BI$105)+SUMIF(Capacity_Resource,$F180,'Critical resources (hide)'!BI$6:BI$105)&gt;0,$E$1=2),0,1)</f>
        <v>1</v>
      </c>
      <c r="AW180" s="68">
        <f ca="1">IF(AND(SUMIF(Capacity_Resource,$D180,'Critical resources (hide)'!BJ$6:BJ$105)+SUMIF(Capacity_Resource,$E180,'Critical resources (hide)'!BJ$6:BJ$105)+SUMIF(Capacity_Resource,$F180,'Critical resources (hide)'!BJ$6:BJ$105)&gt;0,$E$1=2),0,1)</f>
        <v>1</v>
      </c>
      <c r="AX180" s="68">
        <f ca="1">IF(AND(SUMIF(Capacity_Resource,$D180,'Critical resources (hide)'!BK$6:BK$105)+SUMIF(Capacity_Resource,$E180,'Critical resources (hide)'!BK$6:BK$105)+SUMIF(Capacity_Resource,$F180,'Critical resources (hide)'!BK$6:BK$105)&gt;0,$E$1=2),0,1)</f>
        <v>1</v>
      </c>
      <c r="AY180" s="68">
        <f ca="1">IF(AND(SUMIF(Capacity_Resource,$D180,'Critical resources (hide)'!BL$6:BL$105)+SUMIF(Capacity_Resource,$E180,'Critical resources (hide)'!BL$6:BL$105)+SUMIF(Capacity_Resource,$F180,'Critical resources (hide)'!BL$6:BL$105)&gt;0,$E$1=2),0,1)</f>
        <v>1</v>
      </c>
      <c r="AZ180" s="68">
        <f ca="1">IF(AND(SUMIF(Capacity_Resource,$D180,'Critical resources (hide)'!BM$6:BM$105)+SUMIF(Capacity_Resource,$E180,'Critical resources (hide)'!BM$6:BM$105)+SUMIF(Capacity_Resource,$F180,'Critical resources (hide)'!BM$6:BM$105)&gt;0,$E$1=2),0,1)</f>
        <v>1</v>
      </c>
      <c r="BA180" s="68">
        <f ca="1">IF(AND(SUMIF(Capacity_Resource,$D180,'Critical resources (hide)'!BN$6:BN$105)+SUMIF(Capacity_Resource,$E180,'Critical resources (hide)'!BN$6:BN$105)+SUMIF(Capacity_Resource,$F180,'Critical resources (hide)'!BN$6:BN$105)&gt;0,$E$1=2),0,1)</f>
        <v>1</v>
      </c>
      <c r="BB180" s="68">
        <f ca="1">IF(AND(SUMIF(Capacity_Resource,$D180,'Critical resources (hide)'!BO$6:BO$105)+SUMIF(Capacity_Resource,$E180,'Critical resources (hide)'!BO$6:BO$105)+SUMIF(Capacity_Resource,$F180,'Critical resources (hide)'!BO$6:BO$105)&gt;0,$E$1=2),0,1)</f>
        <v>1</v>
      </c>
      <c r="BC180" s="68">
        <f ca="1">IF(AND(SUMIF(Capacity_Resource,$D180,'Critical resources (hide)'!BP$6:BP$105)+SUMIF(Capacity_Resource,$E180,'Critical resources (hide)'!BP$6:BP$105)+SUMIF(Capacity_Resource,$F180,'Critical resources (hide)'!BP$6:BP$105)&gt;0,$E$1=2),0,1)</f>
        <v>1</v>
      </c>
      <c r="BD180" s="68">
        <f ca="1">IF(AND(SUMIF(Capacity_Resource,$D180,'Critical resources (hide)'!BQ$6:BQ$105)+SUMIF(Capacity_Resource,$E180,'Critical resources (hide)'!BQ$6:BQ$105)+SUMIF(Capacity_Resource,$F180,'Critical resources (hide)'!BQ$6:BQ$105)&gt;0,$E$1=2),0,1)</f>
        <v>1</v>
      </c>
      <c r="BE180" s="68">
        <f ca="1">IF(AND(SUMIF(Capacity_Resource,$D180,'Critical resources (hide)'!BR$6:BR$105)+SUMIF(Capacity_Resource,$E180,'Critical resources (hide)'!BR$6:BR$105)+SUMIF(Capacity_Resource,$F180,'Critical resources (hide)'!BR$6:BR$105)&gt;0,$E$1=2),0,1)</f>
        <v>1</v>
      </c>
      <c r="BF180" s="68">
        <f ca="1">IF(AND(SUMIF(Capacity_Resource,$D180,'Critical resources (hide)'!BS$6:BS$105)+SUMIF(Capacity_Resource,$E180,'Critical resources (hide)'!BS$6:BS$105)+SUMIF(Capacity_Resource,$F180,'Critical resources (hide)'!BS$6:BS$105)&gt;0,$E$1=2),0,1)</f>
        <v>1</v>
      </c>
      <c r="BG180" s="68">
        <f ca="1">IF(AND(SUMIF(Capacity_Resource,$D180,'Critical resources (hide)'!BT$6:BT$105)+SUMIF(Capacity_Resource,$E180,'Critical resources (hide)'!BT$6:BT$105)+SUMIF(Capacity_Resource,$F180,'Critical resources (hide)'!BT$6:BT$105)&gt;0,$E$1=2),0,1)</f>
        <v>1</v>
      </c>
      <c r="BH180" s="68">
        <f>IF(ROW(A69)&lt;=Capacity!$M$16,IF('Capacity summary'!$C$14="No",SUM(H180:BG180),'Capacity summary'!$E92),0)</f>
        <v>0</v>
      </c>
      <c r="BI180" s="68" t="str">
        <f>IF(BH180&gt;0,IF(BH180&lt;Capacity!Q85,Capacity!R85,Capacity!T85/'Capacity calculation (hide)'!BH180),"")</f>
        <v/>
      </c>
      <c r="BJ180" s="5"/>
      <c r="BK180" s="5">
        <f>IF($BI180&lt;&gt;"",IF('Capacity summary'!$C$14="Yes",IF(COUNTBLANK('Capacity summary'!$H92:$BG92)&lt;52,IF('Capacity summary'!H92&lt;&gt;"",$BI180*H180,0),H180*$BI180),H180*$BI180),0)</f>
        <v>0</v>
      </c>
      <c r="BL180" s="5">
        <f>IF($BI180&lt;&gt;"",IF('Capacity summary'!$C$14="Yes",IF(COUNTBLANK('Capacity summary'!$H92:$BG92)&lt;52,IF('Capacity summary'!I92&lt;&gt;"",$BI180*I180,0),I180*$BI180),I180*$BI180),0)</f>
        <v>0</v>
      </c>
      <c r="BM180" s="5">
        <f>IF($BI180&lt;&gt;"",IF('Capacity summary'!$C$14="Yes",IF(COUNTBLANK('Capacity summary'!$H92:$BG92)&lt;52,IF('Capacity summary'!J92&lt;&gt;"",$BI180*J180,0),J180*$BI180),J180*$BI180),0)</f>
        <v>0</v>
      </c>
      <c r="BN180" s="5">
        <f>IF($BI180&lt;&gt;"",IF('Capacity summary'!$C$14="Yes",IF(COUNTBLANK('Capacity summary'!$H92:$BG92)&lt;52,IF('Capacity summary'!K92&lt;&gt;"",$BI180*K180,0),K180*$BI180),K180*$BI180),0)</f>
        <v>0</v>
      </c>
      <c r="BO180" s="5">
        <f>IF($BI180&lt;&gt;"",IF('Capacity summary'!$C$14="Yes",IF(COUNTBLANK('Capacity summary'!$H92:$BG92)&lt;52,IF('Capacity summary'!L92&lt;&gt;"",$BI180*L180,0),L180*$BI180),L180*$BI180),0)</f>
        <v>0</v>
      </c>
      <c r="BP180" s="5">
        <f>IF($BI180&lt;&gt;"",IF('Capacity summary'!$C$14="Yes",IF(COUNTBLANK('Capacity summary'!$H92:$BG92)&lt;52,IF('Capacity summary'!M92&lt;&gt;"",$BI180*M180,0),M180*$BI180),M180*$BI180),0)</f>
        <v>0</v>
      </c>
      <c r="BQ180" s="5">
        <f>IF($BI180&lt;&gt;"",IF('Capacity summary'!$C$14="Yes",IF(COUNTBLANK('Capacity summary'!$H92:$BG92)&lt;52,IF('Capacity summary'!N92&lt;&gt;"",$BI180*N180,0),N180*$BI180),N180*$BI180),0)</f>
        <v>0</v>
      </c>
      <c r="BR180" s="5">
        <f>IF($BI180&lt;&gt;"",IF('Capacity summary'!$C$14="Yes",IF(COUNTBLANK('Capacity summary'!$H92:$BG92)&lt;52,IF('Capacity summary'!O92&lt;&gt;"",$BI180*O180,0),O180*$BI180),O180*$BI180),0)</f>
        <v>0</v>
      </c>
      <c r="BS180" s="5">
        <f>IF($BI180&lt;&gt;"",IF('Capacity summary'!$C$14="Yes",IF(COUNTBLANK('Capacity summary'!$H92:$BG92)&lt;52,IF('Capacity summary'!P92&lt;&gt;"",$BI180*P180,0),P180*$BI180),P180*$BI180),0)</f>
        <v>0</v>
      </c>
      <c r="BT180" s="5">
        <f>IF($BI180&lt;&gt;"",IF('Capacity summary'!$C$14="Yes",IF(COUNTBLANK('Capacity summary'!$H92:$BG92)&lt;52,IF('Capacity summary'!Q92&lt;&gt;"",$BI180*Q180,0),Q180*$BI180),Q180*$BI180),0)</f>
        <v>0</v>
      </c>
      <c r="BU180" s="5">
        <f>IF($BI180&lt;&gt;"",IF('Capacity summary'!$C$14="Yes",IF(COUNTBLANK('Capacity summary'!$H92:$BG92)&lt;52,IF('Capacity summary'!R92&lt;&gt;"",$BI180*R180,0),R180*$BI180),R180*$BI180),0)</f>
        <v>0</v>
      </c>
      <c r="BV180" s="5">
        <f>IF($BI180&lt;&gt;"",IF('Capacity summary'!$C$14="Yes",IF(COUNTBLANK('Capacity summary'!$H92:$BG92)&lt;52,IF('Capacity summary'!S92&lt;&gt;"",$BI180*S180,0),S180*$BI180),S180*$BI180),0)</f>
        <v>0</v>
      </c>
      <c r="BW180" s="5">
        <f>IF($BI180&lt;&gt;"",IF('Capacity summary'!$C$14="Yes",IF(COUNTBLANK('Capacity summary'!$H92:$BG92)&lt;52,IF('Capacity summary'!T92&lt;&gt;"",$BI180*T180,0),T180*$BI180),T180*$BI180),0)</f>
        <v>0</v>
      </c>
      <c r="BX180" s="5">
        <f>IF($BI180&lt;&gt;"",IF('Capacity summary'!$C$14="Yes",IF(COUNTBLANK('Capacity summary'!$H92:$BG92)&lt;52,IF('Capacity summary'!U92&lt;&gt;"",$BI180*U180,0),U180*$BI180),U180*$BI180),0)</f>
        <v>0</v>
      </c>
      <c r="BY180" s="5">
        <f>IF($BI180&lt;&gt;"",IF('Capacity summary'!$C$14="Yes",IF(COUNTBLANK('Capacity summary'!$H92:$BG92)&lt;52,IF('Capacity summary'!V92&lt;&gt;"",$BI180*V180,0),V180*$BI180),V180*$BI180),0)</f>
        <v>0</v>
      </c>
      <c r="BZ180" s="5">
        <f>IF($BI180&lt;&gt;"",IF('Capacity summary'!$C$14="Yes",IF(COUNTBLANK('Capacity summary'!$H92:$BG92)&lt;52,IF('Capacity summary'!W92&lt;&gt;"",$BI180*W180,0),W180*$BI180),W180*$BI180),0)</f>
        <v>0</v>
      </c>
      <c r="CA180" s="5">
        <f>IF($BI180&lt;&gt;"",IF('Capacity summary'!$C$14="Yes",IF(COUNTBLANK('Capacity summary'!$H92:$BG92)&lt;52,IF('Capacity summary'!X92&lt;&gt;"",$BI180*X180,0),X180*$BI180),X180*$BI180),0)</f>
        <v>0</v>
      </c>
      <c r="CB180" s="5">
        <f>IF($BI180&lt;&gt;"",IF('Capacity summary'!$C$14="Yes",IF(COUNTBLANK('Capacity summary'!$H92:$BG92)&lt;52,IF('Capacity summary'!Y92&lt;&gt;"",$BI180*Y180,0),Y180*$BI180),Y180*$BI180),0)</f>
        <v>0</v>
      </c>
      <c r="CC180" s="5">
        <f>IF($BI180&lt;&gt;"",IF('Capacity summary'!$C$14="Yes",IF(COUNTBLANK('Capacity summary'!$H92:$BG92)&lt;52,IF('Capacity summary'!Z92&lt;&gt;"",$BI180*Z180,0),Z180*$BI180),Z180*$BI180),0)</f>
        <v>0</v>
      </c>
      <c r="CD180" s="5">
        <f>IF($BI180&lt;&gt;"",IF('Capacity summary'!$C$14="Yes",IF(COUNTBLANK('Capacity summary'!$H92:$BG92)&lt;52,IF('Capacity summary'!AA92&lt;&gt;"",$BI180*AA180,0),AA180*$BI180),AA180*$BI180),0)</f>
        <v>0</v>
      </c>
      <c r="CE180" s="5">
        <f>IF($BI180&lt;&gt;"",IF('Capacity summary'!$C$14="Yes",IF(COUNTBLANK('Capacity summary'!$H92:$BG92)&lt;52,IF('Capacity summary'!AB92&lt;&gt;"",$BI180*AB180,0),AB180*$BI180),AB180*$BI180),0)</f>
        <v>0</v>
      </c>
      <c r="CF180" s="5">
        <f>IF($BI180&lt;&gt;"",IF('Capacity summary'!$C$14="Yes",IF(COUNTBLANK('Capacity summary'!$H92:$BG92)&lt;52,IF('Capacity summary'!AC92&lt;&gt;"",$BI180*AC180,0),AC180*$BI180),AC180*$BI180),0)</f>
        <v>0</v>
      </c>
      <c r="CG180" s="5">
        <f>IF($BI180&lt;&gt;"",IF('Capacity summary'!$C$14="Yes",IF(COUNTBLANK('Capacity summary'!$H92:$BG92)&lt;52,IF('Capacity summary'!AD92&lt;&gt;"",$BI180*AD180,0),AD180*$BI180),AD180*$BI180),0)</f>
        <v>0</v>
      </c>
      <c r="CH180" s="5">
        <f>IF($BI180&lt;&gt;"",IF('Capacity summary'!$C$14="Yes",IF(COUNTBLANK('Capacity summary'!$H92:$BG92)&lt;52,IF('Capacity summary'!AE92&lt;&gt;"",$BI180*AE180,0),AE180*$BI180),AE180*$BI180),0)</f>
        <v>0</v>
      </c>
      <c r="CI180" s="5">
        <f>IF($BI180&lt;&gt;"",IF('Capacity summary'!$C$14="Yes",IF(COUNTBLANK('Capacity summary'!$H92:$BG92)&lt;52,IF('Capacity summary'!AF92&lt;&gt;"",$BI180*AF180,0),AF180*$BI180),AF180*$BI180),0)</f>
        <v>0</v>
      </c>
      <c r="CJ180" s="5">
        <f>IF($BI180&lt;&gt;"",IF('Capacity summary'!$C$14="Yes",IF(COUNTBLANK('Capacity summary'!$H92:$BG92)&lt;52,IF('Capacity summary'!AG92&lt;&gt;"",$BI180*AG180,0),AG180*$BI180),AG180*$BI180),0)</f>
        <v>0</v>
      </c>
      <c r="CK180" s="5">
        <f>IF($BI180&lt;&gt;"",IF('Capacity summary'!$C$14="Yes",IF(COUNTBLANK('Capacity summary'!$H92:$BG92)&lt;52,IF('Capacity summary'!AH92&lt;&gt;"",$BI180*AH180,0),AH180*$BI180),AH180*$BI180),0)</f>
        <v>0</v>
      </c>
      <c r="CL180" s="5">
        <f>IF($BI180&lt;&gt;"",IF('Capacity summary'!$C$14="Yes",IF(COUNTBLANK('Capacity summary'!$H92:$BG92)&lt;52,IF('Capacity summary'!AI92&lt;&gt;"",$BI180*AI180,0),AI180*$BI180),AI180*$BI180),0)</f>
        <v>0</v>
      </c>
      <c r="CM180" s="5">
        <f>IF($BI180&lt;&gt;"",IF('Capacity summary'!$C$14="Yes",IF(COUNTBLANK('Capacity summary'!$H92:$BG92)&lt;52,IF('Capacity summary'!AJ92&lt;&gt;"",$BI180*AJ180,0),AJ180*$BI180),AJ180*$BI180),0)</f>
        <v>0</v>
      </c>
      <c r="CN180" s="5">
        <f>IF($BI180&lt;&gt;"",IF('Capacity summary'!$C$14="Yes",IF(COUNTBLANK('Capacity summary'!$H92:$BG92)&lt;52,IF('Capacity summary'!AK92&lt;&gt;"",$BI180*AK180,0),AK180*$BI180),AK180*$BI180),0)</f>
        <v>0</v>
      </c>
      <c r="CO180" s="5">
        <f>IF($BI180&lt;&gt;"",IF('Capacity summary'!$C$14="Yes",IF(COUNTBLANK('Capacity summary'!$H92:$BG92)&lt;52,IF('Capacity summary'!AL92&lt;&gt;"",$BI180*AL180,0),AL180*$BI180),AL180*$BI180),0)</f>
        <v>0</v>
      </c>
      <c r="CP180" s="5">
        <f>IF($BI180&lt;&gt;"",IF('Capacity summary'!$C$14="Yes",IF(COUNTBLANK('Capacity summary'!$H92:$BG92)&lt;52,IF('Capacity summary'!AM92&lt;&gt;"",$BI180*AM180,0),AM180*$BI180),AM180*$BI180),0)</f>
        <v>0</v>
      </c>
      <c r="CQ180" s="5">
        <f>IF($BI180&lt;&gt;"",IF('Capacity summary'!$C$14="Yes",IF(COUNTBLANK('Capacity summary'!$H92:$BG92)&lt;52,IF('Capacity summary'!AN92&lt;&gt;"",$BI180*AN180,0),AN180*$BI180),AN180*$BI180),0)</f>
        <v>0</v>
      </c>
      <c r="CR180" s="5">
        <f>IF($BI180&lt;&gt;"",IF('Capacity summary'!$C$14="Yes",IF(COUNTBLANK('Capacity summary'!$H92:$BG92)&lt;52,IF('Capacity summary'!AO92&lt;&gt;"",$BI180*AO180,0),AO180*$BI180),AO180*$BI180),0)</f>
        <v>0</v>
      </c>
      <c r="CS180" s="5">
        <f>IF($BI180&lt;&gt;"",IF('Capacity summary'!$C$14="Yes",IF(COUNTBLANK('Capacity summary'!$H92:$BG92)&lt;52,IF('Capacity summary'!AP92&lt;&gt;"",$BI180*AP180,0),AP180*$BI180),AP180*$BI180),0)</f>
        <v>0</v>
      </c>
      <c r="CT180" s="5">
        <f>IF($BI180&lt;&gt;"",IF('Capacity summary'!$C$14="Yes",IF(COUNTBLANK('Capacity summary'!$H92:$BG92)&lt;52,IF('Capacity summary'!AQ92&lt;&gt;"",$BI180*AQ180,0),AQ180*$BI180),AQ180*$BI180),0)</f>
        <v>0</v>
      </c>
      <c r="CU180" s="5">
        <f>IF($BI180&lt;&gt;"",IF('Capacity summary'!$C$14="Yes",IF(COUNTBLANK('Capacity summary'!$H92:$BG92)&lt;52,IF('Capacity summary'!AR92&lt;&gt;"",$BI180*AR180,0),AR180*$BI180),AR180*$BI180),0)</f>
        <v>0</v>
      </c>
      <c r="CV180" s="5">
        <f>IF($BI180&lt;&gt;"",IF('Capacity summary'!$C$14="Yes",IF(COUNTBLANK('Capacity summary'!$H92:$BG92)&lt;52,IF('Capacity summary'!AS92&lt;&gt;"",$BI180*AS180,0),AS180*$BI180),AS180*$BI180),0)</f>
        <v>0</v>
      </c>
      <c r="CW180" s="5">
        <f>IF($BI180&lt;&gt;"",IF('Capacity summary'!$C$14="Yes",IF(COUNTBLANK('Capacity summary'!$H92:$BG92)&lt;52,IF('Capacity summary'!AT92&lt;&gt;"",$BI180*AT180,0),AT180*$BI180),AT180*$BI180),0)</f>
        <v>0</v>
      </c>
      <c r="CX180" s="5">
        <f>IF($BI180&lt;&gt;"",IF('Capacity summary'!$C$14="Yes",IF(COUNTBLANK('Capacity summary'!$H92:$BG92)&lt;52,IF('Capacity summary'!AU92&lt;&gt;"",$BI180*AU180,0),AU180*$BI180),AU180*$BI180),0)</f>
        <v>0</v>
      </c>
      <c r="CY180" s="5">
        <f>IF($BI180&lt;&gt;"",IF('Capacity summary'!$C$14="Yes",IF(COUNTBLANK('Capacity summary'!$H92:$BG92)&lt;52,IF('Capacity summary'!AV92&lt;&gt;"",$BI180*AV180,0),AV180*$BI180),AV180*$BI180),0)</f>
        <v>0</v>
      </c>
      <c r="CZ180" s="5">
        <f>IF($BI180&lt;&gt;"",IF('Capacity summary'!$C$14="Yes",IF(COUNTBLANK('Capacity summary'!$H92:$BG92)&lt;52,IF('Capacity summary'!AW92&lt;&gt;"",$BI180*AW180,0),AW180*$BI180),AW180*$BI180),0)</f>
        <v>0</v>
      </c>
      <c r="DA180" s="5">
        <f>IF($BI180&lt;&gt;"",IF('Capacity summary'!$C$14="Yes",IF(COUNTBLANK('Capacity summary'!$H92:$BG92)&lt;52,IF('Capacity summary'!AX92&lt;&gt;"",$BI180*AX180,0),AX180*$BI180),AX180*$BI180),0)</f>
        <v>0</v>
      </c>
      <c r="DB180" s="5">
        <f>IF($BI180&lt;&gt;"",IF('Capacity summary'!$C$14="Yes",IF(COUNTBLANK('Capacity summary'!$H92:$BG92)&lt;52,IF('Capacity summary'!AY92&lt;&gt;"",$BI180*AY180,0),AY180*$BI180),AY180*$BI180),0)</f>
        <v>0</v>
      </c>
      <c r="DC180" s="5">
        <f>IF($BI180&lt;&gt;"",IF('Capacity summary'!$C$14="Yes",IF(COUNTBLANK('Capacity summary'!$H92:$BG92)&lt;52,IF('Capacity summary'!AZ92&lt;&gt;"",$BI180*AZ180,0),AZ180*$BI180),AZ180*$BI180),0)</f>
        <v>0</v>
      </c>
      <c r="DD180" s="5">
        <f>IF($BI180&lt;&gt;"",IF('Capacity summary'!$C$14="Yes",IF(COUNTBLANK('Capacity summary'!$H92:$BG92)&lt;52,IF('Capacity summary'!BA92&lt;&gt;"",$BI180*BA180,0),BA180*$BI180),BA180*$BI180),0)</f>
        <v>0</v>
      </c>
      <c r="DE180" s="5">
        <f>IF($BI180&lt;&gt;"",IF('Capacity summary'!$C$14="Yes",IF(COUNTBLANK('Capacity summary'!$H92:$BG92)&lt;52,IF('Capacity summary'!BB92&lt;&gt;"",$BI180*BB180,0),BB180*$BI180),BB180*$BI180),0)</f>
        <v>0</v>
      </c>
      <c r="DF180" s="5">
        <f>IF($BI180&lt;&gt;"",IF('Capacity summary'!$C$14="Yes",IF(COUNTBLANK('Capacity summary'!$H92:$BG92)&lt;52,IF('Capacity summary'!BC92&lt;&gt;"",$BI180*BC180,0),BC180*$BI180),BC180*$BI180),0)</f>
        <v>0</v>
      </c>
      <c r="DG180" s="5">
        <f>IF($BI180&lt;&gt;"",IF('Capacity summary'!$C$14="Yes",IF(COUNTBLANK('Capacity summary'!$H92:$BG92)&lt;52,IF('Capacity summary'!BD92&lt;&gt;"",$BI180*BD180,0),BD180*$BI180),BD180*$BI180),0)</f>
        <v>0</v>
      </c>
      <c r="DH180" s="5">
        <f>IF($BI180&lt;&gt;"",IF('Capacity summary'!$C$14="Yes",IF(COUNTBLANK('Capacity summary'!$H92:$BG92)&lt;52,IF('Capacity summary'!BE92&lt;&gt;"",$BI180*BE180,0),BE180*$BI180),BE180*$BI180),0)</f>
        <v>0</v>
      </c>
      <c r="DI180" s="5">
        <f>IF($BI180&lt;&gt;"",IF('Capacity summary'!$C$14="Yes",IF(COUNTBLANK('Capacity summary'!$H92:$BG92)&lt;52,IF('Capacity summary'!BF92&lt;&gt;"",$BI180*BF180,0),BF180*$BI180),BF180*$BI180),0)</f>
        <v>0</v>
      </c>
      <c r="DJ180" s="5">
        <f>IF($BI180&lt;&gt;"",IF('Capacity summary'!$C$14="Yes",IF(COUNTBLANK('Capacity summary'!$H92:$BG92)&lt;52,IF('Capacity summary'!BG92&lt;&gt;"",$BI180*BG180,0),BG180*$BI180),BG180*$BI180),0)</f>
        <v>0</v>
      </c>
      <c r="DK180" s="138">
        <f t="shared" si="7"/>
        <v>0</v>
      </c>
    </row>
    <row r="181" spans="3:115" x14ac:dyDescent="0.2">
      <c r="C181" s="68" t="str">
        <f>ROW(A70)&amp;". "&amp;Capacity!N86</f>
        <v xml:space="preserve">70. </v>
      </c>
      <c r="D181" s="68">
        <f>'Capacity setup'!C187</f>
        <v>0</v>
      </c>
      <c r="E181" s="68">
        <f>'Capacity setup'!D187</f>
        <v>0</v>
      </c>
      <c r="F181" s="68">
        <f>'Capacity setup'!E187</f>
        <v>0</v>
      </c>
      <c r="H181" s="68">
        <f ca="1">IF(AND(SUMIF(Capacity_Resource,$D181,'Critical resources (hide)'!U$6:U$105)+SUMIF(Capacity_Resource,$E181,'Critical resources (hide)'!U$6:U$105)+SUMIF(Capacity_Resource,$F181,'Critical resources (hide)'!U$6:U$105)&gt;0,$E$1=2),0,1)</f>
        <v>1</v>
      </c>
      <c r="I181" s="68">
        <f ca="1">IF(AND(SUMIF(Capacity_Resource,$D181,'Critical resources (hide)'!V$6:V$105)+SUMIF(Capacity_Resource,$E181,'Critical resources (hide)'!V$6:V$105)+SUMIF(Capacity_Resource,$F181,'Critical resources (hide)'!V$6:V$105)&gt;0,$E$1=2),0,1)</f>
        <v>1</v>
      </c>
      <c r="J181" s="68">
        <f ca="1">IF(AND(SUMIF(Capacity_Resource,$D181,'Critical resources (hide)'!W$6:W$105)+SUMIF(Capacity_Resource,$E181,'Critical resources (hide)'!W$6:W$105)+SUMIF(Capacity_Resource,$F181,'Critical resources (hide)'!W$6:W$105)&gt;0,$E$1=2),0,1)</f>
        <v>1</v>
      </c>
      <c r="K181" s="68">
        <f ca="1">IF(AND(SUMIF(Capacity_Resource,$D181,'Critical resources (hide)'!X$6:X$105)+SUMIF(Capacity_Resource,$E181,'Critical resources (hide)'!X$6:X$105)+SUMIF(Capacity_Resource,$F181,'Critical resources (hide)'!X$6:X$105)&gt;0,$E$1=2),0,1)</f>
        <v>1</v>
      </c>
      <c r="L181" s="68">
        <f ca="1">IF(AND(SUMIF(Capacity_Resource,$D181,'Critical resources (hide)'!Y$6:Y$105)+SUMIF(Capacity_Resource,$E181,'Critical resources (hide)'!Y$6:Y$105)+SUMIF(Capacity_Resource,$F181,'Critical resources (hide)'!Y$6:Y$105)&gt;0,$E$1=2),0,1)</f>
        <v>1</v>
      </c>
      <c r="M181" s="68">
        <f ca="1">IF(AND(SUMIF(Capacity_Resource,$D181,'Critical resources (hide)'!Z$6:Z$105)+SUMIF(Capacity_Resource,$E181,'Critical resources (hide)'!Z$6:Z$105)+SUMIF(Capacity_Resource,$F181,'Critical resources (hide)'!Z$6:Z$105)&gt;0,$E$1=2),0,1)</f>
        <v>1</v>
      </c>
      <c r="N181" s="68">
        <f ca="1">IF(AND(SUMIF(Capacity_Resource,$D181,'Critical resources (hide)'!AA$6:AA$105)+SUMIF(Capacity_Resource,$E181,'Critical resources (hide)'!AA$6:AA$105)+SUMIF(Capacity_Resource,$F181,'Critical resources (hide)'!AA$6:AA$105)&gt;0,$E$1=2),0,1)</f>
        <v>1</v>
      </c>
      <c r="O181" s="68">
        <f ca="1">IF(AND(SUMIF(Capacity_Resource,$D181,'Critical resources (hide)'!AB$6:AB$105)+SUMIF(Capacity_Resource,$E181,'Critical resources (hide)'!AB$6:AB$105)+SUMIF(Capacity_Resource,$F181,'Critical resources (hide)'!AB$6:AB$105)&gt;0,$E$1=2),0,1)</f>
        <v>1</v>
      </c>
      <c r="P181" s="68">
        <f ca="1">IF(AND(SUMIF(Capacity_Resource,$D181,'Critical resources (hide)'!AC$6:AC$105)+SUMIF(Capacity_Resource,$E181,'Critical resources (hide)'!AC$6:AC$105)+SUMIF(Capacity_Resource,$F181,'Critical resources (hide)'!AC$6:AC$105)&gt;0,$E$1=2),0,1)</f>
        <v>1</v>
      </c>
      <c r="Q181" s="68">
        <f ca="1">IF(AND(SUMIF(Capacity_Resource,$D181,'Critical resources (hide)'!AD$6:AD$105)+SUMIF(Capacity_Resource,$E181,'Critical resources (hide)'!AD$6:AD$105)+SUMIF(Capacity_Resource,$F181,'Critical resources (hide)'!AD$6:AD$105)&gt;0,$E$1=2),0,1)</f>
        <v>1</v>
      </c>
      <c r="R181" s="68">
        <f ca="1">IF(AND(SUMIF(Capacity_Resource,$D181,'Critical resources (hide)'!AE$6:AE$105)+SUMIF(Capacity_Resource,$E181,'Critical resources (hide)'!AE$6:AE$105)+SUMIF(Capacity_Resource,$F181,'Critical resources (hide)'!AE$6:AE$105)&gt;0,$E$1=2),0,1)</f>
        <v>1</v>
      </c>
      <c r="S181" s="68">
        <f ca="1">IF(AND(SUMIF(Capacity_Resource,$D181,'Critical resources (hide)'!AF$6:AF$105)+SUMIF(Capacity_Resource,$E181,'Critical resources (hide)'!AF$6:AF$105)+SUMIF(Capacity_Resource,$F181,'Critical resources (hide)'!AF$6:AF$105)&gt;0,$E$1=2),0,1)</f>
        <v>1</v>
      </c>
      <c r="T181" s="68">
        <f ca="1">IF(AND(SUMIF(Capacity_Resource,$D181,'Critical resources (hide)'!AG$6:AG$105)+SUMIF(Capacity_Resource,$E181,'Critical resources (hide)'!AG$6:AG$105)+SUMIF(Capacity_Resource,$F181,'Critical resources (hide)'!AG$6:AG$105)&gt;0,$E$1=2),0,1)</f>
        <v>1</v>
      </c>
      <c r="U181" s="68">
        <f ca="1">IF(AND(SUMIF(Capacity_Resource,$D181,'Critical resources (hide)'!AH$6:AH$105)+SUMIF(Capacity_Resource,$E181,'Critical resources (hide)'!AH$6:AH$105)+SUMIF(Capacity_Resource,$F181,'Critical resources (hide)'!AH$6:AH$105)&gt;0,$E$1=2),0,1)</f>
        <v>1</v>
      </c>
      <c r="V181" s="68">
        <f ca="1">IF(AND(SUMIF(Capacity_Resource,$D181,'Critical resources (hide)'!AI$6:AI$105)+SUMIF(Capacity_Resource,$E181,'Critical resources (hide)'!AI$6:AI$105)+SUMIF(Capacity_Resource,$F181,'Critical resources (hide)'!AI$6:AI$105)&gt;0,$E$1=2),0,1)</f>
        <v>1</v>
      </c>
      <c r="W181" s="68">
        <f ca="1">IF(AND(SUMIF(Capacity_Resource,$D181,'Critical resources (hide)'!AJ$6:AJ$105)+SUMIF(Capacity_Resource,$E181,'Critical resources (hide)'!AJ$6:AJ$105)+SUMIF(Capacity_Resource,$F181,'Critical resources (hide)'!AJ$6:AJ$105)&gt;0,$E$1=2),0,1)</f>
        <v>1</v>
      </c>
      <c r="X181" s="68">
        <f ca="1">IF(AND(SUMIF(Capacity_Resource,$D181,'Critical resources (hide)'!AK$6:AK$105)+SUMIF(Capacity_Resource,$E181,'Critical resources (hide)'!AK$6:AK$105)+SUMIF(Capacity_Resource,$F181,'Critical resources (hide)'!AK$6:AK$105)&gt;0,$E$1=2),0,1)</f>
        <v>1</v>
      </c>
      <c r="Y181" s="68">
        <f ca="1">IF(AND(SUMIF(Capacity_Resource,$D181,'Critical resources (hide)'!AL$6:AL$105)+SUMIF(Capacity_Resource,$E181,'Critical resources (hide)'!AL$6:AL$105)+SUMIF(Capacity_Resource,$F181,'Critical resources (hide)'!AL$6:AL$105)&gt;0,$E$1=2),0,1)</f>
        <v>1</v>
      </c>
      <c r="Z181" s="68">
        <f ca="1">IF(AND(SUMIF(Capacity_Resource,$D181,'Critical resources (hide)'!AM$6:AM$105)+SUMIF(Capacity_Resource,$E181,'Critical resources (hide)'!AM$6:AM$105)+SUMIF(Capacity_Resource,$F181,'Critical resources (hide)'!AM$6:AM$105)&gt;0,$E$1=2),0,1)</f>
        <v>1</v>
      </c>
      <c r="AA181" s="68">
        <f ca="1">IF(AND(SUMIF(Capacity_Resource,$D181,'Critical resources (hide)'!AN$6:AN$105)+SUMIF(Capacity_Resource,$E181,'Critical resources (hide)'!AN$6:AN$105)+SUMIF(Capacity_Resource,$F181,'Critical resources (hide)'!AN$6:AN$105)&gt;0,$E$1=2),0,1)</f>
        <v>1</v>
      </c>
      <c r="AB181" s="68">
        <f ca="1">IF(AND(SUMIF(Capacity_Resource,$D181,'Critical resources (hide)'!AO$6:AO$105)+SUMIF(Capacity_Resource,$E181,'Critical resources (hide)'!AO$6:AO$105)+SUMIF(Capacity_Resource,$F181,'Critical resources (hide)'!AO$6:AO$105)&gt;0,$E$1=2),0,1)</f>
        <v>1</v>
      </c>
      <c r="AC181" s="68">
        <f ca="1">IF(AND(SUMIF(Capacity_Resource,$D181,'Critical resources (hide)'!AP$6:AP$105)+SUMIF(Capacity_Resource,$E181,'Critical resources (hide)'!AP$6:AP$105)+SUMIF(Capacity_Resource,$F181,'Critical resources (hide)'!AP$6:AP$105)&gt;0,$E$1=2),0,1)</f>
        <v>1</v>
      </c>
      <c r="AD181" s="68">
        <f ca="1">IF(AND(SUMIF(Capacity_Resource,$D181,'Critical resources (hide)'!AQ$6:AQ$105)+SUMIF(Capacity_Resource,$E181,'Critical resources (hide)'!AQ$6:AQ$105)+SUMIF(Capacity_Resource,$F181,'Critical resources (hide)'!AQ$6:AQ$105)&gt;0,$E$1=2),0,1)</f>
        <v>1</v>
      </c>
      <c r="AE181" s="68">
        <f ca="1">IF(AND(SUMIF(Capacity_Resource,$D181,'Critical resources (hide)'!AR$6:AR$105)+SUMIF(Capacity_Resource,$E181,'Critical resources (hide)'!AR$6:AR$105)+SUMIF(Capacity_Resource,$F181,'Critical resources (hide)'!AR$6:AR$105)&gt;0,$E$1=2),0,1)</f>
        <v>1</v>
      </c>
      <c r="AF181" s="68">
        <f ca="1">IF(AND(SUMIF(Capacity_Resource,$D181,'Critical resources (hide)'!AS$6:AS$105)+SUMIF(Capacity_Resource,$E181,'Critical resources (hide)'!AS$6:AS$105)+SUMIF(Capacity_Resource,$F181,'Critical resources (hide)'!AS$6:AS$105)&gt;0,$E$1=2),0,1)</f>
        <v>1</v>
      </c>
      <c r="AG181" s="68">
        <f ca="1">IF(AND(SUMIF(Capacity_Resource,$D181,'Critical resources (hide)'!AT$6:AT$105)+SUMIF(Capacity_Resource,$E181,'Critical resources (hide)'!AT$6:AT$105)+SUMIF(Capacity_Resource,$F181,'Critical resources (hide)'!AT$6:AT$105)&gt;0,$E$1=2),0,1)</f>
        <v>1</v>
      </c>
      <c r="AH181" s="68">
        <f ca="1">IF(AND(SUMIF(Capacity_Resource,$D181,'Critical resources (hide)'!AU$6:AU$105)+SUMIF(Capacity_Resource,$E181,'Critical resources (hide)'!AU$6:AU$105)+SUMIF(Capacity_Resource,$F181,'Critical resources (hide)'!AU$6:AU$105)&gt;0,$E$1=2),0,1)</f>
        <v>1</v>
      </c>
      <c r="AI181" s="68">
        <f ca="1">IF(AND(SUMIF(Capacity_Resource,$D181,'Critical resources (hide)'!AV$6:AV$105)+SUMIF(Capacity_Resource,$E181,'Critical resources (hide)'!AV$6:AV$105)+SUMIF(Capacity_Resource,$F181,'Critical resources (hide)'!AV$6:AV$105)&gt;0,$E$1=2),0,1)</f>
        <v>1</v>
      </c>
      <c r="AJ181" s="68">
        <f ca="1">IF(AND(SUMIF(Capacity_Resource,$D181,'Critical resources (hide)'!AW$6:AW$105)+SUMIF(Capacity_Resource,$E181,'Critical resources (hide)'!AW$6:AW$105)+SUMIF(Capacity_Resource,$F181,'Critical resources (hide)'!AW$6:AW$105)&gt;0,$E$1=2),0,1)</f>
        <v>1</v>
      </c>
      <c r="AK181" s="68">
        <f ca="1">IF(AND(SUMIF(Capacity_Resource,$D181,'Critical resources (hide)'!AX$6:AX$105)+SUMIF(Capacity_Resource,$E181,'Critical resources (hide)'!AX$6:AX$105)+SUMIF(Capacity_Resource,$F181,'Critical resources (hide)'!AX$6:AX$105)&gt;0,$E$1=2),0,1)</f>
        <v>1</v>
      </c>
      <c r="AL181" s="68">
        <f ca="1">IF(AND(SUMIF(Capacity_Resource,$D181,'Critical resources (hide)'!AY$6:AY$105)+SUMIF(Capacity_Resource,$E181,'Critical resources (hide)'!AY$6:AY$105)+SUMIF(Capacity_Resource,$F181,'Critical resources (hide)'!AY$6:AY$105)&gt;0,$E$1=2),0,1)</f>
        <v>1</v>
      </c>
      <c r="AM181" s="68">
        <f ca="1">IF(AND(SUMIF(Capacity_Resource,$D181,'Critical resources (hide)'!AZ$6:AZ$105)+SUMIF(Capacity_Resource,$E181,'Critical resources (hide)'!AZ$6:AZ$105)+SUMIF(Capacity_Resource,$F181,'Critical resources (hide)'!AZ$6:AZ$105)&gt;0,$E$1=2),0,1)</f>
        <v>1</v>
      </c>
      <c r="AN181" s="68">
        <f ca="1">IF(AND(SUMIF(Capacity_Resource,$D181,'Critical resources (hide)'!BA$6:BA$105)+SUMIF(Capacity_Resource,$E181,'Critical resources (hide)'!BA$6:BA$105)+SUMIF(Capacity_Resource,$F181,'Critical resources (hide)'!BA$6:BA$105)&gt;0,$E$1=2),0,1)</f>
        <v>1</v>
      </c>
      <c r="AO181" s="68">
        <f ca="1">IF(AND(SUMIF(Capacity_Resource,$D181,'Critical resources (hide)'!BB$6:BB$105)+SUMIF(Capacity_Resource,$E181,'Critical resources (hide)'!BB$6:BB$105)+SUMIF(Capacity_Resource,$F181,'Critical resources (hide)'!BB$6:BB$105)&gt;0,$E$1=2),0,1)</f>
        <v>1</v>
      </c>
      <c r="AP181" s="68">
        <f ca="1">IF(AND(SUMIF(Capacity_Resource,$D181,'Critical resources (hide)'!BC$6:BC$105)+SUMIF(Capacity_Resource,$E181,'Critical resources (hide)'!BC$6:BC$105)+SUMIF(Capacity_Resource,$F181,'Critical resources (hide)'!BC$6:BC$105)&gt;0,$E$1=2),0,1)</f>
        <v>1</v>
      </c>
      <c r="AQ181" s="68">
        <f ca="1">IF(AND(SUMIF(Capacity_Resource,$D181,'Critical resources (hide)'!BD$6:BD$105)+SUMIF(Capacity_Resource,$E181,'Critical resources (hide)'!BD$6:BD$105)+SUMIF(Capacity_Resource,$F181,'Critical resources (hide)'!BD$6:BD$105)&gt;0,$E$1=2),0,1)</f>
        <v>1</v>
      </c>
      <c r="AR181" s="68">
        <f ca="1">IF(AND(SUMIF(Capacity_Resource,$D181,'Critical resources (hide)'!BE$6:BE$105)+SUMIF(Capacity_Resource,$E181,'Critical resources (hide)'!BE$6:BE$105)+SUMIF(Capacity_Resource,$F181,'Critical resources (hide)'!BE$6:BE$105)&gt;0,$E$1=2),0,1)</f>
        <v>1</v>
      </c>
      <c r="AS181" s="68">
        <f ca="1">IF(AND(SUMIF(Capacity_Resource,$D181,'Critical resources (hide)'!BF$6:BF$105)+SUMIF(Capacity_Resource,$E181,'Critical resources (hide)'!BF$6:BF$105)+SUMIF(Capacity_Resource,$F181,'Critical resources (hide)'!BF$6:BF$105)&gt;0,$E$1=2),0,1)</f>
        <v>1</v>
      </c>
      <c r="AT181" s="68">
        <f ca="1">IF(AND(SUMIF(Capacity_Resource,$D181,'Critical resources (hide)'!BG$6:BG$105)+SUMIF(Capacity_Resource,$E181,'Critical resources (hide)'!BG$6:BG$105)+SUMIF(Capacity_Resource,$F181,'Critical resources (hide)'!BG$6:BG$105)&gt;0,$E$1=2),0,1)</f>
        <v>1</v>
      </c>
      <c r="AU181" s="68">
        <f ca="1">IF(AND(SUMIF(Capacity_Resource,$D181,'Critical resources (hide)'!BH$6:BH$105)+SUMIF(Capacity_Resource,$E181,'Critical resources (hide)'!BH$6:BH$105)+SUMIF(Capacity_Resource,$F181,'Critical resources (hide)'!BH$6:BH$105)&gt;0,$E$1=2),0,1)</f>
        <v>1</v>
      </c>
      <c r="AV181" s="68">
        <f ca="1">IF(AND(SUMIF(Capacity_Resource,$D181,'Critical resources (hide)'!BI$6:BI$105)+SUMIF(Capacity_Resource,$E181,'Critical resources (hide)'!BI$6:BI$105)+SUMIF(Capacity_Resource,$F181,'Critical resources (hide)'!BI$6:BI$105)&gt;0,$E$1=2),0,1)</f>
        <v>1</v>
      </c>
      <c r="AW181" s="68">
        <f ca="1">IF(AND(SUMIF(Capacity_Resource,$D181,'Critical resources (hide)'!BJ$6:BJ$105)+SUMIF(Capacity_Resource,$E181,'Critical resources (hide)'!BJ$6:BJ$105)+SUMIF(Capacity_Resource,$F181,'Critical resources (hide)'!BJ$6:BJ$105)&gt;0,$E$1=2),0,1)</f>
        <v>1</v>
      </c>
      <c r="AX181" s="68">
        <f ca="1">IF(AND(SUMIF(Capacity_Resource,$D181,'Critical resources (hide)'!BK$6:BK$105)+SUMIF(Capacity_Resource,$E181,'Critical resources (hide)'!BK$6:BK$105)+SUMIF(Capacity_Resource,$F181,'Critical resources (hide)'!BK$6:BK$105)&gt;0,$E$1=2),0,1)</f>
        <v>1</v>
      </c>
      <c r="AY181" s="68">
        <f ca="1">IF(AND(SUMIF(Capacity_Resource,$D181,'Critical resources (hide)'!BL$6:BL$105)+SUMIF(Capacity_Resource,$E181,'Critical resources (hide)'!BL$6:BL$105)+SUMIF(Capacity_Resource,$F181,'Critical resources (hide)'!BL$6:BL$105)&gt;0,$E$1=2),0,1)</f>
        <v>1</v>
      </c>
      <c r="AZ181" s="68">
        <f ca="1">IF(AND(SUMIF(Capacity_Resource,$D181,'Critical resources (hide)'!BM$6:BM$105)+SUMIF(Capacity_Resource,$E181,'Critical resources (hide)'!BM$6:BM$105)+SUMIF(Capacity_Resource,$F181,'Critical resources (hide)'!BM$6:BM$105)&gt;0,$E$1=2),0,1)</f>
        <v>1</v>
      </c>
      <c r="BA181" s="68">
        <f ca="1">IF(AND(SUMIF(Capacity_Resource,$D181,'Critical resources (hide)'!BN$6:BN$105)+SUMIF(Capacity_Resource,$E181,'Critical resources (hide)'!BN$6:BN$105)+SUMIF(Capacity_Resource,$F181,'Critical resources (hide)'!BN$6:BN$105)&gt;0,$E$1=2),0,1)</f>
        <v>1</v>
      </c>
      <c r="BB181" s="68">
        <f ca="1">IF(AND(SUMIF(Capacity_Resource,$D181,'Critical resources (hide)'!BO$6:BO$105)+SUMIF(Capacity_Resource,$E181,'Critical resources (hide)'!BO$6:BO$105)+SUMIF(Capacity_Resource,$F181,'Critical resources (hide)'!BO$6:BO$105)&gt;0,$E$1=2),0,1)</f>
        <v>1</v>
      </c>
      <c r="BC181" s="68">
        <f ca="1">IF(AND(SUMIF(Capacity_Resource,$D181,'Critical resources (hide)'!BP$6:BP$105)+SUMIF(Capacity_Resource,$E181,'Critical resources (hide)'!BP$6:BP$105)+SUMIF(Capacity_Resource,$F181,'Critical resources (hide)'!BP$6:BP$105)&gt;0,$E$1=2),0,1)</f>
        <v>1</v>
      </c>
      <c r="BD181" s="68">
        <f ca="1">IF(AND(SUMIF(Capacity_Resource,$D181,'Critical resources (hide)'!BQ$6:BQ$105)+SUMIF(Capacity_Resource,$E181,'Critical resources (hide)'!BQ$6:BQ$105)+SUMIF(Capacity_Resource,$F181,'Critical resources (hide)'!BQ$6:BQ$105)&gt;0,$E$1=2),0,1)</f>
        <v>1</v>
      </c>
      <c r="BE181" s="68">
        <f ca="1">IF(AND(SUMIF(Capacity_Resource,$D181,'Critical resources (hide)'!BR$6:BR$105)+SUMIF(Capacity_Resource,$E181,'Critical resources (hide)'!BR$6:BR$105)+SUMIF(Capacity_Resource,$F181,'Critical resources (hide)'!BR$6:BR$105)&gt;0,$E$1=2),0,1)</f>
        <v>1</v>
      </c>
      <c r="BF181" s="68">
        <f ca="1">IF(AND(SUMIF(Capacity_Resource,$D181,'Critical resources (hide)'!BS$6:BS$105)+SUMIF(Capacity_Resource,$E181,'Critical resources (hide)'!BS$6:BS$105)+SUMIF(Capacity_Resource,$F181,'Critical resources (hide)'!BS$6:BS$105)&gt;0,$E$1=2),0,1)</f>
        <v>1</v>
      </c>
      <c r="BG181" s="68">
        <f ca="1">IF(AND(SUMIF(Capacity_Resource,$D181,'Critical resources (hide)'!BT$6:BT$105)+SUMIF(Capacity_Resource,$E181,'Critical resources (hide)'!BT$6:BT$105)+SUMIF(Capacity_Resource,$F181,'Critical resources (hide)'!BT$6:BT$105)&gt;0,$E$1=2),0,1)</f>
        <v>1</v>
      </c>
      <c r="BH181" s="68">
        <f>IF(ROW(A70)&lt;=Capacity!$M$16,IF('Capacity summary'!$C$14="No",SUM(H181:BG181),'Capacity summary'!$E93),0)</f>
        <v>0</v>
      </c>
      <c r="BI181" s="68" t="str">
        <f>IF(BH181&gt;0,IF(BH181&lt;Capacity!Q86,Capacity!R86,Capacity!T86/'Capacity calculation (hide)'!BH181),"")</f>
        <v/>
      </c>
      <c r="BJ181" s="5"/>
      <c r="BK181" s="5">
        <f>IF($BI181&lt;&gt;"",IF('Capacity summary'!$C$14="Yes",IF(COUNTBLANK('Capacity summary'!$H93:$BG93)&lt;52,IF('Capacity summary'!H93&lt;&gt;"",$BI181*H181,0),H181*$BI181),H181*$BI181),0)</f>
        <v>0</v>
      </c>
      <c r="BL181" s="5">
        <f>IF($BI181&lt;&gt;"",IF('Capacity summary'!$C$14="Yes",IF(COUNTBLANK('Capacity summary'!$H93:$BG93)&lt;52,IF('Capacity summary'!I93&lt;&gt;"",$BI181*I181,0),I181*$BI181),I181*$BI181),0)</f>
        <v>0</v>
      </c>
      <c r="BM181" s="5">
        <f>IF($BI181&lt;&gt;"",IF('Capacity summary'!$C$14="Yes",IF(COUNTBLANK('Capacity summary'!$H93:$BG93)&lt;52,IF('Capacity summary'!J93&lt;&gt;"",$BI181*J181,0),J181*$BI181),J181*$BI181),0)</f>
        <v>0</v>
      </c>
      <c r="BN181" s="5">
        <f>IF($BI181&lt;&gt;"",IF('Capacity summary'!$C$14="Yes",IF(COUNTBLANK('Capacity summary'!$H93:$BG93)&lt;52,IF('Capacity summary'!K93&lt;&gt;"",$BI181*K181,0),K181*$BI181),K181*$BI181),0)</f>
        <v>0</v>
      </c>
      <c r="BO181" s="5">
        <f>IF($BI181&lt;&gt;"",IF('Capacity summary'!$C$14="Yes",IF(COUNTBLANK('Capacity summary'!$H93:$BG93)&lt;52,IF('Capacity summary'!L93&lt;&gt;"",$BI181*L181,0),L181*$BI181),L181*$BI181),0)</f>
        <v>0</v>
      </c>
      <c r="BP181" s="5">
        <f>IF($BI181&lt;&gt;"",IF('Capacity summary'!$C$14="Yes",IF(COUNTBLANK('Capacity summary'!$H93:$BG93)&lt;52,IF('Capacity summary'!M93&lt;&gt;"",$BI181*M181,0),M181*$BI181),M181*$BI181),0)</f>
        <v>0</v>
      </c>
      <c r="BQ181" s="5">
        <f>IF($BI181&lt;&gt;"",IF('Capacity summary'!$C$14="Yes",IF(COUNTBLANK('Capacity summary'!$H93:$BG93)&lt;52,IF('Capacity summary'!N93&lt;&gt;"",$BI181*N181,0),N181*$BI181),N181*$BI181),0)</f>
        <v>0</v>
      </c>
      <c r="BR181" s="5">
        <f>IF($BI181&lt;&gt;"",IF('Capacity summary'!$C$14="Yes",IF(COUNTBLANK('Capacity summary'!$H93:$BG93)&lt;52,IF('Capacity summary'!O93&lt;&gt;"",$BI181*O181,0),O181*$BI181),O181*$BI181),0)</f>
        <v>0</v>
      </c>
      <c r="BS181" s="5">
        <f>IF($BI181&lt;&gt;"",IF('Capacity summary'!$C$14="Yes",IF(COUNTBLANK('Capacity summary'!$H93:$BG93)&lt;52,IF('Capacity summary'!P93&lt;&gt;"",$BI181*P181,0),P181*$BI181),P181*$BI181),0)</f>
        <v>0</v>
      </c>
      <c r="BT181" s="5">
        <f>IF($BI181&lt;&gt;"",IF('Capacity summary'!$C$14="Yes",IF(COUNTBLANK('Capacity summary'!$H93:$BG93)&lt;52,IF('Capacity summary'!Q93&lt;&gt;"",$BI181*Q181,0),Q181*$BI181),Q181*$BI181),0)</f>
        <v>0</v>
      </c>
      <c r="BU181" s="5">
        <f>IF($BI181&lt;&gt;"",IF('Capacity summary'!$C$14="Yes",IF(COUNTBLANK('Capacity summary'!$H93:$BG93)&lt;52,IF('Capacity summary'!R93&lt;&gt;"",$BI181*R181,0),R181*$BI181),R181*$BI181),0)</f>
        <v>0</v>
      </c>
      <c r="BV181" s="5">
        <f>IF($BI181&lt;&gt;"",IF('Capacity summary'!$C$14="Yes",IF(COUNTBLANK('Capacity summary'!$H93:$BG93)&lt;52,IF('Capacity summary'!S93&lt;&gt;"",$BI181*S181,0),S181*$BI181),S181*$BI181),0)</f>
        <v>0</v>
      </c>
      <c r="BW181" s="5">
        <f>IF($BI181&lt;&gt;"",IF('Capacity summary'!$C$14="Yes",IF(COUNTBLANK('Capacity summary'!$H93:$BG93)&lt;52,IF('Capacity summary'!T93&lt;&gt;"",$BI181*T181,0),T181*$BI181),T181*$BI181),0)</f>
        <v>0</v>
      </c>
      <c r="BX181" s="5">
        <f>IF($BI181&lt;&gt;"",IF('Capacity summary'!$C$14="Yes",IF(COUNTBLANK('Capacity summary'!$H93:$BG93)&lt;52,IF('Capacity summary'!U93&lt;&gt;"",$BI181*U181,0),U181*$BI181),U181*$BI181),0)</f>
        <v>0</v>
      </c>
      <c r="BY181" s="5">
        <f>IF($BI181&lt;&gt;"",IF('Capacity summary'!$C$14="Yes",IF(COUNTBLANK('Capacity summary'!$H93:$BG93)&lt;52,IF('Capacity summary'!V93&lt;&gt;"",$BI181*V181,0),V181*$BI181),V181*$BI181),0)</f>
        <v>0</v>
      </c>
      <c r="BZ181" s="5">
        <f>IF($BI181&lt;&gt;"",IF('Capacity summary'!$C$14="Yes",IF(COUNTBLANK('Capacity summary'!$H93:$BG93)&lt;52,IF('Capacity summary'!W93&lt;&gt;"",$BI181*W181,0),W181*$BI181),W181*$BI181),0)</f>
        <v>0</v>
      </c>
      <c r="CA181" s="5">
        <f>IF($BI181&lt;&gt;"",IF('Capacity summary'!$C$14="Yes",IF(COUNTBLANK('Capacity summary'!$H93:$BG93)&lt;52,IF('Capacity summary'!X93&lt;&gt;"",$BI181*X181,0),X181*$BI181),X181*$BI181),0)</f>
        <v>0</v>
      </c>
      <c r="CB181" s="5">
        <f>IF($BI181&lt;&gt;"",IF('Capacity summary'!$C$14="Yes",IF(COUNTBLANK('Capacity summary'!$H93:$BG93)&lt;52,IF('Capacity summary'!Y93&lt;&gt;"",$BI181*Y181,0),Y181*$BI181),Y181*$BI181),0)</f>
        <v>0</v>
      </c>
      <c r="CC181" s="5">
        <f>IF($BI181&lt;&gt;"",IF('Capacity summary'!$C$14="Yes",IF(COUNTBLANK('Capacity summary'!$H93:$BG93)&lt;52,IF('Capacity summary'!Z93&lt;&gt;"",$BI181*Z181,0),Z181*$BI181),Z181*$BI181),0)</f>
        <v>0</v>
      </c>
      <c r="CD181" s="5">
        <f>IF($BI181&lt;&gt;"",IF('Capacity summary'!$C$14="Yes",IF(COUNTBLANK('Capacity summary'!$H93:$BG93)&lt;52,IF('Capacity summary'!AA93&lt;&gt;"",$BI181*AA181,0),AA181*$BI181),AA181*$BI181),0)</f>
        <v>0</v>
      </c>
      <c r="CE181" s="5">
        <f>IF($BI181&lt;&gt;"",IF('Capacity summary'!$C$14="Yes",IF(COUNTBLANK('Capacity summary'!$H93:$BG93)&lt;52,IF('Capacity summary'!AB93&lt;&gt;"",$BI181*AB181,0),AB181*$BI181),AB181*$BI181),0)</f>
        <v>0</v>
      </c>
      <c r="CF181" s="5">
        <f>IF($BI181&lt;&gt;"",IF('Capacity summary'!$C$14="Yes",IF(COUNTBLANK('Capacity summary'!$H93:$BG93)&lt;52,IF('Capacity summary'!AC93&lt;&gt;"",$BI181*AC181,0),AC181*$BI181),AC181*$BI181),0)</f>
        <v>0</v>
      </c>
      <c r="CG181" s="5">
        <f>IF($BI181&lt;&gt;"",IF('Capacity summary'!$C$14="Yes",IF(COUNTBLANK('Capacity summary'!$H93:$BG93)&lt;52,IF('Capacity summary'!AD93&lt;&gt;"",$BI181*AD181,0),AD181*$BI181),AD181*$BI181),0)</f>
        <v>0</v>
      </c>
      <c r="CH181" s="5">
        <f>IF($BI181&lt;&gt;"",IF('Capacity summary'!$C$14="Yes",IF(COUNTBLANK('Capacity summary'!$H93:$BG93)&lt;52,IF('Capacity summary'!AE93&lt;&gt;"",$BI181*AE181,0),AE181*$BI181),AE181*$BI181),0)</f>
        <v>0</v>
      </c>
      <c r="CI181" s="5">
        <f>IF($BI181&lt;&gt;"",IF('Capacity summary'!$C$14="Yes",IF(COUNTBLANK('Capacity summary'!$H93:$BG93)&lt;52,IF('Capacity summary'!AF93&lt;&gt;"",$BI181*AF181,0),AF181*$BI181),AF181*$BI181),0)</f>
        <v>0</v>
      </c>
      <c r="CJ181" s="5">
        <f>IF($BI181&lt;&gt;"",IF('Capacity summary'!$C$14="Yes",IF(COUNTBLANK('Capacity summary'!$H93:$BG93)&lt;52,IF('Capacity summary'!AG93&lt;&gt;"",$BI181*AG181,0),AG181*$BI181),AG181*$BI181),0)</f>
        <v>0</v>
      </c>
      <c r="CK181" s="5">
        <f>IF($BI181&lt;&gt;"",IF('Capacity summary'!$C$14="Yes",IF(COUNTBLANK('Capacity summary'!$H93:$BG93)&lt;52,IF('Capacity summary'!AH93&lt;&gt;"",$BI181*AH181,0),AH181*$BI181),AH181*$BI181),0)</f>
        <v>0</v>
      </c>
      <c r="CL181" s="5">
        <f>IF($BI181&lt;&gt;"",IF('Capacity summary'!$C$14="Yes",IF(COUNTBLANK('Capacity summary'!$H93:$BG93)&lt;52,IF('Capacity summary'!AI93&lt;&gt;"",$BI181*AI181,0),AI181*$BI181),AI181*$BI181),0)</f>
        <v>0</v>
      </c>
      <c r="CM181" s="5">
        <f>IF($BI181&lt;&gt;"",IF('Capacity summary'!$C$14="Yes",IF(COUNTBLANK('Capacity summary'!$H93:$BG93)&lt;52,IF('Capacity summary'!AJ93&lt;&gt;"",$BI181*AJ181,0),AJ181*$BI181),AJ181*$BI181),0)</f>
        <v>0</v>
      </c>
      <c r="CN181" s="5">
        <f>IF($BI181&lt;&gt;"",IF('Capacity summary'!$C$14="Yes",IF(COUNTBLANK('Capacity summary'!$H93:$BG93)&lt;52,IF('Capacity summary'!AK93&lt;&gt;"",$BI181*AK181,0),AK181*$BI181),AK181*$BI181),0)</f>
        <v>0</v>
      </c>
      <c r="CO181" s="5">
        <f>IF($BI181&lt;&gt;"",IF('Capacity summary'!$C$14="Yes",IF(COUNTBLANK('Capacity summary'!$H93:$BG93)&lt;52,IF('Capacity summary'!AL93&lt;&gt;"",$BI181*AL181,0),AL181*$BI181),AL181*$BI181),0)</f>
        <v>0</v>
      </c>
      <c r="CP181" s="5">
        <f>IF($BI181&lt;&gt;"",IF('Capacity summary'!$C$14="Yes",IF(COUNTBLANK('Capacity summary'!$H93:$BG93)&lt;52,IF('Capacity summary'!AM93&lt;&gt;"",$BI181*AM181,0),AM181*$BI181),AM181*$BI181),0)</f>
        <v>0</v>
      </c>
      <c r="CQ181" s="5">
        <f>IF($BI181&lt;&gt;"",IF('Capacity summary'!$C$14="Yes",IF(COUNTBLANK('Capacity summary'!$H93:$BG93)&lt;52,IF('Capacity summary'!AN93&lt;&gt;"",$BI181*AN181,0),AN181*$BI181),AN181*$BI181),0)</f>
        <v>0</v>
      </c>
      <c r="CR181" s="5">
        <f>IF($BI181&lt;&gt;"",IF('Capacity summary'!$C$14="Yes",IF(COUNTBLANK('Capacity summary'!$H93:$BG93)&lt;52,IF('Capacity summary'!AO93&lt;&gt;"",$BI181*AO181,0),AO181*$BI181),AO181*$BI181),0)</f>
        <v>0</v>
      </c>
      <c r="CS181" s="5">
        <f>IF($BI181&lt;&gt;"",IF('Capacity summary'!$C$14="Yes",IF(COUNTBLANK('Capacity summary'!$H93:$BG93)&lt;52,IF('Capacity summary'!AP93&lt;&gt;"",$BI181*AP181,0),AP181*$BI181),AP181*$BI181),0)</f>
        <v>0</v>
      </c>
      <c r="CT181" s="5">
        <f>IF($BI181&lt;&gt;"",IF('Capacity summary'!$C$14="Yes",IF(COUNTBLANK('Capacity summary'!$H93:$BG93)&lt;52,IF('Capacity summary'!AQ93&lt;&gt;"",$BI181*AQ181,0),AQ181*$BI181),AQ181*$BI181),0)</f>
        <v>0</v>
      </c>
      <c r="CU181" s="5">
        <f>IF($BI181&lt;&gt;"",IF('Capacity summary'!$C$14="Yes",IF(COUNTBLANK('Capacity summary'!$H93:$BG93)&lt;52,IF('Capacity summary'!AR93&lt;&gt;"",$BI181*AR181,0),AR181*$BI181),AR181*$BI181),0)</f>
        <v>0</v>
      </c>
      <c r="CV181" s="5">
        <f>IF($BI181&lt;&gt;"",IF('Capacity summary'!$C$14="Yes",IF(COUNTBLANK('Capacity summary'!$H93:$BG93)&lt;52,IF('Capacity summary'!AS93&lt;&gt;"",$BI181*AS181,0),AS181*$BI181),AS181*$BI181),0)</f>
        <v>0</v>
      </c>
      <c r="CW181" s="5">
        <f>IF($BI181&lt;&gt;"",IF('Capacity summary'!$C$14="Yes",IF(COUNTBLANK('Capacity summary'!$H93:$BG93)&lt;52,IF('Capacity summary'!AT93&lt;&gt;"",$BI181*AT181,0),AT181*$BI181),AT181*$BI181),0)</f>
        <v>0</v>
      </c>
      <c r="CX181" s="5">
        <f>IF($BI181&lt;&gt;"",IF('Capacity summary'!$C$14="Yes",IF(COUNTBLANK('Capacity summary'!$H93:$BG93)&lt;52,IF('Capacity summary'!AU93&lt;&gt;"",$BI181*AU181,0),AU181*$BI181),AU181*$BI181),0)</f>
        <v>0</v>
      </c>
      <c r="CY181" s="5">
        <f>IF($BI181&lt;&gt;"",IF('Capacity summary'!$C$14="Yes",IF(COUNTBLANK('Capacity summary'!$H93:$BG93)&lt;52,IF('Capacity summary'!AV93&lt;&gt;"",$BI181*AV181,0),AV181*$BI181),AV181*$BI181),0)</f>
        <v>0</v>
      </c>
      <c r="CZ181" s="5">
        <f>IF($BI181&lt;&gt;"",IF('Capacity summary'!$C$14="Yes",IF(COUNTBLANK('Capacity summary'!$H93:$BG93)&lt;52,IF('Capacity summary'!AW93&lt;&gt;"",$BI181*AW181,0),AW181*$BI181),AW181*$BI181),0)</f>
        <v>0</v>
      </c>
      <c r="DA181" s="5">
        <f>IF($BI181&lt;&gt;"",IF('Capacity summary'!$C$14="Yes",IF(COUNTBLANK('Capacity summary'!$H93:$BG93)&lt;52,IF('Capacity summary'!AX93&lt;&gt;"",$BI181*AX181,0),AX181*$BI181),AX181*$BI181),0)</f>
        <v>0</v>
      </c>
      <c r="DB181" s="5">
        <f>IF($BI181&lt;&gt;"",IF('Capacity summary'!$C$14="Yes",IF(COUNTBLANK('Capacity summary'!$H93:$BG93)&lt;52,IF('Capacity summary'!AY93&lt;&gt;"",$BI181*AY181,0),AY181*$BI181),AY181*$BI181),0)</f>
        <v>0</v>
      </c>
      <c r="DC181" s="5">
        <f>IF($BI181&lt;&gt;"",IF('Capacity summary'!$C$14="Yes",IF(COUNTBLANK('Capacity summary'!$H93:$BG93)&lt;52,IF('Capacity summary'!AZ93&lt;&gt;"",$BI181*AZ181,0),AZ181*$BI181),AZ181*$BI181),0)</f>
        <v>0</v>
      </c>
      <c r="DD181" s="5">
        <f>IF($BI181&lt;&gt;"",IF('Capacity summary'!$C$14="Yes",IF(COUNTBLANK('Capacity summary'!$H93:$BG93)&lt;52,IF('Capacity summary'!BA93&lt;&gt;"",$BI181*BA181,0),BA181*$BI181),BA181*$BI181),0)</f>
        <v>0</v>
      </c>
      <c r="DE181" s="5">
        <f>IF($BI181&lt;&gt;"",IF('Capacity summary'!$C$14="Yes",IF(COUNTBLANK('Capacity summary'!$H93:$BG93)&lt;52,IF('Capacity summary'!BB93&lt;&gt;"",$BI181*BB181,0),BB181*$BI181),BB181*$BI181),0)</f>
        <v>0</v>
      </c>
      <c r="DF181" s="5">
        <f>IF($BI181&lt;&gt;"",IF('Capacity summary'!$C$14="Yes",IF(COUNTBLANK('Capacity summary'!$H93:$BG93)&lt;52,IF('Capacity summary'!BC93&lt;&gt;"",$BI181*BC181,0),BC181*$BI181),BC181*$BI181),0)</f>
        <v>0</v>
      </c>
      <c r="DG181" s="5">
        <f>IF($BI181&lt;&gt;"",IF('Capacity summary'!$C$14="Yes",IF(COUNTBLANK('Capacity summary'!$H93:$BG93)&lt;52,IF('Capacity summary'!BD93&lt;&gt;"",$BI181*BD181,0),BD181*$BI181),BD181*$BI181),0)</f>
        <v>0</v>
      </c>
      <c r="DH181" s="5">
        <f>IF($BI181&lt;&gt;"",IF('Capacity summary'!$C$14="Yes",IF(COUNTBLANK('Capacity summary'!$H93:$BG93)&lt;52,IF('Capacity summary'!BE93&lt;&gt;"",$BI181*BE181,0),BE181*$BI181),BE181*$BI181),0)</f>
        <v>0</v>
      </c>
      <c r="DI181" s="5">
        <f>IF($BI181&lt;&gt;"",IF('Capacity summary'!$C$14="Yes",IF(COUNTBLANK('Capacity summary'!$H93:$BG93)&lt;52,IF('Capacity summary'!BF93&lt;&gt;"",$BI181*BF181,0),BF181*$BI181),BF181*$BI181),0)</f>
        <v>0</v>
      </c>
      <c r="DJ181" s="5">
        <f>IF($BI181&lt;&gt;"",IF('Capacity summary'!$C$14="Yes",IF(COUNTBLANK('Capacity summary'!$H93:$BG93)&lt;52,IF('Capacity summary'!BG93&lt;&gt;"",$BI181*BG181,0),BG181*$BI181),BG181*$BI181),0)</f>
        <v>0</v>
      </c>
      <c r="DK181" s="138">
        <f t="shared" si="7"/>
        <v>0</v>
      </c>
    </row>
    <row r="182" spans="3:115" x14ac:dyDescent="0.2">
      <c r="C182" s="68" t="str">
        <f>ROW(A71)&amp;". "&amp;Capacity!N87</f>
        <v xml:space="preserve">71. </v>
      </c>
      <c r="D182" s="68">
        <f>'Capacity setup'!C188</f>
        <v>0</v>
      </c>
      <c r="E182" s="68">
        <f>'Capacity setup'!D188</f>
        <v>0</v>
      </c>
      <c r="F182" s="68">
        <f>'Capacity setup'!E188</f>
        <v>0</v>
      </c>
      <c r="H182" s="68">
        <f ca="1">IF(AND(SUMIF(Capacity_Resource,$D182,'Critical resources (hide)'!U$6:U$105)+SUMIF(Capacity_Resource,$E182,'Critical resources (hide)'!U$6:U$105)+SUMIF(Capacity_Resource,$F182,'Critical resources (hide)'!U$6:U$105)&gt;0,$E$1=2),0,1)</f>
        <v>1</v>
      </c>
      <c r="I182" s="68">
        <f ca="1">IF(AND(SUMIF(Capacity_Resource,$D182,'Critical resources (hide)'!V$6:V$105)+SUMIF(Capacity_Resource,$E182,'Critical resources (hide)'!V$6:V$105)+SUMIF(Capacity_Resource,$F182,'Critical resources (hide)'!V$6:V$105)&gt;0,$E$1=2),0,1)</f>
        <v>1</v>
      </c>
      <c r="J182" s="68">
        <f ca="1">IF(AND(SUMIF(Capacity_Resource,$D182,'Critical resources (hide)'!W$6:W$105)+SUMIF(Capacity_Resource,$E182,'Critical resources (hide)'!W$6:W$105)+SUMIF(Capacity_Resource,$F182,'Critical resources (hide)'!W$6:W$105)&gt;0,$E$1=2),0,1)</f>
        <v>1</v>
      </c>
      <c r="K182" s="68">
        <f ca="1">IF(AND(SUMIF(Capacity_Resource,$D182,'Critical resources (hide)'!X$6:X$105)+SUMIF(Capacity_Resource,$E182,'Critical resources (hide)'!X$6:X$105)+SUMIF(Capacity_Resource,$F182,'Critical resources (hide)'!X$6:X$105)&gt;0,$E$1=2),0,1)</f>
        <v>1</v>
      </c>
      <c r="L182" s="68">
        <f ca="1">IF(AND(SUMIF(Capacity_Resource,$D182,'Critical resources (hide)'!Y$6:Y$105)+SUMIF(Capacity_Resource,$E182,'Critical resources (hide)'!Y$6:Y$105)+SUMIF(Capacity_Resource,$F182,'Critical resources (hide)'!Y$6:Y$105)&gt;0,$E$1=2),0,1)</f>
        <v>1</v>
      </c>
      <c r="M182" s="68">
        <f ca="1">IF(AND(SUMIF(Capacity_Resource,$D182,'Critical resources (hide)'!Z$6:Z$105)+SUMIF(Capacity_Resource,$E182,'Critical resources (hide)'!Z$6:Z$105)+SUMIF(Capacity_Resource,$F182,'Critical resources (hide)'!Z$6:Z$105)&gt;0,$E$1=2),0,1)</f>
        <v>1</v>
      </c>
      <c r="N182" s="68">
        <f ca="1">IF(AND(SUMIF(Capacity_Resource,$D182,'Critical resources (hide)'!AA$6:AA$105)+SUMIF(Capacity_Resource,$E182,'Critical resources (hide)'!AA$6:AA$105)+SUMIF(Capacity_Resource,$F182,'Critical resources (hide)'!AA$6:AA$105)&gt;0,$E$1=2),0,1)</f>
        <v>1</v>
      </c>
      <c r="O182" s="68">
        <f ca="1">IF(AND(SUMIF(Capacity_Resource,$D182,'Critical resources (hide)'!AB$6:AB$105)+SUMIF(Capacity_Resource,$E182,'Critical resources (hide)'!AB$6:AB$105)+SUMIF(Capacity_Resource,$F182,'Critical resources (hide)'!AB$6:AB$105)&gt;0,$E$1=2),0,1)</f>
        <v>1</v>
      </c>
      <c r="P182" s="68">
        <f ca="1">IF(AND(SUMIF(Capacity_Resource,$D182,'Critical resources (hide)'!AC$6:AC$105)+SUMIF(Capacity_Resource,$E182,'Critical resources (hide)'!AC$6:AC$105)+SUMIF(Capacity_Resource,$F182,'Critical resources (hide)'!AC$6:AC$105)&gt;0,$E$1=2),0,1)</f>
        <v>1</v>
      </c>
      <c r="Q182" s="68">
        <f ca="1">IF(AND(SUMIF(Capacity_Resource,$D182,'Critical resources (hide)'!AD$6:AD$105)+SUMIF(Capacity_Resource,$E182,'Critical resources (hide)'!AD$6:AD$105)+SUMIF(Capacity_Resource,$F182,'Critical resources (hide)'!AD$6:AD$105)&gt;0,$E$1=2),0,1)</f>
        <v>1</v>
      </c>
      <c r="R182" s="68">
        <f ca="1">IF(AND(SUMIF(Capacity_Resource,$D182,'Critical resources (hide)'!AE$6:AE$105)+SUMIF(Capacity_Resource,$E182,'Critical resources (hide)'!AE$6:AE$105)+SUMIF(Capacity_Resource,$F182,'Critical resources (hide)'!AE$6:AE$105)&gt;0,$E$1=2),0,1)</f>
        <v>1</v>
      </c>
      <c r="S182" s="68">
        <f ca="1">IF(AND(SUMIF(Capacity_Resource,$D182,'Critical resources (hide)'!AF$6:AF$105)+SUMIF(Capacity_Resource,$E182,'Critical resources (hide)'!AF$6:AF$105)+SUMIF(Capacity_Resource,$F182,'Critical resources (hide)'!AF$6:AF$105)&gt;0,$E$1=2),0,1)</f>
        <v>1</v>
      </c>
      <c r="T182" s="68">
        <f ca="1">IF(AND(SUMIF(Capacity_Resource,$D182,'Critical resources (hide)'!AG$6:AG$105)+SUMIF(Capacity_Resource,$E182,'Critical resources (hide)'!AG$6:AG$105)+SUMIF(Capacity_Resource,$F182,'Critical resources (hide)'!AG$6:AG$105)&gt;0,$E$1=2),0,1)</f>
        <v>1</v>
      </c>
      <c r="U182" s="68">
        <f ca="1">IF(AND(SUMIF(Capacity_Resource,$D182,'Critical resources (hide)'!AH$6:AH$105)+SUMIF(Capacity_Resource,$E182,'Critical resources (hide)'!AH$6:AH$105)+SUMIF(Capacity_Resource,$F182,'Critical resources (hide)'!AH$6:AH$105)&gt;0,$E$1=2),0,1)</f>
        <v>1</v>
      </c>
      <c r="V182" s="68">
        <f ca="1">IF(AND(SUMIF(Capacity_Resource,$D182,'Critical resources (hide)'!AI$6:AI$105)+SUMIF(Capacity_Resource,$E182,'Critical resources (hide)'!AI$6:AI$105)+SUMIF(Capacity_Resource,$F182,'Critical resources (hide)'!AI$6:AI$105)&gt;0,$E$1=2),0,1)</f>
        <v>1</v>
      </c>
      <c r="W182" s="68">
        <f ca="1">IF(AND(SUMIF(Capacity_Resource,$D182,'Critical resources (hide)'!AJ$6:AJ$105)+SUMIF(Capacity_Resource,$E182,'Critical resources (hide)'!AJ$6:AJ$105)+SUMIF(Capacity_Resource,$F182,'Critical resources (hide)'!AJ$6:AJ$105)&gt;0,$E$1=2),0,1)</f>
        <v>1</v>
      </c>
      <c r="X182" s="68">
        <f ca="1">IF(AND(SUMIF(Capacity_Resource,$D182,'Critical resources (hide)'!AK$6:AK$105)+SUMIF(Capacity_Resource,$E182,'Critical resources (hide)'!AK$6:AK$105)+SUMIF(Capacity_Resource,$F182,'Critical resources (hide)'!AK$6:AK$105)&gt;0,$E$1=2),0,1)</f>
        <v>1</v>
      </c>
      <c r="Y182" s="68">
        <f ca="1">IF(AND(SUMIF(Capacity_Resource,$D182,'Critical resources (hide)'!AL$6:AL$105)+SUMIF(Capacity_Resource,$E182,'Critical resources (hide)'!AL$6:AL$105)+SUMIF(Capacity_Resource,$F182,'Critical resources (hide)'!AL$6:AL$105)&gt;0,$E$1=2),0,1)</f>
        <v>1</v>
      </c>
      <c r="Z182" s="68">
        <f ca="1">IF(AND(SUMIF(Capacity_Resource,$D182,'Critical resources (hide)'!AM$6:AM$105)+SUMIF(Capacity_Resource,$E182,'Critical resources (hide)'!AM$6:AM$105)+SUMIF(Capacity_Resource,$F182,'Critical resources (hide)'!AM$6:AM$105)&gt;0,$E$1=2),0,1)</f>
        <v>1</v>
      </c>
      <c r="AA182" s="68">
        <f ca="1">IF(AND(SUMIF(Capacity_Resource,$D182,'Critical resources (hide)'!AN$6:AN$105)+SUMIF(Capacity_Resource,$E182,'Critical resources (hide)'!AN$6:AN$105)+SUMIF(Capacity_Resource,$F182,'Critical resources (hide)'!AN$6:AN$105)&gt;0,$E$1=2),0,1)</f>
        <v>1</v>
      </c>
      <c r="AB182" s="68">
        <f ca="1">IF(AND(SUMIF(Capacity_Resource,$D182,'Critical resources (hide)'!AO$6:AO$105)+SUMIF(Capacity_Resource,$E182,'Critical resources (hide)'!AO$6:AO$105)+SUMIF(Capacity_Resource,$F182,'Critical resources (hide)'!AO$6:AO$105)&gt;0,$E$1=2),0,1)</f>
        <v>1</v>
      </c>
      <c r="AC182" s="68">
        <f ca="1">IF(AND(SUMIF(Capacity_Resource,$D182,'Critical resources (hide)'!AP$6:AP$105)+SUMIF(Capacity_Resource,$E182,'Critical resources (hide)'!AP$6:AP$105)+SUMIF(Capacity_Resource,$F182,'Critical resources (hide)'!AP$6:AP$105)&gt;0,$E$1=2),0,1)</f>
        <v>1</v>
      </c>
      <c r="AD182" s="68">
        <f ca="1">IF(AND(SUMIF(Capacity_Resource,$D182,'Critical resources (hide)'!AQ$6:AQ$105)+SUMIF(Capacity_Resource,$E182,'Critical resources (hide)'!AQ$6:AQ$105)+SUMIF(Capacity_Resource,$F182,'Critical resources (hide)'!AQ$6:AQ$105)&gt;0,$E$1=2),0,1)</f>
        <v>1</v>
      </c>
      <c r="AE182" s="68">
        <f ca="1">IF(AND(SUMIF(Capacity_Resource,$D182,'Critical resources (hide)'!AR$6:AR$105)+SUMIF(Capacity_Resource,$E182,'Critical resources (hide)'!AR$6:AR$105)+SUMIF(Capacity_Resource,$F182,'Critical resources (hide)'!AR$6:AR$105)&gt;0,$E$1=2),0,1)</f>
        <v>1</v>
      </c>
      <c r="AF182" s="68">
        <f ca="1">IF(AND(SUMIF(Capacity_Resource,$D182,'Critical resources (hide)'!AS$6:AS$105)+SUMIF(Capacity_Resource,$E182,'Critical resources (hide)'!AS$6:AS$105)+SUMIF(Capacity_Resource,$F182,'Critical resources (hide)'!AS$6:AS$105)&gt;0,$E$1=2),0,1)</f>
        <v>1</v>
      </c>
      <c r="AG182" s="68">
        <f ca="1">IF(AND(SUMIF(Capacity_Resource,$D182,'Critical resources (hide)'!AT$6:AT$105)+SUMIF(Capacity_Resource,$E182,'Critical resources (hide)'!AT$6:AT$105)+SUMIF(Capacity_Resource,$F182,'Critical resources (hide)'!AT$6:AT$105)&gt;0,$E$1=2),0,1)</f>
        <v>1</v>
      </c>
      <c r="AH182" s="68">
        <f ca="1">IF(AND(SUMIF(Capacity_Resource,$D182,'Critical resources (hide)'!AU$6:AU$105)+SUMIF(Capacity_Resource,$E182,'Critical resources (hide)'!AU$6:AU$105)+SUMIF(Capacity_Resource,$F182,'Critical resources (hide)'!AU$6:AU$105)&gt;0,$E$1=2),0,1)</f>
        <v>1</v>
      </c>
      <c r="AI182" s="68">
        <f ca="1">IF(AND(SUMIF(Capacity_Resource,$D182,'Critical resources (hide)'!AV$6:AV$105)+SUMIF(Capacity_Resource,$E182,'Critical resources (hide)'!AV$6:AV$105)+SUMIF(Capacity_Resource,$F182,'Critical resources (hide)'!AV$6:AV$105)&gt;0,$E$1=2),0,1)</f>
        <v>1</v>
      </c>
      <c r="AJ182" s="68">
        <f ca="1">IF(AND(SUMIF(Capacity_Resource,$D182,'Critical resources (hide)'!AW$6:AW$105)+SUMIF(Capacity_Resource,$E182,'Critical resources (hide)'!AW$6:AW$105)+SUMIF(Capacity_Resource,$F182,'Critical resources (hide)'!AW$6:AW$105)&gt;0,$E$1=2),0,1)</f>
        <v>1</v>
      </c>
      <c r="AK182" s="68">
        <f ca="1">IF(AND(SUMIF(Capacity_Resource,$D182,'Critical resources (hide)'!AX$6:AX$105)+SUMIF(Capacity_Resource,$E182,'Critical resources (hide)'!AX$6:AX$105)+SUMIF(Capacity_Resource,$F182,'Critical resources (hide)'!AX$6:AX$105)&gt;0,$E$1=2),0,1)</f>
        <v>1</v>
      </c>
      <c r="AL182" s="68">
        <f ca="1">IF(AND(SUMIF(Capacity_Resource,$D182,'Critical resources (hide)'!AY$6:AY$105)+SUMIF(Capacity_Resource,$E182,'Critical resources (hide)'!AY$6:AY$105)+SUMIF(Capacity_Resource,$F182,'Critical resources (hide)'!AY$6:AY$105)&gt;0,$E$1=2),0,1)</f>
        <v>1</v>
      </c>
      <c r="AM182" s="68">
        <f ca="1">IF(AND(SUMIF(Capacity_Resource,$D182,'Critical resources (hide)'!AZ$6:AZ$105)+SUMIF(Capacity_Resource,$E182,'Critical resources (hide)'!AZ$6:AZ$105)+SUMIF(Capacity_Resource,$F182,'Critical resources (hide)'!AZ$6:AZ$105)&gt;0,$E$1=2),0,1)</f>
        <v>1</v>
      </c>
      <c r="AN182" s="68">
        <f ca="1">IF(AND(SUMIF(Capacity_Resource,$D182,'Critical resources (hide)'!BA$6:BA$105)+SUMIF(Capacity_Resource,$E182,'Critical resources (hide)'!BA$6:BA$105)+SUMIF(Capacity_Resource,$F182,'Critical resources (hide)'!BA$6:BA$105)&gt;0,$E$1=2),0,1)</f>
        <v>1</v>
      </c>
      <c r="AO182" s="68">
        <f ca="1">IF(AND(SUMIF(Capacity_Resource,$D182,'Critical resources (hide)'!BB$6:BB$105)+SUMIF(Capacity_Resource,$E182,'Critical resources (hide)'!BB$6:BB$105)+SUMIF(Capacity_Resource,$F182,'Critical resources (hide)'!BB$6:BB$105)&gt;0,$E$1=2),0,1)</f>
        <v>1</v>
      </c>
      <c r="AP182" s="68">
        <f ca="1">IF(AND(SUMIF(Capacity_Resource,$D182,'Critical resources (hide)'!BC$6:BC$105)+SUMIF(Capacity_Resource,$E182,'Critical resources (hide)'!BC$6:BC$105)+SUMIF(Capacity_Resource,$F182,'Critical resources (hide)'!BC$6:BC$105)&gt;0,$E$1=2),0,1)</f>
        <v>1</v>
      </c>
      <c r="AQ182" s="68">
        <f ca="1">IF(AND(SUMIF(Capacity_Resource,$D182,'Critical resources (hide)'!BD$6:BD$105)+SUMIF(Capacity_Resource,$E182,'Critical resources (hide)'!BD$6:BD$105)+SUMIF(Capacity_Resource,$F182,'Critical resources (hide)'!BD$6:BD$105)&gt;0,$E$1=2),0,1)</f>
        <v>1</v>
      </c>
      <c r="AR182" s="68">
        <f ca="1">IF(AND(SUMIF(Capacity_Resource,$D182,'Critical resources (hide)'!BE$6:BE$105)+SUMIF(Capacity_Resource,$E182,'Critical resources (hide)'!BE$6:BE$105)+SUMIF(Capacity_Resource,$F182,'Critical resources (hide)'!BE$6:BE$105)&gt;0,$E$1=2),0,1)</f>
        <v>1</v>
      </c>
      <c r="AS182" s="68">
        <f ca="1">IF(AND(SUMIF(Capacity_Resource,$D182,'Critical resources (hide)'!BF$6:BF$105)+SUMIF(Capacity_Resource,$E182,'Critical resources (hide)'!BF$6:BF$105)+SUMIF(Capacity_Resource,$F182,'Critical resources (hide)'!BF$6:BF$105)&gt;0,$E$1=2),0,1)</f>
        <v>1</v>
      </c>
      <c r="AT182" s="68">
        <f ca="1">IF(AND(SUMIF(Capacity_Resource,$D182,'Critical resources (hide)'!BG$6:BG$105)+SUMIF(Capacity_Resource,$E182,'Critical resources (hide)'!BG$6:BG$105)+SUMIF(Capacity_Resource,$F182,'Critical resources (hide)'!BG$6:BG$105)&gt;0,$E$1=2),0,1)</f>
        <v>1</v>
      </c>
      <c r="AU182" s="68">
        <f ca="1">IF(AND(SUMIF(Capacity_Resource,$D182,'Critical resources (hide)'!BH$6:BH$105)+SUMIF(Capacity_Resource,$E182,'Critical resources (hide)'!BH$6:BH$105)+SUMIF(Capacity_Resource,$F182,'Critical resources (hide)'!BH$6:BH$105)&gt;0,$E$1=2),0,1)</f>
        <v>1</v>
      </c>
      <c r="AV182" s="68">
        <f ca="1">IF(AND(SUMIF(Capacity_Resource,$D182,'Critical resources (hide)'!BI$6:BI$105)+SUMIF(Capacity_Resource,$E182,'Critical resources (hide)'!BI$6:BI$105)+SUMIF(Capacity_Resource,$F182,'Critical resources (hide)'!BI$6:BI$105)&gt;0,$E$1=2),0,1)</f>
        <v>1</v>
      </c>
      <c r="AW182" s="68">
        <f ca="1">IF(AND(SUMIF(Capacity_Resource,$D182,'Critical resources (hide)'!BJ$6:BJ$105)+SUMIF(Capacity_Resource,$E182,'Critical resources (hide)'!BJ$6:BJ$105)+SUMIF(Capacity_Resource,$F182,'Critical resources (hide)'!BJ$6:BJ$105)&gt;0,$E$1=2),0,1)</f>
        <v>1</v>
      </c>
      <c r="AX182" s="68">
        <f ca="1">IF(AND(SUMIF(Capacity_Resource,$D182,'Critical resources (hide)'!BK$6:BK$105)+SUMIF(Capacity_Resource,$E182,'Critical resources (hide)'!BK$6:BK$105)+SUMIF(Capacity_Resource,$F182,'Critical resources (hide)'!BK$6:BK$105)&gt;0,$E$1=2),0,1)</f>
        <v>1</v>
      </c>
      <c r="AY182" s="68">
        <f ca="1">IF(AND(SUMIF(Capacity_Resource,$D182,'Critical resources (hide)'!BL$6:BL$105)+SUMIF(Capacity_Resource,$E182,'Critical resources (hide)'!BL$6:BL$105)+SUMIF(Capacity_Resource,$F182,'Critical resources (hide)'!BL$6:BL$105)&gt;0,$E$1=2),0,1)</f>
        <v>1</v>
      </c>
      <c r="AZ182" s="68">
        <f ca="1">IF(AND(SUMIF(Capacity_Resource,$D182,'Critical resources (hide)'!BM$6:BM$105)+SUMIF(Capacity_Resource,$E182,'Critical resources (hide)'!BM$6:BM$105)+SUMIF(Capacity_Resource,$F182,'Critical resources (hide)'!BM$6:BM$105)&gt;0,$E$1=2),0,1)</f>
        <v>1</v>
      </c>
      <c r="BA182" s="68">
        <f ca="1">IF(AND(SUMIF(Capacity_Resource,$D182,'Critical resources (hide)'!BN$6:BN$105)+SUMIF(Capacity_Resource,$E182,'Critical resources (hide)'!BN$6:BN$105)+SUMIF(Capacity_Resource,$F182,'Critical resources (hide)'!BN$6:BN$105)&gt;0,$E$1=2),0,1)</f>
        <v>1</v>
      </c>
      <c r="BB182" s="68">
        <f ca="1">IF(AND(SUMIF(Capacity_Resource,$D182,'Critical resources (hide)'!BO$6:BO$105)+SUMIF(Capacity_Resource,$E182,'Critical resources (hide)'!BO$6:BO$105)+SUMIF(Capacity_Resource,$F182,'Critical resources (hide)'!BO$6:BO$105)&gt;0,$E$1=2),0,1)</f>
        <v>1</v>
      </c>
      <c r="BC182" s="68">
        <f ca="1">IF(AND(SUMIF(Capacity_Resource,$D182,'Critical resources (hide)'!BP$6:BP$105)+SUMIF(Capacity_Resource,$E182,'Critical resources (hide)'!BP$6:BP$105)+SUMIF(Capacity_Resource,$F182,'Critical resources (hide)'!BP$6:BP$105)&gt;0,$E$1=2),0,1)</f>
        <v>1</v>
      </c>
      <c r="BD182" s="68">
        <f ca="1">IF(AND(SUMIF(Capacity_Resource,$D182,'Critical resources (hide)'!BQ$6:BQ$105)+SUMIF(Capacity_Resource,$E182,'Critical resources (hide)'!BQ$6:BQ$105)+SUMIF(Capacity_Resource,$F182,'Critical resources (hide)'!BQ$6:BQ$105)&gt;0,$E$1=2),0,1)</f>
        <v>1</v>
      </c>
      <c r="BE182" s="68">
        <f ca="1">IF(AND(SUMIF(Capacity_Resource,$D182,'Critical resources (hide)'!BR$6:BR$105)+SUMIF(Capacity_Resource,$E182,'Critical resources (hide)'!BR$6:BR$105)+SUMIF(Capacity_Resource,$F182,'Critical resources (hide)'!BR$6:BR$105)&gt;0,$E$1=2),0,1)</f>
        <v>1</v>
      </c>
      <c r="BF182" s="68">
        <f ca="1">IF(AND(SUMIF(Capacity_Resource,$D182,'Critical resources (hide)'!BS$6:BS$105)+SUMIF(Capacity_Resource,$E182,'Critical resources (hide)'!BS$6:BS$105)+SUMIF(Capacity_Resource,$F182,'Critical resources (hide)'!BS$6:BS$105)&gt;0,$E$1=2),0,1)</f>
        <v>1</v>
      </c>
      <c r="BG182" s="68">
        <f ca="1">IF(AND(SUMIF(Capacity_Resource,$D182,'Critical resources (hide)'!BT$6:BT$105)+SUMIF(Capacity_Resource,$E182,'Critical resources (hide)'!BT$6:BT$105)+SUMIF(Capacity_Resource,$F182,'Critical resources (hide)'!BT$6:BT$105)&gt;0,$E$1=2),0,1)</f>
        <v>1</v>
      </c>
      <c r="BH182" s="68">
        <f>IF(ROW(A71)&lt;=Capacity!$M$16,IF('Capacity summary'!$C$14="No",SUM(H182:BG182),'Capacity summary'!$E94),0)</f>
        <v>0</v>
      </c>
      <c r="BI182" s="68" t="str">
        <f>IF(BH182&gt;0,IF(BH182&lt;Capacity!Q87,Capacity!R87,Capacity!T87/'Capacity calculation (hide)'!BH182),"")</f>
        <v/>
      </c>
      <c r="BJ182" s="5"/>
      <c r="BK182" s="5">
        <f>IF($BI182&lt;&gt;"",IF('Capacity summary'!$C$14="Yes",IF(COUNTBLANK('Capacity summary'!$H94:$BG94)&lt;52,IF('Capacity summary'!H94&lt;&gt;"",$BI182*H182,0),H182*$BI182),H182*$BI182),0)</f>
        <v>0</v>
      </c>
      <c r="BL182" s="5">
        <f>IF($BI182&lt;&gt;"",IF('Capacity summary'!$C$14="Yes",IF(COUNTBLANK('Capacity summary'!$H94:$BG94)&lt;52,IF('Capacity summary'!I94&lt;&gt;"",$BI182*I182,0),I182*$BI182),I182*$BI182),0)</f>
        <v>0</v>
      </c>
      <c r="BM182" s="5">
        <f>IF($BI182&lt;&gt;"",IF('Capacity summary'!$C$14="Yes",IF(COUNTBLANK('Capacity summary'!$H94:$BG94)&lt;52,IF('Capacity summary'!J94&lt;&gt;"",$BI182*J182,0),J182*$BI182),J182*$BI182),0)</f>
        <v>0</v>
      </c>
      <c r="BN182" s="5">
        <f>IF($BI182&lt;&gt;"",IF('Capacity summary'!$C$14="Yes",IF(COUNTBLANK('Capacity summary'!$H94:$BG94)&lt;52,IF('Capacity summary'!K94&lt;&gt;"",$BI182*K182,0),K182*$BI182),K182*$BI182),0)</f>
        <v>0</v>
      </c>
      <c r="BO182" s="5">
        <f>IF($BI182&lt;&gt;"",IF('Capacity summary'!$C$14="Yes",IF(COUNTBLANK('Capacity summary'!$H94:$BG94)&lt;52,IF('Capacity summary'!L94&lt;&gt;"",$BI182*L182,0),L182*$BI182),L182*$BI182),0)</f>
        <v>0</v>
      </c>
      <c r="BP182" s="5">
        <f>IF($BI182&lt;&gt;"",IF('Capacity summary'!$C$14="Yes",IF(COUNTBLANK('Capacity summary'!$H94:$BG94)&lt;52,IF('Capacity summary'!M94&lt;&gt;"",$BI182*M182,0),M182*$BI182),M182*$BI182),0)</f>
        <v>0</v>
      </c>
      <c r="BQ182" s="5">
        <f>IF($BI182&lt;&gt;"",IF('Capacity summary'!$C$14="Yes",IF(COUNTBLANK('Capacity summary'!$H94:$BG94)&lt;52,IF('Capacity summary'!N94&lt;&gt;"",$BI182*N182,0),N182*$BI182),N182*$BI182),0)</f>
        <v>0</v>
      </c>
      <c r="BR182" s="5">
        <f>IF($BI182&lt;&gt;"",IF('Capacity summary'!$C$14="Yes",IF(COUNTBLANK('Capacity summary'!$H94:$BG94)&lt;52,IF('Capacity summary'!O94&lt;&gt;"",$BI182*O182,0),O182*$BI182),O182*$BI182),0)</f>
        <v>0</v>
      </c>
      <c r="BS182" s="5">
        <f>IF($BI182&lt;&gt;"",IF('Capacity summary'!$C$14="Yes",IF(COUNTBLANK('Capacity summary'!$H94:$BG94)&lt;52,IF('Capacity summary'!P94&lt;&gt;"",$BI182*P182,0),P182*$BI182),P182*$BI182),0)</f>
        <v>0</v>
      </c>
      <c r="BT182" s="5">
        <f>IF($BI182&lt;&gt;"",IF('Capacity summary'!$C$14="Yes",IF(COUNTBLANK('Capacity summary'!$H94:$BG94)&lt;52,IF('Capacity summary'!Q94&lt;&gt;"",$BI182*Q182,0),Q182*$BI182),Q182*$BI182),0)</f>
        <v>0</v>
      </c>
      <c r="BU182" s="5">
        <f>IF($BI182&lt;&gt;"",IF('Capacity summary'!$C$14="Yes",IF(COUNTBLANK('Capacity summary'!$H94:$BG94)&lt;52,IF('Capacity summary'!R94&lt;&gt;"",$BI182*R182,0),R182*$BI182),R182*$BI182),0)</f>
        <v>0</v>
      </c>
      <c r="BV182" s="5">
        <f>IF($BI182&lt;&gt;"",IF('Capacity summary'!$C$14="Yes",IF(COUNTBLANK('Capacity summary'!$H94:$BG94)&lt;52,IF('Capacity summary'!S94&lt;&gt;"",$BI182*S182,0),S182*$BI182),S182*$BI182),0)</f>
        <v>0</v>
      </c>
      <c r="BW182" s="5">
        <f>IF($BI182&lt;&gt;"",IF('Capacity summary'!$C$14="Yes",IF(COUNTBLANK('Capacity summary'!$H94:$BG94)&lt;52,IF('Capacity summary'!T94&lt;&gt;"",$BI182*T182,0),T182*$BI182),T182*$BI182),0)</f>
        <v>0</v>
      </c>
      <c r="BX182" s="5">
        <f>IF($BI182&lt;&gt;"",IF('Capacity summary'!$C$14="Yes",IF(COUNTBLANK('Capacity summary'!$H94:$BG94)&lt;52,IF('Capacity summary'!U94&lt;&gt;"",$BI182*U182,0),U182*$BI182),U182*$BI182),0)</f>
        <v>0</v>
      </c>
      <c r="BY182" s="5">
        <f>IF($BI182&lt;&gt;"",IF('Capacity summary'!$C$14="Yes",IF(COUNTBLANK('Capacity summary'!$H94:$BG94)&lt;52,IF('Capacity summary'!V94&lt;&gt;"",$BI182*V182,0),V182*$BI182),V182*$BI182),0)</f>
        <v>0</v>
      </c>
      <c r="BZ182" s="5">
        <f>IF($BI182&lt;&gt;"",IF('Capacity summary'!$C$14="Yes",IF(COUNTBLANK('Capacity summary'!$H94:$BG94)&lt;52,IF('Capacity summary'!W94&lt;&gt;"",$BI182*W182,0),W182*$BI182),W182*$BI182),0)</f>
        <v>0</v>
      </c>
      <c r="CA182" s="5">
        <f>IF($BI182&lt;&gt;"",IF('Capacity summary'!$C$14="Yes",IF(COUNTBLANK('Capacity summary'!$H94:$BG94)&lt;52,IF('Capacity summary'!X94&lt;&gt;"",$BI182*X182,0),X182*$BI182),X182*$BI182),0)</f>
        <v>0</v>
      </c>
      <c r="CB182" s="5">
        <f>IF($BI182&lt;&gt;"",IF('Capacity summary'!$C$14="Yes",IF(COUNTBLANK('Capacity summary'!$H94:$BG94)&lt;52,IF('Capacity summary'!Y94&lt;&gt;"",$BI182*Y182,0),Y182*$BI182),Y182*$BI182),0)</f>
        <v>0</v>
      </c>
      <c r="CC182" s="5">
        <f>IF($BI182&lt;&gt;"",IF('Capacity summary'!$C$14="Yes",IF(COUNTBLANK('Capacity summary'!$H94:$BG94)&lt;52,IF('Capacity summary'!Z94&lt;&gt;"",$BI182*Z182,0),Z182*$BI182),Z182*$BI182),0)</f>
        <v>0</v>
      </c>
      <c r="CD182" s="5">
        <f>IF($BI182&lt;&gt;"",IF('Capacity summary'!$C$14="Yes",IF(COUNTBLANK('Capacity summary'!$H94:$BG94)&lt;52,IF('Capacity summary'!AA94&lt;&gt;"",$BI182*AA182,0),AA182*$BI182),AA182*$BI182),0)</f>
        <v>0</v>
      </c>
      <c r="CE182" s="5">
        <f>IF($BI182&lt;&gt;"",IF('Capacity summary'!$C$14="Yes",IF(COUNTBLANK('Capacity summary'!$H94:$BG94)&lt;52,IF('Capacity summary'!AB94&lt;&gt;"",$BI182*AB182,0),AB182*$BI182),AB182*$BI182),0)</f>
        <v>0</v>
      </c>
      <c r="CF182" s="5">
        <f>IF($BI182&lt;&gt;"",IF('Capacity summary'!$C$14="Yes",IF(COUNTBLANK('Capacity summary'!$H94:$BG94)&lt;52,IF('Capacity summary'!AC94&lt;&gt;"",$BI182*AC182,0),AC182*$BI182),AC182*$BI182),0)</f>
        <v>0</v>
      </c>
      <c r="CG182" s="5">
        <f>IF($BI182&lt;&gt;"",IF('Capacity summary'!$C$14="Yes",IF(COUNTBLANK('Capacity summary'!$H94:$BG94)&lt;52,IF('Capacity summary'!AD94&lt;&gt;"",$BI182*AD182,0),AD182*$BI182),AD182*$BI182),0)</f>
        <v>0</v>
      </c>
      <c r="CH182" s="5">
        <f>IF($BI182&lt;&gt;"",IF('Capacity summary'!$C$14="Yes",IF(COUNTBLANK('Capacity summary'!$H94:$BG94)&lt;52,IF('Capacity summary'!AE94&lt;&gt;"",$BI182*AE182,0),AE182*$BI182),AE182*$BI182),0)</f>
        <v>0</v>
      </c>
      <c r="CI182" s="5">
        <f>IF($BI182&lt;&gt;"",IF('Capacity summary'!$C$14="Yes",IF(COUNTBLANK('Capacity summary'!$H94:$BG94)&lt;52,IF('Capacity summary'!AF94&lt;&gt;"",$BI182*AF182,0),AF182*$BI182),AF182*$BI182),0)</f>
        <v>0</v>
      </c>
      <c r="CJ182" s="5">
        <f>IF($BI182&lt;&gt;"",IF('Capacity summary'!$C$14="Yes",IF(COUNTBLANK('Capacity summary'!$H94:$BG94)&lt;52,IF('Capacity summary'!AG94&lt;&gt;"",$BI182*AG182,0),AG182*$BI182),AG182*$BI182),0)</f>
        <v>0</v>
      </c>
      <c r="CK182" s="5">
        <f>IF($BI182&lt;&gt;"",IF('Capacity summary'!$C$14="Yes",IF(COUNTBLANK('Capacity summary'!$H94:$BG94)&lt;52,IF('Capacity summary'!AH94&lt;&gt;"",$BI182*AH182,0),AH182*$BI182),AH182*$BI182),0)</f>
        <v>0</v>
      </c>
      <c r="CL182" s="5">
        <f>IF($BI182&lt;&gt;"",IF('Capacity summary'!$C$14="Yes",IF(COUNTBLANK('Capacity summary'!$H94:$BG94)&lt;52,IF('Capacity summary'!AI94&lt;&gt;"",$BI182*AI182,0),AI182*$BI182),AI182*$BI182),0)</f>
        <v>0</v>
      </c>
      <c r="CM182" s="5">
        <f>IF($BI182&lt;&gt;"",IF('Capacity summary'!$C$14="Yes",IF(COUNTBLANK('Capacity summary'!$H94:$BG94)&lt;52,IF('Capacity summary'!AJ94&lt;&gt;"",$BI182*AJ182,0),AJ182*$BI182),AJ182*$BI182),0)</f>
        <v>0</v>
      </c>
      <c r="CN182" s="5">
        <f>IF($BI182&lt;&gt;"",IF('Capacity summary'!$C$14="Yes",IF(COUNTBLANK('Capacity summary'!$H94:$BG94)&lt;52,IF('Capacity summary'!AK94&lt;&gt;"",$BI182*AK182,0),AK182*$BI182),AK182*$BI182),0)</f>
        <v>0</v>
      </c>
      <c r="CO182" s="5">
        <f>IF($BI182&lt;&gt;"",IF('Capacity summary'!$C$14="Yes",IF(COUNTBLANK('Capacity summary'!$H94:$BG94)&lt;52,IF('Capacity summary'!AL94&lt;&gt;"",$BI182*AL182,0),AL182*$BI182),AL182*$BI182),0)</f>
        <v>0</v>
      </c>
      <c r="CP182" s="5">
        <f>IF($BI182&lt;&gt;"",IF('Capacity summary'!$C$14="Yes",IF(COUNTBLANK('Capacity summary'!$H94:$BG94)&lt;52,IF('Capacity summary'!AM94&lt;&gt;"",$BI182*AM182,0),AM182*$BI182),AM182*$BI182),0)</f>
        <v>0</v>
      </c>
      <c r="CQ182" s="5">
        <f>IF($BI182&lt;&gt;"",IF('Capacity summary'!$C$14="Yes",IF(COUNTBLANK('Capacity summary'!$H94:$BG94)&lt;52,IF('Capacity summary'!AN94&lt;&gt;"",$BI182*AN182,0),AN182*$BI182),AN182*$BI182),0)</f>
        <v>0</v>
      </c>
      <c r="CR182" s="5">
        <f>IF($BI182&lt;&gt;"",IF('Capacity summary'!$C$14="Yes",IF(COUNTBLANK('Capacity summary'!$H94:$BG94)&lt;52,IF('Capacity summary'!AO94&lt;&gt;"",$BI182*AO182,0),AO182*$BI182),AO182*$BI182),0)</f>
        <v>0</v>
      </c>
      <c r="CS182" s="5">
        <f>IF($BI182&lt;&gt;"",IF('Capacity summary'!$C$14="Yes",IF(COUNTBLANK('Capacity summary'!$H94:$BG94)&lt;52,IF('Capacity summary'!AP94&lt;&gt;"",$BI182*AP182,0),AP182*$BI182),AP182*$BI182),0)</f>
        <v>0</v>
      </c>
      <c r="CT182" s="5">
        <f>IF($BI182&lt;&gt;"",IF('Capacity summary'!$C$14="Yes",IF(COUNTBLANK('Capacity summary'!$H94:$BG94)&lt;52,IF('Capacity summary'!AQ94&lt;&gt;"",$BI182*AQ182,0),AQ182*$BI182),AQ182*$BI182),0)</f>
        <v>0</v>
      </c>
      <c r="CU182" s="5">
        <f>IF($BI182&lt;&gt;"",IF('Capacity summary'!$C$14="Yes",IF(COUNTBLANK('Capacity summary'!$H94:$BG94)&lt;52,IF('Capacity summary'!AR94&lt;&gt;"",$BI182*AR182,0),AR182*$BI182),AR182*$BI182),0)</f>
        <v>0</v>
      </c>
      <c r="CV182" s="5">
        <f>IF($BI182&lt;&gt;"",IF('Capacity summary'!$C$14="Yes",IF(COUNTBLANK('Capacity summary'!$H94:$BG94)&lt;52,IF('Capacity summary'!AS94&lt;&gt;"",$BI182*AS182,0),AS182*$BI182),AS182*$BI182),0)</f>
        <v>0</v>
      </c>
      <c r="CW182" s="5">
        <f>IF($BI182&lt;&gt;"",IF('Capacity summary'!$C$14="Yes",IF(COUNTBLANK('Capacity summary'!$H94:$BG94)&lt;52,IF('Capacity summary'!AT94&lt;&gt;"",$BI182*AT182,0),AT182*$BI182),AT182*$BI182),0)</f>
        <v>0</v>
      </c>
      <c r="CX182" s="5">
        <f>IF($BI182&lt;&gt;"",IF('Capacity summary'!$C$14="Yes",IF(COUNTBLANK('Capacity summary'!$H94:$BG94)&lt;52,IF('Capacity summary'!AU94&lt;&gt;"",$BI182*AU182,0),AU182*$BI182),AU182*$BI182),0)</f>
        <v>0</v>
      </c>
      <c r="CY182" s="5">
        <f>IF($BI182&lt;&gt;"",IF('Capacity summary'!$C$14="Yes",IF(COUNTBLANK('Capacity summary'!$H94:$BG94)&lt;52,IF('Capacity summary'!AV94&lt;&gt;"",$BI182*AV182,0),AV182*$BI182),AV182*$BI182),0)</f>
        <v>0</v>
      </c>
      <c r="CZ182" s="5">
        <f>IF($BI182&lt;&gt;"",IF('Capacity summary'!$C$14="Yes",IF(COUNTBLANK('Capacity summary'!$H94:$BG94)&lt;52,IF('Capacity summary'!AW94&lt;&gt;"",$BI182*AW182,0),AW182*$BI182),AW182*$BI182),0)</f>
        <v>0</v>
      </c>
      <c r="DA182" s="5">
        <f>IF($BI182&lt;&gt;"",IF('Capacity summary'!$C$14="Yes",IF(COUNTBLANK('Capacity summary'!$H94:$BG94)&lt;52,IF('Capacity summary'!AX94&lt;&gt;"",$BI182*AX182,0),AX182*$BI182),AX182*$BI182),0)</f>
        <v>0</v>
      </c>
      <c r="DB182" s="5">
        <f>IF($BI182&lt;&gt;"",IF('Capacity summary'!$C$14="Yes",IF(COUNTBLANK('Capacity summary'!$H94:$BG94)&lt;52,IF('Capacity summary'!AY94&lt;&gt;"",$BI182*AY182,0),AY182*$BI182),AY182*$BI182),0)</f>
        <v>0</v>
      </c>
      <c r="DC182" s="5">
        <f>IF($BI182&lt;&gt;"",IF('Capacity summary'!$C$14="Yes",IF(COUNTBLANK('Capacity summary'!$H94:$BG94)&lt;52,IF('Capacity summary'!AZ94&lt;&gt;"",$BI182*AZ182,0),AZ182*$BI182),AZ182*$BI182),0)</f>
        <v>0</v>
      </c>
      <c r="DD182" s="5">
        <f>IF($BI182&lt;&gt;"",IF('Capacity summary'!$C$14="Yes",IF(COUNTBLANK('Capacity summary'!$H94:$BG94)&lt;52,IF('Capacity summary'!BA94&lt;&gt;"",$BI182*BA182,0),BA182*$BI182),BA182*$BI182),0)</f>
        <v>0</v>
      </c>
      <c r="DE182" s="5">
        <f>IF($BI182&lt;&gt;"",IF('Capacity summary'!$C$14="Yes",IF(COUNTBLANK('Capacity summary'!$H94:$BG94)&lt;52,IF('Capacity summary'!BB94&lt;&gt;"",$BI182*BB182,0),BB182*$BI182),BB182*$BI182),0)</f>
        <v>0</v>
      </c>
      <c r="DF182" s="5">
        <f>IF($BI182&lt;&gt;"",IF('Capacity summary'!$C$14="Yes",IF(COUNTBLANK('Capacity summary'!$H94:$BG94)&lt;52,IF('Capacity summary'!BC94&lt;&gt;"",$BI182*BC182,0),BC182*$BI182),BC182*$BI182),0)</f>
        <v>0</v>
      </c>
      <c r="DG182" s="5">
        <f>IF($BI182&lt;&gt;"",IF('Capacity summary'!$C$14="Yes",IF(COUNTBLANK('Capacity summary'!$H94:$BG94)&lt;52,IF('Capacity summary'!BD94&lt;&gt;"",$BI182*BD182,0),BD182*$BI182),BD182*$BI182),0)</f>
        <v>0</v>
      </c>
      <c r="DH182" s="5">
        <f>IF($BI182&lt;&gt;"",IF('Capacity summary'!$C$14="Yes",IF(COUNTBLANK('Capacity summary'!$H94:$BG94)&lt;52,IF('Capacity summary'!BE94&lt;&gt;"",$BI182*BE182,0),BE182*$BI182),BE182*$BI182),0)</f>
        <v>0</v>
      </c>
      <c r="DI182" s="5">
        <f>IF($BI182&lt;&gt;"",IF('Capacity summary'!$C$14="Yes",IF(COUNTBLANK('Capacity summary'!$H94:$BG94)&lt;52,IF('Capacity summary'!BF94&lt;&gt;"",$BI182*BF182,0),BF182*$BI182),BF182*$BI182),0)</f>
        <v>0</v>
      </c>
      <c r="DJ182" s="5">
        <f>IF($BI182&lt;&gt;"",IF('Capacity summary'!$C$14="Yes",IF(COUNTBLANK('Capacity summary'!$H94:$BG94)&lt;52,IF('Capacity summary'!BG94&lt;&gt;"",$BI182*BG182,0),BG182*$BI182),BG182*$BI182),0)</f>
        <v>0</v>
      </c>
      <c r="DK182" s="138">
        <f t="shared" si="7"/>
        <v>0</v>
      </c>
    </row>
    <row r="183" spans="3:115" x14ac:dyDescent="0.2">
      <c r="C183" s="68" t="str">
        <f>ROW(A72)&amp;". "&amp;Capacity!N88</f>
        <v xml:space="preserve">72. </v>
      </c>
      <c r="D183" s="68">
        <f>'Capacity setup'!C189</f>
        <v>0</v>
      </c>
      <c r="E183" s="68">
        <f>'Capacity setup'!D189</f>
        <v>0</v>
      </c>
      <c r="F183" s="68">
        <f>'Capacity setup'!E189</f>
        <v>0</v>
      </c>
      <c r="H183" s="68">
        <f ca="1">IF(AND(SUMIF(Capacity_Resource,$D183,'Critical resources (hide)'!U$6:U$105)+SUMIF(Capacity_Resource,$E183,'Critical resources (hide)'!U$6:U$105)+SUMIF(Capacity_Resource,$F183,'Critical resources (hide)'!U$6:U$105)&gt;0,$E$1=2),0,1)</f>
        <v>1</v>
      </c>
      <c r="I183" s="68">
        <f ca="1">IF(AND(SUMIF(Capacity_Resource,$D183,'Critical resources (hide)'!V$6:V$105)+SUMIF(Capacity_Resource,$E183,'Critical resources (hide)'!V$6:V$105)+SUMIF(Capacity_Resource,$F183,'Critical resources (hide)'!V$6:V$105)&gt;0,$E$1=2),0,1)</f>
        <v>1</v>
      </c>
      <c r="J183" s="68">
        <f ca="1">IF(AND(SUMIF(Capacity_Resource,$D183,'Critical resources (hide)'!W$6:W$105)+SUMIF(Capacity_Resource,$E183,'Critical resources (hide)'!W$6:W$105)+SUMIF(Capacity_Resource,$F183,'Critical resources (hide)'!W$6:W$105)&gt;0,$E$1=2),0,1)</f>
        <v>1</v>
      </c>
      <c r="K183" s="68">
        <f ca="1">IF(AND(SUMIF(Capacity_Resource,$D183,'Critical resources (hide)'!X$6:X$105)+SUMIF(Capacity_Resource,$E183,'Critical resources (hide)'!X$6:X$105)+SUMIF(Capacity_Resource,$F183,'Critical resources (hide)'!X$6:X$105)&gt;0,$E$1=2),0,1)</f>
        <v>1</v>
      </c>
      <c r="L183" s="68">
        <f ca="1">IF(AND(SUMIF(Capacity_Resource,$D183,'Critical resources (hide)'!Y$6:Y$105)+SUMIF(Capacity_Resource,$E183,'Critical resources (hide)'!Y$6:Y$105)+SUMIF(Capacity_Resource,$F183,'Critical resources (hide)'!Y$6:Y$105)&gt;0,$E$1=2),0,1)</f>
        <v>1</v>
      </c>
      <c r="M183" s="68">
        <f ca="1">IF(AND(SUMIF(Capacity_Resource,$D183,'Critical resources (hide)'!Z$6:Z$105)+SUMIF(Capacity_Resource,$E183,'Critical resources (hide)'!Z$6:Z$105)+SUMIF(Capacity_Resource,$F183,'Critical resources (hide)'!Z$6:Z$105)&gt;0,$E$1=2),0,1)</f>
        <v>1</v>
      </c>
      <c r="N183" s="68">
        <f ca="1">IF(AND(SUMIF(Capacity_Resource,$D183,'Critical resources (hide)'!AA$6:AA$105)+SUMIF(Capacity_Resource,$E183,'Critical resources (hide)'!AA$6:AA$105)+SUMIF(Capacity_Resource,$F183,'Critical resources (hide)'!AA$6:AA$105)&gt;0,$E$1=2),0,1)</f>
        <v>1</v>
      </c>
      <c r="O183" s="68">
        <f ca="1">IF(AND(SUMIF(Capacity_Resource,$D183,'Critical resources (hide)'!AB$6:AB$105)+SUMIF(Capacity_Resource,$E183,'Critical resources (hide)'!AB$6:AB$105)+SUMIF(Capacity_Resource,$F183,'Critical resources (hide)'!AB$6:AB$105)&gt;0,$E$1=2),0,1)</f>
        <v>1</v>
      </c>
      <c r="P183" s="68">
        <f ca="1">IF(AND(SUMIF(Capacity_Resource,$D183,'Critical resources (hide)'!AC$6:AC$105)+SUMIF(Capacity_Resource,$E183,'Critical resources (hide)'!AC$6:AC$105)+SUMIF(Capacity_Resource,$F183,'Critical resources (hide)'!AC$6:AC$105)&gt;0,$E$1=2),0,1)</f>
        <v>1</v>
      </c>
      <c r="Q183" s="68">
        <f ca="1">IF(AND(SUMIF(Capacity_Resource,$D183,'Critical resources (hide)'!AD$6:AD$105)+SUMIF(Capacity_Resource,$E183,'Critical resources (hide)'!AD$6:AD$105)+SUMIF(Capacity_Resource,$F183,'Critical resources (hide)'!AD$6:AD$105)&gt;0,$E$1=2),0,1)</f>
        <v>1</v>
      </c>
      <c r="R183" s="68">
        <f ca="1">IF(AND(SUMIF(Capacity_Resource,$D183,'Critical resources (hide)'!AE$6:AE$105)+SUMIF(Capacity_Resource,$E183,'Critical resources (hide)'!AE$6:AE$105)+SUMIF(Capacity_Resource,$F183,'Critical resources (hide)'!AE$6:AE$105)&gt;0,$E$1=2),0,1)</f>
        <v>1</v>
      </c>
      <c r="S183" s="68">
        <f ca="1">IF(AND(SUMIF(Capacity_Resource,$D183,'Critical resources (hide)'!AF$6:AF$105)+SUMIF(Capacity_Resource,$E183,'Critical resources (hide)'!AF$6:AF$105)+SUMIF(Capacity_Resource,$F183,'Critical resources (hide)'!AF$6:AF$105)&gt;0,$E$1=2),0,1)</f>
        <v>1</v>
      </c>
      <c r="T183" s="68">
        <f ca="1">IF(AND(SUMIF(Capacity_Resource,$D183,'Critical resources (hide)'!AG$6:AG$105)+SUMIF(Capacity_Resource,$E183,'Critical resources (hide)'!AG$6:AG$105)+SUMIF(Capacity_Resource,$F183,'Critical resources (hide)'!AG$6:AG$105)&gt;0,$E$1=2),0,1)</f>
        <v>1</v>
      </c>
      <c r="U183" s="68">
        <f ca="1">IF(AND(SUMIF(Capacity_Resource,$D183,'Critical resources (hide)'!AH$6:AH$105)+SUMIF(Capacity_Resource,$E183,'Critical resources (hide)'!AH$6:AH$105)+SUMIF(Capacity_Resource,$F183,'Critical resources (hide)'!AH$6:AH$105)&gt;0,$E$1=2),0,1)</f>
        <v>1</v>
      </c>
      <c r="V183" s="68">
        <f ca="1">IF(AND(SUMIF(Capacity_Resource,$D183,'Critical resources (hide)'!AI$6:AI$105)+SUMIF(Capacity_Resource,$E183,'Critical resources (hide)'!AI$6:AI$105)+SUMIF(Capacity_Resource,$F183,'Critical resources (hide)'!AI$6:AI$105)&gt;0,$E$1=2),0,1)</f>
        <v>1</v>
      </c>
      <c r="W183" s="68">
        <f ca="1">IF(AND(SUMIF(Capacity_Resource,$D183,'Critical resources (hide)'!AJ$6:AJ$105)+SUMIF(Capacity_Resource,$E183,'Critical resources (hide)'!AJ$6:AJ$105)+SUMIF(Capacity_Resource,$F183,'Critical resources (hide)'!AJ$6:AJ$105)&gt;0,$E$1=2),0,1)</f>
        <v>1</v>
      </c>
      <c r="X183" s="68">
        <f ca="1">IF(AND(SUMIF(Capacity_Resource,$D183,'Critical resources (hide)'!AK$6:AK$105)+SUMIF(Capacity_Resource,$E183,'Critical resources (hide)'!AK$6:AK$105)+SUMIF(Capacity_Resource,$F183,'Critical resources (hide)'!AK$6:AK$105)&gt;0,$E$1=2),0,1)</f>
        <v>1</v>
      </c>
      <c r="Y183" s="68">
        <f ca="1">IF(AND(SUMIF(Capacity_Resource,$D183,'Critical resources (hide)'!AL$6:AL$105)+SUMIF(Capacity_Resource,$E183,'Critical resources (hide)'!AL$6:AL$105)+SUMIF(Capacity_Resource,$F183,'Critical resources (hide)'!AL$6:AL$105)&gt;0,$E$1=2),0,1)</f>
        <v>1</v>
      </c>
      <c r="Z183" s="68">
        <f ca="1">IF(AND(SUMIF(Capacity_Resource,$D183,'Critical resources (hide)'!AM$6:AM$105)+SUMIF(Capacity_Resource,$E183,'Critical resources (hide)'!AM$6:AM$105)+SUMIF(Capacity_Resource,$F183,'Critical resources (hide)'!AM$6:AM$105)&gt;0,$E$1=2),0,1)</f>
        <v>1</v>
      </c>
      <c r="AA183" s="68">
        <f ca="1">IF(AND(SUMIF(Capacity_Resource,$D183,'Critical resources (hide)'!AN$6:AN$105)+SUMIF(Capacity_Resource,$E183,'Critical resources (hide)'!AN$6:AN$105)+SUMIF(Capacity_Resource,$F183,'Critical resources (hide)'!AN$6:AN$105)&gt;0,$E$1=2),0,1)</f>
        <v>1</v>
      </c>
      <c r="AB183" s="68">
        <f ca="1">IF(AND(SUMIF(Capacity_Resource,$D183,'Critical resources (hide)'!AO$6:AO$105)+SUMIF(Capacity_Resource,$E183,'Critical resources (hide)'!AO$6:AO$105)+SUMIF(Capacity_Resource,$F183,'Critical resources (hide)'!AO$6:AO$105)&gt;0,$E$1=2),0,1)</f>
        <v>1</v>
      </c>
      <c r="AC183" s="68">
        <f ca="1">IF(AND(SUMIF(Capacity_Resource,$D183,'Critical resources (hide)'!AP$6:AP$105)+SUMIF(Capacity_Resource,$E183,'Critical resources (hide)'!AP$6:AP$105)+SUMIF(Capacity_Resource,$F183,'Critical resources (hide)'!AP$6:AP$105)&gt;0,$E$1=2),0,1)</f>
        <v>1</v>
      </c>
      <c r="AD183" s="68">
        <f ca="1">IF(AND(SUMIF(Capacity_Resource,$D183,'Critical resources (hide)'!AQ$6:AQ$105)+SUMIF(Capacity_Resource,$E183,'Critical resources (hide)'!AQ$6:AQ$105)+SUMIF(Capacity_Resource,$F183,'Critical resources (hide)'!AQ$6:AQ$105)&gt;0,$E$1=2),0,1)</f>
        <v>1</v>
      </c>
      <c r="AE183" s="68">
        <f ca="1">IF(AND(SUMIF(Capacity_Resource,$D183,'Critical resources (hide)'!AR$6:AR$105)+SUMIF(Capacity_Resource,$E183,'Critical resources (hide)'!AR$6:AR$105)+SUMIF(Capacity_Resource,$F183,'Critical resources (hide)'!AR$6:AR$105)&gt;0,$E$1=2),0,1)</f>
        <v>1</v>
      </c>
      <c r="AF183" s="68">
        <f ca="1">IF(AND(SUMIF(Capacity_Resource,$D183,'Critical resources (hide)'!AS$6:AS$105)+SUMIF(Capacity_Resource,$E183,'Critical resources (hide)'!AS$6:AS$105)+SUMIF(Capacity_Resource,$F183,'Critical resources (hide)'!AS$6:AS$105)&gt;0,$E$1=2),0,1)</f>
        <v>1</v>
      </c>
      <c r="AG183" s="68">
        <f ca="1">IF(AND(SUMIF(Capacity_Resource,$D183,'Critical resources (hide)'!AT$6:AT$105)+SUMIF(Capacity_Resource,$E183,'Critical resources (hide)'!AT$6:AT$105)+SUMIF(Capacity_Resource,$F183,'Critical resources (hide)'!AT$6:AT$105)&gt;0,$E$1=2),0,1)</f>
        <v>1</v>
      </c>
      <c r="AH183" s="68">
        <f ca="1">IF(AND(SUMIF(Capacity_Resource,$D183,'Critical resources (hide)'!AU$6:AU$105)+SUMIF(Capacity_Resource,$E183,'Critical resources (hide)'!AU$6:AU$105)+SUMIF(Capacity_Resource,$F183,'Critical resources (hide)'!AU$6:AU$105)&gt;0,$E$1=2),0,1)</f>
        <v>1</v>
      </c>
      <c r="AI183" s="68">
        <f ca="1">IF(AND(SUMIF(Capacity_Resource,$D183,'Critical resources (hide)'!AV$6:AV$105)+SUMIF(Capacity_Resource,$E183,'Critical resources (hide)'!AV$6:AV$105)+SUMIF(Capacity_Resource,$F183,'Critical resources (hide)'!AV$6:AV$105)&gt;0,$E$1=2),0,1)</f>
        <v>1</v>
      </c>
      <c r="AJ183" s="68">
        <f ca="1">IF(AND(SUMIF(Capacity_Resource,$D183,'Critical resources (hide)'!AW$6:AW$105)+SUMIF(Capacity_Resource,$E183,'Critical resources (hide)'!AW$6:AW$105)+SUMIF(Capacity_Resource,$F183,'Critical resources (hide)'!AW$6:AW$105)&gt;0,$E$1=2),0,1)</f>
        <v>1</v>
      </c>
      <c r="AK183" s="68">
        <f ca="1">IF(AND(SUMIF(Capacity_Resource,$D183,'Critical resources (hide)'!AX$6:AX$105)+SUMIF(Capacity_Resource,$E183,'Critical resources (hide)'!AX$6:AX$105)+SUMIF(Capacity_Resource,$F183,'Critical resources (hide)'!AX$6:AX$105)&gt;0,$E$1=2),0,1)</f>
        <v>1</v>
      </c>
      <c r="AL183" s="68">
        <f ca="1">IF(AND(SUMIF(Capacity_Resource,$D183,'Critical resources (hide)'!AY$6:AY$105)+SUMIF(Capacity_Resource,$E183,'Critical resources (hide)'!AY$6:AY$105)+SUMIF(Capacity_Resource,$F183,'Critical resources (hide)'!AY$6:AY$105)&gt;0,$E$1=2),0,1)</f>
        <v>1</v>
      </c>
      <c r="AM183" s="68">
        <f ca="1">IF(AND(SUMIF(Capacity_Resource,$D183,'Critical resources (hide)'!AZ$6:AZ$105)+SUMIF(Capacity_Resource,$E183,'Critical resources (hide)'!AZ$6:AZ$105)+SUMIF(Capacity_Resource,$F183,'Critical resources (hide)'!AZ$6:AZ$105)&gt;0,$E$1=2),0,1)</f>
        <v>1</v>
      </c>
      <c r="AN183" s="68">
        <f ca="1">IF(AND(SUMIF(Capacity_Resource,$D183,'Critical resources (hide)'!BA$6:BA$105)+SUMIF(Capacity_Resource,$E183,'Critical resources (hide)'!BA$6:BA$105)+SUMIF(Capacity_Resource,$F183,'Critical resources (hide)'!BA$6:BA$105)&gt;0,$E$1=2),0,1)</f>
        <v>1</v>
      </c>
      <c r="AO183" s="68">
        <f ca="1">IF(AND(SUMIF(Capacity_Resource,$D183,'Critical resources (hide)'!BB$6:BB$105)+SUMIF(Capacity_Resource,$E183,'Critical resources (hide)'!BB$6:BB$105)+SUMIF(Capacity_Resource,$F183,'Critical resources (hide)'!BB$6:BB$105)&gt;0,$E$1=2),0,1)</f>
        <v>1</v>
      </c>
      <c r="AP183" s="68">
        <f ca="1">IF(AND(SUMIF(Capacity_Resource,$D183,'Critical resources (hide)'!BC$6:BC$105)+SUMIF(Capacity_Resource,$E183,'Critical resources (hide)'!BC$6:BC$105)+SUMIF(Capacity_Resource,$F183,'Critical resources (hide)'!BC$6:BC$105)&gt;0,$E$1=2),0,1)</f>
        <v>1</v>
      </c>
      <c r="AQ183" s="68">
        <f ca="1">IF(AND(SUMIF(Capacity_Resource,$D183,'Critical resources (hide)'!BD$6:BD$105)+SUMIF(Capacity_Resource,$E183,'Critical resources (hide)'!BD$6:BD$105)+SUMIF(Capacity_Resource,$F183,'Critical resources (hide)'!BD$6:BD$105)&gt;0,$E$1=2),0,1)</f>
        <v>1</v>
      </c>
      <c r="AR183" s="68">
        <f ca="1">IF(AND(SUMIF(Capacity_Resource,$D183,'Critical resources (hide)'!BE$6:BE$105)+SUMIF(Capacity_Resource,$E183,'Critical resources (hide)'!BE$6:BE$105)+SUMIF(Capacity_Resource,$F183,'Critical resources (hide)'!BE$6:BE$105)&gt;0,$E$1=2),0,1)</f>
        <v>1</v>
      </c>
      <c r="AS183" s="68">
        <f ca="1">IF(AND(SUMIF(Capacity_Resource,$D183,'Critical resources (hide)'!BF$6:BF$105)+SUMIF(Capacity_Resource,$E183,'Critical resources (hide)'!BF$6:BF$105)+SUMIF(Capacity_Resource,$F183,'Critical resources (hide)'!BF$6:BF$105)&gt;0,$E$1=2),0,1)</f>
        <v>1</v>
      </c>
      <c r="AT183" s="68">
        <f ca="1">IF(AND(SUMIF(Capacity_Resource,$D183,'Critical resources (hide)'!BG$6:BG$105)+SUMIF(Capacity_Resource,$E183,'Critical resources (hide)'!BG$6:BG$105)+SUMIF(Capacity_Resource,$F183,'Critical resources (hide)'!BG$6:BG$105)&gt;0,$E$1=2),0,1)</f>
        <v>1</v>
      </c>
      <c r="AU183" s="68">
        <f ca="1">IF(AND(SUMIF(Capacity_Resource,$D183,'Critical resources (hide)'!BH$6:BH$105)+SUMIF(Capacity_Resource,$E183,'Critical resources (hide)'!BH$6:BH$105)+SUMIF(Capacity_Resource,$F183,'Critical resources (hide)'!BH$6:BH$105)&gt;0,$E$1=2),0,1)</f>
        <v>1</v>
      </c>
      <c r="AV183" s="68">
        <f ca="1">IF(AND(SUMIF(Capacity_Resource,$D183,'Critical resources (hide)'!BI$6:BI$105)+SUMIF(Capacity_Resource,$E183,'Critical resources (hide)'!BI$6:BI$105)+SUMIF(Capacity_Resource,$F183,'Critical resources (hide)'!BI$6:BI$105)&gt;0,$E$1=2),0,1)</f>
        <v>1</v>
      </c>
      <c r="AW183" s="68">
        <f ca="1">IF(AND(SUMIF(Capacity_Resource,$D183,'Critical resources (hide)'!BJ$6:BJ$105)+SUMIF(Capacity_Resource,$E183,'Critical resources (hide)'!BJ$6:BJ$105)+SUMIF(Capacity_Resource,$F183,'Critical resources (hide)'!BJ$6:BJ$105)&gt;0,$E$1=2),0,1)</f>
        <v>1</v>
      </c>
      <c r="AX183" s="68">
        <f ca="1">IF(AND(SUMIF(Capacity_Resource,$D183,'Critical resources (hide)'!BK$6:BK$105)+SUMIF(Capacity_Resource,$E183,'Critical resources (hide)'!BK$6:BK$105)+SUMIF(Capacity_Resource,$F183,'Critical resources (hide)'!BK$6:BK$105)&gt;0,$E$1=2),0,1)</f>
        <v>1</v>
      </c>
      <c r="AY183" s="68">
        <f ca="1">IF(AND(SUMIF(Capacity_Resource,$D183,'Critical resources (hide)'!BL$6:BL$105)+SUMIF(Capacity_Resource,$E183,'Critical resources (hide)'!BL$6:BL$105)+SUMIF(Capacity_Resource,$F183,'Critical resources (hide)'!BL$6:BL$105)&gt;0,$E$1=2),0,1)</f>
        <v>1</v>
      </c>
      <c r="AZ183" s="68">
        <f ca="1">IF(AND(SUMIF(Capacity_Resource,$D183,'Critical resources (hide)'!BM$6:BM$105)+SUMIF(Capacity_Resource,$E183,'Critical resources (hide)'!BM$6:BM$105)+SUMIF(Capacity_Resource,$F183,'Critical resources (hide)'!BM$6:BM$105)&gt;0,$E$1=2),0,1)</f>
        <v>1</v>
      </c>
      <c r="BA183" s="68">
        <f ca="1">IF(AND(SUMIF(Capacity_Resource,$D183,'Critical resources (hide)'!BN$6:BN$105)+SUMIF(Capacity_Resource,$E183,'Critical resources (hide)'!BN$6:BN$105)+SUMIF(Capacity_Resource,$F183,'Critical resources (hide)'!BN$6:BN$105)&gt;0,$E$1=2),0,1)</f>
        <v>1</v>
      </c>
      <c r="BB183" s="68">
        <f ca="1">IF(AND(SUMIF(Capacity_Resource,$D183,'Critical resources (hide)'!BO$6:BO$105)+SUMIF(Capacity_Resource,$E183,'Critical resources (hide)'!BO$6:BO$105)+SUMIF(Capacity_Resource,$F183,'Critical resources (hide)'!BO$6:BO$105)&gt;0,$E$1=2),0,1)</f>
        <v>1</v>
      </c>
      <c r="BC183" s="68">
        <f ca="1">IF(AND(SUMIF(Capacity_Resource,$D183,'Critical resources (hide)'!BP$6:BP$105)+SUMIF(Capacity_Resource,$E183,'Critical resources (hide)'!BP$6:BP$105)+SUMIF(Capacity_Resource,$F183,'Critical resources (hide)'!BP$6:BP$105)&gt;0,$E$1=2),0,1)</f>
        <v>1</v>
      </c>
      <c r="BD183" s="68">
        <f ca="1">IF(AND(SUMIF(Capacity_Resource,$D183,'Critical resources (hide)'!BQ$6:BQ$105)+SUMIF(Capacity_Resource,$E183,'Critical resources (hide)'!BQ$6:BQ$105)+SUMIF(Capacity_Resource,$F183,'Critical resources (hide)'!BQ$6:BQ$105)&gt;0,$E$1=2),0,1)</f>
        <v>1</v>
      </c>
      <c r="BE183" s="68">
        <f ca="1">IF(AND(SUMIF(Capacity_Resource,$D183,'Critical resources (hide)'!BR$6:BR$105)+SUMIF(Capacity_Resource,$E183,'Critical resources (hide)'!BR$6:BR$105)+SUMIF(Capacity_Resource,$F183,'Critical resources (hide)'!BR$6:BR$105)&gt;0,$E$1=2),0,1)</f>
        <v>1</v>
      </c>
      <c r="BF183" s="68">
        <f ca="1">IF(AND(SUMIF(Capacity_Resource,$D183,'Critical resources (hide)'!BS$6:BS$105)+SUMIF(Capacity_Resource,$E183,'Critical resources (hide)'!BS$6:BS$105)+SUMIF(Capacity_Resource,$F183,'Critical resources (hide)'!BS$6:BS$105)&gt;0,$E$1=2),0,1)</f>
        <v>1</v>
      </c>
      <c r="BG183" s="68">
        <f ca="1">IF(AND(SUMIF(Capacity_Resource,$D183,'Critical resources (hide)'!BT$6:BT$105)+SUMIF(Capacity_Resource,$E183,'Critical resources (hide)'!BT$6:BT$105)+SUMIF(Capacity_Resource,$F183,'Critical resources (hide)'!BT$6:BT$105)&gt;0,$E$1=2),0,1)</f>
        <v>1</v>
      </c>
      <c r="BH183" s="68">
        <f>IF(ROW(A72)&lt;=Capacity!$M$16,IF('Capacity summary'!$C$14="No",SUM(H183:BG183),'Capacity summary'!$E95),0)</f>
        <v>0</v>
      </c>
      <c r="BI183" s="68" t="str">
        <f>IF(BH183&gt;0,IF(BH183&lt;Capacity!Q88,Capacity!R88,Capacity!T88/'Capacity calculation (hide)'!BH183),"")</f>
        <v/>
      </c>
      <c r="BJ183" s="5"/>
      <c r="BK183" s="5">
        <f>IF($BI183&lt;&gt;"",IF('Capacity summary'!$C$14="Yes",IF(COUNTBLANK('Capacity summary'!$H95:$BG95)&lt;52,IF('Capacity summary'!H95&lt;&gt;"",$BI183*H183,0),H183*$BI183),H183*$BI183),0)</f>
        <v>0</v>
      </c>
      <c r="BL183" s="5">
        <f>IF($BI183&lt;&gt;"",IF('Capacity summary'!$C$14="Yes",IF(COUNTBLANK('Capacity summary'!$H95:$BG95)&lt;52,IF('Capacity summary'!I95&lt;&gt;"",$BI183*I183,0),I183*$BI183),I183*$BI183),0)</f>
        <v>0</v>
      </c>
      <c r="BM183" s="5">
        <f>IF($BI183&lt;&gt;"",IF('Capacity summary'!$C$14="Yes",IF(COUNTBLANK('Capacity summary'!$H95:$BG95)&lt;52,IF('Capacity summary'!J95&lt;&gt;"",$BI183*J183,0),J183*$BI183),J183*$BI183),0)</f>
        <v>0</v>
      </c>
      <c r="BN183" s="5">
        <f>IF($BI183&lt;&gt;"",IF('Capacity summary'!$C$14="Yes",IF(COUNTBLANK('Capacity summary'!$H95:$BG95)&lt;52,IF('Capacity summary'!K95&lt;&gt;"",$BI183*K183,0),K183*$BI183),K183*$BI183),0)</f>
        <v>0</v>
      </c>
      <c r="BO183" s="5">
        <f>IF($BI183&lt;&gt;"",IF('Capacity summary'!$C$14="Yes",IF(COUNTBLANK('Capacity summary'!$H95:$BG95)&lt;52,IF('Capacity summary'!L95&lt;&gt;"",$BI183*L183,0),L183*$BI183),L183*$BI183),0)</f>
        <v>0</v>
      </c>
      <c r="BP183" s="5">
        <f>IF($BI183&lt;&gt;"",IF('Capacity summary'!$C$14="Yes",IF(COUNTBLANK('Capacity summary'!$H95:$BG95)&lt;52,IF('Capacity summary'!M95&lt;&gt;"",$BI183*M183,0),M183*$BI183),M183*$BI183),0)</f>
        <v>0</v>
      </c>
      <c r="BQ183" s="5">
        <f>IF($BI183&lt;&gt;"",IF('Capacity summary'!$C$14="Yes",IF(COUNTBLANK('Capacity summary'!$H95:$BG95)&lt;52,IF('Capacity summary'!N95&lt;&gt;"",$BI183*N183,0),N183*$BI183),N183*$BI183),0)</f>
        <v>0</v>
      </c>
      <c r="BR183" s="5">
        <f>IF($BI183&lt;&gt;"",IF('Capacity summary'!$C$14="Yes",IF(COUNTBLANK('Capacity summary'!$H95:$BG95)&lt;52,IF('Capacity summary'!O95&lt;&gt;"",$BI183*O183,0),O183*$BI183),O183*$BI183),0)</f>
        <v>0</v>
      </c>
      <c r="BS183" s="5">
        <f>IF($BI183&lt;&gt;"",IF('Capacity summary'!$C$14="Yes",IF(COUNTBLANK('Capacity summary'!$H95:$BG95)&lt;52,IF('Capacity summary'!P95&lt;&gt;"",$BI183*P183,0),P183*$BI183),P183*$BI183),0)</f>
        <v>0</v>
      </c>
      <c r="BT183" s="5">
        <f>IF($BI183&lt;&gt;"",IF('Capacity summary'!$C$14="Yes",IF(COUNTBLANK('Capacity summary'!$H95:$BG95)&lt;52,IF('Capacity summary'!Q95&lt;&gt;"",$BI183*Q183,0),Q183*$BI183),Q183*$BI183),0)</f>
        <v>0</v>
      </c>
      <c r="BU183" s="5">
        <f>IF($BI183&lt;&gt;"",IF('Capacity summary'!$C$14="Yes",IF(COUNTBLANK('Capacity summary'!$H95:$BG95)&lt;52,IF('Capacity summary'!R95&lt;&gt;"",$BI183*R183,0),R183*$BI183),R183*$BI183),0)</f>
        <v>0</v>
      </c>
      <c r="BV183" s="5">
        <f>IF($BI183&lt;&gt;"",IF('Capacity summary'!$C$14="Yes",IF(COUNTBLANK('Capacity summary'!$H95:$BG95)&lt;52,IF('Capacity summary'!S95&lt;&gt;"",$BI183*S183,0),S183*$BI183),S183*$BI183),0)</f>
        <v>0</v>
      </c>
      <c r="BW183" s="5">
        <f>IF($BI183&lt;&gt;"",IF('Capacity summary'!$C$14="Yes",IF(COUNTBLANK('Capacity summary'!$H95:$BG95)&lt;52,IF('Capacity summary'!T95&lt;&gt;"",$BI183*T183,0),T183*$BI183),T183*$BI183),0)</f>
        <v>0</v>
      </c>
      <c r="BX183" s="5">
        <f>IF($BI183&lt;&gt;"",IF('Capacity summary'!$C$14="Yes",IF(COUNTBLANK('Capacity summary'!$H95:$BG95)&lt;52,IF('Capacity summary'!U95&lt;&gt;"",$BI183*U183,0),U183*$BI183),U183*$BI183),0)</f>
        <v>0</v>
      </c>
      <c r="BY183" s="5">
        <f>IF($BI183&lt;&gt;"",IF('Capacity summary'!$C$14="Yes",IF(COUNTBLANK('Capacity summary'!$H95:$BG95)&lt;52,IF('Capacity summary'!V95&lt;&gt;"",$BI183*V183,0),V183*$BI183),V183*$BI183),0)</f>
        <v>0</v>
      </c>
      <c r="BZ183" s="5">
        <f>IF($BI183&lt;&gt;"",IF('Capacity summary'!$C$14="Yes",IF(COUNTBLANK('Capacity summary'!$H95:$BG95)&lt;52,IF('Capacity summary'!W95&lt;&gt;"",$BI183*W183,0),W183*$BI183),W183*$BI183),0)</f>
        <v>0</v>
      </c>
      <c r="CA183" s="5">
        <f>IF($BI183&lt;&gt;"",IF('Capacity summary'!$C$14="Yes",IF(COUNTBLANK('Capacity summary'!$H95:$BG95)&lt;52,IF('Capacity summary'!X95&lt;&gt;"",$BI183*X183,0),X183*$BI183),X183*$BI183),0)</f>
        <v>0</v>
      </c>
      <c r="CB183" s="5">
        <f>IF($BI183&lt;&gt;"",IF('Capacity summary'!$C$14="Yes",IF(COUNTBLANK('Capacity summary'!$H95:$BG95)&lt;52,IF('Capacity summary'!Y95&lt;&gt;"",$BI183*Y183,0),Y183*$BI183),Y183*$BI183),0)</f>
        <v>0</v>
      </c>
      <c r="CC183" s="5">
        <f>IF($BI183&lt;&gt;"",IF('Capacity summary'!$C$14="Yes",IF(COUNTBLANK('Capacity summary'!$H95:$BG95)&lt;52,IF('Capacity summary'!Z95&lt;&gt;"",$BI183*Z183,0),Z183*$BI183),Z183*$BI183),0)</f>
        <v>0</v>
      </c>
      <c r="CD183" s="5">
        <f>IF($BI183&lt;&gt;"",IF('Capacity summary'!$C$14="Yes",IF(COUNTBLANK('Capacity summary'!$H95:$BG95)&lt;52,IF('Capacity summary'!AA95&lt;&gt;"",$BI183*AA183,0),AA183*$BI183),AA183*$BI183),0)</f>
        <v>0</v>
      </c>
      <c r="CE183" s="5">
        <f>IF($BI183&lt;&gt;"",IF('Capacity summary'!$C$14="Yes",IF(COUNTBLANK('Capacity summary'!$H95:$BG95)&lt;52,IF('Capacity summary'!AB95&lt;&gt;"",$BI183*AB183,0),AB183*$BI183),AB183*$BI183),0)</f>
        <v>0</v>
      </c>
      <c r="CF183" s="5">
        <f>IF($BI183&lt;&gt;"",IF('Capacity summary'!$C$14="Yes",IF(COUNTBLANK('Capacity summary'!$H95:$BG95)&lt;52,IF('Capacity summary'!AC95&lt;&gt;"",$BI183*AC183,0),AC183*$BI183),AC183*$BI183),0)</f>
        <v>0</v>
      </c>
      <c r="CG183" s="5">
        <f>IF($BI183&lt;&gt;"",IF('Capacity summary'!$C$14="Yes",IF(COUNTBLANK('Capacity summary'!$H95:$BG95)&lt;52,IF('Capacity summary'!AD95&lt;&gt;"",$BI183*AD183,0),AD183*$BI183),AD183*$BI183),0)</f>
        <v>0</v>
      </c>
      <c r="CH183" s="5">
        <f>IF($BI183&lt;&gt;"",IF('Capacity summary'!$C$14="Yes",IF(COUNTBLANK('Capacity summary'!$H95:$BG95)&lt;52,IF('Capacity summary'!AE95&lt;&gt;"",$BI183*AE183,0),AE183*$BI183),AE183*$BI183),0)</f>
        <v>0</v>
      </c>
      <c r="CI183" s="5">
        <f>IF($BI183&lt;&gt;"",IF('Capacity summary'!$C$14="Yes",IF(COUNTBLANK('Capacity summary'!$H95:$BG95)&lt;52,IF('Capacity summary'!AF95&lt;&gt;"",$BI183*AF183,0),AF183*$BI183),AF183*$BI183),0)</f>
        <v>0</v>
      </c>
      <c r="CJ183" s="5">
        <f>IF($BI183&lt;&gt;"",IF('Capacity summary'!$C$14="Yes",IF(COUNTBLANK('Capacity summary'!$H95:$BG95)&lt;52,IF('Capacity summary'!AG95&lt;&gt;"",$BI183*AG183,0),AG183*$BI183),AG183*$BI183),0)</f>
        <v>0</v>
      </c>
      <c r="CK183" s="5">
        <f>IF($BI183&lt;&gt;"",IF('Capacity summary'!$C$14="Yes",IF(COUNTBLANK('Capacity summary'!$H95:$BG95)&lt;52,IF('Capacity summary'!AH95&lt;&gt;"",$BI183*AH183,0),AH183*$BI183),AH183*$BI183),0)</f>
        <v>0</v>
      </c>
      <c r="CL183" s="5">
        <f>IF($BI183&lt;&gt;"",IF('Capacity summary'!$C$14="Yes",IF(COUNTBLANK('Capacity summary'!$H95:$BG95)&lt;52,IF('Capacity summary'!AI95&lt;&gt;"",$BI183*AI183,0),AI183*$BI183),AI183*$BI183),0)</f>
        <v>0</v>
      </c>
      <c r="CM183" s="5">
        <f>IF($BI183&lt;&gt;"",IF('Capacity summary'!$C$14="Yes",IF(COUNTBLANK('Capacity summary'!$H95:$BG95)&lt;52,IF('Capacity summary'!AJ95&lt;&gt;"",$BI183*AJ183,0),AJ183*$BI183),AJ183*$BI183),0)</f>
        <v>0</v>
      </c>
      <c r="CN183" s="5">
        <f>IF($BI183&lt;&gt;"",IF('Capacity summary'!$C$14="Yes",IF(COUNTBLANK('Capacity summary'!$H95:$BG95)&lt;52,IF('Capacity summary'!AK95&lt;&gt;"",$BI183*AK183,0),AK183*$BI183),AK183*$BI183),0)</f>
        <v>0</v>
      </c>
      <c r="CO183" s="5">
        <f>IF($BI183&lt;&gt;"",IF('Capacity summary'!$C$14="Yes",IF(COUNTBLANK('Capacity summary'!$H95:$BG95)&lt;52,IF('Capacity summary'!AL95&lt;&gt;"",$BI183*AL183,0),AL183*$BI183),AL183*$BI183),0)</f>
        <v>0</v>
      </c>
      <c r="CP183" s="5">
        <f>IF($BI183&lt;&gt;"",IF('Capacity summary'!$C$14="Yes",IF(COUNTBLANK('Capacity summary'!$H95:$BG95)&lt;52,IF('Capacity summary'!AM95&lt;&gt;"",$BI183*AM183,0),AM183*$BI183),AM183*$BI183),0)</f>
        <v>0</v>
      </c>
      <c r="CQ183" s="5">
        <f>IF($BI183&lt;&gt;"",IF('Capacity summary'!$C$14="Yes",IF(COUNTBLANK('Capacity summary'!$H95:$BG95)&lt;52,IF('Capacity summary'!AN95&lt;&gt;"",$BI183*AN183,0),AN183*$BI183),AN183*$BI183),0)</f>
        <v>0</v>
      </c>
      <c r="CR183" s="5">
        <f>IF($BI183&lt;&gt;"",IF('Capacity summary'!$C$14="Yes",IF(COUNTBLANK('Capacity summary'!$H95:$BG95)&lt;52,IF('Capacity summary'!AO95&lt;&gt;"",$BI183*AO183,0),AO183*$BI183),AO183*$BI183),0)</f>
        <v>0</v>
      </c>
      <c r="CS183" s="5">
        <f>IF($BI183&lt;&gt;"",IF('Capacity summary'!$C$14="Yes",IF(COUNTBLANK('Capacity summary'!$H95:$BG95)&lt;52,IF('Capacity summary'!AP95&lt;&gt;"",$BI183*AP183,0),AP183*$BI183),AP183*$BI183),0)</f>
        <v>0</v>
      </c>
      <c r="CT183" s="5">
        <f>IF($BI183&lt;&gt;"",IF('Capacity summary'!$C$14="Yes",IF(COUNTBLANK('Capacity summary'!$H95:$BG95)&lt;52,IF('Capacity summary'!AQ95&lt;&gt;"",$BI183*AQ183,0),AQ183*$BI183),AQ183*$BI183),0)</f>
        <v>0</v>
      </c>
      <c r="CU183" s="5">
        <f>IF($BI183&lt;&gt;"",IF('Capacity summary'!$C$14="Yes",IF(COUNTBLANK('Capacity summary'!$H95:$BG95)&lt;52,IF('Capacity summary'!AR95&lt;&gt;"",$BI183*AR183,0),AR183*$BI183),AR183*$BI183),0)</f>
        <v>0</v>
      </c>
      <c r="CV183" s="5">
        <f>IF($BI183&lt;&gt;"",IF('Capacity summary'!$C$14="Yes",IF(COUNTBLANK('Capacity summary'!$H95:$BG95)&lt;52,IF('Capacity summary'!AS95&lt;&gt;"",$BI183*AS183,0),AS183*$BI183),AS183*$BI183),0)</f>
        <v>0</v>
      </c>
      <c r="CW183" s="5">
        <f>IF($BI183&lt;&gt;"",IF('Capacity summary'!$C$14="Yes",IF(COUNTBLANK('Capacity summary'!$H95:$BG95)&lt;52,IF('Capacity summary'!AT95&lt;&gt;"",$BI183*AT183,0),AT183*$BI183),AT183*$BI183),0)</f>
        <v>0</v>
      </c>
      <c r="CX183" s="5">
        <f>IF($BI183&lt;&gt;"",IF('Capacity summary'!$C$14="Yes",IF(COUNTBLANK('Capacity summary'!$H95:$BG95)&lt;52,IF('Capacity summary'!AU95&lt;&gt;"",$BI183*AU183,0),AU183*$BI183),AU183*$BI183),0)</f>
        <v>0</v>
      </c>
      <c r="CY183" s="5">
        <f>IF($BI183&lt;&gt;"",IF('Capacity summary'!$C$14="Yes",IF(COUNTBLANK('Capacity summary'!$H95:$BG95)&lt;52,IF('Capacity summary'!AV95&lt;&gt;"",$BI183*AV183,0),AV183*$BI183),AV183*$BI183),0)</f>
        <v>0</v>
      </c>
      <c r="CZ183" s="5">
        <f>IF($BI183&lt;&gt;"",IF('Capacity summary'!$C$14="Yes",IF(COUNTBLANK('Capacity summary'!$H95:$BG95)&lt;52,IF('Capacity summary'!AW95&lt;&gt;"",$BI183*AW183,0),AW183*$BI183),AW183*$BI183),0)</f>
        <v>0</v>
      </c>
      <c r="DA183" s="5">
        <f>IF($BI183&lt;&gt;"",IF('Capacity summary'!$C$14="Yes",IF(COUNTBLANK('Capacity summary'!$H95:$BG95)&lt;52,IF('Capacity summary'!AX95&lt;&gt;"",$BI183*AX183,0),AX183*$BI183),AX183*$BI183),0)</f>
        <v>0</v>
      </c>
      <c r="DB183" s="5">
        <f>IF($BI183&lt;&gt;"",IF('Capacity summary'!$C$14="Yes",IF(COUNTBLANK('Capacity summary'!$H95:$BG95)&lt;52,IF('Capacity summary'!AY95&lt;&gt;"",$BI183*AY183,0),AY183*$BI183),AY183*$BI183),0)</f>
        <v>0</v>
      </c>
      <c r="DC183" s="5">
        <f>IF($BI183&lt;&gt;"",IF('Capacity summary'!$C$14="Yes",IF(COUNTBLANK('Capacity summary'!$H95:$BG95)&lt;52,IF('Capacity summary'!AZ95&lt;&gt;"",$BI183*AZ183,0),AZ183*$BI183),AZ183*$BI183),0)</f>
        <v>0</v>
      </c>
      <c r="DD183" s="5">
        <f>IF($BI183&lt;&gt;"",IF('Capacity summary'!$C$14="Yes",IF(COUNTBLANK('Capacity summary'!$H95:$BG95)&lt;52,IF('Capacity summary'!BA95&lt;&gt;"",$BI183*BA183,0),BA183*$BI183),BA183*$BI183),0)</f>
        <v>0</v>
      </c>
      <c r="DE183" s="5">
        <f>IF($BI183&lt;&gt;"",IF('Capacity summary'!$C$14="Yes",IF(COUNTBLANK('Capacity summary'!$H95:$BG95)&lt;52,IF('Capacity summary'!BB95&lt;&gt;"",$BI183*BB183,0),BB183*$BI183),BB183*$BI183),0)</f>
        <v>0</v>
      </c>
      <c r="DF183" s="5">
        <f>IF($BI183&lt;&gt;"",IF('Capacity summary'!$C$14="Yes",IF(COUNTBLANK('Capacity summary'!$H95:$BG95)&lt;52,IF('Capacity summary'!BC95&lt;&gt;"",$BI183*BC183,0),BC183*$BI183),BC183*$BI183),0)</f>
        <v>0</v>
      </c>
      <c r="DG183" s="5">
        <f>IF($BI183&lt;&gt;"",IF('Capacity summary'!$C$14="Yes",IF(COUNTBLANK('Capacity summary'!$H95:$BG95)&lt;52,IF('Capacity summary'!BD95&lt;&gt;"",$BI183*BD183,0),BD183*$BI183),BD183*$BI183),0)</f>
        <v>0</v>
      </c>
      <c r="DH183" s="5">
        <f>IF($BI183&lt;&gt;"",IF('Capacity summary'!$C$14="Yes",IF(COUNTBLANK('Capacity summary'!$H95:$BG95)&lt;52,IF('Capacity summary'!BE95&lt;&gt;"",$BI183*BE183,0),BE183*$BI183),BE183*$BI183),0)</f>
        <v>0</v>
      </c>
      <c r="DI183" s="5">
        <f>IF($BI183&lt;&gt;"",IF('Capacity summary'!$C$14="Yes",IF(COUNTBLANK('Capacity summary'!$H95:$BG95)&lt;52,IF('Capacity summary'!BF95&lt;&gt;"",$BI183*BF183,0),BF183*$BI183),BF183*$BI183),0)</f>
        <v>0</v>
      </c>
      <c r="DJ183" s="5">
        <f>IF($BI183&lt;&gt;"",IF('Capacity summary'!$C$14="Yes",IF(COUNTBLANK('Capacity summary'!$H95:$BG95)&lt;52,IF('Capacity summary'!BG95&lt;&gt;"",$BI183*BG183,0),BG183*$BI183),BG183*$BI183),0)</f>
        <v>0</v>
      </c>
      <c r="DK183" s="138">
        <f t="shared" si="7"/>
        <v>0</v>
      </c>
    </row>
    <row r="184" spans="3:115" x14ac:dyDescent="0.2">
      <c r="C184" s="68" t="str">
        <f>ROW(A73)&amp;". "&amp;Capacity!N89</f>
        <v xml:space="preserve">73. </v>
      </c>
      <c r="D184" s="68">
        <f>'Capacity setup'!C190</f>
        <v>0</v>
      </c>
      <c r="E184" s="68">
        <f>'Capacity setup'!D190</f>
        <v>0</v>
      </c>
      <c r="F184" s="68">
        <f>'Capacity setup'!E190</f>
        <v>0</v>
      </c>
      <c r="H184" s="68">
        <f ca="1">IF(AND(SUMIF(Capacity_Resource,$D184,'Critical resources (hide)'!U$6:U$105)+SUMIF(Capacity_Resource,$E184,'Critical resources (hide)'!U$6:U$105)+SUMIF(Capacity_Resource,$F184,'Critical resources (hide)'!U$6:U$105)&gt;0,$E$1=2),0,1)</f>
        <v>1</v>
      </c>
      <c r="I184" s="68">
        <f ca="1">IF(AND(SUMIF(Capacity_Resource,$D184,'Critical resources (hide)'!V$6:V$105)+SUMIF(Capacity_Resource,$E184,'Critical resources (hide)'!V$6:V$105)+SUMIF(Capacity_Resource,$F184,'Critical resources (hide)'!V$6:V$105)&gt;0,$E$1=2),0,1)</f>
        <v>1</v>
      </c>
      <c r="J184" s="68">
        <f ca="1">IF(AND(SUMIF(Capacity_Resource,$D184,'Critical resources (hide)'!W$6:W$105)+SUMIF(Capacity_Resource,$E184,'Critical resources (hide)'!W$6:W$105)+SUMIF(Capacity_Resource,$F184,'Critical resources (hide)'!W$6:W$105)&gt;0,$E$1=2),0,1)</f>
        <v>1</v>
      </c>
      <c r="K184" s="68">
        <f ca="1">IF(AND(SUMIF(Capacity_Resource,$D184,'Critical resources (hide)'!X$6:X$105)+SUMIF(Capacity_Resource,$E184,'Critical resources (hide)'!X$6:X$105)+SUMIF(Capacity_Resource,$F184,'Critical resources (hide)'!X$6:X$105)&gt;0,$E$1=2),0,1)</f>
        <v>1</v>
      </c>
      <c r="L184" s="68">
        <f ca="1">IF(AND(SUMIF(Capacity_Resource,$D184,'Critical resources (hide)'!Y$6:Y$105)+SUMIF(Capacity_Resource,$E184,'Critical resources (hide)'!Y$6:Y$105)+SUMIF(Capacity_Resource,$F184,'Critical resources (hide)'!Y$6:Y$105)&gt;0,$E$1=2),0,1)</f>
        <v>1</v>
      </c>
      <c r="M184" s="68">
        <f ca="1">IF(AND(SUMIF(Capacity_Resource,$D184,'Critical resources (hide)'!Z$6:Z$105)+SUMIF(Capacity_Resource,$E184,'Critical resources (hide)'!Z$6:Z$105)+SUMIF(Capacity_Resource,$F184,'Critical resources (hide)'!Z$6:Z$105)&gt;0,$E$1=2),0,1)</f>
        <v>1</v>
      </c>
      <c r="N184" s="68">
        <f ca="1">IF(AND(SUMIF(Capacity_Resource,$D184,'Critical resources (hide)'!AA$6:AA$105)+SUMIF(Capacity_Resource,$E184,'Critical resources (hide)'!AA$6:AA$105)+SUMIF(Capacity_Resource,$F184,'Critical resources (hide)'!AA$6:AA$105)&gt;0,$E$1=2),0,1)</f>
        <v>1</v>
      </c>
      <c r="O184" s="68">
        <f ca="1">IF(AND(SUMIF(Capacity_Resource,$D184,'Critical resources (hide)'!AB$6:AB$105)+SUMIF(Capacity_Resource,$E184,'Critical resources (hide)'!AB$6:AB$105)+SUMIF(Capacity_Resource,$F184,'Critical resources (hide)'!AB$6:AB$105)&gt;0,$E$1=2),0,1)</f>
        <v>1</v>
      </c>
      <c r="P184" s="68">
        <f ca="1">IF(AND(SUMIF(Capacity_Resource,$D184,'Critical resources (hide)'!AC$6:AC$105)+SUMIF(Capacity_Resource,$E184,'Critical resources (hide)'!AC$6:AC$105)+SUMIF(Capacity_Resource,$F184,'Critical resources (hide)'!AC$6:AC$105)&gt;0,$E$1=2),0,1)</f>
        <v>1</v>
      </c>
      <c r="Q184" s="68">
        <f ca="1">IF(AND(SUMIF(Capacity_Resource,$D184,'Critical resources (hide)'!AD$6:AD$105)+SUMIF(Capacity_Resource,$E184,'Critical resources (hide)'!AD$6:AD$105)+SUMIF(Capacity_Resource,$F184,'Critical resources (hide)'!AD$6:AD$105)&gt;0,$E$1=2),0,1)</f>
        <v>1</v>
      </c>
      <c r="R184" s="68">
        <f ca="1">IF(AND(SUMIF(Capacity_Resource,$D184,'Critical resources (hide)'!AE$6:AE$105)+SUMIF(Capacity_Resource,$E184,'Critical resources (hide)'!AE$6:AE$105)+SUMIF(Capacity_Resource,$F184,'Critical resources (hide)'!AE$6:AE$105)&gt;0,$E$1=2),0,1)</f>
        <v>1</v>
      </c>
      <c r="S184" s="68">
        <f ca="1">IF(AND(SUMIF(Capacity_Resource,$D184,'Critical resources (hide)'!AF$6:AF$105)+SUMIF(Capacity_Resource,$E184,'Critical resources (hide)'!AF$6:AF$105)+SUMIF(Capacity_Resource,$F184,'Critical resources (hide)'!AF$6:AF$105)&gt;0,$E$1=2),0,1)</f>
        <v>1</v>
      </c>
      <c r="T184" s="68">
        <f ca="1">IF(AND(SUMIF(Capacity_Resource,$D184,'Critical resources (hide)'!AG$6:AG$105)+SUMIF(Capacity_Resource,$E184,'Critical resources (hide)'!AG$6:AG$105)+SUMIF(Capacity_Resource,$F184,'Critical resources (hide)'!AG$6:AG$105)&gt;0,$E$1=2),0,1)</f>
        <v>1</v>
      </c>
      <c r="U184" s="68">
        <f ca="1">IF(AND(SUMIF(Capacity_Resource,$D184,'Critical resources (hide)'!AH$6:AH$105)+SUMIF(Capacity_Resource,$E184,'Critical resources (hide)'!AH$6:AH$105)+SUMIF(Capacity_Resource,$F184,'Critical resources (hide)'!AH$6:AH$105)&gt;0,$E$1=2),0,1)</f>
        <v>1</v>
      </c>
      <c r="V184" s="68">
        <f ca="1">IF(AND(SUMIF(Capacity_Resource,$D184,'Critical resources (hide)'!AI$6:AI$105)+SUMIF(Capacity_Resource,$E184,'Critical resources (hide)'!AI$6:AI$105)+SUMIF(Capacity_Resource,$F184,'Critical resources (hide)'!AI$6:AI$105)&gt;0,$E$1=2),0,1)</f>
        <v>1</v>
      </c>
      <c r="W184" s="68">
        <f ca="1">IF(AND(SUMIF(Capacity_Resource,$D184,'Critical resources (hide)'!AJ$6:AJ$105)+SUMIF(Capacity_Resource,$E184,'Critical resources (hide)'!AJ$6:AJ$105)+SUMIF(Capacity_Resource,$F184,'Critical resources (hide)'!AJ$6:AJ$105)&gt;0,$E$1=2),0,1)</f>
        <v>1</v>
      </c>
      <c r="X184" s="68">
        <f ca="1">IF(AND(SUMIF(Capacity_Resource,$D184,'Critical resources (hide)'!AK$6:AK$105)+SUMIF(Capacity_Resource,$E184,'Critical resources (hide)'!AK$6:AK$105)+SUMIF(Capacity_Resource,$F184,'Critical resources (hide)'!AK$6:AK$105)&gt;0,$E$1=2),0,1)</f>
        <v>1</v>
      </c>
      <c r="Y184" s="68">
        <f ca="1">IF(AND(SUMIF(Capacity_Resource,$D184,'Critical resources (hide)'!AL$6:AL$105)+SUMIF(Capacity_Resource,$E184,'Critical resources (hide)'!AL$6:AL$105)+SUMIF(Capacity_Resource,$F184,'Critical resources (hide)'!AL$6:AL$105)&gt;0,$E$1=2),0,1)</f>
        <v>1</v>
      </c>
      <c r="Z184" s="68">
        <f ca="1">IF(AND(SUMIF(Capacity_Resource,$D184,'Critical resources (hide)'!AM$6:AM$105)+SUMIF(Capacity_Resource,$E184,'Critical resources (hide)'!AM$6:AM$105)+SUMIF(Capacity_Resource,$F184,'Critical resources (hide)'!AM$6:AM$105)&gt;0,$E$1=2),0,1)</f>
        <v>1</v>
      </c>
      <c r="AA184" s="68">
        <f ca="1">IF(AND(SUMIF(Capacity_Resource,$D184,'Critical resources (hide)'!AN$6:AN$105)+SUMIF(Capacity_Resource,$E184,'Critical resources (hide)'!AN$6:AN$105)+SUMIF(Capacity_Resource,$F184,'Critical resources (hide)'!AN$6:AN$105)&gt;0,$E$1=2),0,1)</f>
        <v>1</v>
      </c>
      <c r="AB184" s="68">
        <f ca="1">IF(AND(SUMIF(Capacity_Resource,$D184,'Critical resources (hide)'!AO$6:AO$105)+SUMIF(Capacity_Resource,$E184,'Critical resources (hide)'!AO$6:AO$105)+SUMIF(Capacity_Resource,$F184,'Critical resources (hide)'!AO$6:AO$105)&gt;0,$E$1=2),0,1)</f>
        <v>1</v>
      </c>
      <c r="AC184" s="68">
        <f ca="1">IF(AND(SUMIF(Capacity_Resource,$D184,'Critical resources (hide)'!AP$6:AP$105)+SUMIF(Capacity_Resource,$E184,'Critical resources (hide)'!AP$6:AP$105)+SUMIF(Capacity_Resource,$F184,'Critical resources (hide)'!AP$6:AP$105)&gt;0,$E$1=2),0,1)</f>
        <v>1</v>
      </c>
      <c r="AD184" s="68">
        <f ca="1">IF(AND(SUMIF(Capacity_Resource,$D184,'Critical resources (hide)'!AQ$6:AQ$105)+SUMIF(Capacity_Resource,$E184,'Critical resources (hide)'!AQ$6:AQ$105)+SUMIF(Capacity_Resource,$F184,'Critical resources (hide)'!AQ$6:AQ$105)&gt;0,$E$1=2),0,1)</f>
        <v>1</v>
      </c>
      <c r="AE184" s="68">
        <f ca="1">IF(AND(SUMIF(Capacity_Resource,$D184,'Critical resources (hide)'!AR$6:AR$105)+SUMIF(Capacity_Resource,$E184,'Critical resources (hide)'!AR$6:AR$105)+SUMIF(Capacity_Resource,$F184,'Critical resources (hide)'!AR$6:AR$105)&gt;0,$E$1=2),0,1)</f>
        <v>1</v>
      </c>
      <c r="AF184" s="68">
        <f ca="1">IF(AND(SUMIF(Capacity_Resource,$D184,'Critical resources (hide)'!AS$6:AS$105)+SUMIF(Capacity_Resource,$E184,'Critical resources (hide)'!AS$6:AS$105)+SUMIF(Capacity_Resource,$F184,'Critical resources (hide)'!AS$6:AS$105)&gt;0,$E$1=2),0,1)</f>
        <v>1</v>
      </c>
      <c r="AG184" s="68">
        <f ca="1">IF(AND(SUMIF(Capacity_Resource,$D184,'Critical resources (hide)'!AT$6:AT$105)+SUMIF(Capacity_Resource,$E184,'Critical resources (hide)'!AT$6:AT$105)+SUMIF(Capacity_Resource,$F184,'Critical resources (hide)'!AT$6:AT$105)&gt;0,$E$1=2),0,1)</f>
        <v>1</v>
      </c>
      <c r="AH184" s="68">
        <f ca="1">IF(AND(SUMIF(Capacity_Resource,$D184,'Critical resources (hide)'!AU$6:AU$105)+SUMIF(Capacity_Resource,$E184,'Critical resources (hide)'!AU$6:AU$105)+SUMIF(Capacity_Resource,$F184,'Critical resources (hide)'!AU$6:AU$105)&gt;0,$E$1=2),0,1)</f>
        <v>1</v>
      </c>
      <c r="AI184" s="68">
        <f ca="1">IF(AND(SUMIF(Capacity_Resource,$D184,'Critical resources (hide)'!AV$6:AV$105)+SUMIF(Capacity_Resource,$E184,'Critical resources (hide)'!AV$6:AV$105)+SUMIF(Capacity_Resource,$F184,'Critical resources (hide)'!AV$6:AV$105)&gt;0,$E$1=2),0,1)</f>
        <v>1</v>
      </c>
      <c r="AJ184" s="68">
        <f ca="1">IF(AND(SUMIF(Capacity_Resource,$D184,'Critical resources (hide)'!AW$6:AW$105)+SUMIF(Capacity_Resource,$E184,'Critical resources (hide)'!AW$6:AW$105)+SUMIF(Capacity_Resource,$F184,'Critical resources (hide)'!AW$6:AW$105)&gt;0,$E$1=2),0,1)</f>
        <v>1</v>
      </c>
      <c r="AK184" s="68">
        <f ca="1">IF(AND(SUMIF(Capacity_Resource,$D184,'Critical resources (hide)'!AX$6:AX$105)+SUMIF(Capacity_Resource,$E184,'Critical resources (hide)'!AX$6:AX$105)+SUMIF(Capacity_Resource,$F184,'Critical resources (hide)'!AX$6:AX$105)&gt;0,$E$1=2),0,1)</f>
        <v>1</v>
      </c>
      <c r="AL184" s="68">
        <f ca="1">IF(AND(SUMIF(Capacity_Resource,$D184,'Critical resources (hide)'!AY$6:AY$105)+SUMIF(Capacity_Resource,$E184,'Critical resources (hide)'!AY$6:AY$105)+SUMIF(Capacity_Resource,$F184,'Critical resources (hide)'!AY$6:AY$105)&gt;0,$E$1=2),0,1)</f>
        <v>1</v>
      </c>
      <c r="AM184" s="68">
        <f ca="1">IF(AND(SUMIF(Capacity_Resource,$D184,'Critical resources (hide)'!AZ$6:AZ$105)+SUMIF(Capacity_Resource,$E184,'Critical resources (hide)'!AZ$6:AZ$105)+SUMIF(Capacity_Resource,$F184,'Critical resources (hide)'!AZ$6:AZ$105)&gt;0,$E$1=2),0,1)</f>
        <v>1</v>
      </c>
      <c r="AN184" s="68">
        <f ca="1">IF(AND(SUMIF(Capacity_Resource,$D184,'Critical resources (hide)'!BA$6:BA$105)+SUMIF(Capacity_Resource,$E184,'Critical resources (hide)'!BA$6:BA$105)+SUMIF(Capacity_Resource,$F184,'Critical resources (hide)'!BA$6:BA$105)&gt;0,$E$1=2),0,1)</f>
        <v>1</v>
      </c>
      <c r="AO184" s="68">
        <f ca="1">IF(AND(SUMIF(Capacity_Resource,$D184,'Critical resources (hide)'!BB$6:BB$105)+SUMIF(Capacity_Resource,$E184,'Critical resources (hide)'!BB$6:BB$105)+SUMIF(Capacity_Resource,$F184,'Critical resources (hide)'!BB$6:BB$105)&gt;0,$E$1=2),0,1)</f>
        <v>1</v>
      </c>
      <c r="AP184" s="68">
        <f ca="1">IF(AND(SUMIF(Capacity_Resource,$D184,'Critical resources (hide)'!BC$6:BC$105)+SUMIF(Capacity_Resource,$E184,'Critical resources (hide)'!BC$6:BC$105)+SUMIF(Capacity_Resource,$F184,'Critical resources (hide)'!BC$6:BC$105)&gt;0,$E$1=2),0,1)</f>
        <v>1</v>
      </c>
      <c r="AQ184" s="68">
        <f ca="1">IF(AND(SUMIF(Capacity_Resource,$D184,'Critical resources (hide)'!BD$6:BD$105)+SUMIF(Capacity_Resource,$E184,'Critical resources (hide)'!BD$6:BD$105)+SUMIF(Capacity_Resource,$F184,'Critical resources (hide)'!BD$6:BD$105)&gt;0,$E$1=2),0,1)</f>
        <v>1</v>
      </c>
      <c r="AR184" s="68">
        <f ca="1">IF(AND(SUMIF(Capacity_Resource,$D184,'Critical resources (hide)'!BE$6:BE$105)+SUMIF(Capacity_Resource,$E184,'Critical resources (hide)'!BE$6:BE$105)+SUMIF(Capacity_Resource,$F184,'Critical resources (hide)'!BE$6:BE$105)&gt;0,$E$1=2),0,1)</f>
        <v>1</v>
      </c>
      <c r="AS184" s="68">
        <f ca="1">IF(AND(SUMIF(Capacity_Resource,$D184,'Critical resources (hide)'!BF$6:BF$105)+SUMIF(Capacity_Resource,$E184,'Critical resources (hide)'!BF$6:BF$105)+SUMIF(Capacity_Resource,$F184,'Critical resources (hide)'!BF$6:BF$105)&gt;0,$E$1=2),0,1)</f>
        <v>1</v>
      </c>
      <c r="AT184" s="68">
        <f ca="1">IF(AND(SUMIF(Capacity_Resource,$D184,'Critical resources (hide)'!BG$6:BG$105)+SUMIF(Capacity_Resource,$E184,'Critical resources (hide)'!BG$6:BG$105)+SUMIF(Capacity_Resource,$F184,'Critical resources (hide)'!BG$6:BG$105)&gt;0,$E$1=2),0,1)</f>
        <v>1</v>
      </c>
      <c r="AU184" s="68">
        <f ca="1">IF(AND(SUMIF(Capacity_Resource,$D184,'Critical resources (hide)'!BH$6:BH$105)+SUMIF(Capacity_Resource,$E184,'Critical resources (hide)'!BH$6:BH$105)+SUMIF(Capacity_Resource,$F184,'Critical resources (hide)'!BH$6:BH$105)&gt;0,$E$1=2),0,1)</f>
        <v>1</v>
      </c>
      <c r="AV184" s="68">
        <f ca="1">IF(AND(SUMIF(Capacity_Resource,$D184,'Critical resources (hide)'!BI$6:BI$105)+SUMIF(Capacity_Resource,$E184,'Critical resources (hide)'!BI$6:BI$105)+SUMIF(Capacity_Resource,$F184,'Critical resources (hide)'!BI$6:BI$105)&gt;0,$E$1=2),0,1)</f>
        <v>1</v>
      </c>
      <c r="AW184" s="68">
        <f ca="1">IF(AND(SUMIF(Capacity_Resource,$D184,'Critical resources (hide)'!BJ$6:BJ$105)+SUMIF(Capacity_Resource,$E184,'Critical resources (hide)'!BJ$6:BJ$105)+SUMIF(Capacity_Resource,$F184,'Critical resources (hide)'!BJ$6:BJ$105)&gt;0,$E$1=2),0,1)</f>
        <v>1</v>
      </c>
      <c r="AX184" s="68">
        <f ca="1">IF(AND(SUMIF(Capacity_Resource,$D184,'Critical resources (hide)'!BK$6:BK$105)+SUMIF(Capacity_Resource,$E184,'Critical resources (hide)'!BK$6:BK$105)+SUMIF(Capacity_Resource,$F184,'Critical resources (hide)'!BK$6:BK$105)&gt;0,$E$1=2),0,1)</f>
        <v>1</v>
      </c>
      <c r="AY184" s="68">
        <f ca="1">IF(AND(SUMIF(Capacity_Resource,$D184,'Critical resources (hide)'!BL$6:BL$105)+SUMIF(Capacity_Resource,$E184,'Critical resources (hide)'!BL$6:BL$105)+SUMIF(Capacity_Resource,$F184,'Critical resources (hide)'!BL$6:BL$105)&gt;0,$E$1=2),0,1)</f>
        <v>1</v>
      </c>
      <c r="AZ184" s="68">
        <f ca="1">IF(AND(SUMIF(Capacity_Resource,$D184,'Critical resources (hide)'!BM$6:BM$105)+SUMIF(Capacity_Resource,$E184,'Critical resources (hide)'!BM$6:BM$105)+SUMIF(Capacity_Resource,$F184,'Critical resources (hide)'!BM$6:BM$105)&gt;0,$E$1=2),0,1)</f>
        <v>1</v>
      </c>
      <c r="BA184" s="68">
        <f ca="1">IF(AND(SUMIF(Capacity_Resource,$D184,'Critical resources (hide)'!BN$6:BN$105)+SUMIF(Capacity_Resource,$E184,'Critical resources (hide)'!BN$6:BN$105)+SUMIF(Capacity_Resource,$F184,'Critical resources (hide)'!BN$6:BN$105)&gt;0,$E$1=2),0,1)</f>
        <v>1</v>
      </c>
      <c r="BB184" s="68">
        <f ca="1">IF(AND(SUMIF(Capacity_Resource,$D184,'Critical resources (hide)'!BO$6:BO$105)+SUMIF(Capacity_Resource,$E184,'Critical resources (hide)'!BO$6:BO$105)+SUMIF(Capacity_Resource,$F184,'Critical resources (hide)'!BO$6:BO$105)&gt;0,$E$1=2),0,1)</f>
        <v>1</v>
      </c>
      <c r="BC184" s="68">
        <f ca="1">IF(AND(SUMIF(Capacity_Resource,$D184,'Critical resources (hide)'!BP$6:BP$105)+SUMIF(Capacity_Resource,$E184,'Critical resources (hide)'!BP$6:BP$105)+SUMIF(Capacity_Resource,$F184,'Critical resources (hide)'!BP$6:BP$105)&gt;0,$E$1=2),0,1)</f>
        <v>1</v>
      </c>
      <c r="BD184" s="68">
        <f ca="1">IF(AND(SUMIF(Capacity_Resource,$D184,'Critical resources (hide)'!BQ$6:BQ$105)+SUMIF(Capacity_Resource,$E184,'Critical resources (hide)'!BQ$6:BQ$105)+SUMIF(Capacity_Resource,$F184,'Critical resources (hide)'!BQ$6:BQ$105)&gt;0,$E$1=2),0,1)</f>
        <v>1</v>
      </c>
      <c r="BE184" s="68">
        <f ca="1">IF(AND(SUMIF(Capacity_Resource,$D184,'Critical resources (hide)'!BR$6:BR$105)+SUMIF(Capacity_Resource,$E184,'Critical resources (hide)'!BR$6:BR$105)+SUMIF(Capacity_Resource,$F184,'Critical resources (hide)'!BR$6:BR$105)&gt;0,$E$1=2),0,1)</f>
        <v>1</v>
      </c>
      <c r="BF184" s="68">
        <f ca="1">IF(AND(SUMIF(Capacity_Resource,$D184,'Critical resources (hide)'!BS$6:BS$105)+SUMIF(Capacity_Resource,$E184,'Critical resources (hide)'!BS$6:BS$105)+SUMIF(Capacity_Resource,$F184,'Critical resources (hide)'!BS$6:BS$105)&gt;0,$E$1=2),0,1)</f>
        <v>1</v>
      </c>
      <c r="BG184" s="68">
        <f ca="1">IF(AND(SUMIF(Capacity_Resource,$D184,'Critical resources (hide)'!BT$6:BT$105)+SUMIF(Capacity_Resource,$E184,'Critical resources (hide)'!BT$6:BT$105)+SUMIF(Capacity_Resource,$F184,'Critical resources (hide)'!BT$6:BT$105)&gt;0,$E$1=2),0,1)</f>
        <v>1</v>
      </c>
      <c r="BH184" s="68">
        <f>IF(ROW(A73)&lt;=Capacity!$M$16,IF('Capacity summary'!$C$14="No",SUM(H184:BG184),'Capacity summary'!$E96),0)</f>
        <v>0</v>
      </c>
      <c r="BI184" s="68" t="str">
        <f>IF(BH184&gt;0,IF(BH184&lt;Capacity!Q89,Capacity!R89,Capacity!T89/'Capacity calculation (hide)'!BH184),"")</f>
        <v/>
      </c>
      <c r="BJ184" s="5"/>
      <c r="BK184" s="5">
        <f>IF($BI184&lt;&gt;"",IF('Capacity summary'!$C$14="Yes",IF(COUNTBLANK('Capacity summary'!$H96:$BG96)&lt;52,IF('Capacity summary'!H96&lt;&gt;"",$BI184*H184,0),H184*$BI184),H184*$BI184),0)</f>
        <v>0</v>
      </c>
      <c r="BL184" s="5">
        <f>IF($BI184&lt;&gt;"",IF('Capacity summary'!$C$14="Yes",IF(COUNTBLANK('Capacity summary'!$H96:$BG96)&lt;52,IF('Capacity summary'!I96&lt;&gt;"",$BI184*I184,0),I184*$BI184),I184*$BI184),0)</f>
        <v>0</v>
      </c>
      <c r="BM184" s="5">
        <f>IF($BI184&lt;&gt;"",IF('Capacity summary'!$C$14="Yes",IF(COUNTBLANK('Capacity summary'!$H96:$BG96)&lt;52,IF('Capacity summary'!J96&lt;&gt;"",$BI184*J184,0),J184*$BI184),J184*$BI184),0)</f>
        <v>0</v>
      </c>
      <c r="BN184" s="5">
        <f>IF($BI184&lt;&gt;"",IF('Capacity summary'!$C$14="Yes",IF(COUNTBLANK('Capacity summary'!$H96:$BG96)&lt;52,IF('Capacity summary'!K96&lt;&gt;"",$BI184*K184,0),K184*$BI184),K184*$BI184),0)</f>
        <v>0</v>
      </c>
      <c r="BO184" s="5">
        <f>IF($BI184&lt;&gt;"",IF('Capacity summary'!$C$14="Yes",IF(COUNTBLANK('Capacity summary'!$H96:$BG96)&lt;52,IF('Capacity summary'!L96&lt;&gt;"",$BI184*L184,0),L184*$BI184),L184*$BI184),0)</f>
        <v>0</v>
      </c>
      <c r="BP184" s="5">
        <f>IF($BI184&lt;&gt;"",IF('Capacity summary'!$C$14="Yes",IF(COUNTBLANK('Capacity summary'!$H96:$BG96)&lt;52,IF('Capacity summary'!M96&lt;&gt;"",$BI184*M184,0),M184*$BI184),M184*$BI184),0)</f>
        <v>0</v>
      </c>
      <c r="BQ184" s="5">
        <f>IF($BI184&lt;&gt;"",IF('Capacity summary'!$C$14="Yes",IF(COUNTBLANK('Capacity summary'!$H96:$BG96)&lt;52,IF('Capacity summary'!N96&lt;&gt;"",$BI184*N184,0),N184*$BI184),N184*$BI184),0)</f>
        <v>0</v>
      </c>
      <c r="BR184" s="5">
        <f>IF($BI184&lt;&gt;"",IF('Capacity summary'!$C$14="Yes",IF(COUNTBLANK('Capacity summary'!$H96:$BG96)&lt;52,IF('Capacity summary'!O96&lt;&gt;"",$BI184*O184,0),O184*$BI184),O184*$BI184),0)</f>
        <v>0</v>
      </c>
      <c r="BS184" s="5">
        <f>IF($BI184&lt;&gt;"",IF('Capacity summary'!$C$14="Yes",IF(COUNTBLANK('Capacity summary'!$H96:$BG96)&lt;52,IF('Capacity summary'!P96&lt;&gt;"",$BI184*P184,0),P184*$BI184),P184*$BI184),0)</f>
        <v>0</v>
      </c>
      <c r="BT184" s="5">
        <f>IF($BI184&lt;&gt;"",IF('Capacity summary'!$C$14="Yes",IF(COUNTBLANK('Capacity summary'!$H96:$BG96)&lt;52,IF('Capacity summary'!Q96&lt;&gt;"",$BI184*Q184,0),Q184*$BI184),Q184*$BI184),0)</f>
        <v>0</v>
      </c>
      <c r="BU184" s="5">
        <f>IF($BI184&lt;&gt;"",IF('Capacity summary'!$C$14="Yes",IF(COUNTBLANK('Capacity summary'!$H96:$BG96)&lt;52,IF('Capacity summary'!R96&lt;&gt;"",$BI184*R184,0),R184*$BI184),R184*$BI184),0)</f>
        <v>0</v>
      </c>
      <c r="BV184" s="5">
        <f>IF($BI184&lt;&gt;"",IF('Capacity summary'!$C$14="Yes",IF(COUNTBLANK('Capacity summary'!$H96:$BG96)&lt;52,IF('Capacity summary'!S96&lt;&gt;"",$BI184*S184,0),S184*$BI184),S184*$BI184),0)</f>
        <v>0</v>
      </c>
      <c r="BW184" s="5">
        <f>IF($BI184&lt;&gt;"",IF('Capacity summary'!$C$14="Yes",IF(COUNTBLANK('Capacity summary'!$H96:$BG96)&lt;52,IF('Capacity summary'!T96&lt;&gt;"",$BI184*T184,0),T184*$BI184),T184*$BI184),0)</f>
        <v>0</v>
      </c>
      <c r="BX184" s="5">
        <f>IF($BI184&lt;&gt;"",IF('Capacity summary'!$C$14="Yes",IF(COUNTBLANK('Capacity summary'!$H96:$BG96)&lt;52,IF('Capacity summary'!U96&lt;&gt;"",$BI184*U184,0),U184*$BI184),U184*$BI184),0)</f>
        <v>0</v>
      </c>
      <c r="BY184" s="5">
        <f>IF($BI184&lt;&gt;"",IF('Capacity summary'!$C$14="Yes",IF(COUNTBLANK('Capacity summary'!$H96:$BG96)&lt;52,IF('Capacity summary'!V96&lt;&gt;"",$BI184*V184,0),V184*$BI184),V184*$BI184),0)</f>
        <v>0</v>
      </c>
      <c r="BZ184" s="5">
        <f>IF($BI184&lt;&gt;"",IF('Capacity summary'!$C$14="Yes",IF(COUNTBLANK('Capacity summary'!$H96:$BG96)&lt;52,IF('Capacity summary'!W96&lt;&gt;"",$BI184*W184,0),W184*$BI184),W184*$BI184),0)</f>
        <v>0</v>
      </c>
      <c r="CA184" s="5">
        <f>IF($BI184&lt;&gt;"",IF('Capacity summary'!$C$14="Yes",IF(COUNTBLANK('Capacity summary'!$H96:$BG96)&lt;52,IF('Capacity summary'!X96&lt;&gt;"",$BI184*X184,0),X184*$BI184),X184*$BI184),0)</f>
        <v>0</v>
      </c>
      <c r="CB184" s="5">
        <f>IF($BI184&lt;&gt;"",IF('Capacity summary'!$C$14="Yes",IF(COUNTBLANK('Capacity summary'!$H96:$BG96)&lt;52,IF('Capacity summary'!Y96&lt;&gt;"",$BI184*Y184,0),Y184*$BI184),Y184*$BI184),0)</f>
        <v>0</v>
      </c>
      <c r="CC184" s="5">
        <f>IF($BI184&lt;&gt;"",IF('Capacity summary'!$C$14="Yes",IF(COUNTBLANK('Capacity summary'!$H96:$BG96)&lt;52,IF('Capacity summary'!Z96&lt;&gt;"",$BI184*Z184,0),Z184*$BI184),Z184*$BI184),0)</f>
        <v>0</v>
      </c>
      <c r="CD184" s="5">
        <f>IF($BI184&lt;&gt;"",IF('Capacity summary'!$C$14="Yes",IF(COUNTBLANK('Capacity summary'!$H96:$BG96)&lt;52,IF('Capacity summary'!AA96&lt;&gt;"",$BI184*AA184,0),AA184*$BI184),AA184*$BI184),0)</f>
        <v>0</v>
      </c>
      <c r="CE184" s="5">
        <f>IF($BI184&lt;&gt;"",IF('Capacity summary'!$C$14="Yes",IF(COUNTBLANK('Capacity summary'!$H96:$BG96)&lt;52,IF('Capacity summary'!AB96&lt;&gt;"",$BI184*AB184,0),AB184*$BI184),AB184*$BI184),0)</f>
        <v>0</v>
      </c>
      <c r="CF184" s="5">
        <f>IF($BI184&lt;&gt;"",IF('Capacity summary'!$C$14="Yes",IF(COUNTBLANK('Capacity summary'!$H96:$BG96)&lt;52,IF('Capacity summary'!AC96&lt;&gt;"",$BI184*AC184,0),AC184*$BI184),AC184*$BI184),0)</f>
        <v>0</v>
      </c>
      <c r="CG184" s="5">
        <f>IF($BI184&lt;&gt;"",IF('Capacity summary'!$C$14="Yes",IF(COUNTBLANK('Capacity summary'!$H96:$BG96)&lt;52,IF('Capacity summary'!AD96&lt;&gt;"",$BI184*AD184,0),AD184*$BI184),AD184*$BI184),0)</f>
        <v>0</v>
      </c>
      <c r="CH184" s="5">
        <f>IF($BI184&lt;&gt;"",IF('Capacity summary'!$C$14="Yes",IF(COUNTBLANK('Capacity summary'!$H96:$BG96)&lt;52,IF('Capacity summary'!AE96&lt;&gt;"",$BI184*AE184,0),AE184*$BI184),AE184*$BI184),0)</f>
        <v>0</v>
      </c>
      <c r="CI184" s="5">
        <f>IF($BI184&lt;&gt;"",IF('Capacity summary'!$C$14="Yes",IF(COUNTBLANK('Capacity summary'!$H96:$BG96)&lt;52,IF('Capacity summary'!AF96&lt;&gt;"",$BI184*AF184,0),AF184*$BI184),AF184*$BI184),0)</f>
        <v>0</v>
      </c>
      <c r="CJ184" s="5">
        <f>IF($BI184&lt;&gt;"",IF('Capacity summary'!$C$14="Yes",IF(COUNTBLANK('Capacity summary'!$H96:$BG96)&lt;52,IF('Capacity summary'!AG96&lt;&gt;"",$BI184*AG184,0),AG184*$BI184),AG184*$BI184),0)</f>
        <v>0</v>
      </c>
      <c r="CK184" s="5">
        <f>IF($BI184&lt;&gt;"",IF('Capacity summary'!$C$14="Yes",IF(COUNTBLANK('Capacity summary'!$H96:$BG96)&lt;52,IF('Capacity summary'!AH96&lt;&gt;"",$BI184*AH184,0),AH184*$BI184),AH184*$BI184),0)</f>
        <v>0</v>
      </c>
      <c r="CL184" s="5">
        <f>IF($BI184&lt;&gt;"",IF('Capacity summary'!$C$14="Yes",IF(COUNTBLANK('Capacity summary'!$H96:$BG96)&lt;52,IF('Capacity summary'!AI96&lt;&gt;"",$BI184*AI184,0),AI184*$BI184),AI184*$BI184),0)</f>
        <v>0</v>
      </c>
      <c r="CM184" s="5">
        <f>IF($BI184&lt;&gt;"",IF('Capacity summary'!$C$14="Yes",IF(COUNTBLANK('Capacity summary'!$H96:$BG96)&lt;52,IF('Capacity summary'!AJ96&lt;&gt;"",$BI184*AJ184,0),AJ184*$BI184),AJ184*$BI184),0)</f>
        <v>0</v>
      </c>
      <c r="CN184" s="5">
        <f>IF($BI184&lt;&gt;"",IF('Capacity summary'!$C$14="Yes",IF(COUNTBLANK('Capacity summary'!$H96:$BG96)&lt;52,IF('Capacity summary'!AK96&lt;&gt;"",$BI184*AK184,0),AK184*$BI184),AK184*$BI184),0)</f>
        <v>0</v>
      </c>
      <c r="CO184" s="5">
        <f>IF($BI184&lt;&gt;"",IF('Capacity summary'!$C$14="Yes",IF(COUNTBLANK('Capacity summary'!$H96:$BG96)&lt;52,IF('Capacity summary'!AL96&lt;&gt;"",$BI184*AL184,0),AL184*$BI184),AL184*$BI184),0)</f>
        <v>0</v>
      </c>
      <c r="CP184" s="5">
        <f>IF($BI184&lt;&gt;"",IF('Capacity summary'!$C$14="Yes",IF(COUNTBLANK('Capacity summary'!$H96:$BG96)&lt;52,IF('Capacity summary'!AM96&lt;&gt;"",$BI184*AM184,0),AM184*$BI184),AM184*$BI184),0)</f>
        <v>0</v>
      </c>
      <c r="CQ184" s="5">
        <f>IF($BI184&lt;&gt;"",IF('Capacity summary'!$C$14="Yes",IF(COUNTBLANK('Capacity summary'!$H96:$BG96)&lt;52,IF('Capacity summary'!AN96&lt;&gt;"",$BI184*AN184,0),AN184*$BI184),AN184*$BI184),0)</f>
        <v>0</v>
      </c>
      <c r="CR184" s="5">
        <f>IF($BI184&lt;&gt;"",IF('Capacity summary'!$C$14="Yes",IF(COUNTBLANK('Capacity summary'!$H96:$BG96)&lt;52,IF('Capacity summary'!AO96&lt;&gt;"",$BI184*AO184,0),AO184*$BI184),AO184*$BI184),0)</f>
        <v>0</v>
      </c>
      <c r="CS184" s="5">
        <f>IF($BI184&lt;&gt;"",IF('Capacity summary'!$C$14="Yes",IF(COUNTBLANK('Capacity summary'!$H96:$BG96)&lt;52,IF('Capacity summary'!AP96&lt;&gt;"",$BI184*AP184,0),AP184*$BI184),AP184*$BI184),0)</f>
        <v>0</v>
      </c>
      <c r="CT184" s="5">
        <f>IF($BI184&lt;&gt;"",IF('Capacity summary'!$C$14="Yes",IF(COUNTBLANK('Capacity summary'!$H96:$BG96)&lt;52,IF('Capacity summary'!AQ96&lt;&gt;"",$BI184*AQ184,0),AQ184*$BI184),AQ184*$BI184),0)</f>
        <v>0</v>
      </c>
      <c r="CU184" s="5">
        <f>IF($BI184&lt;&gt;"",IF('Capacity summary'!$C$14="Yes",IF(COUNTBLANK('Capacity summary'!$H96:$BG96)&lt;52,IF('Capacity summary'!AR96&lt;&gt;"",$BI184*AR184,0),AR184*$BI184),AR184*$BI184),0)</f>
        <v>0</v>
      </c>
      <c r="CV184" s="5">
        <f>IF($BI184&lt;&gt;"",IF('Capacity summary'!$C$14="Yes",IF(COUNTBLANK('Capacity summary'!$H96:$BG96)&lt;52,IF('Capacity summary'!AS96&lt;&gt;"",$BI184*AS184,0),AS184*$BI184),AS184*$BI184),0)</f>
        <v>0</v>
      </c>
      <c r="CW184" s="5">
        <f>IF($BI184&lt;&gt;"",IF('Capacity summary'!$C$14="Yes",IF(COUNTBLANK('Capacity summary'!$H96:$BG96)&lt;52,IF('Capacity summary'!AT96&lt;&gt;"",$BI184*AT184,0),AT184*$BI184),AT184*$BI184),0)</f>
        <v>0</v>
      </c>
      <c r="CX184" s="5">
        <f>IF($BI184&lt;&gt;"",IF('Capacity summary'!$C$14="Yes",IF(COUNTBLANK('Capacity summary'!$H96:$BG96)&lt;52,IF('Capacity summary'!AU96&lt;&gt;"",$BI184*AU184,0),AU184*$BI184),AU184*$BI184),0)</f>
        <v>0</v>
      </c>
      <c r="CY184" s="5">
        <f>IF($BI184&lt;&gt;"",IF('Capacity summary'!$C$14="Yes",IF(COUNTBLANK('Capacity summary'!$H96:$BG96)&lt;52,IF('Capacity summary'!AV96&lt;&gt;"",$BI184*AV184,0),AV184*$BI184),AV184*$BI184),0)</f>
        <v>0</v>
      </c>
      <c r="CZ184" s="5">
        <f>IF($BI184&lt;&gt;"",IF('Capacity summary'!$C$14="Yes",IF(COUNTBLANK('Capacity summary'!$H96:$BG96)&lt;52,IF('Capacity summary'!AW96&lt;&gt;"",$BI184*AW184,0),AW184*$BI184),AW184*$BI184),0)</f>
        <v>0</v>
      </c>
      <c r="DA184" s="5">
        <f>IF($BI184&lt;&gt;"",IF('Capacity summary'!$C$14="Yes",IF(COUNTBLANK('Capacity summary'!$H96:$BG96)&lt;52,IF('Capacity summary'!AX96&lt;&gt;"",$BI184*AX184,0),AX184*$BI184),AX184*$BI184),0)</f>
        <v>0</v>
      </c>
      <c r="DB184" s="5">
        <f>IF($BI184&lt;&gt;"",IF('Capacity summary'!$C$14="Yes",IF(COUNTBLANK('Capacity summary'!$H96:$BG96)&lt;52,IF('Capacity summary'!AY96&lt;&gt;"",$BI184*AY184,0),AY184*$BI184),AY184*$BI184),0)</f>
        <v>0</v>
      </c>
      <c r="DC184" s="5">
        <f>IF($BI184&lt;&gt;"",IF('Capacity summary'!$C$14="Yes",IF(COUNTBLANK('Capacity summary'!$H96:$BG96)&lt;52,IF('Capacity summary'!AZ96&lt;&gt;"",$BI184*AZ184,0),AZ184*$BI184),AZ184*$BI184),0)</f>
        <v>0</v>
      </c>
      <c r="DD184" s="5">
        <f>IF($BI184&lt;&gt;"",IF('Capacity summary'!$C$14="Yes",IF(COUNTBLANK('Capacity summary'!$H96:$BG96)&lt;52,IF('Capacity summary'!BA96&lt;&gt;"",$BI184*BA184,0),BA184*$BI184),BA184*$BI184),0)</f>
        <v>0</v>
      </c>
      <c r="DE184" s="5">
        <f>IF($BI184&lt;&gt;"",IF('Capacity summary'!$C$14="Yes",IF(COUNTBLANK('Capacity summary'!$H96:$BG96)&lt;52,IF('Capacity summary'!BB96&lt;&gt;"",$BI184*BB184,0),BB184*$BI184),BB184*$BI184),0)</f>
        <v>0</v>
      </c>
      <c r="DF184" s="5">
        <f>IF($BI184&lt;&gt;"",IF('Capacity summary'!$C$14="Yes",IF(COUNTBLANK('Capacity summary'!$H96:$BG96)&lt;52,IF('Capacity summary'!BC96&lt;&gt;"",$BI184*BC184,0),BC184*$BI184),BC184*$BI184),0)</f>
        <v>0</v>
      </c>
      <c r="DG184" s="5">
        <f>IF($BI184&lt;&gt;"",IF('Capacity summary'!$C$14="Yes",IF(COUNTBLANK('Capacity summary'!$H96:$BG96)&lt;52,IF('Capacity summary'!BD96&lt;&gt;"",$BI184*BD184,0),BD184*$BI184),BD184*$BI184),0)</f>
        <v>0</v>
      </c>
      <c r="DH184" s="5">
        <f>IF($BI184&lt;&gt;"",IF('Capacity summary'!$C$14="Yes",IF(COUNTBLANK('Capacity summary'!$H96:$BG96)&lt;52,IF('Capacity summary'!BE96&lt;&gt;"",$BI184*BE184,0),BE184*$BI184),BE184*$BI184),0)</f>
        <v>0</v>
      </c>
      <c r="DI184" s="5">
        <f>IF($BI184&lt;&gt;"",IF('Capacity summary'!$C$14="Yes",IF(COUNTBLANK('Capacity summary'!$H96:$BG96)&lt;52,IF('Capacity summary'!BF96&lt;&gt;"",$BI184*BF184,0),BF184*$BI184),BF184*$BI184),0)</f>
        <v>0</v>
      </c>
      <c r="DJ184" s="5">
        <f>IF($BI184&lt;&gt;"",IF('Capacity summary'!$C$14="Yes",IF(COUNTBLANK('Capacity summary'!$H96:$BG96)&lt;52,IF('Capacity summary'!BG96&lt;&gt;"",$BI184*BG184,0),BG184*$BI184),BG184*$BI184),0)</f>
        <v>0</v>
      </c>
      <c r="DK184" s="138">
        <f t="shared" si="7"/>
        <v>0</v>
      </c>
    </row>
    <row r="185" spans="3:115" x14ac:dyDescent="0.2">
      <c r="C185" s="68" t="str">
        <f>ROW(A74)&amp;". "&amp;Capacity!N90</f>
        <v xml:space="preserve">74. </v>
      </c>
      <c r="D185" s="68">
        <f>'Capacity setup'!C191</f>
        <v>0</v>
      </c>
      <c r="E185" s="68">
        <f>'Capacity setup'!D191</f>
        <v>0</v>
      </c>
      <c r="F185" s="68">
        <f>'Capacity setup'!E191</f>
        <v>0</v>
      </c>
      <c r="H185" s="68">
        <f ca="1">IF(AND(SUMIF(Capacity_Resource,$D185,'Critical resources (hide)'!U$6:U$105)+SUMIF(Capacity_Resource,$E185,'Critical resources (hide)'!U$6:U$105)+SUMIF(Capacity_Resource,$F185,'Critical resources (hide)'!U$6:U$105)&gt;0,$E$1=2),0,1)</f>
        <v>1</v>
      </c>
      <c r="I185" s="68">
        <f ca="1">IF(AND(SUMIF(Capacity_Resource,$D185,'Critical resources (hide)'!V$6:V$105)+SUMIF(Capacity_Resource,$E185,'Critical resources (hide)'!V$6:V$105)+SUMIF(Capacity_Resource,$F185,'Critical resources (hide)'!V$6:V$105)&gt;0,$E$1=2),0,1)</f>
        <v>1</v>
      </c>
      <c r="J185" s="68">
        <f ca="1">IF(AND(SUMIF(Capacity_Resource,$D185,'Critical resources (hide)'!W$6:W$105)+SUMIF(Capacity_Resource,$E185,'Critical resources (hide)'!W$6:W$105)+SUMIF(Capacity_Resource,$F185,'Critical resources (hide)'!W$6:W$105)&gt;0,$E$1=2),0,1)</f>
        <v>1</v>
      </c>
      <c r="K185" s="68">
        <f ca="1">IF(AND(SUMIF(Capacity_Resource,$D185,'Critical resources (hide)'!X$6:X$105)+SUMIF(Capacity_Resource,$E185,'Critical resources (hide)'!X$6:X$105)+SUMIF(Capacity_Resource,$F185,'Critical resources (hide)'!X$6:X$105)&gt;0,$E$1=2),0,1)</f>
        <v>1</v>
      </c>
      <c r="L185" s="68">
        <f ca="1">IF(AND(SUMIF(Capacity_Resource,$D185,'Critical resources (hide)'!Y$6:Y$105)+SUMIF(Capacity_Resource,$E185,'Critical resources (hide)'!Y$6:Y$105)+SUMIF(Capacity_Resource,$F185,'Critical resources (hide)'!Y$6:Y$105)&gt;0,$E$1=2),0,1)</f>
        <v>1</v>
      </c>
      <c r="M185" s="68">
        <f ca="1">IF(AND(SUMIF(Capacity_Resource,$D185,'Critical resources (hide)'!Z$6:Z$105)+SUMIF(Capacity_Resource,$E185,'Critical resources (hide)'!Z$6:Z$105)+SUMIF(Capacity_Resource,$F185,'Critical resources (hide)'!Z$6:Z$105)&gt;0,$E$1=2),0,1)</f>
        <v>1</v>
      </c>
      <c r="N185" s="68">
        <f ca="1">IF(AND(SUMIF(Capacity_Resource,$D185,'Critical resources (hide)'!AA$6:AA$105)+SUMIF(Capacity_Resource,$E185,'Critical resources (hide)'!AA$6:AA$105)+SUMIF(Capacity_Resource,$F185,'Critical resources (hide)'!AA$6:AA$105)&gt;0,$E$1=2),0,1)</f>
        <v>1</v>
      </c>
      <c r="O185" s="68">
        <f ca="1">IF(AND(SUMIF(Capacity_Resource,$D185,'Critical resources (hide)'!AB$6:AB$105)+SUMIF(Capacity_Resource,$E185,'Critical resources (hide)'!AB$6:AB$105)+SUMIF(Capacity_Resource,$F185,'Critical resources (hide)'!AB$6:AB$105)&gt;0,$E$1=2),0,1)</f>
        <v>1</v>
      </c>
      <c r="P185" s="68">
        <f ca="1">IF(AND(SUMIF(Capacity_Resource,$D185,'Critical resources (hide)'!AC$6:AC$105)+SUMIF(Capacity_Resource,$E185,'Critical resources (hide)'!AC$6:AC$105)+SUMIF(Capacity_Resource,$F185,'Critical resources (hide)'!AC$6:AC$105)&gt;0,$E$1=2),0,1)</f>
        <v>1</v>
      </c>
      <c r="Q185" s="68">
        <f ca="1">IF(AND(SUMIF(Capacity_Resource,$D185,'Critical resources (hide)'!AD$6:AD$105)+SUMIF(Capacity_Resource,$E185,'Critical resources (hide)'!AD$6:AD$105)+SUMIF(Capacity_Resource,$F185,'Critical resources (hide)'!AD$6:AD$105)&gt;0,$E$1=2),0,1)</f>
        <v>1</v>
      </c>
      <c r="R185" s="68">
        <f ca="1">IF(AND(SUMIF(Capacity_Resource,$D185,'Critical resources (hide)'!AE$6:AE$105)+SUMIF(Capacity_Resource,$E185,'Critical resources (hide)'!AE$6:AE$105)+SUMIF(Capacity_Resource,$F185,'Critical resources (hide)'!AE$6:AE$105)&gt;0,$E$1=2),0,1)</f>
        <v>1</v>
      </c>
      <c r="S185" s="68">
        <f ca="1">IF(AND(SUMIF(Capacity_Resource,$D185,'Critical resources (hide)'!AF$6:AF$105)+SUMIF(Capacity_Resource,$E185,'Critical resources (hide)'!AF$6:AF$105)+SUMIF(Capacity_Resource,$F185,'Critical resources (hide)'!AF$6:AF$105)&gt;0,$E$1=2),0,1)</f>
        <v>1</v>
      </c>
      <c r="T185" s="68">
        <f ca="1">IF(AND(SUMIF(Capacity_Resource,$D185,'Critical resources (hide)'!AG$6:AG$105)+SUMIF(Capacity_Resource,$E185,'Critical resources (hide)'!AG$6:AG$105)+SUMIF(Capacity_Resource,$F185,'Critical resources (hide)'!AG$6:AG$105)&gt;0,$E$1=2),0,1)</f>
        <v>1</v>
      </c>
      <c r="U185" s="68">
        <f ca="1">IF(AND(SUMIF(Capacity_Resource,$D185,'Critical resources (hide)'!AH$6:AH$105)+SUMIF(Capacity_Resource,$E185,'Critical resources (hide)'!AH$6:AH$105)+SUMIF(Capacity_Resource,$F185,'Critical resources (hide)'!AH$6:AH$105)&gt;0,$E$1=2),0,1)</f>
        <v>1</v>
      </c>
      <c r="V185" s="68">
        <f ca="1">IF(AND(SUMIF(Capacity_Resource,$D185,'Critical resources (hide)'!AI$6:AI$105)+SUMIF(Capacity_Resource,$E185,'Critical resources (hide)'!AI$6:AI$105)+SUMIF(Capacity_Resource,$F185,'Critical resources (hide)'!AI$6:AI$105)&gt;0,$E$1=2),0,1)</f>
        <v>1</v>
      </c>
      <c r="W185" s="68">
        <f ca="1">IF(AND(SUMIF(Capacity_Resource,$D185,'Critical resources (hide)'!AJ$6:AJ$105)+SUMIF(Capacity_Resource,$E185,'Critical resources (hide)'!AJ$6:AJ$105)+SUMIF(Capacity_Resource,$F185,'Critical resources (hide)'!AJ$6:AJ$105)&gt;0,$E$1=2),0,1)</f>
        <v>1</v>
      </c>
      <c r="X185" s="68">
        <f ca="1">IF(AND(SUMIF(Capacity_Resource,$D185,'Critical resources (hide)'!AK$6:AK$105)+SUMIF(Capacity_Resource,$E185,'Critical resources (hide)'!AK$6:AK$105)+SUMIF(Capacity_Resource,$F185,'Critical resources (hide)'!AK$6:AK$105)&gt;0,$E$1=2),0,1)</f>
        <v>1</v>
      </c>
      <c r="Y185" s="68">
        <f ca="1">IF(AND(SUMIF(Capacity_Resource,$D185,'Critical resources (hide)'!AL$6:AL$105)+SUMIF(Capacity_Resource,$E185,'Critical resources (hide)'!AL$6:AL$105)+SUMIF(Capacity_Resource,$F185,'Critical resources (hide)'!AL$6:AL$105)&gt;0,$E$1=2),0,1)</f>
        <v>1</v>
      </c>
      <c r="Z185" s="68">
        <f ca="1">IF(AND(SUMIF(Capacity_Resource,$D185,'Critical resources (hide)'!AM$6:AM$105)+SUMIF(Capacity_Resource,$E185,'Critical resources (hide)'!AM$6:AM$105)+SUMIF(Capacity_Resource,$F185,'Critical resources (hide)'!AM$6:AM$105)&gt;0,$E$1=2),0,1)</f>
        <v>1</v>
      </c>
      <c r="AA185" s="68">
        <f ca="1">IF(AND(SUMIF(Capacity_Resource,$D185,'Critical resources (hide)'!AN$6:AN$105)+SUMIF(Capacity_Resource,$E185,'Critical resources (hide)'!AN$6:AN$105)+SUMIF(Capacity_Resource,$F185,'Critical resources (hide)'!AN$6:AN$105)&gt;0,$E$1=2),0,1)</f>
        <v>1</v>
      </c>
      <c r="AB185" s="68">
        <f ca="1">IF(AND(SUMIF(Capacity_Resource,$D185,'Critical resources (hide)'!AO$6:AO$105)+SUMIF(Capacity_Resource,$E185,'Critical resources (hide)'!AO$6:AO$105)+SUMIF(Capacity_Resource,$F185,'Critical resources (hide)'!AO$6:AO$105)&gt;0,$E$1=2),0,1)</f>
        <v>1</v>
      </c>
      <c r="AC185" s="68">
        <f ca="1">IF(AND(SUMIF(Capacity_Resource,$D185,'Critical resources (hide)'!AP$6:AP$105)+SUMIF(Capacity_Resource,$E185,'Critical resources (hide)'!AP$6:AP$105)+SUMIF(Capacity_Resource,$F185,'Critical resources (hide)'!AP$6:AP$105)&gt;0,$E$1=2),0,1)</f>
        <v>1</v>
      </c>
      <c r="AD185" s="68">
        <f ca="1">IF(AND(SUMIF(Capacity_Resource,$D185,'Critical resources (hide)'!AQ$6:AQ$105)+SUMIF(Capacity_Resource,$E185,'Critical resources (hide)'!AQ$6:AQ$105)+SUMIF(Capacity_Resource,$F185,'Critical resources (hide)'!AQ$6:AQ$105)&gt;0,$E$1=2),0,1)</f>
        <v>1</v>
      </c>
      <c r="AE185" s="68">
        <f ca="1">IF(AND(SUMIF(Capacity_Resource,$D185,'Critical resources (hide)'!AR$6:AR$105)+SUMIF(Capacity_Resource,$E185,'Critical resources (hide)'!AR$6:AR$105)+SUMIF(Capacity_Resource,$F185,'Critical resources (hide)'!AR$6:AR$105)&gt;0,$E$1=2),0,1)</f>
        <v>1</v>
      </c>
      <c r="AF185" s="68">
        <f ca="1">IF(AND(SUMIF(Capacity_Resource,$D185,'Critical resources (hide)'!AS$6:AS$105)+SUMIF(Capacity_Resource,$E185,'Critical resources (hide)'!AS$6:AS$105)+SUMIF(Capacity_Resource,$F185,'Critical resources (hide)'!AS$6:AS$105)&gt;0,$E$1=2),0,1)</f>
        <v>1</v>
      </c>
      <c r="AG185" s="68">
        <f ca="1">IF(AND(SUMIF(Capacity_Resource,$D185,'Critical resources (hide)'!AT$6:AT$105)+SUMIF(Capacity_Resource,$E185,'Critical resources (hide)'!AT$6:AT$105)+SUMIF(Capacity_Resource,$F185,'Critical resources (hide)'!AT$6:AT$105)&gt;0,$E$1=2),0,1)</f>
        <v>1</v>
      </c>
      <c r="AH185" s="68">
        <f ca="1">IF(AND(SUMIF(Capacity_Resource,$D185,'Critical resources (hide)'!AU$6:AU$105)+SUMIF(Capacity_Resource,$E185,'Critical resources (hide)'!AU$6:AU$105)+SUMIF(Capacity_Resource,$F185,'Critical resources (hide)'!AU$6:AU$105)&gt;0,$E$1=2),0,1)</f>
        <v>1</v>
      </c>
      <c r="AI185" s="68">
        <f ca="1">IF(AND(SUMIF(Capacity_Resource,$D185,'Critical resources (hide)'!AV$6:AV$105)+SUMIF(Capacity_Resource,$E185,'Critical resources (hide)'!AV$6:AV$105)+SUMIF(Capacity_Resource,$F185,'Critical resources (hide)'!AV$6:AV$105)&gt;0,$E$1=2),0,1)</f>
        <v>1</v>
      </c>
      <c r="AJ185" s="68">
        <f ca="1">IF(AND(SUMIF(Capacity_Resource,$D185,'Critical resources (hide)'!AW$6:AW$105)+SUMIF(Capacity_Resource,$E185,'Critical resources (hide)'!AW$6:AW$105)+SUMIF(Capacity_Resource,$F185,'Critical resources (hide)'!AW$6:AW$105)&gt;0,$E$1=2),0,1)</f>
        <v>1</v>
      </c>
      <c r="AK185" s="68">
        <f ca="1">IF(AND(SUMIF(Capacity_Resource,$D185,'Critical resources (hide)'!AX$6:AX$105)+SUMIF(Capacity_Resource,$E185,'Critical resources (hide)'!AX$6:AX$105)+SUMIF(Capacity_Resource,$F185,'Critical resources (hide)'!AX$6:AX$105)&gt;0,$E$1=2),0,1)</f>
        <v>1</v>
      </c>
      <c r="AL185" s="68">
        <f ca="1">IF(AND(SUMIF(Capacity_Resource,$D185,'Critical resources (hide)'!AY$6:AY$105)+SUMIF(Capacity_Resource,$E185,'Critical resources (hide)'!AY$6:AY$105)+SUMIF(Capacity_Resource,$F185,'Critical resources (hide)'!AY$6:AY$105)&gt;0,$E$1=2),0,1)</f>
        <v>1</v>
      </c>
      <c r="AM185" s="68">
        <f ca="1">IF(AND(SUMIF(Capacity_Resource,$D185,'Critical resources (hide)'!AZ$6:AZ$105)+SUMIF(Capacity_Resource,$E185,'Critical resources (hide)'!AZ$6:AZ$105)+SUMIF(Capacity_Resource,$F185,'Critical resources (hide)'!AZ$6:AZ$105)&gt;0,$E$1=2),0,1)</f>
        <v>1</v>
      </c>
      <c r="AN185" s="68">
        <f ca="1">IF(AND(SUMIF(Capacity_Resource,$D185,'Critical resources (hide)'!BA$6:BA$105)+SUMIF(Capacity_Resource,$E185,'Critical resources (hide)'!BA$6:BA$105)+SUMIF(Capacity_Resource,$F185,'Critical resources (hide)'!BA$6:BA$105)&gt;0,$E$1=2),0,1)</f>
        <v>1</v>
      </c>
      <c r="AO185" s="68">
        <f ca="1">IF(AND(SUMIF(Capacity_Resource,$D185,'Critical resources (hide)'!BB$6:BB$105)+SUMIF(Capacity_Resource,$E185,'Critical resources (hide)'!BB$6:BB$105)+SUMIF(Capacity_Resource,$F185,'Critical resources (hide)'!BB$6:BB$105)&gt;0,$E$1=2),0,1)</f>
        <v>1</v>
      </c>
      <c r="AP185" s="68">
        <f ca="1">IF(AND(SUMIF(Capacity_Resource,$D185,'Critical resources (hide)'!BC$6:BC$105)+SUMIF(Capacity_Resource,$E185,'Critical resources (hide)'!BC$6:BC$105)+SUMIF(Capacity_Resource,$F185,'Critical resources (hide)'!BC$6:BC$105)&gt;0,$E$1=2),0,1)</f>
        <v>1</v>
      </c>
      <c r="AQ185" s="68">
        <f ca="1">IF(AND(SUMIF(Capacity_Resource,$D185,'Critical resources (hide)'!BD$6:BD$105)+SUMIF(Capacity_Resource,$E185,'Critical resources (hide)'!BD$6:BD$105)+SUMIF(Capacity_Resource,$F185,'Critical resources (hide)'!BD$6:BD$105)&gt;0,$E$1=2),0,1)</f>
        <v>1</v>
      </c>
      <c r="AR185" s="68">
        <f ca="1">IF(AND(SUMIF(Capacity_Resource,$D185,'Critical resources (hide)'!BE$6:BE$105)+SUMIF(Capacity_Resource,$E185,'Critical resources (hide)'!BE$6:BE$105)+SUMIF(Capacity_Resource,$F185,'Critical resources (hide)'!BE$6:BE$105)&gt;0,$E$1=2),0,1)</f>
        <v>1</v>
      </c>
      <c r="AS185" s="68">
        <f ca="1">IF(AND(SUMIF(Capacity_Resource,$D185,'Critical resources (hide)'!BF$6:BF$105)+SUMIF(Capacity_Resource,$E185,'Critical resources (hide)'!BF$6:BF$105)+SUMIF(Capacity_Resource,$F185,'Critical resources (hide)'!BF$6:BF$105)&gt;0,$E$1=2),0,1)</f>
        <v>1</v>
      </c>
      <c r="AT185" s="68">
        <f ca="1">IF(AND(SUMIF(Capacity_Resource,$D185,'Critical resources (hide)'!BG$6:BG$105)+SUMIF(Capacity_Resource,$E185,'Critical resources (hide)'!BG$6:BG$105)+SUMIF(Capacity_Resource,$F185,'Critical resources (hide)'!BG$6:BG$105)&gt;0,$E$1=2),0,1)</f>
        <v>1</v>
      </c>
      <c r="AU185" s="68">
        <f ca="1">IF(AND(SUMIF(Capacity_Resource,$D185,'Critical resources (hide)'!BH$6:BH$105)+SUMIF(Capacity_Resource,$E185,'Critical resources (hide)'!BH$6:BH$105)+SUMIF(Capacity_Resource,$F185,'Critical resources (hide)'!BH$6:BH$105)&gt;0,$E$1=2),0,1)</f>
        <v>1</v>
      </c>
      <c r="AV185" s="68">
        <f ca="1">IF(AND(SUMIF(Capacity_Resource,$D185,'Critical resources (hide)'!BI$6:BI$105)+SUMIF(Capacity_Resource,$E185,'Critical resources (hide)'!BI$6:BI$105)+SUMIF(Capacity_Resource,$F185,'Critical resources (hide)'!BI$6:BI$105)&gt;0,$E$1=2),0,1)</f>
        <v>1</v>
      </c>
      <c r="AW185" s="68">
        <f ca="1">IF(AND(SUMIF(Capacity_Resource,$D185,'Critical resources (hide)'!BJ$6:BJ$105)+SUMIF(Capacity_Resource,$E185,'Critical resources (hide)'!BJ$6:BJ$105)+SUMIF(Capacity_Resource,$F185,'Critical resources (hide)'!BJ$6:BJ$105)&gt;0,$E$1=2),0,1)</f>
        <v>1</v>
      </c>
      <c r="AX185" s="68">
        <f ca="1">IF(AND(SUMIF(Capacity_Resource,$D185,'Critical resources (hide)'!BK$6:BK$105)+SUMIF(Capacity_Resource,$E185,'Critical resources (hide)'!BK$6:BK$105)+SUMIF(Capacity_Resource,$F185,'Critical resources (hide)'!BK$6:BK$105)&gt;0,$E$1=2),0,1)</f>
        <v>1</v>
      </c>
      <c r="AY185" s="68">
        <f ca="1">IF(AND(SUMIF(Capacity_Resource,$D185,'Critical resources (hide)'!BL$6:BL$105)+SUMIF(Capacity_Resource,$E185,'Critical resources (hide)'!BL$6:BL$105)+SUMIF(Capacity_Resource,$F185,'Critical resources (hide)'!BL$6:BL$105)&gt;0,$E$1=2),0,1)</f>
        <v>1</v>
      </c>
      <c r="AZ185" s="68">
        <f ca="1">IF(AND(SUMIF(Capacity_Resource,$D185,'Critical resources (hide)'!BM$6:BM$105)+SUMIF(Capacity_Resource,$E185,'Critical resources (hide)'!BM$6:BM$105)+SUMIF(Capacity_Resource,$F185,'Critical resources (hide)'!BM$6:BM$105)&gt;0,$E$1=2),0,1)</f>
        <v>1</v>
      </c>
      <c r="BA185" s="68">
        <f ca="1">IF(AND(SUMIF(Capacity_Resource,$D185,'Critical resources (hide)'!BN$6:BN$105)+SUMIF(Capacity_Resource,$E185,'Critical resources (hide)'!BN$6:BN$105)+SUMIF(Capacity_Resource,$F185,'Critical resources (hide)'!BN$6:BN$105)&gt;0,$E$1=2),0,1)</f>
        <v>1</v>
      </c>
      <c r="BB185" s="68">
        <f ca="1">IF(AND(SUMIF(Capacity_Resource,$D185,'Critical resources (hide)'!BO$6:BO$105)+SUMIF(Capacity_Resource,$E185,'Critical resources (hide)'!BO$6:BO$105)+SUMIF(Capacity_Resource,$F185,'Critical resources (hide)'!BO$6:BO$105)&gt;0,$E$1=2),0,1)</f>
        <v>1</v>
      </c>
      <c r="BC185" s="68">
        <f ca="1">IF(AND(SUMIF(Capacity_Resource,$D185,'Critical resources (hide)'!BP$6:BP$105)+SUMIF(Capacity_Resource,$E185,'Critical resources (hide)'!BP$6:BP$105)+SUMIF(Capacity_Resource,$F185,'Critical resources (hide)'!BP$6:BP$105)&gt;0,$E$1=2),0,1)</f>
        <v>1</v>
      </c>
      <c r="BD185" s="68">
        <f ca="1">IF(AND(SUMIF(Capacity_Resource,$D185,'Critical resources (hide)'!BQ$6:BQ$105)+SUMIF(Capacity_Resource,$E185,'Critical resources (hide)'!BQ$6:BQ$105)+SUMIF(Capacity_Resource,$F185,'Critical resources (hide)'!BQ$6:BQ$105)&gt;0,$E$1=2),0,1)</f>
        <v>1</v>
      </c>
      <c r="BE185" s="68">
        <f ca="1">IF(AND(SUMIF(Capacity_Resource,$D185,'Critical resources (hide)'!BR$6:BR$105)+SUMIF(Capacity_Resource,$E185,'Critical resources (hide)'!BR$6:BR$105)+SUMIF(Capacity_Resource,$F185,'Critical resources (hide)'!BR$6:BR$105)&gt;0,$E$1=2),0,1)</f>
        <v>1</v>
      </c>
      <c r="BF185" s="68">
        <f ca="1">IF(AND(SUMIF(Capacity_Resource,$D185,'Critical resources (hide)'!BS$6:BS$105)+SUMIF(Capacity_Resource,$E185,'Critical resources (hide)'!BS$6:BS$105)+SUMIF(Capacity_Resource,$F185,'Critical resources (hide)'!BS$6:BS$105)&gt;0,$E$1=2),0,1)</f>
        <v>1</v>
      </c>
      <c r="BG185" s="68">
        <f ca="1">IF(AND(SUMIF(Capacity_Resource,$D185,'Critical resources (hide)'!BT$6:BT$105)+SUMIF(Capacity_Resource,$E185,'Critical resources (hide)'!BT$6:BT$105)+SUMIF(Capacity_Resource,$F185,'Critical resources (hide)'!BT$6:BT$105)&gt;0,$E$1=2),0,1)</f>
        <v>1</v>
      </c>
      <c r="BH185" s="68">
        <f>IF(ROW(A74)&lt;=Capacity!$M$16,IF('Capacity summary'!$C$14="No",SUM(H185:BG185),'Capacity summary'!$E97),0)</f>
        <v>0</v>
      </c>
      <c r="BI185" s="68" t="str">
        <f>IF(BH185&gt;0,IF(BH185&lt;Capacity!Q90,Capacity!R90,Capacity!T90/'Capacity calculation (hide)'!BH185),"")</f>
        <v/>
      </c>
      <c r="BJ185" s="5"/>
      <c r="BK185" s="5">
        <f>IF($BI185&lt;&gt;"",IF('Capacity summary'!$C$14="Yes",IF(COUNTBLANK('Capacity summary'!$H97:$BG97)&lt;52,IF('Capacity summary'!H97&lt;&gt;"",$BI185*H185,0),H185*$BI185),H185*$BI185),0)</f>
        <v>0</v>
      </c>
      <c r="BL185" s="5">
        <f>IF($BI185&lt;&gt;"",IF('Capacity summary'!$C$14="Yes",IF(COUNTBLANK('Capacity summary'!$H97:$BG97)&lt;52,IF('Capacity summary'!I97&lt;&gt;"",$BI185*I185,0),I185*$BI185),I185*$BI185),0)</f>
        <v>0</v>
      </c>
      <c r="BM185" s="5">
        <f>IF($BI185&lt;&gt;"",IF('Capacity summary'!$C$14="Yes",IF(COUNTBLANK('Capacity summary'!$H97:$BG97)&lt;52,IF('Capacity summary'!J97&lt;&gt;"",$BI185*J185,0),J185*$BI185),J185*$BI185),0)</f>
        <v>0</v>
      </c>
      <c r="BN185" s="5">
        <f>IF($BI185&lt;&gt;"",IF('Capacity summary'!$C$14="Yes",IF(COUNTBLANK('Capacity summary'!$H97:$BG97)&lt;52,IF('Capacity summary'!K97&lt;&gt;"",$BI185*K185,0),K185*$BI185),K185*$BI185),0)</f>
        <v>0</v>
      </c>
      <c r="BO185" s="5">
        <f>IF($BI185&lt;&gt;"",IF('Capacity summary'!$C$14="Yes",IF(COUNTBLANK('Capacity summary'!$H97:$BG97)&lt;52,IF('Capacity summary'!L97&lt;&gt;"",$BI185*L185,0),L185*$BI185),L185*$BI185),0)</f>
        <v>0</v>
      </c>
      <c r="BP185" s="5">
        <f>IF($BI185&lt;&gt;"",IF('Capacity summary'!$C$14="Yes",IF(COUNTBLANK('Capacity summary'!$H97:$BG97)&lt;52,IF('Capacity summary'!M97&lt;&gt;"",$BI185*M185,0),M185*$BI185),M185*$BI185),0)</f>
        <v>0</v>
      </c>
      <c r="BQ185" s="5">
        <f>IF($BI185&lt;&gt;"",IF('Capacity summary'!$C$14="Yes",IF(COUNTBLANK('Capacity summary'!$H97:$BG97)&lt;52,IF('Capacity summary'!N97&lt;&gt;"",$BI185*N185,0),N185*$BI185),N185*$BI185),0)</f>
        <v>0</v>
      </c>
      <c r="BR185" s="5">
        <f>IF($BI185&lt;&gt;"",IF('Capacity summary'!$C$14="Yes",IF(COUNTBLANK('Capacity summary'!$H97:$BG97)&lt;52,IF('Capacity summary'!O97&lt;&gt;"",$BI185*O185,0),O185*$BI185),O185*$BI185),0)</f>
        <v>0</v>
      </c>
      <c r="BS185" s="5">
        <f>IF($BI185&lt;&gt;"",IF('Capacity summary'!$C$14="Yes",IF(COUNTBLANK('Capacity summary'!$H97:$BG97)&lt;52,IF('Capacity summary'!P97&lt;&gt;"",$BI185*P185,0),P185*$BI185),P185*$BI185),0)</f>
        <v>0</v>
      </c>
      <c r="BT185" s="5">
        <f>IF($BI185&lt;&gt;"",IF('Capacity summary'!$C$14="Yes",IF(COUNTBLANK('Capacity summary'!$H97:$BG97)&lt;52,IF('Capacity summary'!Q97&lt;&gt;"",$BI185*Q185,0),Q185*$BI185),Q185*$BI185),0)</f>
        <v>0</v>
      </c>
      <c r="BU185" s="5">
        <f>IF($BI185&lt;&gt;"",IF('Capacity summary'!$C$14="Yes",IF(COUNTBLANK('Capacity summary'!$H97:$BG97)&lt;52,IF('Capacity summary'!R97&lt;&gt;"",$BI185*R185,0),R185*$BI185),R185*$BI185),0)</f>
        <v>0</v>
      </c>
      <c r="BV185" s="5">
        <f>IF($BI185&lt;&gt;"",IF('Capacity summary'!$C$14="Yes",IF(COUNTBLANK('Capacity summary'!$H97:$BG97)&lt;52,IF('Capacity summary'!S97&lt;&gt;"",$BI185*S185,0),S185*$BI185),S185*$BI185),0)</f>
        <v>0</v>
      </c>
      <c r="BW185" s="5">
        <f>IF($BI185&lt;&gt;"",IF('Capacity summary'!$C$14="Yes",IF(COUNTBLANK('Capacity summary'!$H97:$BG97)&lt;52,IF('Capacity summary'!T97&lt;&gt;"",$BI185*T185,0),T185*$BI185),T185*$BI185),0)</f>
        <v>0</v>
      </c>
      <c r="BX185" s="5">
        <f>IF($BI185&lt;&gt;"",IF('Capacity summary'!$C$14="Yes",IF(COUNTBLANK('Capacity summary'!$H97:$BG97)&lt;52,IF('Capacity summary'!U97&lt;&gt;"",$BI185*U185,0),U185*$BI185),U185*$BI185),0)</f>
        <v>0</v>
      </c>
      <c r="BY185" s="5">
        <f>IF($BI185&lt;&gt;"",IF('Capacity summary'!$C$14="Yes",IF(COUNTBLANK('Capacity summary'!$H97:$BG97)&lt;52,IF('Capacity summary'!V97&lt;&gt;"",$BI185*V185,0),V185*$BI185),V185*$BI185),0)</f>
        <v>0</v>
      </c>
      <c r="BZ185" s="5">
        <f>IF($BI185&lt;&gt;"",IF('Capacity summary'!$C$14="Yes",IF(COUNTBLANK('Capacity summary'!$H97:$BG97)&lt;52,IF('Capacity summary'!W97&lt;&gt;"",$BI185*W185,0),W185*$BI185),W185*$BI185),0)</f>
        <v>0</v>
      </c>
      <c r="CA185" s="5">
        <f>IF($BI185&lt;&gt;"",IF('Capacity summary'!$C$14="Yes",IF(COUNTBLANK('Capacity summary'!$H97:$BG97)&lt;52,IF('Capacity summary'!X97&lt;&gt;"",$BI185*X185,0),X185*$BI185),X185*$BI185),0)</f>
        <v>0</v>
      </c>
      <c r="CB185" s="5">
        <f>IF($BI185&lt;&gt;"",IF('Capacity summary'!$C$14="Yes",IF(COUNTBLANK('Capacity summary'!$H97:$BG97)&lt;52,IF('Capacity summary'!Y97&lt;&gt;"",$BI185*Y185,0),Y185*$BI185),Y185*$BI185),0)</f>
        <v>0</v>
      </c>
      <c r="CC185" s="5">
        <f>IF($BI185&lt;&gt;"",IF('Capacity summary'!$C$14="Yes",IF(COUNTBLANK('Capacity summary'!$H97:$BG97)&lt;52,IF('Capacity summary'!Z97&lt;&gt;"",$BI185*Z185,0),Z185*$BI185),Z185*$BI185),0)</f>
        <v>0</v>
      </c>
      <c r="CD185" s="5">
        <f>IF($BI185&lt;&gt;"",IF('Capacity summary'!$C$14="Yes",IF(COUNTBLANK('Capacity summary'!$H97:$BG97)&lt;52,IF('Capacity summary'!AA97&lt;&gt;"",$BI185*AA185,0),AA185*$BI185),AA185*$BI185),0)</f>
        <v>0</v>
      </c>
      <c r="CE185" s="5">
        <f>IF($BI185&lt;&gt;"",IF('Capacity summary'!$C$14="Yes",IF(COUNTBLANK('Capacity summary'!$H97:$BG97)&lt;52,IF('Capacity summary'!AB97&lt;&gt;"",$BI185*AB185,0),AB185*$BI185),AB185*$BI185),0)</f>
        <v>0</v>
      </c>
      <c r="CF185" s="5">
        <f>IF($BI185&lt;&gt;"",IF('Capacity summary'!$C$14="Yes",IF(COUNTBLANK('Capacity summary'!$H97:$BG97)&lt;52,IF('Capacity summary'!AC97&lt;&gt;"",$BI185*AC185,0),AC185*$BI185),AC185*$BI185),0)</f>
        <v>0</v>
      </c>
      <c r="CG185" s="5">
        <f>IF($BI185&lt;&gt;"",IF('Capacity summary'!$C$14="Yes",IF(COUNTBLANK('Capacity summary'!$H97:$BG97)&lt;52,IF('Capacity summary'!AD97&lt;&gt;"",$BI185*AD185,0),AD185*$BI185),AD185*$BI185),0)</f>
        <v>0</v>
      </c>
      <c r="CH185" s="5">
        <f>IF($BI185&lt;&gt;"",IF('Capacity summary'!$C$14="Yes",IF(COUNTBLANK('Capacity summary'!$H97:$BG97)&lt;52,IF('Capacity summary'!AE97&lt;&gt;"",$BI185*AE185,0),AE185*$BI185),AE185*$BI185),0)</f>
        <v>0</v>
      </c>
      <c r="CI185" s="5">
        <f>IF($BI185&lt;&gt;"",IF('Capacity summary'!$C$14="Yes",IF(COUNTBLANK('Capacity summary'!$H97:$BG97)&lt;52,IF('Capacity summary'!AF97&lt;&gt;"",$BI185*AF185,0),AF185*$BI185),AF185*$BI185),0)</f>
        <v>0</v>
      </c>
      <c r="CJ185" s="5">
        <f>IF($BI185&lt;&gt;"",IF('Capacity summary'!$C$14="Yes",IF(COUNTBLANK('Capacity summary'!$H97:$BG97)&lt;52,IF('Capacity summary'!AG97&lt;&gt;"",$BI185*AG185,0),AG185*$BI185),AG185*$BI185),0)</f>
        <v>0</v>
      </c>
      <c r="CK185" s="5">
        <f>IF($BI185&lt;&gt;"",IF('Capacity summary'!$C$14="Yes",IF(COUNTBLANK('Capacity summary'!$H97:$BG97)&lt;52,IF('Capacity summary'!AH97&lt;&gt;"",$BI185*AH185,0),AH185*$BI185),AH185*$BI185),0)</f>
        <v>0</v>
      </c>
      <c r="CL185" s="5">
        <f>IF($BI185&lt;&gt;"",IF('Capacity summary'!$C$14="Yes",IF(COUNTBLANK('Capacity summary'!$H97:$BG97)&lt;52,IF('Capacity summary'!AI97&lt;&gt;"",$BI185*AI185,0),AI185*$BI185),AI185*$BI185),0)</f>
        <v>0</v>
      </c>
      <c r="CM185" s="5">
        <f>IF($BI185&lt;&gt;"",IF('Capacity summary'!$C$14="Yes",IF(COUNTBLANK('Capacity summary'!$H97:$BG97)&lt;52,IF('Capacity summary'!AJ97&lt;&gt;"",$BI185*AJ185,0),AJ185*$BI185),AJ185*$BI185),0)</f>
        <v>0</v>
      </c>
      <c r="CN185" s="5">
        <f>IF($BI185&lt;&gt;"",IF('Capacity summary'!$C$14="Yes",IF(COUNTBLANK('Capacity summary'!$H97:$BG97)&lt;52,IF('Capacity summary'!AK97&lt;&gt;"",$BI185*AK185,0),AK185*$BI185),AK185*$BI185),0)</f>
        <v>0</v>
      </c>
      <c r="CO185" s="5">
        <f>IF($BI185&lt;&gt;"",IF('Capacity summary'!$C$14="Yes",IF(COUNTBLANK('Capacity summary'!$H97:$BG97)&lt;52,IF('Capacity summary'!AL97&lt;&gt;"",$BI185*AL185,0),AL185*$BI185),AL185*$BI185),0)</f>
        <v>0</v>
      </c>
      <c r="CP185" s="5">
        <f>IF($BI185&lt;&gt;"",IF('Capacity summary'!$C$14="Yes",IF(COUNTBLANK('Capacity summary'!$H97:$BG97)&lt;52,IF('Capacity summary'!AM97&lt;&gt;"",$BI185*AM185,0),AM185*$BI185),AM185*$BI185),0)</f>
        <v>0</v>
      </c>
      <c r="CQ185" s="5">
        <f>IF($BI185&lt;&gt;"",IF('Capacity summary'!$C$14="Yes",IF(COUNTBLANK('Capacity summary'!$H97:$BG97)&lt;52,IF('Capacity summary'!AN97&lt;&gt;"",$BI185*AN185,0),AN185*$BI185),AN185*$BI185),0)</f>
        <v>0</v>
      </c>
      <c r="CR185" s="5">
        <f>IF($BI185&lt;&gt;"",IF('Capacity summary'!$C$14="Yes",IF(COUNTBLANK('Capacity summary'!$H97:$BG97)&lt;52,IF('Capacity summary'!AO97&lt;&gt;"",$BI185*AO185,0),AO185*$BI185),AO185*$BI185),0)</f>
        <v>0</v>
      </c>
      <c r="CS185" s="5">
        <f>IF($BI185&lt;&gt;"",IF('Capacity summary'!$C$14="Yes",IF(COUNTBLANK('Capacity summary'!$H97:$BG97)&lt;52,IF('Capacity summary'!AP97&lt;&gt;"",$BI185*AP185,0),AP185*$BI185),AP185*$BI185),0)</f>
        <v>0</v>
      </c>
      <c r="CT185" s="5">
        <f>IF($BI185&lt;&gt;"",IF('Capacity summary'!$C$14="Yes",IF(COUNTBLANK('Capacity summary'!$H97:$BG97)&lt;52,IF('Capacity summary'!AQ97&lt;&gt;"",$BI185*AQ185,0),AQ185*$BI185),AQ185*$BI185),0)</f>
        <v>0</v>
      </c>
      <c r="CU185" s="5">
        <f>IF($BI185&lt;&gt;"",IF('Capacity summary'!$C$14="Yes",IF(COUNTBLANK('Capacity summary'!$H97:$BG97)&lt;52,IF('Capacity summary'!AR97&lt;&gt;"",$BI185*AR185,0),AR185*$BI185),AR185*$BI185),0)</f>
        <v>0</v>
      </c>
      <c r="CV185" s="5">
        <f>IF($BI185&lt;&gt;"",IF('Capacity summary'!$C$14="Yes",IF(COUNTBLANK('Capacity summary'!$H97:$BG97)&lt;52,IF('Capacity summary'!AS97&lt;&gt;"",$BI185*AS185,0),AS185*$BI185),AS185*$BI185),0)</f>
        <v>0</v>
      </c>
      <c r="CW185" s="5">
        <f>IF($BI185&lt;&gt;"",IF('Capacity summary'!$C$14="Yes",IF(COUNTBLANK('Capacity summary'!$H97:$BG97)&lt;52,IF('Capacity summary'!AT97&lt;&gt;"",$BI185*AT185,0),AT185*$BI185),AT185*$BI185),0)</f>
        <v>0</v>
      </c>
      <c r="CX185" s="5">
        <f>IF($BI185&lt;&gt;"",IF('Capacity summary'!$C$14="Yes",IF(COUNTBLANK('Capacity summary'!$H97:$BG97)&lt;52,IF('Capacity summary'!AU97&lt;&gt;"",$BI185*AU185,0),AU185*$BI185),AU185*$BI185),0)</f>
        <v>0</v>
      </c>
      <c r="CY185" s="5">
        <f>IF($BI185&lt;&gt;"",IF('Capacity summary'!$C$14="Yes",IF(COUNTBLANK('Capacity summary'!$H97:$BG97)&lt;52,IF('Capacity summary'!AV97&lt;&gt;"",$BI185*AV185,0),AV185*$BI185),AV185*$BI185),0)</f>
        <v>0</v>
      </c>
      <c r="CZ185" s="5">
        <f>IF($BI185&lt;&gt;"",IF('Capacity summary'!$C$14="Yes",IF(COUNTBLANK('Capacity summary'!$H97:$BG97)&lt;52,IF('Capacity summary'!AW97&lt;&gt;"",$BI185*AW185,0),AW185*$BI185),AW185*$BI185),0)</f>
        <v>0</v>
      </c>
      <c r="DA185" s="5">
        <f>IF($BI185&lt;&gt;"",IF('Capacity summary'!$C$14="Yes",IF(COUNTBLANK('Capacity summary'!$H97:$BG97)&lt;52,IF('Capacity summary'!AX97&lt;&gt;"",$BI185*AX185,0),AX185*$BI185),AX185*$BI185),0)</f>
        <v>0</v>
      </c>
      <c r="DB185" s="5">
        <f>IF($BI185&lt;&gt;"",IF('Capacity summary'!$C$14="Yes",IF(COUNTBLANK('Capacity summary'!$H97:$BG97)&lt;52,IF('Capacity summary'!AY97&lt;&gt;"",$BI185*AY185,0),AY185*$BI185),AY185*$BI185),0)</f>
        <v>0</v>
      </c>
      <c r="DC185" s="5">
        <f>IF($BI185&lt;&gt;"",IF('Capacity summary'!$C$14="Yes",IF(COUNTBLANK('Capacity summary'!$H97:$BG97)&lt;52,IF('Capacity summary'!AZ97&lt;&gt;"",$BI185*AZ185,0),AZ185*$BI185),AZ185*$BI185),0)</f>
        <v>0</v>
      </c>
      <c r="DD185" s="5">
        <f>IF($BI185&lt;&gt;"",IF('Capacity summary'!$C$14="Yes",IF(COUNTBLANK('Capacity summary'!$H97:$BG97)&lt;52,IF('Capacity summary'!BA97&lt;&gt;"",$BI185*BA185,0),BA185*$BI185),BA185*$BI185),0)</f>
        <v>0</v>
      </c>
      <c r="DE185" s="5">
        <f>IF($BI185&lt;&gt;"",IF('Capacity summary'!$C$14="Yes",IF(COUNTBLANK('Capacity summary'!$H97:$BG97)&lt;52,IF('Capacity summary'!BB97&lt;&gt;"",$BI185*BB185,0),BB185*$BI185),BB185*$BI185),0)</f>
        <v>0</v>
      </c>
      <c r="DF185" s="5">
        <f>IF($BI185&lt;&gt;"",IF('Capacity summary'!$C$14="Yes",IF(COUNTBLANK('Capacity summary'!$H97:$BG97)&lt;52,IF('Capacity summary'!BC97&lt;&gt;"",$BI185*BC185,0),BC185*$BI185),BC185*$BI185),0)</f>
        <v>0</v>
      </c>
      <c r="DG185" s="5">
        <f>IF($BI185&lt;&gt;"",IF('Capacity summary'!$C$14="Yes",IF(COUNTBLANK('Capacity summary'!$H97:$BG97)&lt;52,IF('Capacity summary'!BD97&lt;&gt;"",$BI185*BD185,0),BD185*$BI185),BD185*$BI185),0)</f>
        <v>0</v>
      </c>
      <c r="DH185" s="5">
        <f>IF($BI185&lt;&gt;"",IF('Capacity summary'!$C$14="Yes",IF(COUNTBLANK('Capacity summary'!$H97:$BG97)&lt;52,IF('Capacity summary'!BE97&lt;&gt;"",$BI185*BE185,0),BE185*$BI185),BE185*$BI185),0)</f>
        <v>0</v>
      </c>
      <c r="DI185" s="5">
        <f>IF($BI185&lt;&gt;"",IF('Capacity summary'!$C$14="Yes",IF(COUNTBLANK('Capacity summary'!$H97:$BG97)&lt;52,IF('Capacity summary'!BF97&lt;&gt;"",$BI185*BF185,0),BF185*$BI185),BF185*$BI185),0)</f>
        <v>0</v>
      </c>
      <c r="DJ185" s="5">
        <f>IF($BI185&lt;&gt;"",IF('Capacity summary'!$C$14="Yes",IF(COUNTBLANK('Capacity summary'!$H97:$BG97)&lt;52,IF('Capacity summary'!BG97&lt;&gt;"",$BI185*BG185,0),BG185*$BI185),BG185*$BI185),0)</f>
        <v>0</v>
      </c>
      <c r="DK185" s="138">
        <f t="shared" si="7"/>
        <v>0</v>
      </c>
    </row>
    <row r="186" spans="3:115" x14ac:dyDescent="0.2">
      <c r="C186" s="68" t="str">
        <f>ROW(A75)&amp;". "&amp;Capacity!N91</f>
        <v xml:space="preserve">75. </v>
      </c>
      <c r="D186" s="68">
        <f>'Capacity setup'!C192</f>
        <v>0</v>
      </c>
      <c r="E186" s="68">
        <f>'Capacity setup'!D192</f>
        <v>0</v>
      </c>
      <c r="F186" s="68">
        <f>'Capacity setup'!E192</f>
        <v>0</v>
      </c>
      <c r="H186" s="68">
        <f ca="1">IF(AND(SUMIF(Capacity_Resource,$D186,'Critical resources (hide)'!U$6:U$105)+SUMIF(Capacity_Resource,$E186,'Critical resources (hide)'!U$6:U$105)+SUMIF(Capacity_Resource,$F186,'Critical resources (hide)'!U$6:U$105)&gt;0,$E$1=2),0,1)</f>
        <v>1</v>
      </c>
      <c r="I186" s="68">
        <f ca="1">IF(AND(SUMIF(Capacity_Resource,$D186,'Critical resources (hide)'!V$6:V$105)+SUMIF(Capacity_Resource,$E186,'Critical resources (hide)'!V$6:V$105)+SUMIF(Capacity_Resource,$F186,'Critical resources (hide)'!V$6:V$105)&gt;0,$E$1=2),0,1)</f>
        <v>1</v>
      </c>
      <c r="J186" s="68">
        <f ca="1">IF(AND(SUMIF(Capacity_Resource,$D186,'Critical resources (hide)'!W$6:W$105)+SUMIF(Capacity_Resource,$E186,'Critical resources (hide)'!W$6:W$105)+SUMIF(Capacity_Resource,$F186,'Critical resources (hide)'!W$6:W$105)&gt;0,$E$1=2),0,1)</f>
        <v>1</v>
      </c>
      <c r="K186" s="68">
        <f ca="1">IF(AND(SUMIF(Capacity_Resource,$D186,'Critical resources (hide)'!X$6:X$105)+SUMIF(Capacity_Resource,$E186,'Critical resources (hide)'!X$6:X$105)+SUMIF(Capacity_Resource,$F186,'Critical resources (hide)'!X$6:X$105)&gt;0,$E$1=2),0,1)</f>
        <v>1</v>
      </c>
      <c r="L186" s="68">
        <f ca="1">IF(AND(SUMIF(Capacity_Resource,$D186,'Critical resources (hide)'!Y$6:Y$105)+SUMIF(Capacity_Resource,$E186,'Critical resources (hide)'!Y$6:Y$105)+SUMIF(Capacity_Resource,$F186,'Critical resources (hide)'!Y$6:Y$105)&gt;0,$E$1=2),0,1)</f>
        <v>1</v>
      </c>
      <c r="M186" s="68">
        <f ca="1">IF(AND(SUMIF(Capacity_Resource,$D186,'Critical resources (hide)'!Z$6:Z$105)+SUMIF(Capacity_Resource,$E186,'Critical resources (hide)'!Z$6:Z$105)+SUMIF(Capacity_Resource,$F186,'Critical resources (hide)'!Z$6:Z$105)&gt;0,$E$1=2),0,1)</f>
        <v>1</v>
      </c>
      <c r="N186" s="68">
        <f ca="1">IF(AND(SUMIF(Capacity_Resource,$D186,'Critical resources (hide)'!AA$6:AA$105)+SUMIF(Capacity_Resource,$E186,'Critical resources (hide)'!AA$6:AA$105)+SUMIF(Capacity_Resource,$F186,'Critical resources (hide)'!AA$6:AA$105)&gt;0,$E$1=2),0,1)</f>
        <v>1</v>
      </c>
      <c r="O186" s="68">
        <f ca="1">IF(AND(SUMIF(Capacity_Resource,$D186,'Critical resources (hide)'!AB$6:AB$105)+SUMIF(Capacity_Resource,$E186,'Critical resources (hide)'!AB$6:AB$105)+SUMIF(Capacity_Resource,$F186,'Critical resources (hide)'!AB$6:AB$105)&gt;0,$E$1=2),0,1)</f>
        <v>1</v>
      </c>
      <c r="P186" s="68">
        <f ca="1">IF(AND(SUMIF(Capacity_Resource,$D186,'Critical resources (hide)'!AC$6:AC$105)+SUMIF(Capacity_Resource,$E186,'Critical resources (hide)'!AC$6:AC$105)+SUMIF(Capacity_Resource,$F186,'Critical resources (hide)'!AC$6:AC$105)&gt;0,$E$1=2),0,1)</f>
        <v>1</v>
      </c>
      <c r="Q186" s="68">
        <f ca="1">IF(AND(SUMIF(Capacity_Resource,$D186,'Critical resources (hide)'!AD$6:AD$105)+SUMIF(Capacity_Resource,$E186,'Critical resources (hide)'!AD$6:AD$105)+SUMIF(Capacity_Resource,$F186,'Critical resources (hide)'!AD$6:AD$105)&gt;0,$E$1=2),0,1)</f>
        <v>1</v>
      </c>
      <c r="R186" s="68">
        <f ca="1">IF(AND(SUMIF(Capacity_Resource,$D186,'Critical resources (hide)'!AE$6:AE$105)+SUMIF(Capacity_Resource,$E186,'Critical resources (hide)'!AE$6:AE$105)+SUMIF(Capacity_Resource,$F186,'Critical resources (hide)'!AE$6:AE$105)&gt;0,$E$1=2),0,1)</f>
        <v>1</v>
      </c>
      <c r="S186" s="68">
        <f ca="1">IF(AND(SUMIF(Capacity_Resource,$D186,'Critical resources (hide)'!AF$6:AF$105)+SUMIF(Capacity_Resource,$E186,'Critical resources (hide)'!AF$6:AF$105)+SUMIF(Capacity_Resource,$F186,'Critical resources (hide)'!AF$6:AF$105)&gt;0,$E$1=2),0,1)</f>
        <v>1</v>
      </c>
      <c r="T186" s="68">
        <f ca="1">IF(AND(SUMIF(Capacity_Resource,$D186,'Critical resources (hide)'!AG$6:AG$105)+SUMIF(Capacity_Resource,$E186,'Critical resources (hide)'!AG$6:AG$105)+SUMIF(Capacity_Resource,$F186,'Critical resources (hide)'!AG$6:AG$105)&gt;0,$E$1=2),0,1)</f>
        <v>1</v>
      </c>
      <c r="U186" s="68">
        <f ca="1">IF(AND(SUMIF(Capacity_Resource,$D186,'Critical resources (hide)'!AH$6:AH$105)+SUMIF(Capacity_Resource,$E186,'Critical resources (hide)'!AH$6:AH$105)+SUMIF(Capacity_Resource,$F186,'Critical resources (hide)'!AH$6:AH$105)&gt;0,$E$1=2),0,1)</f>
        <v>1</v>
      </c>
      <c r="V186" s="68">
        <f ca="1">IF(AND(SUMIF(Capacity_Resource,$D186,'Critical resources (hide)'!AI$6:AI$105)+SUMIF(Capacity_Resource,$E186,'Critical resources (hide)'!AI$6:AI$105)+SUMIF(Capacity_Resource,$F186,'Critical resources (hide)'!AI$6:AI$105)&gt;0,$E$1=2),0,1)</f>
        <v>1</v>
      </c>
      <c r="W186" s="68">
        <f ca="1">IF(AND(SUMIF(Capacity_Resource,$D186,'Critical resources (hide)'!AJ$6:AJ$105)+SUMIF(Capacity_Resource,$E186,'Critical resources (hide)'!AJ$6:AJ$105)+SUMIF(Capacity_Resource,$F186,'Critical resources (hide)'!AJ$6:AJ$105)&gt;0,$E$1=2),0,1)</f>
        <v>1</v>
      </c>
      <c r="X186" s="68">
        <f ca="1">IF(AND(SUMIF(Capacity_Resource,$D186,'Critical resources (hide)'!AK$6:AK$105)+SUMIF(Capacity_Resource,$E186,'Critical resources (hide)'!AK$6:AK$105)+SUMIF(Capacity_Resource,$F186,'Critical resources (hide)'!AK$6:AK$105)&gt;0,$E$1=2),0,1)</f>
        <v>1</v>
      </c>
      <c r="Y186" s="68">
        <f ca="1">IF(AND(SUMIF(Capacity_Resource,$D186,'Critical resources (hide)'!AL$6:AL$105)+SUMIF(Capacity_Resource,$E186,'Critical resources (hide)'!AL$6:AL$105)+SUMIF(Capacity_Resource,$F186,'Critical resources (hide)'!AL$6:AL$105)&gt;0,$E$1=2),0,1)</f>
        <v>1</v>
      </c>
      <c r="Z186" s="68">
        <f ca="1">IF(AND(SUMIF(Capacity_Resource,$D186,'Critical resources (hide)'!AM$6:AM$105)+SUMIF(Capacity_Resource,$E186,'Critical resources (hide)'!AM$6:AM$105)+SUMIF(Capacity_Resource,$F186,'Critical resources (hide)'!AM$6:AM$105)&gt;0,$E$1=2),0,1)</f>
        <v>1</v>
      </c>
      <c r="AA186" s="68">
        <f ca="1">IF(AND(SUMIF(Capacity_Resource,$D186,'Critical resources (hide)'!AN$6:AN$105)+SUMIF(Capacity_Resource,$E186,'Critical resources (hide)'!AN$6:AN$105)+SUMIF(Capacity_Resource,$F186,'Critical resources (hide)'!AN$6:AN$105)&gt;0,$E$1=2),0,1)</f>
        <v>1</v>
      </c>
      <c r="AB186" s="68">
        <f ca="1">IF(AND(SUMIF(Capacity_Resource,$D186,'Critical resources (hide)'!AO$6:AO$105)+SUMIF(Capacity_Resource,$E186,'Critical resources (hide)'!AO$6:AO$105)+SUMIF(Capacity_Resource,$F186,'Critical resources (hide)'!AO$6:AO$105)&gt;0,$E$1=2),0,1)</f>
        <v>1</v>
      </c>
      <c r="AC186" s="68">
        <f ca="1">IF(AND(SUMIF(Capacity_Resource,$D186,'Critical resources (hide)'!AP$6:AP$105)+SUMIF(Capacity_Resource,$E186,'Critical resources (hide)'!AP$6:AP$105)+SUMIF(Capacity_Resource,$F186,'Critical resources (hide)'!AP$6:AP$105)&gt;0,$E$1=2),0,1)</f>
        <v>1</v>
      </c>
      <c r="AD186" s="68">
        <f ca="1">IF(AND(SUMIF(Capacity_Resource,$D186,'Critical resources (hide)'!AQ$6:AQ$105)+SUMIF(Capacity_Resource,$E186,'Critical resources (hide)'!AQ$6:AQ$105)+SUMIF(Capacity_Resource,$F186,'Critical resources (hide)'!AQ$6:AQ$105)&gt;0,$E$1=2),0,1)</f>
        <v>1</v>
      </c>
      <c r="AE186" s="68">
        <f ca="1">IF(AND(SUMIF(Capacity_Resource,$D186,'Critical resources (hide)'!AR$6:AR$105)+SUMIF(Capacity_Resource,$E186,'Critical resources (hide)'!AR$6:AR$105)+SUMIF(Capacity_Resource,$F186,'Critical resources (hide)'!AR$6:AR$105)&gt;0,$E$1=2),0,1)</f>
        <v>1</v>
      </c>
      <c r="AF186" s="68">
        <f ca="1">IF(AND(SUMIF(Capacity_Resource,$D186,'Critical resources (hide)'!AS$6:AS$105)+SUMIF(Capacity_Resource,$E186,'Critical resources (hide)'!AS$6:AS$105)+SUMIF(Capacity_Resource,$F186,'Critical resources (hide)'!AS$6:AS$105)&gt;0,$E$1=2),0,1)</f>
        <v>1</v>
      </c>
      <c r="AG186" s="68">
        <f ca="1">IF(AND(SUMIF(Capacity_Resource,$D186,'Critical resources (hide)'!AT$6:AT$105)+SUMIF(Capacity_Resource,$E186,'Critical resources (hide)'!AT$6:AT$105)+SUMIF(Capacity_Resource,$F186,'Critical resources (hide)'!AT$6:AT$105)&gt;0,$E$1=2),0,1)</f>
        <v>1</v>
      </c>
      <c r="AH186" s="68">
        <f ca="1">IF(AND(SUMIF(Capacity_Resource,$D186,'Critical resources (hide)'!AU$6:AU$105)+SUMIF(Capacity_Resource,$E186,'Critical resources (hide)'!AU$6:AU$105)+SUMIF(Capacity_Resource,$F186,'Critical resources (hide)'!AU$6:AU$105)&gt;0,$E$1=2),0,1)</f>
        <v>1</v>
      </c>
      <c r="AI186" s="68">
        <f ca="1">IF(AND(SUMIF(Capacity_Resource,$D186,'Critical resources (hide)'!AV$6:AV$105)+SUMIF(Capacity_Resource,$E186,'Critical resources (hide)'!AV$6:AV$105)+SUMIF(Capacity_Resource,$F186,'Critical resources (hide)'!AV$6:AV$105)&gt;0,$E$1=2),0,1)</f>
        <v>1</v>
      </c>
      <c r="AJ186" s="68">
        <f ca="1">IF(AND(SUMIF(Capacity_Resource,$D186,'Critical resources (hide)'!AW$6:AW$105)+SUMIF(Capacity_Resource,$E186,'Critical resources (hide)'!AW$6:AW$105)+SUMIF(Capacity_Resource,$F186,'Critical resources (hide)'!AW$6:AW$105)&gt;0,$E$1=2),0,1)</f>
        <v>1</v>
      </c>
      <c r="AK186" s="68">
        <f ca="1">IF(AND(SUMIF(Capacity_Resource,$D186,'Critical resources (hide)'!AX$6:AX$105)+SUMIF(Capacity_Resource,$E186,'Critical resources (hide)'!AX$6:AX$105)+SUMIF(Capacity_Resource,$F186,'Critical resources (hide)'!AX$6:AX$105)&gt;0,$E$1=2),0,1)</f>
        <v>1</v>
      </c>
      <c r="AL186" s="68">
        <f ca="1">IF(AND(SUMIF(Capacity_Resource,$D186,'Critical resources (hide)'!AY$6:AY$105)+SUMIF(Capacity_Resource,$E186,'Critical resources (hide)'!AY$6:AY$105)+SUMIF(Capacity_Resource,$F186,'Critical resources (hide)'!AY$6:AY$105)&gt;0,$E$1=2),0,1)</f>
        <v>1</v>
      </c>
      <c r="AM186" s="68">
        <f ca="1">IF(AND(SUMIF(Capacity_Resource,$D186,'Critical resources (hide)'!AZ$6:AZ$105)+SUMIF(Capacity_Resource,$E186,'Critical resources (hide)'!AZ$6:AZ$105)+SUMIF(Capacity_Resource,$F186,'Critical resources (hide)'!AZ$6:AZ$105)&gt;0,$E$1=2),0,1)</f>
        <v>1</v>
      </c>
      <c r="AN186" s="68">
        <f ca="1">IF(AND(SUMIF(Capacity_Resource,$D186,'Critical resources (hide)'!BA$6:BA$105)+SUMIF(Capacity_Resource,$E186,'Critical resources (hide)'!BA$6:BA$105)+SUMIF(Capacity_Resource,$F186,'Critical resources (hide)'!BA$6:BA$105)&gt;0,$E$1=2),0,1)</f>
        <v>1</v>
      </c>
      <c r="AO186" s="68">
        <f ca="1">IF(AND(SUMIF(Capacity_Resource,$D186,'Critical resources (hide)'!BB$6:BB$105)+SUMIF(Capacity_Resource,$E186,'Critical resources (hide)'!BB$6:BB$105)+SUMIF(Capacity_Resource,$F186,'Critical resources (hide)'!BB$6:BB$105)&gt;0,$E$1=2),0,1)</f>
        <v>1</v>
      </c>
      <c r="AP186" s="68">
        <f ca="1">IF(AND(SUMIF(Capacity_Resource,$D186,'Critical resources (hide)'!BC$6:BC$105)+SUMIF(Capacity_Resource,$E186,'Critical resources (hide)'!BC$6:BC$105)+SUMIF(Capacity_Resource,$F186,'Critical resources (hide)'!BC$6:BC$105)&gt;0,$E$1=2),0,1)</f>
        <v>1</v>
      </c>
      <c r="AQ186" s="68">
        <f ca="1">IF(AND(SUMIF(Capacity_Resource,$D186,'Critical resources (hide)'!BD$6:BD$105)+SUMIF(Capacity_Resource,$E186,'Critical resources (hide)'!BD$6:BD$105)+SUMIF(Capacity_Resource,$F186,'Critical resources (hide)'!BD$6:BD$105)&gt;0,$E$1=2),0,1)</f>
        <v>1</v>
      </c>
      <c r="AR186" s="68">
        <f ca="1">IF(AND(SUMIF(Capacity_Resource,$D186,'Critical resources (hide)'!BE$6:BE$105)+SUMIF(Capacity_Resource,$E186,'Critical resources (hide)'!BE$6:BE$105)+SUMIF(Capacity_Resource,$F186,'Critical resources (hide)'!BE$6:BE$105)&gt;0,$E$1=2),0,1)</f>
        <v>1</v>
      </c>
      <c r="AS186" s="68">
        <f ca="1">IF(AND(SUMIF(Capacity_Resource,$D186,'Critical resources (hide)'!BF$6:BF$105)+SUMIF(Capacity_Resource,$E186,'Critical resources (hide)'!BF$6:BF$105)+SUMIF(Capacity_Resource,$F186,'Critical resources (hide)'!BF$6:BF$105)&gt;0,$E$1=2),0,1)</f>
        <v>1</v>
      </c>
      <c r="AT186" s="68">
        <f ca="1">IF(AND(SUMIF(Capacity_Resource,$D186,'Critical resources (hide)'!BG$6:BG$105)+SUMIF(Capacity_Resource,$E186,'Critical resources (hide)'!BG$6:BG$105)+SUMIF(Capacity_Resource,$F186,'Critical resources (hide)'!BG$6:BG$105)&gt;0,$E$1=2),0,1)</f>
        <v>1</v>
      </c>
      <c r="AU186" s="68">
        <f ca="1">IF(AND(SUMIF(Capacity_Resource,$D186,'Critical resources (hide)'!BH$6:BH$105)+SUMIF(Capacity_Resource,$E186,'Critical resources (hide)'!BH$6:BH$105)+SUMIF(Capacity_Resource,$F186,'Critical resources (hide)'!BH$6:BH$105)&gt;0,$E$1=2),0,1)</f>
        <v>1</v>
      </c>
      <c r="AV186" s="68">
        <f ca="1">IF(AND(SUMIF(Capacity_Resource,$D186,'Critical resources (hide)'!BI$6:BI$105)+SUMIF(Capacity_Resource,$E186,'Critical resources (hide)'!BI$6:BI$105)+SUMIF(Capacity_Resource,$F186,'Critical resources (hide)'!BI$6:BI$105)&gt;0,$E$1=2),0,1)</f>
        <v>1</v>
      </c>
      <c r="AW186" s="68">
        <f ca="1">IF(AND(SUMIF(Capacity_Resource,$D186,'Critical resources (hide)'!BJ$6:BJ$105)+SUMIF(Capacity_Resource,$E186,'Critical resources (hide)'!BJ$6:BJ$105)+SUMIF(Capacity_Resource,$F186,'Critical resources (hide)'!BJ$6:BJ$105)&gt;0,$E$1=2),0,1)</f>
        <v>1</v>
      </c>
      <c r="AX186" s="68">
        <f ca="1">IF(AND(SUMIF(Capacity_Resource,$D186,'Critical resources (hide)'!BK$6:BK$105)+SUMIF(Capacity_Resource,$E186,'Critical resources (hide)'!BK$6:BK$105)+SUMIF(Capacity_Resource,$F186,'Critical resources (hide)'!BK$6:BK$105)&gt;0,$E$1=2),0,1)</f>
        <v>1</v>
      </c>
      <c r="AY186" s="68">
        <f ca="1">IF(AND(SUMIF(Capacity_Resource,$D186,'Critical resources (hide)'!BL$6:BL$105)+SUMIF(Capacity_Resource,$E186,'Critical resources (hide)'!BL$6:BL$105)+SUMIF(Capacity_Resource,$F186,'Critical resources (hide)'!BL$6:BL$105)&gt;0,$E$1=2),0,1)</f>
        <v>1</v>
      </c>
      <c r="AZ186" s="68">
        <f ca="1">IF(AND(SUMIF(Capacity_Resource,$D186,'Critical resources (hide)'!BM$6:BM$105)+SUMIF(Capacity_Resource,$E186,'Critical resources (hide)'!BM$6:BM$105)+SUMIF(Capacity_Resource,$F186,'Critical resources (hide)'!BM$6:BM$105)&gt;0,$E$1=2),0,1)</f>
        <v>1</v>
      </c>
      <c r="BA186" s="68">
        <f ca="1">IF(AND(SUMIF(Capacity_Resource,$D186,'Critical resources (hide)'!BN$6:BN$105)+SUMIF(Capacity_Resource,$E186,'Critical resources (hide)'!BN$6:BN$105)+SUMIF(Capacity_Resource,$F186,'Critical resources (hide)'!BN$6:BN$105)&gt;0,$E$1=2),0,1)</f>
        <v>1</v>
      </c>
      <c r="BB186" s="68">
        <f ca="1">IF(AND(SUMIF(Capacity_Resource,$D186,'Critical resources (hide)'!BO$6:BO$105)+SUMIF(Capacity_Resource,$E186,'Critical resources (hide)'!BO$6:BO$105)+SUMIF(Capacity_Resource,$F186,'Critical resources (hide)'!BO$6:BO$105)&gt;0,$E$1=2),0,1)</f>
        <v>1</v>
      </c>
      <c r="BC186" s="68">
        <f ca="1">IF(AND(SUMIF(Capacity_Resource,$D186,'Critical resources (hide)'!BP$6:BP$105)+SUMIF(Capacity_Resource,$E186,'Critical resources (hide)'!BP$6:BP$105)+SUMIF(Capacity_Resource,$F186,'Critical resources (hide)'!BP$6:BP$105)&gt;0,$E$1=2),0,1)</f>
        <v>1</v>
      </c>
      <c r="BD186" s="68">
        <f ca="1">IF(AND(SUMIF(Capacity_Resource,$D186,'Critical resources (hide)'!BQ$6:BQ$105)+SUMIF(Capacity_Resource,$E186,'Critical resources (hide)'!BQ$6:BQ$105)+SUMIF(Capacity_Resource,$F186,'Critical resources (hide)'!BQ$6:BQ$105)&gt;0,$E$1=2),0,1)</f>
        <v>1</v>
      </c>
      <c r="BE186" s="68">
        <f ca="1">IF(AND(SUMIF(Capacity_Resource,$D186,'Critical resources (hide)'!BR$6:BR$105)+SUMIF(Capacity_Resource,$E186,'Critical resources (hide)'!BR$6:BR$105)+SUMIF(Capacity_Resource,$F186,'Critical resources (hide)'!BR$6:BR$105)&gt;0,$E$1=2),0,1)</f>
        <v>1</v>
      </c>
      <c r="BF186" s="68">
        <f ca="1">IF(AND(SUMIF(Capacity_Resource,$D186,'Critical resources (hide)'!BS$6:BS$105)+SUMIF(Capacity_Resource,$E186,'Critical resources (hide)'!BS$6:BS$105)+SUMIF(Capacity_Resource,$F186,'Critical resources (hide)'!BS$6:BS$105)&gt;0,$E$1=2),0,1)</f>
        <v>1</v>
      </c>
      <c r="BG186" s="68">
        <f ca="1">IF(AND(SUMIF(Capacity_Resource,$D186,'Critical resources (hide)'!BT$6:BT$105)+SUMIF(Capacity_Resource,$E186,'Critical resources (hide)'!BT$6:BT$105)+SUMIF(Capacity_Resource,$F186,'Critical resources (hide)'!BT$6:BT$105)&gt;0,$E$1=2),0,1)</f>
        <v>1</v>
      </c>
      <c r="BH186" s="68">
        <f>IF(ROW(A75)&lt;=Capacity!$M$16,IF('Capacity summary'!$C$14="No",SUM(H186:BG186),'Capacity summary'!$E98),0)</f>
        <v>0</v>
      </c>
      <c r="BI186" s="68" t="str">
        <f>IF(BH186&gt;0,IF(BH186&lt;Capacity!Q91,Capacity!R91,Capacity!T91/'Capacity calculation (hide)'!BH186),"")</f>
        <v/>
      </c>
      <c r="BJ186" s="5"/>
      <c r="BK186" s="5">
        <f>IF($BI186&lt;&gt;"",IF('Capacity summary'!$C$14="Yes",IF(COUNTBLANK('Capacity summary'!$H98:$BG98)&lt;52,IF('Capacity summary'!H98&lt;&gt;"",$BI186*H186,0),H186*$BI186),H186*$BI186),0)</f>
        <v>0</v>
      </c>
      <c r="BL186" s="5">
        <f>IF($BI186&lt;&gt;"",IF('Capacity summary'!$C$14="Yes",IF(COUNTBLANK('Capacity summary'!$H98:$BG98)&lt;52,IF('Capacity summary'!I98&lt;&gt;"",$BI186*I186,0),I186*$BI186),I186*$BI186),0)</f>
        <v>0</v>
      </c>
      <c r="BM186" s="5">
        <f>IF($BI186&lt;&gt;"",IF('Capacity summary'!$C$14="Yes",IF(COUNTBLANK('Capacity summary'!$H98:$BG98)&lt;52,IF('Capacity summary'!J98&lt;&gt;"",$BI186*J186,0),J186*$BI186),J186*$BI186),0)</f>
        <v>0</v>
      </c>
      <c r="BN186" s="5">
        <f>IF($BI186&lt;&gt;"",IF('Capacity summary'!$C$14="Yes",IF(COUNTBLANK('Capacity summary'!$H98:$BG98)&lt;52,IF('Capacity summary'!K98&lt;&gt;"",$BI186*K186,0),K186*$BI186),K186*$BI186),0)</f>
        <v>0</v>
      </c>
      <c r="BO186" s="5">
        <f>IF($BI186&lt;&gt;"",IF('Capacity summary'!$C$14="Yes",IF(COUNTBLANK('Capacity summary'!$H98:$BG98)&lt;52,IF('Capacity summary'!L98&lt;&gt;"",$BI186*L186,0),L186*$BI186),L186*$BI186),0)</f>
        <v>0</v>
      </c>
      <c r="BP186" s="5">
        <f>IF($BI186&lt;&gt;"",IF('Capacity summary'!$C$14="Yes",IF(COUNTBLANK('Capacity summary'!$H98:$BG98)&lt;52,IF('Capacity summary'!M98&lt;&gt;"",$BI186*M186,0),M186*$BI186),M186*$BI186),0)</f>
        <v>0</v>
      </c>
      <c r="BQ186" s="5">
        <f>IF($BI186&lt;&gt;"",IF('Capacity summary'!$C$14="Yes",IF(COUNTBLANK('Capacity summary'!$H98:$BG98)&lt;52,IF('Capacity summary'!N98&lt;&gt;"",$BI186*N186,0),N186*$BI186),N186*$BI186),0)</f>
        <v>0</v>
      </c>
      <c r="BR186" s="5">
        <f>IF($BI186&lt;&gt;"",IF('Capacity summary'!$C$14="Yes",IF(COUNTBLANK('Capacity summary'!$H98:$BG98)&lt;52,IF('Capacity summary'!O98&lt;&gt;"",$BI186*O186,0),O186*$BI186),O186*$BI186),0)</f>
        <v>0</v>
      </c>
      <c r="BS186" s="5">
        <f>IF($BI186&lt;&gt;"",IF('Capacity summary'!$C$14="Yes",IF(COUNTBLANK('Capacity summary'!$H98:$BG98)&lt;52,IF('Capacity summary'!P98&lt;&gt;"",$BI186*P186,0),P186*$BI186),P186*$BI186),0)</f>
        <v>0</v>
      </c>
      <c r="BT186" s="5">
        <f>IF($BI186&lt;&gt;"",IF('Capacity summary'!$C$14="Yes",IF(COUNTBLANK('Capacity summary'!$H98:$BG98)&lt;52,IF('Capacity summary'!Q98&lt;&gt;"",$BI186*Q186,0),Q186*$BI186),Q186*$BI186),0)</f>
        <v>0</v>
      </c>
      <c r="BU186" s="5">
        <f>IF($BI186&lt;&gt;"",IF('Capacity summary'!$C$14="Yes",IF(COUNTBLANK('Capacity summary'!$H98:$BG98)&lt;52,IF('Capacity summary'!R98&lt;&gt;"",$BI186*R186,0),R186*$BI186),R186*$BI186),0)</f>
        <v>0</v>
      </c>
      <c r="BV186" s="5">
        <f>IF($BI186&lt;&gt;"",IF('Capacity summary'!$C$14="Yes",IF(COUNTBLANK('Capacity summary'!$H98:$BG98)&lt;52,IF('Capacity summary'!S98&lt;&gt;"",$BI186*S186,0),S186*$BI186),S186*$BI186),0)</f>
        <v>0</v>
      </c>
      <c r="BW186" s="5">
        <f>IF($BI186&lt;&gt;"",IF('Capacity summary'!$C$14="Yes",IF(COUNTBLANK('Capacity summary'!$H98:$BG98)&lt;52,IF('Capacity summary'!T98&lt;&gt;"",$BI186*T186,0),T186*$BI186),T186*$BI186),0)</f>
        <v>0</v>
      </c>
      <c r="BX186" s="5">
        <f>IF($BI186&lt;&gt;"",IF('Capacity summary'!$C$14="Yes",IF(COUNTBLANK('Capacity summary'!$H98:$BG98)&lt;52,IF('Capacity summary'!U98&lt;&gt;"",$BI186*U186,0),U186*$BI186),U186*$BI186),0)</f>
        <v>0</v>
      </c>
      <c r="BY186" s="5">
        <f>IF($BI186&lt;&gt;"",IF('Capacity summary'!$C$14="Yes",IF(COUNTBLANK('Capacity summary'!$H98:$BG98)&lt;52,IF('Capacity summary'!V98&lt;&gt;"",$BI186*V186,0),V186*$BI186),V186*$BI186),0)</f>
        <v>0</v>
      </c>
      <c r="BZ186" s="5">
        <f>IF($BI186&lt;&gt;"",IF('Capacity summary'!$C$14="Yes",IF(COUNTBLANK('Capacity summary'!$H98:$BG98)&lt;52,IF('Capacity summary'!W98&lt;&gt;"",$BI186*W186,0),W186*$BI186),W186*$BI186),0)</f>
        <v>0</v>
      </c>
      <c r="CA186" s="5">
        <f>IF($BI186&lt;&gt;"",IF('Capacity summary'!$C$14="Yes",IF(COUNTBLANK('Capacity summary'!$H98:$BG98)&lt;52,IF('Capacity summary'!X98&lt;&gt;"",$BI186*X186,0),X186*$BI186),X186*$BI186),0)</f>
        <v>0</v>
      </c>
      <c r="CB186" s="5">
        <f>IF($BI186&lt;&gt;"",IF('Capacity summary'!$C$14="Yes",IF(COUNTBLANK('Capacity summary'!$H98:$BG98)&lt;52,IF('Capacity summary'!Y98&lt;&gt;"",$BI186*Y186,0),Y186*$BI186),Y186*$BI186),0)</f>
        <v>0</v>
      </c>
      <c r="CC186" s="5">
        <f>IF($BI186&lt;&gt;"",IF('Capacity summary'!$C$14="Yes",IF(COUNTBLANK('Capacity summary'!$H98:$BG98)&lt;52,IF('Capacity summary'!Z98&lt;&gt;"",$BI186*Z186,0),Z186*$BI186),Z186*$BI186),0)</f>
        <v>0</v>
      </c>
      <c r="CD186" s="5">
        <f>IF($BI186&lt;&gt;"",IF('Capacity summary'!$C$14="Yes",IF(COUNTBLANK('Capacity summary'!$H98:$BG98)&lt;52,IF('Capacity summary'!AA98&lt;&gt;"",$BI186*AA186,0),AA186*$BI186),AA186*$BI186),0)</f>
        <v>0</v>
      </c>
      <c r="CE186" s="5">
        <f>IF($BI186&lt;&gt;"",IF('Capacity summary'!$C$14="Yes",IF(COUNTBLANK('Capacity summary'!$H98:$BG98)&lt;52,IF('Capacity summary'!AB98&lt;&gt;"",$BI186*AB186,0),AB186*$BI186),AB186*$BI186),0)</f>
        <v>0</v>
      </c>
      <c r="CF186" s="5">
        <f>IF($BI186&lt;&gt;"",IF('Capacity summary'!$C$14="Yes",IF(COUNTBLANK('Capacity summary'!$H98:$BG98)&lt;52,IF('Capacity summary'!AC98&lt;&gt;"",$BI186*AC186,0),AC186*$BI186),AC186*$BI186),0)</f>
        <v>0</v>
      </c>
      <c r="CG186" s="5">
        <f>IF($BI186&lt;&gt;"",IF('Capacity summary'!$C$14="Yes",IF(COUNTBLANK('Capacity summary'!$H98:$BG98)&lt;52,IF('Capacity summary'!AD98&lt;&gt;"",$BI186*AD186,0),AD186*$BI186),AD186*$BI186),0)</f>
        <v>0</v>
      </c>
      <c r="CH186" s="5">
        <f>IF($BI186&lt;&gt;"",IF('Capacity summary'!$C$14="Yes",IF(COUNTBLANK('Capacity summary'!$H98:$BG98)&lt;52,IF('Capacity summary'!AE98&lt;&gt;"",$BI186*AE186,0),AE186*$BI186),AE186*$BI186),0)</f>
        <v>0</v>
      </c>
      <c r="CI186" s="5">
        <f>IF($BI186&lt;&gt;"",IF('Capacity summary'!$C$14="Yes",IF(COUNTBLANK('Capacity summary'!$H98:$BG98)&lt;52,IF('Capacity summary'!AF98&lt;&gt;"",$BI186*AF186,0),AF186*$BI186),AF186*$BI186),0)</f>
        <v>0</v>
      </c>
      <c r="CJ186" s="5">
        <f>IF($BI186&lt;&gt;"",IF('Capacity summary'!$C$14="Yes",IF(COUNTBLANK('Capacity summary'!$H98:$BG98)&lt;52,IF('Capacity summary'!AG98&lt;&gt;"",$BI186*AG186,0),AG186*$BI186),AG186*$BI186),0)</f>
        <v>0</v>
      </c>
      <c r="CK186" s="5">
        <f>IF($BI186&lt;&gt;"",IF('Capacity summary'!$C$14="Yes",IF(COUNTBLANK('Capacity summary'!$H98:$BG98)&lt;52,IF('Capacity summary'!AH98&lt;&gt;"",$BI186*AH186,0),AH186*$BI186),AH186*$BI186),0)</f>
        <v>0</v>
      </c>
      <c r="CL186" s="5">
        <f>IF($BI186&lt;&gt;"",IF('Capacity summary'!$C$14="Yes",IF(COUNTBLANK('Capacity summary'!$H98:$BG98)&lt;52,IF('Capacity summary'!AI98&lt;&gt;"",$BI186*AI186,0),AI186*$BI186),AI186*$BI186),0)</f>
        <v>0</v>
      </c>
      <c r="CM186" s="5">
        <f>IF($BI186&lt;&gt;"",IF('Capacity summary'!$C$14="Yes",IF(COUNTBLANK('Capacity summary'!$H98:$BG98)&lt;52,IF('Capacity summary'!AJ98&lt;&gt;"",$BI186*AJ186,0),AJ186*$BI186),AJ186*$BI186),0)</f>
        <v>0</v>
      </c>
      <c r="CN186" s="5">
        <f>IF($BI186&lt;&gt;"",IF('Capacity summary'!$C$14="Yes",IF(COUNTBLANK('Capacity summary'!$H98:$BG98)&lt;52,IF('Capacity summary'!AK98&lt;&gt;"",$BI186*AK186,0),AK186*$BI186),AK186*$BI186),0)</f>
        <v>0</v>
      </c>
      <c r="CO186" s="5">
        <f>IF($BI186&lt;&gt;"",IF('Capacity summary'!$C$14="Yes",IF(COUNTBLANK('Capacity summary'!$H98:$BG98)&lt;52,IF('Capacity summary'!AL98&lt;&gt;"",$BI186*AL186,0),AL186*$BI186),AL186*$BI186),0)</f>
        <v>0</v>
      </c>
      <c r="CP186" s="5">
        <f>IF($BI186&lt;&gt;"",IF('Capacity summary'!$C$14="Yes",IF(COUNTBLANK('Capacity summary'!$H98:$BG98)&lt;52,IF('Capacity summary'!AM98&lt;&gt;"",$BI186*AM186,0),AM186*$BI186),AM186*$BI186),0)</f>
        <v>0</v>
      </c>
      <c r="CQ186" s="5">
        <f>IF($BI186&lt;&gt;"",IF('Capacity summary'!$C$14="Yes",IF(COUNTBLANK('Capacity summary'!$H98:$BG98)&lt;52,IF('Capacity summary'!AN98&lt;&gt;"",$BI186*AN186,0),AN186*$BI186),AN186*$BI186),0)</f>
        <v>0</v>
      </c>
      <c r="CR186" s="5">
        <f>IF($BI186&lt;&gt;"",IF('Capacity summary'!$C$14="Yes",IF(COUNTBLANK('Capacity summary'!$H98:$BG98)&lt;52,IF('Capacity summary'!AO98&lt;&gt;"",$BI186*AO186,0),AO186*$BI186),AO186*$BI186),0)</f>
        <v>0</v>
      </c>
      <c r="CS186" s="5">
        <f>IF($BI186&lt;&gt;"",IF('Capacity summary'!$C$14="Yes",IF(COUNTBLANK('Capacity summary'!$H98:$BG98)&lt;52,IF('Capacity summary'!AP98&lt;&gt;"",$BI186*AP186,0),AP186*$BI186),AP186*$BI186),0)</f>
        <v>0</v>
      </c>
      <c r="CT186" s="5">
        <f>IF($BI186&lt;&gt;"",IF('Capacity summary'!$C$14="Yes",IF(COUNTBLANK('Capacity summary'!$H98:$BG98)&lt;52,IF('Capacity summary'!AQ98&lt;&gt;"",$BI186*AQ186,0),AQ186*$BI186),AQ186*$BI186),0)</f>
        <v>0</v>
      </c>
      <c r="CU186" s="5">
        <f>IF($BI186&lt;&gt;"",IF('Capacity summary'!$C$14="Yes",IF(COUNTBLANK('Capacity summary'!$H98:$BG98)&lt;52,IF('Capacity summary'!AR98&lt;&gt;"",$BI186*AR186,0),AR186*$BI186),AR186*$BI186),0)</f>
        <v>0</v>
      </c>
      <c r="CV186" s="5">
        <f>IF($BI186&lt;&gt;"",IF('Capacity summary'!$C$14="Yes",IF(COUNTBLANK('Capacity summary'!$H98:$BG98)&lt;52,IF('Capacity summary'!AS98&lt;&gt;"",$BI186*AS186,0),AS186*$BI186),AS186*$BI186),0)</f>
        <v>0</v>
      </c>
      <c r="CW186" s="5">
        <f>IF($BI186&lt;&gt;"",IF('Capacity summary'!$C$14="Yes",IF(COUNTBLANK('Capacity summary'!$H98:$BG98)&lt;52,IF('Capacity summary'!AT98&lt;&gt;"",$BI186*AT186,0),AT186*$BI186),AT186*$BI186),0)</f>
        <v>0</v>
      </c>
      <c r="CX186" s="5">
        <f>IF($BI186&lt;&gt;"",IF('Capacity summary'!$C$14="Yes",IF(COUNTBLANK('Capacity summary'!$H98:$BG98)&lt;52,IF('Capacity summary'!AU98&lt;&gt;"",$BI186*AU186,0),AU186*$BI186),AU186*$BI186),0)</f>
        <v>0</v>
      </c>
      <c r="CY186" s="5">
        <f>IF($BI186&lt;&gt;"",IF('Capacity summary'!$C$14="Yes",IF(COUNTBLANK('Capacity summary'!$H98:$BG98)&lt;52,IF('Capacity summary'!AV98&lt;&gt;"",$BI186*AV186,0),AV186*$BI186),AV186*$BI186),0)</f>
        <v>0</v>
      </c>
      <c r="CZ186" s="5">
        <f>IF($BI186&lt;&gt;"",IF('Capacity summary'!$C$14="Yes",IF(COUNTBLANK('Capacity summary'!$H98:$BG98)&lt;52,IF('Capacity summary'!AW98&lt;&gt;"",$BI186*AW186,0),AW186*$BI186),AW186*$BI186),0)</f>
        <v>0</v>
      </c>
      <c r="DA186" s="5">
        <f>IF($BI186&lt;&gt;"",IF('Capacity summary'!$C$14="Yes",IF(COUNTBLANK('Capacity summary'!$H98:$BG98)&lt;52,IF('Capacity summary'!AX98&lt;&gt;"",$BI186*AX186,0),AX186*$BI186),AX186*$BI186),0)</f>
        <v>0</v>
      </c>
      <c r="DB186" s="5">
        <f>IF($BI186&lt;&gt;"",IF('Capacity summary'!$C$14="Yes",IF(COUNTBLANK('Capacity summary'!$H98:$BG98)&lt;52,IF('Capacity summary'!AY98&lt;&gt;"",$BI186*AY186,0),AY186*$BI186),AY186*$BI186),0)</f>
        <v>0</v>
      </c>
      <c r="DC186" s="5">
        <f>IF($BI186&lt;&gt;"",IF('Capacity summary'!$C$14="Yes",IF(COUNTBLANK('Capacity summary'!$H98:$BG98)&lt;52,IF('Capacity summary'!AZ98&lt;&gt;"",$BI186*AZ186,0),AZ186*$BI186),AZ186*$BI186),0)</f>
        <v>0</v>
      </c>
      <c r="DD186" s="5">
        <f>IF($BI186&lt;&gt;"",IF('Capacity summary'!$C$14="Yes",IF(COUNTBLANK('Capacity summary'!$H98:$BG98)&lt;52,IF('Capacity summary'!BA98&lt;&gt;"",$BI186*BA186,0),BA186*$BI186),BA186*$BI186),0)</f>
        <v>0</v>
      </c>
      <c r="DE186" s="5">
        <f>IF($BI186&lt;&gt;"",IF('Capacity summary'!$C$14="Yes",IF(COUNTBLANK('Capacity summary'!$H98:$BG98)&lt;52,IF('Capacity summary'!BB98&lt;&gt;"",$BI186*BB186,0),BB186*$BI186),BB186*$BI186),0)</f>
        <v>0</v>
      </c>
      <c r="DF186" s="5">
        <f>IF($BI186&lt;&gt;"",IF('Capacity summary'!$C$14="Yes",IF(COUNTBLANK('Capacity summary'!$H98:$BG98)&lt;52,IF('Capacity summary'!BC98&lt;&gt;"",$BI186*BC186,0),BC186*$BI186),BC186*$BI186),0)</f>
        <v>0</v>
      </c>
      <c r="DG186" s="5">
        <f>IF($BI186&lt;&gt;"",IF('Capacity summary'!$C$14="Yes",IF(COUNTBLANK('Capacity summary'!$H98:$BG98)&lt;52,IF('Capacity summary'!BD98&lt;&gt;"",$BI186*BD186,0),BD186*$BI186),BD186*$BI186),0)</f>
        <v>0</v>
      </c>
      <c r="DH186" s="5">
        <f>IF($BI186&lt;&gt;"",IF('Capacity summary'!$C$14="Yes",IF(COUNTBLANK('Capacity summary'!$H98:$BG98)&lt;52,IF('Capacity summary'!BE98&lt;&gt;"",$BI186*BE186,0),BE186*$BI186),BE186*$BI186),0)</f>
        <v>0</v>
      </c>
      <c r="DI186" s="5">
        <f>IF($BI186&lt;&gt;"",IF('Capacity summary'!$C$14="Yes",IF(COUNTBLANK('Capacity summary'!$H98:$BG98)&lt;52,IF('Capacity summary'!BF98&lt;&gt;"",$BI186*BF186,0),BF186*$BI186),BF186*$BI186),0)</f>
        <v>0</v>
      </c>
      <c r="DJ186" s="5">
        <f>IF($BI186&lt;&gt;"",IF('Capacity summary'!$C$14="Yes",IF(COUNTBLANK('Capacity summary'!$H98:$BG98)&lt;52,IF('Capacity summary'!BG98&lt;&gt;"",$BI186*BG186,0),BG186*$BI186),BG186*$BI186),0)</f>
        <v>0</v>
      </c>
      <c r="DK186" s="138">
        <f t="shared" si="7"/>
        <v>0</v>
      </c>
    </row>
    <row r="187" spans="3:115" x14ac:dyDescent="0.2">
      <c r="C187" s="68" t="str">
        <f>ROW(A76)&amp;". "&amp;Capacity!N92</f>
        <v xml:space="preserve">76. </v>
      </c>
      <c r="D187" s="68">
        <f>'Capacity setup'!C193</f>
        <v>0</v>
      </c>
      <c r="E187" s="68">
        <f>'Capacity setup'!D193</f>
        <v>0</v>
      </c>
      <c r="F187" s="68">
        <f>'Capacity setup'!E193</f>
        <v>0</v>
      </c>
      <c r="H187" s="68">
        <f ca="1">IF(AND(SUMIF(Capacity_Resource,$D187,'Critical resources (hide)'!U$6:U$105)+SUMIF(Capacity_Resource,$E187,'Critical resources (hide)'!U$6:U$105)+SUMIF(Capacity_Resource,$F187,'Critical resources (hide)'!U$6:U$105)&gt;0,$E$1=2),0,1)</f>
        <v>1</v>
      </c>
      <c r="I187" s="68">
        <f ca="1">IF(AND(SUMIF(Capacity_Resource,$D187,'Critical resources (hide)'!V$6:V$105)+SUMIF(Capacity_Resource,$E187,'Critical resources (hide)'!V$6:V$105)+SUMIF(Capacity_Resource,$F187,'Critical resources (hide)'!V$6:V$105)&gt;0,$E$1=2),0,1)</f>
        <v>1</v>
      </c>
      <c r="J187" s="68">
        <f ca="1">IF(AND(SUMIF(Capacity_Resource,$D187,'Critical resources (hide)'!W$6:W$105)+SUMIF(Capacity_Resource,$E187,'Critical resources (hide)'!W$6:W$105)+SUMIF(Capacity_Resource,$F187,'Critical resources (hide)'!W$6:W$105)&gt;0,$E$1=2),0,1)</f>
        <v>1</v>
      </c>
      <c r="K187" s="68">
        <f ca="1">IF(AND(SUMIF(Capacity_Resource,$D187,'Critical resources (hide)'!X$6:X$105)+SUMIF(Capacity_Resource,$E187,'Critical resources (hide)'!X$6:X$105)+SUMIF(Capacity_Resource,$F187,'Critical resources (hide)'!X$6:X$105)&gt;0,$E$1=2),0,1)</f>
        <v>1</v>
      </c>
      <c r="L187" s="68">
        <f ca="1">IF(AND(SUMIF(Capacity_Resource,$D187,'Critical resources (hide)'!Y$6:Y$105)+SUMIF(Capacity_Resource,$E187,'Critical resources (hide)'!Y$6:Y$105)+SUMIF(Capacity_Resource,$F187,'Critical resources (hide)'!Y$6:Y$105)&gt;0,$E$1=2),0,1)</f>
        <v>1</v>
      </c>
      <c r="M187" s="68">
        <f ca="1">IF(AND(SUMIF(Capacity_Resource,$D187,'Critical resources (hide)'!Z$6:Z$105)+SUMIF(Capacity_Resource,$E187,'Critical resources (hide)'!Z$6:Z$105)+SUMIF(Capacity_Resource,$F187,'Critical resources (hide)'!Z$6:Z$105)&gt;0,$E$1=2),0,1)</f>
        <v>1</v>
      </c>
      <c r="N187" s="68">
        <f ca="1">IF(AND(SUMIF(Capacity_Resource,$D187,'Critical resources (hide)'!AA$6:AA$105)+SUMIF(Capacity_Resource,$E187,'Critical resources (hide)'!AA$6:AA$105)+SUMIF(Capacity_Resource,$F187,'Critical resources (hide)'!AA$6:AA$105)&gt;0,$E$1=2),0,1)</f>
        <v>1</v>
      </c>
      <c r="O187" s="68">
        <f ca="1">IF(AND(SUMIF(Capacity_Resource,$D187,'Critical resources (hide)'!AB$6:AB$105)+SUMIF(Capacity_Resource,$E187,'Critical resources (hide)'!AB$6:AB$105)+SUMIF(Capacity_Resource,$F187,'Critical resources (hide)'!AB$6:AB$105)&gt;0,$E$1=2),0,1)</f>
        <v>1</v>
      </c>
      <c r="P187" s="68">
        <f ca="1">IF(AND(SUMIF(Capacity_Resource,$D187,'Critical resources (hide)'!AC$6:AC$105)+SUMIF(Capacity_Resource,$E187,'Critical resources (hide)'!AC$6:AC$105)+SUMIF(Capacity_Resource,$F187,'Critical resources (hide)'!AC$6:AC$105)&gt;0,$E$1=2),0,1)</f>
        <v>1</v>
      </c>
      <c r="Q187" s="68">
        <f ca="1">IF(AND(SUMIF(Capacity_Resource,$D187,'Critical resources (hide)'!AD$6:AD$105)+SUMIF(Capacity_Resource,$E187,'Critical resources (hide)'!AD$6:AD$105)+SUMIF(Capacity_Resource,$F187,'Critical resources (hide)'!AD$6:AD$105)&gt;0,$E$1=2),0,1)</f>
        <v>1</v>
      </c>
      <c r="R187" s="68">
        <f ca="1">IF(AND(SUMIF(Capacity_Resource,$D187,'Critical resources (hide)'!AE$6:AE$105)+SUMIF(Capacity_Resource,$E187,'Critical resources (hide)'!AE$6:AE$105)+SUMIF(Capacity_Resource,$F187,'Critical resources (hide)'!AE$6:AE$105)&gt;0,$E$1=2),0,1)</f>
        <v>1</v>
      </c>
      <c r="S187" s="68">
        <f ca="1">IF(AND(SUMIF(Capacity_Resource,$D187,'Critical resources (hide)'!AF$6:AF$105)+SUMIF(Capacity_Resource,$E187,'Critical resources (hide)'!AF$6:AF$105)+SUMIF(Capacity_Resource,$F187,'Critical resources (hide)'!AF$6:AF$105)&gt;0,$E$1=2),0,1)</f>
        <v>1</v>
      </c>
      <c r="T187" s="68">
        <f ca="1">IF(AND(SUMIF(Capacity_Resource,$D187,'Critical resources (hide)'!AG$6:AG$105)+SUMIF(Capacity_Resource,$E187,'Critical resources (hide)'!AG$6:AG$105)+SUMIF(Capacity_Resource,$F187,'Critical resources (hide)'!AG$6:AG$105)&gt;0,$E$1=2),0,1)</f>
        <v>1</v>
      </c>
      <c r="U187" s="68">
        <f ca="1">IF(AND(SUMIF(Capacity_Resource,$D187,'Critical resources (hide)'!AH$6:AH$105)+SUMIF(Capacity_Resource,$E187,'Critical resources (hide)'!AH$6:AH$105)+SUMIF(Capacity_Resource,$F187,'Critical resources (hide)'!AH$6:AH$105)&gt;0,$E$1=2),0,1)</f>
        <v>1</v>
      </c>
      <c r="V187" s="68">
        <f ca="1">IF(AND(SUMIF(Capacity_Resource,$D187,'Critical resources (hide)'!AI$6:AI$105)+SUMIF(Capacity_Resource,$E187,'Critical resources (hide)'!AI$6:AI$105)+SUMIF(Capacity_Resource,$F187,'Critical resources (hide)'!AI$6:AI$105)&gt;0,$E$1=2),0,1)</f>
        <v>1</v>
      </c>
      <c r="W187" s="68">
        <f ca="1">IF(AND(SUMIF(Capacity_Resource,$D187,'Critical resources (hide)'!AJ$6:AJ$105)+SUMIF(Capacity_Resource,$E187,'Critical resources (hide)'!AJ$6:AJ$105)+SUMIF(Capacity_Resource,$F187,'Critical resources (hide)'!AJ$6:AJ$105)&gt;0,$E$1=2),0,1)</f>
        <v>1</v>
      </c>
      <c r="X187" s="68">
        <f ca="1">IF(AND(SUMIF(Capacity_Resource,$D187,'Critical resources (hide)'!AK$6:AK$105)+SUMIF(Capacity_Resource,$E187,'Critical resources (hide)'!AK$6:AK$105)+SUMIF(Capacity_Resource,$F187,'Critical resources (hide)'!AK$6:AK$105)&gt;0,$E$1=2),0,1)</f>
        <v>1</v>
      </c>
      <c r="Y187" s="68">
        <f ca="1">IF(AND(SUMIF(Capacity_Resource,$D187,'Critical resources (hide)'!AL$6:AL$105)+SUMIF(Capacity_Resource,$E187,'Critical resources (hide)'!AL$6:AL$105)+SUMIF(Capacity_Resource,$F187,'Critical resources (hide)'!AL$6:AL$105)&gt;0,$E$1=2),0,1)</f>
        <v>1</v>
      </c>
      <c r="Z187" s="68">
        <f ca="1">IF(AND(SUMIF(Capacity_Resource,$D187,'Critical resources (hide)'!AM$6:AM$105)+SUMIF(Capacity_Resource,$E187,'Critical resources (hide)'!AM$6:AM$105)+SUMIF(Capacity_Resource,$F187,'Critical resources (hide)'!AM$6:AM$105)&gt;0,$E$1=2),0,1)</f>
        <v>1</v>
      </c>
      <c r="AA187" s="68">
        <f ca="1">IF(AND(SUMIF(Capacity_Resource,$D187,'Critical resources (hide)'!AN$6:AN$105)+SUMIF(Capacity_Resource,$E187,'Critical resources (hide)'!AN$6:AN$105)+SUMIF(Capacity_Resource,$F187,'Critical resources (hide)'!AN$6:AN$105)&gt;0,$E$1=2),0,1)</f>
        <v>1</v>
      </c>
      <c r="AB187" s="68">
        <f ca="1">IF(AND(SUMIF(Capacity_Resource,$D187,'Critical resources (hide)'!AO$6:AO$105)+SUMIF(Capacity_Resource,$E187,'Critical resources (hide)'!AO$6:AO$105)+SUMIF(Capacity_Resource,$F187,'Critical resources (hide)'!AO$6:AO$105)&gt;0,$E$1=2),0,1)</f>
        <v>1</v>
      </c>
      <c r="AC187" s="68">
        <f ca="1">IF(AND(SUMIF(Capacity_Resource,$D187,'Critical resources (hide)'!AP$6:AP$105)+SUMIF(Capacity_Resource,$E187,'Critical resources (hide)'!AP$6:AP$105)+SUMIF(Capacity_Resource,$F187,'Critical resources (hide)'!AP$6:AP$105)&gt;0,$E$1=2),0,1)</f>
        <v>1</v>
      </c>
      <c r="AD187" s="68">
        <f ca="1">IF(AND(SUMIF(Capacity_Resource,$D187,'Critical resources (hide)'!AQ$6:AQ$105)+SUMIF(Capacity_Resource,$E187,'Critical resources (hide)'!AQ$6:AQ$105)+SUMIF(Capacity_Resource,$F187,'Critical resources (hide)'!AQ$6:AQ$105)&gt;0,$E$1=2),0,1)</f>
        <v>1</v>
      </c>
      <c r="AE187" s="68">
        <f ca="1">IF(AND(SUMIF(Capacity_Resource,$D187,'Critical resources (hide)'!AR$6:AR$105)+SUMIF(Capacity_Resource,$E187,'Critical resources (hide)'!AR$6:AR$105)+SUMIF(Capacity_Resource,$F187,'Critical resources (hide)'!AR$6:AR$105)&gt;0,$E$1=2),0,1)</f>
        <v>1</v>
      </c>
      <c r="AF187" s="68">
        <f ca="1">IF(AND(SUMIF(Capacity_Resource,$D187,'Critical resources (hide)'!AS$6:AS$105)+SUMIF(Capacity_Resource,$E187,'Critical resources (hide)'!AS$6:AS$105)+SUMIF(Capacity_Resource,$F187,'Critical resources (hide)'!AS$6:AS$105)&gt;0,$E$1=2),0,1)</f>
        <v>1</v>
      </c>
      <c r="AG187" s="68">
        <f ca="1">IF(AND(SUMIF(Capacity_Resource,$D187,'Critical resources (hide)'!AT$6:AT$105)+SUMIF(Capacity_Resource,$E187,'Critical resources (hide)'!AT$6:AT$105)+SUMIF(Capacity_Resource,$F187,'Critical resources (hide)'!AT$6:AT$105)&gt;0,$E$1=2),0,1)</f>
        <v>1</v>
      </c>
      <c r="AH187" s="68">
        <f ca="1">IF(AND(SUMIF(Capacity_Resource,$D187,'Critical resources (hide)'!AU$6:AU$105)+SUMIF(Capacity_Resource,$E187,'Critical resources (hide)'!AU$6:AU$105)+SUMIF(Capacity_Resource,$F187,'Critical resources (hide)'!AU$6:AU$105)&gt;0,$E$1=2),0,1)</f>
        <v>1</v>
      </c>
      <c r="AI187" s="68">
        <f ca="1">IF(AND(SUMIF(Capacity_Resource,$D187,'Critical resources (hide)'!AV$6:AV$105)+SUMIF(Capacity_Resource,$E187,'Critical resources (hide)'!AV$6:AV$105)+SUMIF(Capacity_Resource,$F187,'Critical resources (hide)'!AV$6:AV$105)&gt;0,$E$1=2),0,1)</f>
        <v>1</v>
      </c>
      <c r="AJ187" s="68">
        <f ca="1">IF(AND(SUMIF(Capacity_Resource,$D187,'Critical resources (hide)'!AW$6:AW$105)+SUMIF(Capacity_Resource,$E187,'Critical resources (hide)'!AW$6:AW$105)+SUMIF(Capacity_Resource,$F187,'Critical resources (hide)'!AW$6:AW$105)&gt;0,$E$1=2),0,1)</f>
        <v>1</v>
      </c>
      <c r="AK187" s="68">
        <f ca="1">IF(AND(SUMIF(Capacity_Resource,$D187,'Critical resources (hide)'!AX$6:AX$105)+SUMIF(Capacity_Resource,$E187,'Critical resources (hide)'!AX$6:AX$105)+SUMIF(Capacity_Resource,$F187,'Critical resources (hide)'!AX$6:AX$105)&gt;0,$E$1=2),0,1)</f>
        <v>1</v>
      </c>
      <c r="AL187" s="68">
        <f ca="1">IF(AND(SUMIF(Capacity_Resource,$D187,'Critical resources (hide)'!AY$6:AY$105)+SUMIF(Capacity_Resource,$E187,'Critical resources (hide)'!AY$6:AY$105)+SUMIF(Capacity_Resource,$F187,'Critical resources (hide)'!AY$6:AY$105)&gt;0,$E$1=2),0,1)</f>
        <v>1</v>
      </c>
      <c r="AM187" s="68">
        <f ca="1">IF(AND(SUMIF(Capacity_Resource,$D187,'Critical resources (hide)'!AZ$6:AZ$105)+SUMIF(Capacity_Resource,$E187,'Critical resources (hide)'!AZ$6:AZ$105)+SUMIF(Capacity_Resource,$F187,'Critical resources (hide)'!AZ$6:AZ$105)&gt;0,$E$1=2),0,1)</f>
        <v>1</v>
      </c>
      <c r="AN187" s="68">
        <f ca="1">IF(AND(SUMIF(Capacity_Resource,$D187,'Critical resources (hide)'!BA$6:BA$105)+SUMIF(Capacity_Resource,$E187,'Critical resources (hide)'!BA$6:BA$105)+SUMIF(Capacity_Resource,$F187,'Critical resources (hide)'!BA$6:BA$105)&gt;0,$E$1=2),0,1)</f>
        <v>1</v>
      </c>
      <c r="AO187" s="68">
        <f ca="1">IF(AND(SUMIF(Capacity_Resource,$D187,'Critical resources (hide)'!BB$6:BB$105)+SUMIF(Capacity_Resource,$E187,'Critical resources (hide)'!BB$6:BB$105)+SUMIF(Capacity_Resource,$F187,'Critical resources (hide)'!BB$6:BB$105)&gt;0,$E$1=2),0,1)</f>
        <v>1</v>
      </c>
      <c r="AP187" s="68">
        <f ca="1">IF(AND(SUMIF(Capacity_Resource,$D187,'Critical resources (hide)'!BC$6:BC$105)+SUMIF(Capacity_Resource,$E187,'Critical resources (hide)'!BC$6:BC$105)+SUMIF(Capacity_Resource,$F187,'Critical resources (hide)'!BC$6:BC$105)&gt;0,$E$1=2),0,1)</f>
        <v>1</v>
      </c>
      <c r="AQ187" s="68">
        <f ca="1">IF(AND(SUMIF(Capacity_Resource,$D187,'Critical resources (hide)'!BD$6:BD$105)+SUMIF(Capacity_Resource,$E187,'Critical resources (hide)'!BD$6:BD$105)+SUMIF(Capacity_Resource,$F187,'Critical resources (hide)'!BD$6:BD$105)&gt;0,$E$1=2),0,1)</f>
        <v>1</v>
      </c>
      <c r="AR187" s="68">
        <f ca="1">IF(AND(SUMIF(Capacity_Resource,$D187,'Critical resources (hide)'!BE$6:BE$105)+SUMIF(Capacity_Resource,$E187,'Critical resources (hide)'!BE$6:BE$105)+SUMIF(Capacity_Resource,$F187,'Critical resources (hide)'!BE$6:BE$105)&gt;0,$E$1=2),0,1)</f>
        <v>1</v>
      </c>
      <c r="AS187" s="68">
        <f ca="1">IF(AND(SUMIF(Capacity_Resource,$D187,'Critical resources (hide)'!BF$6:BF$105)+SUMIF(Capacity_Resource,$E187,'Critical resources (hide)'!BF$6:BF$105)+SUMIF(Capacity_Resource,$F187,'Critical resources (hide)'!BF$6:BF$105)&gt;0,$E$1=2),0,1)</f>
        <v>1</v>
      </c>
      <c r="AT187" s="68">
        <f ca="1">IF(AND(SUMIF(Capacity_Resource,$D187,'Critical resources (hide)'!BG$6:BG$105)+SUMIF(Capacity_Resource,$E187,'Critical resources (hide)'!BG$6:BG$105)+SUMIF(Capacity_Resource,$F187,'Critical resources (hide)'!BG$6:BG$105)&gt;0,$E$1=2),0,1)</f>
        <v>1</v>
      </c>
      <c r="AU187" s="68">
        <f ca="1">IF(AND(SUMIF(Capacity_Resource,$D187,'Critical resources (hide)'!BH$6:BH$105)+SUMIF(Capacity_Resource,$E187,'Critical resources (hide)'!BH$6:BH$105)+SUMIF(Capacity_Resource,$F187,'Critical resources (hide)'!BH$6:BH$105)&gt;0,$E$1=2),0,1)</f>
        <v>1</v>
      </c>
      <c r="AV187" s="68">
        <f ca="1">IF(AND(SUMIF(Capacity_Resource,$D187,'Critical resources (hide)'!BI$6:BI$105)+SUMIF(Capacity_Resource,$E187,'Critical resources (hide)'!BI$6:BI$105)+SUMIF(Capacity_Resource,$F187,'Critical resources (hide)'!BI$6:BI$105)&gt;0,$E$1=2),0,1)</f>
        <v>1</v>
      </c>
      <c r="AW187" s="68">
        <f ca="1">IF(AND(SUMIF(Capacity_Resource,$D187,'Critical resources (hide)'!BJ$6:BJ$105)+SUMIF(Capacity_Resource,$E187,'Critical resources (hide)'!BJ$6:BJ$105)+SUMIF(Capacity_Resource,$F187,'Critical resources (hide)'!BJ$6:BJ$105)&gt;0,$E$1=2),0,1)</f>
        <v>1</v>
      </c>
      <c r="AX187" s="68">
        <f ca="1">IF(AND(SUMIF(Capacity_Resource,$D187,'Critical resources (hide)'!BK$6:BK$105)+SUMIF(Capacity_Resource,$E187,'Critical resources (hide)'!BK$6:BK$105)+SUMIF(Capacity_Resource,$F187,'Critical resources (hide)'!BK$6:BK$105)&gt;0,$E$1=2),0,1)</f>
        <v>1</v>
      </c>
      <c r="AY187" s="68">
        <f ca="1">IF(AND(SUMIF(Capacity_Resource,$D187,'Critical resources (hide)'!BL$6:BL$105)+SUMIF(Capacity_Resource,$E187,'Critical resources (hide)'!BL$6:BL$105)+SUMIF(Capacity_Resource,$F187,'Critical resources (hide)'!BL$6:BL$105)&gt;0,$E$1=2),0,1)</f>
        <v>1</v>
      </c>
      <c r="AZ187" s="68">
        <f ca="1">IF(AND(SUMIF(Capacity_Resource,$D187,'Critical resources (hide)'!BM$6:BM$105)+SUMIF(Capacity_Resource,$E187,'Critical resources (hide)'!BM$6:BM$105)+SUMIF(Capacity_Resource,$F187,'Critical resources (hide)'!BM$6:BM$105)&gt;0,$E$1=2),0,1)</f>
        <v>1</v>
      </c>
      <c r="BA187" s="68">
        <f ca="1">IF(AND(SUMIF(Capacity_Resource,$D187,'Critical resources (hide)'!BN$6:BN$105)+SUMIF(Capacity_Resource,$E187,'Critical resources (hide)'!BN$6:BN$105)+SUMIF(Capacity_Resource,$F187,'Critical resources (hide)'!BN$6:BN$105)&gt;0,$E$1=2),0,1)</f>
        <v>1</v>
      </c>
      <c r="BB187" s="68">
        <f ca="1">IF(AND(SUMIF(Capacity_Resource,$D187,'Critical resources (hide)'!BO$6:BO$105)+SUMIF(Capacity_Resource,$E187,'Critical resources (hide)'!BO$6:BO$105)+SUMIF(Capacity_Resource,$F187,'Critical resources (hide)'!BO$6:BO$105)&gt;0,$E$1=2),0,1)</f>
        <v>1</v>
      </c>
      <c r="BC187" s="68">
        <f ca="1">IF(AND(SUMIF(Capacity_Resource,$D187,'Critical resources (hide)'!BP$6:BP$105)+SUMIF(Capacity_Resource,$E187,'Critical resources (hide)'!BP$6:BP$105)+SUMIF(Capacity_Resource,$F187,'Critical resources (hide)'!BP$6:BP$105)&gt;0,$E$1=2),0,1)</f>
        <v>1</v>
      </c>
      <c r="BD187" s="68">
        <f ca="1">IF(AND(SUMIF(Capacity_Resource,$D187,'Critical resources (hide)'!BQ$6:BQ$105)+SUMIF(Capacity_Resource,$E187,'Critical resources (hide)'!BQ$6:BQ$105)+SUMIF(Capacity_Resource,$F187,'Critical resources (hide)'!BQ$6:BQ$105)&gt;0,$E$1=2),0,1)</f>
        <v>1</v>
      </c>
      <c r="BE187" s="68">
        <f ca="1">IF(AND(SUMIF(Capacity_Resource,$D187,'Critical resources (hide)'!BR$6:BR$105)+SUMIF(Capacity_Resource,$E187,'Critical resources (hide)'!BR$6:BR$105)+SUMIF(Capacity_Resource,$F187,'Critical resources (hide)'!BR$6:BR$105)&gt;0,$E$1=2),0,1)</f>
        <v>1</v>
      </c>
      <c r="BF187" s="68">
        <f ca="1">IF(AND(SUMIF(Capacity_Resource,$D187,'Critical resources (hide)'!BS$6:BS$105)+SUMIF(Capacity_Resource,$E187,'Critical resources (hide)'!BS$6:BS$105)+SUMIF(Capacity_Resource,$F187,'Critical resources (hide)'!BS$6:BS$105)&gt;0,$E$1=2),0,1)</f>
        <v>1</v>
      </c>
      <c r="BG187" s="68">
        <f ca="1">IF(AND(SUMIF(Capacity_Resource,$D187,'Critical resources (hide)'!BT$6:BT$105)+SUMIF(Capacity_Resource,$E187,'Critical resources (hide)'!BT$6:BT$105)+SUMIF(Capacity_Resource,$F187,'Critical resources (hide)'!BT$6:BT$105)&gt;0,$E$1=2),0,1)</f>
        <v>1</v>
      </c>
      <c r="BH187" s="68">
        <f>IF(ROW(A76)&lt;=Capacity!$M$16,IF('Capacity summary'!$C$14="No",SUM(H187:BG187),'Capacity summary'!$E99),0)</f>
        <v>0</v>
      </c>
      <c r="BI187" s="68" t="str">
        <f>IF(BH187&gt;0,IF(BH187&lt;Capacity!Q92,Capacity!R92,Capacity!T92/'Capacity calculation (hide)'!BH187),"")</f>
        <v/>
      </c>
      <c r="BJ187" s="5"/>
      <c r="BK187" s="5">
        <f>IF($BI187&lt;&gt;"",IF('Capacity summary'!$C$14="Yes",IF(COUNTBLANK('Capacity summary'!$H99:$BG99)&lt;52,IF('Capacity summary'!H99&lt;&gt;"",$BI187*H187,0),H187*$BI187),H187*$BI187),0)</f>
        <v>0</v>
      </c>
      <c r="BL187" s="5">
        <f>IF($BI187&lt;&gt;"",IF('Capacity summary'!$C$14="Yes",IF(COUNTBLANK('Capacity summary'!$H99:$BG99)&lt;52,IF('Capacity summary'!I99&lt;&gt;"",$BI187*I187,0),I187*$BI187),I187*$BI187),0)</f>
        <v>0</v>
      </c>
      <c r="BM187" s="5">
        <f>IF($BI187&lt;&gt;"",IF('Capacity summary'!$C$14="Yes",IF(COUNTBLANK('Capacity summary'!$H99:$BG99)&lt;52,IF('Capacity summary'!J99&lt;&gt;"",$BI187*J187,0),J187*$BI187),J187*$BI187),0)</f>
        <v>0</v>
      </c>
      <c r="BN187" s="5">
        <f>IF($BI187&lt;&gt;"",IF('Capacity summary'!$C$14="Yes",IF(COUNTBLANK('Capacity summary'!$H99:$BG99)&lt;52,IF('Capacity summary'!K99&lt;&gt;"",$BI187*K187,0),K187*$BI187),K187*$BI187),0)</f>
        <v>0</v>
      </c>
      <c r="BO187" s="5">
        <f>IF($BI187&lt;&gt;"",IF('Capacity summary'!$C$14="Yes",IF(COUNTBLANK('Capacity summary'!$H99:$BG99)&lt;52,IF('Capacity summary'!L99&lt;&gt;"",$BI187*L187,0),L187*$BI187),L187*$BI187),0)</f>
        <v>0</v>
      </c>
      <c r="BP187" s="5">
        <f>IF($BI187&lt;&gt;"",IF('Capacity summary'!$C$14="Yes",IF(COUNTBLANK('Capacity summary'!$H99:$BG99)&lt;52,IF('Capacity summary'!M99&lt;&gt;"",$BI187*M187,0),M187*$BI187),M187*$BI187),0)</f>
        <v>0</v>
      </c>
      <c r="BQ187" s="5">
        <f>IF($BI187&lt;&gt;"",IF('Capacity summary'!$C$14="Yes",IF(COUNTBLANK('Capacity summary'!$H99:$BG99)&lt;52,IF('Capacity summary'!N99&lt;&gt;"",$BI187*N187,0),N187*$BI187),N187*$BI187),0)</f>
        <v>0</v>
      </c>
      <c r="BR187" s="5">
        <f>IF($BI187&lt;&gt;"",IF('Capacity summary'!$C$14="Yes",IF(COUNTBLANK('Capacity summary'!$H99:$BG99)&lt;52,IF('Capacity summary'!O99&lt;&gt;"",$BI187*O187,0),O187*$BI187),O187*$BI187),0)</f>
        <v>0</v>
      </c>
      <c r="BS187" s="5">
        <f>IF($BI187&lt;&gt;"",IF('Capacity summary'!$C$14="Yes",IF(COUNTBLANK('Capacity summary'!$H99:$BG99)&lt;52,IF('Capacity summary'!P99&lt;&gt;"",$BI187*P187,0),P187*$BI187),P187*$BI187),0)</f>
        <v>0</v>
      </c>
      <c r="BT187" s="5">
        <f>IF($BI187&lt;&gt;"",IF('Capacity summary'!$C$14="Yes",IF(COUNTBLANK('Capacity summary'!$H99:$BG99)&lt;52,IF('Capacity summary'!Q99&lt;&gt;"",$BI187*Q187,0),Q187*$BI187),Q187*$BI187),0)</f>
        <v>0</v>
      </c>
      <c r="BU187" s="5">
        <f>IF($BI187&lt;&gt;"",IF('Capacity summary'!$C$14="Yes",IF(COUNTBLANK('Capacity summary'!$H99:$BG99)&lt;52,IF('Capacity summary'!R99&lt;&gt;"",$BI187*R187,0),R187*$BI187),R187*$BI187),0)</f>
        <v>0</v>
      </c>
      <c r="BV187" s="5">
        <f>IF($BI187&lt;&gt;"",IF('Capacity summary'!$C$14="Yes",IF(COUNTBLANK('Capacity summary'!$H99:$BG99)&lt;52,IF('Capacity summary'!S99&lt;&gt;"",$BI187*S187,0),S187*$BI187),S187*$BI187),0)</f>
        <v>0</v>
      </c>
      <c r="BW187" s="5">
        <f>IF($BI187&lt;&gt;"",IF('Capacity summary'!$C$14="Yes",IF(COUNTBLANK('Capacity summary'!$H99:$BG99)&lt;52,IF('Capacity summary'!T99&lt;&gt;"",$BI187*T187,0),T187*$BI187),T187*$BI187),0)</f>
        <v>0</v>
      </c>
      <c r="BX187" s="5">
        <f>IF($BI187&lt;&gt;"",IF('Capacity summary'!$C$14="Yes",IF(COUNTBLANK('Capacity summary'!$H99:$BG99)&lt;52,IF('Capacity summary'!U99&lt;&gt;"",$BI187*U187,0),U187*$BI187),U187*$BI187),0)</f>
        <v>0</v>
      </c>
      <c r="BY187" s="5">
        <f>IF($BI187&lt;&gt;"",IF('Capacity summary'!$C$14="Yes",IF(COUNTBLANK('Capacity summary'!$H99:$BG99)&lt;52,IF('Capacity summary'!V99&lt;&gt;"",$BI187*V187,0),V187*$BI187),V187*$BI187),0)</f>
        <v>0</v>
      </c>
      <c r="BZ187" s="5">
        <f>IF($BI187&lt;&gt;"",IF('Capacity summary'!$C$14="Yes",IF(COUNTBLANK('Capacity summary'!$H99:$BG99)&lt;52,IF('Capacity summary'!W99&lt;&gt;"",$BI187*W187,0),W187*$BI187),W187*$BI187),0)</f>
        <v>0</v>
      </c>
      <c r="CA187" s="5">
        <f>IF($BI187&lt;&gt;"",IF('Capacity summary'!$C$14="Yes",IF(COUNTBLANK('Capacity summary'!$H99:$BG99)&lt;52,IF('Capacity summary'!X99&lt;&gt;"",$BI187*X187,0),X187*$BI187),X187*$BI187),0)</f>
        <v>0</v>
      </c>
      <c r="CB187" s="5">
        <f>IF($BI187&lt;&gt;"",IF('Capacity summary'!$C$14="Yes",IF(COUNTBLANK('Capacity summary'!$H99:$BG99)&lt;52,IF('Capacity summary'!Y99&lt;&gt;"",$BI187*Y187,0),Y187*$BI187),Y187*$BI187),0)</f>
        <v>0</v>
      </c>
      <c r="CC187" s="5">
        <f>IF($BI187&lt;&gt;"",IF('Capacity summary'!$C$14="Yes",IF(COUNTBLANK('Capacity summary'!$H99:$BG99)&lt;52,IF('Capacity summary'!Z99&lt;&gt;"",$BI187*Z187,0),Z187*$BI187),Z187*$BI187),0)</f>
        <v>0</v>
      </c>
      <c r="CD187" s="5">
        <f>IF($BI187&lt;&gt;"",IF('Capacity summary'!$C$14="Yes",IF(COUNTBLANK('Capacity summary'!$H99:$BG99)&lt;52,IF('Capacity summary'!AA99&lt;&gt;"",$BI187*AA187,0),AA187*$BI187),AA187*$BI187),0)</f>
        <v>0</v>
      </c>
      <c r="CE187" s="5">
        <f>IF($BI187&lt;&gt;"",IF('Capacity summary'!$C$14="Yes",IF(COUNTBLANK('Capacity summary'!$H99:$BG99)&lt;52,IF('Capacity summary'!AB99&lt;&gt;"",$BI187*AB187,0),AB187*$BI187),AB187*$BI187),0)</f>
        <v>0</v>
      </c>
      <c r="CF187" s="5">
        <f>IF($BI187&lt;&gt;"",IF('Capacity summary'!$C$14="Yes",IF(COUNTBLANK('Capacity summary'!$H99:$BG99)&lt;52,IF('Capacity summary'!AC99&lt;&gt;"",$BI187*AC187,0),AC187*$BI187),AC187*$BI187),0)</f>
        <v>0</v>
      </c>
      <c r="CG187" s="5">
        <f>IF($BI187&lt;&gt;"",IF('Capacity summary'!$C$14="Yes",IF(COUNTBLANK('Capacity summary'!$H99:$BG99)&lt;52,IF('Capacity summary'!AD99&lt;&gt;"",$BI187*AD187,0),AD187*$BI187),AD187*$BI187),0)</f>
        <v>0</v>
      </c>
      <c r="CH187" s="5">
        <f>IF($BI187&lt;&gt;"",IF('Capacity summary'!$C$14="Yes",IF(COUNTBLANK('Capacity summary'!$H99:$BG99)&lt;52,IF('Capacity summary'!AE99&lt;&gt;"",$BI187*AE187,0),AE187*$BI187),AE187*$BI187),0)</f>
        <v>0</v>
      </c>
      <c r="CI187" s="5">
        <f>IF($BI187&lt;&gt;"",IF('Capacity summary'!$C$14="Yes",IF(COUNTBLANK('Capacity summary'!$H99:$BG99)&lt;52,IF('Capacity summary'!AF99&lt;&gt;"",$BI187*AF187,0),AF187*$BI187),AF187*$BI187),0)</f>
        <v>0</v>
      </c>
      <c r="CJ187" s="5">
        <f>IF($BI187&lt;&gt;"",IF('Capacity summary'!$C$14="Yes",IF(COUNTBLANK('Capacity summary'!$H99:$BG99)&lt;52,IF('Capacity summary'!AG99&lt;&gt;"",$BI187*AG187,0),AG187*$BI187),AG187*$BI187),0)</f>
        <v>0</v>
      </c>
      <c r="CK187" s="5">
        <f>IF($BI187&lt;&gt;"",IF('Capacity summary'!$C$14="Yes",IF(COUNTBLANK('Capacity summary'!$H99:$BG99)&lt;52,IF('Capacity summary'!AH99&lt;&gt;"",$BI187*AH187,0),AH187*$BI187),AH187*$BI187),0)</f>
        <v>0</v>
      </c>
      <c r="CL187" s="5">
        <f>IF($BI187&lt;&gt;"",IF('Capacity summary'!$C$14="Yes",IF(COUNTBLANK('Capacity summary'!$H99:$BG99)&lt;52,IF('Capacity summary'!AI99&lt;&gt;"",$BI187*AI187,0),AI187*$BI187),AI187*$BI187),0)</f>
        <v>0</v>
      </c>
      <c r="CM187" s="5">
        <f>IF($BI187&lt;&gt;"",IF('Capacity summary'!$C$14="Yes",IF(COUNTBLANK('Capacity summary'!$H99:$BG99)&lt;52,IF('Capacity summary'!AJ99&lt;&gt;"",$BI187*AJ187,0),AJ187*$BI187),AJ187*$BI187),0)</f>
        <v>0</v>
      </c>
      <c r="CN187" s="5">
        <f>IF($BI187&lt;&gt;"",IF('Capacity summary'!$C$14="Yes",IF(COUNTBLANK('Capacity summary'!$H99:$BG99)&lt;52,IF('Capacity summary'!AK99&lt;&gt;"",$BI187*AK187,0),AK187*$BI187),AK187*$BI187),0)</f>
        <v>0</v>
      </c>
      <c r="CO187" s="5">
        <f>IF($BI187&lt;&gt;"",IF('Capacity summary'!$C$14="Yes",IF(COUNTBLANK('Capacity summary'!$H99:$BG99)&lt;52,IF('Capacity summary'!AL99&lt;&gt;"",$BI187*AL187,0),AL187*$BI187),AL187*$BI187),0)</f>
        <v>0</v>
      </c>
      <c r="CP187" s="5">
        <f>IF($BI187&lt;&gt;"",IF('Capacity summary'!$C$14="Yes",IF(COUNTBLANK('Capacity summary'!$H99:$BG99)&lt;52,IF('Capacity summary'!AM99&lt;&gt;"",$BI187*AM187,0),AM187*$BI187),AM187*$BI187),0)</f>
        <v>0</v>
      </c>
      <c r="CQ187" s="5">
        <f>IF($BI187&lt;&gt;"",IF('Capacity summary'!$C$14="Yes",IF(COUNTBLANK('Capacity summary'!$H99:$BG99)&lt;52,IF('Capacity summary'!AN99&lt;&gt;"",$BI187*AN187,0),AN187*$BI187),AN187*$BI187),0)</f>
        <v>0</v>
      </c>
      <c r="CR187" s="5">
        <f>IF($BI187&lt;&gt;"",IF('Capacity summary'!$C$14="Yes",IF(COUNTBLANK('Capacity summary'!$H99:$BG99)&lt;52,IF('Capacity summary'!AO99&lt;&gt;"",$BI187*AO187,0),AO187*$BI187),AO187*$BI187),0)</f>
        <v>0</v>
      </c>
      <c r="CS187" s="5">
        <f>IF($BI187&lt;&gt;"",IF('Capacity summary'!$C$14="Yes",IF(COUNTBLANK('Capacity summary'!$H99:$BG99)&lt;52,IF('Capacity summary'!AP99&lt;&gt;"",$BI187*AP187,0),AP187*$BI187),AP187*$BI187),0)</f>
        <v>0</v>
      </c>
      <c r="CT187" s="5">
        <f>IF($BI187&lt;&gt;"",IF('Capacity summary'!$C$14="Yes",IF(COUNTBLANK('Capacity summary'!$H99:$BG99)&lt;52,IF('Capacity summary'!AQ99&lt;&gt;"",$BI187*AQ187,0),AQ187*$BI187),AQ187*$BI187),0)</f>
        <v>0</v>
      </c>
      <c r="CU187" s="5">
        <f>IF($BI187&lt;&gt;"",IF('Capacity summary'!$C$14="Yes",IF(COUNTBLANK('Capacity summary'!$H99:$BG99)&lt;52,IF('Capacity summary'!AR99&lt;&gt;"",$BI187*AR187,0),AR187*$BI187),AR187*$BI187),0)</f>
        <v>0</v>
      </c>
      <c r="CV187" s="5">
        <f>IF($BI187&lt;&gt;"",IF('Capacity summary'!$C$14="Yes",IF(COUNTBLANK('Capacity summary'!$H99:$BG99)&lt;52,IF('Capacity summary'!AS99&lt;&gt;"",$BI187*AS187,0),AS187*$BI187),AS187*$BI187),0)</f>
        <v>0</v>
      </c>
      <c r="CW187" s="5">
        <f>IF($BI187&lt;&gt;"",IF('Capacity summary'!$C$14="Yes",IF(COUNTBLANK('Capacity summary'!$H99:$BG99)&lt;52,IF('Capacity summary'!AT99&lt;&gt;"",$BI187*AT187,0),AT187*$BI187),AT187*$BI187),0)</f>
        <v>0</v>
      </c>
      <c r="CX187" s="5">
        <f>IF($BI187&lt;&gt;"",IF('Capacity summary'!$C$14="Yes",IF(COUNTBLANK('Capacity summary'!$H99:$BG99)&lt;52,IF('Capacity summary'!AU99&lt;&gt;"",$BI187*AU187,0),AU187*$BI187),AU187*$BI187),0)</f>
        <v>0</v>
      </c>
      <c r="CY187" s="5">
        <f>IF($BI187&lt;&gt;"",IF('Capacity summary'!$C$14="Yes",IF(COUNTBLANK('Capacity summary'!$H99:$BG99)&lt;52,IF('Capacity summary'!AV99&lt;&gt;"",$BI187*AV187,0),AV187*$BI187),AV187*$BI187),0)</f>
        <v>0</v>
      </c>
      <c r="CZ187" s="5">
        <f>IF($BI187&lt;&gt;"",IF('Capacity summary'!$C$14="Yes",IF(COUNTBLANK('Capacity summary'!$H99:$BG99)&lt;52,IF('Capacity summary'!AW99&lt;&gt;"",$BI187*AW187,0),AW187*$BI187),AW187*$BI187),0)</f>
        <v>0</v>
      </c>
      <c r="DA187" s="5">
        <f>IF($BI187&lt;&gt;"",IF('Capacity summary'!$C$14="Yes",IF(COUNTBLANK('Capacity summary'!$H99:$BG99)&lt;52,IF('Capacity summary'!AX99&lt;&gt;"",$BI187*AX187,0),AX187*$BI187),AX187*$BI187),0)</f>
        <v>0</v>
      </c>
      <c r="DB187" s="5">
        <f>IF($BI187&lt;&gt;"",IF('Capacity summary'!$C$14="Yes",IF(COUNTBLANK('Capacity summary'!$H99:$BG99)&lt;52,IF('Capacity summary'!AY99&lt;&gt;"",$BI187*AY187,0),AY187*$BI187),AY187*$BI187),0)</f>
        <v>0</v>
      </c>
      <c r="DC187" s="5">
        <f>IF($BI187&lt;&gt;"",IF('Capacity summary'!$C$14="Yes",IF(COUNTBLANK('Capacity summary'!$H99:$BG99)&lt;52,IF('Capacity summary'!AZ99&lt;&gt;"",$BI187*AZ187,0),AZ187*$BI187),AZ187*$BI187),0)</f>
        <v>0</v>
      </c>
      <c r="DD187" s="5">
        <f>IF($BI187&lt;&gt;"",IF('Capacity summary'!$C$14="Yes",IF(COUNTBLANK('Capacity summary'!$H99:$BG99)&lt;52,IF('Capacity summary'!BA99&lt;&gt;"",$BI187*BA187,0),BA187*$BI187),BA187*$BI187),0)</f>
        <v>0</v>
      </c>
      <c r="DE187" s="5">
        <f>IF($BI187&lt;&gt;"",IF('Capacity summary'!$C$14="Yes",IF(COUNTBLANK('Capacity summary'!$H99:$BG99)&lt;52,IF('Capacity summary'!BB99&lt;&gt;"",$BI187*BB187,0),BB187*$BI187),BB187*$BI187),0)</f>
        <v>0</v>
      </c>
      <c r="DF187" s="5">
        <f>IF($BI187&lt;&gt;"",IF('Capacity summary'!$C$14="Yes",IF(COUNTBLANK('Capacity summary'!$H99:$BG99)&lt;52,IF('Capacity summary'!BC99&lt;&gt;"",$BI187*BC187,0),BC187*$BI187),BC187*$BI187),0)</f>
        <v>0</v>
      </c>
      <c r="DG187" s="5">
        <f>IF($BI187&lt;&gt;"",IF('Capacity summary'!$C$14="Yes",IF(COUNTBLANK('Capacity summary'!$H99:$BG99)&lt;52,IF('Capacity summary'!BD99&lt;&gt;"",$BI187*BD187,0),BD187*$BI187),BD187*$BI187),0)</f>
        <v>0</v>
      </c>
      <c r="DH187" s="5">
        <f>IF($BI187&lt;&gt;"",IF('Capacity summary'!$C$14="Yes",IF(COUNTBLANK('Capacity summary'!$H99:$BG99)&lt;52,IF('Capacity summary'!BE99&lt;&gt;"",$BI187*BE187,0),BE187*$BI187),BE187*$BI187),0)</f>
        <v>0</v>
      </c>
      <c r="DI187" s="5">
        <f>IF($BI187&lt;&gt;"",IF('Capacity summary'!$C$14="Yes",IF(COUNTBLANK('Capacity summary'!$H99:$BG99)&lt;52,IF('Capacity summary'!BF99&lt;&gt;"",$BI187*BF187,0),BF187*$BI187),BF187*$BI187),0)</f>
        <v>0</v>
      </c>
      <c r="DJ187" s="5">
        <f>IF($BI187&lt;&gt;"",IF('Capacity summary'!$C$14="Yes",IF(COUNTBLANK('Capacity summary'!$H99:$BG99)&lt;52,IF('Capacity summary'!BG99&lt;&gt;"",$BI187*BG187,0),BG187*$BI187),BG187*$BI187),0)</f>
        <v>0</v>
      </c>
      <c r="DK187" s="138">
        <f t="shared" si="7"/>
        <v>0</v>
      </c>
    </row>
    <row r="188" spans="3:115" x14ac:dyDescent="0.2">
      <c r="C188" s="68" t="str">
        <f>ROW(A77)&amp;". "&amp;Capacity!N93</f>
        <v xml:space="preserve">77. </v>
      </c>
      <c r="D188" s="68">
        <f>'Capacity setup'!C194</f>
        <v>0</v>
      </c>
      <c r="E188" s="68">
        <f>'Capacity setup'!D194</f>
        <v>0</v>
      </c>
      <c r="F188" s="68">
        <f>'Capacity setup'!E194</f>
        <v>0</v>
      </c>
      <c r="H188" s="68">
        <f ca="1">IF(AND(SUMIF(Capacity_Resource,$D188,'Critical resources (hide)'!U$6:U$105)+SUMIF(Capacity_Resource,$E188,'Critical resources (hide)'!U$6:U$105)+SUMIF(Capacity_Resource,$F188,'Critical resources (hide)'!U$6:U$105)&gt;0,$E$1=2),0,1)</f>
        <v>1</v>
      </c>
      <c r="I188" s="68">
        <f ca="1">IF(AND(SUMIF(Capacity_Resource,$D188,'Critical resources (hide)'!V$6:V$105)+SUMIF(Capacity_Resource,$E188,'Critical resources (hide)'!V$6:V$105)+SUMIF(Capacity_Resource,$F188,'Critical resources (hide)'!V$6:V$105)&gt;0,$E$1=2),0,1)</f>
        <v>1</v>
      </c>
      <c r="J188" s="68">
        <f ca="1">IF(AND(SUMIF(Capacity_Resource,$D188,'Critical resources (hide)'!W$6:W$105)+SUMIF(Capacity_Resource,$E188,'Critical resources (hide)'!W$6:W$105)+SUMIF(Capacity_Resource,$F188,'Critical resources (hide)'!W$6:W$105)&gt;0,$E$1=2),0,1)</f>
        <v>1</v>
      </c>
      <c r="K188" s="68">
        <f ca="1">IF(AND(SUMIF(Capacity_Resource,$D188,'Critical resources (hide)'!X$6:X$105)+SUMIF(Capacity_Resource,$E188,'Critical resources (hide)'!X$6:X$105)+SUMIF(Capacity_Resource,$F188,'Critical resources (hide)'!X$6:X$105)&gt;0,$E$1=2),0,1)</f>
        <v>1</v>
      </c>
      <c r="L188" s="68">
        <f ca="1">IF(AND(SUMIF(Capacity_Resource,$D188,'Critical resources (hide)'!Y$6:Y$105)+SUMIF(Capacity_Resource,$E188,'Critical resources (hide)'!Y$6:Y$105)+SUMIF(Capacity_Resource,$F188,'Critical resources (hide)'!Y$6:Y$105)&gt;0,$E$1=2),0,1)</f>
        <v>1</v>
      </c>
      <c r="M188" s="68">
        <f ca="1">IF(AND(SUMIF(Capacity_Resource,$D188,'Critical resources (hide)'!Z$6:Z$105)+SUMIF(Capacity_Resource,$E188,'Critical resources (hide)'!Z$6:Z$105)+SUMIF(Capacity_Resource,$F188,'Critical resources (hide)'!Z$6:Z$105)&gt;0,$E$1=2),0,1)</f>
        <v>1</v>
      </c>
      <c r="N188" s="68">
        <f ca="1">IF(AND(SUMIF(Capacity_Resource,$D188,'Critical resources (hide)'!AA$6:AA$105)+SUMIF(Capacity_Resource,$E188,'Critical resources (hide)'!AA$6:AA$105)+SUMIF(Capacity_Resource,$F188,'Critical resources (hide)'!AA$6:AA$105)&gt;0,$E$1=2),0,1)</f>
        <v>1</v>
      </c>
      <c r="O188" s="68">
        <f ca="1">IF(AND(SUMIF(Capacity_Resource,$D188,'Critical resources (hide)'!AB$6:AB$105)+SUMIF(Capacity_Resource,$E188,'Critical resources (hide)'!AB$6:AB$105)+SUMIF(Capacity_Resource,$F188,'Critical resources (hide)'!AB$6:AB$105)&gt;0,$E$1=2),0,1)</f>
        <v>1</v>
      </c>
      <c r="P188" s="68">
        <f ca="1">IF(AND(SUMIF(Capacity_Resource,$D188,'Critical resources (hide)'!AC$6:AC$105)+SUMIF(Capacity_Resource,$E188,'Critical resources (hide)'!AC$6:AC$105)+SUMIF(Capacity_Resource,$F188,'Critical resources (hide)'!AC$6:AC$105)&gt;0,$E$1=2),0,1)</f>
        <v>1</v>
      </c>
      <c r="Q188" s="68">
        <f ca="1">IF(AND(SUMIF(Capacity_Resource,$D188,'Critical resources (hide)'!AD$6:AD$105)+SUMIF(Capacity_Resource,$E188,'Critical resources (hide)'!AD$6:AD$105)+SUMIF(Capacity_Resource,$F188,'Critical resources (hide)'!AD$6:AD$105)&gt;0,$E$1=2),0,1)</f>
        <v>1</v>
      </c>
      <c r="R188" s="68">
        <f ca="1">IF(AND(SUMIF(Capacity_Resource,$D188,'Critical resources (hide)'!AE$6:AE$105)+SUMIF(Capacity_Resource,$E188,'Critical resources (hide)'!AE$6:AE$105)+SUMIF(Capacity_Resource,$F188,'Critical resources (hide)'!AE$6:AE$105)&gt;0,$E$1=2),0,1)</f>
        <v>1</v>
      </c>
      <c r="S188" s="68">
        <f ca="1">IF(AND(SUMIF(Capacity_Resource,$D188,'Critical resources (hide)'!AF$6:AF$105)+SUMIF(Capacity_Resource,$E188,'Critical resources (hide)'!AF$6:AF$105)+SUMIF(Capacity_Resource,$F188,'Critical resources (hide)'!AF$6:AF$105)&gt;0,$E$1=2),0,1)</f>
        <v>1</v>
      </c>
      <c r="T188" s="68">
        <f ca="1">IF(AND(SUMIF(Capacity_Resource,$D188,'Critical resources (hide)'!AG$6:AG$105)+SUMIF(Capacity_Resource,$E188,'Critical resources (hide)'!AG$6:AG$105)+SUMIF(Capacity_Resource,$F188,'Critical resources (hide)'!AG$6:AG$105)&gt;0,$E$1=2),0,1)</f>
        <v>1</v>
      </c>
      <c r="U188" s="68">
        <f ca="1">IF(AND(SUMIF(Capacity_Resource,$D188,'Critical resources (hide)'!AH$6:AH$105)+SUMIF(Capacity_Resource,$E188,'Critical resources (hide)'!AH$6:AH$105)+SUMIF(Capacity_Resource,$F188,'Critical resources (hide)'!AH$6:AH$105)&gt;0,$E$1=2),0,1)</f>
        <v>1</v>
      </c>
      <c r="V188" s="68">
        <f ca="1">IF(AND(SUMIF(Capacity_Resource,$D188,'Critical resources (hide)'!AI$6:AI$105)+SUMIF(Capacity_Resource,$E188,'Critical resources (hide)'!AI$6:AI$105)+SUMIF(Capacity_Resource,$F188,'Critical resources (hide)'!AI$6:AI$105)&gt;0,$E$1=2),0,1)</f>
        <v>1</v>
      </c>
      <c r="W188" s="68">
        <f ca="1">IF(AND(SUMIF(Capacity_Resource,$D188,'Critical resources (hide)'!AJ$6:AJ$105)+SUMIF(Capacity_Resource,$E188,'Critical resources (hide)'!AJ$6:AJ$105)+SUMIF(Capacity_Resource,$F188,'Critical resources (hide)'!AJ$6:AJ$105)&gt;0,$E$1=2),0,1)</f>
        <v>1</v>
      </c>
      <c r="X188" s="68">
        <f ca="1">IF(AND(SUMIF(Capacity_Resource,$D188,'Critical resources (hide)'!AK$6:AK$105)+SUMIF(Capacity_Resource,$E188,'Critical resources (hide)'!AK$6:AK$105)+SUMIF(Capacity_Resource,$F188,'Critical resources (hide)'!AK$6:AK$105)&gt;0,$E$1=2),0,1)</f>
        <v>1</v>
      </c>
      <c r="Y188" s="68">
        <f ca="1">IF(AND(SUMIF(Capacity_Resource,$D188,'Critical resources (hide)'!AL$6:AL$105)+SUMIF(Capacity_Resource,$E188,'Critical resources (hide)'!AL$6:AL$105)+SUMIF(Capacity_Resource,$F188,'Critical resources (hide)'!AL$6:AL$105)&gt;0,$E$1=2),0,1)</f>
        <v>1</v>
      </c>
      <c r="Z188" s="68">
        <f ca="1">IF(AND(SUMIF(Capacity_Resource,$D188,'Critical resources (hide)'!AM$6:AM$105)+SUMIF(Capacity_Resource,$E188,'Critical resources (hide)'!AM$6:AM$105)+SUMIF(Capacity_Resource,$F188,'Critical resources (hide)'!AM$6:AM$105)&gt;0,$E$1=2),0,1)</f>
        <v>1</v>
      </c>
      <c r="AA188" s="68">
        <f ca="1">IF(AND(SUMIF(Capacity_Resource,$D188,'Critical resources (hide)'!AN$6:AN$105)+SUMIF(Capacity_Resource,$E188,'Critical resources (hide)'!AN$6:AN$105)+SUMIF(Capacity_Resource,$F188,'Critical resources (hide)'!AN$6:AN$105)&gt;0,$E$1=2),0,1)</f>
        <v>1</v>
      </c>
      <c r="AB188" s="68">
        <f ca="1">IF(AND(SUMIF(Capacity_Resource,$D188,'Critical resources (hide)'!AO$6:AO$105)+SUMIF(Capacity_Resource,$E188,'Critical resources (hide)'!AO$6:AO$105)+SUMIF(Capacity_Resource,$F188,'Critical resources (hide)'!AO$6:AO$105)&gt;0,$E$1=2),0,1)</f>
        <v>1</v>
      </c>
      <c r="AC188" s="68">
        <f ca="1">IF(AND(SUMIF(Capacity_Resource,$D188,'Critical resources (hide)'!AP$6:AP$105)+SUMIF(Capacity_Resource,$E188,'Critical resources (hide)'!AP$6:AP$105)+SUMIF(Capacity_Resource,$F188,'Critical resources (hide)'!AP$6:AP$105)&gt;0,$E$1=2),0,1)</f>
        <v>1</v>
      </c>
      <c r="AD188" s="68">
        <f ca="1">IF(AND(SUMIF(Capacity_Resource,$D188,'Critical resources (hide)'!AQ$6:AQ$105)+SUMIF(Capacity_Resource,$E188,'Critical resources (hide)'!AQ$6:AQ$105)+SUMIF(Capacity_Resource,$F188,'Critical resources (hide)'!AQ$6:AQ$105)&gt;0,$E$1=2),0,1)</f>
        <v>1</v>
      </c>
      <c r="AE188" s="68">
        <f ca="1">IF(AND(SUMIF(Capacity_Resource,$D188,'Critical resources (hide)'!AR$6:AR$105)+SUMIF(Capacity_Resource,$E188,'Critical resources (hide)'!AR$6:AR$105)+SUMIF(Capacity_Resource,$F188,'Critical resources (hide)'!AR$6:AR$105)&gt;0,$E$1=2),0,1)</f>
        <v>1</v>
      </c>
      <c r="AF188" s="68">
        <f ca="1">IF(AND(SUMIF(Capacity_Resource,$D188,'Critical resources (hide)'!AS$6:AS$105)+SUMIF(Capacity_Resource,$E188,'Critical resources (hide)'!AS$6:AS$105)+SUMIF(Capacity_Resource,$F188,'Critical resources (hide)'!AS$6:AS$105)&gt;0,$E$1=2),0,1)</f>
        <v>1</v>
      </c>
      <c r="AG188" s="68">
        <f ca="1">IF(AND(SUMIF(Capacity_Resource,$D188,'Critical resources (hide)'!AT$6:AT$105)+SUMIF(Capacity_Resource,$E188,'Critical resources (hide)'!AT$6:AT$105)+SUMIF(Capacity_Resource,$F188,'Critical resources (hide)'!AT$6:AT$105)&gt;0,$E$1=2),0,1)</f>
        <v>1</v>
      </c>
      <c r="AH188" s="68">
        <f ca="1">IF(AND(SUMIF(Capacity_Resource,$D188,'Critical resources (hide)'!AU$6:AU$105)+SUMIF(Capacity_Resource,$E188,'Critical resources (hide)'!AU$6:AU$105)+SUMIF(Capacity_Resource,$F188,'Critical resources (hide)'!AU$6:AU$105)&gt;0,$E$1=2),0,1)</f>
        <v>1</v>
      </c>
      <c r="AI188" s="68">
        <f ca="1">IF(AND(SUMIF(Capacity_Resource,$D188,'Critical resources (hide)'!AV$6:AV$105)+SUMIF(Capacity_Resource,$E188,'Critical resources (hide)'!AV$6:AV$105)+SUMIF(Capacity_Resource,$F188,'Critical resources (hide)'!AV$6:AV$105)&gt;0,$E$1=2),0,1)</f>
        <v>1</v>
      </c>
      <c r="AJ188" s="68">
        <f ca="1">IF(AND(SUMIF(Capacity_Resource,$D188,'Critical resources (hide)'!AW$6:AW$105)+SUMIF(Capacity_Resource,$E188,'Critical resources (hide)'!AW$6:AW$105)+SUMIF(Capacity_Resource,$F188,'Critical resources (hide)'!AW$6:AW$105)&gt;0,$E$1=2),0,1)</f>
        <v>1</v>
      </c>
      <c r="AK188" s="68">
        <f ca="1">IF(AND(SUMIF(Capacity_Resource,$D188,'Critical resources (hide)'!AX$6:AX$105)+SUMIF(Capacity_Resource,$E188,'Critical resources (hide)'!AX$6:AX$105)+SUMIF(Capacity_Resource,$F188,'Critical resources (hide)'!AX$6:AX$105)&gt;0,$E$1=2),0,1)</f>
        <v>1</v>
      </c>
      <c r="AL188" s="68">
        <f ca="1">IF(AND(SUMIF(Capacity_Resource,$D188,'Critical resources (hide)'!AY$6:AY$105)+SUMIF(Capacity_Resource,$E188,'Critical resources (hide)'!AY$6:AY$105)+SUMIF(Capacity_Resource,$F188,'Critical resources (hide)'!AY$6:AY$105)&gt;0,$E$1=2),0,1)</f>
        <v>1</v>
      </c>
      <c r="AM188" s="68">
        <f ca="1">IF(AND(SUMIF(Capacity_Resource,$D188,'Critical resources (hide)'!AZ$6:AZ$105)+SUMIF(Capacity_Resource,$E188,'Critical resources (hide)'!AZ$6:AZ$105)+SUMIF(Capacity_Resource,$F188,'Critical resources (hide)'!AZ$6:AZ$105)&gt;0,$E$1=2),0,1)</f>
        <v>1</v>
      </c>
      <c r="AN188" s="68">
        <f ca="1">IF(AND(SUMIF(Capacity_Resource,$D188,'Critical resources (hide)'!BA$6:BA$105)+SUMIF(Capacity_Resource,$E188,'Critical resources (hide)'!BA$6:BA$105)+SUMIF(Capacity_Resource,$F188,'Critical resources (hide)'!BA$6:BA$105)&gt;0,$E$1=2),0,1)</f>
        <v>1</v>
      </c>
      <c r="AO188" s="68">
        <f ca="1">IF(AND(SUMIF(Capacity_Resource,$D188,'Critical resources (hide)'!BB$6:BB$105)+SUMIF(Capacity_Resource,$E188,'Critical resources (hide)'!BB$6:BB$105)+SUMIF(Capacity_Resource,$F188,'Critical resources (hide)'!BB$6:BB$105)&gt;0,$E$1=2),0,1)</f>
        <v>1</v>
      </c>
      <c r="AP188" s="68">
        <f ca="1">IF(AND(SUMIF(Capacity_Resource,$D188,'Critical resources (hide)'!BC$6:BC$105)+SUMIF(Capacity_Resource,$E188,'Critical resources (hide)'!BC$6:BC$105)+SUMIF(Capacity_Resource,$F188,'Critical resources (hide)'!BC$6:BC$105)&gt;0,$E$1=2),0,1)</f>
        <v>1</v>
      </c>
      <c r="AQ188" s="68">
        <f ca="1">IF(AND(SUMIF(Capacity_Resource,$D188,'Critical resources (hide)'!BD$6:BD$105)+SUMIF(Capacity_Resource,$E188,'Critical resources (hide)'!BD$6:BD$105)+SUMIF(Capacity_Resource,$F188,'Critical resources (hide)'!BD$6:BD$105)&gt;0,$E$1=2),0,1)</f>
        <v>1</v>
      </c>
      <c r="AR188" s="68">
        <f ca="1">IF(AND(SUMIF(Capacity_Resource,$D188,'Critical resources (hide)'!BE$6:BE$105)+SUMIF(Capacity_Resource,$E188,'Critical resources (hide)'!BE$6:BE$105)+SUMIF(Capacity_Resource,$F188,'Critical resources (hide)'!BE$6:BE$105)&gt;0,$E$1=2),0,1)</f>
        <v>1</v>
      </c>
      <c r="AS188" s="68">
        <f ca="1">IF(AND(SUMIF(Capacity_Resource,$D188,'Critical resources (hide)'!BF$6:BF$105)+SUMIF(Capacity_Resource,$E188,'Critical resources (hide)'!BF$6:BF$105)+SUMIF(Capacity_Resource,$F188,'Critical resources (hide)'!BF$6:BF$105)&gt;0,$E$1=2),0,1)</f>
        <v>1</v>
      </c>
      <c r="AT188" s="68">
        <f ca="1">IF(AND(SUMIF(Capacity_Resource,$D188,'Critical resources (hide)'!BG$6:BG$105)+SUMIF(Capacity_Resource,$E188,'Critical resources (hide)'!BG$6:BG$105)+SUMIF(Capacity_Resource,$F188,'Critical resources (hide)'!BG$6:BG$105)&gt;0,$E$1=2),0,1)</f>
        <v>1</v>
      </c>
      <c r="AU188" s="68">
        <f ca="1">IF(AND(SUMIF(Capacity_Resource,$D188,'Critical resources (hide)'!BH$6:BH$105)+SUMIF(Capacity_Resource,$E188,'Critical resources (hide)'!BH$6:BH$105)+SUMIF(Capacity_Resource,$F188,'Critical resources (hide)'!BH$6:BH$105)&gt;0,$E$1=2),0,1)</f>
        <v>1</v>
      </c>
      <c r="AV188" s="68">
        <f ca="1">IF(AND(SUMIF(Capacity_Resource,$D188,'Critical resources (hide)'!BI$6:BI$105)+SUMIF(Capacity_Resource,$E188,'Critical resources (hide)'!BI$6:BI$105)+SUMIF(Capacity_Resource,$F188,'Critical resources (hide)'!BI$6:BI$105)&gt;0,$E$1=2),0,1)</f>
        <v>1</v>
      </c>
      <c r="AW188" s="68">
        <f ca="1">IF(AND(SUMIF(Capacity_Resource,$D188,'Critical resources (hide)'!BJ$6:BJ$105)+SUMIF(Capacity_Resource,$E188,'Critical resources (hide)'!BJ$6:BJ$105)+SUMIF(Capacity_Resource,$F188,'Critical resources (hide)'!BJ$6:BJ$105)&gt;0,$E$1=2),0,1)</f>
        <v>1</v>
      </c>
      <c r="AX188" s="68">
        <f ca="1">IF(AND(SUMIF(Capacity_Resource,$D188,'Critical resources (hide)'!BK$6:BK$105)+SUMIF(Capacity_Resource,$E188,'Critical resources (hide)'!BK$6:BK$105)+SUMIF(Capacity_Resource,$F188,'Critical resources (hide)'!BK$6:BK$105)&gt;0,$E$1=2),0,1)</f>
        <v>1</v>
      </c>
      <c r="AY188" s="68">
        <f ca="1">IF(AND(SUMIF(Capacity_Resource,$D188,'Critical resources (hide)'!BL$6:BL$105)+SUMIF(Capacity_Resource,$E188,'Critical resources (hide)'!BL$6:BL$105)+SUMIF(Capacity_Resource,$F188,'Critical resources (hide)'!BL$6:BL$105)&gt;0,$E$1=2),0,1)</f>
        <v>1</v>
      </c>
      <c r="AZ188" s="68">
        <f ca="1">IF(AND(SUMIF(Capacity_Resource,$D188,'Critical resources (hide)'!BM$6:BM$105)+SUMIF(Capacity_Resource,$E188,'Critical resources (hide)'!BM$6:BM$105)+SUMIF(Capacity_Resource,$F188,'Critical resources (hide)'!BM$6:BM$105)&gt;0,$E$1=2),0,1)</f>
        <v>1</v>
      </c>
      <c r="BA188" s="68">
        <f ca="1">IF(AND(SUMIF(Capacity_Resource,$D188,'Critical resources (hide)'!BN$6:BN$105)+SUMIF(Capacity_Resource,$E188,'Critical resources (hide)'!BN$6:BN$105)+SUMIF(Capacity_Resource,$F188,'Critical resources (hide)'!BN$6:BN$105)&gt;0,$E$1=2),0,1)</f>
        <v>1</v>
      </c>
      <c r="BB188" s="68">
        <f ca="1">IF(AND(SUMIF(Capacity_Resource,$D188,'Critical resources (hide)'!BO$6:BO$105)+SUMIF(Capacity_Resource,$E188,'Critical resources (hide)'!BO$6:BO$105)+SUMIF(Capacity_Resource,$F188,'Critical resources (hide)'!BO$6:BO$105)&gt;0,$E$1=2),0,1)</f>
        <v>1</v>
      </c>
      <c r="BC188" s="68">
        <f ca="1">IF(AND(SUMIF(Capacity_Resource,$D188,'Critical resources (hide)'!BP$6:BP$105)+SUMIF(Capacity_Resource,$E188,'Critical resources (hide)'!BP$6:BP$105)+SUMIF(Capacity_Resource,$F188,'Critical resources (hide)'!BP$6:BP$105)&gt;0,$E$1=2),0,1)</f>
        <v>1</v>
      </c>
      <c r="BD188" s="68">
        <f ca="1">IF(AND(SUMIF(Capacity_Resource,$D188,'Critical resources (hide)'!BQ$6:BQ$105)+SUMIF(Capacity_Resource,$E188,'Critical resources (hide)'!BQ$6:BQ$105)+SUMIF(Capacity_Resource,$F188,'Critical resources (hide)'!BQ$6:BQ$105)&gt;0,$E$1=2),0,1)</f>
        <v>1</v>
      </c>
      <c r="BE188" s="68">
        <f ca="1">IF(AND(SUMIF(Capacity_Resource,$D188,'Critical resources (hide)'!BR$6:BR$105)+SUMIF(Capacity_Resource,$E188,'Critical resources (hide)'!BR$6:BR$105)+SUMIF(Capacity_Resource,$F188,'Critical resources (hide)'!BR$6:BR$105)&gt;0,$E$1=2),0,1)</f>
        <v>1</v>
      </c>
      <c r="BF188" s="68">
        <f ca="1">IF(AND(SUMIF(Capacity_Resource,$D188,'Critical resources (hide)'!BS$6:BS$105)+SUMIF(Capacity_Resource,$E188,'Critical resources (hide)'!BS$6:BS$105)+SUMIF(Capacity_Resource,$F188,'Critical resources (hide)'!BS$6:BS$105)&gt;0,$E$1=2),0,1)</f>
        <v>1</v>
      </c>
      <c r="BG188" s="68">
        <f ca="1">IF(AND(SUMIF(Capacity_Resource,$D188,'Critical resources (hide)'!BT$6:BT$105)+SUMIF(Capacity_Resource,$E188,'Critical resources (hide)'!BT$6:BT$105)+SUMIF(Capacity_Resource,$F188,'Critical resources (hide)'!BT$6:BT$105)&gt;0,$E$1=2),0,1)</f>
        <v>1</v>
      </c>
      <c r="BH188" s="68">
        <f>IF(ROW(A77)&lt;=Capacity!$M$16,IF('Capacity summary'!$C$14="No",SUM(H188:BG188),'Capacity summary'!$E100),0)</f>
        <v>0</v>
      </c>
      <c r="BI188" s="68" t="str">
        <f>IF(BH188&gt;0,IF(BH188&lt;Capacity!Q93,Capacity!R93,Capacity!T93/'Capacity calculation (hide)'!BH188),"")</f>
        <v/>
      </c>
      <c r="BJ188" s="5"/>
      <c r="BK188" s="5">
        <f>IF($BI188&lt;&gt;"",IF('Capacity summary'!$C$14="Yes",IF(COUNTBLANK('Capacity summary'!$H100:$BG100)&lt;52,IF('Capacity summary'!H100&lt;&gt;"",$BI188*H188,0),H188*$BI188),H188*$BI188),0)</f>
        <v>0</v>
      </c>
      <c r="BL188" s="5">
        <f>IF($BI188&lt;&gt;"",IF('Capacity summary'!$C$14="Yes",IF(COUNTBLANK('Capacity summary'!$H100:$BG100)&lt;52,IF('Capacity summary'!I100&lt;&gt;"",$BI188*I188,0),I188*$BI188),I188*$BI188),0)</f>
        <v>0</v>
      </c>
      <c r="BM188" s="5">
        <f>IF($BI188&lt;&gt;"",IF('Capacity summary'!$C$14="Yes",IF(COUNTBLANK('Capacity summary'!$H100:$BG100)&lt;52,IF('Capacity summary'!J100&lt;&gt;"",$BI188*J188,0),J188*$BI188),J188*$BI188),0)</f>
        <v>0</v>
      </c>
      <c r="BN188" s="5">
        <f>IF($BI188&lt;&gt;"",IF('Capacity summary'!$C$14="Yes",IF(COUNTBLANK('Capacity summary'!$H100:$BG100)&lt;52,IF('Capacity summary'!K100&lt;&gt;"",$BI188*K188,0),K188*$BI188),K188*$BI188),0)</f>
        <v>0</v>
      </c>
      <c r="BO188" s="5">
        <f>IF($BI188&lt;&gt;"",IF('Capacity summary'!$C$14="Yes",IF(COUNTBLANK('Capacity summary'!$H100:$BG100)&lt;52,IF('Capacity summary'!L100&lt;&gt;"",$BI188*L188,0),L188*$BI188),L188*$BI188),0)</f>
        <v>0</v>
      </c>
      <c r="BP188" s="5">
        <f>IF($BI188&lt;&gt;"",IF('Capacity summary'!$C$14="Yes",IF(COUNTBLANK('Capacity summary'!$H100:$BG100)&lt;52,IF('Capacity summary'!M100&lt;&gt;"",$BI188*M188,0),M188*$BI188),M188*$BI188),0)</f>
        <v>0</v>
      </c>
      <c r="BQ188" s="5">
        <f>IF($BI188&lt;&gt;"",IF('Capacity summary'!$C$14="Yes",IF(COUNTBLANK('Capacity summary'!$H100:$BG100)&lt;52,IF('Capacity summary'!N100&lt;&gt;"",$BI188*N188,0),N188*$BI188),N188*$BI188),0)</f>
        <v>0</v>
      </c>
      <c r="BR188" s="5">
        <f>IF($BI188&lt;&gt;"",IF('Capacity summary'!$C$14="Yes",IF(COUNTBLANK('Capacity summary'!$H100:$BG100)&lt;52,IF('Capacity summary'!O100&lt;&gt;"",$BI188*O188,0),O188*$BI188),O188*$BI188),0)</f>
        <v>0</v>
      </c>
      <c r="BS188" s="5">
        <f>IF($BI188&lt;&gt;"",IF('Capacity summary'!$C$14="Yes",IF(COUNTBLANK('Capacity summary'!$H100:$BG100)&lt;52,IF('Capacity summary'!P100&lt;&gt;"",$BI188*P188,0),P188*$BI188),P188*$BI188),0)</f>
        <v>0</v>
      </c>
      <c r="BT188" s="5">
        <f>IF($BI188&lt;&gt;"",IF('Capacity summary'!$C$14="Yes",IF(COUNTBLANK('Capacity summary'!$H100:$BG100)&lt;52,IF('Capacity summary'!Q100&lt;&gt;"",$BI188*Q188,0),Q188*$BI188),Q188*$BI188),0)</f>
        <v>0</v>
      </c>
      <c r="BU188" s="5">
        <f>IF($BI188&lt;&gt;"",IF('Capacity summary'!$C$14="Yes",IF(COUNTBLANK('Capacity summary'!$H100:$BG100)&lt;52,IF('Capacity summary'!R100&lt;&gt;"",$BI188*R188,0),R188*$BI188),R188*$BI188),0)</f>
        <v>0</v>
      </c>
      <c r="BV188" s="5">
        <f>IF($BI188&lt;&gt;"",IF('Capacity summary'!$C$14="Yes",IF(COUNTBLANK('Capacity summary'!$H100:$BG100)&lt;52,IF('Capacity summary'!S100&lt;&gt;"",$BI188*S188,0),S188*$BI188),S188*$BI188),0)</f>
        <v>0</v>
      </c>
      <c r="BW188" s="5">
        <f>IF($BI188&lt;&gt;"",IF('Capacity summary'!$C$14="Yes",IF(COUNTBLANK('Capacity summary'!$H100:$BG100)&lt;52,IF('Capacity summary'!T100&lt;&gt;"",$BI188*T188,0),T188*$BI188),T188*$BI188),0)</f>
        <v>0</v>
      </c>
      <c r="BX188" s="5">
        <f>IF($BI188&lt;&gt;"",IF('Capacity summary'!$C$14="Yes",IF(COUNTBLANK('Capacity summary'!$H100:$BG100)&lt;52,IF('Capacity summary'!U100&lt;&gt;"",$BI188*U188,0),U188*$BI188),U188*$BI188),0)</f>
        <v>0</v>
      </c>
      <c r="BY188" s="5">
        <f>IF($BI188&lt;&gt;"",IF('Capacity summary'!$C$14="Yes",IF(COUNTBLANK('Capacity summary'!$H100:$BG100)&lt;52,IF('Capacity summary'!V100&lt;&gt;"",$BI188*V188,0),V188*$BI188),V188*$BI188),0)</f>
        <v>0</v>
      </c>
      <c r="BZ188" s="5">
        <f>IF($BI188&lt;&gt;"",IF('Capacity summary'!$C$14="Yes",IF(COUNTBLANK('Capacity summary'!$H100:$BG100)&lt;52,IF('Capacity summary'!W100&lt;&gt;"",$BI188*W188,0),W188*$BI188),W188*$BI188),0)</f>
        <v>0</v>
      </c>
      <c r="CA188" s="5">
        <f>IF($BI188&lt;&gt;"",IF('Capacity summary'!$C$14="Yes",IF(COUNTBLANK('Capacity summary'!$H100:$BG100)&lt;52,IF('Capacity summary'!X100&lt;&gt;"",$BI188*X188,0),X188*$BI188),X188*$BI188),0)</f>
        <v>0</v>
      </c>
      <c r="CB188" s="5">
        <f>IF($BI188&lt;&gt;"",IF('Capacity summary'!$C$14="Yes",IF(COUNTBLANK('Capacity summary'!$H100:$BG100)&lt;52,IF('Capacity summary'!Y100&lt;&gt;"",$BI188*Y188,0),Y188*$BI188),Y188*$BI188),0)</f>
        <v>0</v>
      </c>
      <c r="CC188" s="5">
        <f>IF($BI188&lt;&gt;"",IF('Capacity summary'!$C$14="Yes",IF(COUNTBLANK('Capacity summary'!$H100:$BG100)&lt;52,IF('Capacity summary'!Z100&lt;&gt;"",$BI188*Z188,0),Z188*$BI188),Z188*$BI188),0)</f>
        <v>0</v>
      </c>
      <c r="CD188" s="5">
        <f>IF($BI188&lt;&gt;"",IF('Capacity summary'!$C$14="Yes",IF(COUNTBLANK('Capacity summary'!$H100:$BG100)&lt;52,IF('Capacity summary'!AA100&lt;&gt;"",$BI188*AA188,0),AA188*$BI188),AA188*$BI188),0)</f>
        <v>0</v>
      </c>
      <c r="CE188" s="5">
        <f>IF($BI188&lt;&gt;"",IF('Capacity summary'!$C$14="Yes",IF(COUNTBLANK('Capacity summary'!$H100:$BG100)&lt;52,IF('Capacity summary'!AB100&lt;&gt;"",$BI188*AB188,0),AB188*$BI188),AB188*$BI188),0)</f>
        <v>0</v>
      </c>
      <c r="CF188" s="5">
        <f>IF($BI188&lt;&gt;"",IF('Capacity summary'!$C$14="Yes",IF(COUNTBLANK('Capacity summary'!$H100:$BG100)&lt;52,IF('Capacity summary'!AC100&lt;&gt;"",$BI188*AC188,0),AC188*$BI188),AC188*$BI188),0)</f>
        <v>0</v>
      </c>
      <c r="CG188" s="5">
        <f>IF($BI188&lt;&gt;"",IF('Capacity summary'!$C$14="Yes",IF(COUNTBLANK('Capacity summary'!$H100:$BG100)&lt;52,IF('Capacity summary'!AD100&lt;&gt;"",$BI188*AD188,0),AD188*$BI188),AD188*$BI188),0)</f>
        <v>0</v>
      </c>
      <c r="CH188" s="5">
        <f>IF($BI188&lt;&gt;"",IF('Capacity summary'!$C$14="Yes",IF(COUNTBLANK('Capacity summary'!$H100:$BG100)&lt;52,IF('Capacity summary'!AE100&lt;&gt;"",$BI188*AE188,0),AE188*$BI188),AE188*$BI188),0)</f>
        <v>0</v>
      </c>
      <c r="CI188" s="5">
        <f>IF($BI188&lt;&gt;"",IF('Capacity summary'!$C$14="Yes",IF(COUNTBLANK('Capacity summary'!$H100:$BG100)&lt;52,IF('Capacity summary'!AF100&lt;&gt;"",$BI188*AF188,0),AF188*$BI188),AF188*$BI188),0)</f>
        <v>0</v>
      </c>
      <c r="CJ188" s="5">
        <f>IF($BI188&lt;&gt;"",IF('Capacity summary'!$C$14="Yes",IF(COUNTBLANK('Capacity summary'!$H100:$BG100)&lt;52,IF('Capacity summary'!AG100&lt;&gt;"",$BI188*AG188,0),AG188*$BI188),AG188*$BI188),0)</f>
        <v>0</v>
      </c>
      <c r="CK188" s="5">
        <f>IF($BI188&lt;&gt;"",IF('Capacity summary'!$C$14="Yes",IF(COUNTBLANK('Capacity summary'!$H100:$BG100)&lt;52,IF('Capacity summary'!AH100&lt;&gt;"",$BI188*AH188,0),AH188*$BI188),AH188*$BI188),0)</f>
        <v>0</v>
      </c>
      <c r="CL188" s="5">
        <f>IF($BI188&lt;&gt;"",IF('Capacity summary'!$C$14="Yes",IF(COUNTBLANK('Capacity summary'!$H100:$BG100)&lt;52,IF('Capacity summary'!AI100&lt;&gt;"",$BI188*AI188,0),AI188*$BI188),AI188*$BI188),0)</f>
        <v>0</v>
      </c>
      <c r="CM188" s="5">
        <f>IF($BI188&lt;&gt;"",IF('Capacity summary'!$C$14="Yes",IF(COUNTBLANK('Capacity summary'!$H100:$BG100)&lt;52,IF('Capacity summary'!AJ100&lt;&gt;"",$BI188*AJ188,0),AJ188*$BI188),AJ188*$BI188),0)</f>
        <v>0</v>
      </c>
      <c r="CN188" s="5">
        <f>IF($BI188&lt;&gt;"",IF('Capacity summary'!$C$14="Yes",IF(COUNTBLANK('Capacity summary'!$H100:$BG100)&lt;52,IF('Capacity summary'!AK100&lt;&gt;"",$BI188*AK188,0),AK188*$BI188),AK188*$BI188),0)</f>
        <v>0</v>
      </c>
      <c r="CO188" s="5">
        <f>IF($BI188&lt;&gt;"",IF('Capacity summary'!$C$14="Yes",IF(COUNTBLANK('Capacity summary'!$H100:$BG100)&lt;52,IF('Capacity summary'!AL100&lt;&gt;"",$BI188*AL188,0),AL188*$BI188),AL188*$BI188),0)</f>
        <v>0</v>
      </c>
      <c r="CP188" s="5">
        <f>IF($BI188&lt;&gt;"",IF('Capacity summary'!$C$14="Yes",IF(COUNTBLANK('Capacity summary'!$H100:$BG100)&lt;52,IF('Capacity summary'!AM100&lt;&gt;"",$BI188*AM188,0),AM188*$BI188),AM188*$BI188),0)</f>
        <v>0</v>
      </c>
      <c r="CQ188" s="5">
        <f>IF($BI188&lt;&gt;"",IF('Capacity summary'!$C$14="Yes",IF(COUNTBLANK('Capacity summary'!$H100:$BG100)&lt;52,IF('Capacity summary'!AN100&lt;&gt;"",$BI188*AN188,0),AN188*$BI188),AN188*$BI188),0)</f>
        <v>0</v>
      </c>
      <c r="CR188" s="5">
        <f>IF($BI188&lt;&gt;"",IF('Capacity summary'!$C$14="Yes",IF(COUNTBLANK('Capacity summary'!$H100:$BG100)&lt;52,IF('Capacity summary'!AO100&lt;&gt;"",$BI188*AO188,0),AO188*$BI188),AO188*$BI188),0)</f>
        <v>0</v>
      </c>
      <c r="CS188" s="5">
        <f>IF($BI188&lt;&gt;"",IF('Capacity summary'!$C$14="Yes",IF(COUNTBLANK('Capacity summary'!$H100:$BG100)&lt;52,IF('Capacity summary'!AP100&lt;&gt;"",$BI188*AP188,0),AP188*$BI188),AP188*$BI188),0)</f>
        <v>0</v>
      </c>
      <c r="CT188" s="5">
        <f>IF($BI188&lt;&gt;"",IF('Capacity summary'!$C$14="Yes",IF(COUNTBLANK('Capacity summary'!$H100:$BG100)&lt;52,IF('Capacity summary'!AQ100&lt;&gt;"",$BI188*AQ188,0),AQ188*$BI188),AQ188*$BI188),0)</f>
        <v>0</v>
      </c>
      <c r="CU188" s="5">
        <f>IF($BI188&lt;&gt;"",IF('Capacity summary'!$C$14="Yes",IF(COUNTBLANK('Capacity summary'!$H100:$BG100)&lt;52,IF('Capacity summary'!AR100&lt;&gt;"",$BI188*AR188,0),AR188*$BI188),AR188*$BI188),0)</f>
        <v>0</v>
      </c>
      <c r="CV188" s="5">
        <f>IF($BI188&lt;&gt;"",IF('Capacity summary'!$C$14="Yes",IF(COUNTBLANK('Capacity summary'!$H100:$BG100)&lt;52,IF('Capacity summary'!AS100&lt;&gt;"",$BI188*AS188,0),AS188*$BI188),AS188*$BI188),0)</f>
        <v>0</v>
      </c>
      <c r="CW188" s="5">
        <f>IF($BI188&lt;&gt;"",IF('Capacity summary'!$C$14="Yes",IF(COUNTBLANK('Capacity summary'!$H100:$BG100)&lt;52,IF('Capacity summary'!AT100&lt;&gt;"",$BI188*AT188,0),AT188*$BI188),AT188*$BI188),0)</f>
        <v>0</v>
      </c>
      <c r="CX188" s="5">
        <f>IF($BI188&lt;&gt;"",IF('Capacity summary'!$C$14="Yes",IF(COUNTBLANK('Capacity summary'!$H100:$BG100)&lt;52,IF('Capacity summary'!AU100&lt;&gt;"",$BI188*AU188,0),AU188*$BI188),AU188*$BI188),0)</f>
        <v>0</v>
      </c>
      <c r="CY188" s="5">
        <f>IF($BI188&lt;&gt;"",IF('Capacity summary'!$C$14="Yes",IF(COUNTBLANK('Capacity summary'!$H100:$BG100)&lt;52,IF('Capacity summary'!AV100&lt;&gt;"",$BI188*AV188,0),AV188*$BI188),AV188*$BI188),0)</f>
        <v>0</v>
      </c>
      <c r="CZ188" s="5">
        <f>IF($BI188&lt;&gt;"",IF('Capacity summary'!$C$14="Yes",IF(COUNTBLANK('Capacity summary'!$H100:$BG100)&lt;52,IF('Capacity summary'!AW100&lt;&gt;"",$BI188*AW188,0),AW188*$BI188),AW188*$BI188),0)</f>
        <v>0</v>
      </c>
      <c r="DA188" s="5">
        <f>IF($BI188&lt;&gt;"",IF('Capacity summary'!$C$14="Yes",IF(COUNTBLANK('Capacity summary'!$H100:$BG100)&lt;52,IF('Capacity summary'!AX100&lt;&gt;"",$BI188*AX188,0),AX188*$BI188),AX188*$BI188),0)</f>
        <v>0</v>
      </c>
      <c r="DB188" s="5">
        <f>IF($BI188&lt;&gt;"",IF('Capacity summary'!$C$14="Yes",IF(COUNTBLANK('Capacity summary'!$H100:$BG100)&lt;52,IF('Capacity summary'!AY100&lt;&gt;"",$BI188*AY188,0),AY188*$BI188),AY188*$BI188),0)</f>
        <v>0</v>
      </c>
      <c r="DC188" s="5">
        <f>IF($BI188&lt;&gt;"",IF('Capacity summary'!$C$14="Yes",IF(COUNTBLANK('Capacity summary'!$H100:$BG100)&lt;52,IF('Capacity summary'!AZ100&lt;&gt;"",$BI188*AZ188,0),AZ188*$BI188),AZ188*$BI188),0)</f>
        <v>0</v>
      </c>
      <c r="DD188" s="5">
        <f>IF($BI188&lt;&gt;"",IF('Capacity summary'!$C$14="Yes",IF(COUNTBLANK('Capacity summary'!$H100:$BG100)&lt;52,IF('Capacity summary'!BA100&lt;&gt;"",$BI188*BA188,0),BA188*$BI188),BA188*$BI188),0)</f>
        <v>0</v>
      </c>
      <c r="DE188" s="5">
        <f>IF($BI188&lt;&gt;"",IF('Capacity summary'!$C$14="Yes",IF(COUNTBLANK('Capacity summary'!$H100:$BG100)&lt;52,IF('Capacity summary'!BB100&lt;&gt;"",$BI188*BB188,0),BB188*$BI188),BB188*$BI188),0)</f>
        <v>0</v>
      </c>
      <c r="DF188" s="5">
        <f>IF($BI188&lt;&gt;"",IF('Capacity summary'!$C$14="Yes",IF(COUNTBLANK('Capacity summary'!$H100:$BG100)&lt;52,IF('Capacity summary'!BC100&lt;&gt;"",$BI188*BC188,0),BC188*$BI188),BC188*$BI188),0)</f>
        <v>0</v>
      </c>
      <c r="DG188" s="5">
        <f>IF($BI188&lt;&gt;"",IF('Capacity summary'!$C$14="Yes",IF(COUNTBLANK('Capacity summary'!$H100:$BG100)&lt;52,IF('Capacity summary'!BD100&lt;&gt;"",$BI188*BD188,0),BD188*$BI188),BD188*$BI188),0)</f>
        <v>0</v>
      </c>
      <c r="DH188" s="5">
        <f>IF($BI188&lt;&gt;"",IF('Capacity summary'!$C$14="Yes",IF(COUNTBLANK('Capacity summary'!$H100:$BG100)&lt;52,IF('Capacity summary'!BE100&lt;&gt;"",$BI188*BE188,0),BE188*$BI188),BE188*$BI188),0)</f>
        <v>0</v>
      </c>
      <c r="DI188" s="5">
        <f>IF($BI188&lt;&gt;"",IF('Capacity summary'!$C$14="Yes",IF(COUNTBLANK('Capacity summary'!$H100:$BG100)&lt;52,IF('Capacity summary'!BF100&lt;&gt;"",$BI188*BF188,0),BF188*$BI188),BF188*$BI188),0)</f>
        <v>0</v>
      </c>
      <c r="DJ188" s="5">
        <f>IF($BI188&lt;&gt;"",IF('Capacity summary'!$C$14="Yes",IF(COUNTBLANK('Capacity summary'!$H100:$BG100)&lt;52,IF('Capacity summary'!BG100&lt;&gt;"",$BI188*BG188,0),BG188*$BI188),BG188*$BI188),0)</f>
        <v>0</v>
      </c>
      <c r="DK188" s="138">
        <f t="shared" si="7"/>
        <v>0</v>
      </c>
    </row>
    <row r="189" spans="3:115" x14ac:dyDescent="0.2">
      <c r="C189" s="68" t="str">
        <f>ROW(A78)&amp;". "&amp;Capacity!N94</f>
        <v xml:space="preserve">78. </v>
      </c>
      <c r="D189" s="68">
        <f>'Capacity setup'!C195</f>
        <v>0</v>
      </c>
      <c r="E189" s="68">
        <f>'Capacity setup'!D195</f>
        <v>0</v>
      </c>
      <c r="F189" s="68">
        <f>'Capacity setup'!E195</f>
        <v>0</v>
      </c>
      <c r="H189" s="68">
        <f ca="1">IF(AND(SUMIF(Capacity_Resource,$D189,'Critical resources (hide)'!U$6:U$105)+SUMIF(Capacity_Resource,$E189,'Critical resources (hide)'!U$6:U$105)+SUMIF(Capacity_Resource,$F189,'Critical resources (hide)'!U$6:U$105)&gt;0,$E$1=2),0,1)</f>
        <v>1</v>
      </c>
      <c r="I189" s="68">
        <f ca="1">IF(AND(SUMIF(Capacity_Resource,$D189,'Critical resources (hide)'!V$6:V$105)+SUMIF(Capacity_Resource,$E189,'Critical resources (hide)'!V$6:V$105)+SUMIF(Capacity_Resource,$F189,'Critical resources (hide)'!V$6:V$105)&gt;0,$E$1=2),0,1)</f>
        <v>1</v>
      </c>
      <c r="J189" s="68">
        <f ca="1">IF(AND(SUMIF(Capacity_Resource,$D189,'Critical resources (hide)'!W$6:W$105)+SUMIF(Capacity_Resource,$E189,'Critical resources (hide)'!W$6:W$105)+SUMIF(Capacity_Resource,$F189,'Critical resources (hide)'!W$6:W$105)&gt;0,$E$1=2),0,1)</f>
        <v>1</v>
      </c>
      <c r="K189" s="68">
        <f ca="1">IF(AND(SUMIF(Capacity_Resource,$D189,'Critical resources (hide)'!X$6:X$105)+SUMIF(Capacity_Resource,$E189,'Critical resources (hide)'!X$6:X$105)+SUMIF(Capacity_Resource,$F189,'Critical resources (hide)'!X$6:X$105)&gt;0,$E$1=2),0,1)</f>
        <v>1</v>
      </c>
      <c r="L189" s="68">
        <f ca="1">IF(AND(SUMIF(Capacity_Resource,$D189,'Critical resources (hide)'!Y$6:Y$105)+SUMIF(Capacity_Resource,$E189,'Critical resources (hide)'!Y$6:Y$105)+SUMIF(Capacity_Resource,$F189,'Critical resources (hide)'!Y$6:Y$105)&gt;0,$E$1=2),0,1)</f>
        <v>1</v>
      </c>
      <c r="M189" s="68">
        <f ca="1">IF(AND(SUMIF(Capacity_Resource,$D189,'Critical resources (hide)'!Z$6:Z$105)+SUMIF(Capacity_Resource,$E189,'Critical resources (hide)'!Z$6:Z$105)+SUMIF(Capacity_Resource,$F189,'Critical resources (hide)'!Z$6:Z$105)&gt;0,$E$1=2),0,1)</f>
        <v>1</v>
      </c>
      <c r="N189" s="68">
        <f ca="1">IF(AND(SUMIF(Capacity_Resource,$D189,'Critical resources (hide)'!AA$6:AA$105)+SUMIF(Capacity_Resource,$E189,'Critical resources (hide)'!AA$6:AA$105)+SUMIF(Capacity_Resource,$F189,'Critical resources (hide)'!AA$6:AA$105)&gt;0,$E$1=2),0,1)</f>
        <v>1</v>
      </c>
      <c r="O189" s="68">
        <f ca="1">IF(AND(SUMIF(Capacity_Resource,$D189,'Critical resources (hide)'!AB$6:AB$105)+SUMIF(Capacity_Resource,$E189,'Critical resources (hide)'!AB$6:AB$105)+SUMIF(Capacity_Resource,$F189,'Critical resources (hide)'!AB$6:AB$105)&gt;0,$E$1=2),0,1)</f>
        <v>1</v>
      </c>
      <c r="P189" s="68">
        <f ca="1">IF(AND(SUMIF(Capacity_Resource,$D189,'Critical resources (hide)'!AC$6:AC$105)+SUMIF(Capacity_Resource,$E189,'Critical resources (hide)'!AC$6:AC$105)+SUMIF(Capacity_Resource,$F189,'Critical resources (hide)'!AC$6:AC$105)&gt;0,$E$1=2),0,1)</f>
        <v>1</v>
      </c>
      <c r="Q189" s="68">
        <f ca="1">IF(AND(SUMIF(Capacity_Resource,$D189,'Critical resources (hide)'!AD$6:AD$105)+SUMIF(Capacity_Resource,$E189,'Critical resources (hide)'!AD$6:AD$105)+SUMIF(Capacity_Resource,$F189,'Critical resources (hide)'!AD$6:AD$105)&gt;0,$E$1=2),0,1)</f>
        <v>1</v>
      </c>
      <c r="R189" s="68">
        <f ca="1">IF(AND(SUMIF(Capacity_Resource,$D189,'Critical resources (hide)'!AE$6:AE$105)+SUMIF(Capacity_Resource,$E189,'Critical resources (hide)'!AE$6:AE$105)+SUMIF(Capacity_Resource,$F189,'Critical resources (hide)'!AE$6:AE$105)&gt;0,$E$1=2),0,1)</f>
        <v>1</v>
      </c>
      <c r="S189" s="68">
        <f ca="1">IF(AND(SUMIF(Capacity_Resource,$D189,'Critical resources (hide)'!AF$6:AF$105)+SUMIF(Capacity_Resource,$E189,'Critical resources (hide)'!AF$6:AF$105)+SUMIF(Capacity_Resource,$F189,'Critical resources (hide)'!AF$6:AF$105)&gt;0,$E$1=2),0,1)</f>
        <v>1</v>
      </c>
      <c r="T189" s="68">
        <f ca="1">IF(AND(SUMIF(Capacity_Resource,$D189,'Critical resources (hide)'!AG$6:AG$105)+SUMIF(Capacity_Resource,$E189,'Critical resources (hide)'!AG$6:AG$105)+SUMIF(Capacity_Resource,$F189,'Critical resources (hide)'!AG$6:AG$105)&gt;0,$E$1=2),0,1)</f>
        <v>1</v>
      </c>
      <c r="U189" s="68">
        <f ca="1">IF(AND(SUMIF(Capacity_Resource,$D189,'Critical resources (hide)'!AH$6:AH$105)+SUMIF(Capacity_Resource,$E189,'Critical resources (hide)'!AH$6:AH$105)+SUMIF(Capacity_Resource,$F189,'Critical resources (hide)'!AH$6:AH$105)&gt;0,$E$1=2),0,1)</f>
        <v>1</v>
      </c>
      <c r="V189" s="68">
        <f ca="1">IF(AND(SUMIF(Capacity_Resource,$D189,'Critical resources (hide)'!AI$6:AI$105)+SUMIF(Capacity_Resource,$E189,'Critical resources (hide)'!AI$6:AI$105)+SUMIF(Capacity_Resource,$F189,'Critical resources (hide)'!AI$6:AI$105)&gt;0,$E$1=2),0,1)</f>
        <v>1</v>
      </c>
      <c r="W189" s="68">
        <f ca="1">IF(AND(SUMIF(Capacity_Resource,$D189,'Critical resources (hide)'!AJ$6:AJ$105)+SUMIF(Capacity_Resource,$E189,'Critical resources (hide)'!AJ$6:AJ$105)+SUMIF(Capacity_Resource,$F189,'Critical resources (hide)'!AJ$6:AJ$105)&gt;0,$E$1=2),0,1)</f>
        <v>1</v>
      </c>
      <c r="X189" s="68">
        <f ca="1">IF(AND(SUMIF(Capacity_Resource,$D189,'Critical resources (hide)'!AK$6:AK$105)+SUMIF(Capacity_Resource,$E189,'Critical resources (hide)'!AK$6:AK$105)+SUMIF(Capacity_Resource,$F189,'Critical resources (hide)'!AK$6:AK$105)&gt;0,$E$1=2),0,1)</f>
        <v>1</v>
      </c>
      <c r="Y189" s="68">
        <f ca="1">IF(AND(SUMIF(Capacity_Resource,$D189,'Critical resources (hide)'!AL$6:AL$105)+SUMIF(Capacity_Resource,$E189,'Critical resources (hide)'!AL$6:AL$105)+SUMIF(Capacity_Resource,$F189,'Critical resources (hide)'!AL$6:AL$105)&gt;0,$E$1=2),0,1)</f>
        <v>1</v>
      </c>
      <c r="Z189" s="68">
        <f ca="1">IF(AND(SUMIF(Capacity_Resource,$D189,'Critical resources (hide)'!AM$6:AM$105)+SUMIF(Capacity_Resource,$E189,'Critical resources (hide)'!AM$6:AM$105)+SUMIF(Capacity_Resource,$F189,'Critical resources (hide)'!AM$6:AM$105)&gt;0,$E$1=2),0,1)</f>
        <v>1</v>
      </c>
      <c r="AA189" s="68">
        <f ca="1">IF(AND(SUMIF(Capacity_Resource,$D189,'Critical resources (hide)'!AN$6:AN$105)+SUMIF(Capacity_Resource,$E189,'Critical resources (hide)'!AN$6:AN$105)+SUMIF(Capacity_Resource,$F189,'Critical resources (hide)'!AN$6:AN$105)&gt;0,$E$1=2),0,1)</f>
        <v>1</v>
      </c>
      <c r="AB189" s="68">
        <f ca="1">IF(AND(SUMIF(Capacity_Resource,$D189,'Critical resources (hide)'!AO$6:AO$105)+SUMIF(Capacity_Resource,$E189,'Critical resources (hide)'!AO$6:AO$105)+SUMIF(Capacity_Resource,$F189,'Critical resources (hide)'!AO$6:AO$105)&gt;0,$E$1=2),0,1)</f>
        <v>1</v>
      </c>
      <c r="AC189" s="68">
        <f ca="1">IF(AND(SUMIF(Capacity_Resource,$D189,'Critical resources (hide)'!AP$6:AP$105)+SUMIF(Capacity_Resource,$E189,'Critical resources (hide)'!AP$6:AP$105)+SUMIF(Capacity_Resource,$F189,'Critical resources (hide)'!AP$6:AP$105)&gt;0,$E$1=2),0,1)</f>
        <v>1</v>
      </c>
      <c r="AD189" s="68">
        <f ca="1">IF(AND(SUMIF(Capacity_Resource,$D189,'Critical resources (hide)'!AQ$6:AQ$105)+SUMIF(Capacity_Resource,$E189,'Critical resources (hide)'!AQ$6:AQ$105)+SUMIF(Capacity_Resource,$F189,'Critical resources (hide)'!AQ$6:AQ$105)&gt;0,$E$1=2),0,1)</f>
        <v>1</v>
      </c>
      <c r="AE189" s="68">
        <f ca="1">IF(AND(SUMIF(Capacity_Resource,$D189,'Critical resources (hide)'!AR$6:AR$105)+SUMIF(Capacity_Resource,$E189,'Critical resources (hide)'!AR$6:AR$105)+SUMIF(Capacity_Resource,$F189,'Critical resources (hide)'!AR$6:AR$105)&gt;0,$E$1=2),0,1)</f>
        <v>1</v>
      </c>
      <c r="AF189" s="68">
        <f ca="1">IF(AND(SUMIF(Capacity_Resource,$D189,'Critical resources (hide)'!AS$6:AS$105)+SUMIF(Capacity_Resource,$E189,'Critical resources (hide)'!AS$6:AS$105)+SUMIF(Capacity_Resource,$F189,'Critical resources (hide)'!AS$6:AS$105)&gt;0,$E$1=2),0,1)</f>
        <v>1</v>
      </c>
      <c r="AG189" s="68">
        <f ca="1">IF(AND(SUMIF(Capacity_Resource,$D189,'Critical resources (hide)'!AT$6:AT$105)+SUMIF(Capacity_Resource,$E189,'Critical resources (hide)'!AT$6:AT$105)+SUMIF(Capacity_Resource,$F189,'Critical resources (hide)'!AT$6:AT$105)&gt;0,$E$1=2),0,1)</f>
        <v>1</v>
      </c>
      <c r="AH189" s="68">
        <f ca="1">IF(AND(SUMIF(Capacity_Resource,$D189,'Critical resources (hide)'!AU$6:AU$105)+SUMIF(Capacity_Resource,$E189,'Critical resources (hide)'!AU$6:AU$105)+SUMIF(Capacity_Resource,$F189,'Critical resources (hide)'!AU$6:AU$105)&gt;0,$E$1=2),0,1)</f>
        <v>1</v>
      </c>
      <c r="AI189" s="68">
        <f ca="1">IF(AND(SUMIF(Capacity_Resource,$D189,'Critical resources (hide)'!AV$6:AV$105)+SUMIF(Capacity_Resource,$E189,'Critical resources (hide)'!AV$6:AV$105)+SUMIF(Capacity_Resource,$F189,'Critical resources (hide)'!AV$6:AV$105)&gt;0,$E$1=2),0,1)</f>
        <v>1</v>
      </c>
      <c r="AJ189" s="68">
        <f ca="1">IF(AND(SUMIF(Capacity_Resource,$D189,'Critical resources (hide)'!AW$6:AW$105)+SUMIF(Capacity_Resource,$E189,'Critical resources (hide)'!AW$6:AW$105)+SUMIF(Capacity_Resource,$F189,'Critical resources (hide)'!AW$6:AW$105)&gt;0,$E$1=2),0,1)</f>
        <v>1</v>
      </c>
      <c r="AK189" s="68">
        <f ca="1">IF(AND(SUMIF(Capacity_Resource,$D189,'Critical resources (hide)'!AX$6:AX$105)+SUMIF(Capacity_Resource,$E189,'Critical resources (hide)'!AX$6:AX$105)+SUMIF(Capacity_Resource,$F189,'Critical resources (hide)'!AX$6:AX$105)&gt;0,$E$1=2),0,1)</f>
        <v>1</v>
      </c>
      <c r="AL189" s="68">
        <f ca="1">IF(AND(SUMIF(Capacity_Resource,$D189,'Critical resources (hide)'!AY$6:AY$105)+SUMIF(Capacity_Resource,$E189,'Critical resources (hide)'!AY$6:AY$105)+SUMIF(Capacity_Resource,$F189,'Critical resources (hide)'!AY$6:AY$105)&gt;0,$E$1=2),0,1)</f>
        <v>1</v>
      </c>
      <c r="AM189" s="68">
        <f ca="1">IF(AND(SUMIF(Capacity_Resource,$D189,'Critical resources (hide)'!AZ$6:AZ$105)+SUMIF(Capacity_Resource,$E189,'Critical resources (hide)'!AZ$6:AZ$105)+SUMIF(Capacity_Resource,$F189,'Critical resources (hide)'!AZ$6:AZ$105)&gt;0,$E$1=2),0,1)</f>
        <v>1</v>
      </c>
      <c r="AN189" s="68">
        <f ca="1">IF(AND(SUMIF(Capacity_Resource,$D189,'Critical resources (hide)'!BA$6:BA$105)+SUMIF(Capacity_Resource,$E189,'Critical resources (hide)'!BA$6:BA$105)+SUMIF(Capacity_Resource,$F189,'Critical resources (hide)'!BA$6:BA$105)&gt;0,$E$1=2),0,1)</f>
        <v>1</v>
      </c>
      <c r="AO189" s="68">
        <f ca="1">IF(AND(SUMIF(Capacity_Resource,$D189,'Critical resources (hide)'!BB$6:BB$105)+SUMIF(Capacity_Resource,$E189,'Critical resources (hide)'!BB$6:BB$105)+SUMIF(Capacity_Resource,$F189,'Critical resources (hide)'!BB$6:BB$105)&gt;0,$E$1=2),0,1)</f>
        <v>1</v>
      </c>
      <c r="AP189" s="68">
        <f ca="1">IF(AND(SUMIF(Capacity_Resource,$D189,'Critical resources (hide)'!BC$6:BC$105)+SUMIF(Capacity_Resource,$E189,'Critical resources (hide)'!BC$6:BC$105)+SUMIF(Capacity_Resource,$F189,'Critical resources (hide)'!BC$6:BC$105)&gt;0,$E$1=2),0,1)</f>
        <v>1</v>
      </c>
      <c r="AQ189" s="68">
        <f ca="1">IF(AND(SUMIF(Capacity_Resource,$D189,'Critical resources (hide)'!BD$6:BD$105)+SUMIF(Capacity_Resource,$E189,'Critical resources (hide)'!BD$6:BD$105)+SUMIF(Capacity_Resource,$F189,'Critical resources (hide)'!BD$6:BD$105)&gt;0,$E$1=2),0,1)</f>
        <v>1</v>
      </c>
      <c r="AR189" s="68">
        <f ca="1">IF(AND(SUMIF(Capacity_Resource,$D189,'Critical resources (hide)'!BE$6:BE$105)+SUMIF(Capacity_Resource,$E189,'Critical resources (hide)'!BE$6:BE$105)+SUMIF(Capacity_Resource,$F189,'Critical resources (hide)'!BE$6:BE$105)&gt;0,$E$1=2),0,1)</f>
        <v>1</v>
      </c>
      <c r="AS189" s="68">
        <f ca="1">IF(AND(SUMIF(Capacity_Resource,$D189,'Critical resources (hide)'!BF$6:BF$105)+SUMIF(Capacity_Resource,$E189,'Critical resources (hide)'!BF$6:BF$105)+SUMIF(Capacity_Resource,$F189,'Critical resources (hide)'!BF$6:BF$105)&gt;0,$E$1=2),0,1)</f>
        <v>1</v>
      </c>
      <c r="AT189" s="68">
        <f ca="1">IF(AND(SUMIF(Capacity_Resource,$D189,'Critical resources (hide)'!BG$6:BG$105)+SUMIF(Capacity_Resource,$E189,'Critical resources (hide)'!BG$6:BG$105)+SUMIF(Capacity_Resource,$F189,'Critical resources (hide)'!BG$6:BG$105)&gt;0,$E$1=2),0,1)</f>
        <v>1</v>
      </c>
      <c r="AU189" s="68">
        <f ca="1">IF(AND(SUMIF(Capacity_Resource,$D189,'Critical resources (hide)'!BH$6:BH$105)+SUMIF(Capacity_Resource,$E189,'Critical resources (hide)'!BH$6:BH$105)+SUMIF(Capacity_Resource,$F189,'Critical resources (hide)'!BH$6:BH$105)&gt;0,$E$1=2),0,1)</f>
        <v>1</v>
      </c>
      <c r="AV189" s="68">
        <f ca="1">IF(AND(SUMIF(Capacity_Resource,$D189,'Critical resources (hide)'!BI$6:BI$105)+SUMIF(Capacity_Resource,$E189,'Critical resources (hide)'!BI$6:BI$105)+SUMIF(Capacity_Resource,$F189,'Critical resources (hide)'!BI$6:BI$105)&gt;0,$E$1=2),0,1)</f>
        <v>1</v>
      </c>
      <c r="AW189" s="68">
        <f ca="1">IF(AND(SUMIF(Capacity_Resource,$D189,'Critical resources (hide)'!BJ$6:BJ$105)+SUMIF(Capacity_Resource,$E189,'Critical resources (hide)'!BJ$6:BJ$105)+SUMIF(Capacity_Resource,$F189,'Critical resources (hide)'!BJ$6:BJ$105)&gt;0,$E$1=2),0,1)</f>
        <v>1</v>
      </c>
      <c r="AX189" s="68">
        <f ca="1">IF(AND(SUMIF(Capacity_Resource,$D189,'Critical resources (hide)'!BK$6:BK$105)+SUMIF(Capacity_Resource,$E189,'Critical resources (hide)'!BK$6:BK$105)+SUMIF(Capacity_Resource,$F189,'Critical resources (hide)'!BK$6:BK$105)&gt;0,$E$1=2),0,1)</f>
        <v>1</v>
      </c>
      <c r="AY189" s="68">
        <f ca="1">IF(AND(SUMIF(Capacity_Resource,$D189,'Critical resources (hide)'!BL$6:BL$105)+SUMIF(Capacity_Resource,$E189,'Critical resources (hide)'!BL$6:BL$105)+SUMIF(Capacity_Resource,$F189,'Critical resources (hide)'!BL$6:BL$105)&gt;0,$E$1=2),0,1)</f>
        <v>1</v>
      </c>
      <c r="AZ189" s="68">
        <f ca="1">IF(AND(SUMIF(Capacity_Resource,$D189,'Critical resources (hide)'!BM$6:BM$105)+SUMIF(Capacity_Resource,$E189,'Critical resources (hide)'!BM$6:BM$105)+SUMIF(Capacity_Resource,$F189,'Critical resources (hide)'!BM$6:BM$105)&gt;0,$E$1=2),0,1)</f>
        <v>1</v>
      </c>
      <c r="BA189" s="68">
        <f ca="1">IF(AND(SUMIF(Capacity_Resource,$D189,'Critical resources (hide)'!BN$6:BN$105)+SUMIF(Capacity_Resource,$E189,'Critical resources (hide)'!BN$6:BN$105)+SUMIF(Capacity_Resource,$F189,'Critical resources (hide)'!BN$6:BN$105)&gt;0,$E$1=2),0,1)</f>
        <v>1</v>
      </c>
      <c r="BB189" s="68">
        <f ca="1">IF(AND(SUMIF(Capacity_Resource,$D189,'Critical resources (hide)'!BO$6:BO$105)+SUMIF(Capacity_Resource,$E189,'Critical resources (hide)'!BO$6:BO$105)+SUMIF(Capacity_Resource,$F189,'Critical resources (hide)'!BO$6:BO$105)&gt;0,$E$1=2),0,1)</f>
        <v>1</v>
      </c>
      <c r="BC189" s="68">
        <f ca="1">IF(AND(SUMIF(Capacity_Resource,$D189,'Critical resources (hide)'!BP$6:BP$105)+SUMIF(Capacity_Resource,$E189,'Critical resources (hide)'!BP$6:BP$105)+SUMIF(Capacity_Resource,$F189,'Critical resources (hide)'!BP$6:BP$105)&gt;0,$E$1=2),0,1)</f>
        <v>1</v>
      </c>
      <c r="BD189" s="68">
        <f ca="1">IF(AND(SUMIF(Capacity_Resource,$D189,'Critical resources (hide)'!BQ$6:BQ$105)+SUMIF(Capacity_Resource,$E189,'Critical resources (hide)'!BQ$6:BQ$105)+SUMIF(Capacity_Resource,$F189,'Critical resources (hide)'!BQ$6:BQ$105)&gt;0,$E$1=2),0,1)</f>
        <v>1</v>
      </c>
      <c r="BE189" s="68">
        <f ca="1">IF(AND(SUMIF(Capacity_Resource,$D189,'Critical resources (hide)'!BR$6:BR$105)+SUMIF(Capacity_Resource,$E189,'Critical resources (hide)'!BR$6:BR$105)+SUMIF(Capacity_Resource,$F189,'Critical resources (hide)'!BR$6:BR$105)&gt;0,$E$1=2),0,1)</f>
        <v>1</v>
      </c>
      <c r="BF189" s="68">
        <f ca="1">IF(AND(SUMIF(Capacity_Resource,$D189,'Critical resources (hide)'!BS$6:BS$105)+SUMIF(Capacity_Resource,$E189,'Critical resources (hide)'!BS$6:BS$105)+SUMIF(Capacity_Resource,$F189,'Critical resources (hide)'!BS$6:BS$105)&gt;0,$E$1=2),0,1)</f>
        <v>1</v>
      </c>
      <c r="BG189" s="68">
        <f ca="1">IF(AND(SUMIF(Capacity_Resource,$D189,'Critical resources (hide)'!BT$6:BT$105)+SUMIF(Capacity_Resource,$E189,'Critical resources (hide)'!BT$6:BT$105)+SUMIF(Capacity_Resource,$F189,'Critical resources (hide)'!BT$6:BT$105)&gt;0,$E$1=2),0,1)</f>
        <v>1</v>
      </c>
      <c r="BH189" s="68">
        <f>IF(ROW(A78)&lt;=Capacity!$M$16,IF('Capacity summary'!$C$14="No",SUM(H189:BG189),'Capacity summary'!$E101),0)</f>
        <v>0</v>
      </c>
      <c r="BI189" s="68" t="str">
        <f>IF(BH189&gt;0,IF(BH189&lt;Capacity!Q94,Capacity!R94,Capacity!T94/'Capacity calculation (hide)'!BH189),"")</f>
        <v/>
      </c>
      <c r="BJ189" s="5"/>
      <c r="BK189" s="5">
        <f>IF($BI189&lt;&gt;"",IF('Capacity summary'!$C$14="Yes",IF(COUNTBLANK('Capacity summary'!$H101:$BG101)&lt;52,IF('Capacity summary'!H101&lt;&gt;"",$BI189*H189,0),H189*$BI189),H189*$BI189),0)</f>
        <v>0</v>
      </c>
      <c r="BL189" s="5">
        <f>IF($BI189&lt;&gt;"",IF('Capacity summary'!$C$14="Yes",IF(COUNTBLANK('Capacity summary'!$H101:$BG101)&lt;52,IF('Capacity summary'!I101&lt;&gt;"",$BI189*I189,0),I189*$BI189),I189*$BI189),0)</f>
        <v>0</v>
      </c>
      <c r="BM189" s="5">
        <f>IF($BI189&lt;&gt;"",IF('Capacity summary'!$C$14="Yes",IF(COUNTBLANK('Capacity summary'!$H101:$BG101)&lt;52,IF('Capacity summary'!J101&lt;&gt;"",$BI189*J189,0),J189*$BI189),J189*$BI189),0)</f>
        <v>0</v>
      </c>
      <c r="BN189" s="5">
        <f>IF($BI189&lt;&gt;"",IF('Capacity summary'!$C$14="Yes",IF(COUNTBLANK('Capacity summary'!$H101:$BG101)&lt;52,IF('Capacity summary'!K101&lt;&gt;"",$BI189*K189,0),K189*$BI189),K189*$BI189),0)</f>
        <v>0</v>
      </c>
      <c r="BO189" s="5">
        <f>IF($BI189&lt;&gt;"",IF('Capacity summary'!$C$14="Yes",IF(COUNTBLANK('Capacity summary'!$H101:$BG101)&lt;52,IF('Capacity summary'!L101&lt;&gt;"",$BI189*L189,0),L189*$BI189),L189*$BI189),0)</f>
        <v>0</v>
      </c>
      <c r="BP189" s="5">
        <f>IF($BI189&lt;&gt;"",IF('Capacity summary'!$C$14="Yes",IF(COUNTBLANK('Capacity summary'!$H101:$BG101)&lt;52,IF('Capacity summary'!M101&lt;&gt;"",$BI189*M189,0),M189*$BI189),M189*$BI189),0)</f>
        <v>0</v>
      </c>
      <c r="BQ189" s="5">
        <f>IF($BI189&lt;&gt;"",IF('Capacity summary'!$C$14="Yes",IF(COUNTBLANK('Capacity summary'!$H101:$BG101)&lt;52,IF('Capacity summary'!N101&lt;&gt;"",$BI189*N189,0),N189*$BI189),N189*$BI189),0)</f>
        <v>0</v>
      </c>
      <c r="BR189" s="5">
        <f>IF($BI189&lt;&gt;"",IF('Capacity summary'!$C$14="Yes",IF(COUNTBLANK('Capacity summary'!$H101:$BG101)&lt;52,IF('Capacity summary'!O101&lt;&gt;"",$BI189*O189,0),O189*$BI189),O189*$BI189),0)</f>
        <v>0</v>
      </c>
      <c r="BS189" s="5">
        <f>IF($BI189&lt;&gt;"",IF('Capacity summary'!$C$14="Yes",IF(COUNTBLANK('Capacity summary'!$H101:$BG101)&lt;52,IF('Capacity summary'!P101&lt;&gt;"",$BI189*P189,0),P189*$BI189),P189*$BI189),0)</f>
        <v>0</v>
      </c>
      <c r="BT189" s="5">
        <f>IF($BI189&lt;&gt;"",IF('Capacity summary'!$C$14="Yes",IF(COUNTBLANK('Capacity summary'!$H101:$BG101)&lt;52,IF('Capacity summary'!Q101&lt;&gt;"",$BI189*Q189,0),Q189*$BI189),Q189*$BI189),0)</f>
        <v>0</v>
      </c>
      <c r="BU189" s="5">
        <f>IF($BI189&lt;&gt;"",IF('Capacity summary'!$C$14="Yes",IF(COUNTBLANK('Capacity summary'!$H101:$BG101)&lt;52,IF('Capacity summary'!R101&lt;&gt;"",$BI189*R189,0),R189*$BI189),R189*$BI189),0)</f>
        <v>0</v>
      </c>
      <c r="BV189" s="5">
        <f>IF($BI189&lt;&gt;"",IF('Capacity summary'!$C$14="Yes",IF(COUNTBLANK('Capacity summary'!$H101:$BG101)&lt;52,IF('Capacity summary'!S101&lt;&gt;"",$BI189*S189,0),S189*$BI189),S189*$BI189),0)</f>
        <v>0</v>
      </c>
      <c r="BW189" s="5">
        <f>IF($BI189&lt;&gt;"",IF('Capacity summary'!$C$14="Yes",IF(COUNTBLANK('Capacity summary'!$H101:$BG101)&lt;52,IF('Capacity summary'!T101&lt;&gt;"",$BI189*T189,0),T189*$BI189),T189*$BI189),0)</f>
        <v>0</v>
      </c>
      <c r="BX189" s="5">
        <f>IF($BI189&lt;&gt;"",IF('Capacity summary'!$C$14="Yes",IF(COUNTBLANK('Capacity summary'!$H101:$BG101)&lt;52,IF('Capacity summary'!U101&lt;&gt;"",$BI189*U189,0),U189*$BI189),U189*$BI189),0)</f>
        <v>0</v>
      </c>
      <c r="BY189" s="5">
        <f>IF($BI189&lt;&gt;"",IF('Capacity summary'!$C$14="Yes",IF(COUNTBLANK('Capacity summary'!$H101:$BG101)&lt;52,IF('Capacity summary'!V101&lt;&gt;"",$BI189*V189,0),V189*$BI189),V189*$BI189),0)</f>
        <v>0</v>
      </c>
      <c r="BZ189" s="5">
        <f>IF($BI189&lt;&gt;"",IF('Capacity summary'!$C$14="Yes",IF(COUNTBLANK('Capacity summary'!$H101:$BG101)&lt;52,IF('Capacity summary'!W101&lt;&gt;"",$BI189*W189,0),W189*$BI189),W189*$BI189),0)</f>
        <v>0</v>
      </c>
      <c r="CA189" s="5">
        <f>IF($BI189&lt;&gt;"",IF('Capacity summary'!$C$14="Yes",IF(COUNTBLANK('Capacity summary'!$H101:$BG101)&lt;52,IF('Capacity summary'!X101&lt;&gt;"",$BI189*X189,0),X189*$BI189),X189*$BI189),0)</f>
        <v>0</v>
      </c>
      <c r="CB189" s="5">
        <f>IF($BI189&lt;&gt;"",IF('Capacity summary'!$C$14="Yes",IF(COUNTBLANK('Capacity summary'!$H101:$BG101)&lt;52,IF('Capacity summary'!Y101&lt;&gt;"",$BI189*Y189,0),Y189*$BI189),Y189*$BI189),0)</f>
        <v>0</v>
      </c>
      <c r="CC189" s="5">
        <f>IF($BI189&lt;&gt;"",IF('Capacity summary'!$C$14="Yes",IF(COUNTBLANK('Capacity summary'!$H101:$BG101)&lt;52,IF('Capacity summary'!Z101&lt;&gt;"",$BI189*Z189,0),Z189*$BI189),Z189*$BI189),0)</f>
        <v>0</v>
      </c>
      <c r="CD189" s="5">
        <f>IF($BI189&lt;&gt;"",IF('Capacity summary'!$C$14="Yes",IF(COUNTBLANK('Capacity summary'!$H101:$BG101)&lt;52,IF('Capacity summary'!AA101&lt;&gt;"",$BI189*AA189,0),AA189*$BI189),AA189*$BI189),0)</f>
        <v>0</v>
      </c>
      <c r="CE189" s="5">
        <f>IF($BI189&lt;&gt;"",IF('Capacity summary'!$C$14="Yes",IF(COUNTBLANK('Capacity summary'!$H101:$BG101)&lt;52,IF('Capacity summary'!AB101&lt;&gt;"",$BI189*AB189,0),AB189*$BI189),AB189*$BI189),0)</f>
        <v>0</v>
      </c>
      <c r="CF189" s="5">
        <f>IF($BI189&lt;&gt;"",IF('Capacity summary'!$C$14="Yes",IF(COUNTBLANK('Capacity summary'!$H101:$BG101)&lt;52,IF('Capacity summary'!AC101&lt;&gt;"",$BI189*AC189,0),AC189*$BI189),AC189*$BI189),0)</f>
        <v>0</v>
      </c>
      <c r="CG189" s="5">
        <f>IF($BI189&lt;&gt;"",IF('Capacity summary'!$C$14="Yes",IF(COUNTBLANK('Capacity summary'!$H101:$BG101)&lt;52,IF('Capacity summary'!AD101&lt;&gt;"",$BI189*AD189,0),AD189*$BI189),AD189*$BI189),0)</f>
        <v>0</v>
      </c>
      <c r="CH189" s="5">
        <f>IF($BI189&lt;&gt;"",IF('Capacity summary'!$C$14="Yes",IF(COUNTBLANK('Capacity summary'!$H101:$BG101)&lt;52,IF('Capacity summary'!AE101&lt;&gt;"",$BI189*AE189,0),AE189*$BI189),AE189*$BI189),0)</f>
        <v>0</v>
      </c>
      <c r="CI189" s="5">
        <f>IF($BI189&lt;&gt;"",IF('Capacity summary'!$C$14="Yes",IF(COUNTBLANK('Capacity summary'!$H101:$BG101)&lt;52,IF('Capacity summary'!AF101&lt;&gt;"",$BI189*AF189,0),AF189*$BI189),AF189*$BI189),0)</f>
        <v>0</v>
      </c>
      <c r="CJ189" s="5">
        <f>IF($BI189&lt;&gt;"",IF('Capacity summary'!$C$14="Yes",IF(COUNTBLANK('Capacity summary'!$H101:$BG101)&lt;52,IF('Capacity summary'!AG101&lt;&gt;"",$BI189*AG189,0),AG189*$BI189),AG189*$BI189),0)</f>
        <v>0</v>
      </c>
      <c r="CK189" s="5">
        <f>IF($BI189&lt;&gt;"",IF('Capacity summary'!$C$14="Yes",IF(COUNTBLANK('Capacity summary'!$H101:$BG101)&lt;52,IF('Capacity summary'!AH101&lt;&gt;"",$BI189*AH189,0),AH189*$BI189),AH189*$BI189),0)</f>
        <v>0</v>
      </c>
      <c r="CL189" s="5">
        <f>IF($BI189&lt;&gt;"",IF('Capacity summary'!$C$14="Yes",IF(COUNTBLANK('Capacity summary'!$H101:$BG101)&lt;52,IF('Capacity summary'!AI101&lt;&gt;"",$BI189*AI189,0),AI189*$BI189),AI189*$BI189),0)</f>
        <v>0</v>
      </c>
      <c r="CM189" s="5">
        <f>IF($BI189&lt;&gt;"",IF('Capacity summary'!$C$14="Yes",IF(COUNTBLANK('Capacity summary'!$H101:$BG101)&lt;52,IF('Capacity summary'!AJ101&lt;&gt;"",$BI189*AJ189,0),AJ189*$BI189),AJ189*$BI189),0)</f>
        <v>0</v>
      </c>
      <c r="CN189" s="5">
        <f>IF($BI189&lt;&gt;"",IF('Capacity summary'!$C$14="Yes",IF(COUNTBLANK('Capacity summary'!$H101:$BG101)&lt;52,IF('Capacity summary'!AK101&lt;&gt;"",$BI189*AK189,0),AK189*$BI189),AK189*$BI189),0)</f>
        <v>0</v>
      </c>
      <c r="CO189" s="5">
        <f>IF($BI189&lt;&gt;"",IF('Capacity summary'!$C$14="Yes",IF(COUNTBLANK('Capacity summary'!$H101:$BG101)&lt;52,IF('Capacity summary'!AL101&lt;&gt;"",$BI189*AL189,0),AL189*$BI189),AL189*$BI189),0)</f>
        <v>0</v>
      </c>
      <c r="CP189" s="5">
        <f>IF($BI189&lt;&gt;"",IF('Capacity summary'!$C$14="Yes",IF(COUNTBLANK('Capacity summary'!$H101:$BG101)&lt;52,IF('Capacity summary'!AM101&lt;&gt;"",$BI189*AM189,0),AM189*$BI189),AM189*$BI189),0)</f>
        <v>0</v>
      </c>
      <c r="CQ189" s="5">
        <f>IF($BI189&lt;&gt;"",IF('Capacity summary'!$C$14="Yes",IF(COUNTBLANK('Capacity summary'!$H101:$BG101)&lt;52,IF('Capacity summary'!AN101&lt;&gt;"",$BI189*AN189,0),AN189*$BI189),AN189*$BI189),0)</f>
        <v>0</v>
      </c>
      <c r="CR189" s="5">
        <f>IF($BI189&lt;&gt;"",IF('Capacity summary'!$C$14="Yes",IF(COUNTBLANK('Capacity summary'!$H101:$BG101)&lt;52,IF('Capacity summary'!AO101&lt;&gt;"",$BI189*AO189,0),AO189*$BI189),AO189*$BI189),0)</f>
        <v>0</v>
      </c>
      <c r="CS189" s="5">
        <f>IF($BI189&lt;&gt;"",IF('Capacity summary'!$C$14="Yes",IF(COUNTBLANK('Capacity summary'!$H101:$BG101)&lt;52,IF('Capacity summary'!AP101&lt;&gt;"",$BI189*AP189,0),AP189*$BI189),AP189*$BI189),0)</f>
        <v>0</v>
      </c>
      <c r="CT189" s="5">
        <f>IF($BI189&lt;&gt;"",IF('Capacity summary'!$C$14="Yes",IF(COUNTBLANK('Capacity summary'!$H101:$BG101)&lt;52,IF('Capacity summary'!AQ101&lt;&gt;"",$BI189*AQ189,0),AQ189*$BI189),AQ189*$BI189),0)</f>
        <v>0</v>
      </c>
      <c r="CU189" s="5">
        <f>IF($BI189&lt;&gt;"",IF('Capacity summary'!$C$14="Yes",IF(COUNTBLANK('Capacity summary'!$H101:$BG101)&lt;52,IF('Capacity summary'!AR101&lt;&gt;"",$BI189*AR189,0),AR189*$BI189),AR189*$BI189),0)</f>
        <v>0</v>
      </c>
      <c r="CV189" s="5">
        <f>IF($BI189&lt;&gt;"",IF('Capacity summary'!$C$14="Yes",IF(COUNTBLANK('Capacity summary'!$H101:$BG101)&lt;52,IF('Capacity summary'!AS101&lt;&gt;"",$BI189*AS189,0),AS189*$BI189),AS189*$BI189),0)</f>
        <v>0</v>
      </c>
      <c r="CW189" s="5">
        <f>IF($BI189&lt;&gt;"",IF('Capacity summary'!$C$14="Yes",IF(COUNTBLANK('Capacity summary'!$H101:$BG101)&lt;52,IF('Capacity summary'!AT101&lt;&gt;"",$BI189*AT189,0),AT189*$BI189),AT189*$BI189),0)</f>
        <v>0</v>
      </c>
      <c r="CX189" s="5">
        <f>IF($BI189&lt;&gt;"",IF('Capacity summary'!$C$14="Yes",IF(COUNTBLANK('Capacity summary'!$H101:$BG101)&lt;52,IF('Capacity summary'!AU101&lt;&gt;"",$BI189*AU189,0),AU189*$BI189),AU189*$BI189),0)</f>
        <v>0</v>
      </c>
      <c r="CY189" s="5">
        <f>IF($BI189&lt;&gt;"",IF('Capacity summary'!$C$14="Yes",IF(COUNTBLANK('Capacity summary'!$H101:$BG101)&lt;52,IF('Capacity summary'!AV101&lt;&gt;"",$BI189*AV189,0),AV189*$BI189),AV189*$BI189),0)</f>
        <v>0</v>
      </c>
      <c r="CZ189" s="5">
        <f>IF($BI189&lt;&gt;"",IF('Capacity summary'!$C$14="Yes",IF(COUNTBLANK('Capacity summary'!$H101:$BG101)&lt;52,IF('Capacity summary'!AW101&lt;&gt;"",$BI189*AW189,0),AW189*$BI189),AW189*$BI189),0)</f>
        <v>0</v>
      </c>
      <c r="DA189" s="5">
        <f>IF($BI189&lt;&gt;"",IF('Capacity summary'!$C$14="Yes",IF(COUNTBLANK('Capacity summary'!$H101:$BG101)&lt;52,IF('Capacity summary'!AX101&lt;&gt;"",$BI189*AX189,0),AX189*$BI189),AX189*$BI189),0)</f>
        <v>0</v>
      </c>
      <c r="DB189" s="5">
        <f>IF($BI189&lt;&gt;"",IF('Capacity summary'!$C$14="Yes",IF(COUNTBLANK('Capacity summary'!$H101:$BG101)&lt;52,IF('Capacity summary'!AY101&lt;&gt;"",$BI189*AY189,0),AY189*$BI189),AY189*$BI189),0)</f>
        <v>0</v>
      </c>
      <c r="DC189" s="5">
        <f>IF($BI189&lt;&gt;"",IF('Capacity summary'!$C$14="Yes",IF(COUNTBLANK('Capacity summary'!$H101:$BG101)&lt;52,IF('Capacity summary'!AZ101&lt;&gt;"",$BI189*AZ189,0),AZ189*$BI189),AZ189*$BI189),0)</f>
        <v>0</v>
      </c>
      <c r="DD189" s="5">
        <f>IF($BI189&lt;&gt;"",IF('Capacity summary'!$C$14="Yes",IF(COUNTBLANK('Capacity summary'!$H101:$BG101)&lt;52,IF('Capacity summary'!BA101&lt;&gt;"",$BI189*BA189,0),BA189*$BI189),BA189*$BI189),0)</f>
        <v>0</v>
      </c>
      <c r="DE189" s="5">
        <f>IF($BI189&lt;&gt;"",IF('Capacity summary'!$C$14="Yes",IF(COUNTBLANK('Capacity summary'!$H101:$BG101)&lt;52,IF('Capacity summary'!BB101&lt;&gt;"",$BI189*BB189,0),BB189*$BI189),BB189*$BI189),0)</f>
        <v>0</v>
      </c>
      <c r="DF189" s="5">
        <f>IF($BI189&lt;&gt;"",IF('Capacity summary'!$C$14="Yes",IF(COUNTBLANK('Capacity summary'!$H101:$BG101)&lt;52,IF('Capacity summary'!BC101&lt;&gt;"",$BI189*BC189,0),BC189*$BI189),BC189*$BI189),0)</f>
        <v>0</v>
      </c>
      <c r="DG189" s="5">
        <f>IF($BI189&lt;&gt;"",IF('Capacity summary'!$C$14="Yes",IF(COUNTBLANK('Capacity summary'!$H101:$BG101)&lt;52,IF('Capacity summary'!BD101&lt;&gt;"",$BI189*BD189,0),BD189*$BI189),BD189*$BI189),0)</f>
        <v>0</v>
      </c>
      <c r="DH189" s="5">
        <f>IF($BI189&lt;&gt;"",IF('Capacity summary'!$C$14="Yes",IF(COUNTBLANK('Capacity summary'!$H101:$BG101)&lt;52,IF('Capacity summary'!BE101&lt;&gt;"",$BI189*BE189,0),BE189*$BI189),BE189*$BI189),0)</f>
        <v>0</v>
      </c>
      <c r="DI189" s="5">
        <f>IF($BI189&lt;&gt;"",IF('Capacity summary'!$C$14="Yes",IF(COUNTBLANK('Capacity summary'!$H101:$BG101)&lt;52,IF('Capacity summary'!BF101&lt;&gt;"",$BI189*BF189,0),BF189*$BI189),BF189*$BI189),0)</f>
        <v>0</v>
      </c>
      <c r="DJ189" s="5">
        <f>IF($BI189&lt;&gt;"",IF('Capacity summary'!$C$14="Yes",IF(COUNTBLANK('Capacity summary'!$H101:$BG101)&lt;52,IF('Capacity summary'!BG101&lt;&gt;"",$BI189*BG189,0),BG189*$BI189),BG189*$BI189),0)</f>
        <v>0</v>
      </c>
      <c r="DK189" s="138">
        <f t="shared" si="7"/>
        <v>0</v>
      </c>
    </row>
    <row r="190" spans="3:115" x14ac:dyDescent="0.2">
      <c r="C190" s="68" t="str">
        <f>ROW(A79)&amp;". "&amp;Capacity!N95</f>
        <v xml:space="preserve">79. </v>
      </c>
      <c r="D190" s="68">
        <f>'Capacity setup'!C196</f>
        <v>0</v>
      </c>
      <c r="E190" s="68">
        <f>'Capacity setup'!D196</f>
        <v>0</v>
      </c>
      <c r="F190" s="68">
        <f>'Capacity setup'!E196</f>
        <v>0</v>
      </c>
      <c r="H190" s="68">
        <f ca="1">IF(AND(SUMIF(Capacity_Resource,$D190,'Critical resources (hide)'!U$6:U$105)+SUMIF(Capacity_Resource,$E190,'Critical resources (hide)'!U$6:U$105)+SUMIF(Capacity_Resource,$F190,'Critical resources (hide)'!U$6:U$105)&gt;0,$E$1=2),0,1)</f>
        <v>1</v>
      </c>
      <c r="I190" s="68">
        <f ca="1">IF(AND(SUMIF(Capacity_Resource,$D190,'Critical resources (hide)'!V$6:V$105)+SUMIF(Capacity_Resource,$E190,'Critical resources (hide)'!V$6:V$105)+SUMIF(Capacity_Resource,$F190,'Critical resources (hide)'!V$6:V$105)&gt;0,$E$1=2),0,1)</f>
        <v>1</v>
      </c>
      <c r="J190" s="68">
        <f ca="1">IF(AND(SUMIF(Capacity_Resource,$D190,'Critical resources (hide)'!W$6:W$105)+SUMIF(Capacity_Resource,$E190,'Critical resources (hide)'!W$6:W$105)+SUMIF(Capacity_Resource,$F190,'Critical resources (hide)'!W$6:W$105)&gt;0,$E$1=2),0,1)</f>
        <v>1</v>
      </c>
      <c r="K190" s="68">
        <f ca="1">IF(AND(SUMIF(Capacity_Resource,$D190,'Critical resources (hide)'!X$6:X$105)+SUMIF(Capacity_Resource,$E190,'Critical resources (hide)'!X$6:X$105)+SUMIF(Capacity_Resource,$F190,'Critical resources (hide)'!X$6:X$105)&gt;0,$E$1=2),0,1)</f>
        <v>1</v>
      </c>
      <c r="L190" s="68">
        <f ca="1">IF(AND(SUMIF(Capacity_Resource,$D190,'Critical resources (hide)'!Y$6:Y$105)+SUMIF(Capacity_Resource,$E190,'Critical resources (hide)'!Y$6:Y$105)+SUMIF(Capacity_Resource,$F190,'Critical resources (hide)'!Y$6:Y$105)&gt;0,$E$1=2),0,1)</f>
        <v>1</v>
      </c>
      <c r="M190" s="68">
        <f ca="1">IF(AND(SUMIF(Capacity_Resource,$D190,'Critical resources (hide)'!Z$6:Z$105)+SUMIF(Capacity_Resource,$E190,'Critical resources (hide)'!Z$6:Z$105)+SUMIF(Capacity_Resource,$F190,'Critical resources (hide)'!Z$6:Z$105)&gt;0,$E$1=2),0,1)</f>
        <v>1</v>
      </c>
      <c r="N190" s="68">
        <f ca="1">IF(AND(SUMIF(Capacity_Resource,$D190,'Critical resources (hide)'!AA$6:AA$105)+SUMIF(Capacity_Resource,$E190,'Critical resources (hide)'!AA$6:AA$105)+SUMIF(Capacity_Resource,$F190,'Critical resources (hide)'!AA$6:AA$105)&gt;0,$E$1=2),0,1)</f>
        <v>1</v>
      </c>
      <c r="O190" s="68">
        <f ca="1">IF(AND(SUMIF(Capacity_Resource,$D190,'Critical resources (hide)'!AB$6:AB$105)+SUMIF(Capacity_Resource,$E190,'Critical resources (hide)'!AB$6:AB$105)+SUMIF(Capacity_Resource,$F190,'Critical resources (hide)'!AB$6:AB$105)&gt;0,$E$1=2),0,1)</f>
        <v>1</v>
      </c>
      <c r="P190" s="68">
        <f ca="1">IF(AND(SUMIF(Capacity_Resource,$D190,'Critical resources (hide)'!AC$6:AC$105)+SUMIF(Capacity_Resource,$E190,'Critical resources (hide)'!AC$6:AC$105)+SUMIF(Capacity_Resource,$F190,'Critical resources (hide)'!AC$6:AC$105)&gt;0,$E$1=2),0,1)</f>
        <v>1</v>
      </c>
      <c r="Q190" s="68">
        <f ca="1">IF(AND(SUMIF(Capacity_Resource,$D190,'Critical resources (hide)'!AD$6:AD$105)+SUMIF(Capacity_Resource,$E190,'Critical resources (hide)'!AD$6:AD$105)+SUMIF(Capacity_Resource,$F190,'Critical resources (hide)'!AD$6:AD$105)&gt;0,$E$1=2),0,1)</f>
        <v>1</v>
      </c>
      <c r="R190" s="68">
        <f ca="1">IF(AND(SUMIF(Capacity_Resource,$D190,'Critical resources (hide)'!AE$6:AE$105)+SUMIF(Capacity_Resource,$E190,'Critical resources (hide)'!AE$6:AE$105)+SUMIF(Capacity_Resource,$F190,'Critical resources (hide)'!AE$6:AE$105)&gt;0,$E$1=2),0,1)</f>
        <v>1</v>
      </c>
      <c r="S190" s="68">
        <f ca="1">IF(AND(SUMIF(Capacity_Resource,$D190,'Critical resources (hide)'!AF$6:AF$105)+SUMIF(Capacity_Resource,$E190,'Critical resources (hide)'!AF$6:AF$105)+SUMIF(Capacity_Resource,$F190,'Critical resources (hide)'!AF$6:AF$105)&gt;0,$E$1=2),0,1)</f>
        <v>1</v>
      </c>
      <c r="T190" s="68">
        <f ca="1">IF(AND(SUMIF(Capacity_Resource,$D190,'Critical resources (hide)'!AG$6:AG$105)+SUMIF(Capacity_Resource,$E190,'Critical resources (hide)'!AG$6:AG$105)+SUMIF(Capacity_Resource,$F190,'Critical resources (hide)'!AG$6:AG$105)&gt;0,$E$1=2),0,1)</f>
        <v>1</v>
      </c>
      <c r="U190" s="68">
        <f ca="1">IF(AND(SUMIF(Capacity_Resource,$D190,'Critical resources (hide)'!AH$6:AH$105)+SUMIF(Capacity_Resource,$E190,'Critical resources (hide)'!AH$6:AH$105)+SUMIF(Capacity_Resource,$F190,'Critical resources (hide)'!AH$6:AH$105)&gt;0,$E$1=2),0,1)</f>
        <v>1</v>
      </c>
      <c r="V190" s="68">
        <f ca="1">IF(AND(SUMIF(Capacity_Resource,$D190,'Critical resources (hide)'!AI$6:AI$105)+SUMIF(Capacity_Resource,$E190,'Critical resources (hide)'!AI$6:AI$105)+SUMIF(Capacity_Resource,$F190,'Critical resources (hide)'!AI$6:AI$105)&gt;0,$E$1=2),0,1)</f>
        <v>1</v>
      </c>
      <c r="W190" s="68">
        <f ca="1">IF(AND(SUMIF(Capacity_Resource,$D190,'Critical resources (hide)'!AJ$6:AJ$105)+SUMIF(Capacity_Resource,$E190,'Critical resources (hide)'!AJ$6:AJ$105)+SUMIF(Capacity_Resource,$F190,'Critical resources (hide)'!AJ$6:AJ$105)&gt;0,$E$1=2),0,1)</f>
        <v>1</v>
      </c>
      <c r="X190" s="68">
        <f ca="1">IF(AND(SUMIF(Capacity_Resource,$D190,'Critical resources (hide)'!AK$6:AK$105)+SUMIF(Capacity_Resource,$E190,'Critical resources (hide)'!AK$6:AK$105)+SUMIF(Capacity_Resource,$F190,'Critical resources (hide)'!AK$6:AK$105)&gt;0,$E$1=2),0,1)</f>
        <v>1</v>
      </c>
      <c r="Y190" s="68">
        <f ca="1">IF(AND(SUMIF(Capacity_Resource,$D190,'Critical resources (hide)'!AL$6:AL$105)+SUMIF(Capacity_Resource,$E190,'Critical resources (hide)'!AL$6:AL$105)+SUMIF(Capacity_Resource,$F190,'Critical resources (hide)'!AL$6:AL$105)&gt;0,$E$1=2),0,1)</f>
        <v>1</v>
      </c>
      <c r="Z190" s="68">
        <f ca="1">IF(AND(SUMIF(Capacity_Resource,$D190,'Critical resources (hide)'!AM$6:AM$105)+SUMIF(Capacity_Resource,$E190,'Critical resources (hide)'!AM$6:AM$105)+SUMIF(Capacity_Resource,$F190,'Critical resources (hide)'!AM$6:AM$105)&gt;0,$E$1=2),0,1)</f>
        <v>1</v>
      </c>
      <c r="AA190" s="68">
        <f ca="1">IF(AND(SUMIF(Capacity_Resource,$D190,'Critical resources (hide)'!AN$6:AN$105)+SUMIF(Capacity_Resource,$E190,'Critical resources (hide)'!AN$6:AN$105)+SUMIF(Capacity_Resource,$F190,'Critical resources (hide)'!AN$6:AN$105)&gt;0,$E$1=2),0,1)</f>
        <v>1</v>
      </c>
      <c r="AB190" s="68">
        <f ca="1">IF(AND(SUMIF(Capacity_Resource,$D190,'Critical resources (hide)'!AO$6:AO$105)+SUMIF(Capacity_Resource,$E190,'Critical resources (hide)'!AO$6:AO$105)+SUMIF(Capacity_Resource,$F190,'Critical resources (hide)'!AO$6:AO$105)&gt;0,$E$1=2),0,1)</f>
        <v>1</v>
      </c>
      <c r="AC190" s="68">
        <f ca="1">IF(AND(SUMIF(Capacity_Resource,$D190,'Critical resources (hide)'!AP$6:AP$105)+SUMIF(Capacity_Resource,$E190,'Critical resources (hide)'!AP$6:AP$105)+SUMIF(Capacity_Resource,$F190,'Critical resources (hide)'!AP$6:AP$105)&gt;0,$E$1=2),0,1)</f>
        <v>1</v>
      </c>
      <c r="AD190" s="68">
        <f ca="1">IF(AND(SUMIF(Capacity_Resource,$D190,'Critical resources (hide)'!AQ$6:AQ$105)+SUMIF(Capacity_Resource,$E190,'Critical resources (hide)'!AQ$6:AQ$105)+SUMIF(Capacity_Resource,$F190,'Critical resources (hide)'!AQ$6:AQ$105)&gt;0,$E$1=2),0,1)</f>
        <v>1</v>
      </c>
      <c r="AE190" s="68">
        <f ca="1">IF(AND(SUMIF(Capacity_Resource,$D190,'Critical resources (hide)'!AR$6:AR$105)+SUMIF(Capacity_Resource,$E190,'Critical resources (hide)'!AR$6:AR$105)+SUMIF(Capacity_Resource,$F190,'Critical resources (hide)'!AR$6:AR$105)&gt;0,$E$1=2),0,1)</f>
        <v>1</v>
      </c>
      <c r="AF190" s="68">
        <f ca="1">IF(AND(SUMIF(Capacity_Resource,$D190,'Critical resources (hide)'!AS$6:AS$105)+SUMIF(Capacity_Resource,$E190,'Critical resources (hide)'!AS$6:AS$105)+SUMIF(Capacity_Resource,$F190,'Critical resources (hide)'!AS$6:AS$105)&gt;0,$E$1=2),0,1)</f>
        <v>1</v>
      </c>
      <c r="AG190" s="68">
        <f ca="1">IF(AND(SUMIF(Capacity_Resource,$D190,'Critical resources (hide)'!AT$6:AT$105)+SUMIF(Capacity_Resource,$E190,'Critical resources (hide)'!AT$6:AT$105)+SUMIF(Capacity_Resource,$F190,'Critical resources (hide)'!AT$6:AT$105)&gt;0,$E$1=2),0,1)</f>
        <v>1</v>
      </c>
      <c r="AH190" s="68">
        <f ca="1">IF(AND(SUMIF(Capacity_Resource,$D190,'Critical resources (hide)'!AU$6:AU$105)+SUMIF(Capacity_Resource,$E190,'Critical resources (hide)'!AU$6:AU$105)+SUMIF(Capacity_Resource,$F190,'Critical resources (hide)'!AU$6:AU$105)&gt;0,$E$1=2),0,1)</f>
        <v>1</v>
      </c>
      <c r="AI190" s="68">
        <f ca="1">IF(AND(SUMIF(Capacity_Resource,$D190,'Critical resources (hide)'!AV$6:AV$105)+SUMIF(Capacity_Resource,$E190,'Critical resources (hide)'!AV$6:AV$105)+SUMIF(Capacity_Resource,$F190,'Critical resources (hide)'!AV$6:AV$105)&gt;0,$E$1=2),0,1)</f>
        <v>1</v>
      </c>
      <c r="AJ190" s="68">
        <f ca="1">IF(AND(SUMIF(Capacity_Resource,$D190,'Critical resources (hide)'!AW$6:AW$105)+SUMIF(Capacity_Resource,$E190,'Critical resources (hide)'!AW$6:AW$105)+SUMIF(Capacity_Resource,$F190,'Critical resources (hide)'!AW$6:AW$105)&gt;0,$E$1=2),0,1)</f>
        <v>1</v>
      </c>
      <c r="AK190" s="68">
        <f ca="1">IF(AND(SUMIF(Capacity_Resource,$D190,'Critical resources (hide)'!AX$6:AX$105)+SUMIF(Capacity_Resource,$E190,'Critical resources (hide)'!AX$6:AX$105)+SUMIF(Capacity_Resource,$F190,'Critical resources (hide)'!AX$6:AX$105)&gt;0,$E$1=2),0,1)</f>
        <v>1</v>
      </c>
      <c r="AL190" s="68">
        <f ca="1">IF(AND(SUMIF(Capacity_Resource,$D190,'Critical resources (hide)'!AY$6:AY$105)+SUMIF(Capacity_Resource,$E190,'Critical resources (hide)'!AY$6:AY$105)+SUMIF(Capacity_Resource,$F190,'Critical resources (hide)'!AY$6:AY$105)&gt;0,$E$1=2),0,1)</f>
        <v>1</v>
      </c>
      <c r="AM190" s="68">
        <f ca="1">IF(AND(SUMIF(Capacity_Resource,$D190,'Critical resources (hide)'!AZ$6:AZ$105)+SUMIF(Capacity_Resource,$E190,'Critical resources (hide)'!AZ$6:AZ$105)+SUMIF(Capacity_Resource,$F190,'Critical resources (hide)'!AZ$6:AZ$105)&gt;0,$E$1=2),0,1)</f>
        <v>1</v>
      </c>
      <c r="AN190" s="68">
        <f ca="1">IF(AND(SUMIF(Capacity_Resource,$D190,'Critical resources (hide)'!BA$6:BA$105)+SUMIF(Capacity_Resource,$E190,'Critical resources (hide)'!BA$6:BA$105)+SUMIF(Capacity_Resource,$F190,'Critical resources (hide)'!BA$6:BA$105)&gt;0,$E$1=2),0,1)</f>
        <v>1</v>
      </c>
      <c r="AO190" s="68">
        <f ca="1">IF(AND(SUMIF(Capacity_Resource,$D190,'Critical resources (hide)'!BB$6:BB$105)+SUMIF(Capacity_Resource,$E190,'Critical resources (hide)'!BB$6:BB$105)+SUMIF(Capacity_Resource,$F190,'Critical resources (hide)'!BB$6:BB$105)&gt;0,$E$1=2),0,1)</f>
        <v>1</v>
      </c>
      <c r="AP190" s="68">
        <f ca="1">IF(AND(SUMIF(Capacity_Resource,$D190,'Critical resources (hide)'!BC$6:BC$105)+SUMIF(Capacity_Resource,$E190,'Critical resources (hide)'!BC$6:BC$105)+SUMIF(Capacity_Resource,$F190,'Critical resources (hide)'!BC$6:BC$105)&gt;0,$E$1=2),0,1)</f>
        <v>1</v>
      </c>
      <c r="AQ190" s="68">
        <f ca="1">IF(AND(SUMIF(Capacity_Resource,$D190,'Critical resources (hide)'!BD$6:BD$105)+SUMIF(Capacity_Resource,$E190,'Critical resources (hide)'!BD$6:BD$105)+SUMIF(Capacity_Resource,$F190,'Critical resources (hide)'!BD$6:BD$105)&gt;0,$E$1=2),0,1)</f>
        <v>1</v>
      </c>
      <c r="AR190" s="68">
        <f ca="1">IF(AND(SUMIF(Capacity_Resource,$D190,'Critical resources (hide)'!BE$6:BE$105)+SUMIF(Capacity_Resource,$E190,'Critical resources (hide)'!BE$6:BE$105)+SUMIF(Capacity_Resource,$F190,'Critical resources (hide)'!BE$6:BE$105)&gt;0,$E$1=2),0,1)</f>
        <v>1</v>
      </c>
      <c r="AS190" s="68">
        <f ca="1">IF(AND(SUMIF(Capacity_Resource,$D190,'Critical resources (hide)'!BF$6:BF$105)+SUMIF(Capacity_Resource,$E190,'Critical resources (hide)'!BF$6:BF$105)+SUMIF(Capacity_Resource,$F190,'Critical resources (hide)'!BF$6:BF$105)&gt;0,$E$1=2),0,1)</f>
        <v>1</v>
      </c>
      <c r="AT190" s="68">
        <f ca="1">IF(AND(SUMIF(Capacity_Resource,$D190,'Critical resources (hide)'!BG$6:BG$105)+SUMIF(Capacity_Resource,$E190,'Critical resources (hide)'!BG$6:BG$105)+SUMIF(Capacity_Resource,$F190,'Critical resources (hide)'!BG$6:BG$105)&gt;0,$E$1=2),0,1)</f>
        <v>1</v>
      </c>
      <c r="AU190" s="68">
        <f ca="1">IF(AND(SUMIF(Capacity_Resource,$D190,'Critical resources (hide)'!BH$6:BH$105)+SUMIF(Capacity_Resource,$E190,'Critical resources (hide)'!BH$6:BH$105)+SUMIF(Capacity_Resource,$F190,'Critical resources (hide)'!BH$6:BH$105)&gt;0,$E$1=2),0,1)</f>
        <v>1</v>
      </c>
      <c r="AV190" s="68">
        <f ca="1">IF(AND(SUMIF(Capacity_Resource,$D190,'Critical resources (hide)'!BI$6:BI$105)+SUMIF(Capacity_Resource,$E190,'Critical resources (hide)'!BI$6:BI$105)+SUMIF(Capacity_Resource,$F190,'Critical resources (hide)'!BI$6:BI$105)&gt;0,$E$1=2),0,1)</f>
        <v>1</v>
      </c>
      <c r="AW190" s="68">
        <f ca="1">IF(AND(SUMIF(Capacity_Resource,$D190,'Critical resources (hide)'!BJ$6:BJ$105)+SUMIF(Capacity_Resource,$E190,'Critical resources (hide)'!BJ$6:BJ$105)+SUMIF(Capacity_Resource,$F190,'Critical resources (hide)'!BJ$6:BJ$105)&gt;0,$E$1=2),0,1)</f>
        <v>1</v>
      </c>
      <c r="AX190" s="68">
        <f ca="1">IF(AND(SUMIF(Capacity_Resource,$D190,'Critical resources (hide)'!BK$6:BK$105)+SUMIF(Capacity_Resource,$E190,'Critical resources (hide)'!BK$6:BK$105)+SUMIF(Capacity_Resource,$F190,'Critical resources (hide)'!BK$6:BK$105)&gt;0,$E$1=2),0,1)</f>
        <v>1</v>
      </c>
      <c r="AY190" s="68">
        <f ca="1">IF(AND(SUMIF(Capacity_Resource,$D190,'Critical resources (hide)'!BL$6:BL$105)+SUMIF(Capacity_Resource,$E190,'Critical resources (hide)'!BL$6:BL$105)+SUMIF(Capacity_Resource,$F190,'Critical resources (hide)'!BL$6:BL$105)&gt;0,$E$1=2),0,1)</f>
        <v>1</v>
      </c>
      <c r="AZ190" s="68">
        <f ca="1">IF(AND(SUMIF(Capacity_Resource,$D190,'Critical resources (hide)'!BM$6:BM$105)+SUMIF(Capacity_Resource,$E190,'Critical resources (hide)'!BM$6:BM$105)+SUMIF(Capacity_Resource,$F190,'Critical resources (hide)'!BM$6:BM$105)&gt;0,$E$1=2),0,1)</f>
        <v>1</v>
      </c>
      <c r="BA190" s="68">
        <f ca="1">IF(AND(SUMIF(Capacity_Resource,$D190,'Critical resources (hide)'!BN$6:BN$105)+SUMIF(Capacity_Resource,$E190,'Critical resources (hide)'!BN$6:BN$105)+SUMIF(Capacity_Resource,$F190,'Critical resources (hide)'!BN$6:BN$105)&gt;0,$E$1=2),0,1)</f>
        <v>1</v>
      </c>
      <c r="BB190" s="68">
        <f ca="1">IF(AND(SUMIF(Capacity_Resource,$D190,'Critical resources (hide)'!BO$6:BO$105)+SUMIF(Capacity_Resource,$E190,'Critical resources (hide)'!BO$6:BO$105)+SUMIF(Capacity_Resource,$F190,'Critical resources (hide)'!BO$6:BO$105)&gt;0,$E$1=2),0,1)</f>
        <v>1</v>
      </c>
      <c r="BC190" s="68">
        <f ca="1">IF(AND(SUMIF(Capacity_Resource,$D190,'Critical resources (hide)'!BP$6:BP$105)+SUMIF(Capacity_Resource,$E190,'Critical resources (hide)'!BP$6:BP$105)+SUMIF(Capacity_Resource,$F190,'Critical resources (hide)'!BP$6:BP$105)&gt;0,$E$1=2),0,1)</f>
        <v>1</v>
      </c>
      <c r="BD190" s="68">
        <f ca="1">IF(AND(SUMIF(Capacity_Resource,$D190,'Critical resources (hide)'!BQ$6:BQ$105)+SUMIF(Capacity_Resource,$E190,'Critical resources (hide)'!BQ$6:BQ$105)+SUMIF(Capacity_Resource,$F190,'Critical resources (hide)'!BQ$6:BQ$105)&gt;0,$E$1=2),0,1)</f>
        <v>1</v>
      </c>
      <c r="BE190" s="68">
        <f ca="1">IF(AND(SUMIF(Capacity_Resource,$D190,'Critical resources (hide)'!BR$6:BR$105)+SUMIF(Capacity_Resource,$E190,'Critical resources (hide)'!BR$6:BR$105)+SUMIF(Capacity_Resource,$F190,'Critical resources (hide)'!BR$6:BR$105)&gt;0,$E$1=2),0,1)</f>
        <v>1</v>
      </c>
      <c r="BF190" s="68">
        <f ca="1">IF(AND(SUMIF(Capacity_Resource,$D190,'Critical resources (hide)'!BS$6:BS$105)+SUMIF(Capacity_Resource,$E190,'Critical resources (hide)'!BS$6:BS$105)+SUMIF(Capacity_Resource,$F190,'Critical resources (hide)'!BS$6:BS$105)&gt;0,$E$1=2),0,1)</f>
        <v>1</v>
      </c>
      <c r="BG190" s="68">
        <f ca="1">IF(AND(SUMIF(Capacity_Resource,$D190,'Critical resources (hide)'!BT$6:BT$105)+SUMIF(Capacity_Resource,$E190,'Critical resources (hide)'!BT$6:BT$105)+SUMIF(Capacity_Resource,$F190,'Critical resources (hide)'!BT$6:BT$105)&gt;0,$E$1=2),0,1)</f>
        <v>1</v>
      </c>
      <c r="BH190" s="68">
        <f>IF(ROW(A79)&lt;=Capacity!$M$16,IF('Capacity summary'!$C$14="No",SUM(H190:BG190),'Capacity summary'!$E102),0)</f>
        <v>0</v>
      </c>
      <c r="BI190" s="68" t="str">
        <f>IF(BH190&gt;0,IF(BH190&lt;Capacity!Q95,Capacity!R95,Capacity!T95/'Capacity calculation (hide)'!BH190),"")</f>
        <v/>
      </c>
      <c r="BJ190" s="5"/>
      <c r="BK190" s="5">
        <f>IF($BI190&lt;&gt;"",IF('Capacity summary'!$C$14="Yes",IF(COUNTBLANK('Capacity summary'!$H102:$BG102)&lt;52,IF('Capacity summary'!H102&lt;&gt;"",$BI190*H190,0),H190*$BI190),H190*$BI190),0)</f>
        <v>0</v>
      </c>
      <c r="BL190" s="5">
        <f>IF($BI190&lt;&gt;"",IF('Capacity summary'!$C$14="Yes",IF(COUNTBLANK('Capacity summary'!$H102:$BG102)&lt;52,IF('Capacity summary'!I102&lt;&gt;"",$BI190*I190,0),I190*$BI190),I190*$BI190),0)</f>
        <v>0</v>
      </c>
      <c r="BM190" s="5">
        <f>IF($BI190&lt;&gt;"",IF('Capacity summary'!$C$14="Yes",IF(COUNTBLANK('Capacity summary'!$H102:$BG102)&lt;52,IF('Capacity summary'!J102&lt;&gt;"",$BI190*J190,0),J190*$BI190),J190*$BI190),0)</f>
        <v>0</v>
      </c>
      <c r="BN190" s="5">
        <f>IF($BI190&lt;&gt;"",IF('Capacity summary'!$C$14="Yes",IF(COUNTBLANK('Capacity summary'!$H102:$BG102)&lt;52,IF('Capacity summary'!K102&lt;&gt;"",$BI190*K190,0),K190*$BI190),K190*$BI190),0)</f>
        <v>0</v>
      </c>
      <c r="BO190" s="5">
        <f>IF($BI190&lt;&gt;"",IF('Capacity summary'!$C$14="Yes",IF(COUNTBLANK('Capacity summary'!$H102:$BG102)&lt;52,IF('Capacity summary'!L102&lt;&gt;"",$BI190*L190,0),L190*$BI190),L190*$BI190),0)</f>
        <v>0</v>
      </c>
      <c r="BP190" s="5">
        <f>IF($BI190&lt;&gt;"",IF('Capacity summary'!$C$14="Yes",IF(COUNTBLANK('Capacity summary'!$H102:$BG102)&lt;52,IF('Capacity summary'!M102&lt;&gt;"",$BI190*M190,0),M190*$BI190),M190*$BI190),0)</f>
        <v>0</v>
      </c>
      <c r="BQ190" s="5">
        <f>IF($BI190&lt;&gt;"",IF('Capacity summary'!$C$14="Yes",IF(COUNTBLANK('Capacity summary'!$H102:$BG102)&lt;52,IF('Capacity summary'!N102&lt;&gt;"",$BI190*N190,0),N190*$BI190),N190*$BI190),0)</f>
        <v>0</v>
      </c>
      <c r="BR190" s="5">
        <f>IF($BI190&lt;&gt;"",IF('Capacity summary'!$C$14="Yes",IF(COUNTBLANK('Capacity summary'!$H102:$BG102)&lt;52,IF('Capacity summary'!O102&lt;&gt;"",$BI190*O190,0),O190*$BI190),O190*$BI190),0)</f>
        <v>0</v>
      </c>
      <c r="BS190" s="5">
        <f>IF($BI190&lt;&gt;"",IF('Capacity summary'!$C$14="Yes",IF(COUNTBLANK('Capacity summary'!$H102:$BG102)&lt;52,IF('Capacity summary'!P102&lt;&gt;"",$BI190*P190,0),P190*$BI190),P190*$BI190),0)</f>
        <v>0</v>
      </c>
      <c r="BT190" s="5">
        <f>IF($BI190&lt;&gt;"",IF('Capacity summary'!$C$14="Yes",IF(COUNTBLANK('Capacity summary'!$H102:$BG102)&lt;52,IF('Capacity summary'!Q102&lt;&gt;"",$BI190*Q190,0),Q190*$BI190),Q190*$BI190),0)</f>
        <v>0</v>
      </c>
      <c r="BU190" s="5">
        <f>IF($BI190&lt;&gt;"",IF('Capacity summary'!$C$14="Yes",IF(COUNTBLANK('Capacity summary'!$H102:$BG102)&lt;52,IF('Capacity summary'!R102&lt;&gt;"",$BI190*R190,0),R190*$BI190),R190*$BI190),0)</f>
        <v>0</v>
      </c>
      <c r="BV190" s="5">
        <f>IF($BI190&lt;&gt;"",IF('Capacity summary'!$C$14="Yes",IF(COUNTBLANK('Capacity summary'!$H102:$BG102)&lt;52,IF('Capacity summary'!S102&lt;&gt;"",$BI190*S190,0),S190*$BI190),S190*$BI190),0)</f>
        <v>0</v>
      </c>
      <c r="BW190" s="5">
        <f>IF($BI190&lt;&gt;"",IF('Capacity summary'!$C$14="Yes",IF(COUNTBLANK('Capacity summary'!$H102:$BG102)&lt;52,IF('Capacity summary'!T102&lt;&gt;"",$BI190*T190,0),T190*$BI190),T190*$BI190),0)</f>
        <v>0</v>
      </c>
      <c r="BX190" s="5">
        <f>IF($BI190&lt;&gt;"",IF('Capacity summary'!$C$14="Yes",IF(COUNTBLANK('Capacity summary'!$H102:$BG102)&lt;52,IF('Capacity summary'!U102&lt;&gt;"",$BI190*U190,0),U190*$BI190),U190*$BI190),0)</f>
        <v>0</v>
      </c>
      <c r="BY190" s="5">
        <f>IF($BI190&lt;&gt;"",IF('Capacity summary'!$C$14="Yes",IF(COUNTBLANK('Capacity summary'!$H102:$BG102)&lt;52,IF('Capacity summary'!V102&lt;&gt;"",$BI190*V190,0),V190*$BI190),V190*$BI190),0)</f>
        <v>0</v>
      </c>
      <c r="BZ190" s="5">
        <f>IF($BI190&lt;&gt;"",IF('Capacity summary'!$C$14="Yes",IF(COUNTBLANK('Capacity summary'!$H102:$BG102)&lt;52,IF('Capacity summary'!W102&lt;&gt;"",$BI190*W190,0),W190*$BI190),W190*$BI190),0)</f>
        <v>0</v>
      </c>
      <c r="CA190" s="5">
        <f>IF($BI190&lt;&gt;"",IF('Capacity summary'!$C$14="Yes",IF(COUNTBLANK('Capacity summary'!$H102:$BG102)&lt;52,IF('Capacity summary'!X102&lt;&gt;"",$BI190*X190,0),X190*$BI190),X190*$BI190),0)</f>
        <v>0</v>
      </c>
      <c r="CB190" s="5">
        <f>IF($BI190&lt;&gt;"",IF('Capacity summary'!$C$14="Yes",IF(COUNTBLANK('Capacity summary'!$H102:$BG102)&lt;52,IF('Capacity summary'!Y102&lt;&gt;"",$BI190*Y190,0),Y190*$BI190),Y190*$BI190),0)</f>
        <v>0</v>
      </c>
      <c r="CC190" s="5">
        <f>IF($BI190&lt;&gt;"",IF('Capacity summary'!$C$14="Yes",IF(COUNTBLANK('Capacity summary'!$H102:$BG102)&lt;52,IF('Capacity summary'!Z102&lt;&gt;"",$BI190*Z190,0),Z190*$BI190),Z190*$BI190),0)</f>
        <v>0</v>
      </c>
      <c r="CD190" s="5">
        <f>IF($BI190&lt;&gt;"",IF('Capacity summary'!$C$14="Yes",IF(COUNTBLANK('Capacity summary'!$H102:$BG102)&lt;52,IF('Capacity summary'!AA102&lt;&gt;"",$BI190*AA190,0),AA190*$BI190),AA190*$BI190),0)</f>
        <v>0</v>
      </c>
      <c r="CE190" s="5">
        <f>IF($BI190&lt;&gt;"",IF('Capacity summary'!$C$14="Yes",IF(COUNTBLANK('Capacity summary'!$H102:$BG102)&lt;52,IF('Capacity summary'!AB102&lt;&gt;"",$BI190*AB190,0),AB190*$BI190),AB190*$BI190),0)</f>
        <v>0</v>
      </c>
      <c r="CF190" s="5">
        <f>IF($BI190&lt;&gt;"",IF('Capacity summary'!$C$14="Yes",IF(COUNTBLANK('Capacity summary'!$H102:$BG102)&lt;52,IF('Capacity summary'!AC102&lt;&gt;"",$BI190*AC190,0),AC190*$BI190),AC190*$BI190),0)</f>
        <v>0</v>
      </c>
      <c r="CG190" s="5">
        <f>IF($BI190&lt;&gt;"",IF('Capacity summary'!$C$14="Yes",IF(COUNTBLANK('Capacity summary'!$H102:$BG102)&lt;52,IF('Capacity summary'!AD102&lt;&gt;"",$BI190*AD190,0),AD190*$BI190),AD190*$BI190),0)</f>
        <v>0</v>
      </c>
      <c r="CH190" s="5">
        <f>IF($BI190&lt;&gt;"",IF('Capacity summary'!$C$14="Yes",IF(COUNTBLANK('Capacity summary'!$H102:$BG102)&lt;52,IF('Capacity summary'!AE102&lt;&gt;"",$BI190*AE190,0),AE190*$BI190),AE190*$BI190),0)</f>
        <v>0</v>
      </c>
      <c r="CI190" s="5">
        <f>IF($BI190&lt;&gt;"",IF('Capacity summary'!$C$14="Yes",IF(COUNTBLANK('Capacity summary'!$H102:$BG102)&lt;52,IF('Capacity summary'!AF102&lt;&gt;"",$BI190*AF190,0),AF190*$BI190),AF190*$BI190),0)</f>
        <v>0</v>
      </c>
      <c r="CJ190" s="5">
        <f>IF($BI190&lt;&gt;"",IF('Capacity summary'!$C$14="Yes",IF(COUNTBLANK('Capacity summary'!$H102:$BG102)&lt;52,IF('Capacity summary'!AG102&lt;&gt;"",$BI190*AG190,0),AG190*$BI190),AG190*$BI190),0)</f>
        <v>0</v>
      </c>
      <c r="CK190" s="5">
        <f>IF($BI190&lt;&gt;"",IF('Capacity summary'!$C$14="Yes",IF(COUNTBLANK('Capacity summary'!$H102:$BG102)&lt;52,IF('Capacity summary'!AH102&lt;&gt;"",$BI190*AH190,0),AH190*$BI190),AH190*$BI190),0)</f>
        <v>0</v>
      </c>
      <c r="CL190" s="5">
        <f>IF($BI190&lt;&gt;"",IF('Capacity summary'!$C$14="Yes",IF(COUNTBLANK('Capacity summary'!$H102:$BG102)&lt;52,IF('Capacity summary'!AI102&lt;&gt;"",$BI190*AI190,0),AI190*$BI190),AI190*$BI190),0)</f>
        <v>0</v>
      </c>
      <c r="CM190" s="5">
        <f>IF($BI190&lt;&gt;"",IF('Capacity summary'!$C$14="Yes",IF(COUNTBLANK('Capacity summary'!$H102:$BG102)&lt;52,IF('Capacity summary'!AJ102&lt;&gt;"",$BI190*AJ190,0),AJ190*$BI190),AJ190*$BI190),0)</f>
        <v>0</v>
      </c>
      <c r="CN190" s="5">
        <f>IF($BI190&lt;&gt;"",IF('Capacity summary'!$C$14="Yes",IF(COUNTBLANK('Capacity summary'!$H102:$BG102)&lt;52,IF('Capacity summary'!AK102&lt;&gt;"",$BI190*AK190,0),AK190*$BI190),AK190*$BI190),0)</f>
        <v>0</v>
      </c>
      <c r="CO190" s="5">
        <f>IF($BI190&lt;&gt;"",IF('Capacity summary'!$C$14="Yes",IF(COUNTBLANK('Capacity summary'!$H102:$BG102)&lt;52,IF('Capacity summary'!AL102&lt;&gt;"",$BI190*AL190,0),AL190*$BI190),AL190*$BI190),0)</f>
        <v>0</v>
      </c>
      <c r="CP190" s="5">
        <f>IF($BI190&lt;&gt;"",IF('Capacity summary'!$C$14="Yes",IF(COUNTBLANK('Capacity summary'!$H102:$BG102)&lt;52,IF('Capacity summary'!AM102&lt;&gt;"",$BI190*AM190,0),AM190*$BI190),AM190*$BI190),0)</f>
        <v>0</v>
      </c>
      <c r="CQ190" s="5">
        <f>IF($BI190&lt;&gt;"",IF('Capacity summary'!$C$14="Yes",IF(COUNTBLANK('Capacity summary'!$H102:$BG102)&lt;52,IF('Capacity summary'!AN102&lt;&gt;"",$BI190*AN190,0),AN190*$BI190),AN190*$BI190),0)</f>
        <v>0</v>
      </c>
      <c r="CR190" s="5">
        <f>IF($BI190&lt;&gt;"",IF('Capacity summary'!$C$14="Yes",IF(COUNTBLANK('Capacity summary'!$H102:$BG102)&lt;52,IF('Capacity summary'!AO102&lt;&gt;"",$BI190*AO190,0),AO190*$BI190),AO190*$BI190),0)</f>
        <v>0</v>
      </c>
      <c r="CS190" s="5">
        <f>IF($BI190&lt;&gt;"",IF('Capacity summary'!$C$14="Yes",IF(COUNTBLANK('Capacity summary'!$H102:$BG102)&lt;52,IF('Capacity summary'!AP102&lt;&gt;"",$BI190*AP190,0),AP190*$BI190),AP190*$BI190),0)</f>
        <v>0</v>
      </c>
      <c r="CT190" s="5">
        <f>IF($BI190&lt;&gt;"",IF('Capacity summary'!$C$14="Yes",IF(COUNTBLANK('Capacity summary'!$H102:$BG102)&lt;52,IF('Capacity summary'!AQ102&lt;&gt;"",$BI190*AQ190,0),AQ190*$BI190),AQ190*$BI190),0)</f>
        <v>0</v>
      </c>
      <c r="CU190" s="5">
        <f>IF($BI190&lt;&gt;"",IF('Capacity summary'!$C$14="Yes",IF(COUNTBLANK('Capacity summary'!$H102:$BG102)&lt;52,IF('Capacity summary'!AR102&lt;&gt;"",$BI190*AR190,0),AR190*$BI190),AR190*$BI190),0)</f>
        <v>0</v>
      </c>
      <c r="CV190" s="5">
        <f>IF($BI190&lt;&gt;"",IF('Capacity summary'!$C$14="Yes",IF(COUNTBLANK('Capacity summary'!$H102:$BG102)&lt;52,IF('Capacity summary'!AS102&lt;&gt;"",$BI190*AS190,0),AS190*$BI190),AS190*$BI190),0)</f>
        <v>0</v>
      </c>
      <c r="CW190" s="5">
        <f>IF($BI190&lt;&gt;"",IF('Capacity summary'!$C$14="Yes",IF(COUNTBLANK('Capacity summary'!$H102:$BG102)&lt;52,IF('Capacity summary'!AT102&lt;&gt;"",$BI190*AT190,0),AT190*$BI190),AT190*$BI190),0)</f>
        <v>0</v>
      </c>
      <c r="CX190" s="5">
        <f>IF($BI190&lt;&gt;"",IF('Capacity summary'!$C$14="Yes",IF(COUNTBLANK('Capacity summary'!$H102:$BG102)&lt;52,IF('Capacity summary'!AU102&lt;&gt;"",$BI190*AU190,0),AU190*$BI190),AU190*$BI190),0)</f>
        <v>0</v>
      </c>
      <c r="CY190" s="5">
        <f>IF($BI190&lt;&gt;"",IF('Capacity summary'!$C$14="Yes",IF(COUNTBLANK('Capacity summary'!$H102:$BG102)&lt;52,IF('Capacity summary'!AV102&lt;&gt;"",$BI190*AV190,0),AV190*$BI190),AV190*$BI190),0)</f>
        <v>0</v>
      </c>
      <c r="CZ190" s="5">
        <f>IF($BI190&lt;&gt;"",IF('Capacity summary'!$C$14="Yes",IF(COUNTBLANK('Capacity summary'!$H102:$BG102)&lt;52,IF('Capacity summary'!AW102&lt;&gt;"",$BI190*AW190,0),AW190*$BI190),AW190*$BI190),0)</f>
        <v>0</v>
      </c>
      <c r="DA190" s="5">
        <f>IF($BI190&lt;&gt;"",IF('Capacity summary'!$C$14="Yes",IF(COUNTBLANK('Capacity summary'!$H102:$BG102)&lt;52,IF('Capacity summary'!AX102&lt;&gt;"",$BI190*AX190,0),AX190*$BI190),AX190*$BI190),0)</f>
        <v>0</v>
      </c>
      <c r="DB190" s="5">
        <f>IF($BI190&lt;&gt;"",IF('Capacity summary'!$C$14="Yes",IF(COUNTBLANK('Capacity summary'!$H102:$BG102)&lt;52,IF('Capacity summary'!AY102&lt;&gt;"",$BI190*AY190,0),AY190*$BI190),AY190*$BI190),0)</f>
        <v>0</v>
      </c>
      <c r="DC190" s="5">
        <f>IF($BI190&lt;&gt;"",IF('Capacity summary'!$C$14="Yes",IF(COUNTBLANK('Capacity summary'!$H102:$BG102)&lt;52,IF('Capacity summary'!AZ102&lt;&gt;"",$BI190*AZ190,0),AZ190*$BI190),AZ190*$BI190),0)</f>
        <v>0</v>
      </c>
      <c r="DD190" s="5">
        <f>IF($BI190&lt;&gt;"",IF('Capacity summary'!$C$14="Yes",IF(COUNTBLANK('Capacity summary'!$H102:$BG102)&lt;52,IF('Capacity summary'!BA102&lt;&gt;"",$BI190*BA190,0),BA190*$BI190),BA190*$BI190),0)</f>
        <v>0</v>
      </c>
      <c r="DE190" s="5">
        <f>IF($BI190&lt;&gt;"",IF('Capacity summary'!$C$14="Yes",IF(COUNTBLANK('Capacity summary'!$H102:$BG102)&lt;52,IF('Capacity summary'!BB102&lt;&gt;"",$BI190*BB190,0),BB190*$BI190),BB190*$BI190),0)</f>
        <v>0</v>
      </c>
      <c r="DF190" s="5">
        <f>IF($BI190&lt;&gt;"",IF('Capacity summary'!$C$14="Yes",IF(COUNTBLANK('Capacity summary'!$H102:$BG102)&lt;52,IF('Capacity summary'!BC102&lt;&gt;"",$BI190*BC190,0),BC190*$BI190),BC190*$BI190),0)</f>
        <v>0</v>
      </c>
      <c r="DG190" s="5">
        <f>IF($BI190&lt;&gt;"",IF('Capacity summary'!$C$14="Yes",IF(COUNTBLANK('Capacity summary'!$H102:$BG102)&lt;52,IF('Capacity summary'!BD102&lt;&gt;"",$BI190*BD190,0),BD190*$BI190),BD190*$BI190),0)</f>
        <v>0</v>
      </c>
      <c r="DH190" s="5">
        <f>IF($BI190&lt;&gt;"",IF('Capacity summary'!$C$14="Yes",IF(COUNTBLANK('Capacity summary'!$H102:$BG102)&lt;52,IF('Capacity summary'!BE102&lt;&gt;"",$BI190*BE190,0),BE190*$BI190),BE190*$BI190),0)</f>
        <v>0</v>
      </c>
      <c r="DI190" s="5">
        <f>IF($BI190&lt;&gt;"",IF('Capacity summary'!$C$14="Yes",IF(COUNTBLANK('Capacity summary'!$H102:$BG102)&lt;52,IF('Capacity summary'!BF102&lt;&gt;"",$BI190*BF190,0),BF190*$BI190),BF190*$BI190),0)</f>
        <v>0</v>
      </c>
      <c r="DJ190" s="5">
        <f>IF($BI190&lt;&gt;"",IF('Capacity summary'!$C$14="Yes",IF(COUNTBLANK('Capacity summary'!$H102:$BG102)&lt;52,IF('Capacity summary'!BG102&lt;&gt;"",$BI190*BG190,0),BG190*$BI190),BG190*$BI190),0)</f>
        <v>0</v>
      </c>
      <c r="DK190" s="138">
        <f t="shared" si="7"/>
        <v>0</v>
      </c>
    </row>
    <row r="191" spans="3:115" x14ac:dyDescent="0.2">
      <c r="C191" s="68" t="str">
        <f>ROW(A80)&amp;". "&amp;Capacity!N96</f>
        <v xml:space="preserve">80. </v>
      </c>
      <c r="D191" s="68">
        <f>'Capacity setup'!C197</f>
        <v>0</v>
      </c>
      <c r="E191" s="68">
        <f>'Capacity setup'!D197</f>
        <v>0</v>
      </c>
      <c r="F191" s="68">
        <f>'Capacity setup'!E197</f>
        <v>0</v>
      </c>
      <c r="H191" s="68">
        <f ca="1">IF(AND(SUMIF(Capacity_Resource,$D191,'Critical resources (hide)'!U$6:U$105)+SUMIF(Capacity_Resource,$E191,'Critical resources (hide)'!U$6:U$105)+SUMIF(Capacity_Resource,$F191,'Critical resources (hide)'!U$6:U$105)&gt;0,$E$1=2),0,1)</f>
        <v>1</v>
      </c>
      <c r="I191" s="68">
        <f ca="1">IF(AND(SUMIF(Capacity_Resource,$D191,'Critical resources (hide)'!V$6:V$105)+SUMIF(Capacity_Resource,$E191,'Critical resources (hide)'!V$6:V$105)+SUMIF(Capacity_Resource,$F191,'Critical resources (hide)'!V$6:V$105)&gt;0,$E$1=2),0,1)</f>
        <v>1</v>
      </c>
      <c r="J191" s="68">
        <f ca="1">IF(AND(SUMIF(Capacity_Resource,$D191,'Critical resources (hide)'!W$6:W$105)+SUMIF(Capacity_Resource,$E191,'Critical resources (hide)'!W$6:W$105)+SUMIF(Capacity_Resource,$F191,'Critical resources (hide)'!W$6:W$105)&gt;0,$E$1=2),0,1)</f>
        <v>1</v>
      </c>
      <c r="K191" s="68">
        <f ca="1">IF(AND(SUMIF(Capacity_Resource,$D191,'Critical resources (hide)'!X$6:X$105)+SUMIF(Capacity_Resource,$E191,'Critical resources (hide)'!X$6:X$105)+SUMIF(Capacity_Resource,$F191,'Critical resources (hide)'!X$6:X$105)&gt;0,$E$1=2),0,1)</f>
        <v>1</v>
      </c>
      <c r="L191" s="68">
        <f ca="1">IF(AND(SUMIF(Capacity_Resource,$D191,'Critical resources (hide)'!Y$6:Y$105)+SUMIF(Capacity_Resource,$E191,'Critical resources (hide)'!Y$6:Y$105)+SUMIF(Capacity_Resource,$F191,'Critical resources (hide)'!Y$6:Y$105)&gt;0,$E$1=2),0,1)</f>
        <v>1</v>
      </c>
      <c r="M191" s="68">
        <f ca="1">IF(AND(SUMIF(Capacity_Resource,$D191,'Critical resources (hide)'!Z$6:Z$105)+SUMIF(Capacity_Resource,$E191,'Critical resources (hide)'!Z$6:Z$105)+SUMIF(Capacity_Resource,$F191,'Critical resources (hide)'!Z$6:Z$105)&gt;0,$E$1=2),0,1)</f>
        <v>1</v>
      </c>
      <c r="N191" s="68">
        <f ca="1">IF(AND(SUMIF(Capacity_Resource,$D191,'Critical resources (hide)'!AA$6:AA$105)+SUMIF(Capacity_Resource,$E191,'Critical resources (hide)'!AA$6:AA$105)+SUMIF(Capacity_Resource,$F191,'Critical resources (hide)'!AA$6:AA$105)&gt;0,$E$1=2),0,1)</f>
        <v>1</v>
      </c>
      <c r="O191" s="68">
        <f ca="1">IF(AND(SUMIF(Capacity_Resource,$D191,'Critical resources (hide)'!AB$6:AB$105)+SUMIF(Capacity_Resource,$E191,'Critical resources (hide)'!AB$6:AB$105)+SUMIF(Capacity_Resource,$F191,'Critical resources (hide)'!AB$6:AB$105)&gt;0,$E$1=2),0,1)</f>
        <v>1</v>
      </c>
      <c r="P191" s="68">
        <f ca="1">IF(AND(SUMIF(Capacity_Resource,$D191,'Critical resources (hide)'!AC$6:AC$105)+SUMIF(Capacity_Resource,$E191,'Critical resources (hide)'!AC$6:AC$105)+SUMIF(Capacity_Resource,$F191,'Critical resources (hide)'!AC$6:AC$105)&gt;0,$E$1=2),0,1)</f>
        <v>1</v>
      </c>
      <c r="Q191" s="68">
        <f ca="1">IF(AND(SUMIF(Capacity_Resource,$D191,'Critical resources (hide)'!AD$6:AD$105)+SUMIF(Capacity_Resource,$E191,'Critical resources (hide)'!AD$6:AD$105)+SUMIF(Capacity_Resource,$F191,'Critical resources (hide)'!AD$6:AD$105)&gt;0,$E$1=2),0,1)</f>
        <v>1</v>
      </c>
      <c r="R191" s="68">
        <f ca="1">IF(AND(SUMIF(Capacity_Resource,$D191,'Critical resources (hide)'!AE$6:AE$105)+SUMIF(Capacity_Resource,$E191,'Critical resources (hide)'!AE$6:AE$105)+SUMIF(Capacity_Resource,$F191,'Critical resources (hide)'!AE$6:AE$105)&gt;0,$E$1=2),0,1)</f>
        <v>1</v>
      </c>
      <c r="S191" s="68">
        <f ca="1">IF(AND(SUMIF(Capacity_Resource,$D191,'Critical resources (hide)'!AF$6:AF$105)+SUMIF(Capacity_Resource,$E191,'Critical resources (hide)'!AF$6:AF$105)+SUMIF(Capacity_Resource,$F191,'Critical resources (hide)'!AF$6:AF$105)&gt;0,$E$1=2),0,1)</f>
        <v>1</v>
      </c>
      <c r="T191" s="68">
        <f ca="1">IF(AND(SUMIF(Capacity_Resource,$D191,'Critical resources (hide)'!AG$6:AG$105)+SUMIF(Capacity_Resource,$E191,'Critical resources (hide)'!AG$6:AG$105)+SUMIF(Capacity_Resource,$F191,'Critical resources (hide)'!AG$6:AG$105)&gt;0,$E$1=2),0,1)</f>
        <v>1</v>
      </c>
      <c r="U191" s="68">
        <f ca="1">IF(AND(SUMIF(Capacity_Resource,$D191,'Critical resources (hide)'!AH$6:AH$105)+SUMIF(Capacity_Resource,$E191,'Critical resources (hide)'!AH$6:AH$105)+SUMIF(Capacity_Resource,$F191,'Critical resources (hide)'!AH$6:AH$105)&gt;0,$E$1=2),0,1)</f>
        <v>1</v>
      </c>
      <c r="V191" s="68">
        <f ca="1">IF(AND(SUMIF(Capacity_Resource,$D191,'Critical resources (hide)'!AI$6:AI$105)+SUMIF(Capacity_Resource,$E191,'Critical resources (hide)'!AI$6:AI$105)+SUMIF(Capacity_Resource,$F191,'Critical resources (hide)'!AI$6:AI$105)&gt;0,$E$1=2),0,1)</f>
        <v>1</v>
      </c>
      <c r="W191" s="68">
        <f ca="1">IF(AND(SUMIF(Capacity_Resource,$D191,'Critical resources (hide)'!AJ$6:AJ$105)+SUMIF(Capacity_Resource,$E191,'Critical resources (hide)'!AJ$6:AJ$105)+SUMIF(Capacity_Resource,$F191,'Critical resources (hide)'!AJ$6:AJ$105)&gt;0,$E$1=2),0,1)</f>
        <v>1</v>
      </c>
      <c r="X191" s="68">
        <f ca="1">IF(AND(SUMIF(Capacity_Resource,$D191,'Critical resources (hide)'!AK$6:AK$105)+SUMIF(Capacity_Resource,$E191,'Critical resources (hide)'!AK$6:AK$105)+SUMIF(Capacity_Resource,$F191,'Critical resources (hide)'!AK$6:AK$105)&gt;0,$E$1=2),0,1)</f>
        <v>1</v>
      </c>
      <c r="Y191" s="68">
        <f ca="1">IF(AND(SUMIF(Capacity_Resource,$D191,'Critical resources (hide)'!AL$6:AL$105)+SUMIF(Capacity_Resource,$E191,'Critical resources (hide)'!AL$6:AL$105)+SUMIF(Capacity_Resource,$F191,'Critical resources (hide)'!AL$6:AL$105)&gt;0,$E$1=2),0,1)</f>
        <v>1</v>
      </c>
      <c r="Z191" s="68">
        <f ca="1">IF(AND(SUMIF(Capacity_Resource,$D191,'Critical resources (hide)'!AM$6:AM$105)+SUMIF(Capacity_Resource,$E191,'Critical resources (hide)'!AM$6:AM$105)+SUMIF(Capacity_Resource,$F191,'Critical resources (hide)'!AM$6:AM$105)&gt;0,$E$1=2),0,1)</f>
        <v>1</v>
      </c>
      <c r="AA191" s="68">
        <f ca="1">IF(AND(SUMIF(Capacity_Resource,$D191,'Critical resources (hide)'!AN$6:AN$105)+SUMIF(Capacity_Resource,$E191,'Critical resources (hide)'!AN$6:AN$105)+SUMIF(Capacity_Resource,$F191,'Critical resources (hide)'!AN$6:AN$105)&gt;0,$E$1=2),0,1)</f>
        <v>1</v>
      </c>
      <c r="AB191" s="68">
        <f ca="1">IF(AND(SUMIF(Capacity_Resource,$D191,'Critical resources (hide)'!AO$6:AO$105)+SUMIF(Capacity_Resource,$E191,'Critical resources (hide)'!AO$6:AO$105)+SUMIF(Capacity_Resource,$F191,'Critical resources (hide)'!AO$6:AO$105)&gt;0,$E$1=2),0,1)</f>
        <v>1</v>
      </c>
      <c r="AC191" s="68">
        <f ca="1">IF(AND(SUMIF(Capacity_Resource,$D191,'Critical resources (hide)'!AP$6:AP$105)+SUMIF(Capacity_Resource,$E191,'Critical resources (hide)'!AP$6:AP$105)+SUMIF(Capacity_Resource,$F191,'Critical resources (hide)'!AP$6:AP$105)&gt;0,$E$1=2),0,1)</f>
        <v>1</v>
      </c>
      <c r="AD191" s="68">
        <f ca="1">IF(AND(SUMIF(Capacity_Resource,$D191,'Critical resources (hide)'!AQ$6:AQ$105)+SUMIF(Capacity_Resource,$E191,'Critical resources (hide)'!AQ$6:AQ$105)+SUMIF(Capacity_Resource,$F191,'Critical resources (hide)'!AQ$6:AQ$105)&gt;0,$E$1=2),0,1)</f>
        <v>1</v>
      </c>
      <c r="AE191" s="68">
        <f ca="1">IF(AND(SUMIF(Capacity_Resource,$D191,'Critical resources (hide)'!AR$6:AR$105)+SUMIF(Capacity_Resource,$E191,'Critical resources (hide)'!AR$6:AR$105)+SUMIF(Capacity_Resource,$F191,'Critical resources (hide)'!AR$6:AR$105)&gt;0,$E$1=2),0,1)</f>
        <v>1</v>
      </c>
      <c r="AF191" s="68">
        <f ca="1">IF(AND(SUMIF(Capacity_Resource,$D191,'Critical resources (hide)'!AS$6:AS$105)+SUMIF(Capacity_Resource,$E191,'Critical resources (hide)'!AS$6:AS$105)+SUMIF(Capacity_Resource,$F191,'Critical resources (hide)'!AS$6:AS$105)&gt;0,$E$1=2),0,1)</f>
        <v>1</v>
      </c>
      <c r="AG191" s="68">
        <f ca="1">IF(AND(SUMIF(Capacity_Resource,$D191,'Critical resources (hide)'!AT$6:AT$105)+SUMIF(Capacity_Resource,$E191,'Critical resources (hide)'!AT$6:AT$105)+SUMIF(Capacity_Resource,$F191,'Critical resources (hide)'!AT$6:AT$105)&gt;0,$E$1=2),0,1)</f>
        <v>1</v>
      </c>
      <c r="AH191" s="68">
        <f ca="1">IF(AND(SUMIF(Capacity_Resource,$D191,'Critical resources (hide)'!AU$6:AU$105)+SUMIF(Capacity_Resource,$E191,'Critical resources (hide)'!AU$6:AU$105)+SUMIF(Capacity_Resource,$F191,'Critical resources (hide)'!AU$6:AU$105)&gt;0,$E$1=2),0,1)</f>
        <v>1</v>
      </c>
      <c r="AI191" s="68">
        <f ca="1">IF(AND(SUMIF(Capacity_Resource,$D191,'Critical resources (hide)'!AV$6:AV$105)+SUMIF(Capacity_Resource,$E191,'Critical resources (hide)'!AV$6:AV$105)+SUMIF(Capacity_Resource,$F191,'Critical resources (hide)'!AV$6:AV$105)&gt;0,$E$1=2),0,1)</f>
        <v>1</v>
      </c>
      <c r="AJ191" s="68">
        <f ca="1">IF(AND(SUMIF(Capacity_Resource,$D191,'Critical resources (hide)'!AW$6:AW$105)+SUMIF(Capacity_Resource,$E191,'Critical resources (hide)'!AW$6:AW$105)+SUMIF(Capacity_Resource,$F191,'Critical resources (hide)'!AW$6:AW$105)&gt;0,$E$1=2),0,1)</f>
        <v>1</v>
      </c>
      <c r="AK191" s="68">
        <f ca="1">IF(AND(SUMIF(Capacity_Resource,$D191,'Critical resources (hide)'!AX$6:AX$105)+SUMIF(Capacity_Resource,$E191,'Critical resources (hide)'!AX$6:AX$105)+SUMIF(Capacity_Resource,$F191,'Critical resources (hide)'!AX$6:AX$105)&gt;0,$E$1=2),0,1)</f>
        <v>1</v>
      </c>
      <c r="AL191" s="68">
        <f ca="1">IF(AND(SUMIF(Capacity_Resource,$D191,'Critical resources (hide)'!AY$6:AY$105)+SUMIF(Capacity_Resource,$E191,'Critical resources (hide)'!AY$6:AY$105)+SUMIF(Capacity_Resource,$F191,'Critical resources (hide)'!AY$6:AY$105)&gt;0,$E$1=2),0,1)</f>
        <v>1</v>
      </c>
      <c r="AM191" s="68">
        <f ca="1">IF(AND(SUMIF(Capacity_Resource,$D191,'Critical resources (hide)'!AZ$6:AZ$105)+SUMIF(Capacity_Resource,$E191,'Critical resources (hide)'!AZ$6:AZ$105)+SUMIF(Capacity_Resource,$F191,'Critical resources (hide)'!AZ$6:AZ$105)&gt;0,$E$1=2),0,1)</f>
        <v>1</v>
      </c>
      <c r="AN191" s="68">
        <f ca="1">IF(AND(SUMIF(Capacity_Resource,$D191,'Critical resources (hide)'!BA$6:BA$105)+SUMIF(Capacity_Resource,$E191,'Critical resources (hide)'!BA$6:BA$105)+SUMIF(Capacity_Resource,$F191,'Critical resources (hide)'!BA$6:BA$105)&gt;0,$E$1=2),0,1)</f>
        <v>1</v>
      </c>
      <c r="AO191" s="68">
        <f ca="1">IF(AND(SUMIF(Capacity_Resource,$D191,'Critical resources (hide)'!BB$6:BB$105)+SUMIF(Capacity_Resource,$E191,'Critical resources (hide)'!BB$6:BB$105)+SUMIF(Capacity_Resource,$F191,'Critical resources (hide)'!BB$6:BB$105)&gt;0,$E$1=2),0,1)</f>
        <v>1</v>
      </c>
      <c r="AP191" s="68">
        <f ca="1">IF(AND(SUMIF(Capacity_Resource,$D191,'Critical resources (hide)'!BC$6:BC$105)+SUMIF(Capacity_Resource,$E191,'Critical resources (hide)'!BC$6:BC$105)+SUMIF(Capacity_Resource,$F191,'Critical resources (hide)'!BC$6:BC$105)&gt;0,$E$1=2),0,1)</f>
        <v>1</v>
      </c>
      <c r="AQ191" s="68">
        <f ca="1">IF(AND(SUMIF(Capacity_Resource,$D191,'Critical resources (hide)'!BD$6:BD$105)+SUMIF(Capacity_Resource,$E191,'Critical resources (hide)'!BD$6:BD$105)+SUMIF(Capacity_Resource,$F191,'Critical resources (hide)'!BD$6:BD$105)&gt;0,$E$1=2),0,1)</f>
        <v>1</v>
      </c>
      <c r="AR191" s="68">
        <f ca="1">IF(AND(SUMIF(Capacity_Resource,$D191,'Critical resources (hide)'!BE$6:BE$105)+SUMIF(Capacity_Resource,$E191,'Critical resources (hide)'!BE$6:BE$105)+SUMIF(Capacity_Resource,$F191,'Critical resources (hide)'!BE$6:BE$105)&gt;0,$E$1=2),0,1)</f>
        <v>1</v>
      </c>
      <c r="AS191" s="68">
        <f ca="1">IF(AND(SUMIF(Capacity_Resource,$D191,'Critical resources (hide)'!BF$6:BF$105)+SUMIF(Capacity_Resource,$E191,'Critical resources (hide)'!BF$6:BF$105)+SUMIF(Capacity_Resource,$F191,'Critical resources (hide)'!BF$6:BF$105)&gt;0,$E$1=2),0,1)</f>
        <v>1</v>
      </c>
      <c r="AT191" s="68">
        <f ca="1">IF(AND(SUMIF(Capacity_Resource,$D191,'Critical resources (hide)'!BG$6:BG$105)+SUMIF(Capacity_Resource,$E191,'Critical resources (hide)'!BG$6:BG$105)+SUMIF(Capacity_Resource,$F191,'Critical resources (hide)'!BG$6:BG$105)&gt;0,$E$1=2),0,1)</f>
        <v>1</v>
      </c>
      <c r="AU191" s="68">
        <f ca="1">IF(AND(SUMIF(Capacity_Resource,$D191,'Critical resources (hide)'!BH$6:BH$105)+SUMIF(Capacity_Resource,$E191,'Critical resources (hide)'!BH$6:BH$105)+SUMIF(Capacity_Resource,$F191,'Critical resources (hide)'!BH$6:BH$105)&gt;0,$E$1=2),0,1)</f>
        <v>1</v>
      </c>
      <c r="AV191" s="68">
        <f ca="1">IF(AND(SUMIF(Capacity_Resource,$D191,'Critical resources (hide)'!BI$6:BI$105)+SUMIF(Capacity_Resource,$E191,'Critical resources (hide)'!BI$6:BI$105)+SUMIF(Capacity_Resource,$F191,'Critical resources (hide)'!BI$6:BI$105)&gt;0,$E$1=2),0,1)</f>
        <v>1</v>
      </c>
      <c r="AW191" s="68">
        <f ca="1">IF(AND(SUMIF(Capacity_Resource,$D191,'Critical resources (hide)'!BJ$6:BJ$105)+SUMIF(Capacity_Resource,$E191,'Critical resources (hide)'!BJ$6:BJ$105)+SUMIF(Capacity_Resource,$F191,'Critical resources (hide)'!BJ$6:BJ$105)&gt;0,$E$1=2),0,1)</f>
        <v>1</v>
      </c>
      <c r="AX191" s="68">
        <f ca="1">IF(AND(SUMIF(Capacity_Resource,$D191,'Critical resources (hide)'!BK$6:BK$105)+SUMIF(Capacity_Resource,$E191,'Critical resources (hide)'!BK$6:BK$105)+SUMIF(Capacity_Resource,$F191,'Critical resources (hide)'!BK$6:BK$105)&gt;0,$E$1=2),0,1)</f>
        <v>1</v>
      </c>
      <c r="AY191" s="68">
        <f ca="1">IF(AND(SUMIF(Capacity_Resource,$D191,'Critical resources (hide)'!BL$6:BL$105)+SUMIF(Capacity_Resource,$E191,'Critical resources (hide)'!BL$6:BL$105)+SUMIF(Capacity_Resource,$F191,'Critical resources (hide)'!BL$6:BL$105)&gt;0,$E$1=2),0,1)</f>
        <v>1</v>
      </c>
      <c r="AZ191" s="68">
        <f ca="1">IF(AND(SUMIF(Capacity_Resource,$D191,'Critical resources (hide)'!BM$6:BM$105)+SUMIF(Capacity_Resource,$E191,'Critical resources (hide)'!BM$6:BM$105)+SUMIF(Capacity_Resource,$F191,'Critical resources (hide)'!BM$6:BM$105)&gt;0,$E$1=2),0,1)</f>
        <v>1</v>
      </c>
      <c r="BA191" s="68">
        <f ca="1">IF(AND(SUMIF(Capacity_Resource,$D191,'Critical resources (hide)'!BN$6:BN$105)+SUMIF(Capacity_Resource,$E191,'Critical resources (hide)'!BN$6:BN$105)+SUMIF(Capacity_Resource,$F191,'Critical resources (hide)'!BN$6:BN$105)&gt;0,$E$1=2),0,1)</f>
        <v>1</v>
      </c>
      <c r="BB191" s="68">
        <f ca="1">IF(AND(SUMIF(Capacity_Resource,$D191,'Critical resources (hide)'!BO$6:BO$105)+SUMIF(Capacity_Resource,$E191,'Critical resources (hide)'!BO$6:BO$105)+SUMIF(Capacity_Resource,$F191,'Critical resources (hide)'!BO$6:BO$105)&gt;0,$E$1=2),0,1)</f>
        <v>1</v>
      </c>
      <c r="BC191" s="68">
        <f ca="1">IF(AND(SUMIF(Capacity_Resource,$D191,'Critical resources (hide)'!BP$6:BP$105)+SUMIF(Capacity_Resource,$E191,'Critical resources (hide)'!BP$6:BP$105)+SUMIF(Capacity_Resource,$F191,'Critical resources (hide)'!BP$6:BP$105)&gt;0,$E$1=2),0,1)</f>
        <v>1</v>
      </c>
      <c r="BD191" s="68">
        <f ca="1">IF(AND(SUMIF(Capacity_Resource,$D191,'Critical resources (hide)'!BQ$6:BQ$105)+SUMIF(Capacity_Resource,$E191,'Critical resources (hide)'!BQ$6:BQ$105)+SUMIF(Capacity_Resource,$F191,'Critical resources (hide)'!BQ$6:BQ$105)&gt;0,$E$1=2),0,1)</f>
        <v>1</v>
      </c>
      <c r="BE191" s="68">
        <f ca="1">IF(AND(SUMIF(Capacity_Resource,$D191,'Critical resources (hide)'!BR$6:BR$105)+SUMIF(Capacity_Resource,$E191,'Critical resources (hide)'!BR$6:BR$105)+SUMIF(Capacity_Resource,$F191,'Critical resources (hide)'!BR$6:BR$105)&gt;0,$E$1=2),0,1)</f>
        <v>1</v>
      </c>
      <c r="BF191" s="68">
        <f ca="1">IF(AND(SUMIF(Capacity_Resource,$D191,'Critical resources (hide)'!BS$6:BS$105)+SUMIF(Capacity_Resource,$E191,'Critical resources (hide)'!BS$6:BS$105)+SUMIF(Capacity_Resource,$F191,'Critical resources (hide)'!BS$6:BS$105)&gt;0,$E$1=2),0,1)</f>
        <v>1</v>
      </c>
      <c r="BG191" s="68">
        <f ca="1">IF(AND(SUMIF(Capacity_Resource,$D191,'Critical resources (hide)'!BT$6:BT$105)+SUMIF(Capacity_Resource,$E191,'Critical resources (hide)'!BT$6:BT$105)+SUMIF(Capacity_Resource,$F191,'Critical resources (hide)'!BT$6:BT$105)&gt;0,$E$1=2),0,1)</f>
        <v>1</v>
      </c>
      <c r="BH191" s="68">
        <f>IF(ROW(A80)&lt;=Capacity!$M$16,IF('Capacity summary'!$C$14="No",SUM(H191:BG191),'Capacity summary'!$E103),0)</f>
        <v>0</v>
      </c>
      <c r="BI191" s="68" t="str">
        <f>IF(BH191&gt;0,IF(BH191&lt;Capacity!Q96,Capacity!R96,Capacity!T96/'Capacity calculation (hide)'!BH191),"")</f>
        <v/>
      </c>
      <c r="BJ191" s="5"/>
      <c r="BK191" s="5">
        <f>IF($BI191&lt;&gt;"",IF('Capacity summary'!$C$14="Yes",IF(COUNTBLANK('Capacity summary'!$H103:$BG103)&lt;52,IF('Capacity summary'!H103&lt;&gt;"",$BI191*H191,0),H191*$BI191),H191*$BI191),0)</f>
        <v>0</v>
      </c>
      <c r="BL191" s="5">
        <f>IF($BI191&lt;&gt;"",IF('Capacity summary'!$C$14="Yes",IF(COUNTBLANK('Capacity summary'!$H103:$BG103)&lt;52,IF('Capacity summary'!I103&lt;&gt;"",$BI191*I191,0),I191*$BI191),I191*$BI191),0)</f>
        <v>0</v>
      </c>
      <c r="BM191" s="5">
        <f>IF($BI191&lt;&gt;"",IF('Capacity summary'!$C$14="Yes",IF(COUNTBLANK('Capacity summary'!$H103:$BG103)&lt;52,IF('Capacity summary'!J103&lt;&gt;"",$BI191*J191,0),J191*$BI191),J191*$BI191),0)</f>
        <v>0</v>
      </c>
      <c r="BN191" s="5">
        <f>IF($BI191&lt;&gt;"",IF('Capacity summary'!$C$14="Yes",IF(COUNTBLANK('Capacity summary'!$H103:$BG103)&lt;52,IF('Capacity summary'!K103&lt;&gt;"",$BI191*K191,0),K191*$BI191),K191*$BI191),0)</f>
        <v>0</v>
      </c>
      <c r="BO191" s="5">
        <f>IF($BI191&lt;&gt;"",IF('Capacity summary'!$C$14="Yes",IF(COUNTBLANK('Capacity summary'!$H103:$BG103)&lt;52,IF('Capacity summary'!L103&lt;&gt;"",$BI191*L191,0),L191*$BI191),L191*$BI191),0)</f>
        <v>0</v>
      </c>
      <c r="BP191" s="5">
        <f>IF($BI191&lt;&gt;"",IF('Capacity summary'!$C$14="Yes",IF(COUNTBLANK('Capacity summary'!$H103:$BG103)&lt;52,IF('Capacity summary'!M103&lt;&gt;"",$BI191*M191,0),M191*$BI191),M191*$BI191),0)</f>
        <v>0</v>
      </c>
      <c r="BQ191" s="5">
        <f>IF($BI191&lt;&gt;"",IF('Capacity summary'!$C$14="Yes",IF(COUNTBLANK('Capacity summary'!$H103:$BG103)&lt;52,IF('Capacity summary'!N103&lt;&gt;"",$BI191*N191,0),N191*$BI191),N191*$BI191),0)</f>
        <v>0</v>
      </c>
      <c r="BR191" s="5">
        <f>IF($BI191&lt;&gt;"",IF('Capacity summary'!$C$14="Yes",IF(COUNTBLANK('Capacity summary'!$H103:$BG103)&lt;52,IF('Capacity summary'!O103&lt;&gt;"",$BI191*O191,0),O191*$BI191),O191*$BI191),0)</f>
        <v>0</v>
      </c>
      <c r="BS191" s="5">
        <f>IF($BI191&lt;&gt;"",IF('Capacity summary'!$C$14="Yes",IF(COUNTBLANK('Capacity summary'!$H103:$BG103)&lt;52,IF('Capacity summary'!P103&lt;&gt;"",$BI191*P191,0),P191*$BI191),P191*$BI191),0)</f>
        <v>0</v>
      </c>
      <c r="BT191" s="5">
        <f>IF($BI191&lt;&gt;"",IF('Capacity summary'!$C$14="Yes",IF(COUNTBLANK('Capacity summary'!$H103:$BG103)&lt;52,IF('Capacity summary'!Q103&lt;&gt;"",$BI191*Q191,0),Q191*$BI191),Q191*$BI191),0)</f>
        <v>0</v>
      </c>
      <c r="BU191" s="5">
        <f>IF($BI191&lt;&gt;"",IF('Capacity summary'!$C$14="Yes",IF(COUNTBLANK('Capacity summary'!$H103:$BG103)&lt;52,IF('Capacity summary'!R103&lt;&gt;"",$BI191*R191,0),R191*$BI191),R191*$BI191),0)</f>
        <v>0</v>
      </c>
      <c r="BV191" s="5">
        <f>IF($BI191&lt;&gt;"",IF('Capacity summary'!$C$14="Yes",IF(COUNTBLANK('Capacity summary'!$H103:$BG103)&lt;52,IF('Capacity summary'!S103&lt;&gt;"",$BI191*S191,0),S191*$BI191),S191*$BI191),0)</f>
        <v>0</v>
      </c>
      <c r="BW191" s="5">
        <f>IF($BI191&lt;&gt;"",IF('Capacity summary'!$C$14="Yes",IF(COUNTBLANK('Capacity summary'!$H103:$BG103)&lt;52,IF('Capacity summary'!T103&lt;&gt;"",$BI191*T191,0),T191*$BI191),T191*$BI191),0)</f>
        <v>0</v>
      </c>
      <c r="BX191" s="5">
        <f>IF($BI191&lt;&gt;"",IF('Capacity summary'!$C$14="Yes",IF(COUNTBLANK('Capacity summary'!$H103:$BG103)&lt;52,IF('Capacity summary'!U103&lt;&gt;"",$BI191*U191,0),U191*$BI191),U191*$BI191),0)</f>
        <v>0</v>
      </c>
      <c r="BY191" s="5">
        <f>IF($BI191&lt;&gt;"",IF('Capacity summary'!$C$14="Yes",IF(COUNTBLANK('Capacity summary'!$H103:$BG103)&lt;52,IF('Capacity summary'!V103&lt;&gt;"",$BI191*V191,0),V191*$BI191),V191*$BI191),0)</f>
        <v>0</v>
      </c>
      <c r="BZ191" s="5">
        <f>IF($BI191&lt;&gt;"",IF('Capacity summary'!$C$14="Yes",IF(COUNTBLANK('Capacity summary'!$H103:$BG103)&lt;52,IF('Capacity summary'!W103&lt;&gt;"",$BI191*W191,0),W191*$BI191),W191*$BI191),0)</f>
        <v>0</v>
      </c>
      <c r="CA191" s="5">
        <f>IF($BI191&lt;&gt;"",IF('Capacity summary'!$C$14="Yes",IF(COUNTBLANK('Capacity summary'!$H103:$BG103)&lt;52,IF('Capacity summary'!X103&lt;&gt;"",$BI191*X191,0),X191*$BI191),X191*$BI191),0)</f>
        <v>0</v>
      </c>
      <c r="CB191" s="5">
        <f>IF($BI191&lt;&gt;"",IF('Capacity summary'!$C$14="Yes",IF(COUNTBLANK('Capacity summary'!$H103:$BG103)&lt;52,IF('Capacity summary'!Y103&lt;&gt;"",$BI191*Y191,0),Y191*$BI191),Y191*$BI191),0)</f>
        <v>0</v>
      </c>
      <c r="CC191" s="5">
        <f>IF($BI191&lt;&gt;"",IF('Capacity summary'!$C$14="Yes",IF(COUNTBLANK('Capacity summary'!$H103:$BG103)&lt;52,IF('Capacity summary'!Z103&lt;&gt;"",$BI191*Z191,0),Z191*$BI191),Z191*$BI191),0)</f>
        <v>0</v>
      </c>
      <c r="CD191" s="5">
        <f>IF($BI191&lt;&gt;"",IF('Capacity summary'!$C$14="Yes",IF(COUNTBLANK('Capacity summary'!$H103:$BG103)&lt;52,IF('Capacity summary'!AA103&lt;&gt;"",$BI191*AA191,0),AA191*$BI191),AA191*$BI191),0)</f>
        <v>0</v>
      </c>
      <c r="CE191" s="5">
        <f>IF($BI191&lt;&gt;"",IF('Capacity summary'!$C$14="Yes",IF(COUNTBLANK('Capacity summary'!$H103:$BG103)&lt;52,IF('Capacity summary'!AB103&lt;&gt;"",$BI191*AB191,0),AB191*$BI191),AB191*$BI191),0)</f>
        <v>0</v>
      </c>
      <c r="CF191" s="5">
        <f>IF($BI191&lt;&gt;"",IF('Capacity summary'!$C$14="Yes",IF(COUNTBLANK('Capacity summary'!$H103:$BG103)&lt;52,IF('Capacity summary'!AC103&lt;&gt;"",$BI191*AC191,0),AC191*$BI191),AC191*$BI191),0)</f>
        <v>0</v>
      </c>
      <c r="CG191" s="5">
        <f>IF($BI191&lt;&gt;"",IF('Capacity summary'!$C$14="Yes",IF(COUNTBLANK('Capacity summary'!$H103:$BG103)&lt;52,IF('Capacity summary'!AD103&lt;&gt;"",$BI191*AD191,0),AD191*$BI191),AD191*$BI191),0)</f>
        <v>0</v>
      </c>
      <c r="CH191" s="5">
        <f>IF($BI191&lt;&gt;"",IF('Capacity summary'!$C$14="Yes",IF(COUNTBLANK('Capacity summary'!$H103:$BG103)&lt;52,IF('Capacity summary'!AE103&lt;&gt;"",$BI191*AE191,0),AE191*$BI191),AE191*$BI191),0)</f>
        <v>0</v>
      </c>
      <c r="CI191" s="5">
        <f>IF($BI191&lt;&gt;"",IF('Capacity summary'!$C$14="Yes",IF(COUNTBLANK('Capacity summary'!$H103:$BG103)&lt;52,IF('Capacity summary'!AF103&lt;&gt;"",$BI191*AF191,0),AF191*$BI191),AF191*$BI191),0)</f>
        <v>0</v>
      </c>
      <c r="CJ191" s="5">
        <f>IF($BI191&lt;&gt;"",IF('Capacity summary'!$C$14="Yes",IF(COUNTBLANK('Capacity summary'!$H103:$BG103)&lt;52,IF('Capacity summary'!AG103&lt;&gt;"",$BI191*AG191,0),AG191*$BI191),AG191*$BI191),0)</f>
        <v>0</v>
      </c>
      <c r="CK191" s="5">
        <f>IF($BI191&lt;&gt;"",IF('Capacity summary'!$C$14="Yes",IF(COUNTBLANK('Capacity summary'!$H103:$BG103)&lt;52,IF('Capacity summary'!AH103&lt;&gt;"",$BI191*AH191,0),AH191*$BI191),AH191*$BI191),0)</f>
        <v>0</v>
      </c>
      <c r="CL191" s="5">
        <f>IF($BI191&lt;&gt;"",IF('Capacity summary'!$C$14="Yes",IF(COUNTBLANK('Capacity summary'!$H103:$BG103)&lt;52,IF('Capacity summary'!AI103&lt;&gt;"",$BI191*AI191,0),AI191*$BI191),AI191*$BI191),0)</f>
        <v>0</v>
      </c>
      <c r="CM191" s="5">
        <f>IF($BI191&lt;&gt;"",IF('Capacity summary'!$C$14="Yes",IF(COUNTBLANK('Capacity summary'!$H103:$BG103)&lt;52,IF('Capacity summary'!AJ103&lt;&gt;"",$BI191*AJ191,0),AJ191*$BI191),AJ191*$BI191),0)</f>
        <v>0</v>
      </c>
      <c r="CN191" s="5">
        <f>IF($BI191&lt;&gt;"",IF('Capacity summary'!$C$14="Yes",IF(COUNTBLANK('Capacity summary'!$H103:$BG103)&lt;52,IF('Capacity summary'!AK103&lt;&gt;"",$BI191*AK191,0),AK191*$BI191),AK191*$BI191),0)</f>
        <v>0</v>
      </c>
      <c r="CO191" s="5">
        <f>IF($BI191&lt;&gt;"",IF('Capacity summary'!$C$14="Yes",IF(COUNTBLANK('Capacity summary'!$H103:$BG103)&lt;52,IF('Capacity summary'!AL103&lt;&gt;"",$BI191*AL191,0),AL191*$BI191),AL191*$BI191),0)</f>
        <v>0</v>
      </c>
      <c r="CP191" s="5">
        <f>IF($BI191&lt;&gt;"",IF('Capacity summary'!$C$14="Yes",IF(COUNTBLANK('Capacity summary'!$H103:$BG103)&lt;52,IF('Capacity summary'!AM103&lt;&gt;"",$BI191*AM191,0),AM191*$BI191),AM191*$BI191),0)</f>
        <v>0</v>
      </c>
      <c r="CQ191" s="5">
        <f>IF($BI191&lt;&gt;"",IF('Capacity summary'!$C$14="Yes",IF(COUNTBLANK('Capacity summary'!$H103:$BG103)&lt;52,IF('Capacity summary'!AN103&lt;&gt;"",$BI191*AN191,0),AN191*$BI191),AN191*$BI191),0)</f>
        <v>0</v>
      </c>
      <c r="CR191" s="5">
        <f>IF($BI191&lt;&gt;"",IF('Capacity summary'!$C$14="Yes",IF(COUNTBLANK('Capacity summary'!$H103:$BG103)&lt;52,IF('Capacity summary'!AO103&lt;&gt;"",$BI191*AO191,0),AO191*$BI191),AO191*$BI191),0)</f>
        <v>0</v>
      </c>
      <c r="CS191" s="5">
        <f>IF($BI191&lt;&gt;"",IF('Capacity summary'!$C$14="Yes",IF(COUNTBLANK('Capacity summary'!$H103:$BG103)&lt;52,IF('Capacity summary'!AP103&lt;&gt;"",$BI191*AP191,0),AP191*$BI191),AP191*$BI191),0)</f>
        <v>0</v>
      </c>
      <c r="CT191" s="5">
        <f>IF($BI191&lt;&gt;"",IF('Capacity summary'!$C$14="Yes",IF(COUNTBLANK('Capacity summary'!$H103:$BG103)&lt;52,IF('Capacity summary'!AQ103&lt;&gt;"",$BI191*AQ191,0),AQ191*$BI191),AQ191*$BI191),0)</f>
        <v>0</v>
      </c>
      <c r="CU191" s="5">
        <f>IF($BI191&lt;&gt;"",IF('Capacity summary'!$C$14="Yes",IF(COUNTBLANK('Capacity summary'!$H103:$BG103)&lt;52,IF('Capacity summary'!AR103&lt;&gt;"",$BI191*AR191,0),AR191*$BI191),AR191*$BI191),0)</f>
        <v>0</v>
      </c>
      <c r="CV191" s="5">
        <f>IF($BI191&lt;&gt;"",IF('Capacity summary'!$C$14="Yes",IF(COUNTBLANK('Capacity summary'!$H103:$BG103)&lt;52,IF('Capacity summary'!AS103&lt;&gt;"",$BI191*AS191,0),AS191*$BI191),AS191*$BI191),0)</f>
        <v>0</v>
      </c>
      <c r="CW191" s="5">
        <f>IF($BI191&lt;&gt;"",IF('Capacity summary'!$C$14="Yes",IF(COUNTBLANK('Capacity summary'!$H103:$BG103)&lt;52,IF('Capacity summary'!AT103&lt;&gt;"",$BI191*AT191,0),AT191*$BI191),AT191*$BI191),0)</f>
        <v>0</v>
      </c>
      <c r="CX191" s="5">
        <f>IF($BI191&lt;&gt;"",IF('Capacity summary'!$C$14="Yes",IF(COUNTBLANK('Capacity summary'!$H103:$BG103)&lt;52,IF('Capacity summary'!AU103&lt;&gt;"",$BI191*AU191,0),AU191*$BI191),AU191*$BI191),0)</f>
        <v>0</v>
      </c>
      <c r="CY191" s="5">
        <f>IF($BI191&lt;&gt;"",IF('Capacity summary'!$C$14="Yes",IF(COUNTBLANK('Capacity summary'!$H103:$BG103)&lt;52,IF('Capacity summary'!AV103&lt;&gt;"",$BI191*AV191,0),AV191*$BI191),AV191*$BI191),0)</f>
        <v>0</v>
      </c>
      <c r="CZ191" s="5">
        <f>IF($BI191&lt;&gt;"",IF('Capacity summary'!$C$14="Yes",IF(COUNTBLANK('Capacity summary'!$H103:$BG103)&lt;52,IF('Capacity summary'!AW103&lt;&gt;"",$BI191*AW191,0),AW191*$BI191),AW191*$BI191),0)</f>
        <v>0</v>
      </c>
      <c r="DA191" s="5">
        <f>IF($BI191&lt;&gt;"",IF('Capacity summary'!$C$14="Yes",IF(COUNTBLANK('Capacity summary'!$H103:$BG103)&lt;52,IF('Capacity summary'!AX103&lt;&gt;"",$BI191*AX191,0),AX191*$BI191),AX191*$BI191),0)</f>
        <v>0</v>
      </c>
      <c r="DB191" s="5">
        <f>IF($BI191&lt;&gt;"",IF('Capacity summary'!$C$14="Yes",IF(COUNTBLANK('Capacity summary'!$H103:$BG103)&lt;52,IF('Capacity summary'!AY103&lt;&gt;"",$BI191*AY191,0),AY191*$BI191),AY191*$BI191),0)</f>
        <v>0</v>
      </c>
      <c r="DC191" s="5">
        <f>IF($BI191&lt;&gt;"",IF('Capacity summary'!$C$14="Yes",IF(COUNTBLANK('Capacity summary'!$H103:$BG103)&lt;52,IF('Capacity summary'!AZ103&lt;&gt;"",$BI191*AZ191,0),AZ191*$BI191),AZ191*$BI191),0)</f>
        <v>0</v>
      </c>
      <c r="DD191" s="5">
        <f>IF($BI191&lt;&gt;"",IF('Capacity summary'!$C$14="Yes",IF(COUNTBLANK('Capacity summary'!$H103:$BG103)&lt;52,IF('Capacity summary'!BA103&lt;&gt;"",$BI191*BA191,0),BA191*$BI191),BA191*$BI191),0)</f>
        <v>0</v>
      </c>
      <c r="DE191" s="5">
        <f>IF($BI191&lt;&gt;"",IF('Capacity summary'!$C$14="Yes",IF(COUNTBLANK('Capacity summary'!$H103:$BG103)&lt;52,IF('Capacity summary'!BB103&lt;&gt;"",$BI191*BB191,0),BB191*$BI191),BB191*$BI191),0)</f>
        <v>0</v>
      </c>
      <c r="DF191" s="5">
        <f>IF($BI191&lt;&gt;"",IF('Capacity summary'!$C$14="Yes",IF(COUNTBLANK('Capacity summary'!$H103:$BG103)&lt;52,IF('Capacity summary'!BC103&lt;&gt;"",$BI191*BC191,0),BC191*$BI191),BC191*$BI191),0)</f>
        <v>0</v>
      </c>
      <c r="DG191" s="5">
        <f>IF($BI191&lt;&gt;"",IF('Capacity summary'!$C$14="Yes",IF(COUNTBLANK('Capacity summary'!$H103:$BG103)&lt;52,IF('Capacity summary'!BD103&lt;&gt;"",$BI191*BD191,0),BD191*$BI191),BD191*$BI191),0)</f>
        <v>0</v>
      </c>
      <c r="DH191" s="5">
        <f>IF($BI191&lt;&gt;"",IF('Capacity summary'!$C$14="Yes",IF(COUNTBLANK('Capacity summary'!$H103:$BG103)&lt;52,IF('Capacity summary'!BE103&lt;&gt;"",$BI191*BE191,0),BE191*$BI191),BE191*$BI191),0)</f>
        <v>0</v>
      </c>
      <c r="DI191" s="5">
        <f>IF($BI191&lt;&gt;"",IF('Capacity summary'!$C$14="Yes",IF(COUNTBLANK('Capacity summary'!$H103:$BG103)&lt;52,IF('Capacity summary'!BF103&lt;&gt;"",$BI191*BF191,0),BF191*$BI191),BF191*$BI191),0)</f>
        <v>0</v>
      </c>
      <c r="DJ191" s="5">
        <f>IF($BI191&lt;&gt;"",IF('Capacity summary'!$C$14="Yes",IF(COUNTBLANK('Capacity summary'!$H103:$BG103)&lt;52,IF('Capacity summary'!BG103&lt;&gt;"",$BI191*BG191,0),BG191*$BI191),BG191*$BI191),0)</f>
        <v>0</v>
      </c>
      <c r="DK191" s="138">
        <f t="shared" si="7"/>
        <v>0</v>
      </c>
    </row>
    <row r="192" spans="3:115" x14ac:dyDescent="0.2">
      <c r="C192" s="68" t="str">
        <f>ROW(A81)&amp;". "&amp;Capacity!N97</f>
        <v xml:space="preserve">81. </v>
      </c>
      <c r="D192" s="68">
        <f>'Capacity setup'!C198</f>
        <v>0</v>
      </c>
      <c r="E192" s="68">
        <f>'Capacity setup'!D198</f>
        <v>0</v>
      </c>
      <c r="F192" s="68">
        <f>'Capacity setup'!E198</f>
        <v>0</v>
      </c>
      <c r="H192" s="68">
        <f ca="1">IF(AND(SUMIF(Capacity_Resource,$D192,'Critical resources (hide)'!U$6:U$105)+SUMIF(Capacity_Resource,$E192,'Critical resources (hide)'!U$6:U$105)+SUMIF(Capacity_Resource,$F192,'Critical resources (hide)'!U$6:U$105)&gt;0,$E$1=2),0,1)</f>
        <v>1</v>
      </c>
      <c r="I192" s="68">
        <f ca="1">IF(AND(SUMIF(Capacity_Resource,$D192,'Critical resources (hide)'!V$6:V$105)+SUMIF(Capacity_Resource,$E192,'Critical resources (hide)'!V$6:V$105)+SUMIF(Capacity_Resource,$F192,'Critical resources (hide)'!V$6:V$105)&gt;0,$E$1=2),0,1)</f>
        <v>1</v>
      </c>
      <c r="J192" s="68">
        <f ca="1">IF(AND(SUMIF(Capacity_Resource,$D192,'Critical resources (hide)'!W$6:W$105)+SUMIF(Capacity_Resource,$E192,'Critical resources (hide)'!W$6:W$105)+SUMIF(Capacity_Resource,$F192,'Critical resources (hide)'!W$6:W$105)&gt;0,$E$1=2),0,1)</f>
        <v>1</v>
      </c>
      <c r="K192" s="68">
        <f ca="1">IF(AND(SUMIF(Capacity_Resource,$D192,'Critical resources (hide)'!X$6:X$105)+SUMIF(Capacity_Resource,$E192,'Critical resources (hide)'!X$6:X$105)+SUMIF(Capacity_Resource,$F192,'Critical resources (hide)'!X$6:X$105)&gt;0,$E$1=2),0,1)</f>
        <v>1</v>
      </c>
      <c r="L192" s="68">
        <f ca="1">IF(AND(SUMIF(Capacity_Resource,$D192,'Critical resources (hide)'!Y$6:Y$105)+SUMIF(Capacity_Resource,$E192,'Critical resources (hide)'!Y$6:Y$105)+SUMIF(Capacity_Resource,$F192,'Critical resources (hide)'!Y$6:Y$105)&gt;0,$E$1=2),0,1)</f>
        <v>1</v>
      </c>
      <c r="M192" s="68">
        <f ca="1">IF(AND(SUMIF(Capacity_Resource,$D192,'Critical resources (hide)'!Z$6:Z$105)+SUMIF(Capacity_Resource,$E192,'Critical resources (hide)'!Z$6:Z$105)+SUMIF(Capacity_Resource,$F192,'Critical resources (hide)'!Z$6:Z$105)&gt;0,$E$1=2),0,1)</f>
        <v>1</v>
      </c>
      <c r="N192" s="68">
        <f ca="1">IF(AND(SUMIF(Capacity_Resource,$D192,'Critical resources (hide)'!AA$6:AA$105)+SUMIF(Capacity_Resource,$E192,'Critical resources (hide)'!AA$6:AA$105)+SUMIF(Capacity_Resource,$F192,'Critical resources (hide)'!AA$6:AA$105)&gt;0,$E$1=2),0,1)</f>
        <v>1</v>
      </c>
      <c r="O192" s="68">
        <f ca="1">IF(AND(SUMIF(Capacity_Resource,$D192,'Critical resources (hide)'!AB$6:AB$105)+SUMIF(Capacity_Resource,$E192,'Critical resources (hide)'!AB$6:AB$105)+SUMIF(Capacity_Resource,$F192,'Critical resources (hide)'!AB$6:AB$105)&gt;0,$E$1=2),0,1)</f>
        <v>1</v>
      </c>
      <c r="P192" s="68">
        <f ca="1">IF(AND(SUMIF(Capacity_Resource,$D192,'Critical resources (hide)'!AC$6:AC$105)+SUMIF(Capacity_Resource,$E192,'Critical resources (hide)'!AC$6:AC$105)+SUMIF(Capacity_Resource,$F192,'Critical resources (hide)'!AC$6:AC$105)&gt;0,$E$1=2),0,1)</f>
        <v>1</v>
      </c>
      <c r="Q192" s="68">
        <f ca="1">IF(AND(SUMIF(Capacity_Resource,$D192,'Critical resources (hide)'!AD$6:AD$105)+SUMIF(Capacity_Resource,$E192,'Critical resources (hide)'!AD$6:AD$105)+SUMIF(Capacity_Resource,$F192,'Critical resources (hide)'!AD$6:AD$105)&gt;0,$E$1=2),0,1)</f>
        <v>1</v>
      </c>
      <c r="R192" s="68">
        <f ca="1">IF(AND(SUMIF(Capacity_Resource,$D192,'Critical resources (hide)'!AE$6:AE$105)+SUMIF(Capacity_Resource,$E192,'Critical resources (hide)'!AE$6:AE$105)+SUMIF(Capacity_Resource,$F192,'Critical resources (hide)'!AE$6:AE$105)&gt;0,$E$1=2),0,1)</f>
        <v>1</v>
      </c>
      <c r="S192" s="68">
        <f ca="1">IF(AND(SUMIF(Capacity_Resource,$D192,'Critical resources (hide)'!AF$6:AF$105)+SUMIF(Capacity_Resource,$E192,'Critical resources (hide)'!AF$6:AF$105)+SUMIF(Capacity_Resource,$F192,'Critical resources (hide)'!AF$6:AF$105)&gt;0,$E$1=2),0,1)</f>
        <v>1</v>
      </c>
      <c r="T192" s="68">
        <f ca="1">IF(AND(SUMIF(Capacity_Resource,$D192,'Critical resources (hide)'!AG$6:AG$105)+SUMIF(Capacity_Resource,$E192,'Critical resources (hide)'!AG$6:AG$105)+SUMIF(Capacity_Resource,$F192,'Critical resources (hide)'!AG$6:AG$105)&gt;0,$E$1=2),0,1)</f>
        <v>1</v>
      </c>
      <c r="U192" s="68">
        <f ca="1">IF(AND(SUMIF(Capacity_Resource,$D192,'Critical resources (hide)'!AH$6:AH$105)+SUMIF(Capacity_Resource,$E192,'Critical resources (hide)'!AH$6:AH$105)+SUMIF(Capacity_Resource,$F192,'Critical resources (hide)'!AH$6:AH$105)&gt;0,$E$1=2),0,1)</f>
        <v>1</v>
      </c>
      <c r="V192" s="68">
        <f ca="1">IF(AND(SUMIF(Capacity_Resource,$D192,'Critical resources (hide)'!AI$6:AI$105)+SUMIF(Capacity_Resource,$E192,'Critical resources (hide)'!AI$6:AI$105)+SUMIF(Capacity_Resource,$F192,'Critical resources (hide)'!AI$6:AI$105)&gt;0,$E$1=2),0,1)</f>
        <v>1</v>
      </c>
      <c r="W192" s="68">
        <f ca="1">IF(AND(SUMIF(Capacity_Resource,$D192,'Critical resources (hide)'!AJ$6:AJ$105)+SUMIF(Capacity_Resource,$E192,'Critical resources (hide)'!AJ$6:AJ$105)+SUMIF(Capacity_Resource,$F192,'Critical resources (hide)'!AJ$6:AJ$105)&gt;0,$E$1=2),0,1)</f>
        <v>1</v>
      </c>
      <c r="X192" s="68">
        <f ca="1">IF(AND(SUMIF(Capacity_Resource,$D192,'Critical resources (hide)'!AK$6:AK$105)+SUMIF(Capacity_Resource,$E192,'Critical resources (hide)'!AK$6:AK$105)+SUMIF(Capacity_Resource,$F192,'Critical resources (hide)'!AK$6:AK$105)&gt;0,$E$1=2),0,1)</f>
        <v>1</v>
      </c>
      <c r="Y192" s="68">
        <f ca="1">IF(AND(SUMIF(Capacity_Resource,$D192,'Critical resources (hide)'!AL$6:AL$105)+SUMIF(Capacity_Resource,$E192,'Critical resources (hide)'!AL$6:AL$105)+SUMIF(Capacity_Resource,$F192,'Critical resources (hide)'!AL$6:AL$105)&gt;0,$E$1=2),0,1)</f>
        <v>1</v>
      </c>
      <c r="Z192" s="68">
        <f ca="1">IF(AND(SUMIF(Capacity_Resource,$D192,'Critical resources (hide)'!AM$6:AM$105)+SUMIF(Capacity_Resource,$E192,'Critical resources (hide)'!AM$6:AM$105)+SUMIF(Capacity_Resource,$F192,'Critical resources (hide)'!AM$6:AM$105)&gt;0,$E$1=2),0,1)</f>
        <v>1</v>
      </c>
      <c r="AA192" s="68">
        <f ca="1">IF(AND(SUMIF(Capacity_Resource,$D192,'Critical resources (hide)'!AN$6:AN$105)+SUMIF(Capacity_Resource,$E192,'Critical resources (hide)'!AN$6:AN$105)+SUMIF(Capacity_Resource,$F192,'Critical resources (hide)'!AN$6:AN$105)&gt;0,$E$1=2),0,1)</f>
        <v>1</v>
      </c>
      <c r="AB192" s="68">
        <f ca="1">IF(AND(SUMIF(Capacity_Resource,$D192,'Critical resources (hide)'!AO$6:AO$105)+SUMIF(Capacity_Resource,$E192,'Critical resources (hide)'!AO$6:AO$105)+SUMIF(Capacity_Resource,$F192,'Critical resources (hide)'!AO$6:AO$105)&gt;0,$E$1=2),0,1)</f>
        <v>1</v>
      </c>
      <c r="AC192" s="68">
        <f ca="1">IF(AND(SUMIF(Capacity_Resource,$D192,'Critical resources (hide)'!AP$6:AP$105)+SUMIF(Capacity_Resource,$E192,'Critical resources (hide)'!AP$6:AP$105)+SUMIF(Capacity_Resource,$F192,'Critical resources (hide)'!AP$6:AP$105)&gt;0,$E$1=2),0,1)</f>
        <v>1</v>
      </c>
      <c r="AD192" s="68">
        <f ca="1">IF(AND(SUMIF(Capacity_Resource,$D192,'Critical resources (hide)'!AQ$6:AQ$105)+SUMIF(Capacity_Resource,$E192,'Critical resources (hide)'!AQ$6:AQ$105)+SUMIF(Capacity_Resource,$F192,'Critical resources (hide)'!AQ$6:AQ$105)&gt;0,$E$1=2),0,1)</f>
        <v>1</v>
      </c>
      <c r="AE192" s="68">
        <f ca="1">IF(AND(SUMIF(Capacity_Resource,$D192,'Critical resources (hide)'!AR$6:AR$105)+SUMIF(Capacity_Resource,$E192,'Critical resources (hide)'!AR$6:AR$105)+SUMIF(Capacity_Resource,$F192,'Critical resources (hide)'!AR$6:AR$105)&gt;0,$E$1=2),0,1)</f>
        <v>1</v>
      </c>
      <c r="AF192" s="68">
        <f ca="1">IF(AND(SUMIF(Capacity_Resource,$D192,'Critical resources (hide)'!AS$6:AS$105)+SUMIF(Capacity_Resource,$E192,'Critical resources (hide)'!AS$6:AS$105)+SUMIF(Capacity_Resource,$F192,'Critical resources (hide)'!AS$6:AS$105)&gt;0,$E$1=2),0,1)</f>
        <v>1</v>
      </c>
      <c r="AG192" s="68">
        <f ca="1">IF(AND(SUMIF(Capacity_Resource,$D192,'Critical resources (hide)'!AT$6:AT$105)+SUMIF(Capacity_Resource,$E192,'Critical resources (hide)'!AT$6:AT$105)+SUMIF(Capacity_Resource,$F192,'Critical resources (hide)'!AT$6:AT$105)&gt;0,$E$1=2),0,1)</f>
        <v>1</v>
      </c>
      <c r="AH192" s="68">
        <f ca="1">IF(AND(SUMIF(Capacity_Resource,$D192,'Critical resources (hide)'!AU$6:AU$105)+SUMIF(Capacity_Resource,$E192,'Critical resources (hide)'!AU$6:AU$105)+SUMIF(Capacity_Resource,$F192,'Critical resources (hide)'!AU$6:AU$105)&gt;0,$E$1=2),0,1)</f>
        <v>1</v>
      </c>
      <c r="AI192" s="68">
        <f ca="1">IF(AND(SUMIF(Capacity_Resource,$D192,'Critical resources (hide)'!AV$6:AV$105)+SUMIF(Capacity_Resource,$E192,'Critical resources (hide)'!AV$6:AV$105)+SUMIF(Capacity_Resource,$F192,'Critical resources (hide)'!AV$6:AV$105)&gt;0,$E$1=2),0,1)</f>
        <v>1</v>
      </c>
      <c r="AJ192" s="68">
        <f ca="1">IF(AND(SUMIF(Capacity_Resource,$D192,'Critical resources (hide)'!AW$6:AW$105)+SUMIF(Capacity_Resource,$E192,'Critical resources (hide)'!AW$6:AW$105)+SUMIF(Capacity_Resource,$F192,'Critical resources (hide)'!AW$6:AW$105)&gt;0,$E$1=2),0,1)</f>
        <v>1</v>
      </c>
      <c r="AK192" s="68">
        <f ca="1">IF(AND(SUMIF(Capacity_Resource,$D192,'Critical resources (hide)'!AX$6:AX$105)+SUMIF(Capacity_Resource,$E192,'Critical resources (hide)'!AX$6:AX$105)+SUMIF(Capacity_Resource,$F192,'Critical resources (hide)'!AX$6:AX$105)&gt;0,$E$1=2),0,1)</f>
        <v>1</v>
      </c>
      <c r="AL192" s="68">
        <f ca="1">IF(AND(SUMIF(Capacity_Resource,$D192,'Critical resources (hide)'!AY$6:AY$105)+SUMIF(Capacity_Resource,$E192,'Critical resources (hide)'!AY$6:AY$105)+SUMIF(Capacity_Resource,$F192,'Critical resources (hide)'!AY$6:AY$105)&gt;0,$E$1=2),0,1)</f>
        <v>1</v>
      </c>
      <c r="AM192" s="68">
        <f ca="1">IF(AND(SUMIF(Capacity_Resource,$D192,'Critical resources (hide)'!AZ$6:AZ$105)+SUMIF(Capacity_Resource,$E192,'Critical resources (hide)'!AZ$6:AZ$105)+SUMIF(Capacity_Resource,$F192,'Critical resources (hide)'!AZ$6:AZ$105)&gt;0,$E$1=2),0,1)</f>
        <v>1</v>
      </c>
      <c r="AN192" s="68">
        <f ca="1">IF(AND(SUMIF(Capacity_Resource,$D192,'Critical resources (hide)'!BA$6:BA$105)+SUMIF(Capacity_Resource,$E192,'Critical resources (hide)'!BA$6:BA$105)+SUMIF(Capacity_Resource,$F192,'Critical resources (hide)'!BA$6:BA$105)&gt;0,$E$1=2),0,1)</f>
        <v>1</v>
      </c>
      <c r="AO192" s="68">
        <f ca="1">IF(AND(SUMIF(Capacity_Resource,$D192,'Critical resources (hide)'!BB$6:BB$105)+SUMIF(Capacity_Resource,$E192,'Critical resources (hide)'!BB$6:BB$105)+SUMIF(Capacity_Resource,$F192,'Critical resources (hide)'!BB$6:BB$105)&gt;0,$E$1=2),0,1)</f>
        <v>1</v>
      </c>
      <c r="AP192" s="68">
        <f ca="1">IF(AND(SUMIF(Capacity_Resource,$D192,'Critical resources (hide)'!BC$6:BC$105)+SUMIF(Capacity_Resource,$E192,'Critical resources (hide)'!BC$6:BC$105)+SUMIF(Capacity_Resource,$F192,'Critical resources (hide)'!BC$6:BC$105)&gt;0,$E$1=2),0,1)</f>
        <v>1</v>
      </c>
      <c r="AQ192" s="68">
        <f ca="1">IF(AND(SUMIF(Capacity_Resource,$D192,'Critical resources (hide)'!BD$6:BD$105)+SUMIF(Capacity_Resource,$E192,'Critical resources (hide)'!BD$6:BD$105)+SUMIF(Capacity_Resource,$F192,'Critical resources (hide)'!BD$6:BD$105)&gt;0,$E$1=2),0,1)</f>
        <v>1</v>
      </c>
      <c r="AR192" s="68">
        <f ca="1">IF(AND(SUMIF(Capacity_Resource,$D192,'Critical resources (hide)'!BE$6:BE$105)+SUMIF(Capacity_Resource,$E192,'Critical resources (hide)'!BE$6:BE$105)+SUMIF(Capacity_Resource,$F192,'Critical resources (hide)'!BE$6:BE$105)&gt;0,$E$1=2),0,1)</f>
        <v>1</v>
      </c>
      <c r="AS192" s="68">
        <f ca="1">IF(AND(SUMIF(Capacity_Resource,$D192,'Critical resources (hide)'!BF$6:BF$105)+SUMIF(Capacity_Resource,$E192,'Critical resources (hide)'!BF$6:BF$105)+SUMIF(Capacity_Resource,$F192,'Critical resources (hide)'!BF$6:BF$105)&gt;0,$E$1=2),0,1)</f>
        <v>1</v>
      </c>
      <c r="AT192" s="68">
        <f ca="1">IF(AND(SUMIF(Capacity_Resource,$D192,'Critical resources (hide)'!BG$6:BG$105)+SUMIF(Capacity_Resource,$E192,'Critical resources (hide)'!BG$6:BG$105)+SUMIF(Capacity_Resource,$F192,'Critical resources (hide)'!BG$6:BG$105)&gt;0,$E$1=2),0,1)</f>
        <v>1</v>
      </c>
      <c r="AU192" s="68">
        <f ca="1">IF(AND(SUMIF(Capacity_Resource,$D192,'Critical resources (hide)'!BH$6:BH$105)+SUMIF(Capacity_Resource,$E192,'Critical resources (hide)'!BH$6:BH$105)+SUMIF(Capacity_Resource,$F192,'Critical resources (hide)'!BH$6:BH$105)&gt;0,$E$1=2),0,1)</f>
        <v>1</v>
      </c>
      <c r="AV192" s="68">
        <f ca="1">IF(AND(SUMIF(Capacity_Resource,$D192,'Critical resources (hide)'!BI$6:BI$105)+SUMIF(Capacity_Resource,$E192,'Critical resources (hide)'!BI$6:BI$105)+SUMIF(Capacity_Resource,$F192,'Critical resources (hide)'!BI$6:BI$105)&gt;0,$E$1=2),0,1)</f>
        <v>1</v>
      </c>
      <c r="AW192" s="68">
        <f ca="1">IF(AND(SUMIF(Capacity_Resource,$D192,'Critical resources (hide)'!BJ$6:BJ$105)+SUMIF(Capacity_Resource,$E192,'Critical resources (hide)'!BJ$6:BJ$105)+SUMIF(Capacity_Resource,$F192,'Critical resources (hide)'!BJ$6:BJ$105)&gt;0,$E$1=2),0,1)</f>
        <v>1</v>
      </c>
      <c r="AX192" s="68">
        <f ca="1">IF(AND(SUMIF(Capacity_Resource,$D192,'Critical resources (hide)'!BK$6:BK$105)+SUMIF(Capacity_Resource,$E192,'Critical resources (hide)'!BK$6:BK$105)+SUMIF(Capacity_Resource,$F192,'Critical resources (hide)'!BK$6:BK$105)&gt;0,$E$1=2),0,1)</f>
        <v>1</v>
      </c>
      <c r="AY192" s="68">
        <f ca="1">IF(AND(SUMIF(Capacity_Resource,$D192,'Critical resources (hide)'!BL$6:BL$105)+SUMIF(Capacity_Resource,$E192,'Critical resources (hide)'!BL$6:BL$105)+SUMIF(Capacity_Resource,$F192,'Critical resources (hide)'!BL$6:BL$105)&gt;0,$E$1=2),0,1)</f>
        <v>1</v>
      </c>
      <c r="AZ192" s="68">
        <f ca="1">IF(AND(SUMIF(Capacity_Resource,$D192,'Critical resources (hide)'!BM$6:BM$105)+SUMIF(Capacity_Resource,$E192,'Critical resources (hide)'!BM$6:BM$105)+SUMIF(Capacity_Resource,$F192,'Critical resources (hide)'!BM$6:BM$105)&gt;0,$E$1=2),0,1)</f>
        <v>1</v>
      </c>
      <c r="BA192" s="68">
        <f ca="1">IF(AND(SUMIF(Capacity_Resource,$D192,'Critical resources (hide)'!BN$6:BN$105)+SUMIF(Capacity_Resource,$E192,'Critical resources (hide)'!BN$6:BN$105)+SUMIF(Capacity_Resource,$F192,'Critical resources (hide)'!BN$6:BN$105)&gt;0,$E$1=2),0,1)</f>
        <v>1</v>
      </c>
      <c r="BB192" s="68">
        <f ca="1">IF(AND(SUMIF(Capacity_Resource,$D192,'Critical resources (hide)'!BO$6:BO$105)+SUMIF(Capacity_Resource,$E192,'Critical resources (hide)'!BO$6:BO$105)+SUMIF(Capacity_Resource,$F192,'Critical resources (hide)'!BO$6:BO$105)&gt;0,$E$1=2),0,1)</f>
        <v>1</v>
      </c>
      <c r="BC192" s="68">
        <f ca="1">IF(AND(SUMIF(Capacity_Resource,$D192,'Critical resources (hide)'!BP$6:BP$105)+SUMIF(Capacity_Resource,$E192,'Critical resources (hide)'!BP$6:BP$105)+SUMIF(Capacity_Resource,$F192,'Critical resources (hide)'!BP$6:BP$105)&gt;0,$E$1=2),0,1)</f>
        <v>1</v>
      </c>
      <c r="BD192" s="68">
        <f ca="1">IF(AND(SUMIF(Capacity_Resource,$D192,'Critical resources (hide)'!BQ$6:BQ$105)+SUMIF(Capacity_Resource,$E192,'Critical resources (hide)'!BQ$6:BQ$105)+SUMIF(Capacity_Resource,$F192,'Critical resources (hide)'!BQ$6:BQ$105)&gt;0,$E$1=2),0,1)</f>
        <v>1</v>
      </c>
      <c r="BE192" s="68">
        <f ca="1">IF(AND(SUMIF(Capacity_Resource,$D192,'Critical resources (hide)'!BR$6:BR$105)+SUMIF(Capacity_Resource,$E192,'Critical resources (hide)'!BR$6:BR$105)+SUMIF(Capacity_Resource,$F192,'Critical resources (hide)'!BR$6:BR$105)&gt;0,$E$1=2),0,1)</f>
        <v>1</v>
      </c>
      <c r="BF192" s="68">
        <f ca="1">IF(AND(SUMIF(Capacity_Resource,$D192,'Critical resources (hide)'!BS$6:BS$105)+SUMIF(Capacity_Resource,$E192,'Critical resources (hide)'!BS$6:BS$105)+SUMIF(Capacity_Resource,$F192,'Critical resources (hide)'!BS$6:BS$105)&gt;0,$E$1=2),0,1)</f>
        <v>1</v>
      </c>
      <c r="BG192" s="68">
        <f ca="1">IF(AND(SUMIF(Capacity_Resource,$D192,'Critical resources (hide)'!BT$6:BT$105)+SUMIF(Capacity_Resource,$E192,'Critical resources (hide)'!BT$6:BT$105)+SUMIF(Capacity_Resource,$F192,'Critical resources (hide)'!BT$6:BT$105)&gt;0,$E$1=2),0,1)</f>
        <v>1</v>
      </c>
      <c r="BH192" s="68">
        <f>IF(ROW(A81)&lt;=Capacity!$M$16,IF('Capacity summary'!$C$14="No",SUM(H192:BG192),'Capacity summary'!$E104),0)</f>
        <v>0</v>
      </c>
      <c r="BI192" s="68" t="str">
        <f>IF(BH192&gt;0,IF(BH192&lt;Capacity!Q97,Capacity!R97,Capacity!T97/'Capacity calculation (hide)'!BH192),"")</f>
        <v/>
      </c>
      <c r="BJ192" s="5"/>
      <c r="BK192" s="5">
        <f>IF($BI192&lt;&gt;"",IF('Capacity summary'!$C$14="Yes",IF(COUNTBLANK('Capacity summary'!$H104:$BG104)&lt;52,IF('Capacity summary'!H104&lt;&gt;"",$BI192*H192,0),H192*$BI192),H192*$BI192),0)</f>
        <v>0</v>
      </c>
      <c r="BL192" s="5">
        <f>IF($BI192&lt;&gt;"",IF('Capacity summary'!$C$14="Yes",IF(COUNTBLANK('Capacity summary'!$H104:$BG104)&lt;52,IF('Capacity summary'!I104&lt;&gt;"",$BI192*I192,0),I192*$BI192),I192*$BI192),0)</f>
        <v>0</v>
      </c>
      <c r="BM192" s="5">
        <f>IF($BI192&lt;&gt;"",IF('Capacity summary'!$C$14="Yes",IF(COUNTBLANK('Capacity summary'!$H104:$BG104)&lt;52,IF('Capacity summary'!J104&lt;&gt;"",$BI192*J192,0),J192*$BI192),J192*$BI192),0)</f>
        <v>0</v>
      </c>
      <c r="BN192" s="5">
        <f>IF($BI192&lt;&gt;"",IF('Capacity summary'!$C$14="Yes",IF(COUNTBLANK('Capacity summary'!$H104:$BG104)&lt;52,IF('Capacity summary'!K104&lt;&gt;"",$BI192*K192,0),K192*$BI192),K192*$BI192),0)</f>
        <v>0</v>
      </c>
      <c r="BO192" s="5">
        <f>IF($BI192&lt;&gt;"",IF('Capacity summary'!$C$14="Yes",IF(COUNTBLANK('Capacity summary'!$H104:$BG104)&lt;52,IF('Capacity summary'!L104&lt;&gt;"",$BI192*L192,0),L192*$BI192),L192*$BI192),0)</f>
        <v>0</v>
      </c>
      <c r="BP192" s="5">
        <f>IF($BI192&lt;&gt;"",IF('Capacity summary'!$C$14="Yes",IF(COUNTBLANK('Capacity summary'!$H104:$BG104)&lt;52,IF('Capacity summary'!M104&lt;&gt;"",$BI192*M192,0),M192*$BI192),M192*$BI192),0)</f>
        <v>0</v>
      </c>
      <c r="BQ192" s="5">
        <f>IF($BI192&lt;&gt;"",IF('Capacity summary'!$C$14="Yes",IF(COUNTBLANK('Capacity summary'!$H104:$BG104)&lt;52,IF('Capacity summary'!N104&lt;&gt;"",$BI192*N192,0),N192*$BI192),N192*$BI192),0)</f>
        <v>0</v>
      </c>
      <c r="BR192" s="5">
        <f>IF($BI192&lt;&gt;"",IF('Capacity summary'!$C$14="Yes",IF(COUNTBLANK('Capacity summary'!$H104:$BG104)&lt;52,IF('Capacity summary'!O104&lt;&gt;"",$BI192*O192,0),O192*$BI192),O192*$BI192),0)</f>
        <v>0</v>
      </c>
      <c r="BS192" s="5">
        <f>IF($BI192&lt;&gt;"",IF('Capacity summary'!$C$14="Yes",IF(COUNTBLANK('Capacity summary'!$H104:$BG104)&lt;52,IF('Capacity summary'!P104&lt;&gt;"",$BI192*P192,0),P192*$BI192),P192*$BI192),0)</f>
        <v>0</v>
      </c>
      <c r="BT192" s="5">
        <f>IF($BI192&lt;&gt;"",IF('Capacity summary'!$C$14="Yes",IF(COUNTBLANK('Capacity summary'!$H104:$BG104)&lt;52,IF('Capacity summary'!Q104&lt;&gt;"",$BI192*Q192,0),Q192*$BI192),Q192*$BI192),0)</f>
        <v>0</v>
      </c>
      <c r="BU192" s="5">
        <f>IF($BI192&lt;&gt;"",IF('Capacity summary'!$C$14="Yes",IF(COUNTBLANK('Capacity summary'!$H104:$BG104)&lt;52,IF('Capacity summary'!R104&lt;&gt;"",$BI192*R192,0),R192*$BI192),R192*$BI192),0)</f>
        <v>0</v>
      </c>
      <c r="BV192" s="5">
        <f>IF($BI192&lt;&gt;"",IF('Capacity summary'!$C$14="Yes",IF(COUNTBLANK('Capacity summary'!$H104:$BG104)&lt;52,IF('Capacity summary'!S104&lt;&gt;"",$BI192*S192,0),S192*$BI192),S192*$BI192),0)</f>
        <v>0</v>
      </c>
      <c r="BW192" s="5">
        <f>IF($BI192&lt;&gt;"",IF('Capacity summary'!$C$14="Yes",IF(COUNTBLANK('Capacity summary'!$H104:$BG104)&lt;52,IF('Capacity summary'!T104&lt;&gt;"",$BI192*T192,0),T192*$BI192),T192*$BI192),0)</f>
        <v>0</v>
      </c>
      <c r="BX192" s="5">
        <f>IF($BI192&lt;&gt;"",IF('Capacity summary'!$C$14="Yes",IF(COUNTBLANK('Capacity summary'!$H104:$BG104)&lt;52,IF('Capacity summary'!U104&lt;&gt;"",$BI192*U192,0),U192*$BI192),U192*$BI192),0)</f>
        <v>0</v>
      </c>
      <c r="BY192" s="5">
        <f>IF($BI192&lt;&gt;"",IF('Capacity summary'!$C$14="Yes",IF(COUNTBLANK('Capacity summary'!$H104:$BG104)&lt;52,IF('Capacity summary'!V104&lt;&gt;"",$BI192*V192,0),V192*$BI192),V192*$BI192),0)</f>
        <v>0</v>
      </c>
      <c r="BZ192" s="5">
        <f>IF($BI192&lt;&gt;"",IF('Capacity summary'!$C$14="Yes",IF(COUNTBLANK('Capacity summary'!$H104:$BG104)&lt;52,IF('Capacity summary'!W104&lt;&gt;"",$BI192*W192,0),W192*$BI192),W192*$BI192),0)</f>
        <v>0</v>
      </c>
      <c r="CA192" s="5">
        <f>IF($BI192&lt;&gt;"",IF('Capacity summary'!$C$14="Yes",IF(COUNTBLANK('Capacity summary'!$H104:$BG104)&lt;52,IF('Capacity summary'!X104&lt;&gt;"",$BI192*X192,0),X192*$BI192),X192*$BI192),0)</f>
        <v>0</v>
      </c>
      <c r="CB192" s="5">
        <f>IF($BI192&lt;&gt;"",IF('Capacity summary'!$C$14="Yes",IF(COUNTBLANK('Capacity summary'!$H104:$BG104)&lt;52,IF('Capacity summary'!Y104&lt;&gt;"",$BI192*Y192,0),Y192*$BI192),Y192*$BI192),0)</f>
        <v>0</v>
      </c>
      <c r="CC192" s="5">
        <f>IF($BI192&lt;&gt;"",IF('Capacity summary'!$C$14="Yes",IF(COUNTBLANK('Capacity summary'!$H104:$BG104)&lt;52,IF('Capacity summary'!Z104&lt;&gt;"",$BI192*Z192,0),Z192*$BI192),Z192*$BI192),0)</f>
        <v>0</v>
      </c>
      <c r="CD192" s="5">
        <f>IF($BI192&lt;&gt;"",IF('Capacity summary'!$C$14="Yes",IF(COUNTBLANK('Capacity summary'!$H104:$BG104)&lt;52,IF('Capacity summary'!AA104&lt;&gt;"",$BI192*AA192,0),AA192*$BI192),AA192*$BI192),0)</f>
        <v>0</v>
      </c>
      <c r="CE192" s="5">
        <f>IF($BI192&lt;&gt;"",IF('Capacity summary'!$C$14="Yes",IF(COUNTBLANK('Capacity summary'!$H104:$BG104)&lt;52,IF('Capacity summary'!AB104&lt;&gt;"",$BI192*AB192,0),AB192*$BI192),AB192*$BI192),0)</f>
        <v>0</v>
      </c>
      <c r="CF192" s="5">
        <f>IF($BI192&lt;&gt;"",IF('Capacity summary'!$C$14="Yes",IF(COUNTBLANK('Capacity summary'!$H104:$BG104)&lt;52,IF('Capacity summary'!AC104&lt;&gt;"",$BI192*AC192,0),AC192*$BI192),AC192*$BI192),0)</f>
        <v>0</v>
      </c>
      <c r="CG192" s="5">
        <f>IF($BI192&lt;&gt;"",IF('Capacity summary'!$C$14="Yes",IF(COUNTBLANK('Capacity summary'!$H104:$BG104)&lt;52,IF('Capacity summary'!AD104&lt;&gt;"",$BI192*AD192,0),AD192*$BI192),AD192*$BI192),0)</f>
        <v>0</v>
      </c>
      <c r="CH192" s="5">
        <f>IF($BI192&lt;&gt;"",IF('Capacity summary'!$C$14="Yes",IF(COUNTBLANK('Capacity summary'!$H104:$BG104)&lt;52,IF('Capacity summary'!AE104&lt;&gt;"",$BI192*AE192,0),AE192*$BI192),AE192*$BI192),0)</f>
        <v>0</v>
      </c>
      <c r="CI192" s="5">
        <f>IF($BI192&lt;&gt;"",IF('Capacity summary'!$C$14="Yes",IF(COUNTBLANK('Capacity summary'!$H104:$BG104)&lt;52,IF('Capacity summary'!AF104&lt;&gt;"",$BI192*AF192,0),AF192*$BI192),AF192*$BI192),0)</f>
        <v>0</v>
      </c>
      <c r="CJ192" s="5">
        <f>IF($BI192&lt;&gt;"",IF('Capacity summary'!$C$14="Yes",IF(COUNTBLANK('Capacity summary'!$H104:$BG104)&lt;52,IF('Capacity summary'!AG104&lt;&gt;"",$BI192*AG192,0),AG192*$BI192),AG192*$BI192),0)</f>
        <v>0</v>
      </c>
      <c r="CK192" s="5">
        <f>IF($BI192&lt;&gt;"",IF('Capacity summary'!$C$14="Yes",IF(COUNTBLANK('Capacity summary'!$H104:$BG104)&lt;52,IF('Capacity summary'!AH104&lt;&gt;"",$BI192*AH192,0),AH192*$BI192),AH192*$BI192),0)</f>
        <v>0</v>
      </c>
      <c r="CL192" s="5">
        <f>IF($BI192&lt;&gt;"",IF('Capacity summary'!$C$14="Yes",IF(COUNTBLANK('Capacity summary'!$H104:$BG104)&lt;52,IF('Capacity summary'!AI104&lt;&gt;"",$BI192*AI192,0),AI192*$BI192),AI192*$BI192),0)</f>
        <v>0</v>
      </c>
      <c r="CM192" s="5">
        <f>IF($BI192&lt;&gt;"",IF('Capacity summary'!$C$14="Yes",IF(COUNTBLANK('Capacity summary'!$H104:$BG104)&lt;52,IF('Capacity summary'!AJ104&lt;&gt;"",$BI192*AJ192,0),AJ192*$BI192),AJ192*$BI192),0)</f>
        <v>0</v>
      </c>
      <c r="CN192" s="5">
        <f>IF($BI192&lt;&gt;"",IF('Capacity summary'!$C$14="Yes",IF(COUNTBLANK('Capacity summary'!$H104:$BG104)&lt;52,IF('Capacity summary'!AK104&lt;&gt;"",$BI192*AK192,0),AK192*$BI192),AK192*$BI192),0)</f>
        <v>0</v>
      </c>
      <c r="CO192" s="5">
        <f>IF($BI192&lt;&gt;"",IF('Capacity summary'!$C$14="Yes",IF(COUNTBLANK('Capacity summary'!$H104:$BG104)&lt;52,IF('Capacity summary'!AL104&lt;&gt;"",$BI192*AL192,0),AL192*$BI192),AL192*$BI192),0)</f>
        <v>0</v>
      </c>
      <c r="CP192" s="5">
        <f>IF($BI192&lt;&gt;"",IF('Capacity summary'!$C$14="Yes",IF(COUNTBLANK('Capacity summary'!$H104:$BG104)&lt;52,IF('Capacity summary'!AM104&lt;&gt;"",$BI192*AM192,0),AM192*$BI192),AM192*$BI192),0)</f>
        <v>0</v>
      </c>
      <c r="CQ192" s="5">
        <f>IF($BI192&lt;&gt;"",IF('Capacity summary'!$C$14="Yes",IF(COUNTBLANK('Capacity summary'!$H104:$BG104)&lt;52,IF('Capacity summary'!AN104&lt;&gt;"",$BI192*AN192,0),AN192*$BI192),AN192*$BI192),0)</f>
        <v>0</v>
      </c>
      <c r="CR192" s="5">
        <f>IF($BI192&lt;&gt;"",IF('Capacity summary'!$C$14="Yes",IF(COUNTBLANK('Capacity summary'!$H104:$BG104)&lt;52,IF('Capacity summary'!AO104&lt;&gt;"",$BI192*AO192,0),AO192*$BI192),AO192*$BI192),0)</f>
        <v>0</v>
      </c>
      <c r="CS192" s="5">
        <f>IF($BI192&lt;&gt;"",IF('Capacity summary'!$C$14="Yes",IF(COUNTBLANK('Capacity summary'!$H104:$BG104)&lt;52,IF('Capacity summary'!AP104&lt;&gt;"",$BI192*AP192,0),AP192*$BI192),AP192*$BI192),0)</f>
        <v>0</v>
      </c>
      <c r="CT192" s="5">
        <f>IF($BI192&lt;&gt;"",IF('Capacity summary'!$C$14="Yes",IF(COUNTBLANK('Capacity summary'!$H104:$BG104)&lt;52,IF('Capacity summary'!AQ104&lt;&gt;"",$BI192*AQ192,0),AQ192*$BI192),AQ192*$BI192),0)</f>
        <v>0</v>
      </c>
      <c r="CU192" s="5">
        <f>IF($BI192&lt;&gt;"",IF('Capacity summary'!$C$14="Yes",IF(COUNTBLANK('Capacity summary'!$H104:$BG104)&lt;52,IF('Capacity summary'!AR104&lt;&gt;"",$BI192*AR192,0),AR192*$BI192),AR192*$BI192),0)</f>
        <v>0</v>
      </c>
      <c r="CV192" s="5">
        <f>IF($BI192&lt;&gt;"",IF('Capacity summary'!$C$14="Yes",IF(COUNTBLANK('Capacity summary'!$H104:$BG104)&lt;52,IF('Capacity summary'!AS104&lt;&gt;"",$BI192*AS192,0),AS192*$BI192),AS192*$BI192),0)</f>
        <v>0</v>
      </c>
      <c r="CW192" s="5">
        <f>IF($BI192&lt;&gt;"",IF('Capacity summary'!$C$14="Yes",IF(COUNTBLANK('Capacity summary'!$H104:$BG104)&lt;52,IF('Capacity summary'!AT104&lt;&gt;"",$BI192*AT192,0),AT192*$BI192),AT192*$BI192),0)</f>
        <v>0</v>
      </c>
      <c r="CX192" s="5">
        <f>IF($BI192&lt;&gt;"",IF('Capacity summary'!$C$14="Yes",IF(COUNTBLANK('Capacity summary'!$H104:$BG104)&lt;52,IF('Capacity summary'!AU104&lt;&gt;"",$BI192*AU192,0),AU192*$BI192),AU192*$BI192),0)</f>
        <v>0</v>
      </c>
      <c r="CY192" s="5">
        <f>IF($BI192&lt;&gt;"",IF('Capacity summary'!$C$14="Yes",IF(COUNTBLANK('Capacity summary'!$H104:$BG104)&lt;52,IF('Capacity summary'!AV104&lt;&gt;"",$BI192*AV192,0),AV192*$BI192),AV192*$BI192),0)</f>
        <v>0</v>
      </c>
      <c r="CZ192" s="5">
        <f>IF($BI192&lt;&gt;"",IF('Capacity summary'!$C$14="Yes",IF(COUNTBLANK('Capacity summary'!$H104:$BG104)&lt;52,IF('Capacity summary'!AW104&lt;&gt;"",$BI192*AW192,0),AW192*$BI192),AW192*$BI192),0)</f>
        <v>0</v>
      </c>
      <c r="DA192" s="5">
        <f>IF($BI192&lt;&gt;"",IF('Capacity summary'!$C$14="Yes",IF(COUNTBLANK('Capacity summary'!$H104:$BG104)&lt;52,IF('Capacity summary'!AX104&lt;&gt;"",$BI192*AX192,0),AX192*$BI192),AX192*$BI192),0)</f>
        <v>0</v>
      </c>
      <c r="DB192" s="5">
        <f>IF($BI192&lt;&gt;"",IF('Capacity summary'!$C$14="Yes",IF(COUNTBLANK('Capacity summary'!$H104:$BG104)&lt;52,IF('Capacity summary'!AY104&lt;&gt;"",$BI192*AY192,0),AY192*$BI192),AY192*$BI192),0)</f>
        <v>0</v>
      </c>
      <c r="DC192" s="5">
        <f>IF($BI192&lt;&gt;"",IF('Capacity summary'!$C$14="Yes",IF(COUNTBLANK('Capacity summary'!$H104:$BG104)&lt;52,IF('Capacity summary'!AZ104&lt;&gt;"",$BI192*AZ192,0),AZ192*$BI192),AZ192*$BI192),0)</f>
        <v>0</v>
      </c>
      <c r="DD192" s="5">
        <f>IF($BI192&lt;&gt;"",IF('Capacity summary'!$C$14="Yes",IF(COUNTBLANK('Capacity summary'!$H104:$BG104)&lt;52,IF('Capacity summary'!BA104&lt;&gt;"",$BI192*BA192,0),BA192*$BI192),BA192*$BI192),0)</f>
        <v>0</v>
      </c>
      <c r="DE192" s="5">
        <f>IF($BI192&lt;&gt;"",IF('Capacity summary'!$C$14="Yes",IF(COUNTBLANK('Capacity summary'!$H104:$BG104)&lt;52,IF('Capacity summary'!BB104&lt;&gt;"",$BI192*BB192,0),BB192*$BI192),BB192*$BI192),0)</f>
        <v>0</v>
      </c>
      <c r="DF192" s="5">
        <f>IF($BI192&lt;&gt;"",IF('Capacity summary'!$C$14="Yes",IF(COUNTBLANK('Capacity summary'!$H104:$BG104)&lt;52,IF('Capacity summary'!BC104&lt;&gt;"",$BI192*BC192,0),BC192*$BI192),BC192*$BI192),0)</f>
        <v>0</v>
      </c>
      <c r="DG192" s="5">
        <f>IF($BI192&lt;&gt;"",IF('Capacity summary'!$C$14="Yes",IF(COUNTBLANK('Capacity summary'!$H104:$BG104)&lt;52,IF('Capacity summary'!BD104&lt;&gt;"",$BI192*BD192,0),BD192*$BI192),BD192*$BI192),0)</f>
        <v>0</v>
      </c>
      <c r="DH192" s="5">
        <f>IF($BI192&lt;&gt;"",IF('Capacity summary'!$C$14="Yes",IF(COUNTBLANK('Capacity summary'!$H104:$BG104)&lt;52,IF('Capacity summary'!BE104&lt;&gt;"",$BI192*BE192,0),BE192*$BI192),BE192*$BI192),0)</f>
        <v>0</v>
      </c>
      <c r="DI192" s="5">
        <f>IF($BI192&lt;&gt;"",IF('Capacity summary'!$C$14="Yes",IF(COUNTBLANK('Capacity summary'!$H104:$BG104)&lt;52,IF('Capacity summary'!BF104&lt;&gt;"",$BI192*BF192,0),BF192*$BI192),BF192*$BI192),0)</f>
        <v>0</v>
      </c>
      <c r="DJ192" s="5">
        <f>IF($BI192&lt;&gt;"",IF('Capacity summary'!$C$14="Yes",IF(COUNTBLANK('Capacity summary'!$H104:$BG104)&lt;52,IF('Capacity summary'!BG104&lt;&gt;"",$BI192*BG192,0),BG192*$BI192),BG192*$BI192),0)</f>
        <v>0</v>
      </c>
      <c r="DK192" s="138">
        <f t="shared" si="7"/>
        <v>0</v>
      </c>
    </row>
    <row r="193" spans="3:115" x14ac:dyDescent="0.2">
      <c r="C193" s="68" t="str">
        <f>ROW(A82)&amp;". "&amp;Capacity!N98</f>
        <v xml:space="preserve">82. </v>
      </c>
      <c r="D193" s="68">
        <f>'Capacity setup'!C199</f>
        <v>0</v>
      </c>
      <c r="E193" s="68">
        <f>'Capacity setup'!D199</f>
        <v>0</v>
      </c>
      <c r="F193" s="68">
        <f>'Capacity setup'!E199</f>
        <v>0</v>
      </c>
      <c r="H193" s="68">
        <f ca="1">IF(AND(SUMIF(Capacity_Resource,$D193,'Critical resources (hide)'!U$6:U$105)+SUMIF(Capacity_Resource,$E193,'Critical resources (hide)'!U$6:U$105)+SUMIF(Capacity_Resource,$F193,'Critical resources (hide)'!U$6:U$105)&gt;0,$E$1=2),0,1)</f>
        <v>1</v>
      </c>
      <c r="I193" s="68">
        <f ca="1">IF(AND(SUMIF(Capacity_Resource,$D193,'Critical resources (hide)'!V$6:V$105)+SUMIF(Capacity_Resource,$E193,'Critical resources (hide)'!V$6:V$105)+SUMIF(Capacity_Resource,$F193,'Critical resources (hide)'!V$6:V$105)&gt;0,$E$1=2),0,1)</f>
        <v>1</v>
      </c>
      <c r="J193" s="68">
        <f ca="1">IF(AND(SUMIF(Capacity_Resource,$D193,'Critical resources (hide)'!W$6:W$105)+SUMIF(Capacity_Resource,$E193,'Critical resources (hide)'!W$6:W$105)+SUMIF(Capacity_Resource,$F193,'Critical resources (hide)'!W$6:W$105)&gt;0,$E$1=2),0,1)</f>
        <v>1</v>
      </c>
      <c r="K193" s="68">
        <f ca="1">IF(AND(SUMIF(Capacity_Resource,$D193,'Critical resources (hide)'!X$6:X$105)+SUMIF(Capacity_Resource,$E193,'Critical resources (hide)'!X$6:X$105)+SUMIF(Capacity_Resource,$F193,'Critical resources (hide)'!X$6:X$105)&gt;0,$E$1=2),0,1)</f>
        <v>1</v>
      </c>
      <c r="L193" s="68">
        <f ca="1">IF(AND(SUMIF(Capacity_Resource,$D193,'Critical resources (hide)'!Y$6:Y$105)+SUMIF(Capacity_Resource,$E193,'Critical resources (hide)'!Y$6:Y$105)+SUMIF(Capacity_Resource,$F193,'Critical resources (hide)'!Y$6:Y$105)&gt;0,$E$1=2),0,1)</f>
        <v>1</v>
      </c>
      <c r="M193" s="68">
        <f ca="1">IF(AND(SUMIF(Capacity_Resource,$D193,'Critical resources (hide)'!Z$6:Z$105)+SUMIF(Capacity_Resource,$E193,'Critical resources (hide)'!Z$6:Z$105)+SUMIF(Capacity_Resource,$F193,'Critical resources (hide)'!Z$6:Z$105)&gt;0,$E$1=2),0,1)</f>
        <v>1</v>
      </c>
      <c r="N193" s="68">
        <f ca="1">IF(AND(SUMIF(Capacity_Resource,$D193,'Critical resources (hide)'!AA$6:AA$105)+SUMIF(Capacity_Resource,$E193,'Critical resources (hide)'!AA$6:AA$105)+SUMIF(Capacity_Resource,$F193,'Critical resources (hide)'!AA$6:AA$105)&gt;0,$E$1=2),0,1)</f>
        <v>1</v>
      </c>
      <c r="O193" s="68">
        <f ca="1">IF(AND(SUMIF(Capacity_Resource,$D193,'Critical resources (hide)'!AB$6:AB$105)+SUMIF(Capacity_Resource,$E193,'Critical resources (hide)'!AB$6:AB$105)+SUMIF(Capacity_Resource,$F193,'Critical resources (hide)'!AB$6:AB$105)&gt;0,$E$1=2),0,1)</f>
        <v>1</v>
      </c>
      <c r="P193" s="68">
        <f ca="1">IF(AND(SUMIF(Capacity_Resource,$D193,'Critical resources (hide)'!AC$6:AC$105)+SUMIF(Capacity_Resource,$E193,'Critical resources (hide)'!AC$6:AC$105)+SUMIF(Capacity_Resource,$F193,'Critical resources (hide)'!AC$6:AC$105)&gt;0,$E$1=2),0,1)</f>
        <v>1</v>
      </c>
      <c r="Q193" s="68">
        <f ca="1">IF(AND(SUMIF(Capacity_Resource,$D193,'Critical resources (hide)'!AD$6:AD$105)+SUMIF(Capacity_Resource,$E193,'Critical resources (hide)'!AD$6:AD$105)+SUMIF(Capacity_Resource,$F193,'Critical resources (hide)'!AD$6:AD$105)&gt;0,$E$1=2),0,1)</f>
        <v>1</v>
      </c>
      <c r="R193" s="68">
        <f ca="1">IF(AND(SUMIF(Capacity_Resource,$D193,'Critical resources (hide)'!AE$6:AE$105)+SUMIF(Capacity_Resource,$E193,'Critical resources (hide)'!AE$6:AE$105)+SUMIF(Capacity_Resource,$F193,'Critical resources (hide)'!AE$6:AE$105)&gt;0,$E$1=2),0,1)</f>
        <v>1</v>
      </c>
      <c r="S193" s="68">
        <f ca="1">IF(AND(SUMIF(Capacity_Resource,$D193,'Critical resources (hide)'!AF$6:AF$105)+SUMIF(Capacity_Resource,$E193,'Critical resources (hide)'!AF$6:AF$105)+SUMIF(Capacity_Resource,$F193,'Critical resources (hide)'!AF$6:AF$105)&gt;0,$E$1=2),0,1)</f>
        <v>1</v>
      </c>
      <c r="T193" s="68">
        <f ca="1">IF(AND(SUMIF(Capacity_Resource,$D193,'Critical resources (hide)'!AG$6:AG$105)+SUMIF(Capacity_Resource,$E193,'Critical resources (hide)'!AG$6:AG$105)+SUMIF(Capacity_Resource,$F193,'Critical resources (hide)'!AG$6:AG$105)&gt;0,$E$1=2),0,1)</f>
        <v>1</v>
      </c>
      <c r="U193" s="68">
        <f ca="1">IF(AND(SUMIF(Capacity_Resource,$D193,'Critical resources (hide)'!AH$6:AH$105)+SUMIF(Capacity_Resource,$E193,'Critical resources (hide)'!AH$6:AH$105)+SUMIF(Capacity_Resource,$F193,'Critical resources (hide)'!AH$6:AH$105)&gt;0,$E$1=2),0,1)</f>
        <v>1</v>
      </c>
      <c r="V193" s="68">
        <f ca="1">IF(AND(SUMIF(Capacity_Resource,$D193,'Critical resources (hide)'!AI$6:AI$105)+SUMIF(Capacity_Resource,$E193,'Critical resources (hide)'!AI$6:AI$105)+SUMIF(Capacity_Resource,$F193,'Critical resources (hide)'!AI$6:AI$105)&gt;0,$E$1=2),0,1)</f>
        <v>1</v>
      </c>
      <c r="W193" s="68">
        <f ca="1">IF(AND(SUMIF(Capacity_Resource,$D193,'Critical resources (hide)'!AJ$6:AJ$105)+SUMIF(Capacity_Resource,$E193,'Critical resources (hide)'!AJ$6:AJ$105)+SUMIF(Capacity_Resource,$F193,'Critical resources (hide)'!AJ$6:AJ$105)&gt;0,$E$1=2),0,1)</f>
        <v>1</v>
      </c>
      <c r="X193" s="68">
        <f ca="1">IF(AND(SUMIF(Capacity_Resource,$D193,'Critical resources (hide)'!AK$6:AK$105)+SUMIF(Capacity_Resource,$E193,'Critical resources (hide)'!AK$6:AK$105)+SUMIF(Capacity_Resource,$F193,'Critical resources (hide)'!AK$6:AK$105)&gt;0,$E$1=2),0,1)</f>
        <v>1</v>
      </c>
      <c r="Y193" s="68">
        <f ca="1">IF(AND(SUMIF(Capacity_Resource,$D193,'Critical resources (hide)'!AL$6:AL$105)+SUMIF(Capacity_Resource,$E193,'Critical resources (hide)'!AL$6:AL$105)+SUMIF(Capacity_Resource,$F193,'Critical resources (hide)'!AL$6:AL$105)&gt;0,$E$1=2),0,1)</f>
        <v>1</v>
      </c>
      <c r="Z193" s="68">
        <f ca="1">IF(AND(SUMIF(Capacity_Resource,$D193,'Critical resources (hide)'!AM$6:AM$105)+SUMIF(Capacity_Resource,$E193,'Critical resources (hide)'!AM$6:AM$105)+SUMIF(Capacity_Resource,$F193,'Critical resources (hide)'!AM$6:AM$105)&gt;0,$E$1=2),0,1)</f>
        <v>1</v>
      </c>
      <c r="AA193" s="68">
        <f ca="1">IF(AND(SUMIF(Capacity_Resource,$D193,'Critical resources (hide)'!AN$6:AN$105)+SUMIF(Capacity_Resource,$E193,'Critical resources (hide)'!AN$6:AN$105)+SUMIF(Capacity_Resource,$F193,'Critical resources (hide)'!AN$6:AN$105)&gt;0,$E$1=2),0,1)</f>
        <v>1</v>
      </c>
      <c r="AB193" s="68">
        <f ca="1">IF(AND(SUMIF(Capacity_Resource,$D193,'Critical resources (hide)'!AO$6:AO$105)+SUMIF(Capacity_Resource,$E193,'Critical resources (hide)'!AO$6:AO$105)+SUMIF(Capacity_Resource,$F193,'Critical resources (hide)'!AO$6:AO$105)&gt;0,$E$1=2),0,1)</f>
        <v>1</v>
      </c>
      <c r="AC193" s="68">
        <f ca="1">IF(AND(SUMIF(Capacity_Resource,$D193,'Critical resources (hide)'!AP$6:AP$105)+SUMIF(Capacity_Resource,$E193,'Critical resources (hide)'!AP$6:AP$105)+SUMIF(Capacity_Resource,$F193,'Critical resources (hide)'!AP$6:AP$105)&gt;0,$E$1=2),0,1)</f>
        <v>1</v>
      </c>
      <c r="AD193" s="68">
        <f ca="1">IF(AND(SUMIF(Capacity_Resource,$D193,'Critical resources (hide)'!AQ$6:AQ$105)+SUMIF(Capacity_Resource,$E193,'Critical resources (hide)'!AQ$6:AQ$105)+SUMIF(Capacity_Resource,$F193,'Critical resources (hide)'!AQ$6:AQ$105)&gt;0,$E$1=2),0,1)</f>
        <v>1</v>
      </c>
      <c r="AE193" s="68">
        <f ca="1">IF(AND(SUMIF(Capacity_Resource,$D193,'Critical resources (hide)'!AR$6:AR$105)+SUMIF(Capacity_Resource,$E193,'Critical resources (hide)'!AR$6:AR$105)+SUMIF(Capacity_Resource,$F193,'Critical resources (hide)'!AR$6:AR$105)&gt;0,$E$1=2),0,1)</f>
        <v>1</v>
      </c>
      <c r="AF193" s="68">
        <f ca="1">IF(AND(SUMIF(Capacity_Resource,$D193,'Critical resources (hide)'!AS$6:AS$105)+SUMIF(Capacity_Resource,$E193,'Critical resources (hide)'!AS$6:AS$105)+SUMIF(Capacity_Resource,$F193,'Critical resources (hide)'!AS$6:AS$105)&gt;0,$E$1=2),0,1)</f>
        <v>1</v>
      </c>
      <c r="AG193" s="68">
        <f ca="1">IF(AND(SUMIF(Capacity_Resource,$D193,'Critical resources (hide)'!AT$6:AT$105)+SUMIF(Capacity_Resource,$E193,'Critical resources (hide)'!AT$6:AT$105)+SUMIF(Capacity_Resource,$F193,'Critical resources (hide)'!AT$6:AT$105)&gt;0,$E$1=2),0,1)</f>
        <v>1</v>
      </c>
      <c r="AH193" s="68">
        <f ca="1">IF(AND(SUMIF(Capacity_Resource,$D193,'Critical resources (hide)'!AU$6:AU$105)+SUMIF(Capacity_Resource,$E193,'Critical resources (hide)'!AU$6:AU$105)+SUMIF(Capacity_Resource,$F193,'Critical resources (hide)'!AU$6:AU$105)&gt;0,$E$1=2),0,1)</f>
        <v>1</v>
      </c>
      <c r="AI193" s="68">
        <f ca="1">IF(AND(SUMIF(Capacity_Resource,$D193,'Critical resources (hide)'!AV$6:AV$105)+SUMIF(Capacity_Resource,$E193,'Critical resources (hide)'!AV$6:AV$105)+SUMIF(Capacity_Resource,$F193,'Critical resources (hide)'!AV$6:AV$105)&gt;0,$E$1=2),0,1)</f>
        <v>1</v>
      </c>
      <c r="AJ193" s="68">
        <f ca="1">IF(AND(SUMIF(Capacity_Resource,$D193,'Critical resources (hide)'!AW$6:AW$105)+SUMIF(Capacity_Resource,$E193,'Critical resources (hide)'!AW$6:AW$105)+SUMIF(Capacity_Resource,$F193,'Critical resources (hide)'!AW$6:AW$105)&gt;0,$E$1=2),0,1)</f>
        <v>1</v>
      </c>
      <c r="AK193" s="68">
        <f ca="1">IF(AND(SUMIF(Capacity_Resource,$D193,'Critical resources (hide)'!AX$6:AX$105)+SUMIF(Capacity_Resource,$E193,'Critical resources (hide)'!AX$6:AX$105)+SUMIF(Capacity_Resource,$F193,'Critical resources (hide)'!AX$6:AX$105)&gt;0,$E$1=2),0,1)</f>
        <v>1</v>
      </c>
      <c r="AL193" s="68">
        <f ca="1">IF(AND(SUMIF(Capacity_Resource,$D193,'Critical resources (hide)'!AY$6:AY$105)+SUMIF(Capacity_Resource,$E193,'Critical resources (hide)'!AY$6:AY$105)+SUMIF(Capacity_Resource,$F193,'Critical resources (hide)'!AY$6:AY$105)&gt;0,$E$1=2),0,1)</f>
        <v>1</v>
      </c>
      <c r="AM193" s="68">
        <f ca="1">IF(AND(SUMIF(Capacity_Resource,$D193,'Critical resources (hide)'!AZ$6:AZ$105)+SUMIF(Capacity_Resource,$E193,'Critical resources (hide)'!AZ$6:AZ$105)+SUMIF(Capacity_Resource,$F193,'Critical resources (hide)'!AZ$6:AZ$105)&gt;0,$E$1=2),0,1)</f>
        <v>1</v>
      </c>
      <c r="AN193" s="68">
        <f ca="1">IF(AND(SUMIF(Capacity_Resource,$D193,'Critical resources (hide)'!BA$6:BA$105)+SUMIF(Capacity_Resource,$E193,'Critical resources (hide)'!BA$6:BA$105)+SUMIF(Capacity_Resource,$F193,'Critical resources (hide)'!BA$6:BA$105)&gt;0,$E$1=2),0,1)</f>
        <v>1</v>
      </c>
      <c r="AO193" s="68">
        <f ca="1">IF(AND(SUMIF(Capacity_Resource,$D193,'Critical resources (hide)'!BB$6:BB$105)+SUMIF(Capacity_Resource,$E193,'Critical resources (hide)'!BB$6:BB$105)+SUMIF(Capacity_Resource,$F193,'Critical resources (hide)'!BB$6:BB$105)&gt;0,$E$1=2),0,1)</f>
        <v>1</v>
      </c>
      <c r="AP193" s="68">
        <f ca="1">IF(AND(SUMIF(Capacity_Resource,$D193,'Critical resources (hide)'!BC$6:BC$105)+SUMIF(Capacity_Resource,$E193,'Critical resources (hide)'!BC$6:BC$105)+SUMIF(Capacity_Resource,$F193,'Critical resources (hide)'!BC$6:BC$105)&gt;0,$E$1=2),0,1)</f>
        <v>1</v>
      </c>
      <c r="AQ193" s="68">
        <f ca="1">IF(AND(SUMIF(Capacity_Resource,$D193,'Critical resources (hide)'!BD$6:BD$105)+SUMIF(Capacity_Resource,$E193,'Critical resources (hide)'!BD$6:BD$105)+SUMIF(Capacity_Resource,$F193,'Critical resources (hide)'!BD$6:BD$105)&gt;0,$E$1=2),0,1)</f>
        <v>1</v>
      </c>
      <c r="AR193" s="68">
        <f ca="1">IF(AND(SUMIF(Capacity_Resource,$D193,'Critical resources (hide)'!BE$6:BE$105)+SUMIF(Capacity_Resource,$E193,'Critical resources (hide)'!BE$6:BE$105)+SUMIF(Capacity_Resource,$F193,'Critical resources (hide)'!BE$6:BE$105)&gt;0,$E$1=2),0,1)</f>
        <v>1</v>
      </c>
      <c r="AS193" s="68">
        <f ca="1">IF(AND(SUMIF(Capacity_Resource,$D193,'Critical resources (hide)'!BF$6:BF$105)+SUMIF(Capacity_Resource,$E193,'Critical resources (hide)'!BF$6:BF$105)+SUMIF(Capacity_Resource,$F193,'Critical resources (hide)'!BF$6:BF$105)&gt;0,$E$1=2),0,1)</f>
        <v>1</v>
      </c>
      <c r="AT193" s="68">
        <f ca="1">IF(AND(SUMIF(Capacity_Resource,$D193,'Critical resources (hide)'!BG$6:BG$105)+SUMIF(Capacity_Resource,$E193,'Critical resources (hide)'!BG$6:BG$105)+SUMIF(Capacity_Resource,$F193,'Critical resources (hide)'!BG$6:BG$105)&gt;0,$E$1=2),0,1)</f>
        <v>1</v>
      </c>
      <c r="AU193" s="68">
        <f ca="1">IF(AND(SUMIF(Capacity_Resource,$D193,'Critical resources (hide)'!BH$6:BH$105)+SUMIF(Capacity_Resource,$E193,'Critical resources (hide)'!BH$6:BH$105)+SUMIF(Capacity_Resource,$F193,'Critical resources (hide)'!BH$6:BH$105)&gt;0,$E$1=2),0,1)</f>
        <v>1</v>
      </c>
      <c r="AV193" s="68">
        <f ca="1">IF(AND(SUMIF(Capacity_Resource,$D193,'Critical resources (hide)'!BI$6:BI$105)+SUMIF(Capacity_Resource,$E193,'Critical resources (hide)'!BI$6:BI$105)+SUMIF(Capacity_Resource,$F193,'Critical resources (hide)'!BI$6:BI$105)&gt;0,$E$1=2),0,1)</f>
        <v>1</v>
      </c>
      <c r="AW193" s="68">
        <f ca="1">IF(AND(SUMIF(Capacity_Resource,$D193,'Critical resources (hide)'!BJ$6:BJ$105)+SUMIF(Capacity_Resource,$E193,'Critical resources (hide)'!BJ$6:BJ$105)+SUMIF(Capacity_Resource,$F193,'Critical resources (hide)'!BJ$6:BJ$105)&gt;0,$E$1=2),0,1)</f>
        <v>1</v>
      </c>
      <c r="AX193" s="68">
        <f ca="1">IF(AND(SUMIF(Capacity_Resource,$D193,'Critical resources (hide)'!BK$6:BK$105)+SUMIF(Capacity_Resource,$E193,'Critical resources (hide)'!BK$6:BK$105)+SUMIF(Capacity_Resource,$F193,'Critical resources (hide)'!BK$6:BK$105)&gt;0,$E$1=2),0,1)</f>
        <v>1</v>
      </c>
      <c r="AY193" s="68">
        <f ca="1">IF(AND(SUMIF(Capacity_Resource,$D193,'Critical resources (hide)'!BL$6:BL$105)+SUMIF(Capacity_Resource,$E193,'Critical resources (hide)'!BL$6:BL$105)+SUMIF(Capacity_Resource,$F193,'Critical resources (hide)'!BL$6:BL$105)&gt;0,$E$1=2),0,1)</f>
        <v>1</v>
      </c>
      <c r="AZ193" s="68">
        <f ca="1">IF(AND(SUMIF(Capacity_Resource,$D193,'Critical resources (hide)'!BM$6:BM$105)+SUMIF(Capacity_Resource,$E193,'Critical resources (hide)'!BM$6:BM$105)+SUMIF(Capacity_Resource,$F193,'Critical resources (hide)'!BM$6:BM$105)&gt;0,$E$1=2),0,1)</f>
        <v>1</v>
      </c>
      <c r="BA193" s="68">
        <f ca="1">IF(AND(SUMIF(Capacity_Resource,$D193,'Critical resources (hide)'!BN$6:BN$105)+SUMIF(Capacity_Resource,$E193,'Critical resources (hide)'!BN$6:BN$105)+SUMIF(Capacity_Resource,$F193,'Critical resources (hide)'!BN$6:BN$105)&gt;0,$E$1=2),0,1)</f>
        <v>1</v>
      </c>
      <c r="BB193" s="68">
        <f ca="1">IF(AND(SUMIF(Capacity_Resource,$D193,'Critical resources (hide)'!BO$6:BO$105)+SUMIF(Capacity_Resource,$E193,'Critical resources (hide)'!BO$6:BO$105)+SUMIF(Capacity_Resource,$F193,'Critical resources (hide)'!BO$6:BO$105)&gt;0,$E$1=2),0,1)</f>
        <v>1</v>
      </c>
      <c r="BC193" s="68">
        <f ca="1">IF(AND(SUMIF(Capacity_Resource,$D193,'Critical resources (hide)'!BP$6:BP$105)+SUMIF(Capacity_Resource,$E193,'Critical resources (hide)'!BP$6:BP$105)+SUMIF(Capacity_Resource,$F193,'Critical resources (hide)'!BP$6:BP$105)&gt;0,$E$1=2),0,1)</f>
        <v>1</v>
      </c>
      <c r="BD193" s="68">
        <f ca="1">IF(AND(SUMIF(Capacity_Resource,$D193,'Critical resources (hide)'!BQ$6:BQ$105)+SUMIF(Capacity_Resource,$E193,'Critical resources (hide)'!BQ$6:BQ$105)+SUMIF(Capacity_Resource,$F193,'Critical resources (hide)'!BQ$6:BQ$105)&gt;0,$E$1=2),0,1)</f>
        <v>1</v>
      </c>
      <c r="BE193" s="68">
        <f ca="1">IF(AND(SUMIF(Capacity_Resource,$D193,'Critical resources (hide)'!BR$6:BR$105)+SUMIF(Capacity_Resource,$E193,'Critical resources (hide)'!BR$6:BR$105)+SUMIF(Capacity_Resource,$F193,'Critical resources (hide)'!BR$6:BR$105)&gt;0,$E$1=2),0,1)</f>
        <v>1</v>
      </c>
      <c r="BF193" s="68">
        <f ca="1">IF(AND(SUMIF(Capacity_Resource,$D193,'Critical resources (hide)'!BS$6:BS$105)+SUMIF(Capacity_Resource,$E193,'Critical resources (hide)'!BS$6:BS$105)+SUMIF(Capacity_Resource,$F193,'Critical resources (hide)'!BS$6:BS$105)&gt;0,$E$1=2),0,1)</f>
        <v>1</v>
      </c>
      <c r="BG193" s="68">
        <f ca="1">IF(AND(SUMIF(Capacity_Resource,$D193,'Critical resources (hide)'!BT$6:BT$105)+SUMIF(Capacity_Resource,$E193,'Critical resources (hide)'!BT$6:BT$105)+SUMIF(Capacity_Resource,$F193,'Critical resources (hide)'!BT$6:BT$105)&gt;0,$E$1=2),0,1)</f>
        <v>1</v>
      </c>
      <c r="BH193" s="68">
        <f>IF(ROW(A82)&lt;=Capacity!$M$16,IF('Capacity summary'!$C$14="No",SUM(H193:BG193),'Capacity summary'!$E105),0)</f>
        <v>0</v>
      </c>
      <c r="BI193" s="68" t="str">
        <f>IF(BH193&gt;0,IF(BH193&lt;Capacity!Q98,Capacity!R98,Capacity!T98/'Capacity calculation (hide)'!BH193),"")</f>
        <v/>
      </c>
      <c r="BJ193" s="5"/>
      <c r="BK193" s="5">
        <f>IF($BI193&lt;&gt;"",IF('Capacity summary'!$C$14="Yes",IF(COUNTBLANK('Capacity summary'!$H105:$BG105)&lt;52,IF('Capacity summary'!H105&lt;&gt;"",$BI193*H193,0),H193*$BI193),H193*$BI193),0)</f>
        <v>0</v>
      </c>
      <c r="BL193" s="5">
        <f>IF($BI193&lt;&gt;"",IF('Capacity summary'!$C$14="Yes",IF(COUNTBLANK('Capacity summary'!$H105:$BG105)&lt;52,IF('Capacity summary'!I105&lt;&gt;"",$BI193*I193,0),I193*$BI193),I193*$BI193),0)</f>
        <v>0</v>
      </c>
      <c r="BM193" s="5">
        <f>IF($BI193&lt;&gt;"",IF('Capacity summary'!$C$14="Yes",IF(COUNTBLANK('Capacity summary'!$H105:$BG105)&lt;52,IF('Capacity summary'!J105&lt;&gt;"",$BI193*J193,0),J193*$BI193),J193*$BI193),0)</f>
        <v>0</v>
      </c>
      <c r="BN193" s="5">
        <f>IF($BI193&lt;&gt;"",IF('Capacity summary'!$C$14="Yes",IF(COUNTBLANK('Capacity summary'!$H105:$BG105)&lt;52,IF('Capacity summary'!K105&lt;&gt;"",$BI193*K193,0),K193*$BI193),K193*$BI193),0)</f>
        <v>0</v>
      </c>
      <c r="BO193" s="5">
        <f>IF($BI193&lt;&gt;"",IF('Capacity summary'!$C$14="Yes",IF(COUNTBLANK('Capacity summary'!$H105:$BG105)&lt;52,IF('Capacity summary'!L105&lt;&gt;"",$BI193*L193,0),L193*$BI193),L193*$BI193),0)</f>
        <v>0</v>
      </c>
      <c r="BP193" s="5">
        <f>IF($BI193&lt;&gt;"",IF('Capacity summary'!$C$14="Yes",IF(COUNTBLANK('Capacity summary'!$H105:$BG105)&lt;52,IF('Capacity summary'!M105&lt;&gt;"",$BI193*M193,0),M193*$BI193),M193*$BI193),0)</f>
        <v>0</v>
      </c>
      <c r="BQ193" s="5">
        <f>IF($BI193&lt;&gt;"",IF('Capacity summary'!$C$14="Yes",IF(COUNTBLANK('Capacity summary'!$H105:$BG105)&lt;52,IF('Capacity summary'!N105&lt;&gt;"",$BI193*N193,0),N193*$BI193),N193*$BI193),0)</f>
        <v>0</v>
      </c>
      <c r="BR193" s="5">
        <f>IF($BI193&lt;&gt;"",IF('Capacity summary'!$C$14="Yes",IF(COUNTBLANK('Capacity summary'!$H105:$BG105)&lt;52,IF('Capacity summary'!O105&lt;&gt;"",$BI193*O193,0),O193*$BI193),O193*$BI193),0)</f>
        <v>0</v>
      </c>
      <c r="BS193" s="5">
        <f>IF($BI193&lt;&gt;"",IF('Capacity summary'!$C$14="Yes",IF(COUNTBLANK('Capacity summary'!$H105:$BG105)&lt;52,IF('Capacity summary'!P105&lt;&gt;"",$BI193*P193,0),P193*$BI193),P193*$BI193),0)</f>
        <v>0</v>
      </c>
      <c r="BT193" s="5">
        <f>IF($BI193&lt;&gt;"",IF('Capacity summary'!$C$14="Yes",IF(COUNTBLANK('Capacity summary'!$H105:$BG105)&lt;52,IF('Capacity summary'!Q105&lt;&gt;"",$BI193*Q193,0),Q193*$BI193),Q193*$BI193),0)</f>
        <v>0</v>
      </c>
      <c r="BU193" s="5">
        <f>IF($BI193&lt;&gt;"",IF('Capacity summary'!$C$14="Yes",IF(COUNTBLANK('Capacity summary'!$H105:$BG105)&lt;52,IF('Capacity summary'!R105&lt;&gt;"",$BI193*R193,0),R193*$BI193),R193*$BI193),0)</f>
        <v>0</v>
      </c>
      <c r="BV193" s="5">
        <f>IF($BI193&lt;&gt;"",IF('Capacity summary'!$C$14="Yes",IF(COUNTBLANK('Capacity summary'!$H105:$BG105)&lt;52,IF('Capacity summary'!S105&lt;&gt;"",$BI193*S193,0),S193*$BI193),S193*$BI193),0)</f>
        <v>0</v>
      </c>
      <c r="BW193" s="5">
        <f>IF($BI193&lt;&gt;"",IF('Capacity summary'!$C$14="Yes",IF(COUNTBLANK('Capacity summary'!$H105:$BG105)&lt;52,IF('Capacity summary'!T105&lt;&gt;"",$BI193*T193,0),T193*$BI193),T193*$BI193),0)</f>
        <v>0</v>
      </c>
      <c r="BX193" s="5">
        <f>IF($BI193&lt;&gt;"",IF('Capacity summary'!$C$14="Yes",IF(COUNTBLANK('Capacity summary'!$H105:$BG105)&lt;52,IF('Capacity summary'!U105&lt;&gt;"",$BI193*U193,0),U193*$BI193),U193*$BI193),0)</f>
        <v>0</v>
      </c>
      <c r="BY193" s="5">
        <f>IF($BI193&lt;&gt;"",IF('Capacity summary'!$C$14="Yes",IF(COUNTBLANK('Capacity summary'!$H105:$BG105)&lt;52,IF('Capacity summary'!V105&lt;&gt;"",$BI193*V193,0),V193*$BI193),V193*$BI193),0)</f>
        <v>0</v>
      </c>
      <c r="BZ193" s="5">
        <f>IF($BI193&lt;&gt;"",IF('Capacity summary'!$C$14="Yes",IF(COUNTBLANK('Capacity summary'!$H105:$BG105)&lt;52,IF('Capacity summary'!W105&lt;&gt;"",$BI193*W193,0),W193*$BI193),W193*$BI193),0)</f>
        <v>0</v>
      </c>
      <c r="CA193" s="5">
        <f>IF($BI193&lt;&gt;"",IF('Capacity summary'!$C$14="Yes",IF(COUNTBLANK('Capacity summary'!$H105:$BG105)&lt;52,IF('Capacity summary'!X105&lt;&gt;"",$BI193*X193,0),X193*$BI193),X193*$BI193),0)</f>
        <v>0</v>
      </c>
      <c r="CB193" s="5">
        <f>IF($BI193&lt;&gt;"",IF('Capacity summary'!$C$14="Yes",IF(COUNTBLANK('Capacity summary'!$H105:$BG105)&lt;52,IF('Capacity summary'!Y105&lt;&gt;"",$BI193*Y193,0),Y193*$BI193),Y193*$BI193),0)</f>
        <v>0</v>
      </c>
      <c r="CC193" s="5">
        <f>IF($BI193&lt;&gt;"",IF('Capacity summary'!$C$14="Yes",IF(COUNTBLANK('Capacity summary'!$H105:$BG105)&lt;52,IF('Capacity summary'!Z105&lt;&gt;"",$BI193*Z193,0),Z193*$BI193),Z193*$BI193),0)</f>
        <v>0</v>
      </c>
      <c r="CD193" s="5">
        <f>IF($BI193&lt;&gt;"",IF('Capacity summary'!$C$14="Yes",IF(COUNTBLANK('Capacity summary'!$H105:$BG105)&lt;52,IF('Capacity summary'!AA105&lt;&gt;"",$BI193*AA193,0),AA193*$BI193),AA193*$BI193),0)</f>
        <v>0</v>
      </c>
      <c r="CE193" s="5">
        <f>IF($BI193&lt;&gt;"",IF('Capacity summary'!$C$14="Yes",IF(COUNTBLANK('Capacity summary'!$H105:$BG105)&lt;52,IF('Capacity summary'!AB105&lt;&gt;"",$BI193*AB193,0),AB193*$BI193),AB193*$BI193),0)</f>
        <v>0</v>
      </c>
      <c r="CF193" s="5">
        <f>IF($BI193&lt;&gt;"",IF('Capacity summary'!$C$14="Yes",IF(COUNTBLANK('Capacity summary'!$H105:$BG105)&lt;52,IF('Capacity summary'!AC105&lt;&gt;"",$BI193*AC193,0),AC193*$BI193),AC193*$BI193),0)</f>
        <v>0</v>
      </c>
      <c r="CG193" s="5">
        <f>IF($BI193&lt;&gt;"",IF('Capacity summary'!$C$14="Yes",IF(COUNTBLANK('Capacity summary'!$H105:$BG105)&lt;52,IF('Capacity summary'!AD105&lt;&gt;"",$BI193*AD193,0),AD193*$BI193),AD193*$BI193),0)</f>
        <v>0</v>
      </c>
      <c r="CH193" s="5">
        <f>IF($BI193&lt;&gt;"",IF('Capacity summary'!$C$14="Yes",IF(COUNTBLANK('Capacity summary'!$H105:$BG105)&lt;52,IF('Capacity summary'!AE105&lt;&gt;"",$BI193*AE193,0),AE193*$BI193),AE193*$BI193),0)</f>
        <v>0</v>
      </c>
      <c r="CI193" s="5">
        <f>IF($BI193&lt;&gt;"",IF('Capacity summary'!$C$14="Yes",IF(COUNTBLANK('Capacity summary'!$H105:$BG105)&lt;52,IF('Capacity summary'!AF105&lt;&gt;"",$BI193*AF193,0),AF193*$BI193),AF193*$BI193),0)</f>
        <v>0</v>
      </c>
      <c r="CJ193" s="5">
        <f>IF($BI193&lt;&gt;"",IF('Capacity summary'!$C$14="Yes",IF(COUNTBLANK('Capacity summary'!$H105:$BG105)&lt;52,IF('Capacity summary'!AG105&lt;&gt;"",$BI193*AG193,0),AG193*$BI193),AG193*$BI193),0)</f>
        <v>0</v>
      </c>
      <c r="CK193" s="5">
        <f>IF($BI193&lt;&gt;"",IF('Capacity summary'!$C$14="Yes",IF(COUNTBLANK('Capacity summary'!$H105:$BG105)&lt;52,IF('Capacity summary'!AH105&lt;&gt;"",$BI193*AH193,0),AH193*$BI193),AH193*$BI193),0)</f>
        <v>0</v>
      </c>
      <c r="CL193" s="5">
        <f>IF($BI193&lt;&gt;"",IF('Capacity summary'!$C$14="Yes",IF(COUNTBLANK('Capacity summary'!$H105:$BG105)&lt;52,IF('Capacity summary'!AI105&lt;&gt;"",$BI193*AI193,0),AI193*$BI193),AI193*$BI193),0)</f>
        <v>0</v>
      </c>
      <c r="CM193" s="5">
        <f>IF($BI193&lt;&gt;"",IF('Capacity summary'!$C$14="Yes",IF(COUNTBLANK('Capacity summary'!$H105:$BG105)&lt;52,IF('Capacity summary'!AJ105&lt;&gt;"",$BI193*AJ193,0),AJ193*$BI193),AJ193*$BI193),0)</f>
        <v>0</v>
      </c>
      <c r="CN193" s="5">
        <f>IF($BI193&lt;&gt;"",IF('Capacity summary'!$C$14="Yes",IF(COUNTBLANK('Capacity summary'!$H105:$BG105)&lt;52,IF('Capacity summary'!AK105&lt;&gt;"",$BI193*AK193,0),AK193*$BI193),AK193*$BI193),0)</f>
        <v>0</v>
      </c>
      <c r="CO193" s="5">
        <f>IF($BI193&lt;&gt;"",IF('Capacity summary'!$C$14="Yes",IF(COUNTBLANK('Capacity summary'!$H105:$BG105)&lt;52,IF('Capacity summary'!AL105&lt;&gt;"",$BI193*AL193,0),AL193*$BI193),AL193*$BI193),0)</f>
        <v>0</v>
      </c>
      <c r="CP193" s="5">
        <f>IF($BI193&lt;&gt;"",IF('Capacity summary'!$C$14="Yes",IF(COUNTBLANK('Capacity summary'!$H105:$BG105)&lt;52,IF('Capacity summary'!AM105&lt;&gt;"",$BI193*AM193,0),AM193*$BI193),AM193*$BI193),0)</f>
        <v>0</v>
      </c>
      <c r="CQ193" s="5">
        <f>IF($BI193&lt;&gt;"",IF('Capacity summary'!$C$14="Yes",IF(COUNTBLANK('Capacity summary'!$H105:$BG105)&lt;52,IF('Capacity summary'!AN105&lt;&gt;"",$BI193*AN193,0),AN193*$BI193),AN193*$BI193),0)</f>
        <v>0</v>
      </c>
      <c r="CR193" s="5">
        <f>IF($BI193&lt;&gt;"",IF('Capacity summary'!$C$14="Yes",IF(COUNTBLANK('Capacity summary'!$H105:$BG105)&lt;52,IF('Capacity summary'!AO105&lt;&gt;"",$BI193*AO193,0),AO193*$BI193),AO193*$BI193),0)</f>
        <v>0</v>
      </c>
      <c r="CS193" s="5">
        <f>IF($BI193&lt;&gt;"",IF('Capacity summary'!$C$14="Yes",IF(COUNTBLANK('Capacity summary'!$H105:$BG105)&lt;52,IF('Capacity summary'!AP105&lt;&gt;"",$BI193*AP193,0),AP193*$BI193),AP193*$BI193),0)</f>
        <v>0</v>
      </c>
      <c r="CT193" s="5">
        <f>IF($BI193&lt;&gt;"",IF('Capacity summary'!$C$14="Yes",IF(COUNTBLANK('Capacity summary'!$H105:$BG105)&lt;52,IF('Capacity summary'!AQ105&lt;&gt;"",$BI193*AQ193,0),AQ193*$BI193),AQ193*$BI193),0)</f>
        <v>0</v>
      </c>
      <c r="CU193" s="5">
        <f>IF($BI193&lt;&gt;"",IF('Capacity summary'!$C$14="Yes",IF(COUNTBLANK('Capacity summary'!$H105:$BG105)&lt;52,IF('Capacity summary'!AR105&lt;&gt;"",$BI193*AR193,0),AR193*$BI193),AR193*$BI193),0)</f>
        <v>0</v>
      </c>
      <c r="CV193" s="5">
        <f>IF($BI193&lt;&gt;"",IF('Capacity summary'!$C$14="Yes",IF(COUNTBLANK('Capacity summary'!$H105:$BG105)&lt;52,IF('Capacity summary'!AS105&lt;&gt;"",$BI193*AS193,0),AS193*$BI193),AS193*$BI193),0)</f>
        <v>0</v>
      </c>
      <c r="CW193" s="5">
        <f>IF($BI193&lt;&gt;"",IF('Capacity summary'!$C$14="Yes",IF(COUNTBLANK('Capacity summary'!$H105:$BG105)&lt;52,IF('Capacity summary'!AT105&lt;&gt;"",$BI193*AT193,0),AT193*$BI193),AT193*$BI193),0)</f>
        <v>0</v>
      </c>
      <c r="CX193" s="5">
        <f>IF($BI193&lt;&gt;"",IF('Capacity summary'!$C$14="Yes",IF(COUNTBLANK('Capacity summary'!$H105:$BG105)&lt;52,IF('Capacity summary'!AU105&lt;&gt;"",$BI193*AU193,0),AU193*$BI193),AU193*$BI193),0)</f>
        <v>0</v>
      </c>
      <c r="CY193" s="5">
        <f>IF($BI193&lt;&gt;"",IF('Capacity summary'!$C$14="Yes",IF(COUNTBLANK('Capacity summary'!$H105:$BG105)&lt;52,IF('Capacity summary'!AV105&lt;&gt;"",$BI193*AV193,0),AV193*$BI193),AV193*$BI193),0)</f>
        <v>0</v>
      </c>
      <c r="CZ193" s="5">
        <f>IF($BI193&lt;&gt;"",IF('Capacity summary'!$C$14="Yes",IF(COUNTBLANK('Capacity summary'!$H105:$BG105)&lt;52,IF('Capacity summary'!AW105&lt;&gt;"",$BI193*AW193,0),AW193*$BI193),AW193*$BI193),0)</f>
        <v>0</v>
      </c>
      <c r="DA193" s="5">
        <f>IF($BI193&lt;&gt;"",IF('Capacity summary'!$C$14="Yes",IF(COUNTBLANK('Capacity summary'!$H105:$BG105)&lt;52,IF('Capacity summary'!AX105&lt;&gt;"",$BI193*AX193,0),AX193*$BI193),AX193*$BI193),0)</f>
        <v>0</v>
      </c>
      <c r="DB193" s="5">
        <f>IF($BI193&lt;&gt;"",IF('Capacity summary'!$C$14="Yes",IF(COUNTBLANK('Capacity summary'!$H105:$BG105)&lt;52,IF('Capacity summary'!AY105&lt;&gt;"",$BI193*AY193,0),AY193*$BI193),AY193*$BI193),0)</f>
        <v>0</v>
      </c>
      <c r="DC193" s="5">
        <f>IF($BI193&lt;&gt;"",IF('Capacity summary'!$C$14="Yes",IF(COUNTBLANK('Capacity summary'!$H105:$BG105)&lt;52,IF('Capacity summary'!AZ105&lt;&gt;"",$BI193*AZ193,0),AZ193*$BI193),AZ193*$BI193),0)</f>
        <v>0</v>
      </c>
      <c r="DD193" s="5">
        <f>IF($BI193&lt;&gt;"",IF('Capacity summary'!$C$14="Yes",IF(COUNTBLANK('Capacity summary'!$H105:$BG105)&lt;52,IF('Capacity summary'!BA105&lt;&gt;"",$BI193*BA193,0),BA193*$BI193),BA193*$BI193),0)</f>
        <v>0</v>
      </c>
      <c r="DE193" s="5">
        <f>IF($BI193&lt;&gt;"",IF('Capacity summary'!$C$14="Yes",IF(COUNTBLANK('Capacity summary'!$H105:$BG105)&lt;52,IF('Capacity summary'!BB105&lt;&gt;"",$BI193*BB193,0),BB193*$BI193),BB193*$BI193),0)</f>
        <v>0</v>
      </c>
      <c r="DF193" s="5">
        <f>IF($BI193&lt;&gt;"",IF('Capacity summary'!$C$14="Yes",IF(COUNTBLANK('Capacity summary'!$H105:$BG105)&lt;52,IF('Capacity summary'!BC105&lt;&gt;"",$BI193*BC193,0),BC193*$BI193),BC193*$BI193),0)</f>
        <v>0</v>
      </c>
      <c r="DG193" s="5">
        <f>IF($BI193&lt;&gt;"",IF('Capacity summary'!$C$14="Yes",IF(COUNTBLANK('Capacity summary'!$H105:$BG105)&lt;52,IF('Capacity summary'!BD105&lt;&gt;"",$BI193*BD193,0),BD193*$BI193),BD193*$BI193),0)</f>
        <v>0</v>
      </c>
      <c r="DH193" s="5">
        <f>IF($BI193&lt;&gt;"",IF('Capacity summary'!$C$14="Yes",IF(COUNTBLANK('Capacity summary'!$H105:$BG105)&lt;52,IF('Capacity summary'!BE105&lt;&gt;"",$BI193*BE193,0),BE193*$BI193),BE193*$BI193),0)</f>
        <v>0</v>
      </c>
      <c r="DI193" s="5">
        <f>IF($BI193&lt;&gt;"",IF('Capacity summary'!$C$14="Yes",IF(COUNTBLANK('Capacity summary'!$H105:$BG105)&lt;52,IF('Capacity summary'!BF105&lt;&gt;"",$BI193*BF193,0),BF193*$BI193),BF193*$BI193),0)</f>
        <v>0</v>
      </c>
      <c r="DJ193" s="5">
        <f>IF($BI193&lt;&gt;"",IF('Capacity summary'!$C$14="Yes",IF(COUNTBLANK('Capacity summary'!$H105:$BG105)&lt;52,IF('Capacity summary'!BG105&lt;&gt;"",$BI193*BG193,0),BG193*$BI193),BG193*$BI193),0)</f>
        <v>0</v>
      </c>
      <c r="DK193" s="138">
        <f t="shared" si="7"/>
        <v>0</v>
      </c>
    </row>
    <row r="194" spans="3:115" x14ac:dyDescent="0.2">
      <c r="C194" s="68" t="str">
        <f>ROW(A83)&amp;". "&amp;Capacity!N99</f>
        <v xml:space="preserve">83. </v>
      </c>
      <c r="D194" s="68">
        <f>'Capacity setup'!C200</f>
        <v>0</v>
      </c>
      <c r="E194" s="68">
        <f>'Capacity setup'!D200</f>
        <v>0</v>
      </c>
      <c r="F194" s="68">
        <f>'Capacity setup'!E200</f>
        <v>0</v>
      </c>
      <c r="H194" s="68">
        <f ca="1">IF(AND(SUMIF(Capacity_Resource,$D194,'Critical resources (hide)'!U$6:U$105)+SUMIF(Capacity_Resource,$E194,'Critical resources (hide)'!U$6:U$105)+SUMIF(Capacity_Resource,$F194,'Critical resources (hide)'!U$6:U$105)&gt;0,$E$1=2),0,1)</f>
        <v>1</v>
      </c>
      <c r="I194" s="68">
        <f ca="1">IF(AND(SUMIF(Capacity_Resource,$D194,'Critical resources (hide)'!V$6:V$105)+SUMIF(Capacity_Resource,$E194,'Critical resources (hide)'!V$6:V$105)+SUMIF(Capacity_Resource,$F194,'Critical resources (hide)'!V$6:V$105)&gt;0,$E$1=2),0,1)</f>
        <v>1</v>
      </c>
      <c r="J194" s="68">
        <f ca="1">IF(AND(SUMIF(Capacity_Resource,$D194,'Critical resources (hide)'!W$6:W$105)+SUMIF(Capacity_Resource,$E194,'Critical resources (hide)'!W$6:W$105)+SUMIF(Capacity_Resource,$F194,'Critical resources (hide)'!W$6:W$105)&gt;0,$E$1=2),0,1)</f>
        <v>1</v>
      </c>
      <c r="K194" s="68">
        <f ca="1">IF(AND(SUMIF(Capacity_Resource,$D194,'Critical resources (hide)'!X$6:X$105)+SUMIF(Capacity_Resource,$E194,'Critical resources (hide)'!X$6:X$105)+SUMIF(Capacity_Resource,$F194,'Critical resources (hide)'!X$6:X$105)&gt;0,$E$1=2),0,1)</f>
        <v>1</v>
      </c>
      <c r="L194" s="68">
        <f ca="1">IF(AND(SUMIF(Capacity_Resource,$D194,'Critical resources (hide)'!Y$6:Y$105)+SUMIF(Capacity_Resource,$E194,'Critical resources (hide)'!Y$6:Y$105)+SUMIF(Capacity_Resource,$F194,'Critical resources (hide)'!Y$6:Y$105)&gt;0,$E$1=2),0,1)</f>
        <v>1</v>
      </c>
      <c r="M194" s="68">
        <f ca="1">IF(AND(SUMIF(Capacity_Resource,$D194,'Critical resources (hide)'!Z$6:Z$105)+SUMIF(Capacity_Resource,$E194,'Critical resources (hide)'!Z$6:Z$105)+SUMIF(Capacity_Resource,$F194,'Critical resources (hide)'!Z$6:Z$105)&gt;0,$E$1=2),0,1)</f>
        <v>1</v>
      </c>
      <c r="N194" s="68">
        <f ca="1">IF(AND(SUMIF(Capacity_Resource,$D194,'Critical resources (hide)'!AA$6:AA$105)+SUMIF(Capacity_Resource,$E194,'Critical resources (hide)'!AA$6:AA$105)+SUMIF(Capacity_Resource,$F194,'Critical resources (hide)'!AA$6:AA$105)&gt;0,$E$1=2),0,1)</f>
        <v>1</v>
      </c>
      <c r="O194" s="68">
        <f ca="1">IF(AND(SUMIF(Capacity_Resource,$D194,'Critical resources (hide)'!AB$6:AB$105)+SUMIF(Capacity_Resource,$E194,'Critical resources (hide)'!AB$6:AB$105)+SUMIF(Capacity_Resource,$F194,'Critical resources (hide)'!AB$6:AB$105)&gt;0,$E$1=2),0,1)</f>
        <v>1</v>
      </c>
      <c r="P194" s="68">
        <f ca="1">IF(AND(SUMIF(Capacity_Resource,$D194,'Critical resources (hide)'!AC$6:AC$105)+SUMIF(Capacity_Resource,$E194,'Critical resources (hide)'!AC$6:AC$105)+SUMIF(Capacity_Resource,$F194,'Critical resources (hide)'!AC$6:AC$105)&gt;0,$E$1=2),0,1)</f>
        <v>1</v>
      </c>
      <c r="Q194" s="68">
        <f ca="1">IF(AND(SUMIF(Capacity_Resource,$D194,'Critical resources (hide)'!AD$6:AD$105)+SUMIF(Capacity_Resource,$E194,'Critical resources (hide)'!AD$6:AD$105)+SUMIF(Capacity_Resource,$F194,'Critical resources (hide)'!AD$6:AD$105)&gt;0,$E$1=2),0,1)</f>
        <v>1</v>
      </c>
      <c r="R194" s="68">
        <f ca="1">IF(AND(SUMIF(Capacity_Resource,$D194,'Critical resources (hide)'!AE$6:AE$105)+SUMIF(Capacity_Resource,$E194,'Critical resources (hide)'!AE$6:AE$105)+SUMIF(Capacity_Resource,$F194,'Critical resources (hide)'!AE$6:AE$105)&gt;0,$E$1=2),0,1)</f>
        <v>1</v>
      </c>
      <c r="S194" s="68">
        <f ca="1">IF(AND(SUMIF(Capacity_Resource,$D194,'Critical resources (hide)'!AF$6:AF$105)+SUMIF(Capacity_Resource,$E194,'Critical resources (hide)'!AF$6:AF$105)+SUMIF(Capacity_Resource,$F194,'Critical resources (hide)'!AF$6:AF$105)&gt;0,$E$1=2),0,1)</f>
        <v>1</v>
      </c>
      <c r="T194" s="68">
        <f ca="1">IF(AND(SUMIF(Capacity_Resource,$D194,'Critical resources (hide)'!AG$6:AG$105)+SUMIF(Capacity_Resource,$E194,'Critical resources (hide)'!AG$6:AG$105)+SUMIF(Capacity_Resource,$F194,'Critical resources (hide)'!AG$6:AG$105)&gt;0,$E$1=2),0,1)</f>
        <v>1</v>
      </c>
      <c r="U194" s="68">
        <f ca="1">IF(AND(SUMIF(Capacity_Resource,$D194,'Critical resources (hide)'!AH$6:AH$105)+SUMIF(Capacity_Resource,$E194,'Critical resources (hide)'!AH$6:AH$105)+SUMIF(Capacity_Resource,$F194,'Critical resources (hide)'!AH$6:AH$105)&gt;0,$E$1=2),0,1)</f>
        <v>1</v>
      </c>
      <c r="V194" s="68">
        <f ca="1">IF(AND(SUMIF(Capacity_Resource,$D194,'Critical resources (hide)'!AI$6:AI$105)+SUMIF(Capacity_Resource,$E194,'Critical resources (hide)'!AI$6:AI$105)+SUMIF(Capacity_Resource,$F194,'Critical resources (hide)'!AI$6:AI$105)&gt;0,$E$1=2),0,1)</f>
        <v>1</v>
      </c>
      <c r="W194" s="68">
        <f ca="1">IF(AND(SUMIF(Capacity_Resource,$D194,'Critical resources (hide)'!AJ$6:AJ$105)+SUMIF(Capacity_Resource,$E194,'Critical resources (hide)'!AJ$6:AJ$105)+SUMIF(Capacity_Resource,$F194,'Critical resources (hide)'!AJ$6:AJ$105)&gt;0,$E$1=2),0,1)</f>
        <v>1</v>
      </c>
      <c r="X194" s="68">
        <f ca="1">IF(AND(SUMIF(Capacity_Resource,$D194,'Critical resources (hide)'!AK$6:AK$105)+SUMIF(Capacity_Resource,$E194,'Critical resources (hide)'!AK$6:AK$105)+SUMIF(Capacity_Resource,$F194,'Critical resources (hide)'!AK$6:AK$105)&gt;0,$E$1=2),0,1)</f>
        <v>1</v>
      </c>
      <c r="Y194" s="68">
        <f ca="1">IF(AND(SUMIF(Capacity_Resource,$D194,'Critical resources (hide)'!AL$6:AL$105)+SUMIF(Capacity_Resource,$E194,'Critical resources (hide)'!AL$6:AL$105)+SUMIF(Capacity_Resource,$F194,'Critical resources (hide)'!AL$6:AL$105)&gt;0,$E$1=2),0,1)</f>
        <v>1</v>
      </c>
      <c r="Z194" s="68">
        <f ca="1">IF(AND(SUMIF(Capacity_Resource,$D194,'Critical resources (hide)'!AM$6:AM$105)+SUMIF(Capacity_Resource,$E194,'Critical resources (hide)'!AM$6:AM$105)+SUMIF(Capacity_Resource,$F194,'Critical resources (hide)'!AM$6:AM$105)&gt;0,$E$1=2),0,1)</f>
        <v>1</v>
      </c>
      <c r="AA194" s="68">
        <f ca="1">IF(AND(SUMIF(Capacity_Resource,$D194,'Critical resources (hide)'!AN$6:AN$105)+SUMIF(Capacity_Resource,$E194,'Critical resources (hide)'!AN$6:AN$105)+SUMIF(Capacity_Resource,$F194,'Critical resources (hide)'!AN$6:AN$105)&gt;0,$E$1=2),0,1)</f>
        <v>1</v>
      </c>
      <c r="AB194" s="68">
        <f ca="1">IF(AND(SUMIF(Capacity_Resource,$D194,'Critical resources (hide)'!AO$6:AO$105)+SUMIF(Capacity_Resource,$E194,'Critical resources (hide)'!AO$6:AO$105)+SUMIF(Capacity_Resource,$F194,'Critical resources (hide)'!AO$6:AO$105)&gt;0,$E$1=2),0,1)</f>
        <v>1</v>
      </c>
      <c r="AC194" s="68">
        <f ca="1">IF(AND(SUMIF(Capacity_Resource,$D194,'Critical resources (hide)'!AP$6:AP$105)+SUMIF(Capacity_Resource,$E194,'Critical resources (hide)'!AP$6:AP$105)+SUMIF(Capacity_Resource,$F194,'Critical resources (hide)'!AP$6:AP$105)&gt;0,$E$1=2),0,1)</f>
        <v>1</v>
      </c>
      <c r="AD194" s="68">
        <f ca="1">IF(AND(SUMIF(Capacity_Resource,$D194,'Critical resources (hide)'!AQ$6:AQ$105)+SUMIF(Capacity_Resource,$E194,'Critical resources (hide)'!AQ$6:AQ$105)+SUMIF(Capacity_Resource,$F194,'Critical resources (hide)'!AQ$6:AQ$105)&gt;0,$E$1=2),0,1)</f>
        <v>1</v>
      </c>
      <c r="AE194" s="68">
        <f ca="1">IF(AND(SUMIF(Capacity_Resource,$D194,'Critical resources (hide)'!AR$6:AR$105)+SUMIF(Capacity_Resource,$E194,'Critical resources (hide)'!AR$6:AR$105)+SUMIF(Capacity_Resource,$F194,'Critical resources (hide)'!AR$6:AR$105)&gt;0,$E$1=2),0,1)</f>
        <v>1</v>
      </c>
      <c r="AF194" s="68">
        <f ca="1">IF(AND(SUMIF(Capacity_Resource,$D194,'Critical resources (hide)'!AS$6:AS$105)+SUMIF(Capacity_Resource,$E194,'Critical resources (hide)'!AS$6:AS$105)+SUMIF(Capacity_Resource,$F194,'Critical resources (hide)'!AS$6:AS$105)&gt;0,$E$1=2),0,1)</f>
        <v>1</v>
      </c>
      <c r="AG194" s="68">
        <f ca="1">IF(AND(SUMIF(Capacity_Resource,$D194,'Critical resources (hide)'!AT$6:AT$105)+SUMIF(Capacity_Resource,$E194,'Critical resources (hide)'!AT$6:AT$105)+SUMIF(Capacity_Resource,$F194,'Critical resources (hide)'!AT$6:AT$105)&gt;0,$E$1=2),0,1)</f>
        <v>1</v>
      </c>
      <c r="AH194" s="68">
        <f ca="1">IF(AND(SUMIF(Capacity_Resource,$D194,'Critical resources (hide)'!AU$6:AU$105)+SUMIF(Capacity_Resource,$E194,'Critical resources (hide)'!AU$6:AU$105)+SUMIF(Capacity_Resource,$F194,'Critical resources (hide)'!AU$6:AU$105)&gt;0,$E$1=2),0,1)</f>
        <v>1</v>
      </c>
      <c r="AI194" s="68">
        <f ca="1">IF(AND(SUMIF(Capacity_Resource,$D194,'Critical resources (hide)'!AV$6:AV$105)+SUMIF(Capacity_Resource,$E194,'Critical resources (hide)'!AV$6:AV$105)+SUMIF(Capacity_Resource,$F194,'Critical resources (hide)'!AV$6:AV$105)&gt;0,$E$1=2),0,1)</f>
        <v>1</v>
      </c>
      <c r="AJ194" s="68">
        <f ca="1">IF(AND(SUMIF(Capacity_Resource,$D194,'Critical resources (hide)'!AW$6:AW$105)+SUMIF(Capacity_Resource,$E194,'Critical resources (hide)'!AW$6:AW$105)+SUMIF(Capacity_Resource,$F194,'Critical resources (hide)'!AW$6:AW$105)&gt;0,$E$1=2),0,1)</f>
        <v>1</v>
      </c>
      <c r="AK194" s="68">
        <f ca="1">IF(AND(SUMIF(Capacity_Resource,$D194,'Critical resources (hide)'!AX$6:AX$105)+SUMIF(Capacity_Resource,$E194,'Critical resources (hide)'!AX$6:AX$105)+SUMIF(Capacity_Resource,$F194,'Critical resources (hide)'!AX$6:AX$105)&gt;0,$E$1=2),0,1)</f>
        <v>1</v>
      </c>
      <c r="AL194" s="68">
        <f ca="1">IF(AND(SUMIF(Capacity_Resource,$D194,'Critical resources (hide)'!AY$6:AY$105)+SUMIF(Capacity_Resource,$E194,'Critical resources (hide)'!AY$6:AY$105)+SUMIF(Capacity_Resource,$F194,'Critical resources (hide)'!AY$6:AY$105)&gt;0,$E$1=2),0,1)</f>
        <v>1</v>
      </c>
      <c r="AM194" s="68">
        <f ca="1">IF(AND(SUMIF(Capacity_Resource,$D194,'Critical resources (hide)'!AZ$6:AZ$105)+SUMIF(Capacity_Resource,$E194,'Critical resources (hide)'!AZ$6:AZ$105)+SUMIF(Capacity_Resource,$F194,'Critical resources (hide)'!AZ$6:AZ$105)&gt;0,$E$1=2),0,1)</f>
        <v>1</v>
      </c>
      <c r="AN194" s="68">
        <f ca="1">IF(AND(SUMIF(Capacity_Resource,$D194,'Critical resources (hide)'!BA$6:BA$105)+SUMIF(Capacity_Resource,$E194,'Critical resources (hide)'!BA$6:BA$105)+SUMIF(Capacity_Resource,$F194,'Critical resources (hide)'!BA$6:BA$105)&gt;0,$E$1=2),0,1)</f>
        <v>1</v>
      </c>
      <c r="AO194" s="68">
        <f ca="1">IF(AND(SUMIF(Capacity_Resource,$D194,'Critical resources (hide)'!BB$6:BB$105)+SUMIF(Capacity_Resource,$E194,'Critical resources (hide)'!BB$6:BB$105)+SUMIF(Capacity_Resource,$F194,'Critical resources (hide)'!BB$6:BB$105)&gt;0,$E$1=2),0,1)</f>
        <v>1</v>
      </c>
      <c r="AP194" s="68">
        <f ca="1">IF(AND(SUMIF(Capacity_Resource,$D194,'Critical resources (hide)'!BC$6:BC$105)+SUMIF(Capacity_Resource,$E194,'Critical resources (hide)'!BC$6:BC$105)+SUMIF(Capacity_Resource,$F194,'Critical resources (hide)'!BC$6:BC$105)&gt;0,$E$1=2),0,1)</f>
        <v>1</v>
      </c>
      <c r="AQ194" s="68">
        <f ca="1">IF(AND(SUMIF(Capacity_Resource,$D194,'Critical resources (hide)'!BD$6:BD$105)+SUMIF(Capacity_Resource,$E194,'Critical resources (hide)'!BD$6:BD$105)+SUMIF(Capacity_Resource,$F194,'Critical resources (hide)'!BD$6:BD$105)&gt;0,$E$1=2),0,1)</f>
        <v>1</v>
      </c>
      <c r="AR194" s="68">
        <f ca="1">IF(AND(SUMIF(Capacity_Resource,$D194,'Critical resources (hide)'!BE$6:BE$105)+SUMIF(Capacity_Resource,$E194,'Critical resources (hide)'!BE$6:BE$105)+SUMIF(Capacity_Resource,$F194,'Critical resources (hide)'!BE$6:BE$105)&gt;0,$E$1=2),0,1)</f>
        <v>1</v>
      </c>
      <c r="AS194" s="68">
        <f ca="1">IF(AND(SUMIF(Capacity_Resource,$D194,'Critical resources (hide)'!BF$6:BF$105)+SUMIF(Capacity_Resource,$E194,'Critical resources (hide)'!BF$6:BF$105)+SUMIF(Capacity_Resource,$F194,'Critical resources (hide)'!BF$6:BF$105)&gt;0,$E$1=2),0,1)</f>
        <v>1</v>
      </c>
      <c r="AT194" s="68">
        <f ca="1">IF(AND(SUMIF(Capacity_Resource,$D194,'Critical resources (hide)'!BG$6:BG$105)+SUMIF(Capacity_Resource,$E194,'Critical resources (hide)'!BG$6:BG$105)+SUMIF(Capacity_Resource,$F194,'Critical resources (hide)'!BG$6:BG$105)&gt;0,$E$1=2),0,1)</f>
        <v>1</v>
      </c>
      <c r="AU194" s="68">
        <f ca="1">IF(AND(SUMIF(Capacity_Resource,$D194,'Critical resources (hide)'!BH$6:BH$105)+SUMIF(Capacity_Resource,$E194,'Critical resources (hide)'!BH$6:BH$105)+SUMIF(Capacity_Resource,$F194,'Critical resources (hide)'!BH$6:BH$105)&gt;0,$E$1=2),0,1)</f>
        <v>1</v>
      </c>
      <c r="AV194" s="68">
        <f ca="1">IF(AND(SUMIF(Capacity_Resource,$D194,'Critical resources (hide)'!BI$6:BI$105)+SUMIF(Capacity_Resource,$E194,'Critical resources (hide)'!BI$6:BI$105)+SUMIF(Capacity_Resource,$F194,'Critical resources (hide)'!BI$6:BI$105)&gt;0,$E$1=2),0,1)</f>
        <v>1</v>
      </c>
      <c r="AW194" s="68">
        <f ca="1">IF(AND(SUMIF(Capacity_Resource,$D194,'Critical resources (hide)'!BJ$6:BJ$105)+SUMIF(Capacity_Resource,$E194,'Critical resources (hide)'!BJ$6:BJ$105)+SUMIF(Capacity_Resource,$F194,'Critical resources (hide)'!BJ$6:BJ$105)&gt;0,$E$1=2),0,1)</f>
        <v>1</v>
      </c>
      <c r="AX194" s="68">
        <f ca="1">IF(AND(SUMIF(Capacity_Resource,$D194,'Critical resources (hide)'!BK$6:BK$105)+SUMIF(Capacity_Resource,$E194,'Critical resources (hide)'!BK$6:BK$105)+SUMIF(Capacity_Resource,$F194,'Critical resources (hide)'!BK$6:BK$105)&gt;0,$E$1=2),0,1)</f>
        <v>1</v>
      </c>
      <c r="AY194" s="68">
        <f ca="1">IF(AND(SUMIF(Capacity_Resource,$D194,'Critical resources (hide)'!BL$6:BL$105)+SUMIF(Capacity_Resource,$E194,'Critical resources (hide)'!BL$6:BL$105)+SUMIF(Capacity_Resource,$F194,'Critical resources (hide)'!BL$6:BL$105)&gt;0,$E$1=2),0,1)</f>
        <v>1</v>
      </c>
      <c r="AZ194" s="68">
        <f ca="1">IF(AND(SUMIF(Capacity_Resource,$D194,'Critical resources (hide)'!BM$6:BM$105)+SUMIF(Capacity_Resource,$E194,'Critical resources (hide)'!BM$6:BM$105)+SUMIF(Capacity_Resource,$F194,'Critical resources (hide)'!BM$6:BM$105)&gt;0,$E$1=2),0,1)</f>
        <v>1</v>
      </c>
      <c r="BA194" s="68">
        <f ca="1">IF(AND(SUMIF(Capacity_Resource,$D194,'Critical resources (hide)'!BN$6:BN$105)+SUMIF(Capacity_Resource,$E194,'Critical resources (hide)'!BN$6:BN$105)+SUMIF(Capacity_Resource,$F194,'Critical resources (hide)'!BN$6:BN$105)&gt;0,$E$1=2),0,1)</f>
        <v>1</v>
      </c>
      <c r="BB194" s="68">
        <f ca="1">IF(AND(SUMIF(Capacity_Resource,$D194,'Critical resources (hide)'!BO$6:BO$105)+SUMIF(Capacity_Resource,$E194,'Critical resources (hide)'!BO$6:BO$105)+SUMIF(Capacity_Resource,$F194,'Critical resources (hide)'!BO$6:BO$105)&gt;0,$E$1=2),0,1)</f>
        <v>1</v>
      </c>
      <c r="BC194" s="68">
        <f ca="1">IF(AND(SUMIF(Capacity_Resource,$D194,'Critical resources (hide)'!BP$6:BP$105)+SUMIF(Capacity_Resource,$E194,'Critical resources (hide)'!BP$6:BP$105)+SUMIF(Capacity_Resource,$F194,'Critical resources (hide)'!BP$6:BP$105)&gt;0,$E$1=2),0,1)</f>
        <v>1</v>
      </c>
      <c r="BD194" s="68">
        <f ca="1">IF(AND(SUMIF(Capacity_Resource,$D194,'Critical resources (hide)'!BQ$6:BQ$105)+SUMIF(Capacity_Resource,$E194,'Critical resources (hide)'!BQ$6:BQ$105)+SUMIF(Capacity_Resource,$F194,'Critical resources (hide)'!BQ$6:BQ$105)&gt;0,$E$1=2),0,1)</f>
        <v>1</v>
      </c>
      <c r="BE194" s="68">
        <f ca="1">IF(AND(SUMIF(Capacity_Resource,$D194,'Critical resources (hide)'!BR$6:BR$105)+SUMIF(Capacity_Resource,$E194,'Critical resources (hide)'!BR$6:BR$105)+SUMIF(Capacity_Resource,$F194,'Critical resources (hide)'!BR$6:BR$105)&gt;0,$E$1=2),0,1)</f>
        <v>1</v>
      </c>
      <c r="BF194" s="68">
        <f ca="1">IF(AND(SUMIF(Capacity_Resource,$D194,'Critical resources (hide)'!BS$6:BS$105)+SUMIF(Capacity_Resource,$E194,'Critical resources (hide)'!BS$6:BS$105)+SUMIF(Capacity_Resource,$F194,'Critical resources (hide)'!BS$6:BS$105)&gt;0,$E$1=2),0,1)</f>
        <v>1</v>
      </c>
      <c r="BG194" s="68">
        <f ca="1">IF(AND(SUMIF(Capacity_Resource,$D194,'Critical resources (hide)'!BT$6:BT$105)+SUMIF(Capacity_Resource,$E194,'Critical resources (hide)'!BT$6:BT$105)+SUMIF(Capacity_Resource,$F194,'Critical resources (hide)'!BT$6:BT$105)&gt;0,$E$1=2),0,1)</f>
        <v>1</v>
      </c>
      <c r="BH194" s="68">
        <f>IF(ROW(A83)&lt;=Capacity!$M$16,IF('Capacity summary'!$C$14="No",SUM(H194:BG194),'Capacity summary'!$E106),0)</f>
        <v>0</v>
      </c>
      <c r="BI194" s="68" t="str">
        <f>IF(BH194&gt;0,IF(BH194&lt;Capacity!Q99,Capacity!R99,Capacity!T99/'Capacity calculation (hide)'!BH194),"")</f>
        <v/>
      </c>
      <c r="BJ194" s="5"/>
      <c r="BK194" s="5">
        <f>IF($BI194&lt;&gt;"",IF('Capacity summary'!$C$14="Yes",IF(COUNTBLANK('Capacity summary'!$H106:$BG106)&lt;52,IF('Capacity summary'!H106&lt;&gt;"",$BI194*H194,0),H194*$BI194),H194*$BI194),0)</f>
        <v>0</v>
      </c>
      <c r="BL194" s="5">
        <f>IF($BI194&lt;&gt;"",IF('Capacity summary'!$C$14="Yes",IF(COUNTBLANK('Capacity summary'!$H106:$BG106)&lt;52,IF('Capacity summary'!I106&lt;&gt;"",$BI194*I194,0),I194*$BI194),I194*$BI194),0)</f>
        <v>0</v>
      </c>
      <c r="BM194" s="5">
        <f>IF($BI194&lt;&gt;"",IF('Capacity summary'!$C$14="Yes",IF(COUNTBLANK('Capacity summary'!$H106:$BG106)&lt;52,IF('Capacity summary'!J106&lt;&gt;"",$BI194*J194,0),J194*$BI194),J194*$BI194),0)</f>
        <v>0</v>
      </c>
      <c r="BN194" s="5">
        <f>IF($BI194&lt;&gt;"",IF('Capacity summary'!$C$14="Yes",IF(COUNTBLANK('Capacity summary'!$H106:$BG106)&lt;52,IF('Capacity summary'!K106&lt;&gt;"",$BI194*K194,0),K194*$BI194),K194*$BI194),0)</f>
        <v>0</v>
      </c>
      <c r="BO194" s="5">
        <f>IF($BI194&lt;&gt;"",IF('Capacity summary'!$C$14="Yes",IF(COUNTBLANK('Capacity summary'!$H106:$BG106)&lt;52,IF('Capacity summary'!L106&lt;&gt;"",$BI194*L194,0),L194*$BI194),L194*$BI194),0)</f>
        <v>0</v>
      </c>
      <c r="BP194" s="5">
        <f>IF($BI194&lt;&gt;"",IF('Capacity summary'!$C$14="Yes",IF(COUNTBLANK('Capacity summary'!$H106:$BG106)&lt;52,IF('Capacity summary'!M106&lt;&gt;"",$BI194*M194,0),M194*$BI194),M194*$BI194),0)</f>
        <v>0</v>
      </c>
      <c r="BQ194" s="5">
        <f>IF($BI194&lt;&gt;"",IF('Capacity summary'!$C$14="Yes",IF(COUNTBLANK('Capacity summary'!$H106:$BG106)&lt;52,IF('Capacity summary'!N106&lt;&gt;"",$BI194*N194,0),N194*$BI194),N194*$BI194),0)</f>
        <v>0</v>
      </c>
      <c r="BR194" s="5">
        <f>IF($BI194&lt;&gt;"",IF('Capacity summary'!$C$14="Yes",IF(COUNTBLANK('Capacity summary'!$H106:$BG106)&lt;52,IF('Capacity summary'!O106&lt;&gt;"",$BI194*O194,0),O194*$BI194),O194*$BI194),0)</f>
        <v>0</v>
      </c>
      <c r="BS194" s="5">
        <f>IF($BI194&lt;&gt;"",IF('Capacity summary'!$C$14="Yes",IF(COUNTBLANK('Capacity summary'!$H106:$BG106)&lt;52,IF('Capacity summary'!P106&lt;&gt;"",$BI194*P194,0),P194*$BI194),P194*$BI194),0)</f>
        <v>0</v>
      </c>
      <c r="BT194" s="5">
        <f>IF($BI194&lt;&gt;"",IF('Capacity summary'!$C$14="Yes",IF(COUNTBLANK('Capacity summary'!$H106:$BG106)&lt;52,IF('Capacity summary'!Q106&lt;&gt;"",$BI194*Q194,0),Q194*$BI194),Q194*$BI194),0)</f>
        <v>0</v>
      </c>
      <c r="BU194" s="5">
        <f>IF($BI194&lt;&gt;"",IF('Capacity summary'!$C$14="Yes",IF(COUNTBLANK('Capacity summary'!$H106:$BG106)&lt;52,IF('Capacity summary'!R106&lt;&gt;"",$BI194*R194,0),R194*$BI194),R194*$BI194),0)</f>
        <v>0</v>
      </c>
      <c r="BV194" s="5">
        <f>IF($BI194&lt;&gt;"",IF('Capacity summary'!$C$14="Yes",IF(COUNTBLANK('Capacity summary'!$H106:$BG106)&lt;52,IF('Capacity summary'!S106&lt;&gt;"",$BI194*S194,0),S194*$BI194),S194*$BI194),0)</f>
        <v>0</v>
      </c>
      <c r="BW194" s="5">
        <f>IF($BI194&lt;&gt;"",IF('Capacity summary'!$C$14="Yes",IF(COUNTBLANK('Capacity summary'!$H106:$BG106)&lt;52,IF('Capacity summary'!T106&lt;&gt;"",$BI194*T194,0),T194*$BI194),T194*$BI194),0)</f>
        <v>0</v>
      </c>
      <c r="BX194" s="5">
        <f>IF($BI194&lt;&gt;"",IF('Capacity summary'!$C$14="Yes",IF(COUNTBLANK('Capacity summary'!$H106:$BG106)&lt;52,IF('Capacity summary'!U106&lt;&gt;"",$BI194*U194,0),U194*$BI194),U194*$BI194),0)</f>
        <v>0</v>
      </c>
      <c r="BY194" s="5">
        <f>IF($BI194&lt;&gt;"",IF('Capacity summary'!$C$14="Yes",IF(COUNTBLANK('Capacity summary'!$H106:$BG106)&lt;52,IF('Capacity summary'!V106&lt;&gt;"",$BI194*V194,0),V194*$BI194),V194*$BI194),0)</f>
        <v>0</v>
      </c>
      <c r="BZ194" s="5">
        <f>IF($BI194&lt;&gt;"",IF('Capacity summary'!$C$14="Yes",IF(COUNTBLANK('Capacity summary'!$H106:$BG106)&lt;52,IF('Capacity summary'!W106&lt;&gt;"",$BI194*W194,0),W194*$BI194),W194*$BI194),0)</f>
        <v>0</v>
      </c>
      <c r="CA194" s="5">
        <f>IF($BI194&lt;&gt;"",IF('Capacity summary'!$C$14="Yes",IF(COUNTBLANK('Capacity summary'!$H106:$BG106)&lt;52,IF('Capacity summary'!X106&lt;&gt;"",$BI194*X194,0),X194*$BI194),X194*$BI194),0)</f>
        <v>0</v>
      </c>
      <c r="CB194" s="5">
        <f>IF($BI194&lt;&gt;"",IF('Capacity summary'!$C$14="Yes",IF(COUNTBLANK('Capacity summary'!$H106:$BG106)&lt;52,IF('Capacity summary'!Y106&lt;&gt;"",$BI194*Y194,0),Y194*$BI194),Y194*$BI194),0)</f>
        <v>0</v>
      </c>
      <c r="CC194" s="5">
        <f>IF($BI194&lt;&gt;"",IF('Capacity summary'!$C$14="Yes",IF(COUNTBLANK('Capacity summary'!$H106:$BG106)&lt;52,IF('Capacity summary'!Z106&lt;&gt;"",$BI194*Z194,0),Z194*$BI194),Z194*$BI194),0)</f>
        <v>0</v>
      </c>
      <c r="CD194" s="5">
        <f>IF($BI194&lt;&gt;"",IF('Capacity summary'!$C$14="Yes",IF(COUNTBLANK('Capacity summary'!$H106:$BG106)&lt;52,IF('Capacity summary'!AA106&lt;&gt;"",$BI194*AA194,0),AA194*$BI194),AA194*$BI194),0)</f>
        <v>0</v>
      </c>
      <c r="CE194" s="5">
        <f>IF($BI194&lt;&gt;"",IF('Capacity summary'!$C$14="Yes",IF(COUNTBLANK('Capacity summary'!$H106:$BG106)&lt;52,IF('Capacity summary'!AB106&lt;&gt;"",$BI194*AB194,0),AB194*$BI194),AB194*$BI194),0)</f>
        <v>0</v>
      </c>
      <c r="CF194" s="5">
        <f>IF($BI194&lt;&gt;"",IF('Capacity summary'!$C$14="Yes",IF(COUNTBLANK('Capacity summary'!$H106:$BG106)&lt;52,IF('Capacity summary'!AC106&lt;&gt;"",$BI194*AC194,0),AC194*$BI194),AC194*$BI194),0)</f>
        <v>0</v>
      </c>
      <c r="CG194" s="5">
        <f>IF($BI194&lt;&gt;"",IF('Capacity summary'!$C$14="Yes",IF(COUNTBLANK('Capacity summary'!$H106:$BG106)&lt;52,IF('Capacity summary'!AD106&lt;&gt;"",$BI194*AD194,0),AD194*$BI194),AD194*$BI194),0)</f>
        <v>0</v>
      </c>
      <c r="CH194" s="5">
        <f>IF($BI194&lt;&gt;"",IF('Capacity summary'!$C$14="Yes",IF(COUNTBLANK('Capacity summary'!$H106:$BG106)&lt;52,IF('Capacity summary'!AE106&lt;&gt;"",$BI194*AE194,0),AE194*$BI194),AE194*$BI194),0)</f>
        <v>0</v>
      </c>
      <c r="CI194" s="5">
        <f>IF($BI194&lt;&gt;"",IF('Capacity summary'!$C$14="Yes",IF(COUNTBLANK('Capacity summary'!$H106:$BG106)&lt;52,IF('Capacity summary'!AF106&lt;&gt;"",$BI194*AF194,0),AF194*$BI194),AF194*$BI194),0)</f>
        <v>0</v>
      </c>
      <c r="CJ194" s="5">
        <f>IF($BI194&lt;&gt;"",IF('Capacity summary'!$C$14="Yes",IF(COUNTBLANK('Capacity summary'!$H106:$BG106)&lt;52,IF('Capacity summary'!AG106&lt;&gt;"",$BI194*AG194,0),AG194*$BI194),AG194*$BI194),0)</f>
        <v>0</v>
      </c>
      <c r="CK194" s="5">
        <f>IF($BI194&lt;&gt;"",IF('Capacity summary'!$C$14="Yes",IF(COUNTBLANK('Capacity summary'!$H106:$BG106)&lt;52,IF('Capacity summary'!AH106&lt;&gt;"",$BI194*AH194,0),AH194*$BI194),AH194*$BI194),0)</f>
        <v>0</v>
      </c>
      <c r="CL194" s="5">
        <f>IF($BI194&lt;&gt;"",IF('Capacity summary'!$C$14="Yes",IF(COUNTBLANK('Capacity summary'!$H106:$BG106)&lt;52,IF('Capacity summary'!AI106&lt;&gt;"",$BI194*AI194,0),AI194*$BI194),AI194*$BI194),0)</f>
        <v>0</v>
      </c>
      <c r="CM194" s="5">
        <f>IF($BI194&lt;&gt;"",IF('Capacity summary'!$C$14="Yes",IF(COUNTBLANK('Capacity summary'!$H106:$BG106)&lt;52,IF('Capacity summary'!AJ106&lt;&gt;"",$BI194*AJ194,0),AJ194*$BI194),AJ194*$BI194),0)</f>
        <v>0</v>
      </c>
      <c r="CN194" s="5">
        <f>IF($BI194&lt;&gt;"",IF('Capacity summary'!$C$14="Yes",IF(COUNTBLANK('Capacity summary'!$H106:$BG106)&lt;52,IF('Capacity summary'!AK106&lt;&gt;"",$BI194*AK194,0),AK194*$BI194),AK194*$BI194),0)</f>
        <v>0</v>
      </c>
      <c r="CO194" s="5">
        <f>IF($BI194&lt;&gt;"",IF('Capacity summary'!$C$14="Yes",IF(COUNTBLANK('Capacity summary'!$H106:$BG106)&lt;52,IF('Capacity summary'!AL106&lt;&gt;"",$BI194*AL194,0),AL194*$BI194),AL194*$BI194),0)</f>
        <v>0</v>
      </c>
      <c r="CP194" s="5">
        <f>IF($BI194&lt;&gt;"",IF('Capacity summary'!$C$14="Yes",IF(COUNTBLANK('Capacity summary'!$H106:$BG106)&lt;52,IF('Capacity summary'!AM106&lt;&gt;"",$BI194*AM194,0),AM194*$BI194),AM194*$BI194),0)</f>
        <v>0</v>
      </c>
      <c r="CQ194" s="5">
        <f>IF($BI194&lt;&gt;"",IF('Capacity summary'!$C$14="Yes",IF(COUNTBLANK('Capacity summary'!$H106:$BG106)&lt;52,IF('Capacity summary'!AN106&lt;&gt;"",$BI194*AN194,0),AN194*$BI194),AN194*$BI194),0)</f>
        <v>0</v>
      </c>
      <c r="CR194" s="5">
        <f>IF($BI194&lt;&gt;"",IF('Capacity summary'!$C$14="Yes",IF(COUNTBLANK('Capacity summary'!$H106:$BG106)&lt;52,IF('Capacity summary'!AO106&lt;&gt;"",$BI194*AO194,0),AO194*$BI194),AO194*$BI194),0)</f>
        <v>0</v>
      </c>
      <c r="CS194" s="5">
        <f>IF($BI194&lt;&gt;"",IF('Capacity summary'!$C$14="Yes",IF(COUNTBLANK('Capacity summary'!$H106:$BG106)&lt;52,IF('Capacity summary'!AP106&lt;&gt;"",$BI194*AP194,0),AP194*$BI194),AP194*$BI194),0)</f>
        <v>0</v>
      </c>
      <c r="CT194" s="5">
        <f>IF($BI194&lt;&gt;"",IF('Capacity summary'!$C$14="Yes",IF(COUNTBLANK('Capacity summary'!$H106:$BG106)&lt;52,IF('Capacity summary'!AQ106&lt;&gt;"",$BI194*AQ194,0),AQ194*$BI194),AQ194*$BI194),0)</f>
        <v>0</v>
      </c>
      <c r="CU194" s="5">
        <f>IF($BI194&lt;&gt;"",IF('Capacity summary'!$C$14="Yes",IF(COUNTBLANK('Capacity summary'!$H106:$BG106)&lt;52,IF('Capacity summary'!AR106&lt;&gt;"",$BI194*AR194,0),AR194*$BI194),AR194*$BI194),0)</f>
        <v>0</v>
      </c>
      <c r="CV194" s="5">
        <f>IF($BI194&lt;&gt;"",IF('Capacity summary'!$C$14="Yes",IF(COUNTBLANK('Capacity summary'!$H106:$BG106)&lt;52,IF('Capacity summary'!AS106&lt;&gt;"",$BI194*AS194,0),AS194*$BI194),AS194*$BI194),0)</f>
        <v>0</v>
      </c>
      <c r="CW194" s="5">
        <f>IF($BI194&lt;&gt;"",IF('Capacity summary'!$C$14="Yes",IF(COUNTBLANK('Capacity summary'!$H106:$BG106)&lt;52,IF('Capacity summary'!AT106&lt;&gt;"",$BI194*AT194,0),AT194*$BI194),AT194*$BI194),0)</f>
        <v>0</v>
      </c>
      <c r="CX194" s="5">
        <f>IF($BI194&lt;&gt;"",IF('Capacity summary'!$C$14="Yes",IF(COUNTBLANK('Capacity summary'!$H106:$BG106)&lt;52,IF('Capacity summary'!AU106&lt;&gt;"",$BI194*AU194,0),AU194*$BI194),AU194*$BI194),0)</f>
        <v>0</v>
      </c>
      <c r="CY194" s="5">
        <f>IF($BI194&lt;&gt;"",IF('Capacity summary'!$C$14="Yes",IF(COUNTBLANK('Capacity summary'!$H106:$BG106)&lt;52,IF('Capacity summary'!AV106&lt;&gt;"",$BI194*AV194,0),AV194*$BI194),AV194*$BI194),0)</f>
        <v>0</v>
      </c>
      <c r="CZ194" s="5">
        <f>IF($BI194&lt;&gt;"",IF('Capacity summary'!$C$14="Yes",IF(COUNTBLANK('Capacity summary'!$H106:$BG106)&lt;52,IF('Capacity summary'!AW106&lt;&gt;"",$BI194*AW194,0),AW194*$BI194),AW194*$BI194),0)</f>
        <v>0</v>
      </c>
      <c r="DA194" s="5">
        <f>IF($BI194&lt;&gt;"",IF('Capacity summary'!$C$14="Yes",IF(COUNTBLANK('Capacity summary'!$H106:$BG106)&lt;52,IF('Capacity summary'!AX106&lt;&gt;"",$BI194*AX194,0),AX194*$BI194),AX194*$BI194),0)</f>
        <v>0</v>
      </c>
      <c r="DB194" s="5">
        <f>IF($BI194&lt;&gt;"",IF('Capacity summary'!$C$14="Yes",IF(COUNTBLANK('Capacity summary'!$H106:$BG106)&lt;52,IF('Capacity summary'!AY106&lt;&gt;"",$BI194*AY194,0),AY194*$BI194),AY194*$BI194),0)</f>
        <v>0</v>
      </c>
      <c r="DC194" s="5">
        <f>IF($BI194&lt;&gt;"",IF('Capacity summary'!$C$14="Yes",IF(COUNTBLANK('Capacity summary'!$H106:$BG106)&lt;52,IF('Capacity summary'!AZ106&lt;&gt;"",$BI194*AZ194,0),AZ194*$BI194),AZ194*$BI194),0)</f>
        <v>0</v>
      </c>
      <c r="DD194" s="5">
        <f>IF($BI194&lt;&gt;"",IF('Capacity summary'!$C$14="Yes",IF(COUNTBLANK('Capacity summary'!$H106:$BG106)&lt;52,IF('Capacity summary'!BA106&lt;&gt;"",$BI194*BA194,0),BA194*$BI194),BA194*$BI194),0)</f>
        <v>0</v>
      </c>
      <c r="DE194" s="5">
        <f>IF($BI194&lt;&gt;"",IF('Capacity summary'!$C$14="Yes",IF(COUNTBLANK('Capacity summary'!$H106:$BG106)&lt;52,IF('Capacity summary'!BB106&lt;&gt;"",$BI194*BB194,0),BB194*$BI194),BB194*$BI194),0)</f>
        <v>0</v>
      </c>
      <c r="DF194" s="5">
        <f>IF($BI194&lt;&gt;"",IF('Capacity summary'!$C$14="Yes",IF(COUNTBLANK('Capacity summary'!$H106:$BG106)&lt;52,IF('Capacity summary'!BC106&lt;&gt;"",$BI194*BC194,0),BC194*$BI194),BC194*$BI194),0)</f>
        <v>0</v>
      </c>
      <c r="DG194" s="5">
        <f>IF($BI194&lt;&gt;"",IF('Capacity summary'!$C$14="Yes",IF(COUNTBLANK('Capacity summary'!$H106:$BG106)&lt;52,IF('Capacity summary'!BD106&lt;&gt;"",$BI194*BD194,0),BD194*$BI194),BD194*$BI194),0)</f>
        <v>0</v>
      </c>
      <c r="DH194" s="5">
        <f>IF($BI194&lt;&gt;"",IF('Capacity summary'!$C$14="Yes",IF(COUNTBLANK('Capacity summary'!$H106:$BG106)&lt;52,IF('Capacity summary'!BE106&lt;&gt;"",$BI194*BE194,0),BE194*$BI194),BE194*$BI194),0)</f>
        <v>0</v>
      </c>
      <c r="DI194" s="5">
        <f>IF($BI194&lt;&gt;"",IF('Capacity summary'!$C$14="Yes",IF(COUNTBLANK('Capacity summary'!$H106:$BG106)&lt;52,IF('Capacity summary'!BF106&lt;&gt;"",$BI194*BF194,0),BF194*$BI194),BF194*$BI194),0)</f>
        <v>0</v>
      </c>
      <c r="DJ194" s="5">
        <f>IF($BI194&lt;&gt;"",IF('Capacity summary'!$C$14="Yes",IF(COUNTBLANK('Capacity summary'!$H106:$BG106)&lt;52,IF('Capacity summary'!BG106&lt;&gt;"",$BI194*BG194,0),BG194*$BI194),BG194*$BI194),0)</f>
        <v>0</v>
      </c>
      <c r="DK194" s="138">
        <f t="shared" si="7"/>
        <v>0</v>
      </c>
    </row>
    <row r="195" spans="3:115" x14ac:dyDescent="0.2">
      <c r="C195" s="68" t="str">
        <f>ROW(A84)&amp;". "&amp;Capacity!N100</f>
        <v xml:space="preserve">84. </v>
      </c>
      <c r="D195" s="68">
        <f>'Capacity setup'!C201</f>
        <v>0</v>
      </c>
      <c r="E195" s="68">
        <f>'Capacity setup'!D201</f>
        <v>0</v>
      </c>
      <c r="F195" s="68">
        <f>'Capacity setup'!E201</f>
        <v>0</v>
      </c>
      <c r="H195" s="68">
        <f ca="1">IF(AND(SUMIF(Capacity_Resource,$D195,'Critical resources (hide)'!U$6:U$105)+SUMIF(Capacity_Resource,$E195,'Critical resources (hide)'!U$6:U$105)+SUMIF(Capacity_Resource,$F195,'Critical resources (hide)'!U$6:U$105)&gt;0,$E$1=2),0,1)</f>
        <v>1</v>
      </c>
      <c r="I195" s="68">
        <f ca="1">IF(AND(SUMIF(Capacity_Resource,$D195,'Critical resources (hide)'!V$6:V$105)+SUMIF(Capacity_Resource,$E195,'Critical resources (hide)'!V$6:V$105)+SUMIF(Capacity_Resource,$F195,'Critical resources (hide)'!V$6:V$105)&gt;0,$E$1=2),0,1)</f>
        <v>1</v>
      </c>
      <c r="J195" s="68">
        <f ca="1">IF(AND(SUMIF(Capacity_Resource,$D195,'Critical resources (hide)'!W$6:W$105)+SUMIF(Capacity_Resource,$E195,'Critical resources (hide)'!W$6:W$105)+SUMIF(Capacity_Resource,$F195,'Critical resources (hide)'!W$6:W$105)&gt;0,$E$1=2),0,1)</f>
        <v>1</v>
      </c>
      <c r="K195" s="68">
        <f ca="1">IF(AND(SUMIF(Capacity_Resource,$D195,'Critical resources (hide)'!X$6:X$105)+SUMIF(Capacity_Resource,$E195,'Critical resources (hide)'!X$6:X$105)+SUMIF(Capacity_Resource,$F195,'Critical resources (hide)'!X$6:X$105)&gt;0,$E$1=2),0,1)</f>
        <v>1</v>
      </c>
      <c r="L195" s="68">
        <f ca="1">IF(AND(SUMIF(Capacity_Resource,$D195,'Critical resources (hide)'!Y$6:Y$105)+SUMIF(Capacity_Resource,$E195,'Critical resources (hide)'!Y$6:Y$105)+SUMIF(Capacity_Resource,$F195,'Critical resources (hide)'!Y$6:Y$105)&gt;0,$E$1=2),0,1)</f>
        <v>1</v>
      </c>
      <c r="M195" s="68">
        <f ca="1">IF(AND(SUMIF(Capacity_Resource,$D195,'Critical resources (hide)'!Z$6:Z$105)+SUMIF(Capacity_Resource,$E195,'Critical resources (hide)'!Z$6:Z$105)+SUMIF(Capacity_Resource,$F195,'Critical resources (hide)'!Z$6:Z$105)&gt;0,$E$1=2),0,1)</f>
        <v>1</v>
      </c>
      <c r="N195" s="68">
        <f ca="1">IF(AND(SUMIF(Capacity_Resource,$D195,'Critical resources (hide)'!AA$6:AA$105)+SUMIF(Capacity_Resource,$E195,'Critical resources (hide)'!AA$6:AA$105)+SUMIF(Capacity_Resource,$F195,'Critical resources (hide)'!AA$6:AA$105)&gt;0,$E$1=2),0,1)</f>
        <v>1</v>
      </c>
      <c r="O195" s="68">
        <f ca="1">IF(AND(SUMIF(Capacity_Resource,$D195,'Critical resources (hide)'!AB$6:AB$105)+SUMIF(Capacity_Resource,$E195,'Critical resources (hide)'!AB$6:AB$105)+SUMIF(Capacity_Resource,$F195,'Critical resources (hide)'!AB$6:AB$105)&gt;0,$E$1=2),0,1)</f>
        <v>1</v>
      </c>
      <c r="P195" s="68">
        <f ca="1">IF(AND(SUMIF(Capacity_Resource,$D195,'Critical resources (hide)'!AC$6:AC$105)+SUMIF(Capacity_Resource,$E195,'Critical resources (hide)'!AC$6:AC$105)+SUMIF(Capacity_Resource,$F195,'Critical resources (hide)'!AC$6:AC$105)&gt;0,$E$1=2),0,1)</f>
        <v>1</v>
      </c>
      <c r="Q195" s="68">
        <f ca="1">IF(AND(SUMIF(Capacity_Resource,$D195,'Critical resources (hide)'!AD$6:AD$105)+SUMIF(Capacity_Resource,$E195,'Critical resources (hide)'!AD$6:AD$105)+SUMIF(Capacity_Resource,$F195,'Critical resources (hide)'!AD$6:AD$105)&gt;0,$E$1=2),0,1)</f>
        <v>1</v>
      </c>
      <c r="R195" s="68">
        <f ca="1">IF(AND(SUMIF(Capacity_Resource,$D195,'Critical resources (hide)'!AE$6:AE$105)+SUMIF(Capacity_Resource,$E195,'Critical resources (hide)'!AE$6:AE$105)+SUMIF(Capacity_Resource,$F195,'Critical resources (hide)'!AE$6:AE$105)&gt;0,$E$1=2),0,1)</f>
        <v>1</v>
      </c>
      <c r="S195" s="68">
        <f ca="1">IF(AND(SUMIF(Capacity_Resource,$D195,'Critical resources (hide)'!AF$6:AF$105)+SUMIF(Capacity_Resource,$E195,'Critical resources (hide)'!AF$6:AF$105)+SUMIF(Capacity_Resource,$F195,'Critical resources (hide)'!AF$6:AF$105)&gt;0,$E$1=2),0,1)</f>
        <v>1</v>
      </c>
      <c r="T195" s="68">
        <f ca="1">IF(AND(SUMIF(Capacity_Resource,$D195,'Critical resources (hide)'!AG$6:AG$105)+SUMIF(Capacity_Resource,$E195,'Critical resources (hide)'!AG$6:AG$105)+SUMIF(Capacity_Resource,$F195,'Critical resources (hide)'!AG$6:AG$105)&gt;0,$E$1=2),0,1)</f>
        <v>1</v>
      </c>
      <c r="U195" s="68">
        <f ca="1">IF(AND(SUMIF(Capacity_Resource,$D195,'Critical resources (hide)'!AH$6:AH$105)+SUMIF(Capacity_Resource,$E195,'Critical resources (hide)'!AH$6:AH$105)+SUMIF(Capacity_Resource,$F195,'Critical resources (hide)'!AH$6:AH$105)&gt;0,$E$1=2),0,1)</f>
        <v>1</v>
      </c>
      <c r="V195" s="68">
        <f ca="1">IF(AND(SUMIF(Capacity_Resource,$D195,'Critical resources (hide)'!AI$6:AI$105)+SUMIF(Capacity_Resource,$E195,'Critical resources (hide)'!AI$6:AI$105)+SUMIF(Capacity_Resource,$F195,'Critical resources (hide)'!AI$6:AI$105)&gt;0,$E$1=2),0,1)</f>
        <v>1</v>
      </c>
      <c r="W195" s="68">
        <f ca="1">IF(AND(SUMIF(Capacity_Resource,$D195,'Critical resources (hide)'!AJ$6:AJ$105)+SUMIF(Capacity_Resource,$E195,'Critical resources (hide)'!AJ$6:AJ$105)+SUMIF(Capacity_Resource,$F195,'Critical resources (hide)'!AJ$6:AJ$105)&gt;0,$E$1=2),0,1)</f>
        <v>1</v>
      </c>
      <c r="X195" s="68">
        <f ca="1">IF(AND(SUMIF(Capacity_Resource,$D195,'Critical resources (hide)'!AK$6:AK$105)+SUMIF(Capacity_Resource,$E195,'Critical resources (hide)'!AK$6:AK$105)+SUMIF(Capacity_Resource,$F195,'Critical resources (hide)'!AK$6:AK$105)&gt;0,$E$1=2),0,1)</f>
        <v>1</v>
      </c>
      <c r="Y195" s="68">
        <f ca="1">IF(AND(SUMIF(Capacity_Resource,$D195,'Critical resources (hide)'!AL$6:AL$105)+SUMIF(Capacity_Resource,$E195,'Critical resources (hide)'!AL$6:AL$105)+SUMIF(Capacity_Resource,$F195,'Critical resources (hide)'!AL$6:AL$105)&gt;0,$E$1=2),0,1)</f>
        <v>1</v>
      </c>
      <c r="Z195" s="68">
        <f ca="1">IF(AND(SUMIF(Capacity_Resource,$D195,'Critical resources (hide)'!AM$6:AM$105)+SUMIF(Capacity_Resource,$E195,'Critical resources (hide)'!AM$6:AM$105)+SUMIF(Capacity_Resource,$F195,'Critical resources (hide)'!AM$6:AM$105)&gt;0,$E$1=2),0,1)</f>
        <v>1</v>
      </c>
      <c r="AA195" s="68">
        <f ca="1">IF(AND(SUMIF(Capacity_Resource,$D195,'Critical resources (hide)'!AN$6:AN$105)+SUMIF(Capacity_Resource,$E195,'Critical resources (hide)'!AN$6:AN$105)+SUMIF(Capacity_Resource,$F195,'Critical resources (hide)'!AN$6:AN$105)&gt;0,$E$1=2),0,1)</f>
        <v>1</v>
      </c>
      <c r="AB195" s="68">
        <f ca="1">IF(AND(SUMIF(Capacity_Resource,$D195,'Critical resources (hide)'!AO$6:AO$105)+SUMIF(Capacity_Resource,$E195,'Critical resources (hide)'!AO$6:AO$105)+SUMIF(Capacity_Resource,$F195,'Critical resources (hide)'!AO$6:AO$105)&gt;0,$E$1=2),0,1)</f>
        <v>1</v>
      </c>
      <c r="AC195" s="68">
        <f ca="1">IF(AND(SUMIF(Capacity_Resource,$D195,'Critical resources (hide)'!AP$6:AP$105)+SUMIF(Capacity_Resource,$E195,'Critical resources (hide)'!AP$6:AP$105)+SUMIF(Capacity_Resource,$F195,'Critical resources (hide)'!AP$6:AP$105)&gt;0,$E$1=2),0,1)</f>
        <v>1</v>
      </c>
      <c r="AD195" s="68">
        <f ca="1">IF(AND(SUMIF(Capacity_Resource,$D195,'Critical resources (hide)'!AQ$6:AQ$105)+SUMIF(Capacity_Resource,$E195,'Critical resources (hide)'!AQ$6:AQ$105)+SUMIF(Capacity_Resource,$F195,'Critical resources (hide)'!AQ$6:AQ$105)&gt;0,$E$1=2),0,1)</f>
        <v>1</v>
      </c>
      <c r="AE195" s="68">
        <f ca="1">IF(AND(SUMIF(Capacity_Resource,$D195,'Critical resources (hide)'!AR$6:AR$105)+SUMIF(Capacity_Resource,$E195,'Critical resources (hide)'!AR$6:AR$105)+SUMIF(Capacity_Resource,$F195,'Critical resources (hide)'!AR$6:AR$105)&gt;0,$E$1=2),0,1)</f>
        <v>1</v>
      </c>
      <c r="AF195" s="68">
        <f ca="1">IF(AND(SUMIF(Capacity_Resource,$D195,'Critical resources (hide)'!AS$6:AS$105)+SUMIF(Capacity_Resource,$E195,'Critical resources (hide)'!AS$6:AS$105)+SUMIF(Capacity_Resource,$F195,'Critical resources (hide)'!AS$6:AS$105)&gt;0,$E$1=2),0,1)</f>
        <v>1</v>
      </c>
      <c r="AG195" s="68">
        <f ca="1">IF(AND(SUMIF(Capacity_Resource,$D195,'Critical resources (hide)'!AT$6:AT$105)+SUMIF(Capacity_Resource,$E195,'Critical resources (hide)'!AT$6:AT$105)+SUMIF(Capacity_Resource,$F195,'Critical resources (hide)'!AT$6:AT$105)&gt;0,$E$1=2),0,1)</f>
        <v>1</v>
      </c>
      <c r="AH195" s="68">
        <f ca="1">IF(AND(SUMIF(Capacity_Resource,$D195,'Critical resources (hide)'!AU$6:AU$105)+SUMIF(Capacity_Resource,$E195,'Critical resources (hide)'!AU$6:AU$105)+SUMIF(Capacity_Resource,$F195,'Critical resources (hide)'!AU$6:AU$105)&gt;0,$E$1=2),0,1)</f>
        <v>1</v>
      </c>
      <c r="AI195" s="68">
        <f ca="1">IF(AND(SUMIF(Capacity_Resource,$D195,'Critical resources (hide)'!AV$6:AV$105)+SUMIF(Capacity_Resource,$E195,'Critical resources (hide)'!AV$6:AV$105)+SUMIF(Capacity_Resource,$F195,'Critical resources (hide)'!AV$6:AV$105)&gt;0,$E$1=2),0,1)</f>
        <v>1</v>
      </c>
      <c r="AJ195" s="68">
        <f ca="1">IF(AND(SUMIF(Capacity_Resource,$D195,'Critical resources (hide)'!AW$6:AW$105)+SUMIF(Capacity_Resource,$E195,'Critical resources (hide)'!AW$6:AW$105)+SUMIF(Capacity_Resource,$F195,'Critical resources (hide)'!AW$6:AW$105)&gt;0,$E$1=2),0,1)</f>
        <v>1</v>
      </c>
      <c r="AK195" s="68">
        <f ca="1">IF(AND(SUMIF(Capacity_Resource,$D195,'Critical resources (hide)'!AX$6:AX$105)+SUMIF(Capacity_Resource,$E195,'Critical resources (hide)'!AX$6:AX$105)+SUMIF(Capacity_Resource,$F195,'Critical resources (hide)'!AX$6:AX$105)&gt;0,$E$1=2),0,1)</f>
        <v>1</v>
      </c>
      <c r="AL195" s="68">
        <f ca="1">IF(AND(SUMIF(Capacity_Resource,$D195,'Critical resources (hide)'!AY$6:AY$105)+SUMIF(Capacity_Resource,$E195,'Critical resources (hide)'!AY$6:AY$105)+SUMIF(Capacity_Resource,$F195,'Critical resources (hide)'!AY$6:AY$105)&gt;0,$E$1=2),0,1)</f>
        <v>1</v>
      </c>
      <c r="AM195" s="68">
        <f ca="1">IF(AND(SUMIF(Capacity_Resource,$D195,'Critical resources (hide)'!AZ$6:AZ$105)+SUMIF(Capacity_Resource,$E195,'Critical resources (hide)'!AZ$6:AZ$105)+SUMIF(Capacity_Resource,$F195,'Critical resources (hide)'!AZ$6:AZ$105)&gt;0,$E$1=2),0,1)</f>
        <v>1</v>
      </c>
      <c r="AN195" s="68">
        <f ca="1">IF(AND(SUMIF(Capacity_Resource,$D195,'Critical resources (hide)'!BA$6:BA$105)+SUMIF(Capacity_Resource,$E195,'Critical resources (hide)'!BA$6:BA$105)+SUMIF(Capacity_Resource,$F195,'Critical resources (hide)'!BA$6:BA$105)&gt;0,$E$1=2),0,1)</f>
        <v>1</v>
      </c>
      <c r="AO195" s="68">
        <f ca="1">IF(AND(SUMIF(Capacity_Resource,$D195,'Critical resources (hide)'!BB$6:BB$105)+SUMIF(Capacity_Resource,$E195,'Critical resources (hide)'!BB$6:BB$105)+SUMIF(Capacity_Resource,$F195,'Critical resources (hide)'!BB$6:BB$105)&gt;0,$E$1=2),0,1)</f>
        <v>1</v>
      </c>
      <c r="AP195" s="68">
        <f ca="1">IF(AND(SUMIF(Capacity_Resource,$D195,'Critical resources (hide)'!BC$6:BC$105)+SUMIF(Capacity_Resource,$E195,'Critical resources (hide)'!BC$6:BC$105)+SUMIF(Capacity_Resource,$F195,'Critical resources (hide)'!BC$6:BC$105)&gt;0,$E$1=2),0,1)</f>
        <v>1</v>
      </c>
      <c r="AQ195" s="68">
        <f ca="1">IF(AND(SUMIF(Capacity_Resource,$D195,'Critical resources (hide)'!BD$6:BD$105)+SUMIF(Capacity_Resource,$E195,'Critical resources (hide)'!BD$6:BD$105)+SUMIF(Capacity_Resource,$F195,'Critical resources (hide)'!BD$6:BD$105)&gt;0,$E$1=2),0,1)</f>
        <v>1</v>
      </c>
      <c r="AR195" s="68">
        <f ca="1">IF(AND(SUMIF(Capacity_Resource,$D195,'Critical resources (hide)'!BE$6:BE$105)+SUMIF(Capacity_Resource,$E195,'Critical resources (hide)'!BE$6:BE$105)+SUMIF(Capacity_Resource,$F195,'Critical resources (hide)'!BE$6:BE$105)&gt;0,$E$1=2),0,1)</f>
        <v>1</v>
      </c>
      <c r="AS195" s="68">
        <f ca="1">IF(AND(SUMIF(Capacity_Resource,$D195,'Critical resources (hide)'!BF$6:BF$105)+SUMIF(Capacity_Resource,$E195,'Critical resources (hide)'!BF$6:BF$105)+SUMIF(Capacity_Resource,$F195,'Critical resources (hide)'!BF$6:BF$105)&gt;0,$E$1=2),0,1)</f>
        <v>1</v>
      </c>
      <c r="AT195" s="68">
        <f ca="1">IF(AND(SUMIF(Capacity_Resource,$D195,'Critical resources (hide)'!BG$6:BG$105)+SUMIF(Capacity_Resource,$E195,'Critical resources (hide)'!BG$6:BG$105)+SUMIF(Capacity_Resource,$F195,'Critical resources (hide)'!BG$6:BG$105)&gt;0,$E$1=2),0,1)</f>
        <v>1</v>
      </c>
      <c r="AU195" s="68">
        <f ca="1">IF(AND(SUMIF(Capacity_Resource,$D195,'Critical resources (hide)'!BH$6:BH$105)+SUMIF(Capacity_Resource,$E195,'Critical resources (hide)'!BH$6:BH$105)+SUMIF(Capacity_Resource,$F195,'Critical resources (hide)'!BH$6:BH$105)&gt;0,$E$1=2),0,1)</f>
        <v>1</v>
      </c>
      <c r="AV195" s="68">
        <f ca="1">IF(AND(SUMIF(Capacity_Resource,$D195,'Critical resources (hide)'!BI$6:BI$105)+SUMIF(Capacity_Resource,$E195,'Critical resources (hide)'!BI$6:BI$105)+SUMIF(Capacity_Resource,$F195,'Critical resources (hide)'!BI$6:BI$105)&gt;0,$E$1=2),0,1)</f>
        <v>1</v>
      </c>
      <c r="AW195" s="68">
        <f ca="1">IF(AND(SUMIF(Capacity_Resource,$D195,'Critical resources (hide)'!BJ$6:BJ$105)+SUMIF(Capacity_Resource,$E195,'Critical resources (hide)'!BJ$6:BJ$105)+SUMIF(Capacity_Resource,$F195,'Critical resources (hide)'!BJ$6:BJ$105)&gt;0,$E$1=2),0,1)</f>
        <v>1</v>
      </c>
      <c r="AX195" s="68">
        <f ca="1">IF(AND(SUMIF(Capacity_Resource,$D195,'Critical resources (hide)'!BK$6:BK$105)+SUMIF(Capacity_Resource,$E195,'Critical resources (hide)'!BK$6:BK$105)+SUMIF(Capacity_Resource,$F195,'Critical resources (hide)'!BK$6:BK$105)&gt;0,$E$1=2),0,1)</f>
        <v>1</v>
      </c>
      <c r="AY195" s="68">
        <f ca="1">IF(AND(SUMIF(Capacity_Resource,$D195,'Critical resources (hide)'!BL$6:BL$105)+SUMIF(Capacity_Resource,$E195,'Critical resources (hide)'!BL$6:BL$105)+SUMIF(Capacity_Resource,$F195,'Critical resources (hide)'!BL$6:BL$105)&gt;0,$E$1=2),0,1)</f>
        <v>1</v>
      </c>
      <c r="AZ195" s="68">
        <f ca="1">IF(AND(SUMIF(Capacity_Resource,$D195,'Critical resources (hide)'!BM$6:BM$105)+SUMIF(Capacity_Resource,$E195,'Critical resources (hide)'!BM$6:BM$105)+SUMIF(Capacity_Resource,$F195,'Critical resources (hide)'!BM$6:BM$105)&gt;0,$E$1=2),0,1)</f>
        <v>1</v>
      </c>
      <c r="BA195" s="68">
        <f ca="1">IF(AND(SUMIF(Capacity_Resource,$D195,'Critical resources (hide)'!BN$6:BN$105)+SUMIF(Capacity_Resource,$E195,'Critical resources (hide)'!BN$6:BN$105)+SUMIF(Capacity_Resource,$F195,'Critical resources (hide)'!BN$6:BN$105)&gt;0,$E$1=2),0,1)</f>
        <v>1</v>
      </c>
      <c r="BB195" s="68">
        <f ca="1">IF(AND(SUMIF(Capacity_Resource,$D195,'Critical resources (hide)'!BO$6:BO$105)+SUMIF(Capacity_Resource,$E195,'Critical resources (hide)'!BO$6:BO$105)+SUMIF(Capacity_Resource,$F195,'Critical resources (hide)'!BO$6:BO$105)&gt;0,$E$1=2),0,1)</f>
        <v>1</v>
      </c>
      <c r="BC195" s="68">
        <f ca="1">IF(AND(SUMIF(Capacity_Resource,$D195,'Critical resources (hide)'!BP$6:BP$105)+SUMIF(Capacity_Resource,$E195,'Critical resources (hide)'!BP$6:BP$105)+SUMIF(Capacity_Resource,$F195,'Critical resources (hide)'!BP$6:BP$105)&gt;0,$E$1=2),0,1)</f>
        <v>1</v>
      </c>
      <c r="BD195" s="68">
        <f ca="1">IF(AND(SUMIF(Capacity_Resource,$D195,'Critical resources (hide)'!BQ$6:BQ$105)+SUMIF(Capacity_Resource,$E195,'Critical resources (hide)'!BQ$6:BQ$105)+SUMIF(Capacity_Resource,$F195,'Critical resources (hide)'!BQ$6:BQ$105)&gt;0,$E$1=2),0,1)</f>
        <v>1</v>
      </c>
      <c r="BE195" s="68">
        <f ca="1">IF(AND(SUMIF(Capacity_Resource,$D195,'Critical resources (hide)'!BR$6:BR$105)+SUMIF(Capacity_Resource,$E195,'Critical resources (hide)'!BR$6:BR$105)+SUMIF(Capacity_Resource,$F195,'Critical resources (hide)'!BR$6:BR$105)&gt;0,$E$1=2),0,1)</f>
        <v>1</v>
      </c>
      <c r="BF195" s="68">
        <f ca="1">IF(AND(SUMIF(Capacity_Resource,$D195,'Critical resources (hide)'!BS$6:BS$105)+SUMIF(Capacity_Resource,$E195,'Critical resources (hide)'!BS$6:BS$105)+SUMIF(Capacity_Resource,$F195,'Critical resources (hide)'!BS$6:BS$105)&gt;0,$E$1=2),0,1)</f>
        <v>1</v>
      </c>
      <c r="BG195" s="68">
        <f ca="1">IF(AND(SUMIF(Capacity_Resource,$D195,'Critical resources (hide)'!BT$6:BT$105)+SUMIF(Capacity_Resource,$E195,'Critical resources (hide)'!BT$6:BT$105)+SUMIF(Capacity_Resource,$F195,'Critical resources (hide)'!BT$6:BT$105)&gt;0,$E$1=2),0,1)</f>
        <v>1</v>
      </c>
      <c r="BH195" s="68">
        <f>IF(ROW(A84)&lt;=Capacity!$M$16,IF('Capacity summary'!$C$14="No",SUM(H195:BG195),'Capacity summary'!$E107),0)</f>
        <v>0</v>
      </c>
      <c r="BI195" s="68" t="str">
        <f>IF(BH195&gt;0,IF(BH195&lt;Capacity!Q100,Capacity!R100,Capacity!T100/'Capacity calculation (hide)'!BH195),"")</f>
        <v/>
      </c>
      <c r="BJ195" s="5"/>
      <c r="BK195" s="5">
        <f>IF($BI195&lt;&gt;"",IF('Capacity summary'!$C$14="Yes",IF(COUNTBLANK('Capacity summary'!$H107:$BG107)&lt;52,IF('Capacity summary'!H107&lt;&gt;"",$BI195*H195,0),H195*$BI195),H195*$BI195),0)</f>
        <v>0</v>
      </c>
      <c r="BL195" s="5">
        <f>IF($BI195&lt;&gt;"",IF('Capacity summary'!$C$14="Yes",IF(COUNTBLANK('Capacity summary'!$H107:$BG107)&lt;52,IF('Capacity summary'!I107&lt;&gt;"",$BI195*I195,0),I195*$BI195),I195*$BI195),0)</f>
        <v>0</v>
      </c>
      <c r="BM195" s="5">
        <f>IF($BI195&lt;&gt;"",IF('Capacity summary'!$C$14="Yes",IF(COUNTBLANK('Capacity summary'!$H107:$BG107)&lt;52,IF('Capacity summary'!J107&lt;&gt;"",$BI195*J195,0),J195*$BI195),J195*$BI195),0)</f>
        <v>0</v>
      </c>
      <c r="BN195" s="5">
        <f>IF($BI195&lt;&gt;"",IF('Capacity summary'!$C$14="Yes",IF(COUNTBLANK('Capacity summary'!$H107:$BG107)&lt;52,IF('Capacity summary'!K107&lt;&gt;"",$BI195*K195,0),K195*$BI195),K195*$BI195),0)</f>
        <v>0</v>
      </c>
      <c r="BO195" s="5">
        <f>IF($BI195&lt;&gt;"",IF('Capacity summary'!$C$14="Yes",IF(COUNTBLANK('Capacity summary'!$H107:$BG107)&lt;52,IF('Capacity summary'!L107&lt;&gt;"",$BI195*L195,0),L195*$BI195),L195*$BI195),0)</f>
        <v>0</v>
      </c>
      <c r="BP195" s="5">
        <f>IF($BI195&lt;&gt;"",IF('Capacity summary'!$C$14="Yes",IF(COUNTBLANK('Capacity summary'!$H107:$BG107)&lt;52,IF('Capacity summary'!M107&lt;&gt;"",$BI195*M195,0),M195*$BI195),M195*$BI195),0)</f>
        <v>0</v>
      </c>
      <c r="BQ195" s="5">
        <f>IF($BI195&lt;&gt;"",IF('Capacity summary'!$C$14="Yes",IF(COUNTBLANK('Capacity summary'!$H107:$BG107)&lt;52,IF('Capacity summary'!N107&lt;&gt;"",$BI195*N195,0),N195*$BI195),N195*$BI195),0)</f>
        <v>0</v>
      </c>
      <c r="BR195" s="5">
        <f>IF($BI195&lt;&gt;"",IF('Capacity summary'!$C$14="Yes",IF(COUNTBLANK('Capacity summary'!$H107:$BG107)&lt;52,IF('Capacity summary'!O107&lt;&gt;"",$BI195*O195,0),O195*$BI195),O195*$BI195),0)</f>
        <v>0</v>
      </c>
      <c r="BS195" s="5">
        <f>IF($BI195&lt;&gt;"",IF('Capacity summary'!$C$14="Yes",IF(COUNTBLANK('Capacity summary'!$H107:$BG107)&lt;52,IF('Capacity summary'!P107&lt;&gt;"",$BI195*P195,0),P195*$BI195),P195*$BI195),0)</f>
        <v>0</v>
      </c>
      <c r="BT195" s="5">
        <f>IF($BI195&lt;&gt;"",IF('Capacity summary'!$C$14="Yes",IF(COUNTBLANK('Capacity summary'!$H107:$BG107)&lt;52,IF('Capacity summary'!Q107&lt;&gt;"",$BI195*Q195,0),Q195*$BI195),Q195*$BI195),0)</f>
        <v>0</v>
      </c>
      <c r="BU195" s="5">
        <f>IF($BI195&lt;&gt;"",IF('Capacity summary'!$C$14="Yes",IF(COUNTBLANK('Capacity summary'!$H107:$BG107)&lt;52,IF('Capacity summary'!R107&lt;&gt;"",$BI195*R195,0),R195*$BI195),R195*$BI195),0)</f>
        <v>0</v>
      </c>
      <c r="BV195" s="5">
        <f>IF($BI195&lt;&gt;"",IF('Capacity summary'!$C$14="Yes",IF(COUNTBLANK('Capacity summary'!$H107:$BG107)&lt;52,IF('Capacity summary'!S107&lt;&gt;"",$BI195*S195,0),S195*$BI195),S195*$BI195),0)</f>
        <v>0</v>
      </c>
      <c r="BW195" s="5">
        <f>IF($BI195&lt;&gt;"",IF('Capacity summary'!$C$14="Yes",IF(COUNTBLANK('Capacity summary'!$H107:$BG107)&lt;52,IF('Capacity summary'!T107&lt;&gt;"",$BI195*T195,0),T195*$BI195),T195*$BI195),0)</f>
        <v>0</v>
      </c>
      <c r="BX195" s="5">
        <f>IF($BI195&lt;&gt;"",IF('Capacity summary'!$C$14="Yes",IF(COUNTBLANK('Capacity summary'!$H107:$BG107)&lt;52,IF('Capacity summary'!U107&lt;&gt;"",$BI195*U195,0),U195*$BI195),U195*$BI195),0)</f>
        <v>0</v>
      </c>
      <c r="BY195" s="5">
        <f>IF($BI195&lt;&gt;"",IF('Capacity summary'!$C$14="Yes",IF(COUNTBLANK('Capacity summary'!$H107:$BG107)&lt;52,IF('Capacity summary'!V107&lt;&gt;"",$BI195*V195,0),V195*$BI195),V195*$BI195),0)</f>
        <v>0</v>
      </c>
      <c r="BZ195" s="5">
        <f>IF($BI195&lt;&gt;"",IF('Capacity summary'!$C$14="Yes",IF(COUNTBLANK('Capacity summary'!$H107:$BG107)&lt;52,IF('Capacity summary'!W107&lt;&gt;"",$BI195*W195,0),W195*$BI195),W195*$BI195),0)</f>
        <v>0</v>
      </c>
      <c r="CA195" s="5">
        <f>IF($BI195&lt;&gt;"",IF('Capacity summary'!$C$14="Yes",IF(COUNTBLANK('Capacity summary'!$H107:$BG107)&lt;52,IF('Capacity summary'!X107&lt;&gt;"",$BI195*X195,0),X195*$BI195),X195*$BI195),0)</f>
        <v>0</v>
      </c>
      <c r="CB195" s="5">
        <f>IF($BI195&lt;&gt;"",IF('Capacity summary'!$C$14="Yes",IF(COUNTBLANK('Capacity summary'!$H107:$BG107)&lt;52,IF('Capacity summary'!Y107&lt;&gt;"",$BI195*Y195,0),Y195*$BI195),Y195*$BI195),0)</f>
        <v>0</v>
      </c>
      <c r="CC195" s="5">
        <f>IF($BI195&lt;&gt;"",IF('Capacity summary'!$C$14="Yes",IF(COUNTBLANK('Capacity summary'!$H107:$BG107)&lt;52,IF('Capacity summary'!Z107&lt;&gt;"",$BI195*Z195,0),Z195*$BI195),Z195*$BI195),0)</f>
        <v>0</v>
      </c>
      <c r="CD195" s="5">
        <f>IF($BI195&lt;&gt;"",IF('Capacity summary'!$C$14="Yes",IF(COUNTBLANK('Capacity summary'!$H107:$BG107)&lt;52,IF('Capacity summary'!AA107&lt;&gt;"",$BI195*AA195,0),AA195*$BI195),AA195*$BI195),0)</f>
        <v>0</v>
      </c>
      <c r="CE195" s="5">
        <f>IF($BI195&lt;&gt;"",IF('Capacity summary'!$C$14="Yes",IF(COUNTBLANK('Capacity summary'!$H107:$BG107)&lt;52,IF('Capacity summary'!AB107&lt;&gt;"",$BI195*AB195,0),AB195*$BI195),AB195*$BI195),0)</f>
        <v>0</v>
      </c>
      <c r="CF195" s="5">
        <f>IF($BI195&lt;&gt;"",IF('Capacity summary'!$C$14="Yes",IF(COUNTBLANK('Capacity summary'!$H107:$BG107)&lt;52,IF('Capacity summary'!AC107&lt;&gt;"",$BI195*AC195,0),AC195*$BI195),AC195*$BI195),0)</f>
        <v>0</v>
      </c>
      <c r="CG195" s="5">
        <f>IF($BI195&lt;&gt;"",IF('Capacity summary'!$C$14="Yes",IF(COUNTBLANK('Capacity summary'!$H107:$BG107)&lt;52,IF('Capacity summary'!AD107&lt;&gt;"",$BI195*AD195,0),AD195*$BI195),AD195*$BI195),0)</f>
        <v>0</v>
      </c>
      <c r="CH195" s="5">
        <f>IF($BI195&lt;&gt;"",IF('Capacity summary'!$C$14="Yes",IF(COUNTBLANK('Capacity summary'!$H107:$BG107)&lt;52,IF('Capacity summary'!AE107&lt;&gt;"",$BI195*AE195,0),AE195*$BI195),AE195*$BI195),0)</f>
        <v>0</v>
      </c>
      <c r="CI195" s="5">
        <f>IF($BI195&lt;&gt;"",IF('Capacity summary'!$C$14="Yes",IF(COUNTBLANK('Capacity summary'!$H107:$BG107)&lt;52,IF('Capacity summary'!AF107&lt;&gt;"",$BI195*AF195,0),AF195*$BI195),AF195*$BI195),0)</f>
        <v>0</v>
      </c>
      <c r="CJ195" s="5">
        <f>IF($BI195&lt;&gt;"",IF('Capacity summary'!$C$14="Yes",IF(COUNTBLANK('Capacity summary'!$H107:$BG107)&lt;52,IF('Capacity summary'!AG107&lt;&gt;"",$BI195*AG195,0),AG195*$BI195),AG195*$BI195),0)</f>
        <v>0</v>
      </c>
      <c r="CK195" s="5">
        <f>IF($BI195&lt;&gt;"",IF('Capacity summary'!$C$14="Yes",IF(COUNTBLANK('Capacity summary'!$H107:$BG107)&lt;52,IF('Capacity summary'!AH107&lt;&gt;"",$BI195*AH195,0),AH195*$BI195),AH195*$BI195),0)</f>
        <v>0</v>
      </c>
      <c r="CL195" s="5">
        <f>IF($BI195&lt;&gt;"",IF('Capacity summary'!$C$14="Yes",IF(COUNTBLANK('Capacity summary'!$H107:$BG107)&lt;52,IF('Capacity summary'!AI107&lt;&gt;"",$BI195*AI195,0),AI195*$BI195),AI195*$BI195),0)</f>
        <v>0</v>
      </c>
      <c r="CM195" s="5">
        <f>IF($BI195&lt;&gt;"",IF('Capacity summary'!$C$14="Yes",IF(COUNTBLANK('Capacity summary'!$H107:$BG107)&lt;52,IF('Capacity summary'!AJ107&lt;&gt;"",$BI195*AJ195,0),AJ195*$BI195),AJ195*$BI195),0)</f>
        <v>0</v>
      </c>
      <c r="CN195" s="5">
        <f>IF($BI195&lt;&gt;"",IF('Capacity summary'!$C$14="Yes",IF(COUNTBLANK('Capacity summary'!$H107:$BG107)&lt;52,IF('Capacity summary'!AK107&lt;&gt;"",$BI195*AK195,0),AK195*$BI195),AK195*$BI195),0)</f>
        <v>0</v>
      </c>
      <c r="CO195" s="5">
        <f>IF($BI195&lt;&gt;"",IF('Capacity summary'!$C$14="Yes",IF(COUNTBLANK('Capacity summary'!$H107:$BG107)&lt;52,IF('Capacity summary'!AL107&lt;&gt;"",$BI195*AL195,0),AL195*$BI195),AL195*$BI195),0)</f>
        <v>0</v>
      </c>
      <c r="CP195" s="5">
        <f>IF($BI195&lt;&gt;"",IF('Capacity summary'!$C$14="Yes",IF(COUNTBLANK('Capacity summary'!$H107:$BG107)&lt;52,IF('Capacity summary'!AM107&lt;&gt;"",$BI195*AM195,0),AM195*$BI195),AM195*$BI195),0)</f>
        <v>0</v>
      </c>
      <c r="CQ195" s="5">
        <f>IF($BI195&lt;&gt;"",IF('Capacity summary'!$C$14="Yes",IF(COUNTBLANK('Capacity summary'!$H107:$BG107)&lt;52,IF('Capacity summary'!AN107&lt;&gt;"",$BI195*AN195,0),AN195*$BI195),AN195*$BI195),0)</f>
        <v>0</v>
      </c>
      <c r="CR195" s="5">
        <f>IF($BI195&lt;&gt;"",IF('Capacity summary'!$C$14="Yes",IF(COUNTBLANK('Capacity summary'!$H107:$BG107)&lt;52,IF('Capacity summary'!AO107&lt;&gt;"",$BI195*AO195,0),AO195*$BI195),AO195*$BI195),0)</f>
        <v>0</v>
      </c>
      <c r="CS195" s="5">
        <f>IF($BI195&lt;&gt;"",IF('Capacity summary'!$C$14="Yes",IF(COUNTBLANK('Capacity summary'!$H107:$BG107)&lt;52,IF('Capacity summary'!AP107&lt;&gt;"",$BI195*AP195,0),AP195*$BI195),AP195*$BI195),0)</f>
        <v>0</v>
      </c>
      <c r="CT195" s="5">
        <f>IF($BI195&lt;&gt;"",IF('Capacity summary'!$C$14="Yes",IF(COUNTBLANK('Capacity summary'!$H107:$BG107)&lt;52,IF('Capacity summary'!AQ107&lt;&gt;"",$BI195*AQ195,0),AQ195*$BI195),AQ195*$BI195),0)</f>
        <v>0</v>
      </c>
      <c r="CU195" s="5">
        <f>IF($BI195&lt;&gt;"",IF('Capacity summary'!$C$14="Yes",IF(COUNTBLANK('Capacity summary'!$H107:$BG107)&lt;52,IF('Capacity summary'!AR107&lt;&gt;"",$BI195*AR195,0),AR195*$BI195),AR195*$BI195),0)</f>
        <v>0</v>
      </c>
      <c r="CV195" s="5">
        <f>IF($BI195&lt;&gt;"",IF('Capacity summary'!$C$14="Yes",IF(COUNTBLANK('Capacity summary'!$H107:$BG107)&lt;52,IF('Capacity summary'!AS107&lt;&gt;"",$BI195*AS195,0),AS195*$BI195),AS195*$BI195),0)</f>
        <v>0</v>
      </c>
      <c r="CW195" s="5">
        <f>IF($BI195&lt;&gt;"",IF('Capacity summary'!$C$14="Yes",IF(COUNTBLANK('Capacity summary'!$H107:$BG107)&lt;52,IF('Capacity summary'!AT107&lt;&gt;"",$BI195*AT195,0),AT195*$BI195),AT195*$BI195),0)</f>
        <v>0</v>
      </c>
      <c r="CX195" s="5">
        <f>IF($BI195&lt;&gt;"",IF('Capacity summary'!$C$14="Yes",IF(COUNTBLANK('Capacity summary'!$H107:$BG107)&lt;52,IF('Capacity summary'!AU107&lt;&gt;"",$BI195*AU195,0),AU195*$BI195),AU195*$BI195),0)</f>
        <v>0</v>
      </c>
      <c r="CY195" s="5">
        <f>IF($BI195&lt;&gt;"",IF('Capacity summary'!$C$14="Yes",IF(COUNTBLANK('Capacity summary'!$H107:$BG107)&lt;52,IF('Capacity summary'!AV107&lt;&gt;"",$BI195*AV195,0),AV195*$BI195),AV195*$BI195),0)</f>
        <v>0</v>
      </c>
      <c r="CZ195" s="5">
        <f>IF($BI195&lt;&gt;"",IF('Capacity summary'!$C$14="Yes",IF(COUNTBLANK('Capacity summary'!$H107:$BG107)&lt;52,IF('Capacity summary'!AW107&lt;&gt;"",$BI195*AW195,0),AW195*$BI195),AW195*$BI195),0)</f>
        <v>0</v>
      </c>
      <c r="DA195" s="5">
        <f>IF($BI195&lt;&gt;"",IF('Capacity summary'!$C$14="Yes",IF(COUNTBLANK('Capacity summary'!$H107:$BG107)&lt;52,IF('Capacity summary'!AX107&lt;&gt;"",$BI195*AX195,0),AX195*$BI195),AX195*$BI195),0)</f>
        <v>0</v>
      </c>
      <c r="DB195" s="5">
        <f>IF($BI195&lt;&gt;"",IF('Capacity summary'!$C$14="Yes",IF(COUNTBLANK('Capacity summary'!$H107:$BG107)&lt;52,IF('Capacity summary'!AY107&lt;&gt;"",$BI195*AY195,0),AY195*$BI195),AY195*$BI195),0)</f>
        <v>0</v>
      </c>
      <c r="DC195" s="5">
        <f>IF($BI195&lt;&gt;"",IF('Capacity summary'!$C$14="Yes",IF(COUNTBLANK('Capacity summary'!$H107:$BG107)&lt;52,IF('Capacity summary'!AZ107&lt;&gt;"",$BI195*AZ195,0),AZ195*$BI195),AZ195*$BI195),0)</f>
        <v>0</v>
      </c>
      <c r="DD195" s="5">
        <f>IF($BI195&lt;&gt;"",IF('Capacity summary'!$C$14="Yes",IF(COUNTBLANK('Capacity summary'!$H107:$BG107)&lt;52,IF('Capacity summary'!BA107&lt;&gt;"",$BI195*BA195,0),BA195*$BI195),BA195*$BI195),0)</f>
        <v>0</v>
      </c>
      <c r="DE195" s="5">
        <f>IF($BI195&lt;&gt;"",IF('Capacity summary'!$C$14="Yes",IF(COUNTBLANK('Capacity summary'!$H107:$BG107)&lt;52,IF('Capacity summary'!BB107&lt;&gt;"",$BI195*BB195,0),BB195*$BI195),BB195*$BI195),0)</f>
        <v>0</v>
      </c>
      <c r="DF195" s="5">
        <f>IF($BI195&lt;&gt;"",IF('Capacity summary'!$C$14="Yes",IF(COUNTBLANK('Capacity summary'!$H107:$BG107)&lt;52,IF('Capacity summary'!BC107&lt;&gt;"",$BI195*BC195,0),BC195*$BI195),BC195*$BI195),0)</f>
        <v>0</v>
      </c>
      <c r="DG195" s="5">
        <f>IF($BI195&lt;&gt;"",IF('Capacity summary'!$C$14="Yes",IF(COUNTBLANK('Capacity summary'!$H107:$BG107)&lt;52,IF('Capacity summary'!BD107&lt;&gt;"",$BI195*BD195,0),BD195*$BI195),BD195*$BI195),0)</f>
        <v>0</v>
      </c>
      <c r="DH195" s="5">
        <f>IF($BI195&lt;&gt;"",IF('Capacity summary'!$C$14="Yes",IF(COUNTBLANK('Capacity summary'!$H107:$BG107)&lt;52,IF('Capacity summary'!BE107&lt;&gt;"",$BI195*BE195,0),BE195*$BI195),BE195*$BI195),0)</f>
        <v>0</v>
      </c>
      <c r="DI195" s="5">
        <f>IF($BI195&lt;&gt;"",IF('Capacity summary'!$C$14="Yes",IF(COUNTBLANK('Capacity summary'!$H107:$BG107)&lt;52,IF('Capacity summary'!BF107&lt;&gt;"",$BI195*BF195,0),BF195*$BI195),BF195*$BI195),0)</f>
        <v>0</v>
      </c>
      <c r="DJ195" s="5">
        <f>IF($BI195&lt;&gt;"",IF('Capacity summary'!$C$14="Yes",IF(COUNTBLANK('Capacity summary'!$H107:$BG107)&lt;52,IF('Capacity summary'!BG107&lt;&gt;"",$BI195*BG195,0),BG195*$BI195),BG195*$BI195),0)</f>
        <v>0</v>
      </c>
      <c r="DK195" s="138">
        <f t="shared" si="7"/>
        <v>0</v>
      </c>
    </row>
    <row r="196" spans="3:115" x14ac:dyDescent="0.2">
      <c r="C196" s="68" t="str">
        <f>ROW(A85)&amp;". "&amp;Capacity!N101</f>
        <v xml:space="preserve">85. </v>
      </c>
      <c r="D196" s="68">
        <f>'Capacity setup'!C202</f>
        <v>0</v>
      </c>
      <c r="E196" s="68">
        <f>'Capacity setup'!D202</f>
        <v>0</v>
      </c>
      <c r="F196" s="68">
        <f>'Capacity setup'!E202</f>
        <v>0</v>
      </c>
      <c r="H196" s="68">
        <f ca="1">IF(AND(SUMIF(Capacity_Resource,$D196,'Critical resources (hide)'!U$6:U$105)+SUMIF(Capacity_Resource,$E196,'Critical resources (hide)'!U$6:U$105)+SUMIF(Capacity_Resource,$F196,'Critical resources (hide)'!U$6:U$105)&gt;0,$E$1=2),0,1)</f>
        <v>1</v>
      </c>
      <c r="I196" s="68">
        <f ca="1">IF(AND(SUMIF(Capacity_Resource,$D196,'Critical resources (hide)'!V$6:V$105)+SUMIF(Capacity_Resource,$E196,'Critical resources (hide)'!V$6:V$105)+SUMIF(Capacity_Resource,$F196,'Critical resources (hide)'!V$6:V$105)&gt;0,$E$1=2),0,1)</f>
        <v>1</v>
      </c>
      <c r="J196" s="68">
        <f ca="1">IF(AND(SUMIF(Capacity_Resource,$D196,'Critical resources (hide)'!W$6:W$105)+SUMIF(Capacity_Resource,$E196,'Critical resources (hide)'!W$6:W$105)+SUMIF(Capacity_Resource,$F196,'Critical resources (hide)'!W$6:W$105)&gt;0,$E$1=2),0,1)</f>
        <v>1</v>
      </c>
      <c r="K196" s="68">
        <f ca="1">IF(AND(SUMIF(Capacity_Resource,$D196,'Critical resources (hide)'!X$6:X$105)+SUMIF(Capacity_Resource,$E196,'Critical resources (hide)'!X$6:X$105)+SUMIF(Capacity_Resource,$F196,'Critical resources (hide)'!X$6:X$105)&gt;0,$E$1=2),0,1)</f>
        <v>1</v>
      </c>
      <c r="L196" s="68">
        <f ca="1">IF(AND(SUMIF(Capacity_Resource,$D196,'Critical resources (hide)'!Y$6:Y$105)+SUMIF(Capacity_Resource,$E196,'Critical resources (hide)'!Y$6:Y$105)+SUMIF(Capacity_Resource,$F196,'Critical resources (hide)'!Y$6:Y$105)&gt;0,$E$1=2),0,1)</f>
        <v>1</v>
      </c>
      <c r="M196" s="68">
        <f ca="1">IF(AND(SUMIF(Capacity_Resource,$D196,'Critical resources (hide)'!Z$6:Z$105)+SUMIF(Capacity_Resource,$E196,'Critical resources (hide)'!Z$6:Z$105)+SUMIF(Capacity_Resource,$F196,'Critical resources (hide)'!Z$6:Z$105)&gt;0,$E$1=2),0,1)</f>
        <v>1</v>
      </c>
      <c r="N196" s="68">
        <f ca="1">IF(AND(SUMIF(Capacity_Resource,$D196,'Critical resources (hide)'!AA$6:AA$105)+SUMIF(Capacity_Resource,$E196,'Critical resources (hide)'!AA$6:AA$105)+SUMIF(Capacity_Resource,$F196,'Critical resources (hide)'!AA$6:AA$105)&gt;0,$E$1=2),0,1)</f>
        <v>1</v>
      </c>
      <c r="O196" s="68">
        <f ca="1">IF(AND(SUMIF(Capacity_Resource,$D196,'Critical resources (hide)'!AB$6:AB$105)+SUMIF(Capacity_Resource,$E196,'Critical resources (hide)'!AB$6:AB$105)+SUMIF(Capacity_Resource,$F196,'Critical resources (hide)'!AB$6:AB$105)&gt;0,$E$1=2),0,1)</f>
        <v>1</v>
      </c>
      <c r="P196" s="68">
        <f ca="1">IF(AND(SUMIF(Capacity_Resource,$D196,'Critical resources (hide)'!AC$6:AC$105)+SUMIF(Capacity_Resource,$E196,'Critical resources (hide)'!AC$6:AC$105)+SUMIF(Capacity_Resource,$F196,'Critical resources (hide)'!AC$6:AC$105)&gt;0,$E$1=2),0,1)</f>
        <v>1</v>
      </c>
      <c r="Q196" s="68">
        <f ca="1">IF(AND(SUMIF(Capacity_Resource,$D196,'Critical resources (hide)'!AD$6:AD$105)+SUMIF(Capacity_Resource,$E196,'Critical resources (hide)'!AD$6:AD$105)+SUMIF(Capacity_Resource,$F196,'Critical resources (hide)'!AD$6:AD$105)&gt;0,$E$1=2),0,1)</f>
        <v>1</v>
      </c>
      <c r="R196" s="68">
        <f ca="1">IF(AND(SUMIF(Capacity_Resource,$D196,'Critical resources (hide)'!AE$6:AE$105)+SUMIF(Capacity_Resource,$E196,'Critical resources (hide)'!AE$6:AE$105)+SUMIF(Capacity_Resource,$F196,'Critical resources (hide)'!AE$6:AE$105)&gt;0,$E$1=2),0,1)</f>
        <v>1</v>
      </c>
      <c r="S196" s="68">
        <f ca="1">IF(AND(SUMIF(Capacity_Resource,$D196,'Critical resources (hide)'!AF$6:AF$105)+SUMIF(Capacity_Resource,$E196,'Critical resources (hide)'!AF$6:AF$105)+SUMIF(Capacity_Resource,$F196,'Critical resources (hide)'!AF$6:AF$105)&gt;0,$E$1=2),0,1)</f>
        <v>1</v>
      </c>
      <c r="T196" s="68">
        <f ca="1">IF(AND(SUMIF(Capacity_Resource,$D196,'Critical resources (hide)'!AG$6:AG$105)+SUMIF(Capacity_Resource,$E196,'Critical resources (hide)'!AG$6:AG$105)+SUMIF(Capacity_Resource,$F196,'Critical resources (hide)'!AG$6:AG$105)&gt;0,$E$1=2),0,1)</f>
        <v>1</v>
      </c>
      <c r="U196" s="68">
        <f ca="1">IF(AND(SUMIF(Capacity_Resource,$D196,'Critical resources (hide)'!AH$6:AH$105)+SUMIF(Capacity_Resource,$E196,'Critical resources (hide)'!AH$6:AH$105)+SUMIF(Capacity_Resource,$F196,'Critical resources (hide)'!AH$6:AH$105)&gt;0,$E$1=2),0,1)</f>
        <v>1</v>
      </c>
      <c r="V196" s="68">
        <f ca="1">IF(AND(SUMIF(Capacity_Resource,$D196,'Critical resources (hide)'!AI$6:AI$105)+SUMIF(Capacity_Resource,$E196,'Critical resources (hide)'!AI$6:AI$105)+SUMIF(Capacity_Resource,$F196,'Critical resources (hide)'!AI$6:AI$105)&gt;0,$E$1=2),0,1)</f>
        <v>1</v>
      </c>
      <c r="W196" s="68">
        <f ca="1">IF(AND(SUMIF(Capacity_Resource,$D196,'Critical resources (hide)'!AJ$6:AJ$105)+SUMIF(Capacity_Resource,$E196,'Critical resources (hide)'!AJ$6:AJ$105)+SUMIF(Capacity_Resource,$F196,'Critical resources (hide)'!AJ$6:AJ$105)&gt;0,$E$1=2),0,1)</f>
        <v>1</v>
      </c>
      <c r="X196" s="68">
        <f ca="1">IF(AND(SUMIF(Capacity_Resource,$D196,'Critical resources (hide)'!AK$6:AK$105)+SUMIF(Capacity_Resource,$E196,'Critical resources (hide)'!AK$6:AK$105)+SUMIF(Capacity_Resource,$F196,'Critical resources (hide)'!AK$6:AK$105)&gt;0,$E$1=2),0,1)</f>
        <v>1</v>
      </c>
      <c r="Y196" s="68">
        <f ca="1">IF(AND(SUMIF(Capacity_Resource,$D196,'Critical resources (hide)'!AL$6:AL$105)+SUMIF(Capacity_Resource,$E196,'Critical resources (hide)'!AL$6:AL$105)+SUMIF(Capacity_Resource,$F196,'Critical resources (hide)'!AL$6:AL$105)&gt;0,$E$1=2),0,1)</f>
        <v>1</v>
      </c>
      <c r="Z196" s="68">
        <f ca="1">IF(AND(SUMIF(Capacity_Resource,$D196,'Critical resources (hide)'!AM$6:AM$105)+SUMIF(Capacity_Resource,$E196,'Critical resources (hide)'!AM$6:AM$105)+SUMIF(Capacity_Resource,$F196,'Critical resources (hide)'!AM$6:AM$105)&gt;0,$E$1=2),0,1)</f>
        <v>1</v>
      </c>
      <c r="AA196" s="68">
        <f ca="1">IF(AND(SUMIF(Capacity_Resource,$D196,'Critical resources (hide)'!AN$6:AN$105)+SUMIF(Capacity_Resource,$E196,'Critical resources (hide)'!AN$6:AN$105)+SUMIF(Capacity_Resource,$F196,'Critical resources (hide)'!AN$6:AN$105)&gt;0,$E$1=2),0,1)</f>
        <v>1</v>
      </c>
      <c r="AB196" s="68">
        <f ca="1">IF(AND(SUMIF(Capacity_Resource,$D196,'Critical resources (hide)'!AO$6:AO$105)+SUMIF(Capacity_Resource,$E196,'Critical resources (hide)'!AO$6:AO$105)+SUMIF(Capacity_Resource,$F196,'Critical resources (hide)'!AO$6:AO$105)&gt;0,$E$1=2),0,1)</f>
        <v>1</v>
      </c>
      <c r="AC196" s="68">
        <f ca="1">IF(AND(SUMIF(Capacity_Resource,$D196,'Critical resources (hide)'!AP$6:AP$105)+SUMIF(Capacity_Resource,$E196,'Critical resources (hide)'!AP$6:AP$105)+SUMIF(Capacity_Resource,$F196,'Critical resources (hide)'!AP$6:AP$105)&gt;0,$E$1=2),0,1)</f>
        <v>1</v>
      </c>
      <c r="AD196" s="68">
        <f ca="1">IF(AND(SUMIF(Capacity_Resource,$D196,'Critical resources (hide)'!AQ$6:AQ$105)+SUMIF(Capacity_Resource,$E196,'Critical resources (hide)'!AQ$6:AQ$105)+SUMIF(Capacity_Resource,$F196,'Critical resources (hide)'!AQ$6:AQ$105)&gt;0,$E$1=2),0,1)</f>
        <v>1</v>
      </c>
      <c r="AE196" s="68">
        <f ca="1">IF(AND(SUMIF(Capacity_Resource,$D196,'Critical resources (hide)'!AR$6:AR$105)+SUMIF(Capacity_Resource,$E196,'Critical resources (hide)'!AR$6:AR$105)+SUMIF(Capacity_Resource,$F196,'Critical resources (hide)'!AR$6:AR$105)&gt;0,$E$1=2),0,1)</f>
        <v>1</v>
      </c>
      <c r="AF196" s="68">
        <f ca="1">IF(AND(SUMIF(Capacity_Resource,$D196,'Critical resources (hide)'!AS$6:AS$105)+SUMIF(Capacity_Resource,$E196,'Critical resources (hide)'!AS$6:AS$105)+SUMIF(Capacity_Resource,$F196,'Critical resources (hide)'!AS$6:AS$105)&gt;0,$E$1=2),0,1)</f>
        <v>1</v>
      </c>
      <c r="AG196" s="68">
        <f ca="1">IF(AND(SUMIF(Capacity_Resource,$D196,'Critical resources (hide)'!AT$6:AT$105)+SUMIF(Capacity_Resource,$E196,'Critical resources (hide)'!AT$6:AT$105)+SUMIF(Capacity_Resource,$F196,'Critical resources (hide)'!AT$6:AT$105)&gt;0,$E$1=2),0,1)</f>
        <v>1</v>
      </c>
      <c r="AH196" s="68">
        <f ca="1">IF(AND(SUMIF(Capacity_Resource,$D196,'Critical resources (hide)'!AU$6:AU$105)+SUMIF(Capacity_Resource,$E196,'Critical resources (hide)'!AU$6:AU$105)+SUMIF(Capacity_Resource,$F196,'Critical resources (hide)'!AU$6:AU$105)&gt;0,$E$1=2),0,1)</f>
        <v>1</v>
      </c>
      <c r="AI196" s="68">
        <f ca="1">IF(AND(SUMIF(Capacity_Resource,$D196,'Critical resources (hide)'!AV$6:AV$105)+SUMIF(Capacity_Resource,$E196,'Critical resources (hide)'!AV$6:AV$105)+SUMIF(Capacity_Resource,$F196,'Critical resources (hide)'!AV$6:AV$105)&gt;0,$E$1=2),0,1)</f>
        <v>1</v>
      </c>
      <c r="AJ196" s="68">
        <f ca="1">IF(AND(SUMIF(Capacity_Resource,$D196,'Critical resources (hide)'!AW$6:AW$105)+SUMIF(Capacity_Resource,$E196,'Critical resources (hide)'!AW$6:AW$105)+SUMIF(Capacity_Resource,$F196,'Critical resources (hide)'!AW$6:AW$105)&gt;0,$E$1=2),0,1)</f>
        <v>1</v>
      </c>
      <c r="AK196" s="68">
        <f ca="1">IF(AND(SUMIF(Capacity_Resource,$D196,'Critical resources (hide)'!AX$6:AX$105)+SUMIF(Capacity_Resource,$E196,'Critical resources (hide)'!AX$6:AX$105)+SUMIF(Capacity_Resource,$F196,'Critical resources (hide)'!AX$6:AX$105)&gt;0,$E$1=2),0,1)</f>
        <v>1</v>
      </c>
      <c r="AL196" s="68">
        <f ca="1">IF(AND(SUMIF(Capacity_Resource,$D196,'Critical resources (hide)'!AY$6:AY$105)+SUMIF(Capacity_Resource,$E196,'Critical resources (hide)'!AY$6:AY$105)+SUMIF(Capacity_Resource,$F196,'Critical resources (hide)'!AY$6:AY$105)&gt;0,$E$1=2),0,1)</f>
        <v>1</v>
      </c>
      <c r="AM196" s="68">
        <f ca="1">IF(AND(SUMIF(Capacity_Resource,$D196,'Critical resources (hide)'!AZ$6:AZ$105)+SUMIF(Capacity_Resource,$E196,'Critical resources (hide)'!AZ$6:AZ$105)+SUMIF(Capacity_Resource,$F196,'Critical resources (hide)'!AZ$6:AZ$105)&gt;0,$E$1=2),0,1)</f>
        <v>1</v>
      </c>
      <c r="AN196" s="68">
        <f ca="1">IF(AND(SUMIF(Capacity_Resource,$D196,'Critical resources (hide)'!BA$6:BA$105)+SUMIF(Capacity_Resource,$E196,'Critical resources (hide)'!BA$6:BA$105)+SUMIF(Capacity_Resource,$F196,'Critical resources (hide)'!BA$6:BA$105)&gt;0,$E$1=2),0,1)</f>
        <v>1</v>
      </c>
      <c r="AO196" s="68">
        <f ca="1">IF(AND(SUMIF(Capacity_Resource,$D196,'Critical resources (hide)'!BB$6:BB$105)+SUMIF(Capacity_Resource,$E196,'Critical resources (hide)'!BB$6:BB$105)+SUMIF(Capacity_Resource,$F196,'Critical resources (hide)'!BB$6:BB$105)&gt;0,$E$1=2),0,1)</f>
        <v>1</v>
      </c>
      <c r="AP196" s="68">
        <f ca="1">IF(AND(SUMIF(Capacity_Resource,$D196,'Critical resources (hide)'!BC$6:BC$105)+SUMIF(Capacity_Resource,$E196,'Critical resources (hide)'!BC$6:BC$105)+SUMIF(Capacity_Resource,$F196,'Critical resources (hide)'!BC$6:BC$105)&gt;0,$E$1=2),0,1)</f>
        <v>1</v>
      </c>
      <c r="AQ196" s="68">
        <f ca="1">IF(AND(SUMIF(Capacity_Resource,$D196,'Critical resources (hide)'!BD$6:BD$105)+SUMIF(Capacity_Resource,$E196,'Critical resources (hide)'!BD$6:BD$105)+SUMIF(Capacity_Resource,$F196,'Critical resources (hide)'!BD$6:BD$105)&gt;0,$E$1=2),0,1)</f>
        <v>1</v>
      </c>
      <c r="AR196" s="68">
        <f ca="1">IF(AND(SUMIF(Capacity_Resource,$D196,'Critical resources (hide)'!BE$6:BE$105)+SUMIF(Capacity_Resource,$E196,'Critical resources (hide)'!BE$6:BE$105)+SUMIF(Capacity_Resource,$F196,'Critical resources (hide)'!BE$6:BE$105)&gt;0,$E$1=2),0,1)</f>
        <v>1</v>
      </c>
      <c r="AS196" s="68">
        <f ca="1">IF(AND(SUMIF(Capacity_Resource,$D196,'Critical resources (hide)'!BF$6:BF$105)+SUMIF(Capacity_Resource,$E196,'Critical resources (hide)'!BF$6:BF$105)+SUMIF(Capacity_Resource,$F196,'Critical resources (hide)'!BF$6:BF$105)&gt;0,$E$1=2),0,1)</f>
        <v>1</v>
      </c>
      <c r="AT196" s="68">
        <f ca="1">IF(AND(SUMIF(Capacity_Resource,$D196,'Critical resources (hide)'!BG$6:BG$105)+SUMIF(Capacity_Resource,$E196,'Critical resources (hide)'!BG$6:BG$105)+SUMIF(Capacity_Resource,$F196,'Critical resources (hide)'!BG$6:BG$105)&gt;0,$E$1=2),0,1)</f>
        <v>1</v>
      </c>
      <c r="AU196" s="68">
        <f ca="1">IF(AND(SUMIF(Capacity_Resource,$D196,'Critical resources (hide)'!BH$6:BH$105)+SUMIF(Capacity_Resource,$E196,'Critical resources (hide)'!BH$6:BH$105)+SUMIF(Capacity_Resource,$F196,'Critical resources (hide)'!BH$6:BH$105)&gt;0,$E$1=2),0,1)</f>
        <v>1</v>
      </c>
      <c r="AV196" s="68">
        <f ca="1">IF(AND(SUMIF(Capacity_Resource,$D196,'Critical resources (hide)'!BI$6:BI$105)+SUMIF(Capacity_Resource,$E196,'Critical resources (hide)'!BI$6:BI$105)+SUMIF(Capacity_Resource,$F196,'Critical resources (hide)'!BI$6:BI$105)&gt;0,$E$1=2),0,1)</f>
        <v>1</v>
      </c>
      <c r="AW196" s="68">
        <f ca="1">IF(AND(SUMIF(Capacity_Resource,$D196,'Critical resources (hide)'!BJ$6:BJ$105)+SUMIF(Capacity_Resource,$E196,'Critical resources (hide)'!BJ$6:BJ$105)+SUMIF(Capacity_Resource,$F196,'Critical resources (hide)'!BJ$6:BJ$105)&gt;0,$E$1=2),0,1)</f>
        <v>1</v>
      </c>
      <c r="AX196" s="68">
        <f ca="1">IF(AND(SUMIF(Capacity_Resource,$D196,'Critical resources (hide)'!BK$6:BK$105)+SUMIF(Capacity_Resource,$E196,'Critical resources (hide)'!BK$6:BK$105)+SUMIF(Capacity_Resource,$F196,'Critical resources (hide)'!BK$6:BK$105)&gt;0,$E$1=2),0,1)</f>
        <v>1</v>
      </c>
      <c r="AY196" s="68">
        <f ca="1">IF(AND(SUMIF(Capacity_Resource,$D196,'Critical resources (hide)'!BL$6:BL$105)+SUMIF(Capacity_Resource,$E196,'Critical resources (hide)'!BL$6:BL$105)+SUMIF(Capacity_Resource,$F196,'Critical resources (hide)'!BL$6:BL$105)&gt;0,$E$1=2),0,1)</f>
        <v>1</v>
      </c>
      <c r="AZ196" s="68">
        <f ca="1">IF(AND(SUMIF(Capacity_Resource,$D196,'Critical resources (hide)'!BM$6:BM$105)+SUMIF(Capacity_Resource,$E196,'Critical resources (hide)'!BM$6:BM$105)+SUMIF(Capacity_Resource,$F196,'Critical resources (hide)'!BM$6:BM$105)&gt;0,$E$1=2),0,1)</f>
        <v>1</v>
      </c>
      <c r="BA196" s="68">
        <f ca="1">IF(AND(SUMIF(Capacity_Resource,$D196,'Critical resources (hide)'!BN$6:BN$105)+SUMIF(Capacity_Resource,$E196,'Critical resources (hide)'!BN$6:BN$105)+SUMIF(Capacity_Resource,$F196,'Critical resources (hide)'!BN$6:BN$105)&gt;0,$E$1=2),0,1)</f>
        <v>1</v>
      </c>
      <c r="BB196" s="68">
        <f ca="1">IF(AND(SUMIF(Capacity_Resource,$D196,'Critical resources (hide)'!BO$6:BO$105)+SUMIF(Capacity_Resource,$E196,'Critical resources (hide)'!BO$6:BO$105)+SUMIF(Capacity_Resource,$F196,'Critical resources (hide)'!BO$6:BO$105)&gt;0,$E$1=2),0,1)</f>
        <v>1</v>
      </c>
      <c r="BC196" s="68">
        <f ca="1">IF(AND(SUMIF(Capacity_Resource,$D196,'Critical resources (hide)'!BP$6:BP$105)+SUMIF(Capacity_Resource,$E196,'Critical resources (hide)'!BP$6:BP$105)+SUMIF(Capacity_Resource,$F196,'Critical resources (hide)'!BP$6:BP$105)&gt;0,$E$1=2),0,1)</f>
        <v>1</v>
      </c>
      <c r="BD196" s="68">
        <f ca="1">IF(AND(SUMIF(Capacity_Resource,$D196,'Critical resources (hide)'!BQ$6:BQ$105)+SUMIF(Capacity_Resource,$E196,'Critical resources (hide)'!BQ$6:BQ$105)+SUMIF(Capacity_Resource,$F196,'Critical resources (hide)'!BQ$6:BQ$105)&gt;0,$E$1=2),0,1)</f>
        <v>1</v>
      </c>
      <c r="BE196" s="68">
        <f ca="1">IF(AND(SUMIF(Capacity_Resource,$D196,'Critical resources (hide)'!BR$6:BR$105)+SUMIF(Capacity_Resource,$E196,'Critical resources (hide)'!BR$6:BR$105)+SUMIF(Capacity_Resource,$F196,'Critical resources (hide)'!BR$6:BR$105)&gt;0,$E$1=2),0,1)</f>
        <v>1</v>
      </c>
      <c r="BF196" s="68">
        <f ca="1">IF(AND(SUMIF(Capacity_Resource,$D196,'Critical resources (hide)'!BS$6:BS$105)+SUMIF(Capacity_Resource,$E196,'Critical resources (hide)'!BS$6:BS$105)+SUMIF(Capacity_Resource,$F196,'Critical resources (hide)'!BS$6:BS$105)&gt;0,$E$1=2),0,1)</f>
        <v>1</v>
      </c>
      <c r="BG196" s="68">
        <f ca="1">IF(AND(SUMIF(Capacity_Resource,$D196,'Critical resources (hide)'!BT$6:BT$105)+SUMIF(Capacity_Resource,$E196,'Critical resources (hide)'!BT$6:BT$105)+SUMIF(Capacity_Resource,$F196,'Critical resources (hide)'!BT$6:BT$105)&gt;0,$E$1=2),0,1)</f>
        <v>1</v>
      </c>
      <c r="BH196" s="68">
        <f>IF(ROW(A85)&lt;=Capacity!$M$16,IF('Capacity summary'!$C$14="No",SUM(H196:BG196),'Capacity summary'!$E108),0)</f>
        <v>0</v>
      </c>
      <c r="BI196" s="68" t="str">
        <f>IF(BH196&gt;0,IF(BH196&lt;Capacity!Q101,Capacity!R101,Capacity!T101/'Capacity calculation (hide)'!BH196),"")</f>
        <v/>
      </c>
      <c r="BJ196" s="5"/>
      <c r="BK196" s="5">
        <f>IF($BI196&lt;&gt;"",IF('Capacity summary'!$C$14="Yes",IF(COUNTBLANK('Capacity summary'!$H108:$BG108)&lt;52,IF('Capacity summary'!H108&lt;&gt;"",$BI196*H196,0),H196*$BI196),H196*$BI196),0)</f>
        <v>0</v>
      </c>
      <c r="BL196" s="5">
        <f>IF($BI196&lt;&gt;"",IF('Capacity summary'!$C$14="Yes",IF(COUNTBLANK('Capacity summary'!$H108:$BG108)&lt;52,IF('Capacity summary'!I108&lt;&gt;"",$BI196*I196,0),I196*$BI196),I196*$BI196),0)</f>
        <v>0</v>
      </c>
      <c r="BM196" s="5">
        <f>IF($BI196&lt;&gt;"",IF('Capacity summary'!$C$14="Yes",IF(COUNTBLANK('Capacity summary'!$H108:$BG108)&lt;52,IF('Capacity summary'!J108&lt;&gt;"",$BI196*J196,0),J196*$BI196),J196*$BI196),0)</f>
        <v>0</v>
      </c>
      <c r="BN196" s="5">
        <f>IF($BI196&lt;&gt;"",IF('Capacity summary'!$C$14="Yes",IF(COUNTBLANK('Capacity summary'!$H108:$BG108)&lt;52,IF('Capacity summary'!K108&lt;&gt;"",$BI196*K196,0),K196*$BI196),K196*$BI196),0)</f>
        <v>0</v>
      </c>
      <c r="BO196" s="5">
        <f>IF($BI196&lt;&gt;"",IF('Capacity summary'!$C$14="Yes",IF(COUNTBLANK('Capacity summary'!$H108:$BG108)&lt;52,IF('Capacity summary'!L108&lt;&gt;"",$BI196*L196,0),L196*$BI196),L196*$BI196),0)</f>
        <v>0</v>
      </c>
      <c r="BP196" s="5">
        <f>IF($BI196&lt;&gt;"",IF('Capacity summary'!$C$14="Yes",IF(COUNTBLANK('Capacity summary'!$H108:$BG108)&lt;52,IF('Capacity summary'!M108&lt;&gt;"",$BI196*M196,0),M196*$BI196),M196*$BI196),0)</f>
        <v>0</v>
      </c>
      <c r="BQ196" s="5">
        <f>IF($BI196&lt;&gt;"",IF('Capacity summary'!$C$14="Yes",IF(COUNTBLANK('Capacity summary'!$H108:$BG108)&lt;52,IF('Capacity summary'!N108&lt;&gt;"",$BI196*N196,0),N196*$BI196),N196*$BI196),0)</f>
        <v>0</v>
      </c>
      <c r="BR196" s="5">
        <f>IF($BI196&lt;&gt;"",IF('Capacity summary'!$C$14="Yes",IF(COUNTBLANK('Capacity summary'!$H108:$BG108)&lt;52,IF('Capacity summary'!O108&lt;&gt;"",$BI196*O196,0),O196*$BI196),O196*$BI196),0)</f>
        <v>0</v>
      </c>
      <c r="BS196" s="5">
        <f>IF($BI196&lt;&gt;"",IF('Capacity summary'!$C$14="Yes",IF(COUNTBLANK('Capacity summary'!$H108:$BG108)&lt;52,IF('Capacity summary'!P108&lt;&gt;"",$BI196*P196,0),P196*$BI196),P196*$BI196),0)</f>
        <v>0</v>
      </c>
      <c r="BT196" s="5">
        <f>IF($BI196&lt;&gt;"",IF('Capacity summary'!$C$14="Yes",IF(COUNTBLANK('Capacity summary'!$H108:$BG108)&lt;52,IF('Capacity summary'!Q108&lt;&gt;"",$BI196*Q196,0),Q196*$BI196),Q196*$BI196),0)</f>
        <v>0</v>
      </c>
      <c r="BU196" s="5">
        <f>IF($BI196&lt;&gt;"",IF('Capacity summary'!$C$14="Yes",IF(COUNTBLANK('Capacity summary'!$H108:$BG108)&lt;52,IF('Capacity summary'!R108&lt;&gt;"",$BI196*R196,0),R196*$BI196),R196*$BI196),0)</f>
        <v>0</v>
      </c>
      <c r="BV196" s="5">
        <f>IF($BI196&lt;&gt;"",IF('Capacity summary'!$C$14="Yes",IF(COUNTBLANK('Capacity summary'!$H108:$BG108)&lt;52,IF('Capacity summary'!S108&lt;&gt;"",$BI196*S196,0),S196*$BI196),S196*$BI196),0)</f>
        <v>0</v>
      </c>
      <c r="BW196" s="5">
        <f>IF($BI196&lt;&gt;"",IF('Capacity summary'!$C$14="Yes",IF(COUNTBLANK('Capacity summary'!$H108:$BG108)&lt;52,IF('Capacity summary'!T108&lt;&gt;"",$BI196*T196,0),T196*$BI196),T196*$BI196),0)</f>
        <v>0</v>
      </c>
      <c r="BX196" s="5">
        <f>IF($BI196&lt;&gt;"",IF('Capacity summary'!$C$14="Yes",IF(COUNTBLANK('Capacity summary'!$H108:$BG108)&lt;52,IF('Capacity summary'!U108&lt;&gt;"",$BI196*U196,0),U196*$BI196),U196*$BI196),0)</f>
        <v>0</v>
      </c>
      <c r="BY196" s="5">
        <f>IF($BI196&lt;&gt;"",IF('Capacity summary'!$C$14="Yes",IF(COUNTBLANK('Capacity summary'!$H108:$BG108)&lt;52,IF('Capacity summary'!V108&lt;&gt;"",$BI196*V196,0),V196*$BI196),V196*$BI196),0)</f>
        <v>0</v>
      </c>
      <c r="BZ196" s="5">
        <f>IF($BI196&lt;&gt;"",IF('Capacity summary'!$C$14="Yes",IF(COUNTBLANK('Capacity summary'!$H108:$BG108)&lt;52,IF('Capacity summary'!W108&lt;&gt;"",$BI196*W196,0),W196*$BI196),W196*$BI196),0)</f>
        <v>0</v>
      </c>
      <c r="CA196" s="5">
        <f>IF($BI196&lt;&gt;"",IF('Capacity summary'!$C$14="Yes",IF(COUNTBLANK('Capacity summary'!$H108:$BG108)&lt;52,IF('Capacity summary'!X108&lt;&gt;"",$BI196*X196,0),X196*$BI196),X196*$BI196),0)</f>
        <v>0</v>
      </c>
      <c r="CB196" s="5">
        <f>IF($BI196&lt;&gt;"",IF('Capacity summary'!$C$14="Yes",IF(COUNTBLANK('Capacity summary'!$H108:$BG108)&lt;52,IF('Capacity summary'!Y108&lt;&gt;"",$BI196*Y196,0),Y196*$BI196),Y196*$BI196),0)</f>
        <v>0</v>
      </c>
      <c r="CC196" s="5">
        <f>IF($BI196&lt;&gt;"",IF('Capacity summary'!$C$14="Yes",IF(COUNTBLANK('Capacity summary'!$H108:$BG108)&lt;52,IF('Capacity summary'!Z108&lt;&gt;"",$BI196*Z196,0),Z196*$BI196),Z196*$BI196),0)</f>
        <v>0</v>
      </c>
      <c r="CD196" s="5">
        <f>IF($BI196&lt;&gt;"",IF('Capacity summary'!$C$14="Yes",IF(COUNTBLANK('Capacity summary'!$H108:$BG108)&lt;52,IF('Capacity summary'!AA108&lt;&gt;"",$BI196*AA196,0),AA196*$BI196),AA196*$BI196),0)</f>
        <v>0</v>
      </c>
      <c r="CE196" s="5">
        <f>IF($BI196&lt;&gt;"",IF('Capacity summary'!$C$14="Yes",IF(COUNTBLANK('Capacity summary'!$H108:$BG108)&lt;52,IF('Capacity summary'!AB108&lt;&gt;"",$BI196*AB196,0),AB196*$BI196),AB196*$BI196),0)</f>
        <v>0</v>
      </c>
      <c r="CF196" s="5">
        <f>IF($BI196&lt;&gt;"",IF('Capacity summary'!$C$14="Yes",IF(COUNTBLANK('Capacity summary'!$H108:$BG108)&lt;52,IF('Capacity summary'!AC108&lt;&gt;"",$BI196*AC196,0),AC196*$BI196),AC196*$BI196),0)</f>
        <v>0</v>
      </c>
      <c r="CG196" s="5">
        <f>IF($BI196&lt;&gt;"",IF('Capacity summary'!$C$14="Yes",IF(COUNTBLANK('Capacity summary'!$H108:$BG108)&lt;52,IF('Capacity summary'!AD108&lt;&gt;"",$BI196*AD196,0),AD196*$BI196),AD196*$BI196),0)</f>
        <v>0</v>
      </c>
      <c r="CH196" s="5">
        <f>IF($BI196&lt;&gt;"",IF('Capacity summary'!$C$14="Yes",IF(COUNTBLANK('Capacity summary'!$H108:$BG108)&lt;52,IF('Capacity summary'!AE108&lt;&gt;"",$BI196*AE196,0),AE196*$BI196),AE196*$BI196),0)</f>
        <v>0</v>
      </c>
      <c r="CI196" s="5">
        <f>IF($BI196&lt;&gt;"",IF('Capacity summary'!$C$14="Yes",IF(COUNTBLANK('Capacity summary'!$H108:$BG108)&lt;52,IF('Capacity summary'!AF108&lt;&gt;"",$BI196*AF196,0),AF196*$BI196),AF196*$BI196),0)</f>
        <v>0</v>
      </c>
      <c r="CJ196" s="5">
        <f>IF($BI196&lt;&gt;"",IF('Capacity summary'!$C$14="Yes",IF(COUNTBLANK('Capacity summary'!$H108:$BG108)&lt;52,IF('Capacity summary'!AG108&lt;&gt;"",$BI196*AG196,0),AG196*$BI196),AG196*$BI196),0)</f>
        <v>0</v>
      </c>
      <c r="CK196" s="5">
        <f>IF($BI196&lt;&gt;"",IF('Capacity summary'!$C$14="Yes",IF(COUNTBLANK('Capacity summary'!$H108:$BG108)&lt;52,IF('Capacity summary'!AH108&lt;&gt;"",$BI196*AH196,0),AH196*$BI196),AH196*$BI196),0)</f>
        <v>0</v>
      </c>
      <c r="CL196" s="5">
        <f>IF($BI196&lt;&gt;"",IF('Capacity summary'!$C$14="Yes",IF(COUNTBLANK('Capacity summary'!$H108:$BG108)&lt;52,IF('Capacity summary'!AI108&lt;&gt;"",$BI196*AI196,0),AI196*$BI196),AI196*$BI196),0)</f>
        <v>0</v>
      </c>
      <c r="CM196" s="5">
        <f>IF($BI196&lt;&gt;"",IF('Capacity summary'!$C$14="Yes",IF(COUNTBLANK('Capacity summary'!$H108:$BG108)&lt;52,IF('Capacity summary'!AJ108&lt;&gt;"",$BI196*AJ196,0),AJ196*$BI196),AJ196*$BI196),0)</f>
        <v>0</v>
      </c>
      <c r="CN196" s="5">
        <f>IF($BI196&lt;&gt;"",IF('Capacity summary'!$C$14="Yes",IF(COUNTBLANK('Capacity summary'!$H108:$BG108)&lt;52,IF('Capacity summary'!AK108&lt;&gt;"",$BI196*AK196,0),AK196*$BI196),AK196*$BI196),0)</f>
        <v>0</v>
      </c>
      <c r="CO196" s="5">
        <f>IF($BI196&lt;&gt;"",IF('Capacity summary'!$C$14="Yes",IF(COUNTBLANK('Capacity summary'!$H108:$BG108)&lt;52,IF('Capacity summary'!AL108&lt;&gt;"",$BI196*AL196,0),AL196*$BI196),AL196*$BI196),0)</f>
        <v>0</v>
      </c>
      <c r="CP196" s="5">
        <f>IF($BI196&lt;&gt;"",IF('Capacity summary'!$C$14="Yes",IF(COUNTBLANK('Capacity summary'!$H108:$BG108)&lt;52,IF('Capacity summary'!AM108&lt;&gt;"",$BI196*AM196,0),AM196*$BI196),AM196*$BI196),0)</f>
        <v>0</v>
      </c>
      <c r="CQ196" s="5">
        <f>IF($BI196&lt;&gt;"",IF('Capacity summary'!$C$14="Yes",IF(COUNTBLANK('Capacity summary'!$H108:$BG108)&lt;52,IF('Capacity summary'!AN108&lt;&gt;"",$BI196*AN196,0),AN196*$BI196),AN196*$BI196),0)</f>
        <v>0</v>
      </c>
      <c r="CR196" s="5">
        <f>IF($BI196&lt;&gt;"",IF('Capacity summary'!$C$14="Yes",IF(COUNTBLANK('Capacity summary'!$H108:$BG108)&lt;52,IF('Capacity summary'!AO108&lt;&gt;"",$BI196*AO196,0),AO196*$BI196),AO196*$BI196),0)</f>
        <v>0</v>
      </c>
      <c r="CS196" s="5">
        <f>IF($BI196&lt;&gt;"",IF('Capacity summary'!$C$14="Yes",IF(COUNTBLANK('Capacity summary'!$H108:$BG108)&lt;52,IF('Capacity summary'!AP108&lt;&gt;"",$BI196*AP196,0),AP196*$BI196),AP196*$BI196),0)</f>
        <v>0</v>
      </c>
      <c r="CT196" s="5">
        <f>IF($BI196&lt;&gt;"",IF('Capacity summary'!$C$14="Yes",IF(COUNTBLANK('Capacity summary'!$H108:$BG108)&lt;52,IF('Capacity summary'!AQ108&lt;&gt;"",$BI196*AQ196,0),AQ196*$BI196),AQ196*$BI196),0)</f>
        <v>0</v>
      </c>
      <c r="CU196" s="5">
        <f>IF($BI196&lt;&gt;"",IF('Capacity summary'!$C$14="Yes",IF(COUNTBLANK('Capacity summary'!$H108:$BG108)&lt;52,IF('Capacity summary'!AR108&lt;&gt;"",$BI196*AR196,0),AR196*$BI196),AR196*$BI196),0)</f>
        <v>0</v>
      </c>
      <c r="CV196" s="5">
        <f>IF($BI196&lt;&gt;"",IF('Capacity summary'!$C$14="Yes",IF(COUNTBLANK('Capacity summary'!$H108:$BG108)&lt;52,IF('Capacity summary'!AS108&lt;&gt;"",$BI196*AS196,0),AS196*$BI196),AS196*$BI196),0)</f>
        <v>0</v>
      </c>
      <c r="CW196" s="5">
        <f>IF($BI196&lt;&gt;"",IF('Capacity summary'!$C$14="Yes",IF(COUNTBLANK('Capacity summary'!$H108:$BG108)&lt;52,IF('Capacity summary'!AT108&lt;&gt;"",$BI196*AT196,0),AT196*$BI196),AT196*$BI196),0)</f>
        <v>0</v>
      </c>
      <c r="CX196" s="5">
        <f>IF($BI196&lt;&gt;"",IF('Capacity summary'!$C$14="Yes",IF(COUNTBLANK('Capacity summary'!$H108:$BG108)&lt;52,IF('Capacity summary'!AU108&lt;&gt;"",$BI196*AU196,0),AU196*$BI196),AU196*$BI196),0)</f>
        <v>0</v>
      </c>
      <c r="CY196" s="5">
        <f>IF($BI196&lt;&gt;"",IF('Capacity summary'!$C$14="Yes",IF(COUNTBLANK('Capacity summary'!$H108:$BG108)&lt;52,IF('Capacity summary'!AV108&lt;&gt;"",$BI196*AV196,0),AV196*$BI196),AV196*$BI196),0)</f>
        <v>0</v>
      </c>
      <c r="CZ196" s="5">
        <f>IF($BI196&lt;&gt;"",IF('Capacity summary'!$C$14="Yes",IF(COUNTBLANK('Capacity summary'!$H108:$BG108)&lt;52,IF('Capacity summary'!AW108&lt;&gt;"",$BI196*AW196,0),AW196*$BI196),AW196*$BI196),0)</f>
        <v>0</v>
      </c>
      <c r="DA196" s="5">
        <f>IF($BI196&lt;&gt;"",IF('Capacity summary'!$C$14="Yes",IF(COUNTBLANK('Capacity summary'!$H108:$BG108)&lt;52,IF('Capacity summary'!AX108&lt;&gt;"",$BI196*AX196,0),AX196*$BI196),AX196*$BI196),0)</f>
        <v>0</v>
      </c>
      <c r="DB196" s="5">
        <f>IF($BI196&lt;&gt;"",IF('Capacity summary'!$C$14="Yes",IF(COUNTBLANK('Capacity summary'!$H108:$BG108)&lt;52,IF('Capacity summary'!AY108&lt;&gt;"",$BI196*AY196,0),AY196*$BI196),AY196*$BI196),0)</f>
        <v>0</v>
      </c>
      <c r="DC196" s="5">
        <f>IF($BI196&lt;&gt;"",IF('Capacity summary'!$C$14="Yes",IF(COUNTBLANK('Capacity summary'!$H108:$BG108)&lt;52,IF('Capacity summary'!AZ108&lt;&gt;"",$BI196*AZ196,0),AZ196*$BI196),AZ196*$BI196),0)</f>
        <v>0</v>
      </c>
      <c r="DD196" s="5">
        <f>IF($BI196&lt;&gt;"",IF('Capacity summary'!$C$14="Yes",IF(COUNTBLANK('Capacity summary'!$H108:$BG108)&lt;52,IF('Capacity summary'!BA108&lt;&gt;"",$BI196*BA196,0),BA196*$BI196),BA196*$BI196),0)</f>
        <v>0</v>
      </c>
      <c r="DE196" s="5">
        <f>IF($BI196&lt;&gt;"",IF('Capacity summary'!$C$14="Yes",IF(COUNTBLANK('Capacity summary'!$H108:$BG108)&lt;52,IF('Capacity summary'!BB108&lt;&gt;"",$BI196*BB196,0),BB196*$BI196),BB196*$BI196),0)</f>
        <v>0</v>
      </c>
      <c r="DF196" s="5">
        <f>IF($BI196&lt;&gt;"",IF('Capacity summary'!$C$14="Yes",IF(COUNTBLANK('Capacity summary'!$H108:$BG108)&lt;52,IF('Capacity summary'!BC108&lt;&gt;"",$BI196*BC196,0),BC196*$BI196),BC196*$BI196),0)</f>
        <v>0</v>
      </c>
      <c r="DG196" s="5">
        <f>IF($BI196&lt;&gt;"",IF('Capacity summary'!$C$14="Yes",IF(COUNTBLANK('Capacity summary'!$H108:$BG108)&lt;52,IF('Capacity summary'!BD108&lt;&gt;"",$BI196*BD196,0),BD196*$BI196),BD196*$BI196),0)</f>
        <v>0</v>
      </c>
      <c r="DH196" s="5">
        <f>IF($BI196&lt;&gt;"",IF('Capacity summary'!$C$14="Yes",IF(COUNTBLANK('Capacity summary'!$H108:$BG108)&lt;52,IF('Capacity summary'!BE108&lt;&gt;"",$BI196*BE196,0),BE196*$BI196),BE196*$BI196),0)</f>
        <v>0</v>
      </c>
      <c r="DI196" s="5">
        <f>IF($BI196&lt;&gt;"",IF('Capacity summary'!$C$14="Yes",IF(COUNTBLANK('Capacity summary'!$H108:$BG108)&lt;52,IF('Capacity summary'!BF108&lt;&gt;"",$BI196*BF196,0),BF196*$BI196),BF196*$BI196),0)</f>
        <v>0</v>
      </c>
      <c r="DJ196" s="5">
        <f>IF($BI196&lt;&gt;"",IF('Capacity summary'!$C$14="Yes",IF(COUNTBLANK('Capacity summary'!$H108:$BG108)&lt;52,IF('Capacity summary'!BG108&lt;&gt;"",$BI196*BG196,0),BG196*$BI196),BG196*$BI196),0)</f>
        <v>0</v>
      </c>
      <c r="DK196" s="138">
        <f t="shared" si="7"/>
        <v>0</v>
      </c>
    </row>
    <row r="197" spans="3:115" x14ac:dyDescent="0.2">
      <c r="C197" s="68" t="str">
        <f>ROW(A86)&amp;". "&amp;Capacity!N102</f>
        <v xml:space="preserve">86. </v>
      </c>
      <c r="D197" s="68">
        <f>'Capacity setup'!C203</f>
        <v>0</v>
      </c>
      <c r="E197" s="68">
        <f>'Capacity setup'!D203</f>
        <v>0</v>
      </c>
      <c r="F197" s="68">
        <f>'Capacity setup'!E203</f>
        <v>0</v>
      </c>
      <c r="H197" s="68">
        <f ca="1">IF(AND(SUMIF(Capacity_Resource,$D197,'Critical resources (hide)'!U$6:U$105)+SUMIF(Capacity_Resource,$E197,'Critical resources (hide)'!U$6:U$105)+SUMIF(Capacity_Resource,$F197,'Critical resources (hide)'!U$6:U$105)&gt;0,$E$1=2),0,1)</f>
        <v>1</v>
      </c>
      <c r="I197" s="68">
        <f ca="1">IF(AND(SUMIF(Capacity_Resource,$D197,'Critical resources (hide)'!V$6:V$105)+SUMIF(Capacity_Resource,$E197,'Critical resources (hide)'!V$6:V$105)+SUMIF(Capacity_Resource,$F197,'Critical resources (hide)'!V$6:V$105)&gt;0,$E$1=2),0,1)</f>
        <v>1</v>
      </c>
      <c r="J197" s="68">
        <f ca="1">IF(AND(SUMIF(Capacity_Resource,$D197,'Critical resources (hide)'!W$6:W$105)+SUMIF(Capacity_Resource,$E197,'Critical resources (hide)'!W$6:W$105)+SUMIF(Capacity_Resource,$F197,'Critical resources (hide)'!W$6:W$105)&gt;0,$E$1=2),0,1)</f>
        <v>1</v>
      </c>
      <c r="K197" s="68">
        <f ca="1">IF(AND(SUMIF(Capacity_Resource,$D197,'Critical resources (hide)'!X$6:X$105)+SUMIF(Capacity_Resource,$E197,'Critical resources (hide)'!X$6:X$105)+SUMIF(Capacity_Resource,$F197,'Critical resources (hide)'!X$6:X$105)&gt;0,$E$1=2),0,1)</f>
        <v>1</v>
      </c>
      <c r="L197" s="68">
        <f ca="1">IF(AND(SUMIF(Capacity_Resource,$D197,'Critical resources (hide)'!Y$6:Y$105)+SUMIF(Capacity_Resource,$E197,'Critical resources (hide)'!Y$6:Y$105)+SUMIF(Capacity_Resource,$F197,'Critical resources (hide)'!Y$6:Y$105)&gt;0,$E$1=2),0,1)</f>
        <v>1</v>
      </c>
      <c r="M197" s="68">
        <f ca="1">IF(AND(SUMIF(Capacity_Resource,$D197,'Critical resources (hide)'!Z$6:Z$105)+SUMIF(Capacity_Resource,$E197,'Critical resources (hide)'!Z$6:Z$105)+SUMIF(Capacity_Resource,$F197,'Critical resources (hide)'!Z$6:Z$105)&gt;0,$E$1=2),0,1)</f>
        <v>1</v>
      </c>
      <c r="N197" s="68">
        <f ca="1">IF(AND(SUMIF(Capacity_Resource,$D197,'Critical resources (hide)'!AA$6:AA$105)+SUMIF(Capacity_Resource,$E197,'Critical resources (hide)'!AA$6:AA$105)+SUMIF(Capacity_Resource,$F197,'Critical resources (hide)'!AA$6:AA$105)&gt;0,$E$1=2),0,1)</f>
        <v>1</v>
      </c>
      <c r="O197" s="68">
        <f ca="1">IF(AND(SUMIF(Capacity_Resource,$D197,'Critical resources (hide)'!AB$6:AB$105)+SUMIF(Capacity_Resource,$E197,'Critical resources (hide)'!AB$6:AB$105)+SUMIF(Capacity_Resource,$F197,'Critical resources (hide)'!AB$6:AB$105)&gt;0,$E$1=2),0,1)</f>
        <v>1</v>
      </c>
      <c r="P197" s="68">
        <f ca="1">IF(AND(SUMIF(Capacity_Resource,$D197,'Critical resources (hide)'!AC$6:AC$105)+SUMIF(Capacity_Resource,$E197,'Critical resources (hide)'!AC$6:AC$105)+SUMIF(Capacity_Resource,$F197,'Critical resources (hide)'!AC$6:AC$105)&gt;0,$E$1=2),0,1)</f>
        <v>1</v>
      </c>
      <c r="Q197" s="68">
        <f ca="1">IF(AND(SUMIF(Capacity_Resource,$D197,'Critical resources (hide)'!AD$6:AD$105)+SUMIF(Capacity_Resource,$E197,'Critical resources (hide)'!AD$6:AD$105)+SUMIF(Capacity_Resource,$F197,'Critical resources (hide)'!AD$6:AD$105)&gt;0,$E$1=2),0,1)</f>
        <v>1</v>
      </c>
      <c r="R197" s="68">
        <f ca="1">IF(AND(SUMIF(Capacity_Resource,$D197,'Critical resources (hide)'!AE$6:AE$105)+SUMIF(Capacity_Resource,$E197,'Critical resources (hide)'!AE$6:AE$105)+SUMIF(Capacity_Resource,$F197,'Critical resources (hide)'!AE$6:AE$105)&gt;0,$E$1=2),0,1)</f>
        <v>1</v>
      </c>
      <c r="S197" s="68">
        <f ca="1">IF(AND(SUMIF(Capacity_Resource,$D197,'Critical resources (hide)'!AF$6:AF$105)+SUMIF(Capacity_Resource,$E197,'Critical resources (hide)'!AF$6:AF$105)+SUMIF(Capacity_Resource,$F197,'Critical resources (hide)'!AF$6:AF$105)&gt;0,$E$1=2),0,1)</f>
        <v>1</v>
      </c>
      <c r="T197" s="68">
        <f ca="1">IF(AND(SUMIF(Capacity_Resource,$D197,'Critical resources (hide)'!AG$6:AG$105)+SUMIF(Capacity_Resource,$E197,'Critical resources (hide)'!AG$6:AG$105)+SUMIF(Capacity_Resource,$F197,'Critical resources (hide)'!AG$6:AG$105)&gt;0,$E$1=2),0,1)</f>
        <v>1</v>
      </c>
      <c r="U197" s="68">
        <f ca="1">IF(AND(SUMIF(Capacity_Resource,$D197,'Critical resources (hide)'!AH$6:AH$105)+SUMIF(Capacity_Resource,$E197,'Critical resources (hide)'!AH$6:AH$105)+SUMIF(Capacity_Resource,$F197,'Critical resources (hide)'!AH$6:AH$105)&gt;0,$E$1=2),0,1)</f>
        <v>1</v>
      </c>
      <c r="V197" s="68">
        <f ca="1">IF(AND(SUMIF(Capacity_Resource,$D197,'Critical resources (hide)'!AI$6:AI$105)+SUMIF(Capacity_Resource,$E197,'Critical resources (hide)'!AI$6:AI$105)+SUMIF(Capacity_Resource,$F197,'Critical resources (hide)'!AI$6:AI$105)&gt;0,$E$1=2),0,1)</f>
        <v>1</v>
      </c>
      <c r="W197" s="68">
        <f ca="1">IF(AND(SUMIF(Capacity_Resource,$D197,'Critical resources (hide)'!AJ$6:AJ$105)+SUMIF(Capacity_Resource,$E197,'Critical resources (hide)'!AJ$6:AJ$105)+SUMIF(Capacity_Resource,$F197,'Critical resources (hide)'!AJ$6:AJ$105)&gt;0,$E$1=2),0,1)</f>
        <v>1</v>
      </c>
      <c r="X197" s="68">
        <f ca="1">IF(AND(SUMIF(Capacity_Resource,$D197,'Critical resources (hide)'!AK$6:AK$105)+SUMIF(Capacity_Resource,$E197,'Critical resources (hide)'!AK$6:AK$105)+SUMIF(Capacity_Resource,$F197,'Critical resources (hide)'!AK$6:AK$105)&gt;0,$E$1=2),0,1)</f>
        <v>1</v>
      </c>
      <c r="Y197" s="68">
        <f ca="1">IF(AND(SUMIF(Capacity_Resource,$D197,'Critical resources (hide)'!AL$6:AL$105)+SUMIF(Capacity_Resource,$E197,'Critical resources (hide)'!AL$6:AL$105)+SUMIF(Capacity_Resource,$F197,'Critical resources (hide)'!AL$6:AL$105)&gt;0,$E$1=2),0,1)</f>
        <v>1</v>
      </c>
      <c r="Z197" s="68">
        <f ca="1">IF(AND(SUMIF(Capacity_Resource,$D197,'Critical resources (hide)'!AM$6:AM$105)+SUMIF(Capacity_Resource,$E197,'Critical resources (hide)'!AM$6:AM$105)+SUMIF(Capacity_Resource,$F197,'Critical resources (hide)'!AM$6:AM$105)&gt;0,$E$1=2),0,1)</f>
        <v>1</v>
      </c>
      <c r="AA197" s="68">
        <f ca="1">IF(AND(SUMIF(Capacity_Resource,$D197,'Critical resources (hide)'!AN$6:AN$105)+SUMIF(Capacity_Resource,$E197,'Critical resources (hide)'!AN$6:AN$105)+SUMIF(Capacity_Resource,$F197,'Critical resources (hide)'!AN$6:AN$105)&gt;0,$E$1=2),0,1)</f>
        <v>1</v>
      </c>
      <c r="AB197" s="68">
        <f ca="1">IF(AND(SUMIF(Capacity_Resource,$D197,'Critical resources (hide)'!AO$6:AO$105)+SUMIF(Capacity_Resource,$E197,'Critical resources (hide)'!AO$6:AO$105)+SUMIF(Capacity_Resource,$F197,'Critical resources (hide)'!AO$6:AO$105)&gt;0,$E$1=2),0,1)</f>
        <v>1</v>
      </c>
      <c r="AC197" s="68">
        <f ca="1">IF(AND(SUMIF(Capacity_Resource,$D197,'Critical resources (hide)'!AP$6:AP$105)+SUMIF(Capacity_Resource,$E197,'Critical resources (hide)'!AP$6:AP$105)+SUMIF(Capacity_Resource,$F197,'Critical resources (hide)'!AP$6:AP$105)&gt;0,$E$1=2),0,1)</f>
        <v>1</v>
      </c>
      <c r="AD197" s="68">
        <f ca="1">IF(AND(SUMIF(Capacity_Resource,$D197,'Critical resources (hide)'!AQ$6:AQ$105)+SUMIF(Capacity_Resource,$E197,'Critical resources (hide)'!AQ$6:AQ$105)+SUMIF(Capacity_Resource,$F197,'Critical resources (hide)'!AQ$6:AQ$105)&gt;0,$E$1=2),0,1)</f>
        <v>1</v>
      </c>
      <c r="AE197" s="68">
        <f ca="1">IF(AND(SUMIF(Capacity_Resource,$D197,'Critical resources (hide)'!AR$6:AR$105)+SUMIF(Capacity_Resource,$E197,'Critical resources (hide)'!AR$6:AR$105)+SUMIF(Capacity_Resource,$F197,'Critical resources (hide)'!AR$6:AR$105)&gt;0,$E$1=2),0,1)</f>
        <v>1</v>
      </c>
      <c r="AF197" s="68">
        <f ca="1">IF(AND(SUMIF(Capacity_Resource,$D197,'Critical resources (hide)'!AS$6:AS$105)+SUMIF(Capacity_Resource,$E197,'Critical resources (hide)'!AS$6:AS$105)+SUMIF(Capacity_Resource,$F197,'Critical resources (hide)'!AS$6:AS$105)&gt;0,$E$1=2),0,1)</f>
        <v>1</v>
      </c>
      <c r="AG197" s="68">
        <f ca="1">IF(AND(SUMIF(Capacity_Resource,$D197,'Critical resources (hide)'!AT$6:AT$105)+SUMIF(Capacity_Resource,$E197,'Critical resources (hide)'!AT$6:AT$105)+SUMIF(Capacity_Resource,$F197,'Critical resources (hide)'!AT$6:AT$105)&gt;0,$E$1=2),0,1)</f>
        <v>1</v>
      </c>
      <c r="AH197" s="68">
        <f ca="1">IF(AND(SUMIF(Capacity_Resource,$D197,'Critical resources (hide)'!AU$6:AU$105)+SUMIF(Capacity_Resource,$E197,'Critical resources (hide)'!AU$6:AU$105)+SUMIF(Capacity_Resource,$F197,'Critical resources (hide)'!AU$6:AU$105)&gt;0,$E$1=2),0,1)</f>
        <v>1</v>
      </c>
      <c r="AI197" s="68">
        <f ca="1">IF(AND(SUMIF(Capacity_Resource,$D197,'Critical resources (hide)'!AV$6:AV$105)+SUMIF(Capacity_Resource,$E197,'Critical resources (hide)'!AV$6:AV$105)+SUMIF(Capacity_Resource,$F197,'Critical resources (hide)'!AV$6:AV$105)&gt;0,$E$1=2),0,1)</f>
        <v>1</v>
      </c>
      <c r="AJ197" s="68">
        <f ca="1">IF(AND(SUMIF(Capacity_Resource,$D197,'Critical resources (hide)'!AW$6:AW$105)+SUMIF(Capacity_Resource,$E197,'Critical resources (hide)'!AW$6:AW$105)+SUMIF(Capacity_Resource,$F197,'Critical resources (hide)'!AW$6:AW$105)&gt;0,$E$1=2),0,1)</f>
        <v>1</v>
      </c>
      <c r="AK197" s="68">
        <f ca="1">IF(AND(SUMIF(Capacity_Resource,$D197,'Critical resources (hide)'!AX$6:AX$105)+SUMIF(Capacity_Resource,$E197,'Critical resources (hide)'!AX$6:AX$105)+SUMIF(Capacity_Resource,$F197,'Critical resources (hide)'!AX$6:AX$105)&gt;0,$E$1=2),0,1)</f>
        <v>1</v>
      </c>
      <c r="AL197" s="68">
        <f ca="1">IF(AND(SUMIF(Capacity_Resource,$D197,'Critical resources (hide)'!AY$6:AY$105)+SUMIF(Capacity_Resource,$E197,'Critical resources (hide)'!AY$6:AY$105)+SUMIF(Capacity_Resource,$F197,'Critical resources (hide)'!AY$6:AY$105)&gt;0,$E$1=2),0,1)</f>
        <v>1</v>
      </c>
      <c r="AM197" s="68">
        <f ca="1">IF(AND(SUMIF(Capacity_Resource,$D197,'Critical resources (hide)'!AZ$6:AZ$105)+SUMIF(Capacity_Resource,$E197,'Critical resources (hide)'!AZ$6:AZ$105)+SUMIF(Capacity_Resource,$F197,'Critical resources (hide)'!AZ$6:AZ$105)&gt;0,$E$1=2),0,1)</f>
        <v>1</v>
      </c>
      <c r="AN197" s="68">
        <f ca="1">IF(AND(SUMIF(Capacity_Resource,$D197,'Critical resources (hide)'!BA$6:BA$105)+SUMIF(Capacity_Resource,$E197,'Critical resources (hide)'!BA$6:BA$105)+SUMIF(Capacity_Resource,$F197,'Critical resources (hide)'!BA$6:BA$105)&gt;0,$E$1=2),0,1)</f>
        <v>1</v>
      </c>
      <c r="AO197" s="68">
        <f ca="1">IF(AND(SUMIF(Capacity_Resource,$D197,'Critical resources (hide)'!BB$6:BB$105)+SUMIF(Capacity_Resource,$E197,'Critical resources (hide)'!BB$6:BB$105)+SUMIF(Capacity_Resource,$F197,'Critical resources (hide)'!BB$6:BB$105)&gt;0,$E$1=2),0,1)</f>
        <v>1</v>
      </c>
      <c r="AP197" s="68">
        <f ca="1">IF(AND(SUMIF(Capacity_Resource,$D197,'Critical resources (hide)'!BC$6:BC$105)+SUMIF(Capacity_Resource,$E197,'Critical resources (hide)'!BC$6:BC$105)+SUMIF(Capacity_Resource,$F197,'Critical resources (hide)'!BC$6:BC$105)&gt;0,$E$1=2),0,1)</f>
        <v>1</v>
      </c>
      <c r="AQ197" s="68">
        <f ca="1">IF(AND(SUMIF(Capacity_Resource,$D197,'Critical resources (hide)'!BD$6:BD$105)+SUMIF(Capacity_Resource,$E197,'Critical resources (hide)'!BD$6:BD$105)+SUMIF(Capacity_Resource,$F197,'Critical resources (hide)'!BD$6:BD$105)&gt;0,$E$1=2),0,1)</f>
        <v>1</v>
      </c>
      <c r="AR197" s="68">
        <f ca="1">IF(AND(SUMIF(Capacity_Resource,$D197,'Critical resources (hide)'!BE$6:BE$105)+SUMIF(Capacity_Resource,$E197,'Critical resources (hide)'!BE$6:BE$105)+SUMIF(Capacity_Resource,$F197,'Critical resources (hide)'!BE$6:BE$105)&gt;0,$E$1=2),0,1)</f>
        <v>1</v>
      </c>
      <c r="AS197" s="68">
        <f ca="1">IF(AND(SUMIF(Capacity_Resource,$D197,'Critical resources (hide)'!BF$6:BF$105)+SUMIF(Capacity_Resource,$E197,'Critical resources (hide)'!BF$6:BF$105)+SUMIF(Capacity_Resource,$F197,'Critical resources (hide)'!BF$6:BF$105)&gt;0,$E$1=2),0,1)</f>
        <v>1</v>
      </c>
      <c r="AT197" s="68">
        <f ca="1">IF(AND(SUMIF(Capacity_Resource,$D197,'Critical resources (hide)'!BG$6:BG$105)+SUMIF(Capacity_Resource,$E197,'Critical resources (hide)'!BG$6:BG$105)+SUMIF(Capacity_Resource,$F197,'Critical resources (hide)'!BG$6:BG$105)&gt;0,$E$1=2),0,1)</f>
        <v>1</v>
      </c>
      <c r="AU197" s="68">
        <f ca="1">IF(AND(SUMIF(Capacity_Resource,$D197,'Critical resources (hide)'!BH$6:BH$105)+SUMIF(Capacity_Resource,$E197,'Critical resources (hide)'!BH$6:BH$105)+SUMIF(Capacity_Resource,$F197,'Critical resources (hide)'!BH$6:BH$105)&gt;0,$E$1=2),0,1)</f>
        <v>1</v>
      </c>
      <c r="AV197" s="68">
        <f ca="1">IF(AND(SUMIF(Capacity_Resource,$D197,'Critical resources (hide)'!BI$6:BI$105)+SUMIF(Capacity_Resource,$E197,'Critical resources (hide)'!BI$6:BI$105)+SUMIF(Capacity_Resource,$F197,'Critical resources (hide)'!BI$6:BI$105)&gt;0,$E$1=2),0,1)</f>
        <v>1</v>
      </c>
      <c r="AW197" s="68">
        <f ca="1">IF(AND(SUMIF(Capacity_Resource,$D197,'Critical resources (hide)'!BJ$6:BJ$105)+SUMIF(Capacity_Resource,$E197,'Critical resources (hide)'!BJ$6:BJ$105)+SUMIF(Capacity_Resource,$F197,'Critical resources (hide)'!BJ$6:BJ$105)&gt;0,$E$1=2),0,1)</f>
        <v>1</v>
      </c>
      <c r="AX197" s="68">
        <f ca="1">IF(AND(SUMIF(Capacity_Resource,$D197,'Critical resources (hide)'!BK$6:BK$105)+SUMIF(Capacity_Resource,$E197,'Critical resources (hide)'!BK$6:BK$105)+SUMIF(Capacity_Resource,$F197,'Critical resources (hide)'!BK$6:BK$105)&gt;0,$E$1=2),0,1)</f>
        <v>1</v>
      </c>
      <c r="AY197" s="68">
        <f ca="1">IF(AND(SUMIF(Capacity_Resource,$D197,'Critical resources (hide)'!BL$6:BL$105)+SUMIF(Capacity_Resource,$E197,'Critical resources (hide)'!BL$6:BL$105)+SUMIF(Capacity_Resource,$F197,'Critical resources (hide)'!BL$6:BL$105)&gt;0,$E$1=2),0,1)</f>
        <v>1</v>
      </c>
      <c r="AZ197" s="68">
        <f ca="1">IF(AND(SUMIF(Capacity_Resource,$D197,'Critical resources (hide)'!BM$6:BM$105)+SUMIF(Capacity_Resource,$E197,'Critical resources (hide)'!BM$6:BM$105)+SUMIF(Capacity_Resource,$F197,'Critical resources (hide)'!BM$6:BM$105)&gt;0,$E$1=2),0,1)</f>
        <v>1</v>
      </c>
      <c r="BA197" s="68">
        <f ca="1">IF(AND(SUMIF(Capacity_Resource,$D197,'Critical resources (hide)'!BN$6:BN$105)+SUMIF(Capacity_Resource,$E197,'Critical resources (hide)'!BN$6:BN$105)+SUMIF(Capacity_Resource,$F197,'Critical resources (hide)'!BN$6:BN$105)&gt;0,$E$1=2),0,1)</f>
        <v>1</v>
      </c>
      <c r="BB197" s="68">
        <f ca="1">IF(AND(SUMIF(Capacity_Resource,$D197,'Critical resources (hide)'!BO$6:BO$105)+SUMIF(Capacity_Resource,$E197,'Critical resources (hide)'!BO$6:BO$105)+SUMIF(Capacity_Resource,$F197,'Critical resources (hide)'!BO$6:BO$105)&gt;0,$E$1=2),0,1)</f>
        <v>1</v>
      </c>
      <c r="BC197" s="68">
        <f ca="1">IF(AND(SUMIF(Capacity_Resource,$D197,'Critical resources (hide)'!BP$6:BP$105)+SUMIF(Capacity_Resource,$E197,'Critical resources (hide)'!BP$6:BP$105)+SUMIF(Capacity_Resource,$F197,'Critical resources (hide)'!BP$6:BP$105)&gt;0,$E$1=2),0,1)</f>
        <v>1</v>
      </c>
      <c r="BD197" s="68">
        <f ca="1">IF(AND(SUMIF(Capacity_Resource,$D197,'Critical resources (hide)'!BQ$6:BQ$105)+SUMIF(Capacity_Resource,$E197,'Critical resources (hide)'!BQ$6:BQ$105)+SUMIF(Capacity_Resource,$F197,'Critical resources (hide)'!BQ$6:BQ$105)&gt;0,$E$1=2),0,1)</f>
        <v>1</v>
      </c>
      <c r="BE197" s="68">
        <f ca="1">IF(AND(SUMIF(Capacity_Resource,$D197,'Critical resources (hide)'!BR$6:BR$105)+SUMIF(Capacity_Resource,$E197,'Critical resources (hide)'!BR$6:BR$105)+SUMIF(Capacity_Resource,$F197,'Critical resources (hide)'!BR$6:BR$105)&gt;0,$E$1=2),0,1)</f>
        <v>1</v>
      </c>
      <c r="BF197" s="68">
        <f ca="1">IF(AND(SUMIF(Capacity_Resource,$D197,'Critical resources (hide)'!BS$6:BS$105)+SUMIF(Capacity_Resource,$E197,'Critical resources (hide)'!BS$6:BS$105)+SUMIF(Capacity_Resource,$F197,'Critical resources (hide)'!BS$6:BS$105)&gt;0,$E$1=2),0,1)</f>
        <v>1</v>
      </c>
      <c r="BG197" s="68">
        <f ca="1">IF(AND(SUMIF(Capacity_Resource,$D197,'Critical resources (hide)'!BT$6:BT$105)+SUMIF(Capacity_Resource,$E197,'Critical resources (hide)'!BT$6:BT$105)+SUMIF(Capacity_Resource,$F197,'Critical resources (hide)'!BT$6:BT$105)&gt;0,$E$1=2),0,1)</f>
        <v>1</v>
      </c>
      <c r="BH197" s="68">
        <f>IF(ROW(A86)&lt;=Capacity!$M$16,IF('Capacity summary'!$C$14="No",SUM(H197:BG197),'Capacity summary'!$E109),0)</f>
        <v>0</v>
      </c>
      <c r="BI197" s="68" t="str">
        <f>IF(BH197&gt;0,IF(BH197&lt;Capacity!Q102,Capacity!R102,Capacity!T102/'Capacity calculation (hide)'!BH197),"")</f>
        <v/>
      </c>
      <c r="BJ197" s="5"/>
      <c r="BK197" s="5">
        <f>IF($BI197&lt;&gt;"",IF('Capacity summary'!$C$14="Yes",IF(COUNTBLANK('Capacity summary'!$H109:$BG109)&lt;52,IF('Capacity summary'!H109&lt;&gt;"",$BI197*H197,0),H197*$BI197),H197*$BI197),0)</f>
        <v>0</v>
      </c>
      <c r="BL197" s="5">
        <f>IF($BI197&lt;&gt;"",IF('Capacity summary'!$C$14="Yes",IF(COUNTBLANK('Capacity summary'!$H109:$BG109)&lt;52,IF('Capacity summary'!I109&lt;&gt;"",$BI197*I197,0),I197*$BI197),I197*$BI197),0)</f>
        <v>0</v>
      </c>
      <c r="BM197" s="5">
        <f>IF($BI197&lt;&gt;"",IF('Capacity summary'!$C$14="Yes",IF(COUNTBLANK('Capacity summary'!$H109:$BG109)&lt;52,IF('Capacity summary'!J109&lt;&gt;"",$BI197*J197,0),J197*$BI197),J197*$BI197),0)</f>
        <v>0</v>
      </c>
      <c r="BN197" s="5">
        <f>IF($BI197&lt;&gt;"",IF('Capacity summary'!$C$14="Yes",IF(COUNTBLANK('Capacity summary'!$H109:$BG109)&lt;52,IF('Capacity summary'!K109&lt;&gt;"",$BI197*K197,0),K197*$BI197),K197*$BI197),0)</f>
        <v>0</v>
      </c>
      <c r="BO197" s="5">
        <f>IF($BI197&lt;&gt;"",IF('Capacity summary'!$C$14="Yes",IF(COUNTBLANK('Capacity summary'!$H109:$BG109)&lt;52,IF('Capacity summary'!L109&lt;&gt;"",$BI197*L197,0),L197*$BI197),L197*$BI197),0)</f>
        <v>0</v>
      </c>
      <c r="BP197" s="5">
        <f>IF($BI197&lt;&gt;"",IF('Capacity summary'!$C$14="Yes",IF(COUNTBLANK('Capacity summary'!$H109:$BG109)&lt;52,IF('Capacity summary'!M109&lt;&gt;"",$BI197*M197,0),M197*$BI197),M197*$BI197),0)</f>
        <v>0</v>
      </c>
      <c r="BQ197" s="5">
        <f>IF($BI197&lt;&gt;"",IF('Capacity summary'!$C$14="Yes",IF(COUNTBLANK('Capacity summary'!$H109:$BG109)&lt;52,IF('Capacity summary'!N109&lt;&gt;"",$BI197*N197,0),N197*$BI197),N197*$BI197),0)</f>
        <v>0</v>
      </c>
      <c r="BR197" s="5">
        <f>IF($BI197&lt;&gt;"",IF('Capacity summary'!$C$14="Yes",IF(COUNTBLANK('Capacity summary'!$H109:$BG109)&lt;52,IF('Capacity summary'!O109&lt;&gt;"",$BI197*O197,0),O197*$BI197),O197*$BI197),0)</f>
        <v>0</v>
      </c>
      <c r="BS197" s="5">
        <f>IF($BI197&lt;&gt;"",IF('Capacity summary'!$C$14="Yes",IF(COUNTBLANK('Capacity summary'!$H109:$BG109)&lt;52,IF('Capacity summary'!P109&lt;&gt;"",$BI197*P197,0),P197*$BI197),P197*$BI197),0)</f>
        <v>0</v>
      </c>
      <c r="BT197" s="5">
        <f>IF($BI197&lt;&gt;"",IF('Capacity summary'!$C$14="Yes",IF(COUNTBLANK('Capacity summary'!$H109:$BG109)&lt;52,IF('Capacity summary'!Q109&lt;&gt;"",$BI197*Q197,0),Q197*$BI197),Q197*$BI197),0)</f>
        <v>0</v>
      </c>
      <c r="BU197" s="5">
        <f>IF($BI197&lt;&gt;"",IF('Capacity summary'!$C$14="Yes",IF(COUNTBLANK('Capacity summary'!$H109:$BG109)&lt;52,IF('Capacity summary'!R109&lt;&gt;"",$BI197*R197,0),R197*$BI197),R197*$BI197),0)</f>
        <v>0</v>
      </c>
      <c r="BV197" s="5">
        <f>IF($BI197&lt;&gt;"",IF('Capacity summary'!$C$14="Yes",IF(COUNTBLANK('Capacity summary'!$H109:$BG109)&lt;52,IF('Capacity summary'!S109&lt;&gt;"",$BI197*S197,0),S197*$BI197),S197*$BI197),0)</f>
        <v>0</v>
      </c>
      <c r="BW197" s="5">
        <f>IF($BI197&lt;&gt;"",IF('Capacity summary'!$C$14="Yes",IF(COUNTBLANK('Capacity summary'!$H109:$BG109)&lt;52,IF('Capacity summary'!T109&lt;&gt;"",$BI197*T197,0),T197*$BI197),T197*$BI197),0)</f>
        <v>0</v>
      </c>
      <c r="BX197" s="5">
        <f>IF($BI197&lt;&gt;"",IF('Capacity summary'!$C$14="Yes",IF(COUNTBLANK('Capacity summary'!$H109:$BG109)&lt;52,IF('Capacity summary'!U109&lt;&gt;"",$BI197*U197,0),U197*$BI197),U197*$BI197),0)</f>
        <v>0</v>
      </c>
      <c r="BY197" s="5">
        <f>IF($BI197&lt;&gt;"",IF('Capacity summary'!$C$14="Yes",IF(COUNTBLANK('Capacity summary'!$H109:$BG109)&lt;52,IF('Capacity summary'!V109&lt;&gt;"",$BI197*V197,0),V197*$BI197),V197*$BI197),0)</f>
        <v>0</v>
      </c>
      <c r="BZ197" s="5">
        <f>IF($BI197&lt;&gt;"",IF('Capacity summary'!$C$14="Yes",IF(COUNTBLANK('Capacity summary'!$H109:$BG109)&lt;52,IF('Capacity summary'!W109&lt;&gt;"",$BI197*W197,0),W197*$BI197),W197*$BI197),0)</f>
        <v>0</v>
      </c>
      <c r="CA197" s="5">
        <f>IF($BI197&lt;&gt;"",IF('Capacity summary'!$C$14="Yes",IF(COUNTBLANK('Capacity summary'!$H109:$BG109)&lt;52,IF('Capacity summary'!X109&lt;&gt;"",$BI197*X197,0),X197*$BI197),X197*$BI197),0)</f>
        <v>0</v>
      </c>
      <c r="CB197" s="5">
        <f>IF($BI197&lt;&gt;"",IF('Capacity summary'!$C$14="Yes",IF(COUNTBLANK('Capacity summary'!$H109:$BG109)&lt;52,IF('Capacity summary'!Y109&lt;&gt;"",$BI197*Y197,0),Y197*$BI197),Y197*$BI197),0)</f>
        <v>0</v>
      </c>
      <c r="CC197" s="5">
        <f>IF($BI197&lt;&gt;"",IF('Capacity summary'!$C$14="Yes",IF(COUNTBLANK('Capacity summary'!$H109:$BG109)&lt;52,IF('Capacity summary'!Z109&lt;&gt;"",$BI197*Z197,0),Z197*$BI197),Z197*$BI197),0)</f>
        <v>0</v>
      </c>
      <c r="CD197" s="5">
        <f>IF($BI197&lt;&gt;"",IF('Capacity summary'!$C$14="Yes",IF(COUNTBLANK('Capacity summary'!$H109:$BG109)&lt;52,IF('Capacity summary'!AA109&lt;&gt;"",$BI197*AA197,0),AA197*$BI197),AA197*$BI197),0)</f>
        <v>0</v>
      </c>
      <c r="CE197" s="5">
        <f>IF($BI197&lt;&gt;"",IF('Capacity summary'!$C$14="Yes",IF(COUNTBLANK('Capacity summary'!$H109:$BG109)&lt;52,IF('Capacity summary'!AB109&lt;&gt;"",$BI197*AB197,0),AB197*$BI197),AB197*$BI197),0)</f>
        <v>0</v>
      </c>
      <c r="CF197" s="5">
        <f>IF($BI197&lt;&gt;"",IF('Capacity summary'!$C$14="Yes",IF(COUNTBLANK('Capacity summary'!$H109:$BG109)&lt;52,IF('Capacity summary'!AC109&lt;&gt;"",$BI197*AC197,0),AC197*$BI197),AC197*$BI197),0)</f>
        <v>0</v>
      </c>
      <c r="CG197" s="5">
        <f>IF($BI197&lt;&gt;"",IF('Capacity summary'!$C$14="Yes",IF(COUNTBLANK('Capacity summary'!$H109:$BG109)&lt;52,IF('Capacity summary'!AD109&lt;&gt;"",$BI197*AD197,0),AD197*$BI197),AD197*$BI197),0)</f>
        <v>0</v>
      </c>
      <c r="CH197" s="5">
        <f>IF($BI197&lt;&gt;"",IF('Capacity summary'!$C$14="Yes",IF(COUNTBLANK('Capacity summary'!$H109:$BG109)&lt;52,IF('Capacity summary'!AE109&lt;&gt;"",$BI197*AE197,0),AE197*$BI197),AE197*$BI197),0)</f>
        <v>0</v>
      </c>
      <c r="CI197" s="5">
        <f>IF($BI197&lt;&gt;"",IF('Capacity summary'!$C$14="Yes",IF(COUNTBLANK('Capacity summary'!$H109:$BG109)&lt;52,IF('Capacity summary'!AF109&lt;&gt;"",$BI197*AF197,0),AF197*$BI197),AF197*$BI197),0)</f>
        <v>0</v>
      </c>
      <c r="CJ197" s="5">
        <f>IF($BI197&lt;&gt;"",IF('Capacity summary'!$C$14="Yes",IF(COUNTBLANK('Capacity summary'!$H109:$BG109)&lt;52,IF('Capacity summary'!AG109&lt;&gt;"",$BI197*AG197,0),AG197*$BI197),AG197*$BI197),0)</f>
        <v>0</v>
      </c>
      <c r="CK197" s="5">
        <f>IF($BI197&lt;&gt;"",IF('Capacity summary'!$C$14="Yes",IF(COUNTBLANK('Capacity summary'!$H109:$BG109)&lt;52,IF('Capacity summary'!AH109&lt;&gt;"",$BI197*AH197,0),AH197*$BI197),AH197*$BI197),0)</f>
        <v>0</v>
      </c>
      <c r="CL197" s="5">
        <f>IF($BI197&lt;&gt;"",IF('Capacity summary'!$C$14="Yes",IF(COUNTBLANK('Capacity summary'!$H109:$BG109)&lt;52,IF('Capacity summary'!AI109&lt;&gt;"",$BI197*AI197,0),AI197*$BI197),AI197*$BI197),0)</f>
        <v>0</v>
      </c>
      <c r="CM197" s="5">
        <f>IF($BI197&lt;&gt;"",IF('Capacity summary'!$C$14="Yes",IF(COUNTBLANK('Capacity summary'!$H109:$BG109)&lt;52,IF('Capacity summary'!AJ109&lt;&gt;"",$BI197*AJ197,0),AJ197*$BI197),AJ197*$BI197),0)</f>
        <v>0</v>
      </c>
      <c r="CN197" s="5">
        <f>IF($BI197&lt;&gt;"",IF('Capacity summary'!$C$14="Yes",IF(COUNTBLANK('Capacity summary'!$H109:$BG109)&lt;52,IF('Capacity summary'!AK109&lt;&gt;"",$BI197*AK197,0),AK197*$BI197),AK197*$BI197),0)</f>
        <v>0</v>
      </c>
      <c r="CO197" s="5">
        <f>IF($BI197&lt;&gt;"",IF('Capacity summary'!$C$14="Yes",IF(COUNTBLANK('Capacity summary'!$H109:$BG109)&lt;52,IF('Capacity summary'!AL109&lt;&gt;"",$BI197*AL197,0),AL197*$BI197),AL197*$BI197),0)</f>
        <v>0</v>
      </c>
      <c r="CP197" s="5">
        <f>IF($BI197&lt;&gt;"",IF('Capacity summary'!$C$14="Yes",IF(COUNTBLANK('Capacity summary'!$H109:$BG109)&lt;52,IF('Capacity summary'!AM109&lt;&gt;"",$BI197*AM197,0),AM197*$BI197),AM197*$BI197),0)</f>
        <v>0</v>
      </c>
      <c r="CQ197" s="5">
        <f>IF($BI197&lt;&gt;"",IF('Capacity summary'!$C$14="Yes",IF(COUNTBLANK('Capacity summary'!$H109:$BG109)&lt;52,IF('Capacity summary'!AN109&lt;&gt;"",$BI197*AN197,0),AN197*$BI197),AN197*$BI197),0)</f>
        <v>0</v>
      </c>
      <c r="CR197" s="5">
        <f>IF($BI197&lt;&gt;"",IF('Capacity summary'!$C$14="Yes",IF(COUNTBLANK('Capacity summary'!$H109:$BG109)&lt;52,IF('Capacity summary'!AO109&lt;&gt;"",$BI197*AO197,0),AO197*$BI197),AO197*$BI197),0)</f>
        <v>0</v>
      </c>
      <c r="CS197" s="5">
        <f>IF($BI197&lt;&gt;"",IF('Capacity summary'!$C$14="Yes",IF(COUNTBLANK('Capacity summary'!$H109:$BG109)&lt;52,IF('Capacity summary'!AP109&lt;&gt;"",$BI197*AP197,0),AP197*$BI197),AP197*$BI197),0)</f>
        <v>0</v>
      </c>
      <c r="CT197" s="5">
        <f>IF($BI197&lt;&gt;"",IF('Capacity summary'!$C$14="Yes",IF(COUNTBLANK('Capacity summary'!$H109:$BG109)&lt;52,IF('Capacity summary'!AQ109&lt;&gt;"",$BI197*AQ197,0),AQ197*$BI197),AQ197*$BI197),0)</f>
        <v>0</v>
      </c>
      <c r="CU197" s="5">
        <f>IF($BI197&lt;&gt;"",IF('Capacity summary'!$C$14="Yes",IF(COUNTBLANK('Capacity summary'!$H109:$BG109)&lt;52,IF('Capacity summary'!AR109&lt;&gt;"",$BI197*AR197,0),AR197*$BI197),AR197*$BI197),0)</f>
        <v>0</v>
      </c>
      <c r="CV197" s="5">
        <f>IF($BI197&lt;&gt;"",IF('Capacity summary'!$C$14="Yes",IF(COUNTBLANK('Capacity summary'!$H109:$BG109)&lt;52,IF('Capacity summary'!AS109&lt;&gt;"",$BI197*AS197,0),AS197*$BI197),AS197*$BI197),0)</f>
        <v>0</v>
      </c>
      <c r="CW197" s="5">
        <f>IF($BI197&lt;&gt;"",IF('Capacity summary'!$C$14="Yes",IF(COUNTBLANK('Capacity summary'!$H109:$BG109)&lt;52,IF('Capacity summary'!AT109&lt;&gt;"",$BI197*AT197,0),AT197*$BI197),AT197*$BI197),0)</f>
        <v>0</v>
      </c>
      <c r="CX197" s="5">
        <f>IF($BI197&lt;&gt;"",IF('Capacity summary'!$C$14="Yes",IF(COUNTBLANK('Capacity summary'!$H109:$BG109)&lt;52,IF('Capacity summary'!AU109&lt;&gt;"",$BI197*AU197,0),AU197*$BI197),AU197*$BI197),0)</f>
        <v>0</v>
      </c>
      <c r="CY197" s="5">
        <f>IF($BI197&lt;&gt;"",IF('Capacity summary'!$C$14="Yes",IF(COUNTBLANK('Capacity summary'!$H109:$BG109)&lt;52,IF('Capacity summary'!AV109&lt;&gt;"",$BI197*AV197,0),AV197*$BI197),AV197*$BI197),0)</f>
        <v>0</v>
      </c>
      <c r="CZ197" s="5">
        <f>IF($BI197&lt;&gt;"",IF('Capacity summary'!$C$14="Yes",IF(COUNTBLANK('Capacity summary'!$H109:$BG109)&lt;52,IF('Capacity summary'!AW109&lt;&gt;"",$BI197*AW197,0),AW197*$BI197),AW197*$BI197),0)</f>
        <v>0</v>
      </c>
      <c r="DA197" s="5">
        <f>IF($BI197&lt;&gt;"",IF('Capacity summary'!$C$14="Yes",IF(COUNTBLANK('Capacity summary'!$H109:$BG109)&lt;52,IF('Capacity summary'!AX109&lt;&gt;"",$BI197*AX197,0),AX197*$BI197),AX197*$BI197),0)</f>
        <v>0</v>
      </c>
      <c r="DB197" s="5">
        <f>IF($BI197&lt;&gt;"",IF('Capacity summary'!$C$14="Yes",IF(COUNTBLANK('Capacity summary'!$H109:$BG109)&lt;52,IF('Capacity summary'!AY109&lt;&gt;"",$BI197*AY197,0),AY197*$BI197),AY197*$BI197),0)</f>
        <v>0</v>
      </c>
      <c r="DC197" s="5">
        <f>IF($BI197&lt;&gt;"",IF('Capacity summary'!$C$14="Yes",IF(COUNTBLANK('Capacity summary'!$H109:$BG109)&lt;52,IF('Capacity summary'!AZ109&lt;&gt;"",$BI197*AZ197,0),AZ197*$BI197),AZ197*$BI197),0)</f>
        <v>0</v>
      </c>
      <c r="DD197" s="5">
        <f>IF($BI197&lt;&gt;"",IF('Capacity summary'!$C$14="Yes",IF(COUNTBLANK('Capacity summary'!$H109:$BG109)&lt;52,IF('Capacity summary'!BA109&lt;&gt;"",$BI197*BA197,0),BA197*$BI197),BA197*$BI197),0)</f>
        <v>0</v>
      </c>
      <c r="DE197" s="5">
        <f>IF($BI197&lt;&gt;"",IF('Capacity summary'!$C$14="Yes",IF(COUNTBLANK('Capacity summary'!$H109:$BG109)&lt;52,IF('Capacity summary'!BB109&lt;&gt;"",$BI197*BB197,0),BB197*$BI197),BB197*$BI197),0)</f>
        <v>0</v>
      </c>
      <c r="DF197" s="5">
        <f>IF($BI197&lt;&gt;"",IF('Capacity summary'!$C$14="Yes",IF(COUNTBLANK('Capacity summary'!$H109:$BG109)&lt;52,IF('Capacity summary'!BC109&lt;&gt;"",$BI197*BC197,0),BC197*$BI197),BC197*$BI197),0)</f>
        <v>0</v>
      </c>
      <c r="DG197" s="5">
        <f>IF($BI197&lt;&gt;"",IF('Capacity summary'!$C$14="Yes",IF(COUNTBLANK('Capacity summary'!$H109:$BG109)&lt;52,IF('Capacity summary'!BD109&lt;&gt;"",$BI197*BD197,0),BD197*$BI197),BD197*$BI197),0)</f>
        <v>0</v>
      </c>
      <c r="DH197" s="5">
        <f>IF($BI197&lt;&gt;"",IF('Capacity summary'!$C$14="Yes",IF(COUNTBLANK('Capacity summary'!$H109:$BG109)&lt;52,IF('Capacity summary'!BE109&lt;&gt;"",$BI197*BE197,0),BE197*$BI197),BE197*$BI197),0)</f>
        <v>0</v>
      </c>
      <c r="DI197" s="5">
        <f>IF($BI197&lt;&gt;"",IF('Capacity summary'!$C$14="Yes",IF(COUNTBLANK('Capacity summary'!$H109:$BG109)&lt;52,IF('Capacity summary'!BF109&lt;&gt;"",$BI197*BF197,0),BF197*$BI197),BF197*$BI197),0)</f>
        <v>0</v>
      </c>
      <c r="DJ197" s="5">
        <f>IF($BI197&lt;&gt;"",IF('Capacity summary'!$C$14="Yes",IF(COUNTBLANK('Capacity summary'!$H109:$BG109)&lt;52,IF('Capacity summary'!BG109&lt;&gt;"",$BI197*BG197,0),BG197*$BI197),BG197*$BI197),0)</f>
        <v>0</v>
      </c>
      <c r="DK197" s="138">
        <f t="shared" si="7"/>
        <v>0</v>
      </c>
    </row>
    <row r="198" spans="3:115" x14ac:dyDescent="0.2">
      <c r="C198" s="68" t="str">
        <f>ROW(A87)&amp;". "&amp;Capacity!N103</f>
        <v xml:space="preserve">87. </v>
      </c>
      <c r="D198" s="68">
        <f>'Capacity setup'!C204</f>
        <v>0</v>
      </c>
      <c r="E198" s="68">
        <f>'Capacity setup'!D204</f>
        <v>0</v>
      </c>
      <c r="F198" s="68">
        <f>'Capacity setup'!E204</f>
        <v>0</v>
      </c>
      <c r="H198" s="68">
        <f ca="1">IF(AND(SUMIF(Capacity_Resource,$D198,'Critical resources (hide)'!U$6:U$105)+SUMIF(Capacity_Resource,$E198,'Critical resources (hide)'!U$6:U$105)+SUMIF(Capacity_Resource,$F198,'Critical resources (hide)'!U$6:U$105)&gt;0,$E$1=2),0,1)</f>
        <v>1</v>
      </c>
      <c r="I198" s="68">
        <f ca="1">IF(AND(SUMIF(Capacity_Resource,$D198,'Critical resources (hide)'!V$6:V$105)+SUMIF(Capacity_Resource,$E198,'Critical resources (hide)'!V$6:V$105)+SUMIF(Capacity_Resource,$F198,'Critical resources (hide)'!V$6:V$105)&gt;0,$E$1=2),0,1)</f>
        <v>1</v>
      </c>
      <c r="J198" s="68">
        <f ca="1">IF(AND(SUMIF(Capacity_Resource,$D198,'Critical resources (hide)'!W$6:W$105)+SUMIF(Capacity_Resource,$E198,'Critical resources (hide)'!W$6:W$105)+SUMIF(Capacity_Resource,$F198,'Critical resources (hide)'!W$6:W$105)&gt;0,$E$1=2),0,1)</f>
        <v>1</v>
      </c>
      <c r="K198" s="68">
        <f ca="1">IF(AND(SUMIF(Capacity_Resource,$D198,'Critical resources (hide)'!X$6:X$105)+SUMIF(Capacity_Resource,$E198,'Critical resources (hide)'!X$6:X$105)+SUMIF(Capacity_Resource,$F198,'Critical resources (hide)'!X$6:X$105)&gt;0,$E$1=2),0,1)</f>
        <v>1</v>
      </c>
      <c r="L198" s="68">
        <f ca="1">IF(AND(SUMIF(Capacity_Resource,$D198,'Critical resources (hide)'!Y$6:Y$105)+SUMIF(Capacity_Resource,$E198,'Critical resources (hide)'!Y$6:Y$105)+SUMIF(Capacity_Resource,$F198,'Critical resources (hide)'!Y$6:Y$105)&gt;0,$E$1=2),0,1)</f>
        <v>1</v>
      </c>
      <c r="M198" s="68">
        <f ca="1">IF(AND(SUMIF(Capacity_Resource,$D198,'Critical resources (hide)'!Z$6:Z$105)+SUMIF(Capacity_Resource,$E198,'Critical resources (hide)'!Z$6:Z$105)+SUMIF(Capacity_Resource,$F198,'Critical resources (hide)'!Z$6:Z$105)&gt;0,$E$1=2),0,1)</f>
        <v>1</v>
      </c>
      <c r="N198" s="68">
        <f ca="1">IF(AND(SUMIF(Capacity_Resource,$D198,'Critical resources (hide)'!AA$6:AA$105)+SUMIF(Capacity_Resource,$E198,'Critical resources (hide)'!AA$6:AA$105)+SUMIF(Capacity_Resource,$F198,'Critical resources (hide)'!AA$6:AA$105)&gt;0,$E$1=2),0,1)</f>
        <v>1</v>
      </c>
      <c r="O198" s="68">
        <f ca="1">IF(AND(SUMIF(Capacity_Resource,$D198,'Critical resources (hide)'!AB$6:AB$105)+SUMIF(Capacity_Resource,$E198,'Critical resources (hide)'!AB$6:AB$105)+SUMIF(Capacity_Resource,$F198,'Critical resources (hide)'!AB$6:AB$105)&gt;0,$E$1=2),0,1)</f>
        <v>1</v>
      </c>
      <c r="P198" s="68">
        <f ca="1">IF(AND(SUMIF(Capacity_Resource,$D198,'Critical resources (hide)'!AC$6:AC$105)+SUMIF(Capacity_Resource,$E198,'Critical resources (hide)'!AC$6:AC$105)+SUMIF(Capacity_Resource,$F198,'Critical resources (hide)'!AC$6:AC$105)&gt;0,$E$1=2),0,1)</f>
        <v>1</v>
      </c>
      <c r="Q198" s="68">
        <f ca="1">IF(AND(SUMIF(Capacity_Resource,$D198,'Critical resources (hide)'!AD$6:AD$105)+SUMIF(Capacity_Resource,$E198,'Critical resources (hide)'!AD$6:AD$105)+SUMIF(Capacity_Resource,$F198,'Critical resources (hide)'!AD$6:AD$105)&gt;0,$E$1=2),0,1)</f>
        <v>1</v>
      </c>
      <c r="R198" s="68">
        <f ca="1">IF(AND(SUMIF(Capacity_Resource,$D198,'Critical resources (hide)'!AE$6:AE$105)+SUMIF(Capacity_Resource,$E198,'Critical resources (hide)'!AE$6:AE$105)+SUMIF(Capacity_Resource,$F198,'Critical resources (hide)'!AE$6:AE$105)&gt;0,$E$1=2),0,1)</f>
        <v>1</v>
      </c>
      <c r="S198" s="68">
        <f ca="1">IF(AND(SUMIF(Capacity_Resource,$D198,'Critical resources (hide)'!AF$6:AF$105)+SUMIF(Capacity_Resource,$E198,'Critical resources (hide)'!AF$6:AF$105)+SUMIF(Capacity_Resource,$F198,'Critical resources (hide)'!AF$6:AF$105)&gt;0,$E$1=2),0,1)</f>
        <v>1</v>
      </c>
      <c r="T198" s="68">
        <f ca="1">IF(AND(SUMIF(Capacity_Resource,$D198,'Critical resources (hide)'!AG$6:AG$105)+SUMIF(Capacity_Resource,$E198,'Critical resources (hide)'!AG$6:AG$105)+SUMIF(Capacity_Resource,$F198,'Critical resources (hide)'!AG$6:AG$105)&gt;0,$E$1=2),0,1)</f>
        <v>1</v>
      </c>
      <c r="U198" s="68">
        <f ca="1">IF(AND(SUMIF(Capacity_Resource,$D198,'Critical resources (hide)'!AH$6:AH$105)+SUMIF(Capacity_Resource,$E198,'Critical resources (hide)'!AH$6:AH$105)+SUMIF(Capacity_Resource,$F198,'Critical resources (hide)'!AH$6:AH$105)&gt;0,$E$1=2),0,1)</f>
        <v>1</v>
      </c>
      <c r="V198" s="68">
        <f ca="1">IF(AND(SUMIF(Capacity_Resource,$D198,'Critical resources (hide)'!AI$6:AI$105)+SUMIF(Capacity_Resource,$E198,'Critical resources (hide)'!AI$6:AI$105)+SUMIF(Capacity_Resource,$F198,'Critical resources (hide)'!AI$6:AI$105)&gt;0,$E$1=2),0,1)</f>
        <v>1</v>
      </c>
      <c r="W198" s="68">
        <f ca="1">IF(AND(SUMIF(Capacity_Resource,$D198,'Critical resources (hide)'!AJ$6:AJ$105)+SUMIF(Capacity_Resource,$E198,'Critical resources (hide)'!AJ$6:AJ$105)+SUMIF(Capacity_Resource,$F198,'Critical resources (hide)'!AJ$6:AJ$105)&gt;0,$E$1=2),0,1)</f>
        <v>1</v>
      </c>
      <c r="X198" s="68">
        <f ca="1">IF(AND(SUMIF(Capacity_Resource,$D198,'Critical resources (hide)'!AK$6:AK$105)+SUMIF(Capacity_Resource,$E198,'Critical resources (hide)'!AK$6:AK$105)+SUMIF(Capacity_Resource,$F198,'Critical resources (hide)'!AK$6:AK$105)&gt;0,$E$1=2),0,1)</f>
        <v>1</v>
      </c>
      <c r="Y198" s="68">
        <f ca="1">IF(AND(SUMIF(Capacity_Resource,$D198,'Critical resources (hide)'!AL$6:AL$105)+SUMIF(Capacity_Resource,$E198,'Critical resources (hide)'!AL$6:AL$105)+SUMIF(Capacity_Resource,$F198,'Critical resources (hide)'!AL$6:AL$105)&gt;0,$E$1=2),0,1)</f>
        <v>1</v>
      </c>
      <c r="Z198" s="68">
        <f ca="1">IF(AND(SUMIF(Capacity_Resource,$D198,'Critical resources (hide)'!AM$6:AM$105)+SUMIF(Capacity_Resource,$E198,'Critical resources (hide)'!AM$6:AM$105)+SUMIF(Capacity_Resource,$F198,'Critical resources (hide)'!AM$6:AM$105)&gt;0,$E$1=2),0,1)</f>
        <v>1</v>
      </c>
      <c r="AA198" s="68">
        <f ca="1">IF(AND(SUMIF(Capacity_Resource,$D198,'Critical resources (hide)'!AN$6:AN$105)+SUMIF(Capacity_Resource,$E198,'Critical resources (hide)'!AN$6:AN$105)+SUMIF(Capacity_Resource,$F198,'Critical resources (hide)'!AN$6:AN$105)&gt;0,$E$1=2),0,1)</f>
        <v>1</v>
      </c>
      <c r="AB198" s="68">
        <f ca="1">IF(AND(SUMIF(Capacity_Resource,$D198,'Critical resources (hide)'!AO$6:AO$105)+SUMIF(Capacity_Resource,$E198,'Critical resources (hide)'!AO$6:AO$105)+SUMIF(Capacity_Resource,$F198,'Critical resources (hide)'!AO$6:AO$105)&gt;0,$E$1=2),0,1)</f>
        <v>1</v>
      </c>
      <c r="AC198" s="68">
        <f ca="1">IF(AND(SUMIF(Capacity_Resource,$D198,'Critical resources (hide)'!AP$6:AP$105)+SUMIF(Capacity_Resource,$E198,'Critical resources (hide)'!AP$6:AP$105)+SUMIF(Capacity_Resource,$F198,'Critical resources (hide)'!AP$6:AP$105)&gt;0,$E$1=2),0,1)</f>
        <v>1</v>
      </c>
      <c r="AD198" s="68">
        <f ca="1">IF(AND(SUMIF(Capacity_Resource,$D198,'Critical resources (hide)'!AQ$6:AQ$105)+SUMIF(Capacity_Resource,$E198,'Critical resources (hide)'!AQ$6:AQ$105)+SUMIF(Capacity_Resource,$F198,'Critical resources (hide)'!AQ$6:AQ$105)&gt;0,$E$1=2),0,1)</f>
        <v>1</v>
      </c>
      <c r="AE198" s="68">
        <f ca="1">IF(AND(SUMIF(Capacity_Resource,$D198,'Critical resources (hide)'!AR$6:AR$105)+SUMIF(Capacity_Resource,$E198,'Critical resources (hide)'!AR$6:AR$105)+SUMIF(Capacity_Resource,$F198,'Critical resources (hide)'!AR$6:AR$105)&gt;0,$E$1=2),0,1)</f>
        <v>1</v>
      </c>
      <c r="AF198" s="68">
        <f ca="1">IF(AND(SUMIF(Capacity_Resource,$D198,'Critical resources (hide)'!AS$6:AS$105)+SUMIF(Capacity_Resource,$E198,'Critical resources (hide)'!AS$6:AS$105)+SUMIF(Capacity_Resource,$F198,'Critical resources (hide)'!AS$6:AS$105)&gt;0,$E$1=2),0,1)</f>
        <v>1</v>
      </c>
      <c r="AG198" s="68">
        <f ca="1">IF(AND(SUMIF(Capacity_Resource,$D198,'Critical resources (hide)'!AT$6:AT$105)+SUMIF(Capacity_Resource,$E198,'Critical resources (hide)'!AT$6:AT$105)+SUMIF(Capacity_Resource,$F198,'Critical resources (hide)'!AT$6:AT$105)&gt;0,$E$1=2),0,1)</f>
        <v>1</v>
      </c>
      <c r="AH198" s="68">
        <f ca="1">IF(AND(SUMIF(Capacity_Resource,$D198,'Critical resources (hide)'!AU$6:AU$105)+SUMIF(Capacity_Resource,$E198,'Critical resources (hide)'!AU$6:AU$105)+SUMIF(Capacity_Resource,$F198,'Critical resources (hide)'!AU$6:AU$105)&gt;0,$E$1=2),0,1)</f>
        <v>1</v>
      </c>
      <c r="AI198" s="68">
        <f ca="1">IF(AND(SUMIF(Capacity_Resource,$D198,'Critical resources (hide)'!AV$6:AV$105)+SUMIF(Capacity_Resource,$E198,'Critical resources (hide)'!AV$6:AV$105)+SUMIF(Capacity_Resource,$F198,'Critical resources (hide)'!AV$6:AV$105)&gt;0,$E$1=2),0,1)</f>
        <v>1</v>
      </c>
      <c r="AJ198" s="68">
        <f ca="1">IF(AND(SUMIF(Capacity_Resource,$D198,'Critical resources (hide)'!AW$6:AW$105)+SUMIF(Capacity_Resource,$E198,'Critical resources (hide)'!AW$6:AW$105)+SUMIF(Capacity_Resource,$F198,'Critical resources (hide)'!AW$6:AW$105)&gt;0,$E$1=2),0,1)</f>
        <v>1</v>
      </c>
      <c r="AK198" s="68">
        <f ca="1">IF(AND(SUMIF(Capacity_Resource,$D198,'Critical resources (hide)'!AX$6:AX$105)+SUMIF(Capacity_Resource,$E198,'Critical resources (hide)'!AX$6:AX$105)+SUMIF(Capacity_Resource,$F198,'Critical resources (hide)'!AX$6:AX$105)&gt;0,$E$1=2),0,1)</f>
        <v>1</v>
      </c>
      <c r="AL198" s="68">
        <f ca="1">IF(AND(SUMIF(Capacity_Resource,$D198,'Critical resources (hide)'!AY$6:AY$105)+SUMIF(Capacity_Resource,$E198,'Critical resources (hide)'!AY$6:AY$105)+SUMIF(Capacity_Resource,$F198,'Critical resources (hide)'!AY$6:AY$105)&gt;0,$E$1=2),0,1)</f>
        <v>1</v>
      </c>
      <c r="AM198" s="68">
        <f ca="1">IF(AND(SUMIF(Capacity_Resource,$D198,'Critical resources (hide)'!AZ$6:AZ$105)+SUMIF(Capacity_Resource,$E198,'Critical resources (hide)'!AZ$6:AZ$105)+SUMIF(Capacity_Resource,$F198,'Critical resources (hide)'!AZ$6:AZ$105)&gt;0,$E$1=2),0,1)</f>
        <v>1</v>
      </c>
      <c r="AN198" s="68">
        <f ca="1">IF(AND(SUMIF(Capacity_Resource,$D198,'Critical resources (hide)'!BA$6:BA$105)+SUMIF(Capacity_Resource,$E198,'Critical resources (hide)'!BA$6:BA$105)+SUMIF(Capacity_Resource,$F198,'Critical resources (hide)'!BA$6:BA$105)&gt;0,$E$1=2),0,1)</f>
        <v>1</v>
      </c>
      <c r="AO198" s="68">
        <f ca="1">IF(AND(SUMIF(Capacity_Resource,$D198,'Critical resources (hide)'!BB$6:BB$105)+SUMIF(Capacity_Resource,$E198,'Critical resources (hide)'!BB$6:BB$105)+SUMIF(Capacity_Resource,$F198,'Critical resources (hide)'!BB$6:BB$105)&gt;0,$E$1=2),0,1)</f>
        <v>1</v>
      </c>
      <c r="AP198" s="68">
        <f ca="1">IF(AND(SUMIF(Capacity_Resource,$D198,'Critical resources (hide)'!BC$6:BC$105)+SUMIF(Capacity_Resource,$E198,'Critical resources (hide)'!BC$6:BC$105)+SUMIF(Capacity_Resource,$F198,'Critical resources (hide)'!BC$6:BC$105)&gt;0,$E$1=2),0,1)</f>
        <v>1</v>
      </c>
      <c r="AQ198" s="68">
        <f ca="1">IF(AND(SUMIF(Capacity_Resource,$D198,'Critical resources (hide)'!BD$6:BD$105)+SUMIF(Capacity_Resource,$E198,'Critical resources (hide)'!BD$6:BD$105)+SUMIF(Capacity_Resource,$F198,'Critical resources (hide)'!BD$6:BD$105)&gt;0,$E$1=2),0,1)</f>
        <v>1</v>
      </c>
      <c r="AR198" s="68">
        <f ca="1">IF(AND(SUMIF(Capacity_Resource,$D198,'Critical resources (hide)'!BE$6:BE$105)+SUMIF(Capacity_Resource,$E198,'Critical resources (hide)'!BE$6:BE$105)+SUMIF(Capacity_Resource,$F198,'Critical resources (hide)'!BE$6:BE$105)&gt;0,$E$1=2),0,1)</f>
        <v>1</v>
      </c>
      <c r="AS198" s="68">
        <f ca="1">IF(AND(SUMIF(Capacity_Resource,$D198,'Critical resources (hide)'!BF$6:BF$105)+SUMIF(Capacity_Resource,$E198,'Critical resources (hide)'!BF$6:BF$105)+SUMIF(Capacity_Resource,$F198,'Critical resources (hide)'!BF$6:BF$105)&gt;0,$E$1=2),0,1)</f>
        <v>1</v>
      </c>
      <c r="AT198" s="68">
        <f ca="1">IF(AND(SUMIF(Capacity_Resource,$D198,'Critical resources (hide)'!BG$6:BG$105)+SUMIF(Capacity_Resource,$E198,'Critical resources (hide)'!BG$6:BG$105)+SUMIF(Capacity_Resource,$F198,'Critical resources (hide)'!BG$6:BG$105)&gt;0,$E$1=2),0,1)</f>
        <v>1</v>
      </c>
      <c r="AU198" s="68">
        <f ca="1">IF(AND(SUMIF(Capacity_Resource,$D198,'Critical resources (hide)'!BH$6:BH$105)+SUMIF(Capacity_Resource,$E198,'Critical resources (hide)'!BH$6:BH$105)+SUMIF(Capacity_Resource,$F198,'Critical resources (hide)'!BH$6:BH$105)&gt;0,$E$1=2),0,1)</f>
        <v>1</v>
      </c>
      <c r="AV198" s="68">
        <f ca="1">IF(AND(SUMIF(Capacity_Resource,$D198,'Critical resources (hide)'!BI$6:BI$105)+SUMIF(Capacity_Resource,$E198,'Critical resources (hide)'!BI$6:BI$105)+SUMIF(Capacity_Resource,$F198,'Critical resources (hide)'!BI$6:BI$105)&gt;0,$E$1=2),0,1)</f>
        <v>1</v>
      </c>
      <c r="AW198" s="68">
        <f ca="1">IF(AND(SUMIF(Capacity_Resource,$D198,'Critical resources (hide)'!BJ$6:BJ$105)+SUMIF(Capacity_Resource,$E198,'Critical resources (hide)'!BJ$6:BJ$105)+SUMIF(Capacity_Resource,$F198,'Critical resources (hide)'!BJ$6:BJ$105)&gt;0,$E$1=2),0,1)</f>
        <v>1</v>
      </c>
      <c r="AX198" s="68">
        <f ca="1">IF(AND(SUMIF(Capacity_Resource,$D198,'Critical resources (hide)'!BK$6:BK$105)+SUMIF(Capacity_Resource,$E198,'Critical resources (hide)'!BK$6:BK$105)+SUMIF(Capacity_Resource,$F198,'Critical resources (hide)'!BK$6:BK$105)&gt;0,$E$1=2),0,1)</f>
        <v>1</v>
      </c>
      <c r="AY198" s="68">
        <f ca="1">IF(AND(SUMIF(Capacity_Resource,$D198,'Critical resources (hide)'!BL$6:BL$105)+SUMIF(Capacity_Resource,$E198,'Critical resources (hide)'!BL$6:BL$105)+SUMIF(Capacity_Resource,$F198,'Critical resources (hide)'!BL$6:BL$105)&gt;0,$E$1=2),0,1)</f>
        <v>1</v>
      </c>
      <c r="AZ198" s="68">
        <f ca="1">IF(AND(SUMIF(Capacity_Resource,$D198,'Critical resources (hide)'!BM$6:BM$105)+SUMIF(Capacity_Resource,$E198,'Critical resources (hide)'!BM$6:BM$105)+SUMIF(Capacity_Resource,$F198,'Critical resources (hide)'!BM$6:BM$105)&gt;0,$E$1=2),0,1)</f>
        <v>1</v>
      </c>
      <c r="BA198" s="68">
        <f ca="1">IF(AND(SUMIF(Capacity_Resource,$D198,'Critical resources (hide)'!BN$6:BN$105)+SUMIF(Capacity_Resource,$E198,'Critical resources (hide)'!BN$6:BN$105)+SUMIF(Capacity_Resource,$F198,'Critical resources (hide)'!BN$6:BN$105)&gt;0,$E$1=2),0,1)</f>
        <v>1</v>
      </c>
      <c r="BB198" s="68">
        <f ca="1">IF(AND(SUMIF(Capacity_Resource,$D198,'Critical resources (hide)'!BO$6:BO$105)+SUMIF(Capacity_Resource,$E198,'Critical resources (hide)'!BO$6:BO$105)+SUMIF(Capacity_Resource,$F198,'Critical resources (hide)'!BO$6:BO$105)&gt;0,$E$1=2),0,1)</f>
        <v>1</v>
      </c>
      <c r="BC198" s="68">
        <f ca="1">IF(AND(SUMIF(Capacity_Resource,$D198,'Critical resources (hide)'!BP$6:BP$105)+SUMIF(Capacity_Resource,$E198,'Critical resources (hide)'!BP$6:BP$105)+SUMIF(Capacity_Resource,$F198,'Critical resources (hide)'!BP$6:BP$105)&gt;0,$E$1=2),0,1)</f>
        <v>1</v>
      </c>
      <c r="BD198" s="68">
        <f ca="1">IF(AND(SUMIF(Capacity_Resource,$D198,'Critical resources (hide)'!BQ$6:BQ$105)+SUMIF(Capacity_Resource,$E198,'Critical resources (hide)'!BQ$6:BQ$105)+SUMIF(Capacity_Resource,$F198,'Critical resources (hide)'!BQ$6:BQ$105)&gt;0,$E$1=2),0,1)</f>
        <v>1</v>
      </c>
      <c r="BE198" s="68">
        <f ca="1">IF(AND(SUMIF(Capacity_Resource,$D198,'Critical resources (hide)'!BR$6:BR$105)+SUMIF(Capacity_Resource,$E198,'Critical resources (hide)'!BR$6:BR$105)+SUMIF(Capacity_Resource,$F198,'Critical resources (hide)'!BR$6:BR$105)&gt;0,$E$1=2),0,1)</f>
        <v>1</v>
      </c>
      <c r="BF198" s="68">
        <f ca="1">IF(AND(SUMIF(Capacity_Resource,$D198,'Critical resources (hide)'!BS$6:BS$105)+SUMIF(Capacity_Resource,$E198,'Critical resources (hide)'!BS$6:BS$105)+SUMIF(Capacity_Resource,$F198,'Critical resources (hide)'!BS$6:BS$105)&gt;0,$E$1=2),0,1)</f>
        <v>1</v>
      </c>
      <c r="BG198" s="68">
        <f ca="1">IF(AND(SUMIF(Capacity_Resource,$D198,'Critical resources (hide)'!BT$6:BT$105)+SUMIF(Capacity_Resource,$E198,'Critical resources (hide)'!BT$6:BT$105)+SUMIF(Capacity_Resource,$F198,'Critical resources (hide)'!BT$6:BT$105)&gt;0,$E$1=2),0,1)</f>
        <v>1</v>
      </c>
      <c r="BH198" s="68">
        <f>IF(ROW(A87)&lt;=Capacity!$M$16,IF('Capacity summary'!$C$14="No",SUM(H198:BG198),'Capacity summary'!$E110),0)</f>
        <v>0</v>
      </c>
      <c r="BI198" s="68" t="str">
        <f>IF(BH198&gt;0,IF(BH198&lt;Capacity!Q103,Capacity!R103,Capacity!T103/'Capacity calculation (hide)'!BH198),"")</f>
        <v/>
      </c>
      <c r="BJ198" s="5"/>
      <c r="BK198" s="5">
        <f>IF($BI198&lt;&gt;"",IF('Capacity summary'!$C$14="Yes",IF(COUNTBLANK('Capacity summary'!$H110:$BG110)&lt;52,IF('Capacity summary'!H110&lt;&gt;"",$BI198*H198,0),H198*$BI198),H198*$BI198),0)</f>
        <v>0</v>
      </c>
      <c r="BL198" s="5">
        <f>IF($BI198&lt;&gt;"",IF('Capacity summary'!$C$14="Yes",IF(COUNTBLANK('Capacity summary'!$H110:$BG110)&lt;52,IF('Capacity summary'!I110&lt;&gt;"",$BI198*I198,0),I198*$BI198),I198*$BI198),0)</f>
        <v>0</v>
      </c>
      <c r="BM198" s="5">
        <f>IF($BI198&lt;&gt;"",IF('Capacity summary'!$C$14="Yes",IF(COUNTBLANK('Capacity summary'!$H110:$BG110)&lt;52,IF('Capacity summary'!J110&lt;&gt;"",$BI198*J198,0),J198*$BI198),J198*$BI198),0)</f>
        <v>0</v>
      </c>
      <c r="BN198" s="5">
        <f>IF($BI198&lt;&gt;"",IF('Capacity summary'!$C$14="Yes",IF(COUNTBLANK('Capacity summary'!$H110:$BG110)&lt;52,IF('Capacity summary'!K110&lt;&gt;"",$BI198*K198,0),K198*$BI198),K198*$BI198),0)</f>
        <v>0</v>
      </c>
      <c r="BO198" s="5">
        <f>IF($BI198&lt;&gt;"",IF('Capacity summary'!$C$14="Yes",IF(COUNTBLANK('Capacity summary'!$H110:$BG110)&lt;52,IF('Capacity summary'!L110&lt;&gt;"",$BI198*L198,0),L198*$BI198),L198*$BI198),0)</f>
        <v>0</v>
      </c>
      <c r="BP198" s="5">
        <f>IF($BI198&lt;&gt;"",IF('Capacity summary'!$C$14="Yes",IF(COUNTBLANK('Capacity summary'!$H110:$BG110)&lt;52,IF('Capacity summary'!M110&lt;&gt;"",$BI198*M198,0),M198*$BI198),M198*$BI198),0)</f>
        <v>0</v>
      </c>
      <c r="BQ198" s="5">
        <f>IF($BI198&lt;&gt;"",IF('Capacity summary'!$C$14="Yes",IF(COUNTBLANK('Capacity summary'!$H110:$BG110)&lt;52,IF('Capacity summary'!N110&lt;&gt;"",$BI198*N198,0),N198*$BI198),N198*$BI198),0)</f>
        <v>0</v>
      </c>
      <c r="BR198" s="5">
        <f>IF($BI198&lt;&gt;"",IF('Capacity summary'!$C$14="Yes",IF(COUNTBLANK('Capacity summary'!$H110:$BG110)&lt;52,IF('Capacity summary'!O110&lt;&gt;"",$BI198*O198,0),O198*$BI198),O198*$BI198),0)</f>
        <v>0</v>
      </c>
      <c r="BS198" s="5">
        <f>IF($BI198&lt;&gt;"",IF('Capacity summary'!$C$14="Yes",IF(COUNTBLANK('Capacity summary'!$H110:$BG110)&lt;52,IF('Capacity summary'!P110&lt;&gt;"",$BI198*P198,0),P198*$BI198),P198*$BI198),0)</f>
        <v>0</v>
      </c>
      <c r="BT198" s="5">
        <f>IF($BI198&lt;&gt;"",IF('Capacity summary'!$C$14="Yes",IF(COUNTBLANK('Capacity summary'!$H110:$BG110)&lt;52,IF('Capacity summary'!Q110&lt;&gt;"",$BI198*Q198,0),Q198*$BI198),Q198*$BI198),0)</f>
        <v>0</v>
      </c>
      <c r="BU198" s="5">
        <f>IF($BI198&lt;&gt;"",IF('Capacity summary'!$C$14="Yes",IF(COUNTBLANK('Capacity summary'!$H110:$BG110)&lt;52,IF('Capacity summary'!R110&lt;&gt;"",$BI198*R198,0),R198*$BI198),R198*$BI198),0)</f>
        <v>0</v>
      </c>
      <c r="BV198" s="5">
        <f>IF($BI198&lt;&gt;"",IF('Capacity summary'!$C$14="Yes",IF(COUNTBLANK('Capacity summary'!$H110:$BG110)&lt;52,IF('Capacity summary'!S110&lt;&gt;"",$BI198*S198,0),S198*$BI198),S198*$BI198),0)</f>
        <v>0</v>
      </c>
      <c r="BW198" s="5">
        <f>IF($BI198&lt;&gt;"",IF('Capacity summary'!$C$14="Yes",IF(COUNTBLANK('Capacity summary'!$H110:$BG110)&lt;52,IF('Capacity summary'!T110&lt;&gt;"",$BI198*T198,0),T198*$BI198),T198*$BI198),0)</f>
        <v>0</v>
      </c>
      <c r="BX198" s="5">
        <f>IF($BI198&lt;&gt;"",IF('Capacity summary'!$C$14="Yes",IF(COUNTBLANK('Capacity summary'!$H110:$BG110)&lt;52,IF('Capacity summary'!U110&lt;&gt;"",$BI198*U198,0),U198*$BI198),U198*$BI198),0)</f>
        <v>0</v>
      </c>
      <c r="BY198" s="5">
        <f>IF($BI198&lt;&gt;"",IF('Capacity summary'!$C$14="Yes",IF(COUNTBLANK('Capacity summary'!$H110:$BG110)&lt;52,IF('Capacity summary'!V110&lt;&gt;"",$BI198*V198,0),V198*$BI198),V198*$BI198),0)</f>
        <v>0</v>
      </c>
      <c r="BZ198" s="5">
        <f>IF($BI198&lt;&gt;"",IF('Capacity summary'!$C$14="Yes",IF(COUNTBLANK('Capacity summary'!$H110:$BG110)&lt;52,IF('Capacity summary'!W110&lt;&gt;"",$BI198*W198,0),W198*$BI198),W198*$BI198),0)</f>
        <v>0</v>
      </c>
      <c r="CA198" s="5">
        <f>IF($BI198&lt;&gt;"",IF('Capacity summary'!$C$14="Yes",IF(COUNTBLANK('Capacity summary'!$H110:$BG110)&lt;52,IF('Capacity summary'!X110&lt;&gt;"",$BI198*X198,0),X198*$BI198),X198*$BI198),0)</f>
        <v>0</v>
      </c>
      <c r="CB198" s="5">
        <f>IF($BI198&lt;&gt;"",IF('Capacity summary'!$C$14="Yes",IF(COUNTBLANK('Capacity summary'!$H110:$BG110)&lt;52,IF('Capacity summary'!Y110&lt;&gt;"",$BI198*Y198,0),Y198*$BI198),Y198*$BI198),0)</f>
        <v>0</v>
      </c>
      <c r="CC198" s="5">
        <f>IF($BI198&lt;&gt;"",IF('Capacity summary'!$C$14="Yes",IF(COUNTBLANK('Capacity summary'!$H110:$BG110)&lt;52,IF('Capacity summary'!Z110&lt;&gt;"",$BI198*Z198,0),Z198*$BI198),Z198*$BI198),0)</f>
        <v>0</v>
      </c>
      <c r="CD198" s="5">
        <f>IF($BI198&lt;&gt;"",IF('Capacity summary'!$C$14="Yes",IF(COUNTBLANK('Capacity summary'!$H110:$BG110)&lt;52,IF('Capacity summary'!AA110&lt;&gt;"",$BI198*AA198,0),AA198*$BI198),AA198*$BI198),0)</f>
        <v>0</v>
      </c>
      <c r="CE198" s="5">
        <f>IF($BI198&lt;&gt;"",IF('Capacity summary'!$C$14="Yes",IF(COUNTBLANK('Capacity summary'!$H110:$BG110)&lt;52,IF('Capacity summary'!AB110&lt;&gt;"",$BI198*AB198,0),AB198*$BI198),AB198*$BI198),0)</f>
        <v>0</v>
      </c>
      <c r="CF198" s="5">
        <f>IF($BI198&lt;&gt;"",IF('Capacity summary'!$C$14="Yes",IF(COUNTBLANK('Capacity summary'!$H110:$BG110)&lt;52,IF('Capacity summary'!AC110&lt;&gt;"",$BI198*AC198,0),AC198*$BI198),AC198*$BI198),0)</f>
        <v>0</v>
      </c>
      <c r="CG198" s="5">
        <f>IF($BI198&lt;&gt;"",IF('Capacity summary'!$C$14="Yes",IF(COUNTBLANK('Capacity summary'!$H110:$BG110)&lt;52,IF('Capacity summary'!AD110&lt;&gt;"",$BI198*AD198,0),AD198*$BI198),AD198*$BI198),0)</f>
        <v>0</v>
      </c>
      <c r="CH198" s="5">
        <f>IF($BI198&lt;&gt;"",IF('Capacity summary'!$C$14="Yes",IF(COUNTBLANK('Capacity summary'!$H110:$BG110)&lt;52,IF('Capacity summary'!AE110&lt;&gt;"",$BI198*AE198,0),AE198*$BI198),AE198*$BI198),0)</f>
        <v>0</v>
      </c>
      <c r="CI198" s="5">
        <f>IF($BI198&lt;&gt;"",IF('Capacity summary'!$C$14="Yes",IF(COUNTBLANK('Capacity summary'!$H110:$BG110)&lt;52,IF('Capacity summary'!AF110&lt;&gt;"",$BI198*AF198,0),AF198*$BI198),AF198*$BI198),0)</f>
        <v>0</v>
      </c>
      <c r="CJ198" s="5">
        <f>IF($BI198&lt;&gt;"",IF('Capacity summary'!$C$14="Yes",IF(COUNTBLANK('Capacity summary'!$H110:$BG110)&lt;52,IF('Capacity summary'!AG110&lt;&gt;"",$BI198*AG198,0),AG198*$BI198),AG198*$BI198),0)</f>
        <v>0</v>
      </c>
      <c r="CK198" s="5">
        <f>IF($BI198&lt;&gt;"",IF('Capacity summary'!$C$14="Yes",IF(COUNTBLANK('Capacity summary'!$H110:$BG110)&lt;52,IF('Capacity summary'!AH110&lt;&gt;"",$BI198*AH198,0),AH198*$BI198),AH198*$BI198),0)</f>
        <v>0</v>
      </c>
      <c r="CL198" s="5">
        <f>IF($BI198&lt;&gt;"",IF('Capacity summary'!$C$14="Yes",IF(COUNTBLANK('Capacity summary'!$H110:$BG110)&lt;52,IF('Capacity summary'!AI110&lt;&gt;"",$BI198*AI198,0),AI198*$BI198),AI198*$BI198),0)</f>
        <v>0</v>
      </c>
      <c r="CM198" s="5">
        <f>IF($BI198&lt;&gt;"",IF('Capacity summary'!$C$14="Yes",IF(COUNTBLANK('Capacity summary'!$H110:$BG110)&lt;52,IF('Capacity summary'!AJ110&lt;&gt;"",$BI198*AJ198,0),AJ198*$BI198),AJ198*$BI198),0)</f>
        <v>0</v>
      </c>
      <c r="CN198" s="5">
        <f>IF($BI198&lt;&gt;"",IF('Capacity summary'!$C$14="Yes",IF(COUNTBLANK('Capacity summary'!$H110:$BG110)&lt;52,IF('Capacity summary'!AK110&lt;&gt;"",$BI198*AK198,0),AK198*$BI198),AK198*$BI198),0)</f>
        <v>0</v>
      </c>
      <c r="CO198" s="5">
        <f>IF($BI198&lt;&gt;"",IF('Capacity summary'!$C$14="Yes",IF(COUNTBLANK('Capacity summary'!$H110:$BG110)&lt;52,IF('Capacity summary'!AL110&lt;&gt;"",$BI198*AL198,0),AL198*$BI198),AL198*$BI198),0)</f>
        <v>0</v>
      </c>
      <c r="CP198" s="5">
        <f>IF($BI198&lt;&gt;"",IF('Capacity summary'!$C$14="Yes",IF(COUNTBLANK('Capacity summary'!$H110:$BG110)&lt;52,IF('Capacity summary'!AM110&lt;&gt;"",$BI198*AM198,0),AM198*$BI198),AM198*$BI198),0)</f>
        <v>0</v>
      </c>
      <c r="CQ198" s="5">
        <f>IF($BI198&lt;&gt;"",IF('Capacity summary'!$C$14="Yes",IF(COUNTBLANK('Capacity summary'!$H110:$BG110)&lt;52,IF('Capacity summary'!AN110&lt;&gt;"",$BI198*AN198,0),AN198*$BI198),AN198*$BI198),0)</f>
        <v>0</v>
      </c>
      <c r="CR198" s="5">
        <f>IF($BI198&lt;&gt;"",IF('Capacity summary'!$C$14="Yes",IF(COUNTBLANK('Capacity summary'!$H110:$BG110)&lt;52,IF('Capacity summary'!AO110&lt;&gt;"",$BI198*AO198,0),AO198*$BI198),AO198*$BI198),0)</f>
        <v>0</v>
      </c>
      <c r="CS198" s="5">
        <f>IF($BI198&lt;&gt;"",IF('Capacity summary'!$C$14="Yes",IF(COUNTBLANK('Capacity summary'!$H110:$BG110)&lt;52,IF('Capacity summary'!AP110&lt;&gt;"",$BI198*AP198,0),AP198*$BI198),AP198*$BI198),0)</f>
        <v>0</v>
      </c>
      <c r="CT198" s="5">
        <f>IF($BI198&lt;&gt;"",IF('Capacity summary'!$C$14="Yes",IF(COUNTBLANK('Capacity summary'!$H110:$BG110)&lt;52,IF('Capacity summary'!AQ110&lt;&gt;"",$BI198*AQ198,0),AQ198*$BI198),AQ198*$BI198),0)</f>
        <v>0</v>
      </c>
      <c r="CU198" s="5">
        <f>IF($BI198&lt;&gt;"",IF('Capacity summary'!$C$14="Yes",IF(COUNTBLANK('Capacity summary'!$H110:$BG110)&lt;52,IF('Capacity summary'!AR110&lt;&gt;"",$BI198*AR198,0),AR198*$BI198),AR198*$BI198),0)</f>
        <v>0</v>
      </c>
      <c r="CV198" s="5">
        <f>IF($BI198&lt;&gt;"",IF('Capacity summary'!$C$14="Yes",IF(COUNTBLANK('Capacity summary'!$H110:$BG110)&lt;52,IF('Capacity summary'!AS110&lt;&gt;"",$BI198*AS198,0),AS198*$BI198),AS198*$BI198),0)</f>
        <v>0</v>
      </c>
      <c r="CW198" s="5">
        <f>IF($BI198&lt;&gt;"",IF('Capacity summary'!$C$14="Yes",IF(COUNTBLANK('Capacity summary'!$H110:$BG110)&lt;52,IF('Capacity summary'!AT110&lt;&gt;"",$BI198*AT198,0),AT198*$BI198),AT198*$BI198),0)</f>
        <v>0</v>
      </c>
      <c r="CX198" s="5">
        <f>IF($BI198&lt;&gt;"",IF('Capacity summary'!$C$14="Yes",IF(COUNTBLANK('Capacity summary'!$H110:$BG110)&lt;52,IF('Capacity summary'!AU110&lt;&gt;"",$BI198*AU198,0),AU198*$BI198),AU198*$BI198),0)</f>
        <v>0</v>
      </c>
      <c r="CY198" s="5">
        <f>IF($BI198&lt;&gt;"",IF('Capacity summary'!$C$14="Yes",IF(COUNTBLANK('Capacity summary'!$H110:$BG110)&lt;52,IF('Capacity summary'!AV110&lt;&gt;"",$BI198*AV198,0),AV198*$BI198),AV198*$BI198),0)</f>
        <v>0</v>
      </c>
      <c r="CZ198" s="5">
        <f>IF($BI198&lt;&gt;"",IF('Capacity summary'!$C$14="Yes",IF(COUNTBLANK('Capacity summary'!$H110:$BG110)&lt;52,IF('Capacity summary'!AW110&lt;&gt;"",$BI198*AW198,0),AW198*$BI198),AW198*$BI198),0)</f>
        <v>0</v>
      </c>
      <c r="DA198" s="5">
        <f>IF($BI198&lt;&gt;"",IF('Capacity summary'!$C$14="Yes",IF(COUNTBLANK('Capacity summary'!$H110:$BG110)&lt;52,IF('Capacity summary'!AX110&lt;&gt;"",$BI198*AX198,0),AX198*$BI198),AX198*$BI198),0)</f>
        <v>0</v>
      </c>
      <c r="DB198" s="5">
        <f>IF($BI198&lt;&gt;"",IF('Capacity summary'!$C$14="Yes",IF(COUNTBLANK('Capacity summary'!$H110:$BG110)&lt;52,IF('Capacity summary'!AY110&lt;&gt;"",$BI198*AY198,0),AY198*$BI198),AY198*$BI198),0)</f>
        <v>0</v>
      </c>
      <c r="DC198" s="5">
        <f>IF($BI198&lt;&gt;"",IF('Capacity summary'!$C$14="Yes",IF(COUNTBLANK('Capacity summary'!$H110:$BG110)&lt;52,IF('Capacity summary'!AZ110&lt;&gt;"",$BI198*AZ198,0),AZ198*$BI198),AZ198*$BI198),0)</f>
        <v>0</v>
      </c>
      <c r="DD198" s="5">
        <f>IF($BI198&lt;&gt;"",IF('Capacity summary'!$C$14="Yes",IF(COUNTBLANK('Capacity summary'!$H110:$BG110)&lt;52,IF('Capacity summary'!BA110&lt;&gt;"",$BI198*BA198,0),BA198*$BI198),BA198*$BI198),0)</f>
        <v>0</v>
      </c>
      <c r="DE198" s="5">
        <f>IF($BI198&lt;&gt;"",IF('Capacity summary'!$C$14="Yes",IF(COUNTBLANK('Capacity summary'!$H110:$BG110)&lt;52,IF('Capacity summary'!BB110&lt;&gt;"",$BI198*BB198,0),BB198*$BI198),BB198*$BI198),0)</f>
        <v>0</v>
      </c>
      <c r="DF198" s="5">
        <f>IF($BI198&lt;&gt;"",IF('Capacity summary'!$C$14="Yes",IF(COUNTBLANK('Capacity summary'!$H110:$BG110)&lt;52,IF('Capacity summary'!BC110&lt;&gt;"",$BI198*BC198,0),BC198*$BI198),BC198*$BI198),0)</f>
        <v>0</v>
      </c>
      <c r="DG198" s="5">
        <f>IF($BI198&lt;&gt;"",IF('Capacity summary'!$C$14="Yes",IF(COUNTBLANK('Capacity summary'!$H110:$BG110)&lt;52,IF('Capacity summary'!BD110&lt;&gt;"",$BI198*BD198,0),BD198*$BI198),BD198*$BI198),0)</f>
        <v>0</v>
      </c>
      <c r="DH198" s="5">
        <f>IF($BI198&lt;&gt;"",IF('Capacity summary'!$C$14="Yes",IF(COUNTBLANK('Capacity summary'!$H110:$BG110)&lt;52,IF('Capacity summary'!BE110&lt;&gt;"",$BI198*BE198,0),BE198*$BI198),BE198*$BI198),0)</f>
        <v>0</v>
      </c>
      <c r="DI198" s="5">
        <f>IF($BI198&lt;&gt;"",IF('Capacity summary'!$C$14="Yes",IF(COUNTBLANK('Capacity summary'!$H110:$BG110)&lt;52,IF('Capacity summary'!BF110&lt;&gt;"",$BI198*BF198,0),BF198*$BI198),BF198*$BI198),0)</f>
        <v>0</v>
      </c>
      <c r="DJ198" s="5">
        <f>IF($BI198&lt;&gt;"",IF('Capacity summary'!$C$14="Yes",IF(COUNTBLANK('Capacity summary'!$H110:$BG110)&lt;52,IF('Capacity summary'!BG110&lt;&gt;"",$BI198*BG198,0),BG198*$BI198),BG198*$BI198),0)</f>
        <v>0</v>
      </c>
      <c r="DK198" s="138">
        <f t="shared" si="7"/>
        <v>0</v>
      </c>
    </row>
    <row r="199" spans="3:115" x14ac:dyDescent="0.2">
      <c r="C199" s="68" t="str">
        <f>ROW(A88)&amp;". "&amp;Capacity!N104</f>
        <v xml:space="preserve">88. </v>
      </c>
      <c r="D199" s="68">
        <f>'Capacity setup'!C205</f>
        <v>0</v>
      </c>
      <c r="E199" s="68">
        <f>'Capacity setup'!D205</f>
        <v>0</v>
      </c>
      <c r="F199" s="68">
        <f>'Capacity setup'!E205</f>
        <v>0</v>
      </c>
      <c r="H199" s="68">
        <f ca="1">IF(AND(SUMIF(Capacity_Resource,$D199,'Critical resources (hide)'!U$6:U$105)+SUMIF(Capacity_Resource,$E199,'Critical resources (hide)'!U$6:U$105)+SUMIF(Capacity_Resource,$F199,'Critical resources (hide)'!U$6:U$105)&gt;0,$E$1=2),0,1)</f>
        <v>1</v>
      </c>
      <c r="I199" s="68">
        <f ca="1">IF(AND(SUMIF(Capacity_Resource,$D199,'Critical resources (hide)'!V$6:V$105)+SUMIF(Capacity_Resource,$E199,'Critical resources (hide)'!V$6:V$105)+SUMIF(Capacity_Resource,$F199,'Critical resources (hide)'!V$6:V$105)&gt;0,$E$1=2),0,1)</f>
        <v>1</v>
      </c>
      <c r="J199" s="68">
        <f ca="1">IF(AND(SUMIF(Capacity_Resource,$D199,'Critical resources (hide)'!W$6:W$105)+SUMIF(Capacity_Resource,$E199,'Critical resources (hide)'!W$6:W$105)+SUMIF(Capacity_Resource,$F199,'Critical resources (hide)'!W$6:W$105)&gt;0,$E$1=2),0,1)</f>
        <v>1</v>
      </c>
      <c r="K199" s="68">
        <f ca="1">IF(AND(SUMIF(Capacity_Resource,$D199,'Critical resources (hide)'!X$6:X$105)+SUMIF(Capacity_Resource,$E199,'Critical resources (hide)'!X$6:X$105)+SUMIF(Capacity_Resource,$F199,'Critical resources (hide)'!X$6:X$105)&gt;0,$E$1=2),0,1)</f>
        <v>1</v>
      </c>
      <c r="L199" s="68">
        <f ca="1">IF(AND(SUMIF(Capacity_Resource,$D199,'Critical resources (hide)'!Y$6:Y$105)+SUMIF(Capacity_Resource,$E199,'Critical resources (hide)'!Y$6:Y$105)+SUMIF(Capacity_Resource,$F199,'Critical resources (hide)'!Y$6:Y$105)&gt;0,$E$1=2),0,1)</f>
        <v>1</v>
      </c>
      <c r="M199" s="68">
        <f ca="1">IF(AND(SUMIF(Capacity_Resource,$D199,'Critical resources (hide)'!Z$6:Z$105)+SUMIF(Capacity_Resource,$E199,'Critical resources (hide)'!Z$6:Z$105)+SUMIF(Capacity_Resource,$F199,'Critical resources (hide)'!Z$6:Z$105)&gt;0,$E$1=2),0,1)</f>
        <v>1</v>
      </c>
      <c r="N199" s="68">
        <f ca="1">IF(AND(SUMIF(Capacity_Resource,$D199,'Critical resources (hide)'!AA$6:AA$105)+SUMIF(Capacity_Resource,$E199,'Critical resources (hide)'!AA$6:AA$105)+SUMIF(Capacity_Resource,$F199,'Critical resources (hide)'!AA$6:AA$105)&gt;0,$E$1=2),0,1)</f>
        <v>1</v>
      </c>
      <c r="O199" s="68">
        <f ca="1">IF(AND(SUMIF(Capacity_Resource,$D199,'Critical resources (hide)'!AB$6:AB$105)+SUMIF(Capacity_Resource,$E199,'Critical resources (hide)'!AB$6:AB$105)+SUMIF(Capacity_Resource,$F199,'Critical resources (hide)'!AB$6:AB$105)&gt;0,$E$1=2),0,1)</f>
        <v>1</v>
      </c>
      <c r="P199" s="68">
        <f ca="1">IF(AND(SUMIF(Capacity_Resource,$D199,'Critical resources (hide)'!AC$6:AC$105)+SUMIF(Capacity_Resource,$E199,'Critical resources (hide)'!AC$6:AC$105)+SUMIF(Capacity_Resource,$F199,'Critical resources (hide)'!AC$6:AC$105)&gt;0,$E$1=2),0,1)</f>
        <v>1</v>
      </c>
      <c r="Q199" s="68">
        <f ca="1">IF(AND(SUMIF(Capacity_Resource,$D199,'Critical resources (hide)'!AD$6:AD$105)+SUMIF(Capacity_Resource,$E199,'Critical resources (hide)'!AD$6:AD$105)+SUMIF(Capacity_Resource,$F199,'Critical resources (hide)'!AD$6:AD$105)&gt;0,$E$1=2),0,1)</f>
        <v>1</v>
      </c>
      <c r="R199" s="68">
        <f ca="1">IF(AND(SUMIF(Capacity_Resource,$D199,'Critical resources (hide)'!AE$6:AE$105)+SUMIF(Capacity_Resource,$E199,'Critical resources (hide)'!AE$6:AE$105)+SUMIF(Capacity_Resource,$F199,'Critical resources (hide)'!AE$6:AE$105)&gt;0,$E$1=2),0,1)</f>
        <v>1</v>
      </c>
      <c r="S199" s="68">
        <f ca="1">IF(AND(SUMIF(Capacity_Resource,$D199,'Critical resources (hide)'!AF$6:AF$105)+SUMIF(Capacity_Resource,$E199,'Critical resources (hide)'!AF$6:AF$105)+SUMIF(Capacity_Resource,$F199,'Critical resources (hide)'!AF$6:AF$105)&gt;0,$E$1=2),0,1)</f>
        <v>1</v>
      </c>
      <c r="T199" s="68">
        <f ca="1">IF(AND(SUMIF(Capacity_Resource,$D199,'Critical resources (hide)'!AG$6:AG$105)+SUMIF(Capacity_Resource,$E199,'Critical resources (hide)'!AG$6:AG$105)+SUMIF(Capacity_Resource,$F199,'Critical resources (hide)'!AG$6:AG$105)&gt;0,$E$1=2),0,1)</f>
        <v>1</v>
      </c>
      <c r="U199" s="68">
        <f ca="1">IF(AND(SUMIF(Capacity_Resource,$D199,'Critical resources (hide)'!AH$6:AH$105)+SUMIF(Capacity_Resource,$E199,'Critical resources (hide)'!AH$6:AH$105)+SUMIF(Capacity_Resource,$F199,'Critical resources (hide)'!AH$6:AH$105)&gt;0,$E$1=2),0,1)</f>
        <v>1</v>
      </c>
      <c r="V199" s="68">
        <f ca="1">IF(AND(SUMIF(Capacity_Resource,$D199,'Critical resources (hide)'!AI$6:AI$105)+SUMIF(Capacity_Resource,$E199,'Critical resources (hide)'!AI$6:AI$105)+SUMIF(Capacity_Resource,$F199,'Critical resources (hide)'!AI$6:AI$105)&gt;0,$E$1=2),0,1)</f>
        <v>1</v>
      </c>
      <c r="W199" s="68">
        <f ca="1">IF(AND(SUMIF(Capacity_Resource,$D199,'Critical resources (hide)'!AJ$6:AJ$105)+SUMIF(Capacity_Resource,$E199,'Critical resources (hide)'!AJ$6:AJ$105)+SUMIF(Capacity_Resource,$F199,'Critical resources (hide)'!AJ$6:AJ$105)&gt;0,$E$1=2),0,1)</f>
        <v>1</v>
      </c>
      <c r="X199" s="68">
        <f ca="1">IF(AND(SUMIF(Capacity_Resource,$D199,'Critical resources (hide)'!AK$6:AK$105)+SUMIF(Capacity_Resource,$E199,'Critical resources (hide)'!AK$6:AK$105)+SUMIF(Capacity_Resource,$F199,'Critical resources (hide)'!AK$6:AK$105)&gt;0,$E$1=2),0,1)</f>
        <v>1</v>
      </c>
      <c r="Y199" s="68">
        <f ca="1">IF(AND(SUMIF(Capacity_Resource,$D199,'Critical resources (hide)'!AL$6:AL$105)+SUMIF(Capacity_Resource,$E199,'Critical resources (hide)'!AL$6:AL$105)+SUMIF(Capacity_Resource,$F199,'Critical resources (hide)'!AL$6:AL$105)&gt;0,$E$1=2),0,1)</f>
        <v>1</v>
      </c>
      <c r="Z199" s="68">
        <f ca="1">IF(AND(SUMIF(Capacity_Resource,$D199,'Critical resources (hide)'!AM$6:AM$105)+SUMIF(Capacity_Resource,$E199,'Critical resources (hide)'!AM$6:AM$105)+SUMIF(Capacity_Resource,$F199,'Critical resources (hide)'!AM$6:AM$105)&gt;0,$E$1=2),0,1)</f>
        <v>1</v>
      </c>
      <c r="AA199" s="68">
        <f ca="1">IF(AND(SUMIF(Capacity_Resource,$D199,'Critical resources (hide)'!AN$6:AN$105)+SUMIF(Capacity_Resource,$E199,'Critical resources (hide)'!AN$6:AN$105)+SUMIF(Capacity_Resource,$F199,'Critical resources (hide)'!AN$6:AN$105)&gt;0,$E$1=2),0,1)</f>
        <v>1</v>
      </c>
      <c r="AB199" s="68">
        <f ca="1">IF(AND(SUMIF(Capacity_Resource,$D199,'Critical resources (hide)'!AO$6:AO$105)+SUMIF(Capacity_Resource,$E199,'Critical resources (hide)'!AO$6:AO$105)+SUMIF(Capacity_Resource,$F199,'Critical resources (hide)'!AO$6:AO$105)&gt;0,$E$1=2),0,1)</f>
        <v>1</v>
      </c>
      <c r="AC199" s="68">
        <f ca="1">IF(AND(SUMIF(Capacity_Resource,$D199,'Critical resources (hide)'!AP$6:AP$105)+SUMIF(Capacity_Resource,$E199,'Critical resources (hide)'!AP$6:AP$105)+SUMIF(Capacity_Resource,$F199,'Critical resources (hide)'!AP$6:AP$105)&gt;0,$E$1=2),0,1)</f>
        <v>1</v>
      </c>
      <c r="AD199" s="68">
        <f ca="1">IF(AND(SUMIF(Capacity_Resource,$D199,'Critical resources (hide)'!AQ$6:AQ$105)+SUMIF(Capacity_Resource,$E199,'Critical resources (hide)'!AQ$6:AQ$105)+SUMIF(Capacity_Resource,$F199,'Critical resources (hide)'!AQ$6:AQ$105)&gt;0,$E$1=2),0,1)</f>
        <v>1</v>
      </c>
      <c r="AE199" s="68">
        <f ca="1">IF(AND(SUMIF(Capacity_Resource,$D199,'Critical resources (hide)'!AR$6:AR$105)+SUMIF(Capacity_Resource,$E199,'Critical resources (hide)'!AR$6:AR$105)+SUMIF(Capacity_Resource,$F199,'Critical resources (hide)'!AR$6:AR$105)&gt;0,$E$1=2),0,1)</f>
        <v>1</v>
      </c>
      <c r="AF199" s="68">
        <f ca="1">IF(AND(SUMIF(Capacity_Resource,$D199,'Critical resources (hide)'!AS$6:AS$105)+SUMIF(Capacity_Resource,$E199,'Critical resources (hide)'!AS$6:AS$105)+SUMIF(Capacity_Resource,$F199,'Critical resources (hide)'!AS$6:AS$105)&gt;0,$E$1=2),0,1)</f>
        <v>1</v>
      </c>
      <c r="AG199" s="68">
        <f ca="1">IF(AND(SUMIF(Capacity_Resource,$D199,'Critical resources (hide)'!AT$6:AT$105)+SUMIF(Capacity_Resource,$E199,'Critical resources (hide)'!AT$6:AT$105)+SUMIF(Capacity_Resource,$F199,'Critical resources (hide)'!AT$6:AT$105)&gt;0,$E$1=2),0,1)</f>
        <v>1</v>
      </c>
      <c r="AH199" s="68">
        <f ca="1">IF(AND(SUMIF(Capacity_Resource,$D199,'Critical resources (hide)'!AU$6:AU$105)+SUMIF(Capacity_Resource,$E199,'Critical resources (hide)'!AU$6:AU$105)+SUMIF(Capacity_Resource,$F199,'Critical resources (hide)'!AU$6:AU$105)&gt;0,$E$1=2),0,1)</f>
        <v>1</v>
      </c>
      <c r="AI199" s="68">
        <f ca="1">IF(AND(SUMIF(Capacity_Resource,$D199,'Critical resources (hide)'!AV$6:AV$105)+SUMIF(Capacity_Resource,$E199,'Critical resources (hide)'!AV$6:AV$105)+SUMIF(Capacity_Resource,$F199,'Critical resources (hide)'!AV$6:AV$105)&gt;0,$E$1=2),0,1)</f>
        <v>1</v>
      </c>
      <c r="AJ199" s="68">
        <f ca="1">IF(AND(SUMIF(Capacity_Resource,$D199,'Critical resources (hide)'!AW$6:AW$105)+SUMIF(Capacity_Resource,$E199,'Critical resources (hide)'!AW$6:AW$105)+SUMIF(Capacity_Resource,$F199,'Critical resources (hide)'!AW$6:AW$105)&gt;0,$E$1=2),0,1)</f>
        <v>1</v>
      </c>
      <c r="AK199" s="68">
        <f ca="1">IF(AND(SUMIF(Capacity_Resource,$D199,'Critical resources (hide)'!AX$6:AX$105)+SUMIF(Capacity_Resource,$E199,'Critical resources (hide)'!AX$6:AX$105)+SUMIF(Capacity_Resource,$F199,'Critical resources (hide)'!AX$6:AX$105)&gt;0,$E$1=2),0,1)</f>
        <v>1</v>
      </c>
      <c r="AL199" s="68">
        <f ca="1">IF(AND(SUMIF(Capacity_Resource,$D199,'Critical resources (hide)'!AY$6:AY$105)+SUMIF(Capacity_Resource,$E199,'Critical resources (hide)'!AY$6:AY$105)+SUMIF(Capacity_Resource,$F199,'Critical resources (hide)'!AY$6:AY$105)&gt;0,$E$1=2),0,1)</f>
        <v>1</v>
      </c>
      <c r="AM199" s="68">
        <f ca="1">IF(AND(SUMIF(Capacity_Resource,$D199,'Critical resources (hide)'!AZ$6:AZ$105)+SUMIF(Capacity_Resource,$E199,'Critical resources (hide)'!AZ$6:AZ$105)+SUMIF(Capacity_Resource,$F199,'Critical resources (hide)'!AZ$6:AZ$105)&gt;0,$E$1=2),0,1)</f>
        <v>1</v>
      </c>
      <c r="AN199" s="68">
        <f ca="1">IF(AND(SUMIF(Capacity_Resource,$D199,'Critical resources (hide)'!BA$6:BA$105)+SUMIF(Capacity_Resource,$E199,'Critical resources (hide)'!BA$6:BA$105)+SUMIF(Capacity_Resource,$F199,'Critical resources (hide)'!BA$6:BA$105)&gt;0,$E$1=2),0,1)</f>
        <v>1</v>
      </c>
      <c r="AO199" s="68">
        <f ca="1">IF(AND(SUMIF(Capacity_Resource,$D199,'Critical resources (hide)'!BB$6:BB$105)+SUMIF(Capacity_Resource,$E199,'Critical resources (hide)'!BB$6:BB$105)+SUMIF(Capacity_Resource,$F199,'Critical resources (hide)'!BB$6:BB$105)&gt;0,$E$1=2),0,1)</f>
        <v>1</v>
      </c>
      <c r="AP199" s="68">
        <f ca="1">IF(AND(SUMIF(Capacity_Resource,$D199,'Critical resources (hide)'!BC$6:BC$105)+SUMIF(Capacity_Resource,$E199,'Critical resources (hide)'!BC$6:BC$105)+SUMIF(Capacity_Resource,$F199,'Critical resources (hide)'!BC$6:BC$105)&gt;0,$E$1=2),0,1)</f>
        <v>1</v>
      </c>
      <c r="AQ199" s="68">
        <f ca="1">IF(AND(SUMIF(Capacity_Resource,$D199,'Critical resources (hide)'!BD$6:BD$105)+SUMIF(Capacity_Resource,$E199,'Critical resources (hide)'!BD$6:BD$105)+SUMIF(Capacity_Resource,$F199,'Critical resources (hide)'!BD$6:BD$105)&gt;0,$E$1=2),0,1)</f>
        <v>1</v>
      </c>
      <c r="AR199" s="68">
        <f ca="1">IF(AND(SUMIF(Capacity_Resource,$D199,'Critical resources (hide)'!BE$6:BE$105)+SUMIF(Capacity_Resource,$E199,'Critical resources (hide)'!BE$6:BE$105)+SUMIF(Capacity_Resource,$F199,'Critical resources (hide)'!BE$6:BE$105)&gt;0,$E$1=2),0,1)</f>
        <v>1</v>
      </c>
      <c r="AS199" s="68">
        <f ca="1">IF(AND(SUMIF(Capacity_Resource,$D199,'Critical resources (hide)'!BF$6:BF$105)+SUMIF(Capacity_Resource,$E199,'Critical resources (hide)'!BF$6:BF$105)+SUMIF(Capacity_Resource,$F199,'Critical resources (hide)'!BF$6:BF$105)&gt;0,$E$1=2),0,1)</f>
        <v>1</v>
      </c>
      <c r="AT199" s="68">
        <f ca="1">IF(AND(SUMIF(Capacity_Resource,$D199,'Critical resources (hide)'!BG$6:BG$105)+SUMIF(Capacity_Resource,$E199,'Critical resources (hide)'!BG$6:BG$105)+SUMIF(Capacity_Resource,$F199,'Critical resources (hide)'!BG$6:BG$105)&gt;0,$E$1=2),0,1)</f>
        <v>1</v>
      </c>
      <c r="AU199" s="68">
        <f ca="1">IF(AND(SUMIF(Capacity_Resource,$D199,'Critical resources (hide)'!BH$6:BH$105)+SUMIF(Capacity_Resource,$E199,'Critical resources (hide)'!BH$6:BH$105)+SUMIF(Capacity_Resource,$F199,'Critical resources (hide)'!BH$6:BH$105)&gt;0,$E$1=2),0,1)</f>
        <v>1</v>
      </c>
      <c r="AV199" s="68">
        <f ca="1">IF(AND(SUMIF(Capacity_Resource,$D199,'Critical resources (hide)'!BI$6:BI$105)+SUMIF(Capacity_Resource,$E199,'Critical resources (hide)'!BI$6:BI$105)+SUMIF(Capacity_Resource,$F199,'Critical resources (hide)'!BI$6:BI$105)&gt;0,$E$1=2),0,1)</f>
        <v>1</v>
      </c>
      <c r="AW199" s="68">
        <f ca="1">IF(AND(SUMIF(Capacity_Resource,$D199,'Critical resources (hide)'!BJ$6:BJ$105)+SUMIF(Capacity_Resource,$E199,'Critical resources (hide)'!BJ$6:BJ$105)+SUMIF(Capacity_Resource,$F199,'Critical resources (hide)'!BJ$6:BJ$105)&gt;0,$E$1=2),0,1)</f>
        <v>1</v>
      </c>
      <c r="AX199" s="68">
        <f ca="1">IF(AND(SUMIF(Capacity_Resource,$D199,'Critical resources (hide)'!BK$6:BK$105)+SUMIF(Capacity_Resource,$E199,'Critical resources (hide)'!BK$6:BK$105)+SUMIF(Capacity_Resource,$F199,'Critical resources (hide)'!BK$6:BK$105)&gt;0,$E$1=2),0,1)</f>
        <v>1</v>
      </c>
      <c r="AY199" s="68">
        <f ca="1">IF(AND(SUMIF(Capacity_Resource,$D199,'Critical resources (hide)'!BL$6:BL$105)+SUMIF(Capacity_Resource,$E199,'Critical resources (hide)'!BL$6:BL$105)+SUMIF(Capacity_Resource,$F199,'Critical resources (hide)'!BL$6:BL$105)&gt;0,$E$1=2),0,1)</f>
        <v>1</v>
      </c>
      <c r="AZ199" s="68">
        <f ca="1">IF(AND(SUMIF(Capacity_Resource,$D199,'Critical resources (hide)'!BM$6:BM$105)+SUMIF(Capacity_Resource,$E199,'Critical resources (hide)'!BM$6:BM$105)+SUMIF(Capacity_Resource,$F199,'Critical resources (hide)'!BM$6:BM$105)&gt;0,$E$1=2),0,1)</f>
        <v>1</v>
      </c>
      <c r="BA199" s="68">
        <f ca="1">IF(AND(SUMIF(Capacity_Resource,$D199,'Critical resources (hide)'!BN$6:BN$105)+SUMIF(Capacity_Resource,$E199,'Critical resources (hide)'!BN$6:BN$105)+SUMIF(Capacity_Resource,$F199,'Critical resources (hide)'!BN$6:BN$105)&gt;0,$E$1=2),0,1)</f>
        <v>1</v>
      </c>
      <c r="BB199" s="68">
        <f ca="1">IF(AND(SUMIF(Capacity_Resource,$D199,'Critical resources (hide)'!BO$6:BO$105)+SUMIF(Capacity_Resource,$E199,'Critical resources (hide)'!BO$6:BO$105)+SUMIF(Capacity_Resource,$F199,'Critical resources (hide)'!BO$6:BO$105)&gt;0,$E$1=2),0,1)</f>
        <v>1</v>
      </c>
      <c r="BC199" s="68">
        <f ca="1">IF(AND(SUMIF(Capacity_Resource,$D199,'Critical resources (hide)'!BP$6:BP$105)+SUMIF(Capacity_Resource,$E199,'Critical resources (hide)'!BP$6:BP$105)+SUMIF(Capacity_Resource,$F199,'Critical resources (hide)'!BP$6:BP$105)&gt;0,$E$1=2),0,1)</f>
        <v>1</v>
      </c>
      <c r="BD199" s="68">
        <f ca="1">IF(AND(SUMIF(Capacity_Resource,$D199,'Critical resources (hide)'!BQ$6:BQ$105)+SUMIF(Capacity_Resource,$E199,'Critical resources (hide)'!BQ$6:BQ$105)+SUMIF(Capacity_Resource,$F199,'Critical resources (hide)'!BQ$6:BQ$105)&gt;0,$E$1=2),0,1)</f>
        <v>1</v>
      </c>
      <c r="BE199" s="68">
        <f ca="1">IF(AND(SUMIF(Capacity_Resource,$D199,'Critical resources (hide)'!BR$6:BR$105)+SUMIF(Capacity_Resource,$E199,'Critical resources (hide)'!BR$6:BR$105)+SUMIF(Capacity_Resource,$F199,'Critical resources (hide)'!BR$6:BR$105)&gt;0,$E$1=2),0,1)</f>
        <v>1</v>
      </c>
      <c r="BF199" s="68">
        <f ca="1">IF(AND(SUMIF(Capacity_Resource,$D199,'Critical resources (hide)'!BS$6:BS$105)+SUMIF(Capacity_Resource,$E199,'Critical resources (hide)'!BS$6:BS$105)+SUMIF(Capacity_Resource,$F199,'Critical resources (hide)'!BS$6:BS$105)&gt;0,$E$1=2),0,1)</f>
        <v>1</v>
      </c>
      <c r="BG199" s="68">
        <f ca="1">IF(AND(SUMIF(Capacity_Resource,$D199,'Critical resources (hide)'!BT$6:BT$105)+SUMIF(Capacity_Resource,$E199,'Critical resources (hide)'!BT$6:BT$105)+SUMIF(Capacity_Resource,$F199,'Critical resources (hide)'!BT$6:BT$105)&gt;0,$E$1=2),0,1)</f>
        <v>1</v>
      </c>
      <c r="BH199" s="68">
        <f>IF(ROW(A88)&lt;=Capacity!$M$16,IF('Capacity summary'!$C$14="No",SUM(H199:BG199),'Capacity summary'!$E111),0)</f>
        <v>0</v>
      </c>
      <c r="BI199" s="68" t="str">
        <f>IF(BH199&gt;0,IF(BH199&lt;Capacity!Q104,Capacity!R104,Capacity!T104/'Capacity calculation (hide)'!BH199),"")</f>
        <v/>
      </c>
      <c r="BJ199" s="5"/>
      <c r="BK199" s="5">
        <f>IF($BI199&lt;&gt;"",IF('Capacity summary'!$C$14="Yes",IF(COUNTBLANK('Capacity summary'!$H111:$BG111)&lt;52,IF('Capacity summary'!H111&lt;&gt;"",$BI199*H199,0),H199*$BI199),H199*$BI199),0)</f>
        <v>0</v>
      </c>
      <c r="BL199" s="5">
        <f>IF($BI199&lt;&gt;"",IF('Capacity summary'!$C$14="Yes",IF(COUNTBLANK('Capacity summary'!$H111:$BG111)&lt;52,IF('Capacity summary'!I111&lt;&gt;"",$BI199*I199,0),I199*$BI199),I199*$BI199),0)</f>
        <v>0</v>
      </c>
      <c r="BM199" s="5">
        <f>IF($BI199&lt;&gt;"",IF('Capacity summary'!$C$14="Yes",IF(COUNTBLANK('Capacity summary'!$H111:$BG111)&lt;52,IF('Capacity summary'!J111&lt;&gt;"",$BI199*J199,0),J199*$BI199),J199*$BI199),0)</f>
        <v>0</v>
      </c>
      <c r="BN199" s="5">
        <f>IF($BI199&lt;&gt;"",IF('Capacity summary'!$C$14="Yes",IF(COUNTBLANK('Capacity summary'!$H111:$BG111)&lt;52,IF('Capacity summary'!K111&lt;&gt;"",$BI199*K199,0),K199*$BI199),K199*$BI199),0)</f>
        <v>0</v>
      </c>
      <c r="BO199" s="5">
        <f>IF($BI199&lt;&gt;"",IF('Capacity summary'!$C$14="Yes",IF(COUNTBLANK('Capacity summary'!$H111:$BG111)&lt;52,IF('Capacity summary'!L111&lt;&gt;"",$BI199*L199,0),L199*$BI199),L199*$BI199),0)</f>
        <v>0</v>
      </c>
      <c r="BP199" s="5">
        <f>IF($BI199&lt;&gt;"",IF('Capacity summary'!$C$14="Yes",IF(COUNTBLANK('Capacity summary'!$H111:$BG111)&lt;52,IF('Capacity summary'!M111&lt;&gt;"",$BI199*M199,0),M199*$BI199),M199*$BI199),0)</f>
        <v>0</v>
      </c>
      <c r="BQ199" s="5">
        <f>IF($BI199&lt;&gt;"",IF('Capacity summary'!$C$14="Yes",IF(COUNTBLANK('Capacity summary'!$H111:$BG111)&lt;52,IF('Capacity summary'!N111&lt;&gt;"",$BI199*N199,0),N199*$BI199),N199*$BI199),0)</f>
        <v>0</v>
      </c>
      <c r="BR199" s="5">
        <f>IF($BI199&lt;&gt;"",IF('Capacity summary'!$C$14="Yes",IF(COUNTBLANK('Capacity summary'!$H111:$BG111)&lt;52,IF('Capacity summary'!O111&lt;&gt;"",$BI199*O199,0),O199*$BI199),O199*$BI199),0)</f>
        <v>0</v>
      </c>
      <c r="BS199" s="5">
        <f>IF($BI199&lt;&gt;"",IF('Capacity summary'!$C$14="Yes",IF(COUNTBLANK('Capacity summary'!$H111:$BG111)&lt;52,IF('Capacity summary'!P111&lt;&gt;"",$BI199*P199,0),P199*$BI199),P199*$BI199),0)</f>
        <v>0</v>
      </c>
      <c r="BT199" s="5">
        <f>IF($BI199&lt;&gt;"",IF('Capacity summary'!$C$14="Yes",IF(COUNTBLANK('Capacity summary'!$H111:$BG111)&lt;52,IF('Capacity summary'!Q111&lt;&gt;"",$BI199*Q199,0),Q199*$BI199),Q199*$BI199),0)</f>
        <v>0</v>
      </c>
      <c r="BU199" s="5">
        <f>IF($BI199&lt;&gt;"",IF('Capacity summary'!$C$14="Yes",IF(COUNTBLANK('Capacity summary'!$H111:$BG111)&lt;52,IF('Capacity summary'!R111&lt;&gt;"",$BI199*R199,0),R199*$BI199),R199*$BI199),0)</f>
        <v>0</v>
      </c>
      <c r="BV199" s="5">
        <f>IF($BI199&lt;&gt;"",IF('Capacity summary'!$C$14="Yes",IF(COUNTBLANK('Capacity summary'!$H111:$BG111)&lt;52,IF('Capacity summary'!S111&lt;&gt;"",$BI199*S199,0),S199*$BI199),S199*$BI199),0)</f>
        <v>0</v>
      </c>
      <c r="BW199" s="5">
        <f>IF($BI199&lt;&gt;"",IF('Capacity summary'!$C$14="Yes",IF(COUNTBLANK('Capacity summary'!$H111:$BG111)&lt;52,IF('Capacity summary'!T111&lt;&gt;"",$BI199*T199,0),T199*$BI199),T199*$BI199),0)</f>
        <v>0</v>
      </c>
      <c r="BX199" s="5">
        <f>IF($BI199&lt;&gt;"",IF('Capacity summary'!$C$14="Yes",IF(COUNTBLANK('Capacity summary'!$H111:$BG111)&lt;52,IF('Capacity summary'!U111&lt;&gt;"",$BI199*U199,0),U199*$BI199),U199*$BI199),0)</f>
        <v>0</v>
      </c>
      <c r="BY199" s="5">
        <f>IF($BI199&lt;&gt;"",IF('Capacity summary'!$C$14="Yes",IF(COUNTBLANK('Capacity summary'!$H111:$BG111)&lt;52,IF('Capacity summary'!V111&lt;&gt;"",$BI199*V199,0),V199*$BI199),V199*$BI199),0)</f>
        <v>0</v>
      </c>
      <c r="BZ199" s="5">
        <f>IF($BI199&lt;&gt;"",IF('Capacity summary'!$C$14="Yes",IF(COUNTBLANK('Capacity summary'!$H111:$BG111)&lt;52,IF('Capacity summary'!W111&lt;&gt;"",$BI199*W199,0),W199*$BI199),W199*$BI199),0)</f>
        <v>0</v>
      </c>
      <c r="CA199" s="5">
        <f>IF($BI199&lt;&gt;"",IF('Capacity summary'!$C$14="Yes",IF(COUNTBLANK('Capacity summary'!$H111:$BG111)&lt;52,IF('Capacity summary'!X111&lt;&gt;"",$BI199*X199,0),X199*$BI199),X199*$BI199),0)</f>
        <v>0</v>
      </c>
      <c r="CB199" s="5">
        <f>IF($BI199&lt;&gt;"",IF('Capacity summary'!$C$14="Yes",IF(COUNTBLANK('Capacity summary'!$H111:$BG111)&lt;52,IF('Capacity summary'!Y111&lt;&gt;"",$BI199*Y199,0),Y199*$BI199),Y199*$BI199),0)</f>
        <v>0</v>
      </c>
      <c r="CC199" s="5">
        <f>IF($BI199&lt;&gt;"",IF('Capacity summary'!$C$14="Yes",IF(COUNTBLANK('Capacity summary'!$H111:$BG111)&lt;52,IF('Capacity summary'!Z111&lt;&gt;"",$BI199*Z199,0),Z199*$BI199),Z199*$BI199),0)</f>
        <v>0</v>
      </c>
      <c r="CD199" s="5">
        <f>IF($BI199&lt;&gt;"",IF('Capacity summary'!$C$14="Yes",IF(COUNTBLANK('Capacity summary'!$H111:$BG111)&lt;52,IF('Capacity summary'!AA111&lt;&gt;"",$BI199*AA199,0),AA199*$BI199),AA199*$BI199),0)</f>
        <v>0</v>
      </c>
      <c r="CE199" s="5">
        <f>IF($BI199&lt;&gt;"",IF('Capacity summary'!$C$14="Yes",IF(COUNTBLANK('Capacity summary'!$H111:$BG111)&lt;52,IF('Capacity summary'!AB111&lt;&gt;"",$BI199*AB199,0),AB199*$BI199),AB199*$BI199),0)</f>
        <v>0</v>
      </c>
      <c r="CF199" s="5">
        <f>IF($BI199&lt;&gt;"",IF('Capacity summary'!$C$14="Yes",IF(COUNTBLANK('Capacity summary'!$H111:$BG111)&lt;52,IF('Capacity summary'!AC111&lt;&gt;"",$BI199*AC199,0),AC199*$BI199),AC199*$BI199),0)</f>
        <v>0</v>
      </c>
      <c r="CG199" s="5">
        <f>IF($BI199&lt;&gt;"",IF('Capacity summary'!$C$14="Yes",IF(COUNTBLANK('Capacity summary'!$H111:$BG111)&lt;52,IF('Capacity summary'!AD111&lt;&gt;"",$BI199*AD199,0),AD199*$BI199),AD199*$BI199),0)</f>
        <v>0</v>
      </c>
      <c r="CH199" s="5">
        <f>IF($BI199&lt;&gt;"",IF('Capacity summary'!$C$14="Yes",IF(COUNTBLANK('Capacity summary'!$H111:$BG111)&lt;52,IF('Capacity summary'!AE111&lt;&gt;"",$BI199*AE199,0),AE199*$BI199),AE199*$BI199),0)</f>
        <v>0</v>
      </c>
      <c r="CI199" s="5">
        <f>IF($BI199&lt;&gt;"",IF('Capacity summary'!$C$14="Yes",IF(COUNTBLANK('Capacity summary'!$H111:$BG111)&lt;52,IF('Capacity summary'!AF111&lt;&gt;"",$BI199*AF199,0),AF199*$BI199),AF199*$BI199),0)</f>
        <v>0</v>
      </c>
      <c r="CJ199" s="5">
        <f>IF($BI199&lt;&gt;"",IF('Capacity summary'!$C$14="Yes",IF(COUNTBLANK('Capacity summary'!$H111:$BG111)&lt;52,IF('Capacity summary'!AG111&lt;&gt;"",$BI199*AG199,0),AG199*$BI199),AG199*$BI199),0)</f>
        <v>0</v>
      </c>
      <c r="CK199" s="5">
        <f>IF($BI199&lt;&gt;"",IF('Capacity summary'!$C$14="Yes",IF(COUNTBLANK('Capacity summary'!$H111:$BG111)&lt;52,IF('Capacity summary'!AH111&lt;&gt;"",$BI199*AH199,0),AH199*$BI199),AH199*$BI199),0)</f>
        <v>0</v>
      </c>
      <c r="CL199" s="5">
        <f>IF($BI199&lt;&gt;"",IF('Capacity summary'!$C$14="Yes",IF(COUNTBLANK('Capacity summary'!$H111:$BG111)&lt;52,IF('Capacity summary'!AI111&lt;&gt;"",$BI199*AI199,0),AI199*$BI199),AI199*$BI199),0)</f>
        <v>0</v>
      </c>
      <c r="CM199" s="5">
        <f>IF($BI199&lt;&gt;"",IF('Capacity summary'!$C$14="Yes",IF(COUNTBLANK('Capacity summary'!$H111:$BG111)&lt;52,IF('Capacity summary'!AJ111&lt;&gt;"",$BI199*AJ199,0),AJ199*$BI199),AJ199*$BI199),0)</f>
        <v>0</v>
      </c>
      <c r="CN199" s="5">
        <f>IF($BI199&lt;&gt;"",IF('Capacity summary'!$C$14="Yes",IF(COUNTBLANK('Capacity summary'!$H111:$BG111)&lt;52,IF('Capacity summary'!AK111&lt;&gt;"",$BI199*AK199,0),AK199*$BI199),AK199*$BI199),0)</f>
        <v>0</v>
      </c>
      <c r="CO199" s="5">
        <f>IF($BI199&lt;&gt;"",IF('Capacity summary'!$C$14="Yes",IF(COUNTBLANK('Capacity summary'!$H111:$BG111)&lt;52,IF('Capacity summary'!AL111&lt;&gt;"",$BI199*AL199,0),AL199*$BI199),AL199*$BI199),0)</f>
        <v>0</v>
      </c>
      <c r="CP199" s="5">
        <f>IF($BI199&lt;&gt;"",IF('Capacity summary'!$C$14="Yes",IF(COUNTBLANK('Capacity summary'!$H111:$BG111)&lt;52,IF('Capacity summary'!AM111&lt;&gt;"",$BI199*AM199,0),AM199*$BI199),AM199*$BI199),0)</f>
        <v>0</v>
      </c>
      <c r="CQ199" s="5">
        <f>IF($BI199&lt;&gt;"",IF('Capacity summary'!$C$14="Yes",IF(COUNTBLANK('Capacity summary'!$H111:$BG111)&lt;52,IF('Capacity summary'!AN111&lt;&gt;"",$BI199*AN199,0),AN199*$BI199),AN199*$BI199),0)</f>
        <v>0</v>
      </c>
      <c r="CR199" s="5">
        <f>IF($BI199&lt;&gt;"",IF('Capacity summary'!$C$14="Yes",IF(COUNTBLANK('Capacity summary'!$H111:$BG111)&lt;52,IF('Capacity summary'!AO111&lt;&gt;"",$BI199*AO199,0),AO199*$BI199),AO199*$BI199),0)</f>
        <v>0</v>
      </c>
      <c r="CS199" s="5">
        <f>IF($BI199&lt;&gt;"",IF('Capacity summary'!$C$14="Yes",IF(COUNTBLANK('Capacity summary'!$H111:$BG111)&lt;52,IF('Capacity summary'!AP111&lt;&gt;"",$BI199*AP199,0),AP199*$BI199),AP199*$BI199),0)</f>
        <v>0</v>
      </c>
      <c r="CT199" s="5">
        <f>IF($BI199&lt;&gt;"",IF('Capacity summary'!$C$14="Yes",IF(COUNTBLANK('Capacity summary'!$H111:$BG111)&lt;52,IF('Capacity summary'!AQ111&lt;&gt;"",$BI199*AQ199,0),AQ199*$BI199),AQ199*$BI199),0)</f>
        <v>0</v>
      </c>
      <c r="CU199" s="5">
        <f>IF($BI199&lt;&gt;"",IF('Capacity summary'!$C$14="Yes",IF(COUNTBLANK('Capacity summary'!$H111:$BG111)&lt;52,IF('Capacity summary'!AR111&lt;&gt;"",$BI199*AR199,0),AR199*$BI199),AR199*$BI199),0)</f>
        <v>0</v>
      </c>
      <c r="CV199" s="5">
        <f>IF($BI199&lt;&gt;"",IF('Capacity summary'!$C$14="Yes",IF(COUNTBLANK('Capacity summary'!$H111:$BG111)&lt;52,IF('Capacity summary'!AS111&lt;&gt;"",$BI199*AS199,0),AS199*$BI199),AS199*$BI199),0)</f>
        <v>0</v>
      </c>
      <c r="CW199" s="5">
        <f>IF($BI199&lt;&gt;"",IF('Capacity summary'!$C$14="Yes",IF(COUNTBLANK('Capacity summary'!$H111:$BG111)&lt;52,IF('Capacity summary'!AT111&lt;&gt;"",$BI199*AT199,0),AT199*$BI199),AT199*$BI199),0)</f>
        <v>0</v>
      </c>
      <c r="CX199" s="5">
        <f>IF($BI199&lt;&gt;"",IF('Capacity summary'!$C$14="Yes",IF(COUNTBLANK('Capacity summary'!$H111:$BG111)&lt;52,IF('Capacity summary'!AU111&lt;&gt;"",$BI199*AU199,0),AU199*$BI199),AU199*$BI199),0)</f>
        <v>0</v>
      </c>
      <c r="CY199" s="5">
        <f>IF($BI199&lt;&gt;"",IF('Capacity summary'!$C$14="Yes",IF(COUNTBLANK('Capacity summary'!$H111:$BG111)&lt;52,IF('Capacity summary'!AV111&lt;&gt;"",$BI199*AV199,0),AV199*$BI199),AV199*$BI199),0)</f>
        <v>0</v>
      </c>
      <c r="CZ199" s="5">
        <f>IF($BI199&lt;&gt;"",IF('Capacity summary'!$C$14="Yes",IF(COUNTBLANK('Capacity summary'!$H111:$BG111)&lt;52,IF('Capacity summary'!AW111&lt;&gt;"",$BI199*AW199,0),AW199*$BI199),AW199*$BI199),0)</f>
        <v>0</v>
      </c>
      <c r="DA199" s="5">
        <f>IF($BI199&lt;&gt;"",IF('Capacity summary'!$C$14="Yes",IF(COUNTBLANK('Capacity summary'!$H111:$BG111)&lt;52,IF('Capacity summary'!AX111&lt;&gt;"",$BI199*AX199,0),AX199*$BI199),AX199*$BI199),0)</f>
        <v>0</v>
      </c>
      <c r="DB199" s="5">
        <f>IF($BI199&lt;&gt;"",IF('Capacity summary'!$C$14="Yes",IF(COUNTBLANK('Capacity summary'!$H111:$BG111)&lt;52,IF('Capacity summary'!AY111&lt;&gt;"",$BI199*AY199,0),AY199*$BI199),AY199*$BI199),0)</f>
        <v>0</v>
      </c>
      <c r="DC199" s="5">
        <f>IF($BI199&lt;&gt;"",IF('Capacity summary'!$C$14="Yes",IF(COUNTBLANK('Capacity summary'!$H111:$BG111)&lt;52,IF('Capacity summary'!AZ111&lt;&gt;"",$BI199*AZ199,0),AZ199*$BI199),AZ199*$BI199),0)</f>
        <v>0</v>
      </c>
      <c r="DD199" s="5">
        <f>IF($BI199&lt;&gt;"",IF('Capacity summary'!$C$14="Yes",IF(COUNTBLANK('Capacity summary'!$H111:$BG111)&lt;52,IF('Capacity summary'!BA111&lt;&gt;"",$BI199*BA199,0),BA199*$BI199),BA199*$BI199),0)</f>
        <v>0</v>
      </c>
      <c r="DE199" s="5">
        <f>IF($BI199&lt;&gt;"",IF('Capacity summary'!$C$14="Yes",IF(COUNTBLANK('Capacity summary'!$H111:$BG111)&lt;52,IF('Capacity summary'!BB111&lt;&gt;"",$BI199*BB199,0),BB199*$BI199),BB199*$BI199),0)</f>
        <v>0</v>
      </c>
      <c r="DF199" s="5">
        <f>IF($BI199&lt;&gt;"",IF('Capacity summary'!$C$14="Yes",IF(COUNTBLANK('Capacity summary'!$H111:$BG111)&lt;52,IF('Capacity summary'!BC111&lt;&gt;"",$BI199*BC199,0),BC199*$BI199),BC199*$BI199),0)</f>
        <v>0</v>
      </c>
      <c r="DG199" s="5">
        <f>IF($BI199&lt;&gt;"",IF('Capacity summary'!$C$14="Yes",IF(COUNTBLANK('Capacity summary'!$H111:$BG111)&lt;52,IF('Capacity summary'!BD111&lt;&gt;"",$BI199*BD199,0),BD199*$BI199),BD199*$BI199),0)</f>
        <v>0</v>
      </c>
      <c r="DH199" s="5">
        <f>IF($BI199&lt;&gt;"",IF('Capacity summary'!$C$14="Yes",IF(COUNTBLANK('Capacity summary'!$H111:$BG111)&lt;52,IF('Capacity summary'!BE111&lt;&gt;"",$BI199*BE199,0),BE199*$BI199),BE199*$BI199),0)</f>
        <v>0</v>
      </c>
      <c r="DI199" s="5">
        <f>IF($BI199&lt;&gt;"",IF('Capacity summary'!$C$14="Yes",IF(COUNTBLANK('Capacity summary'!$H111:$BG111)&lt;52,IF('Capacity summary'!BF111&lt;&gt;"",$BI199*BF199,0),BF199*$BI199),BF199*$BI199),0)</f>
        <v>0</v>
      </c>
      <c r="DJ199" s="5">
        <f>IF($BI199&lt;&gt;"",IF('Capacity summary'!$C$14="Yes",IF(COUNTBLANK('Capacity summary'!$H111:$BG111)&lt;52,IF('Capacity summary'!BG111&lt;&gt;"",$BI199*BG199,0),BG199*$BI199),BG199*$BI199),0)</f>
        <v>0</v>
      </c>
      <c r="DK199" s="138">
        <f t="shared" si="7"/>
        <v>0</v>
      </c>
    </row>
    <row r="200" spans="3:115" x14ac:dyDescent="0.2">
      <c r="C200" s="68" t="str">
        <f>ROW(A89)&amp;". "&amp;Capacity!N105</f>
        <v xml:space="preserve">89. </v>
      </c>
      <c r="D200" s="68">
        <f>'Capacity setup'!C206</f>
        <v>0</v>
      </c>
      <c r="E200" s="68">
        <f>'Capacity setup'!D206</f>
        <v>0</v>
      </c>
      <c r="F200" s="68">
        <f>'Capacity setup'!E206</f>
        <v>0</v>
      </c>
      <c r="H200" s="68">
        <f ca="1">IF(AND(SUMIF(Capacity_Resource,$D200,'Critical resources (hide)'!U$6:U$105)+SUMIF(Capacity_Resource,$E200,'Critical resources (hide)'!U$6:U$105)+SUMIF(Capacity_Resource,$F200,'Critical resources (hide)'!U$6:U$105)&gt;0,$E$1=2),0,1)</f>
        <v>1</v>
      </c>
      <c r="I200" s="68">
        <f ca="1">IF(AND(SUMIF(Capacity_Resource,$D200,'Critical resources (hide)'!V$6:V$105)+SUMIF(Capacity_Resource,$E200,'Critical resources (hide)'!V$6:V$105)+SUMIF(Capacity_Resource,$F200,'Critical resources (hide)'!V$6:V$105)&gt;0,$E$1=2),0,1)</f>
        <v>1</v>
      </c>
      <c r="J200" s="68">
        <f ca="1">IF(AND(SUMIF(Capacity_Resource,$D200,'Critical resources (hide)'!W$6:W$105)+SUMIF(Capacity_Resource,$E200,'Critical resources (hide)'!W$6:W$105)+SUMIF(Capacity_Resource,$F200,'Critical resources (hide)'!W$6:W$105)&gt;0,$E$1=2),0,1)</f>
        <v>1</v>
      </c>
      <c r="K200" s="68">
        <f ca="1">IF(AND(SUMIF(Capacity_Resource,$D200,'Critical resources (hide)'!X$6:X$105)+SUMIF(Capacity_Resource,$E200,'Critical resources (hide)'!X$6:X$105)+SUMIF(Capacity_Resource,$F200,'Critical resources (hide)'!X$6:X$105)&gt;0,$E$1=2),0,1)</f>
        <v>1</v>
      </c>
      <c r="L200" s="68">
        <f ca="1">IF(AND(SUMIF(Capacity_Resource,$D200,'Critical resources (hide)'!Y$6:Y$105)+SUMIF(Capacity_Resource,$E200,'Critical resources (hide)'!Y$6:Y$105)+SUMIF(Capacity_Resource,$F200,'Critical resources (hide)'!Y$6:Y$105)&gt;0,$E$1=2),0,1)</f>
        <v>1</v>
      </c>
      <c r="M200" s="68">
        <f ca="1">IF(AND(SUMIF(Capacity_Resource,$D200,'Critical resources (hide)'!Z$6:Z$105)+SUMIF(Capacity_Resource,$E200,'Critical resources (hide)'!Z$6:Z$105)+SUMIF(Capacity_Resource,$F200,'Critical resources (hide)'!Z$6:Z$105)&gt;0,$E$1=2),0,1)</f>
        <v>1</v>
      </c>
      <c r="N200" s="68">
        <f ca="1">IF(AND(SUMIF(Capacity_Resource,$D200,'Critical resources (hide)'!AA$6:AA$105)+SUMIF(Capacity_Resource,$E200,'Critical resources (hide)'!AA$6:AA$105)+SUMIF(Capacity_Resource,$F200,'Critical resources (hide)'!AA$6:AA$105)&gt;0,$E$1=2),0,1)</f>
        <v>1</v>
      </c>
      <c r="O200" s="68">
        <f ca="1">IF(AND(SUMIF(Capacity_Resource,$D200,'Critical resources (hide)'!AB$6:AB$105)+SUMIF(Capacity_Resource,$E200,'Critical resources (hide)'!AB$6:AB$105)+SUMIF(Capacity_Resource,$F200,'Critical resources (hide)'!AB$6:AB$105)&gt;0,$E$1=2),0,1)</f>
        <v>1</v>
      </c>
      <c r="P200" s="68">
        <f ca="1">IF(AND(SUMIF(Capacity_Resource,$D200,'Critical resources (hide)'!AC$6:AC$105)+SUMIF(Capacity_Resource,$E200,'Critical resources (hide)'!AC$6:AC$105)+SUMIF(Capacity_Resource,$F200,'Critical resources (hide)'!AC$6:AC$105)&gt;0,$E$1=2),0,1)</f>
        <v>1</v>
      </c>
      <c r="Q200" s="68">
        <f ca="1">IF(AND(SUMIF(Capacity_Resource,$D200,'Critical resources (hide)'!AD$6:AD$105)+SUMIF(Capacity_Resource,$E200,'Critical resources (hide)'!AD$6:AD$105)+SUMIF(Capacity_Resource,$F200,'Critical resources (hide)'!AD$6:AD$105)&gt;0,$E$1=2),0,1)</f>
        <v>1</v>
      </c>
      <c r="R200" s="68">
        <f ca="1">IF(AND(SUMIF(Capacity_Resource,$D200,'Critical resources (hide)'!AE$6:AE$105)+SUMIF(Capacity_Resource,$E200,'Critical resources (hide)'!AE$6:AE$105)+SUMIF(Capacity_Resource,$F200,'Critical resources (hide)'!AE$6:AE$105)&gt;0,$E$1=2),0,1)</f>
        <v>1</v>
      </c>
      <c r="S200" s="68">
        <f ca="1">IF(AND(SUMIF(Capacity_Resource,$D200,'Critical resources (hide)'!AF$6:AF$105)+SUMIF(Capacity_Resource,$E200,'Critical resources (hide)'!AF$6:AF$105)+SUMIF(Capacity_Resource,$F200,'Critical resources (hide)'!AF$6:AF$105)&gt;0,$E$1=2),0,1)</f>
        <v>1</v>
      </c>
      <c r="T200" s="68">
        <f ca="1">IF(AND(SUMIF(Capacity_Resource,$D200,'Critical resources (hide)'!AG$6:AG$105)+SUMIF(Capacity_Resource,$E200,'Critical resources (hide)'!AG$6:AG$105)+SUMIF(Capacity_Resource,$F200,'Critical resources (hide)'!AG$6:AG$105)&gt;0,$E$1=2),0,1)</f>
        <v>1</v>
      </c>
      <c r="U200" s="68">
        <f ca="1">IF(AND(SUMIF(Capacity_Resource,$D200,'Critical resources (hide)'!AH$6:AH$105)+SUMIF(Capacity_Resource,$E200,'Critical resources (hide)'!AH$6:AH$105)+SUMIF(Capacity_Resource,$F200,'Critical resources (hide)'!AH$6:AH$105)&gt;0,$E$1=2),0,1)</f>
        <v>1</v>
      </c>
      <c r="V200" s="68">
        <f ca="1">IF(AND(SUMIF(Capacity_Resource,$D200,'Critical resources (hide)'!AI$6:AI$105)+SUMIF(Capacity_Resource,$E200,'Critical resources (hide)'!AI$6:AI$105)+SUMIF(Capacity_Resource,$F200,'Critical resources (hide)'!AI$6:AI$105)&gt;0,$E$1=2),0,1)</f>
        <v>1</v>
      </c>
      <c r="W200" s="68">
        <f ca="1">IF(AND(SUMIF(Capacity_Resource,$D200,'Critical resources (hide)'!AJ$6:AJ$105)+SUMIF(Capacity_Resource,$E200,'Critical resources (hide)'!AJ$6:AJ$105)+SUMIF(Capacity_Resource,$F200,'Critical resources (hide)'!AJ$6:AJ$105)&gt;0,$E$1=2),0,1)</f>
        <v>1</v>
      </c>
      <c r="X200" s="68">
        <f ca="1">IF(AND(SUMIF(Capacity_Resource,$D200,'Critical resources (hide)'!AK$6:AK$105)+SUMIF(Capacity_Resource,$E200,'Critical resources (hide)'!AK$6:AK$105)+SUMIF(Capacity_Resource,$F200,'Critical resources (hide)'!AK$6:AK$105)&gt;0,$E$1=2),0,1)</f>
        <v>1</v>
      </c>
      <c r="Y200" s="68">
        <f ca="1">IF(AND(SUMIF(Capacity_Resource,$D200,'Critical resources (hide)'!AL$6:AL$105)+SUMIF(Capacity_Resource,$E200,'Critical resources (hide)'!AL$6:AL$105)+SUMIF(Capacity_Resource,$F200,'Critical resources (hide)'!AL$6:AL$105)&gt;0,$E$1=2),0,1)</f>
        <v>1</v>
      </c>
      <c r="Z200" s="68">
        <f ca="1">IF(AND(SUMIF(Capacity_Resource,$D200,'Critical resources (hide)'!AM$6:AM$105)+SUMIF(Capacity_Resource,$E200,'Critical resources (hide)'!AM$6:AM$105)+SUMIF(Capacity_Resource,$F200,'Critical resources (hide)'!AM$6:AM$105)&gt;0,$E$1=2),0,1)</f>
        <v>1</v>
      </c>
      <c r="AA200" s="68">
        <f ca="1">IF(AND(SUMIF(Capacity_Resource,$D200,'Critical resources (hide)'!AN$6:AN$105)+SUMIF(Capacity_Resource,$E200,'Critical resources (hide)'!AN$6:AN$105)+SUMIF(Capacity_Resource,$F200,'Critical resources (hide)'!AN$6:AN$105)&gt;0,$E$1=2),0,1)</f>
        <v>1</v>
      </c>
      <c r="AB200" s="68">
        <f ca="1">IF(AND(SUMIF(Capacity_Resource,$D200,'Critical resources (hide)'!AO$6:AO$105)+SUMIF(Capacity_Resource,$E200,'Critical resources (hide)'!AO$6:AO$105)+SUMIF(Capacity_Resource,$F200,'Critical resources (hide)'!AO$6:AO$105)&gt;0,$E$1=2),0,1)</f>
        <v>1</v>
      </c>
      <c r="AC200" s="68">
        <f ca="1">IF(AND(SUMIF(Capacity_Resource,$D200,'Critical resources (hide)'!AP$6:AP$105)+SUMIF(Capacity_Resource,$E200,'Critical resources (hide)'!AP$6:AP$105)+SUMIF(Capacity_Resource,$F200,'Critical resources (hide)'!AP$6:AP$105)&gt;0,$E$1=2),0,1)</f>
        <v>1</v>
      </c>
      <c r="AD200" s="68">
        <f ca="1">IF(AND(SUMIF(Capacity_Resource,$D200,'Critical resources (hide)'!AQ$6:AQ$105)+SUMIF(Capacity_Resource,$E200,'Critical resources (hide)'!AQ$6:AQ$105)+SUMIF(Capacity_Resource,$F200,'Critical resources (hide)'!AQ$6:AQ$105)&gt;0,$E$1=2),0,1)</f>
        <v>1</v>
      </c>
      <c r="AE200" s="68">
        <f ca="1">IF(AND(SUMIF(Capacity_Resource,$D200,'Critical resources (hide)'!AR$6:AR$105)+SUMIF(Capacity_Resource,$E200,'Critical resources (hide)'!AR$6:AR$105)+SUMIF(Capacity_Resource,$F200,'Critical resources (hide)'!AR$6:AR$105)&gt;0,$E$1=2),0,1)</f>
        <v>1</v>
      </c>
      <c r="AF200" s="68">
        <f ca="1">IF(AND(SUMIF(Capacity_Resource,$D200,'Critical resources (hide)'!AS$6:AS$105)+SUMIF(Capacity_Resource,$E200,'Critical resources (hide)'!AS$6:AS$105)+SUMIF(Capacity_Resource,$F200,'Critical resources (hide)'!AS$6:AS$105)&gt;0,$E$1=2),0,1)</f>
        <v>1</v>
      </c>
      <c r="AG200" s="68">
        <f ca="1">IF(AND(SUMIF(Capacity_Resource,$D200,'Critical resources (hide)'!AT$6:AT$105)+SUMIF(Capacity_Resource,$E200,'Critical resources (hide)'!AT$6:AT$105)+SUMIF(Capacity_Resource,$F200,'Critical resources (hide)'!AT$6:AT$105)&gt;0,$E$1=2),0,1)</f>
        <v>1</v>
      </c>
      <c r="AH200" s="68">
        <f ca="1">IF(AND(SUMIF(Capacity_Resource,$D200,'Critical resources (hide)'!AU$6:AU$105)+SUMIF(Capacity_Resource,$E200,'Critical resources (hide)'!AU$6:AU$105)+SUMIF(Capacity_Resource,$F200,'Critical resources (hide)'!AU$6:AU$105)&gt;0,$E$1=2),0,1)</f>
        <v>1</v>
      </c>
      <c r="AI200" s="68">
        <f ca="1">IF(AND(SUMIF(Capacity_Resource,$D200,'Critical resources (hide)'!AV$6:AV$105)+SUMIF(Capacity_Resource,$E200,'Critical resources (hide)'!AV$6:AV$105)+SUMIF(Capacity_Resource,$F200,'Critical resources (hide)'!AV$6:AV$105)&gt;0,$E$1=2),0,1)</f>
        <v>1</v>
      </c>
      <c r="AJ200" s="68">
        <f ca="1">IF(AND(SUMIF(Capacity_Resource,$D200,'Critical resources (hide)'!AW$6:AW$105)+SUMIF(Capacity_Resource,$E200,'Critical resources (hide)'!AW$6:AW$105)+SUMIF(Capacity_Resource,$F200,'Critical resources (hide)'!AW$6:AW$105)&gt;0,$E$1=2),0,1)</f>
        <v>1</v>
      </c>
      <c r="AK200" s="68">
        <f ca="1">IF(AND(SUMIF(Capacity_Resource,$D200,'Critical resources (hide)'!AX$6:AX$105)+SUMIF(Capacity_Resource,$E200,'Critical resources (hide)'!AX$6:AX$105)+SUMIF(Capacity_Resource,$F200,'Critical resources (hide)'!AX$6:AX$105)&gt;0,$E$1=2),0,1)</f>
        <v>1</v>
      </c>
      <c r="AL200" s="68">
        <f ca="1">IF(AND(SUMIF(Capacity_Resource,$D200,'Critical resources (hide)'!AY$6:AY$105)+SUMIF(Capacity_Resource,$E200,'Critical resources (hide)'!AY$6:AY$105)+SUMIF(Capacity_Resource,$F200,'Critical resources (hide)'!AY$6:AY$105)&gt;0,$E$1=2),0,1)</f>
        <v>1</v>
      </c>
      <c r="AM200" s="68">
        <f ca="1">IF(AND(SUMIF(Capacity_Resource,$D200,'Critical resources (hide)'!AZ$6:AZ$105)+SUMIF(Capacity_Resource,$E200,'Critical resources (hide)'!AZ$6:AZ$105)+SUMIF(Capacity_Resource,$F200,'Critical resources (hide)'!AZ$6:AZ$105)&gt;0,$E$1=2),0,1)</f>
        <v>1</v>
      </c>
      <c r="AN200" s="68">
        <f ca="1">IF(AND(SUMIF(Capacity_Resource,$D200,'Critical resources (hide)'!BA$6:BA$105)+SUMIF(Capacity_Resource,$E200,'Critical resources (hide)'!BA$6:BA$105)+SUMIF(Capacity_Resource,$F200,'Critical resources (hide)'!BA$6:BA$105)&gt;0,$E$1=2),0,1)</f>
        <v>1</v>
      </c>
      <c r="AO200" s="68">
        <f ca="1">IF(AND(SUMIF(Capacity_Resource,$D200,'Critical resources (hide)'!BB$6:BB$105)+SUMIF(Capacity_Resource,$E200,'Critical resources (hide)'!BB$6:BB$105)+SUMIF(Capacity_Resource,$F200,'Critical resources (hide)'!BB$6:BB$105)&gt;0,$E$1=2),0,1)</f>
        <v>1</v>
      </c>
      <c r="AP200" s="68">
        <f ca="1">IF(AND(SUMIF(Capacity_Resource,$D200,'Critical resources (hide)'!BC$6:BC$105)+SUMIF(Capacity_Resource,$E200,'Critical resources (hide)'!BC$6:BC$105)+SUMIF(Capacity_Resource,$F200,'Critical resources (hide)'!BC$6:BC$105)&gt;0,$E$1=2),0,1)</f>
        <v>1</v>
      </c>
      <c r="AQ200" s="68">
        <f ca="1">IF(AND(SUMIF(Capacity_Resource,$D200,'Critical resources (hide)'!BD$6:BD$105)+SUMIF(Capacity_Resource,$E200,'Critical resources (hide)'!BD$6:BD$105)+SUMIF(Capacity_Resource,$F200,'Critical resources (hide)'!BD$6:BD$105)&gt;0,$E$1=2),0,1)</f>
        <v>1</v>
      </c>
      <c r="AR200" s="68">
        <f ca="1">IF(AND(SUMIF(Capacity_Resource,$D200,'Critical resources (hide)'!BE$6:BE$105)+SUMIF(Capacity_Resource,$E200,'Critical resources (hide)'!BE$6:BE$105)+SUMIF(Capacity_Resource,$F200,'Critical resources (hide)'!BE$6:BE$105)&gt;0,$E$1=2),0,1)</f>
        <v>1</v>
      </c>
      <c r="AS200" s="68">
        <f ca="1">IF(AND(SUMIF(Capacity_Resource,$D200,'Critical resources (hide)'!BF$6:BF$105)+SUMIF(Capacity_Resource,$E200,'Critical resources (hide)'!BF$6:BF$105)+SUMIF(Capacity_Resource,$F200,'Critical resources (hide)'!BF$6:BF$105)&gt;0,$E$1=2),0,1)</f>
        <v>1</v>
      </c>
      <c r="AT200" s="68">
        <f ca="1">IF(AND(SUMIF(Capacity_Resource,$D200,'Critical resources (hide)'!BG$6:BG$105)+SUMIF(Capacity_Resource,$E200,'Critical resources (hide)'!BG$6:BG$105)+SUMIF(Capacity_Resource,$F200,'Critical resources (hide)'!BG$6:BG$105)&gt;0,$E$1=2),0,1)</f>
        <v>1</v>
      </c>
      <c r="AU200" s="68">
        <f ca="1">IF(AND(SUMIF(Capacity_Resource,$D200,'Critical resources (hide)'!BH$6:BH$105)+SUMIF(Capacity_Resource,$E200,'Critical resources (hide)'!BH$6:BH$105)+SUMIF(Capacity_Resource,$F200,'Critical resources (hide)'!BH$6:BH$105)&gt;0,$E$1=2),0,1)</f>
        <v>1</v>
      </c>
      <c r="AV200" s="68">
        <f ca="1">IF(AND(SUMIF(Capacity_Resource,$D200,'Critical resources (hide)'!BI$6:BI$105)+SUMIF(Capacity_Resource,$E200,'Critical resources (hide)'!BI$6:BI$105)+SUMIF(Capacity_Resource,$F200,'Critical resources (hide)'!BI$6:BI$105)&gt;0,$E$1=2),0,1)</f>
        <v>1</v>
      </c>
      <c r="AW200" s="68">
        <f ca="1">IF(AND(SUMIF(Capacity_Resource,$D200,'Critical resources (hide)'!BJ$6:BJ$105)+SUMIF(Capacity_Resource,$E200,'Critical resources (hide)'!BJ$6:BJ$105)+SUMIF(Capacity_Resource,$F200,'Critical resources (hide)'!BJ$6:BJ$105)&gt;0,$E$1=2),0,1)</f>
        <v>1</v>
      </c>
      <c r="AX200" s="68">
        <f ca="1">IF(AND(SUMIF(Capacity_Resource,$D200,'Critical resources (hide)'!BK$6:BK$105)+SUMIF(Capacity_Resource,$E200,'Critical resources (hide)'!BK$6:BK$105)+SUMIF(Capacity_Resource,$F200,'Critical resources (hide)'!BK$6:BK$105)&gt;0,$E$1=2),0,1)</f>
        <v>1</v>
      </c>
      <c r="AY200" s="68">
        <f ca="1">IF(AND(SUMIF(Capacity_Resource,$D200,'Critical resources (hide)'!BL$6:BL$105)+SUMIF(Capacity_Resource,$E200,'Critical resources (hide)'!BL$6:BL$105)+SUMIF(Capacity_Resource,$F200,'Critical resources (hide)'!BL$6:BL$105)&gt;0,$E$1=2),0,1)</f>
        <v>1</v>
      </c>
      <c r="AZ200" s="68">
        <f ca="1">IF(AND(SUMIF(Capacity_Resource,$D200,'Critical resources (hide)'!BM$6:BM$105)+SUMIF(Capacity_Resource,$E200,'Critical resources (hide)'!BM$6:BM$105)+SUMIF(Capacity_Resource,$F200,'Critical resources (hide)'!BM$6:BM$105)&gt;0,$E$1=2),0,1)</f>
        <v>1</v>
      </c>
      <c r="BA200" s="68">
        <f ca="1">IF(AND(SUMIF(Capacity_Resource,$D200,'Critical resources (hide)'!BN$6:BN$105)+SUMIF(Capacity_Resource,$E200,'Critical resources (hide)'!BN$6:BN$105)+SUMIF(Capacity_Resource,$F200,'Critical resources (hide)'!BN$6:BN$105)&gt;0,$E$1=2),0,1)</f>
        <v>1</v>
      </c>
      <c r="BB200" s="68">
        <f ca="1">IF(AND(SUMIF(Capacity_Resource,$D200,'Critical resources (hide)'!BO$6:BO$105)+SUMIF(Capacity_Resource,$E200,'Critical resources (hide)'!BO$6:BO$105)+SUMIF(Capacity_Resource,$F200,'Critical resources (hide)'!BO$6:BO$105)&gt;0,$E$1=2),0,1)</f>
        <v>1</v>
      </c>
      <c r="BC200" s="68">
        <f ca="1">IF(AND(SUMIF(Capacity_Resource,$D200,'Critical resources (hide)'!BP$6:BP$105)+SUMIF(Capacity_Resource,$E200,'Critical resources (hide)'!BP$6:BP$105)+SUMIF(Capacity_Resource,$F200,'Critical resources (hide)'!BP$6:BP$105)&gt;0,$E$1=2),0,1)</f>
        <v>1</v>
      </c>
      <c r="BD200" s="68">
        <f ca="1">IF(AND(SUMIF(Capacity_Resource,$D200,'Critical resources (hide)'!BQ$6:BQ$105)+SUMIF(Capacity_Resource,$E200,'Critical resources (hide)'!BQ$6:BQ$105)+SUMIF(Capacity_Resource,$F200,'Critical resources (hide)'!BQ$6:BQ$105)&gt;0,$E$1=2),0,1)</f>
        <v>1</v>
      </c>
      <c r="BE200" s="68">
        <f ca="1">IF(AND(SUMIF(Capacity_Resource,$D200,'Critical resources (hide)'!BR$6:BR$105)+SUMIF(Capacity_Resource,$E200,'Critical resources (hide)'!BR$6:BR$105)+SUMIF(Capacity_Resource,$F200,'Critical resources (hide)'!BR$6:BR$105)&gt;0,$E$1=2),0,1)</f>
        <v>1</v>
      </c>
      <c r="BF200" s="68">
        <f ca="1">IF(AND(SUMIF(Capacity_Resource,$D200,'Critical resources (hide)'!BS$6:BS$105)+SUMIF(Capacity_Resource,$E200,'Critical resources (hide)'!BS$6:BS$105)+SUMIF(Capacity_Resource,$F200,'Critical resources (hide)'!BS$6:BS$105)&gt;0,$E$1=2),0,1)</f>
        <v>1</v>
      </c>
      <c r="BG200" s="68">
        <f ca="1">IF(AND(SUMIF(Capacity_Resource,$D200,'Critical resources (hide)'!BT$6:BT$105)+SUMIF(Capacity_Resource,$E200,'Critical resources (hide)'!BT$6:BT$105)+SUMIF(Capacity_Resource,$F200,'Critical resources (hide)'!BT$6:BT$105)&gt;0,$E$1=2),0,1)</f>
        <v>1</v>
      </c>
      <c r="BH200" s="68">
        <f>IF(ROW(A89)&lt;=Capacity!$M$16,IF('Capacity summary'!$C$14="No",SUM(H200:BG200),'Capacity summary'!$E112),0)</f>
        <v>0</v>
      </c>
      <c r="BI200" s="68" t="str">
        <f>IF(BH200&gt;0,IF(BH200&lt;Capacity!Q105,Capacity!R105,Capacity!T105/'Capacity calculation (hide)'!BH200),"")</f>
        <v/>
      </c>
      <c r="BJ200" s="5"/>
      <c r="BK200" s="5">
        <f>IF($BI200&lt;&gt;"",IF('Capacity summary'!$C$14="Yes",IF(COUNTBLANK('Capacity summary'!$H112:$BG112)&lt;52,IF('Capacity summary'!H112&lt;&gt;"",$BI200*H200,0),H200*$BI200),H200*$BI200),0)</f>
        <v>0</v>
      </c>
      <c r="BL200" s="5">
        <f>IF($BI200&lt;&gt;"",IF('Capacity summary'!$C$14="Yes",IF(COUNTBLANK('Capacity summary'!$H112:$BG112)&lt;52,IF('Capacity summary'!I112&lt;&gt;"",$BI200*I200,0),I200*$BI200),I200*$BI200),0)</f>
        <v>0</v>
      </c>
      <c r="BM200" s="5">
        <f>IF($BI200&lt;&gt;"",IF('Capacity summary'!$C$14="Yes",IF(COUNTBLANK('Capacity summary'!$H112:$BG112)&lt;52,IF('Capacity summary'!J112&lt;&gt;"",$BI200*J200,0),J200*$BI200),J200*$BI200),0)</f>
        <v>0</v>
      </c>
      <c r="BN200" s="5">
        <f>IF($BI200&lt;&gt;"",IF('Capacity summary'!$C$14="Yes",IF(COUNTBLANK('Capacity summary'!$H112:$BG112)&lt;52,IF('Capacity summary'!K112&lt;&gt;"",$BI200*K200,0),K200*$BI200),K200*$BI200),0)</f>
        <v>0</v>
      </c>
      <c r="BO200" s="5">
        <f>IF($BI200&lt;&gt;"",IF('Capacity summary'!$C$14="Yes",IF(COUNTBLANK('Capacity summary'!$H112:$BG112)&lt;52,IF('Capacity summary'!L112&lt;&gt;"",$BI200*L200,0),L200*$BI200),L200*$BI200),0)</f>
        <v>0</v>
      </c>
      <c r="BP200" s="5">
        <f>IF($BI200&lt;&gt;"",IF('Capacity summary'!$C$14="Yes",IF(COUNTBLANK('Capacity summary'!$H112:$BG112)&lt;52,IF('Capacity summary'!M112&lt;&gt;"",$BI200*M200,0),M200*$BI200),M200*$BI200),0)</f>
        <v>0</v>
      </c>
      <c r="BQ200" s="5">
        <f>IF($BI200&lt;&gt;"",IF('Capacity summary'!$C$14="Yes",IF(COUNTBLANK('Capacity summary'!$H112:$BG112)&lt;52,IF('Capacity summary'!N112&lt;&gt;"",$BI200*N200,0),N200*$BI200),N200*$BI200),0)</f>
        <v>0</v>
      </c>
      <c r="BR200" s="5">
        <f>IF($BI200&lt;&gt;"",IF('Capacity summary'!$C$14="Yes",IF(COUNTBLANK('Capacity summary'!$H112:$BG112)&lt;52,IF('Capacity summary'!O112&lt;&gt;"",$BI200*O200,0),O200*$BI200),O200*$BI200),0)</f>
        <v>0</v>
      </c>
      <c r="BS200" s="5">
        <f>IF($BI200&lt;&gt;"",IF('Capacity summary'!$C$14="Yes",IF(COUNTBLANK('Capacity summary'!$H112:$BG112)&lt;52,IF('Capacity summary'!P112&lt;&gt;"",$BI200*P200,0),P200*$BI200),P200*$BI200),0)</f>
        <v>0</v>
      </c>
      <c r="BT200" s="5">
        <f>IF($BI200&lt;&gt;"",IF('Capacity summary'!$C$14="Yes",IF(COUNTBLANK('Capacity summary'!$H112:$BG112)&lt;52,IF('Capacity summary'!Q112&lt;&gt;"",$BI200*Q200,0),Q200*$BI200),Q200*$BI200),0)</f>
        <v>0</v>
      </c>
      <c r="BU200" s="5">
        <f>IF($BI200&lt;&gt;"",IF('Capacity summary'!$C$14="Yes",IF(COUNTBLANK('Capacity summary'!$H112:$BG112)&lt;52,IF('Capacity summary'!R112&lt;&gt;"",$BI200*R200,0),R200*$BI200),R200*$BI200),0)</f>
        <v>0</v>
      </c>
      <c r="BV200" s="5">
        <f>IF($BI200&lt;&gt;"",IF('Capacity summary'!$C$14="Yes",IF(COUNTBLANK('Capacity summary'!$H112:$BG112)&lt;52,IF('Capacity summary'!S112&lt;&gt;"",$BI200*S200,0),S200*$BI200),S200*$BI200),0)</f>
        <v>0</v>
      </c>
      <c r="BW200" s="5">
        <f>IF($BI200&lt;&gt;"",IF('Capacity summary'!$C$14="Yes",IF(COUNTBLANK('Capacity summary'!$H112:$BG112)&lt;52,IF('Capacity summary'!T112&lt;&gt;"",$BI200*T200,0),T200*$BI200),T200*$BI200),0)</f>
        <v>0</v>
      </c>
      <c r="BX200" s="5">
        <f>IF($BI200&lt;&gt;"",IF('Capacity summary'!$C$14="Yes",IF(COUNTBLANK('Capacity summary'!$H112:$BG112)&lt;52,IF('Capacity summary'!U112&lt;&gt;"",$BI200*U200,0),U200*$BI200),U200*$BI200),0)</f>
        <v>0</v>
      </c>
      <c r="BY200" s="5">
        <f>IF($BI200&lt;&gt;"",IF('Capacity summary'!$C$14="Yes",IF(COUNTBLANK('Capacity summary'!$H112:$BG112)&lt;52,IF('Capacity summary'!V112&lt;&gt;"",$BI200*V200,0),V200*$BI200),V200*$BI200),0)</f>
        <v>0</v>
      </c>
      <c r="BZ200" s="5">
        <f>IF($BI200&lt;&gt;"",IF('Capacity summary'!$C$14="Yes",IF(COUNTBLANK('Capacity summary'!$H112:$BG112)&lt;52,IF('Capacity summary'!W112&lt;&gt;"",$BI200*W200,0),W200*$BI200),W200*$BI200),0)</f>
        <v>0</v>
      </c>
      <c r="CA200" s="5">
        <f>IF($BI200&lt;&gt;"",IF('Capacity summary'!$C$14="Yes",IF(COUNTBLANK('Capacity summary'!$H112:$BG112)&lt;52,IF('Capacity summary'!X112&lt;&gt;"",$BI200*X200,0),X200*$BI200),X200*$BI200),0)</f>
        <v>0</v>
      </c>
      <c r="CB200" s="5">
        <f>IF($BI200&lt;&gt;"",IF('Capacity summary'!$C$14="Yes",IF(COUNTBLANK('Capacity summary'!$H112:$BG112)&lt;52,IF('Capacity summary'!Y112&lt;&gt;"",$BI200*Y200,0),Y200*$BI200),Y200*$BI200),0)</f>
        <v>0</v>
      </c>
      <c r="CC200" s="5">
        <f>IF($BI200&lt;&gt;"",IF('Capacity summary'!$C$14="Yes",IF(COUNTBLANK('Capacity summary'!$H112:$BG112)&lt;52,IF('Capacity summary'!Z112&lt;&gt;"",$BI200*Z200,0),Z200*$BI200),Z200*$BI200),0)</f>
        <v>0</v>
      </c>
      <c r="CD200" s="5">
        <f>IF($BI200&lt;&gt;"",IF('Capacity summary'!$C$14="Yes",IF(COUNTBLANK('Capacity summary'!$H112:$BG112)&lt;52,IF('Capacity summary'!AA112&lt;&gt;"",$BI200*AA200,0),AA200*$BI200),AA200*$BI200),0)</f>
        <v>0</v>
      </c>
      <c r="CE200" s="5">
        <f>IF($BI200&lt;&gt;"",IF('Capacity summary'!$C$14="Yes",IF(COUNTBLANK('Capacity summary'!$H112:$BG112)&lt;52,IF('Capacity summary'!AB112&lt;&gt;"",$BI200*AB200,0),AB200*$BI200),AB200*$BI200),0)</f>
        <v>0</v>
      </c>
      <c r="CF200" s="5">
        <f>IF($BI200&lt;&gt;"",IF('Capacity summary'!$C$14="Yes",IF(COUNTBLANK('Capacity summary'!$H112:$BG112)&lt;52,IF('Capacity summary'!AC112&lt;&gt;"",$BI200*AC200,0),AC200*$BI200),AC200*$BI200),0)</f>
        <v>0</v>
      </c>
      <c r="CG200" s="5">
        <f>IF($BI200&lt;&gt;"",IF('Capacity summary'!$C$14="Yes",IF(COUNTBLANK('Capacity summary'!$H112:$BG112)&lt;52,IF('Capacity summary'!AD112&lt;&gt;"",$BI200*AD200,0),AD200*$BI200),AD200*$BI200),0)</f>
        <v>0</v>
      </c>
      <c r="CH200" s="5">
        <f>IF($BI200&lt;&gt;"",IF('Capacity summary'!$C$14="Yes",IF(COUNTBLANK('Capacity summary'!$H112:$BG112)&lt;52,IF('Capacity summary'!AE112&lt;&gt;"",$BI200*AE200,0),AE200*$BI200),AE200*$BI200),0)</f>
        <v>0</v>
      </c>
      <c r="CI200" s="5">
        <f>IF($BI200&lt;&gt;"",IF('Capacity summary'!$C$14="Yes",IF(COUNTBLANK('Capacity summary'!$H112:$BG112)&lt;52,IF('Capacity summary'!AF112&lt;&gt;"",$BI200*AF200,0),AF200*$BI200),AF200*$BI200),0)</f>
        <v>0</v>
      </c>
      <c r="CJ200" s="5">
        <f>IF($BI200&lt;&gt;"",IF('Capacity summary'!$C$14="Yes",IF(COUNTBLANK('Capacity summary'!$H112:$BG112)&lt;52,IF('Capacity summary'!AG112&lt;&gt;"",$BI200*AG200,0),AG200*$BI200),AG200*$BI200),0)</f>
        <v>0</v>
      </c>
      <c r="CK200" s="5">
        <f>IF($BI200&lt;&gt;"",IF('Capacity summary'!$C$14="Yes",IF(COUNTBLANK('Capacity summary'!$H112:$BG112)&lt;52,IF('Capacity summary'!AH112&lt;&gt;"",$BI200*AH200,0),AH200*$BI200),AH200*$BI200),0)</f>
        <v>0</v>
      </c>
      <c r="CL200" s="5">
        <f>IF($BI200&lt;&gt;"",IF('Capacity summary'!$C$14="Yes",IF(COUNTBLANK('Capacity summary'!$H112:$BG112)&lt;52,IF('Capacity summary'!AI112&lt;&gt;"",$BI200*AI200,0),AI200*$BI200),AI200*$BI200),0)</f>
        <v>0</v>
      </c>
      <c r="CM200" s="5">
        <f>IF($BI200&lt;&gt;"",IF('Capacity summary'!$C$14="Yes",IF(COUNTBLANK('Capacity summary'!$H112:$BG112)&lt;52,IF('Capacity summary'!AJ112&lt;&gt;"",$BI200*AJ200,0),AJ200*$BI200),AJ200*$BI200),0)</f>
        <v>0</v>
      </c>
      <c r="CN200" s="5">
        <f>IF($BI200&lt;&gt;"",IF('Capacity summary'!$C$14="Yes",IF(COUNTBLANK('Capacity summary'!$H112:$BG112)&lt;52,IF('Capacity summary'!AK112&lt;&gt;"",$BI200*AK200,0),AK200*$BI200),AK200*$BI200),0)</f>
        <v>0</v>
      </c>
      <c r="CO200" s="5">
        <f>IF($BI200&lt;&gt;"",IF('Capacity summary'!$C$14="Yes",IF(COUNTBLANK('Capacity summary'!$H112:$BG112)&lt;52,IF('Capacity summary'!AL112&lt;&gt;"",$BI200*AL200,0),AL200*$BI200),AL200*$BI200),0)</f>
        <v>0</v>
      </c>
      <c r="CP200" s="5">
        <f>IF($BI200&lt;&gt;"",IF('Capacity summary'!$C$14="Yes",IF(COUNTBLANK('Capacity summary'!$H112:$BG112)&lt;52,IF('Capacity summary'!AM112&lt;&gt;"",$BI200*AM200,0),AM200*$BI200),AM200*$BI200),0)</f>
        <v>0</v>
      </c>
      <c r="CQ200" s="5">
        <f>IF($BI200&lt;&gt;"",IF('Capacity summary'!$C$14="Yes",IF(COUNTBLANK('Capacity summary'!$H112:$BG112)&lt;52,IF('Capacity summary'!AN112&lt;&gt;"",$BI200*AN200,0),AN200*$BI200),AN200*$BI200),0)</f>
        <v>0</v>
      </c>
      <c r="CR200" s="5">
        <f>IF($BI200&lt;&gt;"",IF('Capacity summary'!$C$14="Yes",IF(COUNTBLANK('Capacity summary'!$H112:$BG112)&lt;52,IF('Capacity summary'!AO112&lt;&gt;"",$BI200*AO200,0),AO200*$BI200),AO200*$BI200),0)</f>
        <v>0</v>
      </c>
      <c r="CS200" s="5">
        <f>IF($BI200&lt;&gt;"",IF('Capacity summary'!$C$14="Yes",IF(COUNTBLANK('Capacity summary'!$H112:$BG112)&lt;52,IF('Capacity summary'!AP112&lt;&gt;"",$BI200*AP200,0),AP200*$BI200),AP200*$BI200),0)</f>
        <v>0</v>
      </c>
      <c r="CT200" s="5">
        <f>IF($BI200&lt;&gt;"",IF('Capacity summary'!$C$14="Yes",IF(COUNTBLANK('Capacity summary'!$H112:$BG112)&lt;52,IF('Capacity summary'!AQ112&lt;&gt;"",$BI200*AQ200,0),AQ200*$BI200),AQ200*$BI200),0)</f>
        <v>0</v>
      </c>
      <c r="CU200" s="5">
        <f>IF($BI200&lt;&gt;"",IF('Capacity summary'!$C$14="Yes",IF(COUNTBLANK('Capacity summary'!$H112:$BG112)&lt;52,IF('Capacity summary'!AR112&lt;&gt;"",$BI200*AR200,0),AR200*$BI200),AR200*$BI200),0)</f>
        <v>0</v>
      </c>
      <c r="CV200" s="5">
        <f>IF($BI200&lt;&gt;"",IF('Capacity summary'!$C$14="Yes",IF(COUNTBLANK('Capacity summary'!$H112:$BG112)&lt;52,IF('Capacity summary'!AS112&lt;&gt;"",$BI200*AS200,0),AS200*$BI200),AS200*$BI200),0)</f>
        <v>0</v>
      </c>
      <c r="CW200" s="5">
        <f>IF($BI200&lt;&gt;"",IF('Capacity summary'!$C$14="Yes",IF(COUNTBLANK('Capacity summary'!$H112:$BG112)&lt;52,IF('Capacity summary'!AT112&lt;&gt;"",$BI200*AT200,0),AT200*$BI200),AT200*$BI200),0)</f>
        <v>0</v>
      </c>
      <c r="CX200" s="5">
        <f>IF($BI200&lt;&gt;"",IF('Capacity summary'!$C$14="Yes",IF(COUNTBLANK('Capacity summary'!$H112:$BG112)&lt;52,IF('Capacity summary'!AU112&lt;&gt;"",$BI200*AU200,0),AU200*$BI200),AU200*$BI200),0)</f>
        <v>0</v>
      </c>
      <c r="CY200" s="5">
        <f>IF($BI200&lt;&gt;"",IF('Capacity summary'!$C$14="Yes",IF(COUNTBLANK('Capacity summary'!$H112:$BG112)&lt;52,IF('Capacity summary'!AV112&lt;&gt;"",$BI200*AV200,0),AV200*$BI200),AV200*$BI200),0)</f>
        <v>0</v>
      </c>
      <c r="CZ200" s="5">
        <f>IF($BI200&lt;&gt;"",IF('Capacity summary'!$C$14="Yes",IF(COUNTBLANK('Capacity summary'!$H112:$BG112)&lt;52,IF('Capacity summary'!AW112&lt;&gt;"",$BI200*AW200,0),AW200*$BI200),AW200*$BI200),0)</f>
        <v>0</v>
      </c>
      <c r="DA200" s="5">
        <f>IF($BI200&lt;&gt;"",IF('Capacity summary'!$C$14="Yes",IF(COUNTBLANK('Capacity summary'!$H112:$BG112)&lt;52,IF('Capacity summary'!AX112&lt;&gt;"",$BI200*AX200,0),AX200*$BI200),AX200*$BI200),0)</f>
        <v>0</v>
      </c>
      <c r="DB200" s="5">
        <f>IF($BI200&lt;&gt;"",IF('Capacity summary'!$C$14="Yes",IF(COUNTBLANK('Capacity summary'!$H112:$BG112)&lt;52,IF('Capacity summary'!AY112&lt;&gt;"",$BI200*AY200,0),AY200*$BI200),AY200*$BI200),0)</f>
        <v>0</v>
      </c>
      <c r="DC200" s="5">
        <f>IF($BI200&lt;&gt;"",IF('Capacity summary'!$C$14="Yes",IF(COUNTBLANK('Capacity summary'!$H112:$BG112)&lt;52,IF('Capacity summary'!AZ112&lt;&gt;"",$BI200*AZ200,0),AZ200*$BI200),AZ200*$BI200),0)</f>
        <v>0</v>
      </c>
      <c r="DD200" s="5">
        <f>IF($BI200&lt;&gt;"",IF('Capacity summary'!$C$14="Yes",IF(COUNTBLANK('Capacity summary'!$H112:$BG112)&lt;52,IF('Capacity summary'!BA112&lt;&gt;"",$BI200*BA200,0),BA200*$BI200),BA200*$BI200),0)</f>
        <v>0</v>
      </c>
      <c r="DE200" s="5">
        <f>IF($BI200&lt;&gt;"",IF('Capacity summary'!$C$14="Yes",IF(COUNTBLANK('Capacity summary'!$H112:$BG112)&lt;52,IF('Capacity summary'!BB112&lt;&gt;"",$BI200*BB200,0),BB200*$BI200),BB200*$BI200),0)</f>
        <v>0</v>
      </c>
      <c r="DF200" s="5">
        <f>IF($BI200&lt;&gt;"",IF('Capacity summary'!$C$14="Yes",IF(COUNTBLANK('Capacity summary'!$H112:$BG112)&lt;52,IF('Capacity summary'!BC112&lt;&gt;"",$BI200*BC200,0),BC200*$BI200),BC200*$BI200),0)</f>
        <v>0</v>
      </c>
      <c r="DG200" s="5">
        <f>IF($BI200&lt;&gt;"",IF('Capacity summary'!$C$14="Yes",IF(COUNTBLANK('Capacity summary'!$H112:$BG112)&lt;52,IF('Capacity summary'!BD112&lt;&gt;"",$BI200*BD200,0),BD200*$BI200),BD200*$BI200),0)</f>
        <v>0</v>
      </c>
      <c r="DH200" s="5">
        <f>IF($BI200&lt;&gt;"",IF('Capacity summary'!$C$14="Yes",IF(COUNTBLANK('Capacity summary'!$H112:$BG112)&lt;52,IF('Capacity summary'!BE112&lt;&gt;"",$BI200*BE200,0),BE200*$BI200),BE200*$BI200),0)</f>
        <v>0</v>
      </c>
      <c r="DI200" s="5">
        <f>IF($BI200&lt;&gt;"",IF('Capacity summary'!$C$14="Yes",IF(COUNTBLANK('Capacity summary'!$H112:$BG112)&lt;52,IF('Capacity summary'!BF112&lt;&gt;"",$BI200*BF200,0),BF200*$BI200),BF200*$BI200),0)</f>
        <v>0</v>
      </c>
      <c r="DJ200" s="5">
        <f>IF($BI200&lt;&gt;"",IF('Capacity summary'!$C$14="Yes",IF(COUNTBLANK('Capacity summary'!$H112:$BG112)&lt;52,IF('Capacity summary'!BG112&lt;&gt;"",$BI200*BG200,0),BG200*$BI200),BG200*$BI200),0)</f>
        <v>0</v>
      </c>
      <c r="DK200" s="138">
        <f t="shared" si="7"/>
        <v>0</v>
      </c>
    </row>
    <row r="201" spans="3:115" x14ac:dyDescent="0.2">
      <c r="C201" s="68" t="str">
        <f>ROW(A90)&amp;". "&amp;Capacity!N106</f>
        <v xml:space="preserve">90. </v>
      </c>
      <c r="D201" s="68">
        <f>'Capacity setup'!C207</f>
        <v>0</v>
      </c>
      <c r="E201" s="68">
        <f>'Capacity setup'!D207</f>
        <v>0</v>
      </c>
      <c r="F201" s="68">
        <f>'Capacity setup'!E207</f>
        <v>0</v>
      </c>
      <c r="H201" s="68">
        <f ca="1">IF(AND(SUMIF(Capacity_Resource,$D201,'Critical resources (hide)'!U$6:U$105)+SUMIF(Capacity_Resource,$E201,'Critical resources (hide)'!U$6:U$105)+SUMIF(Capacity_Resource,$F201,'Critical resources (hide)'!U$6:U$105)&gt;0,$E$1=2),0,1)</f>
        <v>1</v>
      </c>
      <c r="I201" s="68">
        <f ca="1">IF(AND(SUMIF(Capacity_Resource,$D201,'Critical resources (hide)'!V$6:V$105)+SUMIF(Capacity_Resource,$E201,'Critical resources (hide)'!V$6:V$105)+SUMIF(Capacity_Resource,$F201,'Critical resources (hide)'!V$6:V$105)&gt;0,$E$1=2),0,1)</f>
        <v>1</v>
      </c>
      <c r="J201" s="68">
        <f ca="1">IF(AND(SUMIF(Capacity_Resource,$D201,'Critical resources (hide)'!W$6:W$105)+SUMIF(Capacity_Resource,$E201,'Critical resources (hide)'!W$6:W$105)+SUMIF(Capacity_Resource,$F201,'Critical resources (hide)'!W$6:W$105)&gt;0,$E$1=2),0,1)</f>
        <v>1</v>
      </c>
      <c r="K201" s="68">
        <f ca="1">IF(AND(SUMIF(Capacity_Resource,$D201,'Critical resources (hide)'!X$6:X$105)+SUMIF(Capacity_Resource,$E201,'Critical resources (hide)'!X$6:X$105)+SUMIF(Capacity_Resource,$F201,'Critical resources (hide)'!X$6:X$105)&gt;0,$E$1=2),0,1)</f>
        <v>1</v>
      </c>
      <c r="L201" s="68">
        <f ca="1">IF(AND(SUMIF(Capacity_Resource,$D201,'Critical resources (hide)'!Y$6:Y$105)+SUMIF(Capacity_Resource,$E201,'Critical resources (hide)'!Y$6:Y$105)+SUMIF(Capacity_Resource,$F201,'Critical resources (hide)'!Y$6:Y$105)&gt;0,$E$1=2),0,1)</f>
        <v>1</v>
      </c>
      <c r="M201" s="68">
        <f ca="1">IF(AND(SUMIF(Capacity_Resource,$D201,'Critical resources (hide)'!Z$6:Z$105)+SUMIF(Capacity_Resource,$E201,'Critical resources (hide)'!Z$6:Z$105)+SUMIF(Capacity_Resource,$F201,'Critical resources (hide)'!Z$6:Z$105)&gt;0,$E$1=2),0,1)</f>
        <v>1</v>
      </c>
      <c r="N201" s="68">
        <f ca="1">IF(AND(SUMIF(Capacity_Resource,$D201,'Critical resources (hide)'!AA$6:AA$105)+SUMIF(Capacity_Resource,$E201,'Critical resources (hide)'!AA$6:AA$105)+SUMIF(Capacity_Resource,$F201,'Critical resources (hide)'!AA$6:AA$105)&gt;0,$E$1=2),0,1)</f>
        <v>1</v>
      </c>
      <c r="O201" s="68">
        <f ca="1">IF(AND(SUMIF(Capacity_Resource,$D201,'Critical resources (hide)'!AB$6:AB$105)+SUMIF(Capacity_Resource,$E201,'Critical resources (hide)'!AB$6:AB$105)+SUMIF(Capacity_Resource,$F201,'Critical resources (hide)'!AB$6:AB$105)&gt;0,$E$1=2),0,1)</f>
        <v>1</v>
      </c>
      <c r="P201" s="68">
        <f ca="1">IF(AND(SUMIF(Capacity_Resource,$D201,'Critical resources (hide)'!AC$6:AC$105)+SUMIF(Capacity_Resource,$E201,'Critical resources (hide)'!AC$6:AC$105)+SUMIF(Capacity_Resource,$F201,'Critical resources (hide)'!AC$6:AC$105)&gt;0,$E$1=2),0,1)</f>
        <v>1</v>
      </c>
      <c r="Q201" s="68">
        <f ca="1">IF(AND(SUMIF(Capacity_Resource,$D201,'Critical resources (hide)'!AD$6:AD$105)+SUMIF(Capacity_Resource,$E201,'Critical resources (hide)'!AD$6:AD$105)+SUMIF(Capacity_Resource,$F201,'Critical resources (hide)'!AD$6:AD$105)&gt;0,$E$1=2),0,1)</f>
        <v>1</v>
      </c>
      <c r="R201" s="68">
        <f ca="1">IF(AND(SUMIF(Capacity_Resource,$D201,'Critical resources (hide)'!AE$6:AE$105)+SUMIF(Capacity_Resource,$E201,'Critical resources (hide)'!AE$6:AE$105)+SUMIF(Capacity_Resource,$F201,'Critical resources (hide)'!AE$6:AE$105)&gt;0,$E$1=2),0,1)</f>
        <v>1</v>
      </c>
      <c r="S201" s="68">
        <f ca="1">IF(AND(SUMIF(Capacity_Resource,$D201,'Critical resources (hide)'!AF$6:AF$105)+SUMIF(Capacity_Resource,$E201,'Critical resources (hide)'!AF$6:AF$105)+SUMIF(Capacity_Resource,$F201,'Critical resources (hide)'!AF$6:AF$105)&gt;0,$E$1=2),0,1)</f>
        <v>1</v>
      </c>
      <c r="T201" s="68">
        <f ca="1">IF(AND(SUMIF(Capacity_Resource,$D201,'Critical resources (hide)'!AG$6:AG$105)+SUMIF(Capacity_Resource,$E201,'Critical resources (hide)'!AG$6:AG$105)+SUMIF(Capacity_Resource,$F201,'Critical resources (hide)'!AG$6:AG$105)&gt;0,$E$1=2),0,1)</f>
        <v>1</v>
      </c>
      <c r="U201" s="68">
        <f ca="1">IF(AND(SUMIF(Capacity_Resource,$D201,'Critical resources (hide)'!AH$6:AH$105)+SUMIF(Capacity_Resource,$E201,'Critical resources (hide)'!AH$6:AH$105)+SUMIF(Capacity_Resource,$F201,'Critical resources (hide)'!AH$6:AH$105)&gt;0,$E$1=2),0,1)</f>
        <v>1</v>
      </c>
      <c r="V201" s="68">
        <f ca="1">IF(AND(SUMIF(Capacity_Resource,$D201,'Critical resources (hide)'!AI$6:AI$105)+SUMIF(Capacity_Resource,$E201,'Critical resources (hide)'!AI$6:AI$105)+SUMIF(Capacity_Resource,$F201,'Critical resources (hide)'!AI$6:AI$105)&gt;0,$E$1=2),0,1)</f>
        <v>1</v>
      </c>
      <c r="W201" s="68">
        <f ca="1">IF(AND(SUMIF(Capacity_Resource,$D201,'Critical resources (hide)'!AJ$6:AJ$105)+SUMIF(Capacity_Resource,$E201,'Critical resources (hide)'!AJ$6:AJ$105)+SUMIF(Capacity_Resource,$F201,'Critical resources (hide)'!AJ$6:AJ$105)&gt;0,$E$1=2),0,1)</f>
        <v>1</v>
      </c>
      <c r="X201" s="68">
        <f ca="1">IF(AND(SUMIF(Capacity_Resource,$D201,'Critical resources (hide)'!AK$6:AK$105)+SUMIF(Capacity_Resource,$E201,'Critical resources (hide)'!AK$6:AK$105)+SUMIF(Capacity_Resource,$F201,'Critical resources (hide)'!AK$6:AK$105)&gt;0,$E$1=2),0,1)</f>
        <v>1</v>
      </c>
      <c r="Y201" s="68">
        <f ca="1">IF(AND(SUMIF(Capacity_Resource,$D201,'Critical resources (hide)'!AL$6:AL$105)+SUMIF(Capacity_Resource,$E201,'Critical resources (hide)'!AL$6:AL$105)+SUMIF(Capacity_Resource,$F201,'Critical resources (hide)'!AL$6:AL$105)&gt;0,$E$1=2),0,1)</f>
        <v>1</v>
      </c>
      <c r="Z201" s="68">
        <f ca="1">IF(AND(SUMIF(Capacity_Resource,$D201,'Critical resources (hide)'!AM$6:AM$105)+SUMIF(Capacity_Resource,$E201,'Critical resources (hide)'!AM$6:AM$105)+SUMIF(Capacity_Resource,$F201,'Critical resources (hide)'!AM$6:AM$105)&gt;0,$E$1=2),0,1)</f>
        <v>1</v>
      </c>
      <c r="AA201" s="68">
        <f ca="1">IF(AND(SUMIF(Capacity_Resource,$D201,'Critical resources (hide)'!AN$6:AN$105)+SUMIF(Capacity_Resource,$E201,'Critical resources (hide)'!AN$6:AN$105)+SUMIF(Capacity_Resource,$F201,'Critical resources (hide)'!AN$6:AN$105)&gt;0,$E$1=2),0,1)</f>
        <v>1</v>
      </c>
      <c r="AB201" s="68">
        <f ca="1">IF(AND(SUMIF(Capacity_Resource,$D201,'Critical resources (hide)'!AO$6:AO$105)+SUMIF(Capacity_Resource,$E201,'Critical resources (hide)'!AO$6:AO$105)+SUMIF(Capacity_Resource,$F201,'Critical resources (hide)'!AO$6:AO$105)&gt;0,$E$1=2),0,1)</f>
        <v>1</v>
      </c>
      <c r="AC201" s="68">
        <f ca="1">IF(AND(SUMIF(Capacity_Resource,$D201,'Critical resources (hide)'!AP$6:AP$105)+SUMIF(Capacity_Resource,$E201,'Critical resources (hide)'!AP$6:AP$105)+SUMIF(Capacity_Resource,$F201,'Critical resources (hide)'!AP$6:AP$105)&gt;0,$E$1=2),0,1)</f>
        <v>1</v>
      </c>
      <c r="AD201" s="68">
        <f ca="1">IF(AND(SUMIF(Capacity_Resource,$D201,'Critical resources (hide)'!AQ$6:AQ$105)+SUMIF(Capacity_Resource,$E201,'Critical resources (hide)'!AQ$6:AQ$105)+SUMIF(Capacity_Resource,$F201,'Critical resources (hide)'!AQ$6:AQ$105)&gt;0,$E$1=2),0,1)</f>
        <v>1</v>
      </c>
      <c r="AE201" s="68">
        <f ca="1">IF(AND(SUMIF(Capacity_Resource,$D201,'Critical resources (hide)'!AR$6:AR$105)+SUMIF(Capacity_Resource,$E201,'Critical resources (hide)'!AR$6:AR$105)+SUMIF(Capacity_Resource,$F201,'Critical resources (hide)'!AR$6:AR$105)&gt;0,$E$1=2),0,1)</f>
        <v>1</v>
      </c>
      <c r="AF201" s="68">
        <f ca="1">IF(AND(SUMIF(Capacity_Resource,$D201,'Critical resources (hide)'!AS$6:AS$105)+SUMIF(Capacity_Resource,$E201,'Critical resources (hide)'!AS$6:AS$105)+SUMIF(Capacity_Resource,$F201,'Critical resources (hide)'!AS$6:AS$105)&gt;0,$E$1=2),0,1)</f>
        <v>1</v>
      </c>
      <c r="AG201" s="68">
        <f ca="1">IF(AND(SUMIF(Capacity_Resource,$D201,'Critical resources (hide)'!AT$6:AT$105)+SUMIF(Capacity_Resource,$E201,'Critical resources (hide)'!AT$6:AT$105)+SUMIF(Capacity_Resource,$F201,'Critical resources (hide)'!AT$6:AT$105)&gt;0,$E$1=2),0,1)</f>
        <v>1</v>
      </c>
      <c r="AH201" s="68">
        <f ca="1">IF(AND(SUMIF(Capacity_Resource,$D201,'Critical resources (hide)'!AU$6:AU$105)+SUMIF(Capacity_Resource,$E201,'Critical resources (hide)'!AU$6:AU$105)+SUMIF(Capacity_Resource,$F201,'Critical resources (hide)'!AU$6:AU$105)&gt;0,$E$1=2),0,1)</f>
        <v>1</v>
      </c>
      <c r="AI201" s="68">
        <f ca="1">IF(AND(SUMIF(Capacity_Resource,$D201,'Critical resources (hide)'!AV$6:AV$105)+SUMIF(Capacity_Resource,$E201,'Critical resources (hide)'!AV$6:AV$105)+SUMIF(Capacity_Resource,$F201,'Critical resources (hide)'!AV$6:AV$105)&gt;0,$E$1=2),0,1)</f>
        <v>1</v>
      </c>
      <c r="AJ201" s="68">
        <f ca="1">IF(AND(SUMIF(Capacity_Resource,$D201,'Critical resources (hide)'!AW$6:AW$105)+SUMIF(Capacity_Resource,$E201,'Critical resources (hide)'!AW$6:AW$105)+SUMIF(Capacity_Resource,$F201,'Critical resources (hide)'!AW$6:AW$105)&gt;0,$E$1=2),0,1)</f>
        <v>1</v>
      </c>
      <c r="AK201" s="68">
        <f ca="1">IF(AND(SUMIF(Capacity_Resource,$D201,'Critical resources (hide)'!AX$6:AX$105)+SUMIF(Capacity_Resource,$E201,'Critical resources (hide)'!AX$6:AX$105)+SUMIF(Capacity_Resource,$F201,'Critical resources (hide)'!AX$6:AX$105)&gt;0,$E$1=2),0,1)</f>
        <v>1</v>
      </c>
      <c r="AL201" s="68">
        <f ca="1">IF(AND(SUMIF(Capacity_Resource,$D201,'Critical resources (hide)'!AY$6:AY$105)+SUMIF(Capacity_Resource,$E201,'Critical resources (hide)'!AY$6:AY$105)+SUMIF(Capacity_Resource,$F201,'Critical resources (hide)'!AY$6:AY$105)&gt;0,$E$1=2),0,1)</f>
        <v>1</v>
      </c>
      <c r="AM201" s="68">
        <f ca="1">IF(AND(SUMIF(Capacity_Resource,$D201,'Critical resources (hide)'!AZ$6:AZ$105)+SUMIF(Capacity_Resource,$E201,'Critical resources (hide)'!AZ$6:AZ$105)+SUMIF(Capacity_Resource,$F201,'Critical resources (hide)'!AZ$6:AZ$105)&gt;0,$E$1=2),0,1)</f>
        <v>1</v>
      </c>
      <c r="AN201" s="68">
        <f ca="1">IF(AND(SUMIF(Capacity_Resource,$D201,'Critical resources (hide)'!BA$6:BA$105)+SUMIF(Capacity_Resource,$E201,'Critical resources (hide)'!BA$6:BA$105)+SUMIF(Capacity_Resource,$F201,'Critical resources (hide)'!BA$6:BA$105)&gt;0,$E$1=2),0,1)</f>
        <v>1</v>
      </c>
      <c r="AO201" s="68">
        <f ca="1">IF(AND(SUMIF(Capacity_Resource,$D201,'Critical resources (hide)'!BB$6:BB$105)+SUMIF(Capacity_Resource,$E201,'Critical resources (hide)'!BB$6:BB$105)+SUMIF(Capacity_Resource,$F201,'Critical resources (hide)'!BB$6:BB$105)&gt;0,$E$1=2),0,1)</f>
        <v>1</v>
      </c>
      <c r="AP201" s="68">
        <f ca="1">IF(AND(SUMIF(Capacity_Resource,$D201,'Critical resources (hide)'!BC$6:BC$105)+SUMIF(Capacity_Resource,$E201,'Critical resources (hide)'!BC$6:BC$105)+SUMIF(Capacity_Resource,$F201,'Critical resources (hide)'!BC$6:BC$105)&gt;0,$E$1=2),0,1)</f>
        <v>1</v>
      </c>
      <c r="AQ201" s="68">
        <f ca="1">IF(AND(SUMIF(Capacity_Resource,$D201,'Critical resources (hide)'!BD$6:BD$105)+SUMIF(Capacity_Resource,$E201,'Critical resources (hide)'!BD$6:BD$105)+SUMIF(Capacity_Resource,$F201,'Critical resources (hide)'!BD$6:BD$105)&gt;0,$E$1=2),0,1)</f>
        <v>1</v>
      </c>
      <c r="AR201" s="68">
        <f ca="1">IF(AND(SUMIF(Capacity_Resource,$D201,'Critical resources (hide)'!BE$6:BE$105)+SUMIF(Capacity_Resource,$E201,'Critical resources (hide)'!BE$6:BE$105)+SUMIF(Capacity_Resource,$F201,'Critical resources (hide)'!BE$6:BE$105)&gt;0,$E$1=2),0,1)</f>
        <v>1</v>
      </c>
      <c r="AS201" s="68">
        <f ca="1">IF(AND(SUMIF(Capacity_Resource,$D201,'Critical resources (hide)'!BF$6:BF$105)+SUMIF(Capacity_Resource,$E201,'Critical resources (hide)'!BF$6:BF$105)+SUMIF(Capacity_Resource,$F201,'Critical resources (hide)'!BF$6:BF$105)&gt;0,$E$1=2),0,1)</f>
        <v>1</v>
      </c>
      <c r="AT201" s="68">
        <f ca="1">IF(AND(SUMIF(Capacity_Resource,$D201,'Critical resources (hide)'!BG$6:BG$105)+SUMIF(Capacity_Resource,$E201,'Critical resources (hide)'!BG$6:BG$105)+SUMIF(Capacity_Resource,$F201,'Critical resources (hide)'!BG$6:BG$105)&gt;0,$E$1=2),0,1)</f>
        <v>1</v>
      </c>
      <c r="AU201" s="68">
        <f ca="1">IF(AND(SUMIF(Capacity_Resource,$D201,'Critical resources (hide)'!BH$6:BH$105)+SUMIF(Capacity_Resource,$E201,'Critical resources (hide)'!BH$6:BH$105)+SUMIF(Capacity_Resource,$F201,'Critical resources (hide)'!BH$6:BH$105)&gt;0,$E$1=2),0,1)</f>
        <v>1</v>
      </c>
      <c r="AV201" s="68">
        <f ca="1">IF(AND(SUMIF(Capacity_Resource,$D201,'Critical resources (hide)'!BI$6:BI$105)+SUMIF(Capacity_Resource,$E201,'Critical resources (hide)'!BI$6:BI$105)+SUMIF(Capacity_Resource,$F201,'Critical resources (hide)'!BI$6:BI$105)&gt;0,$E$1=2),0,1)</f>
        <v>1</v>
      </c>
      <c r="AW201" s="68">
        <f ca="1">IF(AND(SUMIF(Capacity_Resource,$D201,'Critical resources (hide)'!BJ$6:BJ$105)+SUMIF(Capacity_Resource,$E201,'Critical resources (hide)'!BJ$6:BJ$105)+SUMIF(Capacity_Resource,$F201,'Critical resources (hide)'!BJ$6:BJ$105)&gt;0,$E$1=2),0,1)</f>
        <v>1</v>
      </c>
      <c r="AX201" s="68">
        <f ca="1">IF(AND(SUMIF(Capacity_Resource,$D201,'Critical resources (hide)'!BK$6:BK$105)+SUMIF(Capacity_Resource,$E201,'Critical resources (hide)'!BK$6:BK$105)+SUMIF(Capacity_Resource,$F201,'Critical resources (hide)'!BK$6:BK$105)&gt;0,$E$1=2),0,1)</f>
        <v>1</v>
      </c>
      <c r="AY201" s="68">
        <f ca="1">IF(AND(SUMIF(Capacity_Resource,$D201,'Critical resources (hide)'!BL$6:BL$105)+SUMIF(Capacity_Resource,$E201,'Critical resources (hide)'!BL$6:BL$105)+SUMIF(Capacity_Resource,$F201,'Critical resources (hide)'!BL$6:BL$105)&gt;0,$E$1=2),0,1)</f>
        <v>1</v>
      </c>
      <c r="AZ201" s="68">
        <f ca="1">IF(AND(SUMIF(Capacity_Resource,$D201,'Critical resources (hide)'!BM$6:BM$105)+SUMIF(Capacity_Resource,$E201,'Critical resources (hide)'!BM$6:BM$105)+SUMIF(Capacity_Resource,$F201,'Critical resources (hide)'!BM$6:BM$105)&gt;0,$E$1=2),0,1)</f>
        <v>1</v>
      </c>
      <c r="BA201" s="68">
        <f ca="1">IF(AND(SUMIF(Capacity_Resource,$D201,'Critical resources (hide)'!BN$6:BN$105)+SUMIF(Capacity_Resource,$E201,'Critical resources (hide)'!BN$6:BN$105)+SUMIF(Capacity_Resource,$F201,'Critical resources (hide)'!BN$6:BN$105)&gt;0,$E$1=2),0,1)</f>
        <v>1</v>
      </c>
      <c r="BB201" s="68">
        <f ca="1">IF(AND(SUMIF(Capacity_Resource,$D201,'Critical resources (hide)'!BO$6:BO$105)+SUMIF(Capacity_Resource,$E201,'Critical resources (hide)'!BO$6:BO$105)+SUMIF(Capacity_Resource,$F201,'Critical resources (hide)'!BO$6:BO$105)&gt;0,$E$1=2),0,1)</f>
        <v>1</v>
      </c>
      <c r="BC201" s="68">
        <f ca="1">IF(AND(SUMIF(Capacity_Resource,$D201,'Critical resources (hide)'!BP$6:BP$105)+SUMIF(Capacity_Resource,$E201,'Critical resources (hide)'!BP$6:BP$105)+SUMIF(Capacity_Resource,$F201,'Critical resources (hide)'!BP$6:BP$105)&gt;0,$E$1=2),0,1)</f>
        <v>1</v>
      </c>
      <c r="BD201" s="68">
        <f ca="1">IF(AND(SUMIF(Capacity_Resource,$D201,'Critical resources (hide)'!BQ$6:BQ$105)+SUMIF(Capacity_Resource,$E201,'Critical resources (hide)'!BQ$6:BQ$105)+SUMIF(Capacity_Resource,$F201,'Critical resources (hide)'!BQ$6:BQ$105)&gt;0,$E$1=2),0,1)</f>
        <v>1</v>
      </c>
      <c r="BE201" s="68">
        <f ca="1">IF(AND(SUMIF(Capacity_Resource,$D201,'Critical resources (hide)'!BR$6:BR$105)+SUMIF(Capacity_Resource,$E201,'Critical resources (hide)'!BR$6:BR$105)+SUMIF(Capacity_Resource,$F201,'Critical resources (hide)'!BR$6:BR$105)&gt;0,$E$1=2),0,1)</f>
        <v>1</v>
      </c>
      <c r="BF201" s="68">
        <f ca="1">IF(AND(SUMIF(Capacity_Resource,$D201,'Critical resources (hide)'!BS$6:BS$105)+SUMIF(Capacity_Resource,$E201,'Critical resources (hide)'!BS$6:BS$105)+SUMIF(Capacity_Resource,$F201,'Critical resources (hide)'!BS$6:BS$105)&gt;0,$E$1=2),0,1)</f>
        <v>1</v>
      </c>
      <c r="BG201" s="68">
        <f ca="1">IF(AND(SUMIF(Capacity_Resource,$D201,'Critical resources (hide)'!BT$6:BT$105)+SUMIF(Capacity_Resource,$E201,'Critical resources (hide)'!BT$6:BT$105)+SUMIF(Capacity_Resource,$F201,'Critical resources (hide)'!BT$6:BT$105)&gt;0,$E$1=2),0,1)</f>
        <v>1</v>
      </c>
      <c r="BH201" s="68">
        <f>IF(ROW(A90)&lt;=Capacity!$M$16,IF('Capacity summary'!$C$14="No",SUM(H201:BG201),'Capacity summary'!$E113),0)</f>
        <v>0</v>
      </c>
      <c r="BI201" s="68" t="str">
        <f>IF(BH201&gt;0,IF(BH201&lt;Capacity!Q106,Capacity!R106,Capacity!T106/'Capacity calculation (hide)'!BH201),"")</f>
        <v/>
      </c>
      <c r="BJ201" s="5"/>
      <c r="BK201" s="5">
        <f>IF($BI201&lt;&gt;"",IF('Capacity summary'!$C$14="Yes",IF(COUNTBLANK('Capacity summary'!$H113:$BG113)&lt;52,IF('Capacity summary'!H113&lt;&gt;"",$BI201*H201,0),H201*$BI201),H201*$BI201),0)</f>
        <v>0</v>
      </c>
      <c r="BL201" s="5">
        <f>IF($BI201&lt;&gt;"",IF('Capacity summary'!$C$14="Yes",IF(COUNTBLANK('Capacity summary'!$H113:$BG113)&lt;52,IF('Capacity summary'!I113&lt;&gt;"",$BI201*I201,0),I201*$BI201),I201*$BI201),0)</f>
        <v>0</v>
      </c>
      <c r="BM201" s="5">
        <f>IF($BI201&lt;&gt;"",IF('Capacity summary'!$C$14="Yes",IF(COUNTBLANK('Capacity summary'!$H113:$BG113)&lt;52,IF('Capacity summary'!J113&lt;&gt;"",$BI201*J201,0),J201*$BI201),J201*$BI201),0)</f>
        <v>0</v>
      </c>
      <c r="BN201" s="5">
        <f>IF($BI201&lt;&gt;"",IF('Capacity summary'!$C$14="Yes",IF(COUNTBLANK('Capacity summary'!$H113:$BG113)&lt;52,IF('Capacity summary'!K113&lt;&gt;"",$BI201*K201,0),K201*$BI201),K201*$BI201),0)</f>
        <v>0</v>
      </c>
      <c r="BO201" s="5">
        <f>IF($BI201&lt;&gt;"",IF('Capacity summary'!$C$14="Yes",IF(COUNTBLANK('Capacity summary'!$H113:$BG113)&lt;52,IF('Capacity summary'!L113&lt;&gt;"",$BI201*L201,0),L201*$BI201),L201*$BI201),0)</f>
        <v>0</v>
      </c>
      <c r="BP201" s="5">
        <f>IF($BI201&lt;&gt;"",IF('Capacity summary'!$C$14="Yes",IF(COUNTBLANK('Capacity summary'!$H113:$BG113)&lt;52,IF('Capacity summary'!M113&lt;&gt;"",$BI201*M201,0),M201*$BI201),M201*$BI201),0)</f>
        <v>0</v>
      </c>
      <c r="BQ201" s="5">
        <f>IF($BI201&lt;&gt;"",IF('Capacity summary'!$C$14="Yes",IF(COUNTBLANK('Capacity summary'!$H113:$BG113)&lt;52,IF('Capacity summary'!N113&lt;&gt;"",$BI201*N201,0),N201*$BI201),N201*$BI201),0)</f>
        <v>0</v>
      </c>
      <c r="BR201" s="5">
        <f>IF($BI201&lt;&gt;"",IF('Capacity summary'!$C$14="Yes",IF(COUNTBLANK('Capacity summary'!$H113:$BG113)&lt;52,IF('Capacity summary'!O113&lt;&gt;"",$BI201*O201,0),O201*$BI201),O201*$BI201),0)</f>
        <v>0</v>
      </c>
      <c r="BS201" s="5">
        <f>IF($BI201&lt;&gt;"",IF('Capacity summary'!$C$14="Yes",IF(COUNTBLANK('Capacity summary'!$H113:$BG113)&lt;52,IF('Capacity summary'!P113&lt;&gt;"",$BI201*P201,0),P201*$BI201),P201*$BI201),0)</f>
        <v>0</v>
      </c>
      <c r="BT201" s="5">
        <f>IF($BI201&lt;&gt;"",IF('Capacity summary'!$C$14="Yes",IF(COUNTBLANK('Capacity summary'!$H113:$BG113)&lt;52,IF('Capacity summary'!Q113&lt;&gt;"",$BI201*Q201,0),Q201*$BI201),Q201*$BI201),0)</f>
        <v>0</v>
      </c>
      <c r="BU201" s="5">
        <f>IF($BI201&lt;&gt;"",IF('Capacity summary'!$C$14="Yes",IF(COUNTBLANK('Capacity summary'!$H113:$BG113)&lt;52,IF('Capacity summary'!R113&lt;&gt;"",$BI201*R201,0),R201*$BI201),R201*$BI201),0)</f>
        <v>0</v>
      </c>
      <c r="BV201" s="5">
        <f>IF($BI201&lt;&gt;"",IF('Capacity summary'!$C$14="Yes",IF(COUNTBLANK('Capacity summary'!$H113:$BG113)&lt;52,IF('Capacity summary'!S113&lt;&gt;"",$BI201*S201,0),S201*$BI201),S201*$BI201),0)</f>
        <v>0</v>
      </c>
      <c r="BW201" s="5">
        <f>IF($BI201&lt;&gt;"",IF('Capacity summary'!$C$14="Yes",IF(COUNTBLANK('Capacity summary'!$H113:$BG113)&lt;52,IF('Capacity summary'!T113&lt;&gt;"",$BI201*T201,0),T201*$BI201),T201*$BI201),0)</f>
        <v>0</v>
      </c>
      <c r="BX201" s="5">
        <f>IF($BI201&lt;&gt;"",IF('Capacity summary'!$C$14="Yes",IF(COUNTBLANK('Capacity summary'!$H113:$BG113)&lt;52,IF('Capacity summary'!U113&lt;&gt;"",$BI201*U201,0),U201*$BI201),U201*$BI201),0)</f>
        <v>0</v>
      </c>
      <c r="BY201" s="5">
        <f>IF($BI201&lt;&gt;"",IF('Capacity summary'!$C$14="Yes",IF(COUNTBLANK('Capacity summary'!$H113:$BG113)&lt;52,IF('Capacity summary'!V113&lt;&gt;"",$BI201*V201,0),V201*$BI201),V201*$BI201),0)</f>
        <v>0</v>
      </c>
      <c r="BZ201" s="5">
        <f>IF($BI201&lt;&gt;"",IF('Capacity summary'!$C$14="Yes",IF(COUNTBLANK('Capacity summary'!$H113:$BG113)&lt;52,IF('Capacity summary'!W113&lt;&gt;"",$BI201*W201,0),W201*$BI201),W201*$BI201),0)</f>
        <v>0</v>
      </c>
      <c r="CA201" s="5">
        <f>IF($BI201&lt;&gt;"",IF('Capacity summary'!$C$14="Yes",IF(COUNTBLANK('Capacity summary'!$H113:$BG113)&lt;52,IF('Capacity summary'!X113&lt;&gt;"",$BI201*X201,0),X201*$BI201),X201*$BI201),0)</f>
        <v>0</v>
      </c>
      <c r="CB201" s="5">
        <f>IF($BI201&lt;&gt;"",IF('Capacity summary'!$C$14="Yes",IF(COUNTBLANK('Capacity summary'!$H113:$BG113)&lt;52,IF('Capacity summary'!Y113&lt;&gt;"",$BI201*Y201,0),Y201*$BI201),Y201*$BI201),0)</f>
        <v>0</v>
      </c>
      <c r="CC201" s="5">
        <f>IF($BI201&lt;&gt;"",IF('Capacity summary'!$C$14="Yes",IF(COUNTBLANK('Capacity summary'!$H113:$BG113)&lt;52,IF('Capacity summary'!Z113&lt;&gt;"",$BI201*Z201,0),Z201*$BI201),Z201*$BI201),0)</f>
        <v>0</v>
      </c>
      <c r="CD201" s="5">
        <f>IF($BI201&lt;&gt;"",IF('Capacity summary'!$C$14="Yes",IF(COUNTBLANK('Capacity summary'!$H113:$BG113)&lt;52,IF('Capacity summary'!AA113&lt;&gt;"",$BI201*AA201,0),AA201*$BI201),AA201*$BI201),0)</f>
        <v>0</v>
      </c>
      <c r="CE201" s="5">
        <f>IF($BI201&lt;&gt;"",IF('Capacity summary'!$C$14="Yes",IF(COUNTBLANK('Capacity summary'!$H113:$BG113)&lt;52,IF('Capacity summary'!AB113&lt;&gt;"",$BI201*AB201,0),AB201*$BI201),AB201*$BI201),0)</f>
        <v>0</v>
      </c>
      <c r="CF201" s="5">
        <f>IF($BI201&lt;&gt;"",IF('Capacity summary'!$C$14="Yes",IF(COUNTBLANK('Capacity summary'!$H113:$BG113)&lt;52,IF('Capacity summary'!AC113&lt;&gt;"",$BI201*AC201,0),AC201*$BI201),AC201*$BI201),0)</f>
        <v>0</v>
      </c>
      <c r="CG201" s="5">
        <f>IF($BI201&lt;&gt;"",IF('Capacity summary'!$C$14="Yes",IF(COUNTBLANK('Capacity summary'!$H113:$BG113)&lt;52,IF('Capacity summary'!AD113&lt;&gt;"",$BI201*AD201,0),AD201*$BI201),AD201*$BI201),0)</f>
        <v>0</v>
      </c>
      <c r="CH201" s="5">
        <f>IF($BI201&lt;&gt;"",IF('Capacity summary'!$C$14="Yes",IF(COUNTBLANK('Capacity summary'!$H113:$BG113)&lt;52,IF('Capacity summary'!AE113&lt;&gt;"",$BI201*AE201,0),AE201*$BI201),AE201*$BI201),0)</f>
        <v>0</v>
      </c>
      <c r="CI201" s="5">
        <f>IF($BI201&lt;&gt;"",IF('Capacity summary'!$C$14="Yes",IF(COUNTBLANK('Capacity summary'!$H113:$BG113)&lt;52,IF('Capacity summary'!AF113&lt;&gt;"",$BI201*AF201,0),AF201*$BI201),AF201*$BI201),0)</f>
        <v>0</v>
      </c>
      <c r="CJ201" s="5">
        <f>IF($BI201&lt;&gt;"",IF('Capacity summary'!$C$14="Yes",IF(COUNTBLANK('Capacity summary'!$H113:$BG113)&lt;52,IF('Capacity summary'!AG113&lt;&gt;"",$BI201*AG201,0),AG201*$BI201),AG201*$BI201),0)</f>
        <v>0</v>
      </c>
      <c r="CK201" s="5">
        <f>IF($BI201&lt;&gt;"",IF('Capacity summary'!$C$14="Yes",IF(COUNTBLANK('Capacity summary'!$H113:$BG113)&lt;52,IF('Capacity summary'!AH113&lt;&gt;"",$BI201*AH201,0),AH201*$BI201),AH201*$BI201),0)</f>
        <v>0</v>
      </c>
      <c r="CL201" s="5">
        <f>IF($BI201&lt;&gt;"",IF('Capacity summary'!$C$14="Yes",IF(COUNTBLANK('Capacity summary'!$H113:$BG113)&lt;52,IF('Capacity summary'!AI113&lt;&gt;"",$BI201*AI201,0),AI201*$BI201),AI201*$BI201),0)</f>
        <v>0</v>
      </c>
      <c r="CM201" s="5">
        <f>IF($BI201&lt;&gt;"",IF('Capacity summary'!$C$14="Yes",IF(COUNTBLANK('Capacity summary'!$H113:$BG113)&lt;52,IF('Capacity summary'!AJ113&lt;&gt;"",$BI201*AJ201,0),AJ201*$BI201),AJ201*$BI201),0)</f>
        <v>0</v>
      </c>
      <c r="CN201" s="5">
        <f>IF($BI201&lt;&gt;"",IF('Capacity summary'!$C$14="Yes",IF(COUNTBLANK('Capacity summary'!$H113:$BG113)&lt;52,IF('Capacity summary'!AK113&lt;&gt;"",$BI201*AK201,0),AK201*$BI201),AK201*$BI201),0)</f>
        <v>0</v>
      </c>
      <c r="CO201" s="5">
        <f>IF($BI201&lt;&gt;"",IF('Capacity summary'!$C$14="Yes",IF(COUNTBLANK('Capacity summary'!$H113:$BG113)&lt;52,IF('Capacity summary'!AL113&lt;&gt;"",$BI201*AL201,0),AL201*$BI201),AL201*$BI201),0)</f>
        <v>0</v>
      </c>
      <c r="CP201" s="5">
        <f>IF($BI201&lt;&gt;"",IF('Capacity summary'!$C$14="Yes",IF(COUNTBLANK('Capacity summary'!$H113:$BG113)&lt;52,IF('Capacity summary'!AM113&lt;&gt;"",$BI201*AM201,0),AM201*$BI201),AM201*$BI201),0)</f>
        <v>0</v>
      </c>
      <c r="CQ201" s="5">
        <f>IF($BI201&lt;&gt;"",IF('Capacity summary'!$C$14="Yes",IF(COUNTBLANK('Capacity summary'!$H113:$BG113)&lt;52,IF('Capacity summary'!AN113&lt;&gt;"",$BI201*AN201,0),AN201*$BI201),AN201*$BI201),0)</f>
        <v>0</v>
      </c>
      <c r="CR201" s="5">
        <f>IF($BI201&lt;&gt;"",IF('Capacity summary'!$C$14="Yes",IF(COUNTBLANK('Capacity summary'!$H113:$BG113)&lt;52,IF('Capacity summary'!AO113&lt;&gt;"",$BI201*AO201,0),AO201*$BI201),AO201*$BI201),0)</f>
        <v>0</v>
      </c>
      <c r="CS201" s="5">
        <f>IF($BI201&lt;&gt;"",IF('Capacity summary'!$C$14="Yes",IF(COUNTBLANK('Capacity summary'!$H113:$BG113)&lt;52,IF('Capacity summary'!AP113&lt;&gt;"",$BI201*AP201,0),AP201*$BI201),AP201*$BI201),0)</f>
        <v>0</v>
      </c>
      <c r="CT201" s="5">
        <f>IF($BI201&lt;&gt;"",IF('Capacity summary'!$C$14="Yes",IF(COUNTBLANK('Capacity summary'!$H113:$BG113)&lt;52,IF('Capacity summary'!AQ113&lt;&gt;"",$BI201*AQ201,0),AQ201*$BI201),AQ201*$BI201),0)</f>
        <v>0</v>
      </c>
      <c r="CU201" s="5">
        <f>IF($BI201&lt;&gt;"",IF('Capacity summary'!$C$14="Yes",IF(COUNTBLANK('Capacity summary'!$H113:$BG113)&lt;52,IF('Capacity summary'!AR113&lt;&gt;"",$BI201*AR201,0),AR201*$BI201),AR201*$BI201),0)</f>
        <v>0</v>
      </c>
      <c r="CV201" s="5">
        <f>IF($BI201&lt;&gt;"",IF('Capacity summary'!$C$14="Yes",IF(COUNTBLANK('Capacity summary'!$H113:$BG113)&lt;52,IF('Capacity summary'!AS113&lt;&gt;"",$BI201*AS201,0),AS201*$BI201),AS201*$BI201),0)</f>
        <v>0</v>
      </c>
      <c r="CW201" s="5">
        <f>IF($BI201&lt;&gt;"",IF('Capacity summary'!$C$14="Yes",IF(COUNTBLANK('Capacity summary'!$H113:$BG113)&lt;52,IF('Capacity summary'!AT113&lt;&gt;"",$BI201*AT201,0),AT201*$BI201),AT201*$BI201),0)</f>
        <v>0</v>
      </c>
      <c r="CX201" s="5">
        <f>IF($BI201&lt;&gt;"",IF('Capacity summary'!$C$14="Yes",IF(COUNTBLANK('Capacity summary'!$H113:$BG113)&lt;52,IF('Capacity summary'!AU113&lt;&gt;"",$BI201*AU201,0),AU201*$BI201),AU201*$BI201),0)</f>
        <v>0</v>
      </c>
      <c r="CY201" s="5">
        <f>IF($BI201&lt;&gt;"",IF('Capacity summary'!$C$14="Yes",IF(COUNTBLANK('Capacity summary'!$H113:$BG113)&lt;52,IF('Capacity summary'!AV113&lt;&gt;"",$BI201*AV201,0),AV201*$BI201),AV201*$BI201),0)</f>
        <v>0</v>
      </c>
      <c r="CZ201" s="5">
        <f>IF($BI201&lt;&gt;"",IF('Capacity summary'!$C$14="Yes",IF(COUNTBLANK('Capacity summary'!$H113:$BG113)&lt;52,IF('Capacity summary'!AW113&lt;&gt;"",$BI201*AW201,0),AW201*$BI201),AW201*$BI201),0)</f>
        <v>0</v>
      </c>
      <c r="DA201" s="5">
        <f>IF($BI201&lt;&gt;"",IF('Capacity summary'!$C$14="Yes",IF(COUNTBLANK('Capacity summary'!$H113:$BG113)&lt;52,IF('Capacity summary'!AX113&lt;&gt;"",$BI201*AX201,0),AX201*$BI201),AX201*$BI201),0)</f>
        <v>0</v>
      </c>
      <c r="DB201" s="5">
        <f>IF($BI201&lt;&gt;"",IF('Capacity summary'!$C$14="Yes",IF(COUNTBLANK('Capacity summary'!$H113:$BG113)&lt;52,IF('Capacity summary'!AY113&lt;&gt;"",$BI201*AY201,0),AY201*$BI201),AY201*$BI201),0)</f>
        <v>0</v>
      </c>
      <c r="DC201" s="5">
        <f>IF($BI201&lt;&gt;"",IF('Capacity summary'!$C$14="Yes",IF(COUNTBLANK('Capacity summary'!$H113:$BG113)&lt;52,IF('Capacity summary'!AZ113&lt;&gt;"",$BI201*AZ201,0),AZ201*$BI201),AZ201*$BI201),0)</f>
        <v>0</v>
      </c>
      <c r="DD201" s="5">
        <f>IF($BI201&lt;&gt;"",IF('Capacity summary'!$C$14="Yes",IF(COUNTBLANK('Capacity summary'!$H113:$BG113)&lt;52,IF('Capacity summary'!BA113&lt;&gt;"",$BI201*BA201,0),BA201*$BI201),BA201*$BI201),0)</f>
        <v>0</v>
      </c>
      <c r="DE201" s="5">
        <f>IF($BI201&lt;&gt;"",IF('Capacity summary'!$C$14="Yes",IF(COUNTBLANK('Capacity summary'!$H113:$BG113)&lt;52,IF('Capacity summary'!BB113&lt;&gt;"",$BI201*BB201,0),BB201*$BI201),BB201*$BI201),0)</f>
        <v>0</v>
      </c>
      <c r="DF201" s="5">
        <f>IF($BI201&lt;&gt;"",IF('Capacity summary'!$C$14="Yes",IF(COUNTBLANK('Capacity summary'!$H113:$BG113)&lt;52,IF('Capacity summary'!BC113&lt;&gt;"",$BI201*BC201,0),BC201*$BI201),BC201*$BI201),0)</f>
        <v>0</v>
      </c>
      <c r="DG201" s="5">
        <f>IF($BI201&lt;&gt;"",IF('Capacity summary'!$C$14="Yes",IF(COUNTBLANK('Capacity summary'!$H113:$BG113)&lt;52,IF('Capacity summary'!BD113&lt;&gt;"",$BI201*BD201,0),BD201*$BI201),BD201*$BI201),0)</f>
        <v>0</v>
      </c>
      <c r="DH201" s="5">
        <f>IF($BI201&lt;&gt;"",IF('Capacity summary'!$C$14="Yes",IF(COUNTBLANK('Capacity summary'!$H113:$BG113)&lt;52,IF('Capacity summary'!BE113&lt;&gt;"",$BI201*BE201,0),BE201*$BI201),BE201*$BI201),0)</f>
        <v>0</v>
      </c>
      <c r="DI201" s="5">
        <f>IF($BI201&lt;&gt;"",IF('Capacity summary'!$C$14="Yes",IF(COUNTBLANK('Capacity summary'!$H113:$BG113)&lt;52,IF('Capacity summary'!BF113&lt;&gt;"",$BI201*BF201,0),BF201*$BI201),BF201*$BI201),0)</f>
        <v>0</v>
      </c>
      <c r="DJ201" s="5">
        <f>IF($BI201&lt;&gt;"",IF('Capacity summary'!$C$14="Yes",IF(COUNTBLANK('Capacity summary'!$H113:$BG113)&lt;52,IF('Capacity summary'!BG113&lt;&gt;"",$BI201*BG201,0),BG201*$BI201),BG201*$BI201),0)</f>
        <v>0</v>
      </c>
      <c r="DK201" s="138">
        <f t="shared" si="7"/>
        <v>0</v>
      </c>
    </row>
    <row r="202" spans="3:115" x14ac:dyDescent="0.2">
      <c r="C202" s="68" t="str">
        <f>ROW(A91)&amp;". "&amp;Capacity!N107</f>
        <v xml:space="preserve">91. </v>
      </c>
      <c r="D202" s="68">
        <f>'Capacity setup'!C208</f>
        <v>0</v>
      </c>
      <c r="E202" s="68">
        <f>'Capacity setup'!D208</f>
        <v>0</v>
      </c>
      <c r="F202" s="68">
        <f>'Capacity setup'!E208</f>
        <v>0</v>
      </c>
      <c r="H202" s="68">
        <f ca="1">IF(AND(SUMIF(Capacity_Resource,$D202,'Critical resources (hide)'!U$6:U$105)+SUMIF(Capacity_Resource,$E202,'Critical resources (hide)'!U$6:U$105)+SUMIF(Capacity_Resource,$F202,'Critical resources (hide)'!U$6:U$105)&gt;0,$E$1=2),0,1)</f>
        <v>1</v>
      </c>
      <c r="I202" s="68">
        <f ca="1">IF(AND(SUMIF(Capacity_Resource,$D202,'Critical resources (hide)'!V$6:V$105)+SUMIF(Capacity_Resource,$E202,'Critical resources (hide)'!V$6:V$105)+SUMIF(Capacity_Resource,$F202,'Critical resources (hide)'!V$6:V$105)&gt;0,$E$1=2),0,1)</f>
        <v>1</v>
      </c>
      <c r="J202" s="68">
        <f ca="1">IF(AND(SUMIF(Capacity_Resource,$D202,'Critical resources (hide)'!W$6:W$105)+SUMIF(Capacity_Resource,$E202,'Critical resources (hide)'!W$6:W$105)+SUMIF(Capacity_Resource,$F202,'Critical resources (hide)'!W$6:W$105)&gt;0,$E$1=2),0,1)</f>
        <v>1</v>
      </c>
      <c r="K202" s="68">
        <f ca="1">IF(AND(SUMIF(Capacity_Resource,$D202,'Critical resources (hide)'!X$6:X$105)+SUMIF(Capacity_Resource,$E202,'Critical resources (hide)'!X$6:X$105)+SUMIF(Capacity_Resource,$F202,'Critical resources (hide)'!X$6:X$105)&gt;0,$E$1=2),0,1)</f>
        <v>1</v>
      </c>
      <c r="L202" s="68">
        <f ca="1">IF(AND(SUMIF(Capacity_Resource,$D202,'Critical resources (hide)'!Y$6:Y$105)+SUMIF(Capacity_Resource,$E202,'Critical resources (hide)'!Y$6:Y$105)+SUMIF(Capacity_Resource,$F202,'Critical resources (hide)'!Y$6:Y$105)&gt;0,$E$1=2),0,1)</f>
        <v>1</v>
      </c>
      <c r="M202" s="68">
        <f ca="1">IF(AND(SUMIF(Capacity_Resource,$D202,'Critical resources (hide)'!Z$6:Z$105)+SUMIF(Capacity_Resource,$E202,'Critical resources (hide)'!Z$6:Z$105)+SUMIF(Capacity_Resource,$F202,'Critical resources (hide)'!Z$6:Z$105)&gt;0,$E$1=2),0,1)</f>
        <v>1</v>
      </c>
      <c r="N202" s="68">
        <f ca="1">IF(AND(SUMIF(Capacity_Resource,$D202,'Critical resources (hide)'!AA$6:AA$105)+SUMIF(Capacity_Resource,$E202,'Critical resources (hide)'!AA$6:AA$105)+SUMIF(Capacity_Resource,$F202,'Critical resources (hide)'!AA$6:AA$105)&gt;0,$E$1=2),0,1)</f>
        <v>1</v>
      </c>
      <c r="O202" s="68">
        <f ca="1">IF(AND(SUMIF(Capacity_Resource,$D202,'Critical resources (hide)'!AB$6:AB$105)+SUMIF(Capacity_Resource,$E202,'Critical resources (hide)'!AB$6:AB$105)+SUMIF(Capacity_Resource,$F202,'Critical resources (hide)'!AB$6:AB$105)&gt;0,$E$1=2),0,1)</f>
        <v>1</v>
      </c>
      <c r="P202" s="68">
        <f ca="1">IF(AND(SUMIF(Capacity_Resource,$D202,'Critical resources (hide)'!AC$6:AC$105)+SUMIF(Capacity_Resource,$E202,'Critical resources (hide)'!AC$6:AC$105)+SUMIF(Capacity_Resource,$F202,'Critical resources (hide)'!AC$6:AC$105)&gt;0,$E$1=2),0,1)</f>
        <v>1</v>
      </c>
      <c r="Q202" s="68">
        <f ca="1">IF(AND(SUMIF(Capacity_Resource,$D202,'Critical resources (hide)'!AD$6:AD$105)+SUMIF(Capacity_Resource,$E202,'Critical resources (hide)'!AD$6:AD$105)+SUMIF(Capacity_Resource,$F202,'Critical resources (hide)'!AD$6:AD$105)&gt;0,$E$1=2),0,1)</f>
        <v>1</v>
      </c>
      <c r="R202" s="68">
        <f ca="1">IF(AND(SUMIF(Capacity_Resource,$D202,'Critical resources (hide)'!AE$6:AE$105)+SUMIF(Capacity_Resource,$E202,'Critical resources (hide)'!AE$6:AE$105)+SUMIF(Capacity_Resource,$F202,'Critical resources (hide)'!AE$6:AE$105)&gt;0,$E$1=2),0,1)</f>
        <v>1</v>
      </c>
      <c r="S202" s="68">
        <f ca="1">IF(AND(SUMIF(Capacity_Resource,$D202,'Critical resources (hide)'!AF$6:AF$105)+SUMIF(Capacity_Resource,$E202,'Critical resources (hide)'!AF$6:AF$105)+SUMIF(Capacity_Resource,$F202,'Critical resources (hide)'!AF$6:AF$105)&gt;0,$E$1=2),0,1)</f>
        <v>1</v>
      </c>
      <c r="T202" s="68">
        <f ca="1">IF(AND(SUMIF(Capacity_Resource,$D202,'Critical resources (hide)'!AG$6:AG$105)+SUMIF(Capacity_Resource,$E202,'Critical resources (hide)'!AG$6:AG$105)+SUMIF(Capacity_Resource,$F202,'Critical resources (hide)'!AG$6:AG$105)&gt;0,$E$1=2),0,1)</f>
        <v>1</v>
      </c>
      <c r="U202" s="68">
        <f ca="1">IF(AND(SUMIF(Capacity_Resource,$D202,'Critical resources (hide)'!AH$6:AH$105)+SUMIF(Capacity_Resource,$E202,'Critical resources (hide)'!AH$6:AH$105)+SUMIF(Capacity_Resource,$F202,'Critical resources (hide)'!AH$6:AH$105)&gt;0,$E$1=2),0,1)</f>
        <v>1</v>
      </c>
      <c r="V202" s="68">
        <f ca="1">IF(AND(SUMIF(Capacity_Resource,$D202,'Critical resources (hide)'!AI$6:AI$105)+SUMIF(Capacity_Resource,$E202,'Critical resources (hide)'!AI$6:AI$105)+SUMIF(Capacity_Resource,$F202,'Critical resources (hide)'!AI$6:AI$105)&gt;0,$E$1=2),0,1)</f>
        <v>1</v>
      </c>
      <c r="W202" s="68">
        <f ca="1">IF(AND(SUMIF(Capacity_Resource,$D202,'Critical resources (hide)'!AJ$6:AJ$105)+SUMIF(Capacity_Resource,$E202,'Critical resources (hide)'!AJ$6:AJ$105)+SUMIF(Capacity_Resource,$F202,'Critical resources (hide)'!AJ$6:AJ$105)&gt;0,$E$1=2),0,1)</f>
        <v>1</v>
      </c>
      <c r="X202" s="68">
        <f ca="1">IF(AND(SUMIF(Capacity_Resource,$D202,'Critical resources (hide)'!AK$6:AK$105)+SUMIF(Capacity_Resource,$E202,'Critical resources (hide)'!AK$6:AK$105)+SUMIF(Capacity_Resource,$F202,'Critical resources (hide)'!AK$6:AK$105)&gt;0,$E$1=2),0,1)</f>
        <v>1</v>
      </c>
      <c r="Y202" s="68">
        <f ca="1">IF(AND(SUMIF(Capacity_Resource,$D202,'Critical resources (hide)'!AL$6:AL$105)+SUMIF(Capacity_Resource,$E202,'Critical resources (hide)'!AL$6:AL$105)+SUMIF(Capacity_Resource,$F202,'Critical resources (hide)'!AL$6:AL$105)&gt;0,$E$1=2),0,1)</f>
        <v>1</v>
      </c>
      <c r="Z202" s="68">
        <f ca="1">IF(AND(SUMIF(Capacity_Resource,$D202,'Critical resources (hide)'!AM$6:AM$105)+SUMIF(Capacity_Resource,$E202,'Critical resources (hide)'!AM$6:AM$105)+SUMIF(Capacity_Resource,$F202,'Critical resources (hide)'!AM$6:AM$105)&gt;0,$E$1=2),0,1)</f>
        <v>1</v>
      </c>
      <c r="AA202" s="68">
        <f ca="1">IF(AND(SUMIF(Capacity_Resource,$D202,'Critical resources (hide)'!AN$6:AN$105)+SUMIF(Capacity_Resource,$E202,'Critical resources (hide)'!AN$6:AN$105)+SUMIF(Capacity_Resource,$F202,'Critical resources (hide)'!AN$6:AN$105)&gt;0,$E$1=2),0,1)</f>
        <v>1</v>
      </c>
      <c r="AB202" s="68">
        <f ca="1">IF(AND(SUMIF(Capacity_Resource,$D202,'Critical resources (hide)'!AO$6:AO$105)+SUMIF(Capacity_Resource,$E202,'Critical resources (hide)'!AO$6:AO$105)+SUMIF(Capacity_Resource,$F202,'Critical resources (hide)'!AO$6:AO$105)&gt;0,$E$1=2),0,1)</f>
        <v>1</v>
      </c>
      <c r="AC202" s="68">
        <f ca="1">IF(AND(SUMIF(Capacity_Resource,$D202,'Critical resources (hide)'!AP$6:AP$105)+SUMIF(Capacity_Resource,$E202,'Critical resources (hide)'!AP$6:AP$105)+SUMIF(Capacity_Resource,$F202,'Critical resources (hide)'!AP$6:AP$105)&gt;0,$E$1=2),0,1)</f>
        <v>1</v>
      </c>
      <c r="AD202" s="68">
        <f ca="1">IF(AND(SUMIF(Capacity_Resource,$D202,'Critical resources (hide)'!AQ$6:AQ$105)+SUMIF(Capacity_Resource,$E202,'Critical resources (hide)'!AQ$6:AQ$105)+SUMIF(Capacity_Resource,$F202,'Critical resources (hide)'!AQ$6:AQ$105)&gt;0,$E$1=2),0,1)</f>
        <v>1</v>
      </c>
      <c r="AE202" s="68">
        <f ca="1">IF(AND(SUMIF(Capacity_Resource,$D202,'Critical resources (hide)'!AR$6:AR$105)+SUMIF(Capacity_Resource,$E202,'Critical resources (hide)'!AR$6:AR$105)+SUMIF(Capacity_Resource,$F202,'Critical resources (hide)'!AR$6:AR$105)&gt;0,$E$1=2),0,1)</f>
        <v>1</v>
      </c>
      <c r="AF202" s="68">
        <f ca="1">IF(AND(SUMIF(Capacity_Resource,$D202,'Critical resources (hide)'!AS$6:AS$105)+SUMIF(Capacity_Resource,$E202,'Critical resources (hide)'!AS$6:AS$105)+SUMIF(Capacity_Resource,$F202,'Critical resources (hide)'!AS$6:AS$105)&gt;0,$E$1=2),0,1)</f>
        <v>1</v>
      </c>
      <c r="AG202" s="68">
        <f ca="1">IF(AND(SUMIF(Capacity_Resource,$D202,'Critical resources (hide)'!AT$6:AT$105)+SUMIF(Capacity_Resource,$E202,'Critical resources (hide)'!AT$6:AT$105)+SUMIF(Capacity_Resource,$F202,'Critical resources (hide)'!AT$6:AT$105)&gt;0,$E$1=2),0,1)</f>
        <v>1</v>
      </c>
      <c r="AH202" s="68">
        <f ca="1">IF(AND(SUMIF(Capacity_Resource,$D202,'Critical resources (hide)'!AU$6:AU$105)+SUMIF(Capacity_Resource,$E202,'Critical resources (hide)'!AU$6:AU$105)+SUMIF(Capacity_Resource,$F202,'Critical resources (hide)'!AU$6:AU$105)&gt;0,$E$1=2),0,1)</f>
        <v>1</v>
      </c>
      <c r="AI202" s="68">
        <f ca="1">IF(AND(SUMIF(Capacity_Resource,$D202,'Critical resources (hide)'!AV$6:AV$105)+SUMIF(Capacity_Resource,$E202,'Critical resources (hide)'!AV$6:AV$105)+SUMIF(Capacity_Resource,$F202,'Critical resources (hide)'!AV$6:AV$105)&gt;0,$E$1=2),0,1)</f>
        <v>1</v>
      </c>
      <c r="AJ202" s="68">
        <f ca="1">IF(AND(SUMIF(Capacity_Resource,$D202,'Critical resources (hide)'!AW$6:AW$105)+SUMIF(Capacity_Resource,$E202,'Critical resources (hide)'!AW$6:AW$105)+SUMIF(Capacity_Resource,$F202,'Critical resources (hide)'!AW$6:AW$105)&gt;0,$E$1=2),0,1)</f>
        <v>1</v>
      </c>
      <c r="AK202" s="68">
        <f ca="1">IF(AND(SUMIF(Capacity_Resource,$D202,'Critical resources (hide)'!AX$6:AX$105)+SUMIF(Capacity_Resource,$E202,'Critical resources (hide)'!AX$6:AX$105)+SUMIF(Capacity_Resource,$F202,'Critical resources (hide)'!AX$6:AX$105)&gt;0,$E$1=2),0,1)</f>
        <v>1</v>
      </c>
      <c r="AL202" s="68">
        <f ca="1">IF(AND(SUMIF(Capacity_Resource,$D202,'Critical resources (hide)'!AY$6:AY$105)+SUMIF(Capacity_Resource,$E202,'Critical resources (hide)'!AY$6:AY$105)+SUMIF(Capacity_Resource,$F202,'Critical resources (hide)'!AY$6:AY$105)&gt;0,$E$1=2),0,1)</f>
        <v>1</v>
      </c>
      <c r="AM202" s="68">
        <f ca="1">IF(AND(SUMIF(Capacity_Resource,$D202,'Critical resources (hide)'!AZ$6:AZ$105)+SUMIF(Capacity_Resource,$E202,'Critical resources (hide)'!AZ$6:AZ$105)+SUMIF(Capacity_Resource,$F202,'Critical resources (hide)'!AZ$6:AZ$105)&gt;0,$E$1=2),0,1)</f>
        <v>1</v>
      </c>
      <c r="AN202" s="68">
        <f ca="1">IF(AND(SUMIF(Capacity_Resource,$D202,'Critical resources (hide)'!BA$6:BA$105)+SUMIF(Capacity_Resource,$E202,'Critical resources (hide)'!BA$6:BA$105)+SUMIF(Capacity_Resource,$F202,'Critical resources (hide)'!BA$6:BA$105)&gt;0,$E$1=2),0,1)</f>
        <v>1</v>
      </c>
      <c r="AO202" s="68">
        <f ca="1">IF(AND(SUMIF(Capacity_Resource,$D202,'Critical resources (hide)'!BB$6:BB$105)+SUMIF(Capacity_Resource,$E202,'Critical resources (hide)'!BB$6:BB$105)+SUMIF(Capacity_Resource,$F202,'Critical resources (hide)'!BB$6:BB$105)&gt;0,$E$1=2),0,1)</f>
        <v>1</v>
      </c>
      <c r="AP202" s="68">
        <f ca="1">IF(AND(SUMIF(Capacity_Resource,$D202,'Critical resources (hide)'!BC$6:BC$105)+SUMIF(Capacity_Resource,$E202,'Critical resources (hide)'!BC$6:BC$105)+SUMIF(Capacity_Resource,$F202,'Critical resources (hide)'!BC$6:BC$105)&gt;0,$E$1=2),0,1)</f>
        <v>1</v>
      </c>
      <c r="AQ202" s="68">
        <f ca="1">IF(AND(SUMIF(Capacity_Resource,$D202,'Critical resources (hide)'!BD$6:BD$105)+SUMIF(Capacity_Resource,$E202,'Critical resources (hide)'!BD$6:BD$105)+SUMIF(Capacity_Resource,$F202,'Critical resources (hide)'!BD$6:BD$105)&gt;0,$E$1=2),0,1)</f>
        <v>1</v>
      </c>
      <c r="AR202" s="68">
        <f ca="1">IF(AND(SUMIF(Capacity_Resource,$D202,'Critical resources (hide)'!BE$6:BE$105)+SUMIF(Capacity_Resource,$E202,'Critical resources (hide)'!BE$6:BE$105)+SUMIF(Capacity_Resource,$F202,'Critical resources (hide)'!BE$6:BE$105)&gt;0,$E$1=2),0,1)</f>
        <v>1</v>
      </c>
      <c r="AS202" s="68">
        <f ca="1">IF(AND(SUMIF(Capacity_Resource,$D202,'Critical resources (hide)'!BF$6:BF$105)+SUMIF(Capacity_Resource,$E202,'Critical resources (hide)'!BF$6:BF$105)+SUMIF(Capacity_Resource,$F202,'Critical resources (hide)'!BF$6:BF$105)&gt;0,$E$1=2),0,1)</f>
        <v>1</v>
      </c>
      <c r="AT202" s="68">
        <f ca="1">IF(AND(SUMIF(Capacity_Resource,$D202,'Critical resources (hide)'!BG$6:BG$105)+SUMIF(Capacity_Resource,$E202,'Critical resources (hide)'!BG$6:BG$105)+SUMIF(Capacity_Resource,$F202,'Critical resources (hide)'!BG$6:BG$105)&gt;0,$E$1=2),0,1)</f>
        <v>1</v>
      </c>
      <c r="AU202" s="68">
        <f ca="1">IF(AND(SUMIF(Capacity_Resource,$D202,'Critical resources (hide)'!BH$6:BH$105)+SUMIF(Capacity_Resource,$E202,'Critical resources (hide)'!BH$6:BH$105)+SUMIF(Capacity_Resource,$F202,'Critical resources (hide)'!BH$6:BH$105)&gt;0,$E$1=2),0,1)</f>
        <v>1</v>
      </c>
      <c r="AV202" s="68">
        <f ca="1">IF(AND(SUMIF(Capacity_Resource,$D202,'Critical resources (hide)'!BI$6:BI$105)+SUMIF(Capacity_Resource,$E202,'Critical resources (hide)'!BI$6:BI$105)+SUMIF(Capacity_Resource,$F202,'Critical resources (hide)'!BI$6:BI$105)&gt;0,$E$1=2),0,1)</f>
        <v>1</v>
      </c>
      <c r="AW202" s="68">
        <f ca="1">IF(AND(SUMIF(Capacity_Resource,$D202,'Critical resources (hide)'!BJ$6:BJ$105)+SUMIF(Capacity_Resource,$E202,'Critical resources (hide)'!BJ$6:BJ$105)+SUMIF(Capacity_Resource,$F202,'Critical resources (hide)'!BJ$6:BJ$105)&gt;0,$E$1=2),0,1)</f>
        <v>1</v>
      </c>
      <c r="AX202" s="68">
        <f ca="1">IF(AND(SUMIF(Capacity_Resource,$D202,'Critical resources (hide)'!BK$6:BK$105)+SUMIF(Capacity_Resource,$E202,'Critical resources (hide)'!BK$6:BK$105)+SUMIF(Capacity_Resource,$F202,'Critical resources (hide)'!BK$6:BK$105)&gt;0,$E$1=2),0,1)</f>
        <v>1</v>
      </c>
      <c r="AY202" s="68">
        <f ca="1">IF(AND(SUMIF(Capacity_Resource,$D202,'Critical resources (hide)'!BL$6:BL$105)+SUMIF(Capacity_Resource,$E202,'Critical resources (hide)'!BL$6:BL$105)+SUMIF(Capacity_Resource,$F202,'Critical resources (hide)'!BL$6:BL$105)&gt;0,$E$1=2),0,1)</f>
        <v>1</v>
      </c>
      <c r="AZ202" s="68">
        <f ca="1">IF(AND(SUMIF(Capacity_Resource,$D202,'Critical resources (hide)'!BM$6:BM$105)+SUMIF(Capacity_Resource,$E202,'Critical resources (hide)'!BM$6:BM$105)+SUMIF(Capacity_Resource,$F202,'Critical resources (hide)'!BM$6:BM$105)&gt;0,$E$1=2),0,1)</f>
        <v>1</v>
      </c>
      <c r="BA202" s="68">
        <f ca="1">IF(AND(SUMIF(Capacity_Resource,$D202,'Critical resources (hide)'!BN$6:BN$105)+SUMIF(Capacity_Resource,$E202,'Critical resources (hide)'!BN$6:BN$105)+SUMIF(Capacity_Resource,$F202,'Critical resources (hide)'!BN$6:BN$105)&gt;0,$E$1=2),0,1)</f>
        <v>1</v>
      </c>
      <c r="BB202" s="68">
        <f ca="1">IF(AND(SUMIF(Capacity_Resource,$D202,'Critical resources (hide)'!BO$6:BO$105)+SUMIF(Capacity_Resource,$E202,'Critical resources (hide)'!BO$6:BO$105)+SUMIF(Capacity_Resource,$F202,'Critical resources (hide)'!BO$6:BO$105)&gt;0,$E$1=2),0,1)</f>
        <v>1</v>
      </c>
      <c r="BC202" s="68">
        <f ca="1">IF(AND(SUMIF(Capacity_Resource,$D202,'Critical resources (hide)'!BP$6:BP$105)+SUMIF(Capacity_Resource,$E202,'Critical resources (hide)'!BP$6:BP$105)+SUMIF(Capacity_Resource,$F202,'Critical resources (hide)'!BP$6:BP$105)&gt;0,$E$1=2),0,1)</f>
        <v>1</v>
      </c>
      <c r="BD202" s="68">
        <f ca="1">IF(AND(SUMIF(Capacity_Resource,$D202,'Critical resources (hide)'!BQ$6:BQ$105)+SUMIF(Capacity_Resource,$E202,'Critical resources (hide)'!BQ$6:BQ$105)+SUMIF(Capacity_Resource,$F202,'Critical resources (hide)'!BQ$6:BQ$105)&gt;0,$E$1=2),0,1)</f>
        <v>1</v>
      </c>
      <c r="BE202" s="68">
        <f ca="1">IF(AND(SUMIF(Capacity_Resource,$D202,'Critical resources (hide)'!BR$6:BR$105)+SUMIF(Capacity_Resource,$E202,'Critical resources (hide)'!BR$6:BR$105)+SUMIF(Capacity_Resource,$F202,'Critical resources (hide)'!BR$6:BR$105)&gt;0,$E$1=2),0,1)</f>
        <v>1</v>
      </c>
      <c r="BF202" s="68">
        <f ca="1">IF(AND(SUMIF(Capacity_Resource,$D202,'Critical resources (hide)'!BS$6:BS$105)+SUMIF(Capacity_Resource,$E202,'Critical resources (hide)'!BS$6:BS$105)+SUMIF(Capacity_Resource,$F202,'Critical resources (hide)'!BS$6:BS$105)&gt;0,$E$1=2),0,1)</f>
        <v>1</v>
      </c>
      <c r="BG202" s="68">
        <f ca="1">IF(AND(SUMIF(Capacity_Resource,$D202,'Critical resources (hide)'!BT$6:BT$105)+SUMIF(Capacity_Resource,$E202,'Critical resources (hide)'!BT$6:BT$105)+SUMIF(Capacity_Resource,$F202,'Critical resources (hide)'!BT$6:BT$105)&gt;0,$E$1=2),0,1)</f>
        <v>1</v>
      </c>
      <c r="BH202" s="68">
        <f>IF(ROW(A91)&lt;=Capacity!$M$16,IF('Capacity summary'!$C$14="No",SUM(H202:BG202),'Capacity summary'!$E114),0)</f>
        <v>0</v>
      </c>
      <c r="BI202" s="68" t="str">
        <f>IF(BH202&gt;0,IF(BH202&lt;Capacity!Q107,Capacity!R107,Capacity!T107/'Capacity calculation (hide)'!BH202),"")</f>
        <v/>
      </c>
      <c r="BJ202" s="5"/>
      <c r="BK202" s="5">
        <f>IF($BI202&lt;&gt;"",IF('Capacity summary'!$C$14="Yes",IF(COUNTBLANK('Capacity summary'!$H114:$BG114)&lt;52,IF('Capacity summary'!H114&lt;&gt;"",$BI202*H202,0),H202*$BI202),H202*$BI202),0)</f>
        <v>0</v>
      </c>
      <c r="BL202" s="5">
        <f>IF($BI202&lt;&gt;"",IF('Capacity summary'!$C$14="Yes",IF(COUNTBLANK('Capacity summary'!$H114:$BG114)&lt;52,IF('Capacity summary'!I114&lt;&gt;"",$BI202*I202,0),I202*$BI202),I202*$BI202),0)</f>
        <v>0</v>
      </c>
      <c r="BM202" s="5">
        <f>IF($BI202&lt;&gt;"",IF('Capacity summary'!$C$14="Yes",IF(COUNTBLANK('Capacity summary'!$H114:$BG114)&lt;52,IF('Capacity summary'!J114&lt;&gt;"",$BI202*J202,0),J202*$BI202),J202*$BI202),0)</f>
        <v>0</v>
      </c>
      <c r="BN202" s="5">
        <f>IF($BI202&lt;&gt;"",IF('Capacity summary'!$C$14="Yes",IF(COUNTBLANK('Capacity summary'!$H114:$BG114)&lt;52,IF('Capacity summary'!K114&lt;&gt;"",$BI202*K202,0),K202*$BI202),K202*$BI202),0)</f>
        <v>0</v>
      </c>
      <c r="BO202" s="5">
        <f>IF($BI202&lt;&gt;"",IF('Capacity summary'!$C$14="Yes",IF(COUNTBLANK('Capacity summary'!$H114:$BG114)&lt;52,IF('Capacity summary'!L114&lt;&gt;"",$BI202*L202,0),L202*$BI202),L202*$BI202),0)</f>
        <v>0</v>
      </c>
      <c r="BP202" s="5">
        <f>IF($BI202&lt;&gt;"",IF('Capacity summary'!$C$14="Yes",IF(COUNTBLANK('Capacity summary'!$H114:$BG114)&lt;52,IF('Capacity summary'!M114&lt;&gt;"",$BI202*M202,0),M202*$BI202),M202*$BI202),0)</f>
        <v>0</v>
      </c>
      <c r="BQ202" s="5">
        <f>IF($BI202&lt;&gt;"",IF('Capacity summary'!$C$14="Yes",IF(COUNTBLANK('Capacity summary'!$H114:$BG114)&lt;52,IF('Capacity summary'!N114&lt;&gt;"",$BI202*N202,0),N202*$BI202),N202*$BI202),0)</f>
        <v>0</v>
      </c>
      <c r="BR202" s="5">
        <f>IF($BI202&lt;&gt;"",IF('Capacity summary'!$C$14="Yes",IF(COUNTBLANK('Capacity summary'!$H114:$BG114)&lt;52,IF('Capacity summary'!O114&lt;&gt;"",$BI202*O202,0),O202*$BI202),O202*$BI202),0)</f>
        <v>0</v>
      </c>
      <c r="BS202" s="5">
        <f>IF($BI202&lt;&gt;"",IF('Capacity summary'!$C$14="Yes",IF(COUNTBLANK('Capacity summary'!$H114:$BG114)&lt;52,IF('Capacity summary'!P114&lt;&gt;"",$BI202*P202,0),P202*$BI202),P202*$BI202),0)</f>
        <v>0</v>
      </c>
      <c r="BT202" s="5">
        <f>IF($BI202&lt;&gt;"",IF('Capacity summary'!$C$14="Yes",IF(COUNTBLANK('Capacity summary'!$H114:$BG114)&lt;52,IF('Capacity summary'!Q114&lt;&gt;"",$BI202*Q202,0),Q202*$BI202),Q202*$BI202),0)</f>
        <v>0</v>
      </c>
      <c r="BU202" s="5">
        <f>IF($BI202&lt;&gt;"",IF('Capacity summary'!$C$14="Yes",IF(COUNTBLANK('Capacity summary'!$H114:$BG114)&lt;52,IF('Capacity summary'!R114&lt;&gt;"",$BI202*R202,0),R202*$BI202),R202*$BI202),0)</f>
        <v>0</v>
      </c>
      <c r="BV202" s="5">
        <f>IF($BI202&lt;&gt;"",IF('Capacity summary'!$C$14="Yes",IF(COUNTBLANK('Capacity summary'!$H114:$BG114)&lt;52,IF('Capacity summary'!S114&lt;&gt;"",$BI202*S202,0),S202*$BI202),S202*$BI202),0)</f>
        <v>0</v>
      </c>
      <c r="BW202" s="5">
        <f>IF($BI202&lt;&gt;"",IF('Capacity summary'!$C$14="Yes",IF(COUNTBLANK('Capacity summary'!$H114:$BG114)&lt;52,IF('Capacity summary'!T114&lt;&gt;"",$BI202*T202,0),T202*$BI202),T202*$BI202),0)</f>
        <v>0</v>
      </c>
      <c r="BX202" s="5">
        <f>IF($BI202&lt;&gt;"",IF('Capacity summary'!$C$14="Yes",IF(COUNTBLANK('Capacity summary'!$H114:$BG114)&lt;52,IF('Capacity summary'!U114&lt;&gt;"",$BI202*U202,0),U202*$BI202),U202*$BI202),0)</f>
        <v>0</v>
      </c>
      <c r="BY202" s="5">
        <f>IF($BI202&lt;&gt;"",IF('Capacity summary'!$C$14="Yes",IF(COUNTBLANK('Capacity summary'!$H114:$BG114)&lt;52,IF('Capacity summary'!V114&lt;&gt;"",$BI202*V202,0),V202*$BI202),V202*$BI202),0)</f>
        <v>0</v>
      </c>
      <c r="BZ202" s="5">
        <f>IF($BI202&lt;&gt;"",IF('Capacity summary'!$C$14="Yes",IF(COUNTBLANK('Capacity summary'!$H114:$BG114)&lt;52,IF('Capacity summary'!W114&lt;&gt;"",$BI202*W202,0),W202*$BI202),W202*$BI202),0)</f>
        <v>0</v>
      </c>
      <c r="CA202" s="5">
        <f>IF($BI202&lt;&gt;"",IF('Capacity summary'!$C$14="Yes",IF(COUNTBLANK('Capacity summary'!$H114:$BG114)&lt;52,IF('Capacity summary'!X114&lt;&gt;"",$BI202*X202,0),X202*$BI202),X202*$BI202),0)</f>
        <v>0</v>
      </c>
      <c r="CB202" s="5">
        <f>IF($BI202&lt;&gt;"",IF('Capacity summary'!$C$14="Yes",IF(COUNTBLANK('Capacity summary'!$H114:$BG114)&lt;52,IF('Capacity summary'!Y114&lt;&gt;"",$BI202*Y202,0),Y202*$BI202),Y202*$BI202),0)</f>
        <v>0</v>
      </c>
      <c r="CC202" s="5">
        <f>IF($BI202&lt;&gt;"",IF('Capacity summary'!$C$14="Yes",IF(COUNTBLANK('Capacity summary'!$H114:$BG114)&lt;52,IF('Capacity summary'!Z114&lt;&gt;"",$BI202*Z202,0),Z202*$BI202),Z202*$BI202),0)</f>
        <v>0</v>
      </c>
      <c r="CD202" s="5">
        <f>IF($BI202&lt;&gt;"",IF('Capacity summary'!$C$14="Yes",IF(COUNTBLANK('Capacity summary'!$H114:$BG114)&lt;52,IF('Capacity summary'!AA114&lt;&gt;"",$BI202*AA202,0),AA202*$BI202),AA202*$BI202),0)</f>
        <v>0</v>
      </c>
      <c r="CE202" s="5">
        <f>IF($BI202&lt;&gt;"",IF('Capacity summary'!$C$14="Yes",IF(COUNTBLANK('Capacity summary'!$H114:$BG114)&lt;52,IF('Capacity summary'!AB114&lt;&gt;"",$BI202*AB202,0),AB202*$BI202),AB202*$BI202),0)</f>
        <v>0</v>
      </c>
      <c r="CF202" s="5">
        <f>IF($BI202&lt;&gt;"",IF('Capacity summary'!$C$14="Yes",IF(COUNTBLANK('Capacity summary'!$H114:$BG114)&lt;52,IF('Capacity summary'!AC114&lt;&gt;"",$BI202*AC202,0),AC202*$BI202),AC202*$BI202),0)</f>
        <v>0</v>
      </c>
      <c r="CG202" s="5">
        <f>IF($BI202&lt;&gt;"",IF('Capacity summary'!$C$14="Yes",IF(COUNTBLANK('Capacity summary'!$H114:$BG114)&lt;52,IF('Capacity summary'!AD114&lt;&gt;"",$BI202*AD202,0),AD202*$BI202),AD202*$BI202),0)</f>
        <v>0</v>
      </c>
      <c r="CH202" s="5">
        <f>IF($BI202&lt;&gt;"",IF('Capacity summary'!$C$14="Yes",IF(COUNTBLANK('Capacity summary'!$H114:$BG114)&lt;52,IF('Capacity summary'!AE114&lt;&gt;"",$BI202*AE202,0),AE202*$BI202),AE202*$BI202),0)</f>
        <v>0</v>
      </c>
      <c r="CI202" s="5">
        <f>IF($BI202&lt;&gt;"",IF('Capacity summary'!$C$14="Yes",IF(COUNTBLANK('Capacity summary'!$H114:$BG114)&lt;52,IF('Capacity summary'!AF114&lt;&gt;"",$BI202*AF202,0),AF202*$BI202),AF202*$BI202),0)</f>
        <v>0</v>
      </c>
      <c r="CJ202" s="5">
        <f>IF($BI202&lt;&gt;"",IF('Capacity summary'!$C$14="Yes",IF(COUNTBLANK('Capacity summary'!$H114:$BG114)&lt;52,IF('Capacity summary'!AG114&lt;&gt;"",$BI202*AG202,0),AG202*$BI202),AG202*$BI202),0)</f>
        <v>0</v>
      </c>
      <c r="CK202" s="5">
        <f>IF($BI202&lt;&gt;"",IF('Capacity summary'!$C$14="Yes",IF(COUNTBLANK('Capacity summary'!$H114:$BG114)&lt;52,IF('Capacity summary'!AH114&lt;&gt;"",$BI202*AH202,0),AH202*$BI202),AH202*$BI202),0)</f>
        <v>0</v>
      </c>
      <c r="CL202" s="5">
        <f>IF($BI202&lt;&gt;"",IF('Capacity summary'!$C$14="Yes",IF(COUNTBLANK('Capacity summary'!$H114:$BG114)&lt;52,IF('Capacity summary'!AI114&lt;&gt;"",$BI202*AI202,0),AI202*$BI202),AI202*$BI202),0)</f>
        <v>0</v>
      </c>
      <c r="CM202" s="5">
        <f>IF($BI202&lt;&gt;"",IF('Capacity summary'!$C$14="Yes",IF(COUNTBLANK('Capacity summary'!$H114:$BG114)&lt;52,IF('Capacity summary'!AJ114&lt;&gt;"",$BI202*AJ202,0),AJ202*$BI202),AJ202*$BI202),0)</f>
        <v>0</v>
      </c>
      <c r="CN202" s="5">
        <f>IF($BI202&lt;&gt;"",IF('Capacity summary'!$C$14="Yes",IF(COUNTBLANK('Capacity summary'!$H114:$BG114)&lt;52,IF('Capacity summary'!AK114&lt;&gt;"",$BI202*AK202,0),AK202*$BI202),AK202*$BI202),0)</f>
        <v>0</v>
      </c>
      <c r="CO202" s="5">
        <f>IF($BI202&lt;&gt;"",IF('Capacity summary'!$C$14="Yes",IF(COUNTBLANK('Capacity summary'!$H114:$BG114)&lt;52,IF('Capacity summary'!AL114&lt;&gt;"",$BI202*AL202,0),AL202*$BI202),AL202*$BI202),0)</f>
        <v>0</v>
      </c>
      <c r="CP202" s="5">
        <f>IF($BI202&lt;&gt;"",IF('Capacity summary'!$C$14="Yes",IF(COUNTBLANK('Capacity summary'!$H114:$BG114)&lt;52,IF('Capacity summary'!AM114&lt;&gt;"",$BI202*AM202,0),AM202*$BI202),AM202*$BI202),0)</f>
        <v>0</v>
      </c>
      <c r="CQ202" s="5">
        <f>IF($BI202&lt;&gt;"",IF('Capacity summary'!$C$14="Yes",IF(COUNTBLANK('Capacity summary'!$H114:$BG114)&lt;52,IF('Capacity summary'!AN114&lt;&gt;"",$BI202*AN202,0),AN202*$BI202),AN202*$BI202),0)</f>
        <v>0</v>
      </c>
      <c r="CR202" s="5">
        <f>IF($BI202&lt;&gt;"",IF('Capacity summary'!$C$14="Yes",IF(COUNTBLANK('Capacity summary'!$H114:$BG114)&lt;52,IF('Capacity summary'!AO114&lt;&gt;"",$BI202*AO202,0),AO202*$BI202),AO202*$BI202),0)</f>
        <v>0</v>
      </c>
      <c r="CS202" s="5">
        <f>IF($BI202&lt;&gt;"",IF('Capacity summary'!$C$14="Yes",IF(COUNTBLANK('Capacity summary'!$H114:$BG114)&lt;52,IF('Capacity summary'!AP114&lt;&gt;"",$BI202*AP202,0),AP202*$BI202),AP202*$BI202),0)</f>
        <v>0</v>
      </c>
      <c r="CT202" s="5">
        <f>IF($BI202&lt;&gt;"",IF('Capacity summary'!$C$14="Yes",IF(COUNTBLANK('Capacity summary'!$H114:$BG114)&lt;52,IF('Capacity summary'!AQ114&lt;&gt;"",$BI202*AQ202,0),AQ202*$BI202),AQ202*$BI202),0)</f>
        <v>0</v>
      </c>
      <c r="CU202" s="5">
        <f>IF($BI202&lt;&gt;"",IF('Capacity summary'!$C$14="Yes",IF(COUNTBLANK('Capacity summary'!$H114:$BG114)&lt;52,IF('Capacity summary'!AR114&lt;&gt;"",$BI202*AR202,0),AR202*$BI202),AR202*$BI202),0)</f>
        <v>0</v>
      </c>
      <c r="CV202" s="5">
        <f>IF($BI202&lt;&gt;"",IF('Capacity summary'!$C$14="Yes",IF(COUNTBLANK('Capacity summary'!$H114:$BG114)&lt;52,IF('Capacity summary'!AS114&lt;&gt;"",$BI202*AS202,0),AS202*$BI202),AS202*$BI202),0)</f>
        <v>0</v>
      </c>
      <c r="CW202" s="5">
        <f>IF($BI202&lt;&gt;"",IF('Capacity summary'!$C$14="Yes",IF(COUNTBLANK('Capacity summary'!$H114:$BG114)&lt;52,IF('Capacity summary'!AT114&lt;&gt;"",$BI202*AT202,0),AT202*$BI202),AT202*$BI202),0)</f>
        <v>0</v>
      </c>
      <c r="CX202" s="5">
        <f>IF($BI202&lt;&gt;"",IF('Capacity summary'!$C$14="Yes",IF(COUNTBLANK('Capacity summary'!$H114:$BG114)&lt;52,IF('Capacity summary'!AU114&lt;&gt;"",$BI202*AU202,0),AU202*$BI202),AU202*$BI202),0)</f>
        <v>0</v>
      </c>
      <c r="CY202" s="5">
        <f>IF($BI202&lt;&gt;"",IF('Capacity summary'!$C$14="Yes",IF(COUNTBLANK('Capacity summary'!$H114:$BG114)&lt;52,IF('Capacity summary'!AV114&lt;&gt;"",$BI202*AV202,0),AV202*$BI202),AV202*$BI202),0)</f>
        <v>0</v>
      </c>
      <c r="CZ202" s="5">
        <f>IF($BI202&lt;&gt;"",IF('Capacity summary'!$C$14="Yes",IF(COUNTBLANK('Capacity summary'!$H114:$BG114)&lt;52,IF('Capacity summary'!AW114&lt;&gt;"",$BI202*AW202,0),AW202*$BI202),AW202*$BI202),0)</f>
        <v>0</v>
      </c>
      <c r="DA202" s="5">
        <f>IF($BI202&lt;&gt;"",IF('Capacity summary'!$C$14="Yes",IF(COUNTBLANK('Capacity summary'!$H114:$BG114)&lt;52,IF('Capacity summary'!AX114&lt;&gt;"",$BI202*AX202,0),AX202*$BI202),AX202*$BI202),0)</f>
        <v>0</v>
      </c>
      <c r="DB202" s="5">
        <f>IF($BI202&lt;&gt;"",IF('Capacity summary'!$C$14="Yes",IF(COUNTBLANK('Capacity summary'!$H114:$BG114)&lt;52,IF('Capacity summary'!AY114&lt;&gt;"",$BI202*AY202,0),AY202*$BI202),AY202*$BI202),0)</f>
        <v>0</v>
      </c>
      <c r="DC202" s="5">
        <f>IF($BI202&lt;&gt;"",IF('Capacity summary'!$C$14="Yes",IF(COUNTBLANK('Capacity summary'!$H114:$BG114)&lt;52,IF('Capacity summary'!AZ114&lt;&gt;"",$BI202*AZ202,0),AZ202*$BI202),AZ202*$BI202),0)</f>
        <v>0</v>
      </c>
      <c r="DD202" s="5">
        <f>IF($BI202&lt;&gt;"",IF('Capacity summary'!$C$14="Yes",IF(COUNTBLANK('Capacity summary'!$H114:$BG114)&lt;52,IF('Capacity summary'!BA114&lt;&gt;"",$BI202*BA202,0),BA202*$BI202),BA202*$BI202),0)</f>
        <v>0</v>
      </c>
      <c r="DE202" s="5">
        <f>IF($BI202&lt;&gt;"",IF('Capacity summary'!$C$14="Yes",IF(COUNTBLANK('Capacity summary'!$H114:$BG114)&lt;52,IF('Capacity summary'!BB114&lt;&gt;"",$BI202*BB202,0),BB202*$BI202),BB202*$BI202),0)</f>
        <v>0</v>
      </c>
      <c r="DF202" s="5">
        <f>IF($BI202&lt;&gt;"",IF('Capacity summary'!$C$14="Yes",IF(COUNTBLANK('Capacity summary'!$H114:$BG114)&lt;52,IF('Capacity summary'!BC114&lt;&gt;"",$BI202*BC202,0),BC202*$BI202),BC202*$BI202),0)</f>
        <v>0</v>
      </c>
      <c r="DG202" s="5">
        <f>IF($BI202&lt;&gt;"",IF('Capacity summary'!$C$14="Yes",IF(COUNTBLANK('Capacity summary'!$H114:$BG114)&lt;52,IF('Capacity summary'!BD114&lt;&gt;"",$BI202*BD202,0),BD202*$BI202),BD202*$BI202),0)</f>
        <v>0</v>
      </c>
      <c r="DH202" s="5">
        <f>IF($BI202&lt;&gt;"",IF('Capacity summary'!$C$14="Yes",IF(COUNTBLANK('Capacity summary'!$H114:$BG114)&lt;52,IF('Capacity summary'!BE114&lt;&gt;"",$BI202*BE202,0),BE202*$BI202),BE202*$BI202),0)</f>
        <v>0</v>
      </c>
      <c r="DI202" s="5">
        <f>IF($BI202&lt;&gt;"",IF('Capacity summary'!$C$14="Yes",IF(COUNTBLANK('Capacity summary'!$H114:$BG114)&lt;52,IF('Capacity summary'!BF114&lt;&gt;"",$BI202*BF202,0),BF202*$BI202),BF202*$BI202),0)</f>
        <v>0</v>
      </c>
      <c r="DJ202" s="5">
        <f>IF($BI202&lt;&gt;"",IF('Capacity summary'!$C$14="Yes",IF(COUNTBLANK('Capacity summary'!$H114:$BG114)&lt;52,IF('Capacity summary'!BG114&lt;&gt;"",$BI202*BG202,0),BG202*$BI202),BG202*$BI202),0)</f>
        <v>0</v>
      </c>
      <c r="DK202" s="138">
        <f t="shared" si="7"/>
        <v>0</v>
      </c>
    </row>
    <row r="203" spans="3:115" x14ac:dyDescent="0.2">
      <c r="C203" s="68" t="str">
        <f>ROW(A92)&amp;". "&amp;Capacity!N108</f>
        <v xml:space="preserve">92. </v>
      </c>
      <c r="D203" s="68">
        <f>'Capacity setup'!C209</f>
        <v>0</v>
      </c>
      <c r="E203" s="68">
        <f>'Capacity setup'!D209</f>
        <v>0</v>
      </c>
      <c r="F203" s="68">
        <f>'Capacity setup'!E209</f>
        <v>0</v>
      </c>
      <c r="H203" s="68">
        <f ca="1">IF(AND(SUMIF(Capacity_Resource,$D203,'Critical resources (hide)'!U$6:U$105)+SUMIF(Capacity_Resource,$E203,'Critical resources (hide)'!U$6:U$105)+SUMIF(Capacity_Resource,$F203,'Critical resources (hide)'!U$6:U$105)&gt;0,$E$1=2),0,1)</f>
        <v>1</v>
      </c>
      <c r="I203" s="68">
        <f ca="1">IF(AND(SUMIF(Capacity_Resource,$D203,'Critical resources (hide)'!V$6:V$105)+SUMIF(Capacity_Resource,$E203,'Critical resources (hide)'!V$6:V$105)+SUMIF(Capacity_Resource,$F203,'Critical resources (hide)'!V$6:V$105)&gt;0,$E$1=2),0,1)</f>
        <v>1</v>
      </c>
      <c r="J203" s="68">
        <f ca="1">IF(AND(SUMIF(Capacity_Resource,$D203,'Critical resources (hide)'!W$6:W$105)+SUMIF(Capacity_Resource,$E203,'Critical resources (hide)'!W$6:W$105)+SUMIF(Capacity_Resource,$F203,'Critical resources (hide)'!W$6:W$105)&gt;0,$E$1=2),0,1)</f>
        <v>1</v>
      </c>
      <c r="K203" s="68">
        <f ca="1">IF(AND(SUMIF(Capacity_Resource,$D203,'Critical resources (hide)'!X$6:X$105)+SUMIF(Capacity_Resource,$E203,'Critical resources (hide)'!X$6:X$105)+SUMIF(Capacity_Resource,$F203,'Critical resources (hide)'!X$6:X$105)&gt;0,$E$1=2),0,1)</f>
        <v>1</v>
      </c>
      <c r="L203" s="68">
        <f ca="1">IF(AND(SUMIF(Capacity_Resource,$D203,'Critical resources (hide)'!Y$6:Y$105)+SUMIF(Capacity_Resource,$E203,'Critical resources (hide)'!Y$6:Y$105)+SUMIF(Capacity_Resource,$F203,'Critical resources (hide)'!Y$6:Y$105)&gt;0,$E$1=2),0,1)</f>
        <v>1</v>
      </c>
      <c r="M203" s="68">
        <f ca="1">IF(AND(SUMIF(Capacity_Resource,$D203,'Critical resources (hide)'!Z$6:Z$105)+SUMIF(Capacity_Resource,$E203,'Critical resources (hide)'!Z$6:Z$105)+SUMIF(Capacity_Resource,$F203,'Critical resources (hide)'!Z$6:Z$105)&gt;0,$E$1=2),0,1)</f>
        <v>1</v>
      </c>
      <c r="N203" s="68">
        <f ca="1">IF(AND(SUMIF(Capacity_Resource,$D203,'Critical resources (hide)'!AA$6:AA$105)+SUMIF(Capacity_Resource,$E203,'Critical resources (hide)'!AA$6:AA$105)+SUMIF(Capacity_Resource,$F203,'Critical resources (hide)'!AA$6:AA$105)&gt;0,$E$1=2),0,1)</f>
        <v>1</v>
      </c>
      <c r="O203" s="68">
        <f ca="1">IF(AND(SUMIF(Capacity_Resource,$D203,'Critical resources (hide)'!AB$6:AB$105)+SUMIF(Capacity_Resource,$E203,'Critical resources (hide)'!AB$6:AB$105)+SUMIF(Capacity_Resource,$F203,'Critical resources (hide)'!AB$6:AB$105)&gt;0,$E$1=2),0,1)</f>
        <v>1</v>
      </c>
      <c r="P203" s="68">
        <f ca="1">IF(AND(SUMIF(Capacity_Resource,$D203,'Critical resources (hide)'!AC$6:AC$105)+SUMIF(Capacity_Resource,$E203,'Critical resources (hide)'!AC$6:AC$105)+SUMIF(Capacity_Resource,$F203,'Critical resources (hide)'!AC$6:AC$105)&gt;0,$E$1=2),0,1)</f>
        <v>1</v>
      </c>
      <c r="Q203" s="68">
        <f ca="1">IF(AND(SUMIF(Capacity_Resource,$D203,'Critical resources (hide)'!AD$6:AD$105)+SUMIF(Capacity_Resource,$E203,'Critical resources (hide)'!AD$6:AD$105)+SUMIF(Capacity_Resource,$F203,'Critical resources (hide)'!AD$6:AD$105)&gt;0,$E$1=2),0,1)</f>
        <v>1</v>
      </c>
      <c r="R203" s="68">
        <f ca="1">IF(AND(SUMIF(Capacity_Resource,$D203,'Critical resources (hide)'!AE$6:AE$105)+SUMIF(Capacity_Resource,$E203,'Critical resources (hide)'!AE$6:AE$105)+SUMIF(Capacity_Resource,$F203,'Critical resources (hide)'!AE$6:AE$105)&gt;0,$E$1=2),0,1)</f>
        <v>1</v>
      </c>
      <c r="S203" s="68">
        <f ca="1">IF(AND(SUMIF(Capacity_Resource,$D203,'Critical resources (hide)'!AF$6:AF$105)+SUMIF(Capacity_Resource,$E203,'Critical resources (hide)'!AF$6:AF$105)+SUMIF(Capacity_Resource,$F203,'Critical resources (hide)'!AF$6:AF$105)&gt;0,$E$1=2),0,1)</f>
        <v>1</v>
      </c>
      <c r="T203" s="68">
        <f ca="1">IF(AND(SUMIF(Capacity_Resource,$D203,'Critical resources (hide)'!AG$6:AG$105)+SUMIF(Capacity_Resource,$E203,'Critical resources (hide)'!AG$6:AG$105)+SUMIF(Capacity_Resource,$F203,'Critical resources (hide)'!AG$6:AG$105)&gt;0,$E$1=2),0,1)</f>
        <v>1</v>
      </c>
      <c r="U203" s="68">
        <f ca="1">IF(AND(SUMIF(Capacity_Resource,$D203,'Critical resources (hide)'!AH$6:AH$105)+SUMIF(Capacity_Resource,$E203,'Critical resources (hide)'!AH$6:AH$105)+SUMIF(Capacity_Resource,$F203,'Critical resources (hide)'!AH$6:AH$105)&gt;0,$E$1=2),0,1)</f>
        <v>1</v>
      </c>
      <c r="V203" s="68">
        <f ca="1">IF(AND(SUMIF(Capacity_Resource,$D203,'Critical resources (hide)'!AI$6:AI$105)+SUMIF(Capacity_Resource,$E203,'Critical resources (hide)'!AI$6:AI$105)+SUMIF(Capacity_Resource,$F203,'Critical resources (hide)'!AI$6:AI$105)&gt;0,$E$1=2),0,1)</f>
        <v>1</v>
      </c>
      <c r="W203" s="68">
        <f ca="1">IF(AND(SUMIF(Capacity_Resource,$D203,'Critical resources (hide)'!AJ$6:AJ$105)+SUMIF(Capacity_Resource,$E203,'Critical resources (hide)'!AJ$6:AJ$105)+SUMIF(Capacity_Resource,$F203,'Critical resources (hide)'!AJ$6:AJ$105)&gt;0,$E$1=2),0,1)</f>
        <v>1</v>
      </c>
      <c r="X203" s="68">
        <f ca="1">IF(AND(SUMIF(Capacity_Resource,$D203,'Critical resources (hide)'!AK$6:AK$105)+SUMIF(Capacity_Resource,$E203,'Critical resources (hide)'!AK$6:AK$105)+SUMIF(Capacity_Resource,$F203,'Critical resources (hide)'!AK$6:AK$105)&gt;0,$E$1=2),0,1)</f>
        <v>1</v>
      </c>
      <c r="Y203" s="68">
        <f ca="1">IF(AND(SUMIF(Capacity_Resource,$D203,'Critical resources (hide)'!AL$6:AL$105)+SUMIF(Capacity_Resource,$E203,'Critical resources (hide)'!AL$6:AL$105)+SUMIF(Capacity_Resource,$F203,'Critical resources (hide)'!AL$6:AL$105)&gt;0,$E$1=2),0,1)</f>
        <v>1</v>
      </c>
      <c r="Z203" s="68">
        <f ca="1">IF(AND(SUMIF(Capacity_Resource,$D203,'Critical resources (hide)'!AM$6:AM$105)+SUMIF(Capacity_Resource,$E203,'Critical resources (hide)'!AM$6:AM$105)+SUMIF(Capacity_Resource,$F203,'Critical resources (hide)'!AM$6:AM$105)&gt;0,$E$1=2),0,1)</f>
        <v>1</v>
      </c>
      <c r="AA203" s="68">
        <f ca="1">IF(AND(SUMIF(Capacity_Resource,$D203,'Critical resources (hide)'!AN$6:AN$105)+SUMIF(Capacity_Resource,$E203,'Critical resources (hide)'!AN$6:AN$105)+SUMIF(Capacity_Resource,$F203,'Critical resources (hide)'!AN$6:AN$105)&gt;0,$E$1=2),0,1)</f>
        <v>1</v>
      </c>
      <c r="AB203" s="68">
        <f ca="1">IF(AND(SUMIF(Capacity_Resource,$D203,'Critical resources (hide)'!AO$6:AO$105)+SUMIF(Capacity_Resource,$E203,'Critical resources (hide)'!AO$6:AO$105)+SUMIF(Capacity_Resource,$F203,'Critical resources (hide)'!AO$6:AO$105)&gt;0,$E$1=2),0,1)</f>
        <v>1</v>
      </c>
      <c r="AC203" s="68">
        <f ca="1">IF(AND(SUMIF(Capacity_Resource,$D203,'Critical resources (hide)'!AP$6:AP$105)+SUMIF(Capacity_Resource,$E203,'Critical resources (hide)'!AP$6:AP$105)+SUMIF(Capacity_Resource,$F203,'Critical resources (hide)'!AP$6:AP$105)&gt;0,$E$1=2),0,1)</f>
        <v>1</v>
      </c>
      <c r="AD203" s="68">
        <f ca="1">IF(AND(SUMIF(Capacity_Resource,$D203,'Critical resources (hide)'!AQ$6:AQ$105)+SUMIF(Capacity_Resource,$E203,'Critical resources (hide)'!AQ$6:AQ$105)+SUMIF(Capacity_Resource,$F203,'Critical resources (hide)'!AQ$6:AQ$105)&gt;0,$E$1=2),0,1)</f>
        <v>1</v>
      </c>
      <c r="AE203" s="68">
        <f ca="1">IF(AND(SUMIF(Capacity_Resource,$D203,'Critical resources (hide)'!AR$6:AR$105)+SUMIF(Capacity_Resource,$E203,'Critical resources (hide)'!AR$6:AR$105)+SUMIF(Capacity_Resource,$F203,'Critical resources (hide)'!AR$6:AR$105)&gt;0,$E$1=2),0,1)</f>
        <v>1</v>
      </c>
      <c r="AF203" s="68">
        <f ca="1">IF(AND(SUMIF(Capacity_Resource,$D203,'Critical resources (hide)'!AS$6:AS$105)+SUMIF(Capacity_Resource,$E203,'Critical resources (hide)'!AS$6:AS$105)+SUMIF(Capacity_Resource,$F203,'Critical resources (hide)'!AS$6:AS$105)&gt;0,$E$1=2),0,1)</f>
        <v>1</v>
      </c>
      <c r="AG203" s="68">
        <f ca="1">IF(AND(SUMIF(Capacity_Resource,$D203,'Critical resources (hide)'!AT$6:AT$105)+SUMIF(Capacity_Resource,$E203,'Critical resources (hide)'!AT$6:AT$105)+SUMIF(Capacity_Resource,$F203,'Critical resources (hide)'!AT$6:AT$105)&gt;0,$E$1=2),0,1)</f>
        <v>1</v>
      </c>
      <c r="AH203" s="68">
        <f ca="1">IF(AND(SUMIF(Capacity_Resource,$D203,'Critical resources (hide)'!AU$6:AU$105)+SUMIF(Capacity_Resource,$E203,'Critical resources (hide)'!AU$6:AU$105)+SUMIF(Capacity_Resource,$F203,'Critical resources (hide)'!AU$6:AU$105)&gt;0,$E$1=2),0,1)</f>
        <v>1</v>
      </c>
      <c r="AI203" s="68">
        <f ca="1">IF(AND(SUMIF(Capacity_Resource,$D203,'Critical resources (hide)'!AV$6:AV$105)+SUMIF(Capacity_Resource,$E203,'Critical resources (hide)'!AV$6:AV$105)+SUMIF(Capacity_Resource,$F203,'Critical resources (hide)'!AV$6:AV$105)&gt;0,$E$1=2),0,1)</f>
        <v>1</v>
      </c>
      <c r="AJ203" s="68">
        <f ca="1">IF(AND(SUMIF(Capacity_Resource,$D203,'Critical resources (hide)'!AW$6:AW$105)+SUMIF(Capacity_Resource,$E203,'Critical resources (hide)'!AW$6:AW$105)+SUMIF(Capacity_Resource,$F203,'Critical resources (hide)'!AW$6:AW$105)&gt;0,$E$1=2),0,1)</f>
        <v>1</v>
      </c>
      <c r="AK203" s="68">
        <f ca="1">IF(AND(SUMIF(Capacity_Resource,$D203,'Critical resources (hide)'!AX$6:AX$105)+SUMIF(Capacity_Resource,$E203,'Critical resources (hide)'!AX$6:AX$105)+SUMIF(Capacity_Resource,$F203,'Critical resources (hide)'!AX$6:AX$105)&gt;0,$E$1=2),0,1)</f>
        <v>1</v>
      </c>
      <c r="AL203" s="68">
        <f ca="1">IF(AND(SUMIF(Capacity_Resource,$D203,'Critical resources (hide)'!AY$6:AY$105)+SUMIF(Capacity_Resource,$E203,'Critical resources (hide)'!AY$6:AY$105)+SUMIF(Capacity_Resource,$F203,'Critical resources (hide)'!AY$6:AY$105)&gt;0,$E$1=2),0,1)</f>
        <v>1</v>
      </c>
      <c r="AM203" s="68">
        <f ca="1">IF(AND(SUMIF(Capacity_Resource,$D203,'Critical resources (hide)'!AZ$6:AZ$105)+SUMIF(Capacity_Resource,$E203,'Critical resources (hide)'!AZ$6:AZ$105)+SUMIF(Capacity_Resource,$F203,'Critical resources (hide)'!AZ$6:AZ$105)&gt;0,$E$1=2),0,1)</f>
        <v>1</v>
      </c>
      <c r="AN203" s="68">
        <f ca="1">IF(AND(SUMIF(Capacity_Resource,$D203,'Critical resources (hide)'!BA$6:BA$105)+SUMIF(Capacity_Resource,$E203,'Critical resources (hide)'!BA$6:BA$105)+SUMIF(Capacity_Resource,$F203,'Critical resources (hide)'!BA$6:BA$105)&gt;0,$E$1=2),0,1)</f>
        <v>1</v>
      </c>
      <c r="AO203" s="68">
        <f ca="1">IF(AND(SUMIF(Capacity_Resource,$D203,'Critical resources (hide)'!BB$6:BB$105)+SUMIF(Capacity_Resource,$E203,'Critical resources (hide)'!BB$6:BB$105)+SUMIF(Capacity_Resource,$F203,'Critical resources (hide)'!BB$6:BB$105)&gt;0,$E$1=2),0,1)</f>
        <v>1</v>
      </c>
      <c r="AP203" s="68">
        <f ca="1">IF(AND(SUMIF(Capacity_Resource,$D203,'Critical resources (hide)'!BC$6:BC$105)+SUMIF(Capacity_Resource,$E203,'Critical resources (hide)'!BC$6:BC$105)+SUMIF(Capacity_Resource,$F203,'Critical resources (hide)'!BC$6:BC$105)&gt;0,$E$1=2),0,1)</f>
        <v>1</v>
      </c>
      <c r="AQ203" s="68">
        <f ca="1">IF(AND(SUMIF(Capacity_Resource,$D203,'Critical resources (hide)'!BD$6:BD$105)+SUMIF(Capacity_Resource,$E203,'Critical resources (hide)'!BD$6:BD$105)+SUMIF(Capacity_Resource,$F203,'Critical resources (hide)'!BD$6:BD$105)&gt;0,$E$1=2),0,1)</f>
        <v>1</v>
      </c>
      <c r="AR203" s="68">
        <f ca="1">IF(AND(SUMIF(Capacity_Resource,$D203,'Critical resources (hide)'!BE$6:BE$105)+SUMIF(Capacity_Resource,$E203,'Critical resources (hide)'!BE$6:BE$105)+SUMIF(Capacity_Resource,$F203,'Critical resources (hide)'!BE$6:BE$105)&gt;0,$E$1=2),0,1)</f>
        <v>1</v>
      </c>
      <c r="AS203" s="68">
        <f ca="1">IF(AND(SUMIF(Capacity_Resource,$D203,'Critical resources (hide)'!BF$6:BF$105)+SUMIF(Capacity_Resource,$E203,'Critical resources (hide)'!BF$6:BF$105)+SUMIF(Capacity_Resource,$F203,'Critical resources (hide)'!BF$6:BF$105)&gt;0,$E$1=2),0,1)</f>
        <v>1</v>
      </c>
      <c r="AT203" s="68">
        <f ca="1">IF(AND(SUMIF(Capacity_Resource,$D203,'Critical resources (hide)'!BG$6:BG$105)+SUMIF(Capacity_Resource,$E203,'Critical resources (hide)'!BG$6:BG$105)+SUMIF(Capacity_Resource,$F203,'Critical resources (hide)'!BG$6:BG$105)&gt;0,$E$1=2),0,1)</f>
        <v>1</v>
      </c>
      <c r="AU203" s="68">
        <f ca="1">IF(AND(SUMIF(Capacity_Resource,$D203,'Critical resources (hide)'!BH$6:BH$105)+SUMIF(Capacity_Resource,$E203,'Critical resources (hide)'!BH$6:BH$105)+SUMIF(Capacity_Resource,$F203,'Critical resources (hide)'!BH$6:BH$105)&gt;0,$E$1=2),0,1)</f>
        <v>1</v>
      </c>
      <c r="AV203" s="68">
        <f ca="1">IF(AND(SUMIF(Capacity_Resource,$D203,'Critical resources (hide)'!BI$6:BI$105)+SUMIF(Capacity_Resource,$E203,'Critical resources (hide)'!BI$6:BI$105)+SUMIF(Capacity_Resource,$F203,'Critical resources (hide)'!BI$6:BI$105)&gt;0,$E$1=2),0,1)</f>
        <v>1</v>
      </c>
      <c r="AW203" s="68">
        <f ca="1">IF(AND(SUMIF(Capacity_Resource,$D203,'Critical resources (hide)'!BJ$6:BJ$105)+SUMIF(Capacity_Resource,$E203,'Critical resources (hide)'!BJ$6:BJ$105)+SUMIF(Capacity_Resource,$F203,'Critical resources (hide)'!BJ$6:BJ$105)&gt;0,$E$1=2),0,1)</f>
        <v>1</v>
      </c>
      <c r="AX203" s="68">
        <f ca="1">IF(AND(SUMIF(Capacity_Resource,$D203,'Critical resources (hide)'!BK$6:BK$105)+SUMIF(Capacity_Resource,$E203,'Critical resources (hide)'!BK$6:BK$105)+SUMIF(Capacity_Resource,$F203,'Critical resources (hide)'!BK$6:BK$105)&gt;0,$E$1=2),0,1)</f>
        <v>1</v>
      </c>
      <c r="AY203" s="68">
        <f ca="1">IF(AND(SUMIF(Capacity_Resource,$D203,'Critical resources (hide)'!BL$6:BL$105)+SUMIF(Capacity_Resource,$E203,'Critical resources (hide)'!BL$6:BL$105)+SUMIF(Capacity_Resource,$F203,'Critical resources (hide)'!BL$6:BL$105)&gt;0,$E$1=2),0,1)</f>
        <v>1</v>
      </c>
      <c r="AZ203" s="68">
        <f ca="1">IF(AND(SUMIF(Capacity_Resource,$D203,'Critical resources (hide)'!BM$6:BM$105)+SUMIF(Capacity_Resource,$E203,'Critical resources (hide)'!BM$6:BM$105)+SUMIF(Capacity_Resource,$F203,'Critical resources (hide)'!BM$6:BM$105)&gt;0,$E$1=2),0,1)</f>
        <v>1</v>
      </c>
      <c r="BA203" s="68">
        <f ca="1">IF(AND(SUMIF(Capacity_Resource,$D203,'Critical resources (hide)'!BN$6:BN$105)+SUMIF(Capacity_Resource,$E203,'Critical resources (hide)'!BN$6:BN$105)+SUMIF(Capacity_Resource,$F203,'Critical resources (hide)'!BN$6:BN$105)&gt;0,$E$1=2),0,1)</f>
        <v>1</v>
      </c>
      <c r="BB203" s="68">
        <f ca="1">IF(AND(SUMIF(Capacity_Resource,$D203,'Critical resources (hide)'!BO$6:BO$105)+SUMIF(Capacity_Resource,$E203,'Critical resources (hide)'!BO$6:BO$105)+SUMIF(Capacity_Resource,$F203,'Critical resources (hide)'!BO$6:BO$105)&gt;0,$E$1=2),0,1)</f>
        <v>1</v>
      </c>
      <c r="BC203" s="68">
        <f ca="1">IF(AND(SUMIF(Capacity_Resource,$D203,'Critical resources (hide)'!BP$6:BP$105)+SUMIF(Capacity_Resource,$E203,'Critical resources (hide)'!BP$6:BP$105)+SUMIF(Capacity_Resource,$F203,'Critical resources (hide)'!BP$6:BP$105)&gt;0,$E$1=2),0,1)</f>
        <v>1</v>
      </c>
      <c r="BD203" s="68">
        <f ca="1">IF(AND(SUMIF(Capacity_Resource,$D203,'Critical resources (hide)'!BQ$6:BQ$105)+SUMIF(Capacity_Resource,$E203,'Critical resources (hide)'!BQ$6:BQ$105)+SUMIF(Capacity_Resource,$F203,'Critical resources (hide)'!BQ$6:BQ$105)&gt;0,$E$1=2),0,1)</f>
        <v>1</v>
      </c>
      <c r="BE203" s="68">
        <f ca="1">IF(AND(SUMIF(Capacity_Resource,$D203,'Critical resources (hide)'!BR$6:BR$105)+SUMIF(Capacity_Resource,$E203,'Critical resources (hide)'!BR$6:BR$105)+SUMIF(Capacity_Resource,$F203,'Critical resources (hide)'!BR$6:BR$105)&gt;0,$E$1=2),0,1)</f>
        <v>1</v>
      </c>
      <c r="BF203" s="68">
        <f ca="1">IF(AND(SUMIF(Capacity_Resource,$D203,'Critical resources (hide)'!BS$6:BS$105)+SUMIF(Capacity_Resource,$E203,'Critical resources (hide)'!BS$6:BS$105)+SUMIF(Capacity_Resource,$F203,'Critical resources (hide)'!BS$6:BS$105)&gt;0,$E$1=2),0,1)</f>
        <v>1</v>
      </c>
      <c r="BG203" s="68">
        <f ca="1">IF(AND(SUMIF(Capacity_Resource,$D203,'Critical resources (hide)'!BT$6:BT$105)+SUMIF(Capacity_Resource,$E203,'Critical resources (hide)'!BT$6:BT$105)+SUMIF(Capacity_Resource,$F203,'Critical resources (hide)'!BT$6:BT$105)&gt;0,$E$1=2),0,1)</f>
        <v>1</v>
      </c>
      <c r="BH203" s="68">
        <f>IF(ROW(A92)&lt;=Capacity!$M$16,IF('Capacity summary'!$C$14="No",SUM(H203:BG203),'Capacity summary'!$E115),0)</f>
        <v>0</v>
      </c>
      <c r="BI203" s="68" t="str">
        <f>IF(BH203&gt;0,IF(BH203&lt;Capacity!Q108,Capacity!R108,Capacity!T108/'Capacity calculation (hide)'!BH203),"")</f>
        <v/>
      </c>
      <c r="BJ203" s="5"/>
      <c r="BK203" s="5">
        <f>IF($BI203&lt;&gt;"",IF('Capacity summary'!$C$14="Yes",IF(COUNTBLANK('Capacity summary'!$H115:$BG115)&lt;52,IF('Capacity summary'!H115&lt;&gt;"",$BI203*H203,0),H203*$BI203),H203*$BI203),0)</f>
        <v>0</v>
      </c>
      <c r="BL203" s="5">
        <f>IF($BI203&lt;&gt;"",IF('Capacity summary'!$C$14="Yes",IF(COUNTBLANK('Capacity summary'!$H115:$BG115)&lt;52,IF('Capacity summary'!I115&lt;&gt;"",$BI203*I203,0),I203*$BI203),I203*$BI203),0)</f>
        <v>0</v>
      </c>
      <c r="BM203" s="5">
        <f>IF($BI203&lt;&gt;"",IF('Capacity summary'!$C$14="Yes",IF(COUNTBLANK('Capacity summary'!$H115:$BG115)&lt;52,IF('Capacity summary'!J115&lt;&gt;"",$BI203*J203,0),J203*$BI203),J203*$BI203),0)</f>
        <v>0</v>
      </c>
      <c r="BN203" s="5">
        <f>IF($BI203&lt;&gt;"",IF('Capacity summary'!$C$14="Yes",IF(COUNTBLANK('Capacity summary'!$H115:$BG115)&lt;52,IF('Capacity summary'!K115&lt;&gt;"",$BI203*K203,0),K203*$BI203),K203*$BI203),0)</f>
        <v>0</v>
      </c>
      <c r="BO203" s="5">
        <f>IF($BI203&lt;&gt;"",IF('Capacity summary'!$C$14="Yes",IF(COUNTBLANK('Capacity summary'!$H115:$BG115)&lt;52,IF('Capacity summary'!L115&lt;&gt;"",$BI203*L203,0),L203*$BI203),L203*$BI203),0)</f>
        <v>0</v>
      </c>
      <c r="BP203" s="5">
        <f>IF($BI203&lt;&gt;"",IF('Capacity summary'!$C$14="Yes",IF(COUNTBLANK('Capacity summary'!$H115:$BG115)&lt;52,IF('Capacity summary'!M115&lt;&gt;"",$BI203*M203,0),M203*$BI203),M203*$BI203),0)</f>
        <v>0</v>
      </c>
      <c r="BQ203" s="5">
        <f>IF($BI203&lt;&gt;"",IF('Capacity summary'!$C$14="Yes",IF(COUNTBLANK('Capacity summary'!$H115:$BG115)&lt;52,IF('Capacity summary'!N115&lt;&gt;"",$BI203*N203,0),N203*$BI203),N203*$BI203),0)</f>
        <v>0</v>
      </c>
      <c r="BR203" s="5">
        <f>IF($BI203&lt;&gt;"",IF('Capacity summary'!$C$14="Yes",IF(COUNTBLANK('Capacity summary'!$H115:$BG115)&lt;52,IF('Capacity summary'!O115&lt;&gt;"",$BI203*O203,0),O203*$BI203),O203*$BI203),0)</f>
        <v>0</v>
      </c>
      <c r="BS203" s="5">
        <f>IF($BI203&lt;&gt;"",IF('Capacity summary'!$C$14="Yes",IF(COUNTBLANK('Capacity summary'!$H115:$BG115)&lt;52,IF('Capacity summary'!P115&lt;&gt;"",$BI203*P203,0),P203*$BI203),P203*$BI203),0)</f>
        <v>0</v>
      </c>
      <c r="BT203" s="5">
        <f>IF($BI203&lt;&gt;"",IF('Capacity summary'!$C$14="Yes",IF(COUNTBLANK('Capacity summary'!$H115:$BG115)&lt;52,IF('Capacity summary'!Q115&lt;&gt;"",$BI203*Q203,0),Q203*$BI203),Q203*$BI203),0)</f>
        <v>0</v>
      </c>
      <c r="BU203" s="5">
        <f>IF($BI203&lt;&gt;"",IF('Capacity summary'!$C$14="Yes",IF(COUNTBLANK('Capacity summary'!$H115:$BG115)&lt;52,IF('Capacity summary'!R115&lt;&gt;"",$BI203*R203,0),R203*$BI203),R203*$BI203),0)</f>
        <v>0</v>
      </c>
      <c r="BV203" s="5">
        <f>IF($BI203&lt;&gt;"",IF('Capacity summary'!$C$14="Yes",IF(COUNTBLANK('Capacity summary'!$H115:$BG115)&lt;52,IF('Capacity summary'!S115&lt;&gt;"",$BI203*S203,0),S203*$BI203),S203*$BI203),0)</f>
        <v>0</v>
      </c>
      <c r="BW203" s="5">
        <f>IF($BI203&lt;&gt;"",IF('Capacity summary'!$C$14="Yes",IF(COUNTBLANK('Capacity summary'!$H115:$BG115)&lt;52,IF('Capacity summary'!T115&lt;&gt;"",$BI203*T203,0),T203*$BI203),T203*$BI203),0)</f>
        <v>0</v>
      </c>
      <c r="BX203" s="5">
        <f>IF($BI203&lt;&gt;"",IF('Capacity summary'!$C$14="Yes",IF(COUNTBLANK('Capacity summary'!$H115:$BG115)&lt;52,IF('Capacity summary'!U115&lt;&gt;"",$BI203*U203,0),U203*$BI203),U203*$BI203),0)</f>
        <v>0</v>
      </c>
      <c r="BY203" s="5">
        <f>IF($BI203&lt;&gt;"",IF('Capacity summary'!$C$14="Yes",IF(COUNTBLANK('Capacity summary'!$H115:$BG115)&lt;52,IF('Capacity summary'!V115&lt;&gt;"",$BI203*V203,0),V203*$BI203),V203*$BI203),0)</f>
        <v>0</v>
      </c>
      <c r="BZ203" s="5">
        <f>IF($BI203&lt;&gt;"",IF('Capacity summary'!$C$14="Yes",IF(COUNTBLANK('Capacity summary'!$H115:$BG115)&lt;52,IF('Capacity summary'!W115&lt;&gt;"",$BI203*W203,0),W203*$BI203),W203*$BI203),0)</f>
        <v>0</v>
      </c>
      <c r="CA203" s="5">
        <f>IF($BI203&lt;&gt;"",IF('Capacity summary'!$C$14="Yes",IF(COUNTBLANK('Capacity summary'!$H115:$BG115)&lt;52,IF('Capacity summary'!X115&lt;&gt;"",$BI203*X203,0),X203*$BI203),X203*$BI203),0)</f>
        <v>0</v>
      </c>
      <c r="CB203" s="5">
        <f>IF($BI203&lt;&gt;"",IF('Capacity summary'!$C$14="Yes",IF(COUNTBLANK('Capacity summary'!$H115:$BG115)&lt;52,IF('Capacity summary'!Y115&lt;&gt;"",$BI203*Y203,0),Y203*$BI203),Y203*$BI203),0)</f>
        <v>0</v>
      </c>
      <c r="CC203" s="5">
        <f>IF($BI203&lt;&gt;"",IF('Capacity summary'!$C$14="Yes",IF(COUNTBLANK('Capacity summary'!$H115:$BG115)&lt;52,IF('Capacity summary'!Z115&lt;&gt;"",$BI203*Z203,0),Z203*$BI203),Z203*$BI203),0)</f>
        <v>0</v>
      </c>
      <c r="CD203" s="5">
        <f>IF($BI203&lt;&gt;"",IF('Capacity summary'!$C$14="Yes",IF(COUNTBLANK('Capacity summary'!$H115:$BG115)&lt;52,IF('Capacity summary'!AA115&lt;&gt;"",$BI203*AA203,0),AA203*$BI203),AA203*$BI203),0)</f>
        <v>0</v>
      </c>
      <c r="CE203" s="5">
        <f>IF($BI203&lt;&gt;"",IF('Capacity summary'!$C$14="Yes",IF(COUNTBLANK('Capacity summary'!$H115:$BG115)&lt;52,IF('Capacity summary'!AB115&lt;&gt;"",$BI203*AB203,0),AB203*$BI203),AB203*$BI203),0)</f>
        <v>0</v>
      </c>
      <c r="CF203" s="5">
        <f>IF($BI203&lt;&gt;"",IF('Capacity summary'!$C$14="Yes",IF(COUNTBLANK('Capacity summary'!$H115:$BG115)&lt;52,IF('Capacity summary'!AC115&lt;&gt;"",$BI203*AC203,0),AC203*$BI203),AC203*$BI203),0)</f>
        <v>0</v>
      </c>
      <c r="CG203" s="5">
        <f>IF($BI203&lt;&gt;"",IF('Capacity summary'!$C$14="Yes",IF(COUNTBLANK('Capacity summary'!$H115:$BG115)&lt;52,IF('Capacity summary'!AD115&lt;&gt;"",$BI203*AD203,0),AD203*$BI203),AD203*$BI203),0)</f>
        <v>0</v>
      </c>
      <c r="CH203" s="5">
        <f>IF($BI203&lt;&gt;"",IF('Capacity summary'!$C$14="Yes",IF(COUNTBLANK('Capacity summary'!$H115:$BG115)&lt;52,IF('Capacity summary'!AE115&lt;&gt;"",$BI203*AE203,0),AE203*$BI203),AE203*$BI203),0)</f>
        <v>0</v>
      </c>
      <c r="CI203" s="5">
        <f>IF($BI203&lt;&gt;"",IF('Capacity summary'!$C$14="Yes",IF(COUNTBLANK('Capacity summary'!$H115:$BG115)&lt;52,IF('Capacity summary'!AF115&lt;&gt;"",$BI203*AF203,0),AF203*$BI203),AF203*$BI203),0)</f>
        <v>0</v>
      </c>
      <c r="CJ203" s="5">
        <f>IF($BI203&lt;&gt;"",IF('Capacity summary'!$C$14="Yes",IF(COUNTBLANK('Capacity summary'!$H115:$BG115)&lt;52,IF('Capacity summary'!AG115&lt;&gt;"",$BI203*AG203,0),AG203*$BI203),AG203*$BI203),0)</f>
        <v>0</v>
      </c>
      <c r="CK203" s="5">
        <f>IF($BI203&lt;&gt;"",IF('Capacity summary'!$C$14="Yes",IF(COUNTBLANK('Capacity summary'!$H115:$BG115)&lt;52,IF('Capacity summary'!AH115&lt;&gt;"",$BI203*AH203,0),AH203*$BI203),AH203*$BI203),0)</f>
        <v>0</v>
      </c>
      <c r="CL203" s="5">
        <f>IF($BI203&lt;&gt;"",IF('Capacity summary'!$C$14="Yes",IF(COUNTBLANK('Capacity summary'!$H115:$BG115)&lt;52,IF('Capacity summary'!AI115&lt;&gt;"",$BI203*AI203,0),AI203*$BI203),AI203*$BI203),0)</f>
        <v>0</v>
      </c>
      <c r="CM203" s="5">
        <f>IF($BI203&lt;&gt;"",IF('Capacity summary'!$C$14="Yes",IF(COUNTBLANK('Capacity summary'!$H115:$BG115)&lt;52,IF('Capacity summary'!AJ115&lt;&gt;"",$BI203*AJ203,0),AJ203*$BI203),AJ203*$BI203),0)</f>
        <v>0</v>
      </c>
      <c r="CN203" s="5">
        <f>IF($BI203&lt;&gt;"",IF('Capacity summary'!$C$14="Yes",IF(COUNTBLANK('Capacity summary'!$H115:$BG115)&lt;52,IF('Capacity summary'!AK115&lt;&gt;"",$BI203*AK203,0),AK203*$BI203),AK203*$BI203),0)</f>
        <v>0</v>
      </c>
      <c r="CO203" s="5">
        <f>IF($BI203&lt;&gt;"",IF('Capacity summary'!$C$14="Yes",IF(COUNTBLANK('Capacity summary'!$H115:$BG115)&lt;52,IF('Capacity summary'!AL115&lt;&gt;"",$BI203*AL203,0),AL203*$BI203),AL203*$BI203),0)</f>
        <v>0</v>
      </c>
      <c r="CP203" s="5">
        <f>IF($BI203&lt;&gt;"",IF('Capacity summary'!$C$14="Yes",IF(COUNTBLANK('Capacity summary'!$H115:$BG115)&lt;52,IF('Capacity summary'!AM115&lt;&gt;"",$BI203*AM203,0),AM203*$BI203),AM203*$BI203),0)</f>
        <v>0</v>
      </c>
      <c r="CQ203" s="5">
        <f>IF($BI203&lt;&gt;"",IF('Capacity summary'!$C$14="Yes",IF(COUNTBLANK('Capacity summary'!$H115:$BG115)&lt;52,IF('Capacity summary'!AN115&lt;&gt;"",$BI203*AN203,0),AN203*$BI203),AN203*$BI203),0)</f>
        <v>0</v>
      </c>
      <c r="CR203" s="5">
        <f>IF($BI203&lt;&gt;"",IF('Capacity summary'!$C$14="Yes",IF(COUNTBLANK('Capacity summary'!$H115:$BG115)&lt;52,IF('Capacity summary'!AO115&lt;&gt;"",$BI203*AO203,0),AO203*$BI203),AO203*$BI203),0)</f>
        <v>0</v>
      </c>
      <c r="CS203" s="5">
        <f>IF($BI203&lt;&gt;"",IF('Capacity summary'!$C$14="Yes",IF(COUNTBLANK('Capacity summary'!$H115:$BG115)&lt;52,IF('Capacity summary'!AP115&lt;&gt;"",$BI203*AP203,0),AP203*$BI203),AP203*$BI203),0)</f>
        <v>0</v>
      </c>
      <c r="CT203" s="5">
        <f>IF($BI203&lt;&gt;"",IF('Capacity summary'!$C$14="Yes",IF(COUNTBLANK('Capacity summary'!$H115:$BG115)&lt;52,IF('Capacity summary'!AQ115&lt;&gt;"",$BI203*AQ203,0),AQ203*$BI203),AQ203*$BI203),0)</f>
        <v>0</v>
      </c>
      <c r="CU203" s="5">
        <f>IF($BI203&lt;&gt;"",IF('Capacity summary'!$C$14="Yes",IF(COUNTBLANK('Capacity summary'!$H115:$BG115)&lt;52,IF('Capacity summary'!AR115&lt;&gt;"",$BI203*AR203,0),AR203*$BI203),AR203*$BI203),0)</f>
        <v>0</v>
      </c>
      <c r="CV203" s="5">
        <f>IF($BI203&lt;&gt;"",IF('Capacity summary'!$C$14="Yes",IF(COUNTBLANK('Capacity summary'!$H115:$BG115)&lt;52,IF('Capacity summary'!AS115&lt;&gt;"",$BI203*AS203,0),AS203*$BI203),AS203*$BI203),0)</f>
        <v>0</v>
      </c>
      <c r="CW203" s="5">
        <f>IF($BI203&lt;&gt;"",IF('Capacity summary'!$C$14="Yes",IF(COUNTBLANK('Capacity summary'!$H115:$BG115)&lt;52,IF('Capacity summary'!AT115&lt;&gt;"",$BI203*AT203,0),AT203*$BI203),AT203*$BI203),0)</f>
        <v>0</v>
      </c>
      <c r="CX203" s="5">
        <f>IF($BI203&lt;&gt;"",IF('Capacity summary'!$C$14="Yes",IF(COUNTBLANK('Capacity summary'!$H115:$BG115)&lt;52,IF('Capacity summary'!AU115&lt;&gt;"",$BI203*AU203,0),AU203*$BI203),AU203*$BI203),0)</f>
        <v>0</v>
      </c>
      <c r="CY203" s="5">
        <f>IF($BI203&lt;&gt;"",IF('Capacity summary'!$C$14="Yes",IF(COUNTBLANK('Capacity summary'!$H115:$BG115)&lt;52,IF('Capacity summary'!AV115&lt;&gt;"",$BI203*AV203,0),AV203*$BI203),AV203*$BI203),0)</f>
        <v>0</v>
      </c>
      <c r="CZ203" s="5">
        <f>IF($BI203&lt;&gt;"",IF('Capacity summary'!$C$14="Yes",IF(COUNTBLANK('Capacity summary'!$H115:$BG115)&lt;52,IF('Capacity summary'!AW115&lt;&gt;"",$BI203*AW203,0),AW203*$BI203),AW203*$BI203),0)</f>
        <v>0</v>
      </c>
      <c r="DA203" s="5">
        <f>IF($BI203&lt;&gt;"",IF('Capacity summary'!$C$14="Yes",IF(COUNTBLANK('Capacity summary'!$H115:$BG115)&lt;52,IF('Capacity summary'!AX115&lt;&gt;"",$BI203*AX203,0),AX203*$BI203),AX203*$BI203),0)</f>
        <v>0</v>
      </c>
      <c r="DB203" s="5">
        <f>IF($BI203&lt;&gt;"",IF('Capacity summary'!$C$14="Yes",IF(COUNTBLANK('Capacity summary'!$H115:$BG115)&lt;52,IF('Capacity summary'!AY115&lt;&gt;"",$BI203*AY203,0),AY203*$BI203),AY203*$BI203),0)</f>
        <v>0</v>
      </c>
      <c r="DC203" s="5">
        <f>IF($BI203&lt;&gt;"",IF('Capacity summary'!$C$14="Yes",IF(COUNTBLANK('Capacity summary'!$H115:$BG115)&lt;52,IF('Capacity summary'!AZ115&lt;&gt;"",$BI203*AZ203,0),AZ203*$BI203),AZ203*$BI203),0)</f>
        <v>0</v>
      </c>
      <c r="DD203" s="5">
        <f>IF($BI203&lt;&gt;"",IF('Capacity summary'!$C$14="Yes",IF(COUNTBLANK('Capacity summary'!$H115:$BG115)&lt;52,IF('Capacity summary'!BA115&lt;&gt;"",$BI203*BA203,0),BA203*$BI203),BA203*$BI203),0)</f>
        <v>0</v>
      </c>
      <c r="DE203" s="5">
        <f>IF($BI203&lt;&gt;"",IF('Capacity summary'!$C$14="Yes",IF(COUNTBLANK('Capacity summary'!$H115:$BG115)&lt;52,IF('Capacity summary'!BB115&lt;&gt;"",$BI203*BB203,0),BB203*$BI203),BB203*$BI203),0)</f>
        <v>0</v>
      </c>
      <c r="DF203" s="5">
        <f>IF($BI203&lt;&gt;"",IF('Capacity summary'!$C$14="Yes",IF(COUNTBLANK('Capacity summary'!$H115:$BG115)&lt;52,IF('Capacity summary'!BC115&lt;&gt;"",$BI203*BC203,0),BC203*$BI203),BC203*$BI203),0)</f>
        <v>0</v>
      </c>
      <c r="DG203" s="5">
        <f>IF($BI203&lt;&gt;"",IF('Capacity summary'!$C$14="Yes",IF(COUNTBLANK('Capacity summary'!$H115:$BG115)&lt;52,IF('Capacity summary'!BD115&lt;&gt;"",$BI203*BD203,0),BD203*$BI203),BD203*$BI203),0)</f>
        <v>0</v>
      </c>
      <c r="DH203" s="5">
        <f>IF($BI203&lt;&gt;"",IF('Capacity summary'!$C$14="Yes",IF(COUNTBLANK('Capacity summary'!$H115:$BG115)&lt;52,IF('Capacity summary'!BE115&lt;&gt;"",$BI203*BE203,0),BE203*$BI203),BE203*$BI203),0)</f>
        <v>0</v>
      </c>
      <c r="DI203" s="5">
        <f>IF($BI203&lt;&gt;"",IF('Capacity summary'!$C$14="Yes",IF(COUNTBLANK('Capacity summary'!$H115:$BG115)&lt;52,IF('Capacity summary'!BF115&lt;&gt;"",$BI203*BF203,0),BF203*$BI203),BF203*$BI203),0)</f>
        <v>0</v>
      </c>
      <c r="DJ203" s="5">
        <f>IF($BI203&lt;&gt;"",IF('Capacity summary'!$C$14="Yes",IF(COUNTBLANK('Capacity summary'!$H115:$BG115)&lt;52,IF('Capacity summary'!BG115&lt;&gt;"",$BI203*BG203,0),BG203*$BI203),BG203*$BI203),0)</f>
        <v>0</v>
      </c>
      <c r="DK203" s="138">
        <f t="shared" si="7"/>
        <v>0</v>
      </c>
    </row>
    <row r="204" spans="3:115" x14ac:dyDescent="0.2">
      <c r="C204" s="68" t="str">
        <f>ROW(A93)&amp;". "&amp;Capacity!N109</f>
        <v xml:space="preserve">93. </v>
      </c>
      <c r="D204" s="68">
        <f>'Capacity setup'!C210</f>
        <v>0</v>
      </c>
      <c r="E204" s="68">
        <f>'Capacity setup'!D210</f>
        <v>0</v>
      </c>
      <c r="F204" s="68">
        <f>'Capacity setup'!E210</f>
        <v>0</v>
      </c>
      <c r="H204" s="68">
        <f ca="1">IF(AND(SUMIF(Capacity_Resource,$D204,'Critical resources (hide)'!U$6:U$105)+SUMIF(Capacity_Resource,$E204,'Critical resources (hide)'!U$6:U$105)+SUMIF(Capacity_Resource,$F204,'Critical resources (hide)'!U$6:U$105)&gt;0,$E$1=2),0,1)</f>
        <v>1</v>
      </c>
      <c r="I204" s="68">
        <f ca="1">IF(AND(SUMIF(Capacity_Resource,$D204,'Critical resources (hide)'!V$6:V$105)+SUMIF(Capacity_Resource,$E204,'Critical resources (hide)'!V$6:V$105)+SUMIF(Capacity_Resource,$F204,'Critical resources (hide)'!V$6:V$105)&gt;0,$E$1=2),0,1)</f>
        <v>1</v>
      </c>
      <c r="J204" s="68">
        <f ca="1">IF(AND(SUMIF(Capacity_Resource,$D204,'Critical resources (hide)'!W$6:W$105)+SUMIF(Capacity_Resource,$E204,'Critical resources (hide)'!W$6:W$105)+SUMIF(Capacity_Resource,$F204,'Critical resources (hide)'!W$6:W$105)&gt;0,$E$1=2),0,1)</f>
        <v>1</v>
      </c>
      <c r="K204" s="68">
        <f ca="1">IF(AND(SUMIF(Capacity_Resource,$D204,'Critical resources (hide)'!X$6:X$105)+SUMIF(Capacity_Resource,$E204,'Critical resources (hide)'!X$6:X$105)+SUMIF(Capacity_Resource,$F204,'Critical resources (hide)'!X$6:X$105)&gt;0,$E$1=2),0,1)</f>
        <v>1</v>
      </c>
      <c r="L204" s="68">
        <f ca="1">IF(AND(SUMIF(Capacity_Resource,$D204,'Critical resources (hide)'!Y$6:Y$105)+SUMIF(Capacity_Resource,$E204,'Critical resources (hide)'!Y$6:Y$105)+SUMIF(Capacity_Resource,$F204,'Critical resources (hide)'!Y$6:Y$105)&gt;0,$E$1=2),0,1)</f>
        <v>1</v>
      </c>
      <c r="M204" s="68">
        <f ca="1">IF(AND(SUMIF(Capacity_Resource,$D204,'Critical resources (hide)'!Z$6:Z$105)+SUMIF(Capacity_Resource,$E204,'Critical resources (hide)'!Z$6:Z$105)+SUMIF(Capacity_Resource,$F204,'Critical resources (hide)'!Z$6:Z$105)&gt;0,$E$1=2),0,1)</f>
        <v>1</v>
      </c>
      <c r="N204" s="68">
        <f ca="1">IF(AND(SUMIF(Capacity_Resource,$D204,'Critical resources (hide)'!AA$6:AA$105)+SUMIF(Capacity_Resource,$E204,'Critical resources (hide)'!AA$6:AA$105)+SUMIF(Capacity_Resource,$F204,'Critical resources (hide)'!AA$6:AA$105)&gt;0,$E$1=2),0,1)</f>
        <v>1</v>
      </c>
      <c r="O204" s="68">
        <f ca="1">IF(AND(SUMIF(Capacity_Resource,$D204,'Critical resources (hide)'!AB$6:AB$105)+SUMIF(Capacity_Resource,$E204,'Critical resources (hide)'!AB$6:AB$105)+SUMIF(Capacity_Resource,$F204,'Critical resources (hide)'!AB$6:AB$105)&gt;0,$E$1=2),0,1)</f>
        <v>1</v>
      </c>
      <c r="P204" s="68">
        <f ca="1">IF(AND(SUMIF(Capacity_Resource,$D204,'Critical resources (hide)'!AC$6:AC$105)+SUMIF(Capacity_Resource,$E204,'Critical resources (hide)'!AC$6:AC$105)+SUMIF(Capacity_Resource,$F204,'Critical resources (hide)'!AC$6:AC$105)&gt;0,$E$1=2),0,1)</f>
        <v>1</v>
      </c>
      <c r="Q204" s="68">
        <f ca="1">IF(AND(SUMIF(Capacity_Resource,$D204,'Critical resources (hide)'!AD$6:AD$105)+SUMIF(Capacity_Resource,$E204,'Critical resources (hide)'!AD$6:AD$105)+SUMIF(Capacity_Resource,$F204,'Critical resources (hide)'!AD$6:AD$105)&gt;0,$E$1=2),0,1)</f>
        <v>1</v>
      </c>
      <c r="R204" s="68">
        <f ca="1">IF(AND(SUMIF(Capacity_Resource,$D204,'Critical resources (hide)'!AE$6:AE$105)+SUMIF(Capacity_Resource,$E204,'Critical resources (hide)'!AE$6:AE$105)+SUMIF(Capacity_Resource,$F204,'Critical resources (hide)'!AE$6:AE$105)&gt;0,$E$1=2),0,1)</f>
        <v>1</v>
      </c>
      <c r="S204" s="68">
        <f ca="1">IF(AND(SUMIF(Capacity_Resource,$D204,'Critical resources (hide)'!AF$6:AF$105)+SUMIF(Capacity_Resource,$E204,'Critical resources (hide)'!AF$6:AF$105)+SUMIF(Capacity_Resource,$F204,'Critical resources (hide)'!AF$6:AF$105)&gt;0,$E$1=2),0,1)</f>
        <v>1</v>
      </c>
      <c r="T204" s="68">
        <f ca="1">IF(AND(SUMIF(Capacity_Resource,$D204,'Critical resources (hide)'!AG$6:AG$105)+SUMIF(Capacity_Resource,$E204,'Critical resources (hide)'!AG$6:AG$105)+SUMIF(Capacity_Resource,$F204,'Critical resources (hide)'!AG$6:AG$105)&gt;0,$E$1=2),0,1)</f>
        <v>1</v>
      </c>
      <c r="U204" s="68">
        <f ca="1">IF(AND(SUMIF(Capacity_Resource,$D204,'Critical resources (hide)'!AH$6:AH$105)+SUMIF(Capacity_Resource,$E204,'Critical resources (hide)'!AH$6:AH$105)+SUMIF(Capacity_Resource,$F204,'Critical resources (hide)'!AH$6:AH$105)&gt;0,$E$1=2),0,1)</f>
        <v>1</v>
      </c>
      <c r="V204" s="68">
        <f ca="1">IF(AND(SUMIF(Capacity_Resource,$D204,'Critical resources (hide)'!AI$6:AI$105)+SUMIF(Capacity_Resource,$E204,'Critical resources (hide)'!AI$6:AI$105)+SUMIF(Capacity_Resource,$F204,'Critical resources (hide)'!AI$6:AI$105)&gt;0,$E$1=2),0,1)</f>
        <v>1</v>
      </c>
      <c r="W204" s="68">
        <f ca="1">IF(AND(SUMIF(Capacity_Resource,$D204,'Critical resources (hide)'!AJ$6:AJ$105)+SUMIF(Capacity_Resource,$E204,'Critical resources (hide)'!AJ$6:AJ$105)+SUMIF(Capacity_Resource,$F204,'Critical resources (hide)'!AJ$6:AJ$105)&gt;0,$E$1=2),0,1)</f>
        <v>1</v>
      </c>
      <c r="X204" s="68">
        <f ca="1">IF(AND(SUMIF(Capacity_Resource,$D204,'Critical resources (hide)'!AK$6:AK$105)+SUMIF(Capacity_Resource,$E204,'Critical resources (hide)'!AK$6:AK$105)+SUMIF(Capacity_Resource,$F204,'Critical resources (hide)'!AK$6:AK$105)&gt;0,$E$1=2),0,1)</f>
        <v>1</v>
      </c>
      <c r="Y204" s="68">
        <f ca="1">IF(AND(SUMIF(Capacity_Resource,$D204,'Critical resources (hide)'!AL$6:AL$105)+SUMIF(Capacity_Resource,$E204,'Critical resources (hide)'!AL$6:AL$105)+SUMIF(Capacity_Resource,$F204,'Critical resources (hide)'!AL$6:AL$105)&gt;0,$E$1=2),0,1)</f>
        <v>1</v>
      </c>
      <c r="Z204" s="68">
        <f ca="1">IF(AND(SUMIF(Capacity_Resource,$D204,'Critical resources (hide)'!AM$6:AM$105)+SUMIF(Capacity_Resource,$E204,'Critical resources (hide)'!AM$6:AM$105)+SUMIF(Capacity_Resource,$F204,'Critical resources (hide)'!AM$6:AM$105)&gt;0,$E$1=2),0,1)</f>
        <v>1</v>
      </c>
      <c r="AA204" s="68">
        <f ca="1">IF(AND(SUMIF(Capacity_Resource,$D204,'Critical resources (hide)'!AN$6:AN$105)+SUMIF(Capacity_Resource,$E204,'Critical resources (hide)'!AN$6:AN$105)+SUMIF(Capacity_Resource,$F204,'Critical resources (hide)'!AN$6:AN$105)&gt;0,$E$1=2),0,1)</f>
        <v>1</v>
      </c>
      <c r="AB204" s="68">
        <f ca="1">IF(AND(SUMIF(Capacity_Resource,$D204,'Critical resources (hide)'!AO$6:AO$105)+SUMIF(Capacity_Resource,$E204,'Critical resources (hide)'!AO$6:AO$105)+SUMIF(Capacity_Resource,$F204,'Critical resources (hide)'!AO$6:AO$105)&gt;0,$E$1=2),0,1)</f>
        <v>1</v>
      </c>
      <c r="AC204" s="68">
        <f ca="1">IF(AND(SUMIF(Capacity_Resource,$D204,'Critical resources (hide)'!AP$6:AP$105)+SUMIF(Capacity_Resource,$E204,'Critical resources (hide)'!AP$6:AP$105)+SUMIF(Capacity_Resource,$F204,'Critical resources (hide)'!AP$6:AP$105)&gt;0,$E$1=2),0,1)</f>
        <v>1</v>
      </c>
      <c r="AD204" s="68">
        <f ca="1">IF(AND(SUMIF(Capacity_Resource,$D204,'Critical resources (hide)'!AQ$6:AQ$105)+SUMIF(Capacity_Resource,$E204,'Critical resources (hide)'!AQ$6:AQ$105)+SUMIF(Capacity_Resource,$F204,'Critical resources (hide)'!AQ$6:AQ$105)&gt;0,$E$1=2),0,1)</f>
        <v>1</v>
      </c>
      <c r="AE204" s="68">
        <f ca="1">IF(AND(SUMIF(Capacity_Resource,$D204,'Critical resources (hide)'!AR$6:AR$105)+SUMIF(Capacity_Resource,$E204,'Critical resources (hide)'!AR$6:AR$105)+SUMIF(Capacity_Resource,$F204,'Critical resources (hide)'!AR$6:AR$105)&gt;0,$E$1=2),0,1)</f>
        <v>1</v>
      </c>
      <c r="AF204" s="68">
        <f ca="1">IF(AND(SUMIF(Capacity_Resource,$D204,'Critical resources (hide)'!AS$6:AS$105)+SUMIF(Capacity_Resource,$E204,'Critical resources (hide)'!AS$6:AS$105)+SUMIF(Capacity_Resource,$F204,'Critical resources (hide)'!AS$6:AS$105)&gt;0,$E$1=2),0,1)</f>
        <v>1</v>
      </c>
      <c r="AG204" s="68">
        <f ca="1">IF(AND(SUMIF(Capacity_Resource,$D204,'Critical resources (hide)'!AT$6:AT$105)+SUMIF(Capacity_Resource,$E204,'Critical resources (hide)'!AT$6:AT$105)+SUMIF(Capacity_Resource,$F204,'Critical resources (hide)'!AT$6:AT$105)&gt;0,$E$1=2),0,1)</f>
        <v>1</v>
      </c>
      <c r="AH204" s="68">
        <f ca="1">IF(AND(SUMIF(Capacity_Resource,$D204,'Critical resources (hide)'!AU$6:AU$105)+SUMIF(Capacity_Resource,$E204,'Critical resources (hide)'!AU$6:AU$105)+SUMIF(Capacity_Resource,$F204,'Critical resources (hide)'!AU$6:AU$105)&gt;0,$E$1=2),0,1)</f>
        <v>1</v>
      </c>
      <c r="AI204" s="68">
        <f ca="1">IF(AND(SUMIF(Capacity_Resource,$D204,'Critical resources (hide)'!AV$6:AV$105)+SUMIF(Capacity_Resource,$E204,'Critical resources (hide)'!AV$6:AV$105)+SUMIF(Capacity_Resource,$F204,'Critical resources (hide)'!AV$6:AV$105)&gt;0,$E$1=2),0,1)</f>
        <v>1</v>
      </c>
      <c r="AJ204" s="68">
        <f ca="1">IF(AND(SUMIF(Capacity_Resource,$D204,'Critical resources (hide)'!AW$6:AW$105)+SUMIF(Capacity_Resource,$E204,'Critical resources (hide)'!AW$6:AW$105)+SUMIF(Capacity_Resource,$F204,'Critical resources (hide)'!AW$6:AW$105)&gt;0,$E$1=2),0,1)</f>
        <v>1</v>
      </c>
      <c r="AK204" s="68">
        <f ca="1">IF(AND(SUMIF(Capacity_Resource,$D204,'Critical resources (hide)'!AX$6:AX$105)+SUMIF(Capacity_Resource,$E204,'Critical resources (hide)'!AX$6:AX$105)+SUMIF(Capacity_Resource,$F204,'Critical resources (hide)'!AX$6:AX$105)&gt;0,$E$1=2),0,1)</f>
        <v>1</v>
      </c>
      <c r="AL204" s="68">
        <f ca="1">IF(AND(SUMIF(Capacity_Resource,$D204,'Critical resources (hide)'!AY$6:AY$105)+SUMIF(Capacity_Resource,$E204,'Critical resources (hide)'!AY$6:AY$105)+SUMIF(Capacity_Resource,$F204,'Critical resources (hide)'!AY$6:AY$105)&gt;0,$E$1=2),0,1)</f>
        <v>1</v>
      </c>
      <c r="AM204" s="68">
        <f ca="1">IF(AND(SUMIF(Capacity_Resource,$D204,'Critical resources (hide)'!AZ$6:AZ$105)+SUMIF(Capacity_Resource,$E204,'Critical resources (hide)'!AZ$6:AZ$105)+SUMIF(Capacity_Resource,$F204,'Critical resources (hide)'!AZ$6:AZ$105)&gt;0,$E$1=2),0,1)</f>
        <v>1</v>
      </c>
      <c r="AN204" s="68">
        <f ca="1">IF(AND(SUMIF(Capacity_Resource,$D204,'Critical resources (hide)'!BA$6:BA$105)+SUMIF(Capacity_Resource,$E204,'Critical resources (hide)'!BA$6:BA$105)+SUMIF(Capacity_Resource,$F204,'Critical resources (hide)'!BA$6:BA$105)&gt;0,$E$1=2),0,1)</f>
        <v>1</v>
      </c>
      <c r="AO204" s="68">
        <f ca="1">IF(AND(SUMIF(Capacity_Resource,$D204,'Critical resources (hide)'!BB$6:BB$105)+SUMIF(Capacity_Resource,$E204,'Critical resources (hide)'!BB$6:BB$105)+SUMIF(Capacity_Resource,$F204,'Critical resources (hide)'!BB$6:BB$105)&gt;0,$E$1=2),0,1)</f>
        <v>1</v>
      </c>
      <c r="AP204" s="68">
        <f ca="1">IF(AND(SUMIF(Capacity_Resource,$D204,'Critical resources (hide)'!BC$6:BC$105)+SUMIF(Capacity_Resource,$E204,'Critical resources (hide)'!BC$6:BC$105)+SUMIF(Capacity_Resource,$F204,'Critical resources (hide)'!BC$6:BC$105)&gt;0,$E$1=2),0,1)</f>
        <v>1</v>
      </c>
      <c r="AQ204" s="68">
        <f ca="1">IF(AND(SUMIF(Capacity_Resource,$D204,'Critical resources (hide)'!BD$6:BD$105)+SUMIF(Capacity_Resource,$E204,'Critical resources (hide)'!BD$6:BD$105)+SUMIF(Capacity_Resource,$F204,'Critical resources (hide)'!BD$6:BD$105)&gt;0,$E$1=2),0,1)</f>
        <v>1</v>
      </c>
      <c r="AR204" s="68">
        <f ca="1">IF(AND(SUMIF(Capacity_Resource,$D204,'Critical resources (hide)'!BE$6:BE$105)+SUMIF(Capacity_Resource,$E204,'Critical resources (hide)'!BE$6:BE$105)+SUMIF(Capacity_Resource,$F204,'Critical resources (hide)'!BE$6:BE$105)&gt;0,$E$1=2),0,1)</f>
        <v>1</v>
      </c>
      <c r="AS204" s="68">
        <f ca="1">IF(AND(SUMIF(Capacity_Resource,$D204,'Critical resources (hide)'!BF$6:BF$105)+SUMIF(Capacity_Resource,$E204,'Critical resources (hide)'!BF$6:BF$105)+SUMIF(Capacity_Resource,$F204,'Critical resources (hide)'!BF$6:BF$105)&gt;0,$E$1=2),0,1)</f>
        <v>1</v>
      </c>
      <c r="AT204" s="68">
        <f ca="1">IF(AND(SUMIF(Capacity_Resource,$D204,'Critical resources (hide)'!BG$6:BG$105)+SUMIF(Capacity_Resource,$E204,'Critical resources (hide)'!BG$6:BG$105)+SUMIF(Capacity_Resource,$F204,'Critical resources (hide)'!BG$6:BG$105)&gt;0,$E$1=2),0,1)</f>
        <v>1</v>
      </c>
      <c r="AU204" s="68">
        <f ca="1">IF(AND(SUMIF(Capacity_Resource,$D204,'Critical resources (hide)'!BH$6:BH$105)+SUMIF(Capacity_Resource,$E204,'Critical resources (hide)'!BH$6:BH$105)+SUMIF(Capacity_Resource,$F204,'Critical resources (hide)'!BH$6:BH$105)&gt;0,$E$1=2),0,1)</f>
        <v>1</v>
      </c>
      <c r="AV204" s="68">
        <f ca="1">IF(AND(SUMIF(Capacity_Resource,$D204,'Critical resources (hide)'!BI$6:BI$105)+SUMIF(Capacity_Resource,$E204,'Critical resources (hide)'!BI$6:BI$105)+SUMIF(Capacity_Resource,$F204,'Critical resources (hide)'!BI$6:BI$105)&gt;0,$E$1=2),0,1)</f>
        <v>1</v>
      </c>
      <c r="AW204" s="68">
        <f ca="1">IF(AND(SUMIF(Capacity_Resource,$D204,'Critical resources (hide)'!BJ$6:BJ$105)+SUMIF(Capacity_Resource,$E204,'Critical resources (hide)'!BJ$6:BJ$105)+SUMIF(Capacity_Resource,$F204,'Critical resources (hide)'!BJ$6:BJ$105)&gt;0,$E$1=2),0,1)</f>
        <v>1</v>
      </c>
      <c r="AX204" s="68">
        <f ca="1">IF(AND(SUMIF(Capacity_Resource,$D204,'Critical resources (hide)'!BK$6:BK$105)+SUMIF(Capacity_Resource,$E204,'Critical resources (hide)'!BK$6:BK$105)+SUMIF(Capacity_Resource,$F204,'Critical resources (hide)'!BK$6:BK$105)&gt;0,$E$1=2),0,1)</f>
        <v>1</v>
      </c>
      <c r="AY204" s="68">
        <f ca="1">IF(AND(SUMIF(Capacity_Resource,$D204,'Critical resources (hide)'!BL$6:BL$105)+SUMIF(Capacity_Resource,$E204,'Critical resources (hide)'!BL$6:BL$105)+SUMIF(Capacity_Resource,$F204,'Critical resources (hide)'!BL$6:BL$105)&gt;0,$E$1=2),0,1)</f>
        <v>1</v>
      </c>
      <c r="AZ204" s="68">
        <f ca="1">IF(AND(SUMIF(Capacity_Resource,$D204,'Critical resources (hide)'!BM$6:BM$105)+SUMIF(Capacity_Resource,$E204,'Critical resources (hide)'!BM$6:BM$105)+SUMIF(Capacity_Resource,$F204,'Critical resources (hide)'!BM$6:BM$105)&gt;0,$E$1=2),0,1)</f>
        <v>1</v>
      </c>
      <c r="BA204" s="68">
        <f ca="1">IF(AND(SUMIF(Capacity_Resource,$D204,'Critical resources (hide)'!BN$6:BN$105)+SUMIF(Capacity_Resource,$E204,'Critical resources (hide)'!BN$6:BN$105)+SUMIF(Capacity_Resource,$F204,'Critical resources (hide)'!BN$6:BN$105)&gt;0,$E$1=2),0,1)</f>
        <v>1</v>
      </c>
      <c r="BB204" s="68">
        <f ca="1">IF(AND(SUMIF(Capacity_Resource,$D204,'Critical resources (hide)'!BO$6:BO$105)+SUMIF(Capacity_Resource,$E204,'Critical resources (hide)'!BO$6:BO$105)+SUMIF(Capacity_Resource,$F204,'Critical resources (hide)'!BO$6:BO$105)&gt;0,$E$1=2),0,1)</f>
        <v>1</v>
      </c>
      <c r="BC204" s="68">
        <f ca="1">IF(AND(SUMIF(Capacity_Resource,$D204,'Critical resources (hide)'!BP$6:BP$105)+SUMIF(Capacity_Resource,$E204,'Critical resources (hide)'!BP$6:BP$105)+SUMIF(Capacity_Resource,$F204,'Critical resources (hide)'!BP$6:BP$105)&gt;0,$E$1=2),0,1)</f>
        <v>1</v>
      </c>
      <c r="BD204" s="68">
        <f ca="1">IF(AND(SUMIF(Capacity_Resource,$D204,'Critical resources (hide)'!BQ$6:BQ$105)+SUMIF(Capacity_Resource,$E204,'Critical resources (hide)'!BQ$6:BQ$105)+SUMIF(Capacity_Resource,$F204,'Critical resources (hide)'!BQ$6:BQ$105)&gt;0,$E$1=2),0,1)</f>
        <v>1</v>
      </c>
      <c r="BE204" s="68">
        <f ca="1">IF(AND(SUMIF(Capacity_Resource,$D204,'Critical resources (hide)'!BR$6:BR$105)+SUMIF(Capacity_Resource,$E204,'Critical resources (hide)'!BR$6:BR$105)+SUMIF(Capacity_Resource,$F204,'Critical resources (hide)'!BR$6:BR$105)&gt;0,$E$1=2),0,1)</f>
        <v>1</v>
      </c>
      <c r="BF204" s="68">
        <f ca="1">IF(AND(SUMIF(Capacity_Resource,$D204,'Critical resources (hide)'!BS$6:BS$105)+SUMIF(Capacity_Resource,$E204,'Critical resources (hide)'!BS$6:BS$105)+SUMIF(Capacity_Resource,$F204,'Critical resources (hide)'!BS$6:BS$105)&gt;0,$E$1=2),0,1)</f>
        <v>1</v>
      </c>
      <c r="BG204" s="68">
        <f ca="1">IF(AND(SUMIF(Capacity_Resource,$D204,'Critical resources (hide)'!BT$6:BT$105)+SUMIF(Capacity_Resource,$E204,'Critical resources (hide)'!BT$6:BT$105)+SUMIF(Capacity_Resource,$F204,'Critical resources (hide)'!BT$6:BT$105)&gt;0,$E$1=2),0,1)</f>
        <v>1</v>
      </c>
      <c r="BH204" s="68">
        <f>IF(ROW(A93)&lt;=Capacity!$M$16,IF('Capacity summary'!$C$14="No",SUM(H204:BG204),'Capacity summary'!$E116),0)</f>
        <v>0</v>
      </c>
      <c r="BI204" s="68" t="str">
        <f>IF(BH204&gt;0,IF(BH204&lt;Capacity!Q109,Capacity!R109,Capacity!T109/'Capacity calculation (hide)'!BH204),"")</f>
        <v/>
      </c>
      <c r="BJ204" s="5"/>
      <c r="BK204" s="5">
        <f>IF($BI204&lt;&gt;"",IF('Capacity summary'!$C$14="Yes",IF(COUNTBLANK('Capacity summary'!$H116:$BG116)&lt;52,IF('Capacity summary'!H116&lt;&gt;"",$BI204*H204,0),H204*$BI204),H204*$BI204),0)</f>
        <v>0</v>
      </c>
      <c r="BL204" s="5">
        <f>IF($BI204&lt;&gt;"",IF('Capacity summary'!$C$14="Yes",IF(COUNTBLANK('Capacity summary'!$H116:$BG116)&lt;52,IF('Capacity summary'!I116&lt;&gt;"",$BI204*I204,0),I204*$BI204),I204*$BI204),0)</f>
        <v>0</v>
      </c>
      <c r="BM204" s="5">
        <f>IF($BI204&lt;&gt;"",IF('Capacity summary'!$C$14="Yes",IF(COUNTBLANK('Capacity summary'!$H116:$BG116)&lt;52,IF('Capacity summary'!J116&lt;&gt;"",$BI204*J204,0),J204*$BI204),J204*$BI204),0)</f>
        <v>0</v>
      </c>
      <c r="BN204" s="5">
        <f>IF($BI204&lt;&gt;"",IF('Capacity summary'!$C$14="Yes",IF(COUNTBLANK('Capacity summary'!$H116:$BG116)&lt;52,IF('Capacity summary'!K116&lt;&gt;"",$BI204*K204,0),K204*$BI204),K204*$BI204),0)</f>
        <v>0</v>
      </c>
      <c r="BO204" s="5">
        <f>IF($BI204&lt;&gt;"",IF('Capacity summary'!$C$14="Yes",IF(COUNTBLANK('Capacity summary'!$H116:$BG116)&lt;52,IF('Capacity summary'!L116&lt;&gt;"",$BI204*L204,0),L204*$BI204),L204*$BI204),0)</f>
        <v>0</v>
      </c>
      <c r="BP204" s="5">
        <f>IF($BI204&lt;&gt;"",IF('Capacity summary'!$C$14="Yes",IF(COUNTBLANK('Capacity summary'!$H116:$BG116)&lt;52,IF('Capacity summary'!M116&lt;&gt;"",$BI204*M204,0),M204*$BI204),M204*$BI204),0)</f>
        <v>0</v>
      </c>
      <c r="BQ204" s="5">
        <f>IF($BI204&lt;&gt;"",IF('Capacity summary'!$C$14="Yes",IF(COUNTBLANK('Capacity summary'!$H116:$BG116)&lt;52,IF('Capacity summary'!N116&lt;&gt;"",$BI204*N204,0),N204*$BI204),N204*$BI204),0)</f>
        <v>0</v>
      </c>
      <c r="BR204" s="5">
        <f>IF($BI204&lt;&gt;"",IF('Capacity summary'!$C$14="Yes",IF(COUNTBLANK('Capacity summary'!$H116:$BG116)&lt;52,IF('Capacity summary'!O116&lt;&gt;"",$BI204*O204,0),O204*$BI204),O204*$BI204),0)</f>
        <v>0</v>
      </c>
      <c r="BS204" s="5">
        <f>IF($BI204&lt;&gt;"",IF('Capacity summary'!$C$14="Yes",IF(COUNTBLANK('Capacity summary'!$H116:$BG116)&lt;52,IF('Capacity summary'!P116&lt;&gt;"",$BI204*P204,0),P204*$BI204),P204*$BI204),0)</f>
        <v>0</v>
      </c>
      <c r="BT204" s="5">
        <f>IF($BI204&lt;&gt;"",IF('Capacity summary'!$C$14="Yes",IF(COUNTBLANK('Capacity summary'!$H116:$BG116)&lt;52,IF('Capacity summary'!Q116&lt;&gt;"",$BI204*Q204,0),Q204*$BI204),Q204*$BI204),0)</f>
        <v>0</v>
      </c>
      <c r="BU204" s="5">
        <f>IF($BI204&lt;&gt;"",IF('Capacity summary'!$C$14="Yes",IF(COUNTBLANK('Capacity summary'!$H116:$BG116)&lt;52,IF('Capacity summary'!R116&lt;&gt;"",$BI204*R204,0),R204*$BI204),R204*$BI204),0)</f>
        <v>0</v>
      </c>
      <c r="BV204" s="5">
        <f>IF($BI204&lt;&gt;"",IF('Capacity summary'!$C$14="Yes",IF(COUNTBLANK('Capacity summary'!$H116:$BG116)&lt;52,IF('Capacity summary'!S116&lt;&gt;"",$BI204*S204,0),S204*$BI204),S204*$BI204),0)</f>
        <v>0</v>
      </c>
      <c r="BW204" s="5">
        <f>IF($BI204&lt;&gt;"",IF('Capacity summary'!$C$14="Yes",IF(COUNTBLANK('Capacity summary'!$H116:$BG116)&lt;52,IF('Capacity summary'!T116&lt;&gt;"",$BI204*T204,0),T204*$BI204),T204*$BI204),0)</f>
        <v>0</v>
      </c>
      <c r="BX204" s="5">
        <f>IF($BI204&lt;&gt;"",IF('Capacity summary'!$C$14="Yes",IF(COUNTBLANK('Capacity summary'!$H116:$BG116)&lt;52,IF('Capacity summary'!U116&lt;&gt;"",$BI204*U204,0),U204*$BI204),U204*$BI204),0)</f>
        <v>0</v>
      </c>
      <c r="BY204" s="5">
        <f>IF($BI204&lt;&gt;"",IF('Capacity summary'!$C$14="Yes",IF(COUNTBLANK('Capacity summary'!$H116:$BG116)&lt;52,IF('Capacity summary'!V116&lt;&gt;"",$BI204*V204,0),V204*$BI204),V204*$BI204),0)</f>
        <v>0</v>
      </c>
      <c r="BZ204" s="5">
        <f>IF($BI204&lt;&gt;"",IF('Capacity summary'!$C$14="Yes",IF(COUNTBLANK('Capacity summary'!$H116:$BG116)&lt;52,IF('Capacity summary'!W116&lt;&gt;"",$BI204*W204,0),W204*$BI204),W204*$BI204),0)</f>
        <v>0</v>
      </c>
      <c r="CA204" s="5">
        <f>IF($BI204&lt;&gt;"",IF('Capacity summary'!$C$14="Yes",IF(COUNTBLANK('Capacity summary'!$H116:$BG116)&lt;52,IF('Capacity summary'!X116&lt;&gt;"",$BI204*X204,0),X204*$BI204),X204*$BI204),0)</f>
        <v>0</v>
      </c>
      <c r="CB204" s="5">
        <f>IF($BI204&lt;&gt;"",IF('Capacity summary'!$C$14="Yes",IF(COUNTBLANK('Capacity summary'!$H116:$BG116)&lt;52,IF('Capacity summary'!Y116&lt;&gt;"",$BI204*Y204,0),Y204*$BI204),Y204*$BI204),0)</f>
        <v>0</v>
      </c>
      <c r="CC204" s="5">
        <f>IF($BI204&lt;&gt;"",IF('Capacity summary'!$C$14="Yes",IF(COUNTBLANK('Capacity summary'!$H116:$BG116)&lt;52,IF('Capacity summary'!Z116&lt;&gt;"",$BI204*Z204,0),Z204*$BI204),Z204*$BI204),0)</f>
        <v>0</v>
      </c>
      <c r="CD204" s="5">
        <f>IF($BI204&lt;&gt;"",IF('Capacity summary'!$C$14="Yes",IF(COUNTBLANK('Capacity summary'!$H116:$BG116)&lt;52,IF('Capacity summary'!AA116&lt;&gt;"",$BI204*AA204,0),AA204*$BI204),AA204*$BI204),0)</f>
        <v>0</v>
      </c>
      <c r="CE204" s="5">
        <f>IF($BI204&lt;&gt;"",IF('Capacity summary'!$C$14="Yes",IF(COUNTBLANK('Capacity summary'!$H116:$BG116)&lt;52,IF('Capacity summary'!AB116&lt;&gt;"",$BI204*AB204,0),AB204*$BI204),AB204*$BI204),0)</f>
        <v>0</v>
      </c>
      <c r="CF204" s="5">
        <f>IF($BI204&lt;&gt;"",IF('Capacity summary'!$C$14="Yes",IF(COUNTBLANK('Capacity summary'!$H116:$BG116)&lt;52,IF('Capacity summary'!AC116&lt;&gt;"",$BI204*AC204,0),AC204*$BI204),AC204*$BI204),0)</f>
        <v>0</v>
      </c>
      <c r="CG204" s="5">
        <f>IF($BI204&lt;&gt;"",IF('Capacity summary'!$C$14="Yes",IF(COUNTBLANK('Capacity summary'!$H116:$BG116)&lt;52,IF('Capacity summary'!AD116&lt;&gt;"",$BI204*AD204,0),AD204*$BI204),AD204*$BI204),0)</f>
        <v>0</v>
      </c>
      <c r="CH204" s="5">
        <f>IF($BI204&lt;&gt;"",IF('Capacity summary'!$C$14="Yes",IF(COUNTBLANK('Capacity summary'!$H116:$BG116)&lt;52,IF('Capacity summary'!AE116&lt;&gt;"",$BI204*AE204,0),AE204*$BI204),AE204*$BI204),0)</f>
        <v>0</v>
      </c>
      <c r="CI204" s="5">
        <f>IF($BI204&lt;&gt;"",IF('Capacity summary'!$C$14="Yes",IF(COUNTBLANK('Capacity summary'!$H116:$BG116)&lt;52,IF('Capacity summary'!AF116&lt;&gt;"",$BI204*AF204,0),AF204*$BI204),AF204*$BI204),0)</f>
        <v>0</v>
      </c>
      <c r="CJ204" s="5">
        <f>IF($BI204&lt;&gt;"",IF('Capacity summary'!$C$14="Yes",IF(COUNTBLANK('Capacity summary'!$H116:$BG116)&lt;52,IF('Capacity summary'!AG116&lt;&gt;"",$BI204*AG204,0),AG204*$BI204),AG204*$BI204),0)</f>
        <v>0</v>
      </c>
      <c r="CK204" s="5">
        <f>IF($BI204&lt;&gt;"",IF('Capacity summary'!$C$14="Yes",IF(COUNTBLANK('Capacity summary'!$H116:$BG116)&lt;52,IF('Capacity summary'!AH116&lt;&gt;"",$BI204*AH204,0),AH204*$BI204),AH204*$BI204),0)</f>
        <v>0</v>
      </c>
      <c r="CL204" s="5">
        <f>IF($BI204&lt;&gt;"",IF('Capacity summary'!$C$14="Yes",IF(COUNTBLANK('Capacity summary'!$H116:$BG116)&lt;52,IF('Capacity summary'!AI116&lt;&gt;"",$BI204*AI204,0),AI204*$BI204),AI204*$BI204),0)</f>
        <v>0</v>
      </c>
      <c r="CM204" s="5">
        <f>IF($BI204&lt;&gt;"",IF('Capacity summary'!$C$14="Yes",IF(COUNTBLANK('Capacity summary'!$H116:$BG116)&lt;52,IF('Capacity summary'!AJ116&lt;&gt;"",$BI204*AJ204,0),AJ204*$BI204),AJ204*$BI204),0)</f>
        <v>0</v>
      </c>
      <c r="CN204" s="5">
        <f>IF($BI204&lt;&gt;"",IF('Capacity summary'!$C$14="Yes",IF(COUNTBLANK('Capacity summary'!$H116:$BG116)&lt;52,IF('Capacity summary'!AK116&lt;&gt;"",$BI204*AK204,0),AK204*$BI204),AK204*$BI204),0)</f>
        <v>0</v>
      </c>
      <c r="CO204" s="5">
        <f>IF($BI204&lt;&gt;"",IF('Capacity summary'!$C$14="Yes",IF(COUNTBLANK('Capacity summary'!$H116:$BG116)&lt;52,IF('Capacity summary'!AL116&lt;&gt;"",$BI204*AL204,0),AL204*$BI204),AL204*$BI204),0)</f>
        <v>0</v>
      </c>
      <c r="CP204" s="5">
        <f>IF($BI204&lt;&gt;"",IF('Capacity summary'!$C$14="Yes",IF(COUNTBLANK('Capacity summary'!$H116:$BG116)&lt;52,IF('Capacity summary'!AM116&lt;&gt;"",$BI204*AM204,0),AM204*$BI204),AM204*$BI204),0)</f>
        <v>0</v>
      </c>
      <c r="CQ204" s="5">
        <f>IF($BI204&lt;&gt;"",IF('Capacity summary'!$C$14="Yes",IF(COUNTBLANK('Capacity summary'!$H116:$BG116)&lt;52,IF('Capacity summary'!AN116&lt;&gt;"",$BI204*AN204,0),AN204*$BI204),AN204*$BI204),0)</f>
        <v>0</v>
      </c>
      <c r="CR204" s="5">
        <f>IF($BI204&lt;&gt;"",IF('Capacity summary'!$C$14="Yes",IF(COUNTBLANK('Capacity summary'!$H116:$BG116)&lt;52,IF('Capacity summary'!AO116&lt;&gt;"",$BI204*AO204,0),AO204*$BI204),AO204*$BI204),0)</f>
        <v>0</v>
      </c>
      <c r="CS204" s="5">
        <f>IF($BI204&lt;&gt;"",IF('Capacity summary'!$C$14="Yes",IF(COUNTBLANK('Capacity summary'!$H116:$BG116)&lt;52,IF('Capacity summary'!AP116&lt;&gt;"",$BI204*AP204,0),AP204*$BI204),AP204*$BI204),0)</f>
        <v>0</v>
      </c>
      <c r="CT204" s="5">
        <f>IF($BI204&lt;&gt;"",IF('Capacity summary'!$C$14="Yes",IF(COUNTBLANK('Capacity summary'!$H116:$BG116)&lt;52,IF('Capacity summary'!AQ116&lt;&gt;"",$BI204*AQ204,0),AQ204*$BI204),AQ204*$BI204),0)</f>
        <v>0</v>
      </c>
      <c r="CU204" s="5">
        <f>IF($BI204&lt;&gt;"",IF('Capacity summary'!$C$14="Yes",IF(COUNTBLANK('Capacity summary'!$H116:$BG116)&lt;52,IF('Capacity summary'!AR116&lt;&gt;"",$BI204*AR204,0),AR204*$BI204),AR204*$BI204),0)</f>
        <v>0</v>
      </c>
      <c r="CV204" s="5">
        <f>IF($BI204&lt;&gt;"",IF('Capacity summary'!$C$14="Yes",IF(COUNTBLANK('Capacity summary'!$H116:$BG116)&lt;52,IF('Capacity summary'!AS116&lt;&gt;"",$BI204*AS204,0),AS204*$BI204),AS204*$BI204),0)</f>
        <v>0</v>
      </c>
      <c r="CW204" s="5">
        <f>IF($BI204&lt;&gt;"",IF('Capacity summary'!$C$14="Yes",IF(COUNTBLANK('Capacity summary'!$H116:$BG116)&lt;52,IF('Capacity summary'!AT116&lt;&gt;"",$BI204*AT204,0),AT204*$BI204),AT204*$BI204),0)</f>
        <v>0</v>
      </c>
      <c r="CX204" s="5">
        <f>IF($BI204&lt;&gt;"",IF('Capacity summary'!$C$14="Yes",IF(COUNTBLANK('Capacity summary'!$H116:$BG116)&lt;52,IF('Capacity summary'!AU116&lt;&gt;"",$BI204*AU204,0),AU204*$BI204),AU204*$BI204),0)</f>
        <v>0</v>
      </c>
      <c r="CY204" s="5">
        <f>IF($BI204&lt;&gt;"",IF('Capacity summary'!$C$14="Yes",IF(COUNTBLANK('Capacity summary'!$H116:$BG116)&lt;52,IF('Capacity summary'!AV116&lt;&gt;"",$BI204*AV204,0),AV204*$BI204),AV204*$BI204),0)</f>
        <v>0</v>
      </c>
      <c r="CZ204" s="5">
        <f>IF($BI204&lt;&gt;"",IF('Capacity summary'!$C$14="Yes",IF(COUNTBLANK('Capacity summary'!$H116:$BG116)&lt;52,IF('Capacity summary'!AW116&lt;&gt;"",$BI204*AW204,0),AW204*$BI204),AW204*$BI204),0)</f>
        <v>0</v>
      </c>
      <c r="DA204" s="5">
        <f>IF($BI204&lt;&gt;"",IF('Capacity summary'!$C$14="Yes",IF(COUNTBLANK('Capacity summary'!$H116:$BG116)&lt;52,IF('Capacity summary'!AX116&lt;&gt;"",$BI204*AX204,0),AX204*$BI204),AX204*$BI204),0)</f>
        <v>0</v>
      </c>
      <c r="DB204" s="5">
        <f>IF($BI204&lt;&gt;"",IF('Capacity summary'!$C$14="Yes",IF(COUNTBLANK('Capacity summary'!$H116:$BG116)&lt;52,IF('Capacity summary'!AY116&lt;&gt;"",$BI204*AY204,0),AY204*$BI204),AY204*$BI204),0)</f>
        <v>0</v>
      </c>
      <c r="DC204" s="5">
        <f>IF($BI204&lt;&gt;"",IF('Capacity summary'!$C$14="Yes",IF(COUNTBLANK('Capacity summary'!$H116:$BG116)&lt;52,IF('Capacity summary'!AZ116&lt;&gt;"",$BI204*AZ204,0),AZ204*$BI204),AZ204*$BI204),0)</f>
        <v>0</v>
      </c>
      <c r="DD204" s="5">
        <f>IF($BI204&lt;&gt;"",IF('Capacity summary'!$C$14="Yes",IF(COUNTBLANK('Capacity summary'!$H116:$BG116)&lt;52,IF('Capacity summary'!BA116&lt;&gt;"",$BI204*BA204,0),BA204*$BI204),BA204*$BI204),0)</f>
        <v>0</v>
      </c>
      <c r="DE204" s="5">
        <f>IF($BI204&lt;&gt;"",IF('Capacity summary'!$C$14="Yes",IF(COUNTBLANK('Capacity summary'!$H116:$BG116)&lt;52,IF('Capacity summary'!BB116&lt;&gt;"",$BI204*BB204,0),BB204*$BI204),BB204*$BI204),0)</f>
        <v>0</v>
      </c>
      <c r="DF204" s="5">
        <f>IF($BI204&lt;&gt;"",IF('Capacity summary'!$C$14="Yes",IF(COUNTBLANK('Capacity summary'!$H116:$BG116)&lt;52,IF('Capacity summary'!BC116&lt;&gt;"",$BI204*BC204,0),BC204*$BI204),BC204*$BI204),0)</f>
        <v>0</v>
      </c>
      <c r="DG204" s="5">
        <f>IF($BI204&lt;&gt;"",IF('Capacity summary'!$C$14="Yes",IF(COUNTBLANK('Capacity summary'!$H116:$BG116)&lt;52,IF('Capacity summary'!BD116&lt;&gt;"",$BI204*BD204,0),BD204*$BI204),BD204*$BI204),0)</f>
        <v>0</v>
      </c>
      <c r="DH204" s="5">
        <f>IF($BI204&lt;&gt;"",IF('Capacity summary'!$C$14="Yes",IF(COUNTBLANK('Capacity summary'!$H116:$BG116)&lt;52,IF('Capacity summary'!BE116&lt;&gt;"",$BI204*BE204,0),BE204*$BI204),BE204*$BI204),0)</f>
        <v>0</v>
      </c>
      <c r="DI204" s="5">
        <f>IF($BI204&lt;&gt;"",IF('Capacity summary'!$C$14="Yes",IF(COUNTBLANK('Capacity summary'!$H116:$BG116)&lt;52,IF('Capacity summary'!BF116&lt;&gt;"",$BI204*BF204,0),BF204*$BI204),BF204*$BI204),0)</f>
        <v>0</v>
      </c>
      <c r="DJ204" s="5">
        <f>IF($BI204&lt;&gt;"",IF('Capacity summary'!$C$14="Yes",IF(COUNTBLANK('Capacity summary'!$H116:$BG116)&lt;52,IF('Capacity summary'!BG116&lt;&gt;"",$BI204*BG204,0),BG204*$BI204),BG204*$BI204),0)</f>
        <v>0</v>
      </c>
      <c r="DK204" s="138">
        <f t="shared" si="7"/>
        <v>0</v>
      </c>
    </row>
    <row r="205" spans="3:115" x14ac:dyDescent="0.2">
      <c r="C205" s="68" t="str">
        <f>ROW(A94)&amp;". "&amp;Capacity!N110</f>
        <v xml:space="preserve">94. </v>
      </c>
      <c r="D205" s="68">
        <f>'Capacity setup'!C211</f>
        <v>0</v>
      </c>
      <c r="E205" s="68">
        <f>'Capacity setup'!D211</f>
        <v>0</v>
      </c>
      <c r="F205" s="68">
        <f>'Capacity setup'!E211</f>
        <v>0</v>
      </c>
      <c r="H205" s="68">
        <f ca="1">IF(AND(SUMIF(Capacity_Resource,$D205,'Critical resources (hide)'!U$6:U$105)+SUMIF(Capacity_Resource,$E205,'Critical resources (hide)'!U$6:U$105)+SUMIF(Capacity_Resource,$F205,'Critical resources (hide)'!U$6:U$105)&gt;0,$E$1=2),0,1)</f>
        <v>1</v>
      </c>
      <c r="I205" s="68">
        <f ca="1">IF(AND(SUMIF(Capacity_Resource,$D205,'Critical resources (hide)'!V$6:V$105)+SUMIF(Capacity_Resource,$E205,'Critical resources (hide)'!V$6:V$105)+SUMIF(Capacity_Resource,$F205,'Critical resources (hide)'!V$6:V$105)&gt;0,$E$1=2),0,1)</f>
        <v>1</v>
      </c>
      <c r="J205" s="68">
        <f ca="1">IF(AND(SUMIF(Capacity_Resource,$D205,'Critical resources (hide)'!W$6:W$105)+SUMIF(Capacity_Resource,$E205,'Critical resources (hide)'!W$6:W$105)+SUMIF(Capacity_Resource,$F205,'Critical resources (hide)'!W$6:W$105)&gt;0,$E$1=2),0,1)</f>
        <v>1</v>
      </c>
      <c r="K205" s="68">
        <f ca="1">IF(AND(SUMIF(Capacity_Resource,$D205,'Critical resources (hide)'!X$6:X$105)+SUMIF(Capacity_Resource,$E205,'Critical resources (hide)'!X$6:X$105)+SUMIF(Capacity_Resource,$F205,'Critical resources (hide)'!X$6:X$105)&gt;0,$E$1=2),0,1)</f>
        <v>1</v>
      </c>
      <c r="L205" s="68">
        <f ca="1">IF(AND(SUMIF(Capacity_Resource,$D205,'Critical resources (hide)'!Y$6:Y$105)+SUMIF(Capacity_Resource,$E205,'Critical resources (hide)'!Y$6:Y$105)+SUMIF(Capacity_Resource,$F205,'Critical resources (hide)'!Y$6:Y$105)&gt;0,$E$1=2),0,1)</f>
        <v>1</v>
      </c>
      <c r="M205" s="68">
        <f ca="1">IF(AND(SUMIF(Capacity_Resource,$D205,'Critical resources (hide)'!Z$6:Z$105)+SUMIF(Capacity_Resource,$E205,'Critical resources (hide)'!Z$6:Z$105)+SUMIF(Capacity_Resource,$F205,'Critical resources (hide)'!Z$6:Z$105)&gt;0,$E$1=2),0,1)</f>
        <v>1</v>
      </c>
      <c r="N205" s="68">
        <f ca="1">IF(AND(SUMIF(Capacity_Resource,$D205,'Critical resources (hide)'!AA$6:AA$105)+SUMIF(Capacity_Resource,$E205,'Critical resources (hide)'!AA$6:AA$105)+SUMIF(Capacity_Resource,$F205,'Critical resources (hide)'!AA$6:AA$105)&gt;0,$E$1=2),0,1)</f>
        <v>1</v>
      </c>
      <c r="O205" s="68">
        <f ca="1">IF(AND(SUMIF(Capacity_Resource,$D205,'Critical resources (hide)'!AB$6:AB$105)+SUMIF(Capacity_Resource,$E205,'Critical resources (hide)'!AB$6:AB$105)+SUMIF(Capacity_Resource,$F205,'Critical resources (hide)'!AB$6:AB$105)&gt;0,$E$1=2),0,1)</f>
        <v>1</v>
      </c>
      <c r="P205" s="68">
        <f ca="1">IF(AND(SUMIF(Capacity_Resource,$D205,'Critical resources (hide)'!AC$6:AC$105)+SUMIF(Capacity_Resource,$E205,'Critical resources (hide)'!AC$6:AC$105)+SUMIF(Capacity_Resource,$F205,'Critical resources (hide)'!AC$6:AC$105)&gt;0,$E$1=2),0,1)</f>
        <v>1</v>
      </c>
      <c r="Q205" s="68">
        <f ca="1">IF(AND(SUMIF(Capacity_Resource,$D205,'Critical resources (hide)'!AD$6:AD$105)+SUMIF(Capacity_Resource,$E205,'Critical resources (hide)'!AD$6:AD$105)+SUMIF(Capacity_Resource,$F205,'Critical resources (hide)'!AD$6:AD$105)&gt;0,$E$1=2),0,1)</f>
        <v>1</v>
      </c>
      <c r="R205" s="68">
        <f ca="1">IF(AND(SUMIF(Capacity_Resource,$D205,'Critical resources (hide)'!AE$6:AE$105)+SUMIF(Capacity_Resource,$E205,'Critical resources (hide)'!AE$6:AE$105)+SUMIF(Capacity_Resource,$F205,'Critical resources (hide)'!AE$6:AE$105)&gt;0,$E$1=2),0,1)</f>
        <v>1</v>
      </c>
      <c r="S205" s="68">
        <f ca="1">IF(AND(SUMIF(Capacity_Resource,$D205,'Critical resources (hide)'!AF$6:AF$105)+SUMIF(Capacity_Resource,$E205,'Critical resources (hide)'!AF$6:AF$105)+SUMIF(Capacity_Resource,$F205,'Critical resources (hide)'!AF$6:AF$105)&gt;0,$E$1=2),0,1)</f>
        <v>1</v>
      </c>
      <c r="T205" s="68">
        <f ca="1">IF(AND(SUMIF(Capacity_Resource,$D205,'Critical resources (hide)'!AG$6:AG$105)+SUMIF(Capacity_Resource,$E205,'Critical resources (hide)'!AG$6:AG$105)+SUMIF(Capacity_Resource,$F205,'Critical resources (hide)'!AG$6:AG$105)&gt;0,$E$1=2),0,1)</f>
        <v>1</v>
      </c>
      <c r="U205" s="68">
        <f ca="1">IF(AND(SUMIF(Capacity_Resource,$D205,'Critical resources (hide)'!AH$6:AH$105)+SUMIF(Capacity_Resource,$E205,'Critical resources (hide)'!AH$6:AH$105)+SUMIF(Capacity_Resource,$F205,'Critical resources (hide)'!AH$6:AH$105)&gt;0,$E$1=2),0,1)</f>
        <v>1</v>
      </c>
      <c r="V205" s="68">
        <f ca="1">IF(AND(SUMIF(Capacity_Resource,$D205,'Critical resources (hide)'!AI$6:AI$105)+SUMIF(Capacity_Resource,$E205,'Critical resources (hide)'!AI$6:AI$105)+SUMIF(Capacity_Resource,$F205,'Critical resources (hide)'!AI$6:AI$105)&gt;0,$E$1=2),0,1)</f>
        <v>1</v>
      </c>
      <c r="W205" s="68">
        <f ca="1">IF(AND(SUMIF(Capacity_Resource,$D205,'Critical resources (hide)'!AJ$6:AJ$105)+SUMIF(Capacity_Resource,$E205,'Critical resources (hide)'!AJ$6:AJ$105)+SUMIF(Capacity_Resource,$F205,'Critical resources (hide)'!AJ$6:AJ$105)&gt;0,$E$1=2),0,1)</f>
        <v>1</v>
      </c>
      <c r="X205" s="68">
        <f ca="1">IF(AND(SUMIF(Capacity_Resource,$D205,'Critical resources (hide)'!AK$6:AK$105)+SUMIF(Capacity_Resource,$E205,'Critical resources (hide)'!AK$6:AK$105)+SUMIF(Capacity_Resource,$F205,'Critical resources (hide)'!AK$6:AK$105)&gt;0,$E$1=2),0,1)</f>
        <v>1</v>
      </c>
      <c r="Y205" s="68">
        <f ca="1">IF(AND(SUMIF(Capacity_Resource,$D205,'Critical resources (hide)'!AL$6:AL$105)+SUMIF(Capacity_Resource,$E205,'Critical resources (hide)'!AL$6:AL$105)+SUMIF(Capacity_Resource,$F205,'Critical resources (hide)'!AL$6:AL$105)&gt;0,$E$1=2),0,1)</f>
        <v>1</v>
      </c>
      <c r="Z205" s="68">
        <f ca="1">IF(AND(SUMIF(Capacity_Resource,$D205,'Critical resources (hide)'!AM$6:AM$105)+SUMIF(Capacity_Resource,$E205,'Critical resources (hide)'!AM$6:AM$105)+SUMIF(Capacity_Resource,$F205,'Critical resources (hide)'!AM$6:AM$105)&gt;0,$E$1=2),0,1)</f>
        <v>1</v>
      </c>
      <c r="AA205" s="68">
        <f ca="1">IF(AND(SUMIF(Capacity_Resource,$D205,'Critical resources (hide)'!AN$6:AN$105)+SUMIF(Capacity_Resource,$E205,'Critical resources (hide)'!AN$6:AN$105)+SUMIF(Capacity_Resource,$F205,'Critical resources (hide)'!AN$6:AN$105)&gt;0,$E$1=2),0,1)</f>
        <v>1</v>
      </c>
      <c r="AB205" s="68">
        <f ca="1">IF(AND(SUMIF(Capacity_Resource,$D205,'Critical resources (hide)'!AO$6:AO$105)+SUMIF(Capacity_Resource,$E205,'Critical resources (hide)'!AO$6:AO$105)+SUMIF(Capacity_Resource,$F205,'Critical resources (hide)'!AO$6:AO$105)&gt;0,$E$1=2),0,1)</f>
        <v>1</v>
      </c>
      <c r="AC205" s="68">
        <f ca="1">IF(AND(SUMIF(Capacity_Resource,$D205,'Critical resources (hide)'!AP$6:AP$105)+SUMIF(Capacity_Resource,$E205,'Critical resources (hide)'!AP$6:AP$105)+SUMIF(Capacity_Resource,$F205,'Critical resources (hide)'!AP$6:AP$105)&gt;0,$E$1=2),0,1)</f>
        <v>1</v>
      </c>
      <c r="AD205" s="68">
        <f ca="1">IF(AND(SUMIF(Capacity_Resource,$D205,'Critical resources (hide)'!AQ$6:AQ$105)+SUMIF(Capacity_Resource,$E205,'Critical resources (hide)'!AQ$6:AQ$105)+SUMIF(Capacity_Resource,$F205,'Critical resources (hide)'!AQ$6:AQ$105)&gt;0,$E$1=2),0,1)</f>
        <v>1</v>
      </c>
      <c r="AE205" s="68">
        <f ca="1">IF(AND(SUMIF(Capacity_Resource,$D205,'Critical resources (hide)'!AR$6:AR$105)+SUMIF(Capacity_Resource,$E205,'Critical resources (hide)'!AR$6:AR$105)+SUMIF(Capacity_Resource,$F205,'Critical resources (hide)'!AR$6:AR$105)&gt;0,$E$1=2),0,1)</f>
        <v>1</v>
      </c>
      <c r="AF205" s="68">
        <f ca="1">IF(AND(SUMIF(Capacity_Resource,$D205,'Critical resources (hide)'!AS$6:AS$105)+SUMIF(Capacity_Resource,$E205,'Critical resources (hide)'!AS$6:AS$105)+SUMIF(Capacity_Resource,$F205,'Critical resources (hide)'!AS$6:AS$105)&gt;0,$E$1=2),0,1)</f>
        <v>1</v>
      </c>
      <c r="AG205" s="68">
        <f ca="1">IF(AND(SUMIF(Capacity_Resource,$D205,'Critical resources (hide)'!AT$6:AT$105)+SUMIF(Capacity_Resource,$E205,'Critical resources (hide)'!AT$6:AT$105)+SUMIF(Capacity_Resource,$F205,'Critical resources (hide)'!AT$6:AT$105)&gt;0,$E$1=2),0,1)</f>
        <v>1</v>
      </c>
      <c r="AH205" s="68">
        <f ca="1">IF(AND(SUMIF(Capacity_Resource,$D205,'Critical resources (hide)'!AU$6:AU$105)+SUMIF(Capacity_Resource,$E205,'Critical resources (hide)'!AU$6:AU$105)+SUMIF(Capacity_Resource,$F205,'Critical resources (hide)'!AU$6:AU$105)&gt;0,$E$1=2),0,1)</f>
        <v>1</v>
      </c>
      <c r="AI205" s="68">
        <f ca="1">IF(AND(SUMIF(Capacity_Resource,$D205,'Critical resources (hide)'!AV$6:AV$105)+SUMIF(Capacity_Resource,$E205,'Critical resources (hide)'!AV$6:AV$105)+SUMIF(Capacity_Resource,$F205,'Critical resources (hide)'!AV$6:AV$105)&gt;0,$E$1=2),0,1)</f>
        <v>1</v>
      </c>
      <c r="AJ205" s="68">
        <f ca="1">IF(AND(SUMIF(Capacity_Resource,$D205,'Critical resources (hide)'!AW$6:AW$105)+SUMIF(Capacity_Resource,$E205,'Critical resources (hide)'!AW$6:AW$105)+SUMIF(Capacity_Resource,$F205,'Critical resources (hide)'!AW$6:AW$105)&gt;0,$E$1=2),0,1)</f>
        <v>1</v>
      </c>
      <c r="AK205" s="68">
        <f ca="1">IF(AND(SUMIF(Capacity_Resource,$D205,'Critical resources (hide)'!AX$6:AX$105)+SUMIF(Capacity_Resource,$E205,'Critical resources (hide)'!AX$6:AX$105)+SUMIF(Capacity_Resource,$F205,'Critical resources (hide)'!AX$6:AX$105)&gt;0,$E$1=2),0,1)</f>
        <v>1</v>
      </c>
      <c r="AL205" s="68">
        <f ca="1">IF(AND(SUMIF(Capacity_Resource,$D205,'Critical resources (hide)'!AY$6:AY$105)+SUMIF(Capacity_Resource,$E205,'Critical resources (hide)'!AY$6:AY$105)+SUMIF(Capacity_Resource,$F205,'Critical resources (hide)'!AY$6:AY$105)&gt;0,$E$1=2),0,1)</f>
        <v>1</v>
      </c>
      <c r="AM205" s="68">
        <f ca="1">IF(AND(SUMIF(Capacity_Resource,$D205,'Critical resources (hide)'!AZ$6:AZ$105)+SUMIF(Capacity_Resource,$E205,'Critical resources (hide)'!AZ$6:AZ$105)+SUMIF(Capacity_Resource,$F205,'Critical resources (hide)'!AZ$6:AZ$105)&gt;0,$E$1=2),0,1)</f>
        <v>1</v>
      </c>
      <c r="AN205" s="68">
        <f ca="1">IF(AND(SUMIF(Capacity_Resource,$D205,'Critical resources (hide)'!BA$6:BA$105)+SUMIF(Capacity_Resource,$E205,'Critical resources (hide)'!BA$6:BA$105)+SUMIF(Capacity_Resource,$F205,'Critical resources (hide)'!BA$6:BA$105)&gt;0,$E$1=2),0,1)</f>
        <v>1</v>
      </c>
      <c r="AO205" s="68">
        <f ca="1">IF(AND(SUMIF(Capacity_Resource,$D205,'Critical resources (hide)'!BB$6:BB$105)+SUMIF(Capacity_Resource,$E205,'Critical resources (hide)'!BB$6:BB$105)+SUMIF(Capacity_Resource,$F205,'Critical resources (hide)'!BB$6:BB$105)&gt;0,$E$1=2),0,1)</f>
        <v>1</v>
      </c>
      <c r="AP205" s="68">
        <f ca="1">IF(AND(SUMIF(Capacity_Resource,$D205,'Critical resources (hide)'!BC$6:BC$105)+SUMIF(Capacity_Resource,$E205,'Critical resources (hide)'!BC$6:BC$105)+SUMIF(Capacity_Resource,$F205,'Critical resources (hide)'!BC$6:BC$105)&gt;0,$E$1=2),0,1)</f>
        <v>1</v>
      </c>
      <c r="AQ205" s="68">
        <f ca="1">IF(AND(SUMIF(Capacity_Resource,$D205,'Critical resources (hide)'!BD$6:BD$105)+SUMIF(Capacity_Resource,$E205,'Critical resources (hide)'!BD$6:BD$105)+SUMIF(Capacity_Resource,$F205,'Critical resources (hide)'!BD$6:BD$105)&gt;0,$E$1=2),0,1)</f>
        <v>1</v>
      </c>
      <c r="AR205" s="68">
        <f ca="1">IF(AND(SUMIF(Capacity_Resource,$D205,'Critical resources (hide)'!BE$6:BE$105)+SUMIF(Capacity_Resource,$E205,'Critical resources (hide)'!BE$6:BE$105)+SUMIF(Capacity_Resource,$F205,'Critical resources (hide)'!BE$6:BE$105)&gt;0,$E$1=2),0,1)</f>
        <v>1</v>
      </c>
      <c r="AS205" s="68">
        <f ca="1">IF(AND(SUMIF(Capacity_Resource,$D205,'Critical resources (hide)'!BF$6:BF$105)+SUMIF(Capacity_Resource,$E205,'Critical resources (hide)'!BF$6:BF$105)+SUMIF(Capacity_Resource,$F205,'Critical resources (hide)'!BF$6:BF$105)&gt;0,$E$1=2),0,1)</f>
        <v>1</v>
      </c>
      <c r="AT205" s="68">
        <f ca="1">IF(AND(SUMIF(Capacity_Resource,$D205,'Critical resources (hide)'!BG$6:BG$105)+SUMIF(Capacity_Resource,$E205,'Critical resources (hide)'!BG$6:BG$105)+SUMIF(Capacity_Resource,$F205,'Critical resources (hide)'!BG$6:BG$105)&gt;0,$E$1=2),0,1)</f>
        <v>1</v>
      </c>
      <c r="AU205" s="68">
        <f ca="1">IF(AND(SUMIF(Capacity_Resource,$D205,'Critical resources (hide)'!BH$6:BH$105)+SUMIF(Capacity_Resource,$E205,'Critical resources (hide)'!BH$6:BH$105)+SUMIF(Capacity_Resource,$F205,'Critical resources (hide)'!BH$6:BH$105)&gt;0,$E$1=2),0,1)</f>
        <v>1</v>
      </c>
      <c r="AV205" s="68">
        <f ca="1">IF(AND(SUMIF(Capacity_Resource,$D205,'Critical resources (hide)'!BI$6:BI$105)+SUMIF(Capacity_Resource,$E205,'Critical resources (hide)'!BI$6:BI$105)+SUMIF(Capacity_Resource,$F205,'Critical resources (hide)'!BI$6:BI$105)&gt;0,$E$1=2),0,1)</f>
        <v>1</v>
      </c>
      <c r="AW205" s="68">
        <f ca="1">IF(AND(SUMIF(Capacity_Resource,$D205,'Critical resources (hide)'!BJ$6:BJ$105)+SUMIF(Capacity_Resource,$E205,'Critical resources (hide)'!BJ$6:BJ$105)+SUMIF(Capacity_Resource,$F205,'Critical resources (hide)'!BJ$6:BJ$105)&gt;0,$E$1=2),0,1)</f>
        <v>1</v>
      </c>
      <c r="AX205" s="68">
        <f ca="1">IF(AND(SUMIF(Capacity_Resource,$D205,'Critical resources (hide)'!BK$6:BK$105)+SUMIF(Capacity_Resource,$E205,'Critical resources (hide)'!BK$6:BK$105)+SUMIF(Capacity_Resource,$F205,'Critical resources (hide)'!BK$6:BK$105)&gt;0,$E$1=2),0,1)</f>
        <v>1</v>
      </c>
      <c r="AY205" s="68">
        <f ca="1">IF(AND(SUMIF(Capacity_Resource,$D205,'Critical resources (hide)'!BL$6:BL$105)+SUMIF(Capacity_Resource,$E205,'Critical resources (hide)'!BL$6:BL$105)+SUMIF(Capacity_Resource,$F205,'Critical resources (hide)'!BL$6:BL$105)&gt;0,$E$1=2),0,1)</f>
        <v>1</v>
      </c>
      <c r="AZ205" s="68">
        <f ca="1">IF(AND(SUMIF(Capacity_Resource,$D205,'Critical resources (hide)'!BM$6:BM$105)+SUMIF(Capacity_Resource,$E205,'Critical resources (hide)'!BM$6:BM$105)+SUMIF(Capacity_Resource,$F205,'Critical resources (hide)'!BM$6:BM$105)&gt;0,$E$1=2),0,1)</f>
        <v>1</v>
      </c>
      <c r="BA205" s="68">
        <f ca="1">IF(AND(SUMIF(Capacity_Resource,$D205,'Critical resources (hide)'!BN$6:BN$105)+SUMIF(Capacity_Resource,$E205,'Critical resources (hide)'!BN$6:BN$105)+SUMIF(Capacity_Resource,$F205,'Critical resources (hide)'!BN$6:BN$105)&gt;0,$E$1=2),0,1)</f>
        <v>1</v>
      </c>
      <c r="BB205" s="68">
        <f ca="1">IF(AND(SUMIF(Capacity_Resource,$D205,'Critical resources (hide)'!BO$6:BO$105)+SUMIF(Capacity_Resource,$E205,'Critical resources (hide)'!BO$6:BO$105)+SUMIF(Capacity_Resource,$F205,'Critical resources (hide)'!BO$6:BO$105)&gt;0,$E$1=2),0,1)</f>
        <v>1</v>
      </c>
      <c r="BC205" s="68">
        <f ca="1">IF(AND(SUMIF(Capacity_Resource,$D205,'Critical resources (hide)'!BP$6:BP$105)+SUMIF(Capacity_Resource,$E205,'Critical resources (hide)'!BP$6:BP$105)+SUMIF(Capacity_Resource,$F205,'Critical resources (hide)'!BP$6:BP$105)&gt;0,$E$1=2),0,1)</f>
        <v>1</v>
      </c>
      <c r="BD205" s="68">
        <f ca="1">IF(AND(SUMIF(Capacity_Resource,$D205,'Critical resources (hide)'!BQ$6:BQ$105)+SUMIF(Capacity_Resource,$E205,'Critical resources (hide)'!BQ$6:BQ$105)+SUMIF(Capacity_Resource,$F205,'Critical resources (hide)'!BQ$6:BQ$105)&gt;0,$E$1=2),0,1)</f>
        <v>1</v>
      </c>
      <c r="BE205" s="68">
        <f ca="1">IF(AND(SUMIF(Capacity_Resource,$D205,'Critical resources (hide)'!BR$6:BR$105)+SUMIF(Capacity_Resource,$E205,'Critical resources (hide)'!BR$6:BR$105)+SUMIF(Capacity_Resource,$F205,'Critical resources (hide)'!BR$6:BR$105)&gt;0,$E$1=2),0,1)</f>
        <v>1</v>
      </c>
      <c r="BF205" s="68">
        <f ca="1">IF(AND(SUMIF(Capacity_Resource,$D205,'Critical resources (hide)'!BS$6:BS$105)+SUMIF(Capacity_Resource,$E205,'Critical resources (hide)'!BS$6:BS$105)+SUMIF(Capacity_Resource,$F205,'Critical resources (hide)'!BS$6:BS$105)&gt;0,$E$1=2),0,1)</f>
        <v>1</v>
      </c>
      <c r="BG205" s="68">
        <f ca="1">IF(AND(SUMIF(Capacity_Resource,$D205,'Critical resources (hide)'!BT$6:BT$105)+SUMIF(Capacity_Resource,$E205,'Critical resources (hide)'!BT$6:BT$105)+SUMIF(Capacity_Resource,$F205,'Critical resources (hide)'!BT$6:BT$105)&gt;0,$E$1=2),0,1)</f>
        <v>1</v>
      </c>
      <c r="BH205" s="68">
        <f>IF(ROW(A94)&lt;=Capacity!$M$16,IF('Capacity summary'!$C$14="No",SUM(H205:BG205),'Capacity summary'!$E117),0)</f>
        <v>0</v>
      </c>
      <c r="BI205" s="68" t="str">
        <f>IF(BH205&gt;0,IF(BH205&lt;Capacity!Q110,Capacity!R110,Capacity!T110/'Capacity calculation (hide)'!BH205),"")</f>
        <v/>
      </c>
      <c r="BJ205" s="5"/>
      <c r="BK205" s="5">
        <f>IF($BI205&lt;&gt;"",IF('Capacity summary'!$C$14="Yes",IF(COUNTBLANK('Capacity summary'!$H117:$BG117)&lt;52,IF('Capacity summary'!H117&lt;&gt;"",$BI205*H205,0),H205*$BI205),H205*$BI205),0)</f>
        <v>0</v>
      </c>
      <c r="BL205" s="5">
        <f>IF($BI205&lt;&gt;"",IF('Capacity summary'!$C$14="Yes",IF(COUNTBLANK('Capacity summary'!$H117:$BG117)&lt;52,IF('Capacity summary'!I117&lt;&gt;"",$BI205*I205,0),I205*$BI205),I205*$BI205),0)</f>
        <v>0</v>
      </c>
      <c r="BM205" s="5">
        <f>IF($BI205&lt;&gt;"",IF('Capacity summary'!$C$14="Yes",IF(COUNTBLANK('Capacity summary'!$H117:$BG117)&lt;52,IF('Capacity summary'!J117&lt;&gt;"",$BI205*J205,0),J205*$BI205),J205*$BI205),0)</f>
        <v>0</v>
      </c>
      <c r="BN205" s="5">
        <f>IF($BI205&lt;&gt;"",IF('Capacity summary'!$C$14="Yes",IF(COUNTBLANK('Capacity summary'!$H117:$BG117)&lt;52,IF('Capacity summary'!K117&lt;&gt;"",$BI205*K205,0),K205*$BI205),K205*$BI205),0)</f>
        <v>0</v>
      </c>
      <c r="BO205" s="5">
        <f>IF($BI205&lt;&gt;"",IF('Capacity summary'!$C$14="Yes",IF(COUNTBLANK('Capacity summary'!$H117:$BG117)&lt;52,IF('Capacity summary'!L117&lt;&gt;"",$BI205*L205,0),L205*$BI205),L205*$BI205),0)</f>
        <v>0</v>
      </c>
      <c r="BP205" s="5">
        <f>IF($BI205&lt;&gt;"",IF('Capacity summary'!$C$14="Yes",IF(COUNTBLANK('Capacity summary'!$H117:$BG117)&lt;52,IF('Capacity summary'!M117&lt;&gt;"",$BI205*M205,0),M205*$BI205),M205*$BI205),0)</f>
        <v>0</v>
      </c>
      <c r="BQ205" s="5">
        <f>IF($BI205&lt;&gt;"",IF('Capacity summary'!$C$14="Yes",IF(COUNTBLANK('Capacity summary'!$H117:$BG117)&lt;52,IF('Capacity summary'!N117&lt;&gt;"",$BI205*N205,0),N205*$BI205),N205*$BI205),0)</f>
        <v>0</v>
      </c>
      <c r="BR205" s="5">
        <f>IF($BI205&lt;&gt;"",IF('Capacity summary'!$C$14="Yes",IF(COUNTBLANK('Capacity summary'!$H117:$BG117)&lt;52,IF('Capacity summary'!O117&lt;&gt;"",$BI205*O205,0),O205*$BI205),O205*$BI205),0)</f>
        <v>0</v>
      </c>
      <c r="BS205" s="5">
        <f>IF($BI205&lt;&gt;"",IF('Capacity summary'!$C$14="Yes",IF(COUNTBLANK('Capacity summary'!$H117:$BG117)&lt;52,IF('Capacity summary'!P117&lt;&gt;"",$BI205*P205,0),P205*$BI205),P205*$BI205),0)</f>
        <v>0</v>
      </c>
      <c r="BT205" s="5">
        <f>IF($BI205&lt;&gt;"",IF('Capacity summary'!$C$14="Yes",IF(COUNTBLANK('Capacity summary'!$H117:$BG117)&lt;52,IF('Capacity summary'!Q117&lt;&gt;"",$BI205*Q205,0),Q205*$BI205),Q205*$BI205),0)</f>
        <v>0</v>
      </c>
      <c r="BU205" s="5">
        <f>IF($BI205&lt;&gt;"",IF('Capacity summary'!$C$14="Yes",IF(COUNTBLANK('Capacity summary'!$H117:$BG117)&lt;52,IF('Capacity summary'!R117&lt;&gt;"",$BI205*R205,0),R205*$BI205),R205*$BI205),0)</f>
        <v>0</v>
      </c>
      <c r="BV205" s="5">
        <f>IF($BI205&lt;&gt;"",IF('Capacity summary'!$C$14="Yes",IF(COUNTBLANK('Capacity summary'!$H117:$BG117)&lt;52,IF('Capacity summary'!S117&lt;&gt;"",$BI205*S205,0),S205*$BI205),S205*$BI205),0)</f>
        <v>0</v>
      </c>
      <c r="BW205" s="5">
        <f>IF($BI205&lt;&gt;"",IF('Capacity summary'!$C$14="Yes",IF(COUNTBLANK('Capacity summary'!$H117:$BG117)&lt;52,IF('Capacity summary'!T117&lt;&gt;"",$BI205*T205,0),T205*$BI205),T205*$BI205),0)</f>
        <v>0</v>
      </c>
      <c r="BX205" s="5">
        <f>IF($BI205&lt;&gt;"",IF('Capacity summary'!$C$14="Yes",IF(COUNTBLANK('Capacity summary'!$H117:$BG117)&lt;52,IF('Capacity summary'!U117&lt;&gt;"",$BI205*U205,0),U205*$BI205),U205*$BI205),0)</f>
        <v>0</v>
      </c>
      <c r="BY205" s="5">
        <f>IF($BI205&lt;&gt;"",IF('Capacity summary'!$C$14="Yes",IF(COUNTBLANK('Capacity summary'!$H117:$BG117)&lt;52,IF('Capacity summary'!V117&lt;&gt;"",$BI205*V205,0),V205*$BI205),V205*$BI205),0)</f>
        <v>0</v>
      </c>
      <c r="BZ205" s="5">
        <f>IF($BI205&lt;&gt;"",IF('Capacity summary'!$C$14="Yes",IF(COUNTBLANK('Capacity summary'!$H117:$BG117)&lt;52,IF('Capacity summary'!W117&lt;&gt;"",$BI205*W205,0),W205*$BI205),W205*$BI205),0)</f>
        <v>0</v>
      </c>
      <c r="CA205" s="5">
        <f>IF($BI205&lt;&gt;"",IF('Capacity summary'!$C$14="Yes",IF(COUNTBLANK('Capacity summary'!$H117:$BG117)&lt;52,IF('Capacity summary'!X117&lt;&gt;"",$BI205*X205,0),X205*$BI205),X205*$BI205),0)</f>
        <v>0</v>
      </c>
      <c r="CB205" s="5">
        <f>IF($BI205&lt;&gt;"",IF('Capacity summary'!$C$14="Yes",IF(COUNTBLANK('Capacity summary'!$H117:$BG117)&lt;52,IF('Capacity summary'!Y117&lt;&gt;"",$BI205*Y205,0),Y205*$BI205),Y205*$BI205),0)</f>
        <v>0</v>
      </c>
      <c r="CC205" s="5">
        <f>IF($BI205&lt;&gt;"",IF('Capacity summary'!$C$14="Yes",IF(COUNTBLANK('Capacity summary'!$H117:$BG117)&lt;52,IF('Capacity summary'!Z117&lt;&gt;"",$BI205*Z205,0),Z205*$BI205),Z205*$BI205),0)</f>
        <v>0</v>
      </c>
      <c r="CD205" s="5">
        <f>IF($BI205&lt;&gt;"",IF('Capacity summary'!$C$14="Yes",IF(COUNTBLANK('Capacity summary'!$H117:$BG117)&lt;52,IF('Capacity summary'!AA117&lt;&gt;"",$BI205*AA205,0),AA205*$BI205),AA205*$BI205),0)</f>
        <v>0</v>
      </c>
      <c r="CE205" s="5">
        <f>IF($BI205&lt;&gt;"",IF('Capacity summary'!$C$14="Yes",IF(COUNTBLANK('Capacity summary'!$H117:$BG117)&lt;52,IF('Capacity summary'!AB117&lt;&gt;"",$BI205*AB205,0),AB205*$BI205),AB205*$BI205),0)</f>
        <v>0</v>
      </c>
      <c r="CF205" s="5">
        <f>IF($BI205&lt;&gt;"",IF('Capacity summary'!$C$14="Yes",IF(COUNTBLANK('Capacity summary'!$H117:$BG117)&lt;52,IF('Capacity summary'!AC117&lt;&gt;"",$BI205*AC205,0),AC205*$BI205),AC205*$BI205),0)</f>
        <v>0</v>
      </c>
      <c r="CG205" s="5">
        <f>IF($BI205&lt;&gt;"",IF('Capacity summary'!$C$14="Yes",IF(COUNTBLANK('Capacity summary'!$H117:$BG117)&lt;52,IF('Capacity summary'!AD117&lt;&gt;"",$BI205*AD205,0),AD205*$BI205),AD205*$BI205),0)</f>
        <v>0</v>
      </c>
      <c r="CH205" s="5">
        <f>IF($BI205&lt;&gt;"",IF('Capacity summary'!$C$14="Yes",IF(COUNTBLANK('Capacity summary'!$H117:$BG117)&lt;52,IF('Capacity summary'!AE117&lt;&gt;"",$BI205*AE205,0),AE205*$BI205),AE205*$BI205),0)</f>
        <v>0</v>
      </c>
      <c r="CI205" s="5">
        <f>IF($BI205&lt;&gt;"",IF('Capacity summary'!$C$14="Yes",IF(COUNTBLANK('Capacity summary'!$H117:$BG117)&lt;52,IF('Capacity summary'!AF117&lt;&gt;"",$BI205*AF205,0),AF205*$BI205),AF205*$BI205),0)</f>
        <v>0</v>
      </c>
      <c r="CJ205" s="5">
        <f>IF($BI205&lt;&gt;"",IF('Capacity summary'!$C$14="Yes",IF(COUNTBLANK('Capacity summary'!$H117:$BG117)&lt;52,IF('Capacity summary'!AG117&lt;&gt;"",$BI205*AG205,0),AG205*$BI205),AG205*$BI205),0)</f>
        <v>0</v>
      </c>
      <c r="CK205" s="5">
        <f>IF($BI205&lt;&gt;"",IF('Capacity summary'!$C$14="Yes",IF(COUNTBLANK('Capacity summary'!$H117:$BG117)&lt;52,IF('Capacity summary'!AH117&lt;&gt;"",$BI205*AH205,0),AH205*$BI205),AH205*$BI205),0)</f>
        <v>0</v>
      </c>
      <c r="CL205" s="5">
        <f>IF($BI205&lt;&gt;"",IF('Capacity summary'!$C$14="Yes",IF(COUNTBLANK('Capacity summary'!$H117:$BG117)&lt;52,IF('Capacity summary'!AI117&lt;&gt;"",$BI205*AI205,0),AI205*$BI205),AI205*$BI205),0)</f>
        <v>0</v>
      </c>
      <c r="CM205" s="5">
        <f>IF($BI205&lt;&gt;"",IF('Capacity summary'!$C$14="Yes",IF(COUNTBLANK('Capacity summary'!$H117:$BG117)&lt;52,IF('Capacity summary'!AJ117&lt;&gt;"",$BI205*AJ205,0),AJ205*$BI205),AJ205*$BI205),0)</f>
        <v>0</v>
      </c>
      <c r="CN205" s="5">
        <f>IF($BI205&lt;&gt;"",IF('Capacity summary'!$C$14="Yes",IF(COUNTBLANK('Capacity summary'!$H117:$BG117)&lt;52,IF('Capacity summary'!AK117&lt;&gt;"",$BI205*AK205,0),AK205*$BI205),AK205*$BI205),0)</f>
        <v>0</v>
      </c>
      <c r="CO205" s="5">
        <f>IF($BI205&lt;&gt;"",IF('Capacity summary'!$C$14="Yes",IF(COUNTBLANK('Capacity summary'!$H117:$BG117)&lt;52,IF('Capacity summary'!AL117&lt;&gt;"",$BI205*AL205,0),AL205*$BI205),AL205*$BI205),0)</f>
        <v>0</v>
      </c>
      <c r="CP205" s="5">
        <f>IF($BI205&lt;&gt;"",IF('Capacity summary'!$C$14="Yes",IF(COUNTBLANK('Capacity summary'!$H117:$BG117)&lt;52,IF('Capacity summary'!AM117&lt;&gt;"",$BI205*AM205,0),AM205*$BI205),AM205*$BI205),0)</f>
        <v>0</v>
      </c>
      <c r="CQ205" s="5">
        <f>IF($BI205&lt;&gt;"",IF('Capacity summary'!$C$14="Yes",IF(COUNTBLANK('Capacity summary'!$H117:$BG117)&lt;52,IF('Capacity summary'!AN117&lt;&gt;"",$BI205*AN205,0),AN205*$BI205),AN205*$BI205),0)</f>
        <v>0</v>
      </c>
      <c r="CR205" s="5">
        <f>IF($BI205&lt;&gt;"",IF('Capacity summary'!$C$14="Yes",IF(COUNTBLANK('Capacity summary'!$H117:$BG117)&lt;52,IF('Capacity summary'!AO117&lt;&gt;"",$BI205*AO205,0),AO205*$BI205),AO205*$BI205),0)</f>
        <v>0</v>
      </c>
      <c r="CS205" s="5">
        <f>IF($BI205&lt;&gt;"",IF('Capacity summary'!$C$14="Yes",IF(COUNTBLANK('Capacity summary'!$H117:$BG117)&lt;52,IF('Capacity summary'!AP117&lt;&gt;"",$BI205*AP205,0),AP205*$BI205),AP205*$BI205),0)</f>
        <v>0</v>
      </c>
      <c r="CT205" s="5">
        <f>IF($BI205&lt;&gt;"",IF('Capacity summary'!$C$14="Yes",IF(COUNTBLANK('Capacity summary'!$H117:$BG117)&lt;52,IF('Capacity summary'!AQ117&lt;&gt;"",$BI205*AQ205,0),AQ205*$BI205),AQ205*$BI205),0)</f>
        <v>0</v>
      </c>
      <c r="CU205" s="5">
        <f>IF($BI205&lt;&gt;"",IF('Capacity summary'!$C$14="Yes",IF(COUNTBLANK('Capacity summary'!$H117:$BG117)&lt;52,IF('Capacity summary'!AR117&lt;&gt;"",$BI205*AR205,0),AR205*$BI205),AR205*$BI205),0)</f>
        <v>0</v>
      </c>
      <c r="CV205" s="5">
        <f>IF($BI205&lt;&gt;"",IF('Capacity summary'!$C$14="Yes",IF(COUNTBLANK('Capacity summary'!$H117:$BG117)&lt;52,IF('Capacity summary'!AS117&lt;&gt;"",$BI205*AS205,0),AS205*$BI205),AS205*$BI205),0)</f>
        <v>0</v>
      </c>
      <c r="CW205" s="5">
        <f>IF($BI205&lt;&gt;"",IF('Capacity summary'!$C$14="Yes",IF(COUNTBLANK('Capacity summary'!$H117:$BG117)&lt;52,IF('Capacity summary'!AT117&lt;&gt;"",$BI205*AT205,0),AT205*$BI205),AT205*$BI205),0)</f>
        <v>0</v>
      </c>
      <c r="CX205" s="5">
        <f>IF($BI205&lt;&gt;"",IF('Capacity summary'!$C$14="Yes",IF(COUNTBLANK('Capacity summary'!$H117:$BG117)&lt;52,IF('Capacity summary'!AU117&lt;&gt;"",$BI205*AU205,0),AU205*$BI205),AU205*$BI205),0)</f>
        <v>0</v>
      </c>
      <c r="CY205" s="5">
        <f>IF($BI205&lt;&gt;"",IF('Capacity summary'!$C$14="Yes",IF(COUNTBLANK('Capacity summary'!$H117:$BG117)&lt;52,IF('Capacity summary'!AV117&lt;&gt;"",$BI205*AV205,0),AV205*$BI205),AV205*$BI205),0)</f>
        <v>0</v>
      </c>
      <c r="CZ205" s="5">
        <f>IF($BI205&lt;&gt;"",IF('Capacity summary'!$C$14="Yes",IF(COUNTBLANK('Capacity summary'!$H117:$BG117)&lt;52,IF('Capacity summary'!AW117&lt;&gt;"",$BI205*AW205,0),AW205*$BI205),AW205*$BI205),0)</f>
        <v>0</v>
      </c>
      <c r="DA205" s="5">
        <f>IF($BI205&lt;&gt;"",IF('Capacity summary'!$C$14="Yes",IF(COUNTBLANK('Capacity summary'!$H117:$BG117)&lt;52,IF('Capacity summary'!AX117&lt;&gt;"",$BI205*AX205,0),AX205*$BI205),AX205*$BI205),0)</f>
        <v>0</v>
      </c>
      <c r="DB205" s="5">
        <f>IF($BI205&lt;&gt;"",IF('Capacity summary'!$C$14="Yes",IF(COUNTBLANK('Capacity summary'!$H117:$BG117)&lt;52,IF('Capacity summary'!AY117&lt;&gt;"",$BI205*AY205,0),AY205*$BI205),AY205*$BI205),0)</f>
        <v>0</v>
      </c>
      <c r="DC205" s="5">
        <f>IF($BI205&lt;&gt;"",IF('Capacity summary'!$C$14="Yes",IF(COUNTBLANK('Capacity summary'!$H117:$BG117)&lt;52,IF('Capacity summary'!AZ117&lt;&gt;"",$BI205*AZ205,0),AZ205*$BI205),AZ205*$BI205),0)</f>
        <v>0</v>
      </c>
      <c r="DD205" s="5">
        <f>IF($BI205&lt;&gt;"",IF('Capacity summary'!$C$14="Yes",IF(COUNTBLANK('Capacity summary'!$H117:$BG117)&lt;52,IF('Capacity summary'!BA117&lt;&gt;"",$BI205*BA205,0),BA205*$BI205),BA205*$BI205),0)</f>
        <v>0</v>
      </c>
      <c r="DE205" s="5">
        <f>IF($BI205&lt;&gt;"",IF('Capacity summary'!$C$14="Yes",IF(COUNTBLANK('Capacity summary'!$H117:$BG117)&lt;52,IF('Capacity summary'!BB117&lt;&gt;"",$BI205*BB205,0),BB205*$BI205),BB205*$BI205),0)</f>
        <v>0</v>
      </c>
      <c r="DF205" s="5">
        <f>IF($BI205&lt;&gt;"",IF('Capacity summary'!$C$14="Yes",IF(COUNTBLANK('Capacity summary'!$H117:$BG117)&lt;52,IF('Capacity summary'!BC117&lt;&gt;"",$BI205*BC205,0),BC205*$BI205),BC205*$BI205),0)</f>
        <v>0</v>
      </c>
      <c r="DG205" s="5">
        <f>IF($BI205&lt;&gt;"",IF('Capacity summary'!$C$14="Yes",IF(COUNTBLANK('Capacity summary'!$H117:$BG117)&lt;52,IF('Capacity summary'!BD117&lt;&gt;"",$BI205*BD205,0),BD205*$BI205),BD205*$BI205),0)</f>
        <v>0</v>
      </c>
      <c r="DH205" s="5">
        <f>IF($BI205&lt;&gt;"",IF('Capacity summary'!$C$14="Yes",IF(COUNTBLANK('Capacity summary'!$H117:$BG117)&lt;52,IF('Capacity summary'!BE117&lt;&gt;"",$BI205*BE205,0),BE205*$BI205),BE205*$BI205),0)</f>
        <v>0</v>
      </c>
      <c r="DI205" s="5">
        <f>IF($BI205&lt;&gt;"",IF('Capacity summary'!$C$14="Yes",IF(COUNTBLANK('Capacity summary'!$H117:$BG117)&lt;52,IF('Capacity summary'!BF117&lt;&gt;"",$BI205*BF205,0),BF205*$BI205),BF205*$BI205),0)</f>
        <v>0</v>
      </c>
      <c r="DJ205" s="5">
        <f>IF($BI205&lt;&gt;"",IF('Capacity summary'!$C$14="Yes",IF(COUNTBLANK('Capacity summary'!$H117:$BG117)&lt;52,IF('Capacity summary'!BG117&lt;&gt;"",$BI205*BG205,0),BG205*$BI205),BG205*$BI205),0)</f>
        <v>0</v>
      </c>
      <c r="DK205" s="138">
        <f t="shared" si="7"/>
        <v>0</v>
      </c>
    </row>
    <row r="206" spans="3:115" x14ac:dyDescent="0.2">
      <c r="C206" s="68" t="str">
        <f>ROW(A95)&amp;". "&amp;Capacity!N111</f>
        <v xml:space="preserve">95. </v>
      </c>
      <c r="D206" s="68">
        <f>'Capacity setup'!C212</f>
        <v>0</v>
      </c>
      <c r="E206" s="68">
        <f>'Capacity setup'!D212</f>
        <v>0</v>
      </c>
      <c r="F206" s="68">
        <f>'Capacity setup'!E212</f>
        <v>0</v>
      </c>
      <c r="H206" s="68">
        <f ca="1">IF(AND(SUMIF(Capacity_Resource,$D206,'Critical resources (hide)'!U$6:U$105)+SUMIF(Capacity_Resource,$E206,'Critical resources (hide)'!U$6:U$105)+SUMIF(Capacity_Resource,$F206,'Critical resources (hide)'!U$6:U$105)&gt;0,$E$1=2),0,1)</f>
        <v>1</v>
      </c>
      <c r="I206" s="68">
        <f ca="1">IF(AND(SUMIF(Capacity_Resource,$D206,'Critical resources (hide)'!V$6:V$105)+SUMIF(Capacity_Resource,$E206,'Critical resources (hide)'!V$6:V$105)+SUMIF(Capacity_Resource,$F206,'Critical resources (hide)'!V$6:V$105)&gt;0,$E$1=2),0,1)</f>
        <v>1</v>
      </c>
      <c r="J206" s="68">
        <f ca="1">IF(AND(SUMIF(Capacity_Resource,$D206,'Critical resources (hide)'!W$6:W$105)+SUMIF(Capacity_Resource,$E206,'Critical resources (hide)'!W$6:W$105)+SUMIF(Capacity_Resource,$F206,'Critical resources (hide)'!W$6:W$105)&gt;0,$E$1=2),0,1)</f>
        <v>1</v>
      </c>
      <c r="K206" s="68">
        <f ca="1">IF(AND(SUMIF(Capacity_Resource,$D206,'Critical resources (hide)'!X$6:X$105)+SUMIF(Capacity_Resource,$E206,'Critical resources (hide)'!X$6:X$105)+SUMIF(Capacity_Resource,$F206,'Critical resources (hide)'!X$6:X$105)&gt;0,$E$1=2),0,1)</f>
        <v>1</v>
      </c>
      <c r="L206" s="68">
        <f ca="1">IF(AND(SUMIF(Capacity_Resource,$D206,'Critical resources (hide)'!Y$6:Y$105)+SUMIF(Capacity_Resource,$E206,'Critical resources (hide)'!Y$6:Y$105)+SUMIF(Capacity_Resource,$F206,'Critical resources (hide)'!Y$6:Y$105)&gt;0,$E$1=2),0,1)</f>
        <v>1</v>
      </c>
      <c r="M206" s="68">
        <f ca="1">IF(AND(SUMIF(Capacity_Resource,$D206,'Critical resources (hide)'!Z$6:Z$105)+SUMIF(Capacity_Resource,$E206,'Critical resources (hide)'!Z$6:Z$105)+SUMIF(Capacity_Resource,$F206,'Critical resources (hide)'!Z$6:Z$105)&gt;0,$E$1=2),0,1)</f>
        <v>1</v>
      </c>
      <c r="N206" s="68">
        <f ca="1">IF(AND(SUMIF(Capacity_Resource,$D206,'Critical resources (hide)'!AA$6:AA$105)+SUMIF(Capacity_Resource,$E206,'Critical resources (hide)'!AA$6:AA$105)+SUMIF(Capacity_Resource,$F206,'Critical resources (hide)'!AA$6:AA$105)&gt;0,$E$1=2),0,1)</f>
        <v>1</v>
      </c>
      <c r="O206" s="68">
        <f ca="1">IF(AND(SUMIF(Capacity_Resource,$D206,'Critical resources (hide)'!AB$6:AB$105)+SUMIF(Capacity_Resource,$E206,'Critical resources (hide)'!AB$6:AB$105)+SUMIF(Capacity_Resource,$F206,'Critical resources (hide)'!AB$6:AB$105)&gt;0,$E$1=2),0,1)</f>
        <v>1</v>
      </c>
      <c r="P206" s="68">
        <f ca="1">IF(AND(SUMIF(Capacity_Resource,$D206,'Critical resources (hide)'!AC$6:AC$105)+SUMIF(Capacity_Resource,$E206,'Critical resources (hide)'!AC$6:AC$105)+SUMIF(Capacity_Resource,$F206,'Critical resources (hide)'!AC$6:AC$105)&gt;0,$E$1=2),0,1)</f>
        <v>1</v>
      </c>
      <c r="Q206" s="68">
        <f ca="1">IF(AND(SUMIF(Capacity_Resource,$D206,'Critical resources (hide)'!AD$6:AD$105)+SUMIF(Capacity_Resource,$E206,'Critical resources (hide)'!AD$6:AD$105)+SUMIF(Capacity_Resource,$F206,'Critical resources (hide)'!AD$6:AD$105)&gt;0,$E$1=2),0,1)</f>
        <v>1</v>
      </c>
      <c r="R206" s="68">
        <f ca="1">IF(AND(SUMIF(Capacity_Resource,$D206,'Critical resources (hide)'!AE$6:AE$105)+SUMIF(Capacity_Resource,$E206,'Critical resources (hide)'!AE$6:AE$105)+SUMIF(Capacity_Resource,$F206,'Critical resources (hide)'!AE$6:AE$105)&gt;0,$E$1=2),0,1)</f>
        <v>1</v>
      </c>
      <c r="S206" s="68">
        <f ca="1">IF(AND(SUMIF(Capacity_Resource,$D206,'Critical resources (hide)'!AF$6:AF$105)+SUMIF(Capacity_Resource,$E206,'Critical resources (hide)'!AF$6:AF$105)+SUMIF(Capacity_Resource,$F206,'Critical resources (hide)'!AF$6:AF$105)&gt;0,$E$1=2),0,1)</f>
        <v>1</v>
      </c>
      <c r="T206" s="68">
        <f ca="1">IF(AND(SUMIF(Capacity_Resource,$D206,'Critical resources (hide)'!AG$6:AG$105)+SUMIF(Capacity_Resource,$E206,'Critical resources (hide)'!AG$6:AG$105)+SUMIF(Capacity_Resource,$F206,'Critical resources (hide)'!AG$6:AG$105)&gt;0,$E$1=2),0,1)</f>
        <v>1</v>
      </c>
      <c r="U206" s="68">
        <f ca="1">IF(AND(SUMIF(Capacity_Resource,$D206,'Critical resources (hide)'!AH$6:AH$105)+SUMIF(Capacity_Resource,$E206,'Critical resources (hide)'!AH$6:AH$105)+SUMIF(Capacity_Resource,$F206,'Critical resources (hide)'!AH$6:AH$105)&gt;0,$E$1=2),0,1)</f>
        <v>1</v>
      </c>
      <c r="V206" s="68">
        <f ca="1">IF(AND(SUMIF(Capacity_Resource,$D206,'Critical resources (hide)'!AI$6:AI$105)+SUMIF(Capacity_Resource,$E206,'Critical resources (hide)'!AI$6:AI$105)+SUMIF(Capacity_Resource,$F206,'Critical resources (hide)'!AI$6:AI$105)&gt;0,$E$1=2),0,1)</f>
        <v>1</v>
      </c>
      <c r="W206" s="68">
        <f ca="1">IF(AND(SUMIF(Capacity_Resource,$D206,'Critical resources (hide)'!AJ$6:AJ$105)+SUMIF(Capacity_Resource,$E206,'Critical resources (hide)'!AJ$6:AJ$105)+SUMIF(Capacity_Resource,$F206,'Critical resources (hide)'!AJ$6:AJ$105)&gt;0,$E$1=2),0,1)</f>
        <v>1</v>
      </c>
      <c r="X206" s="68">
        <f ca="1">IF(AND(SUMIF(Capacity_Resource,$D206,'Critical resources (hide)'!AK$6:AK$105)+SUMIF(Capacity_Resource,$E206,'Critical resources (hide)'!AK$6:AK$105)+SUMIF(Capacity_Resource,$F206,'Critical resources (hide)'!AK$6:AK$105)&gt;0,$E$1=2),0,1)</f>
        <v>1</v>
      </c>
      <c r="Y206" s="68">
        <f ca="1">IF(AND(SUMIF(Capacity_Resource,$D206,'Critical resources (hide)'!AL$6:AL$105)+SUMIF(Capacity_Resource,$E206,'Critical resources (hide)'!AL$6:AL$105)+SUMIF(Capacity_Resource,$F206,'Critical resources (hide)'!AL$6:AL$105)&gt;0,$E$1=2),0,1)</f>
        <v>1</v>
      </c>
      <c r="Z206" s="68">
        <f ca="1">IF(AND(SUMIF(Capacity_Resource,$D206,'Critical resources (hide)'!AM$6:AM$105)+SUMIF(Capacity_Resource,$E206,'Critical resources (hide)'!AM$6:AM$105)+SUMIF(Capacity_Resource,$F206,'Critical resources (hide)'!AM$6:AM$105)&gt;0,$E$1=2),0,1)</f>
        <v>1</v>
      </c>
      <c r="AA206" s="68">
        <f ca="1">IF(AND(SUMIF(Capacity_Resource,$D206,'Critical resources (hide)'!AN$6:AN$105)+SUMIF(Capacity_Resource,$E206,'Critical resources (hide)'!AN$6:AN$105)+SUMIF(Capacity_Resource,$F206,'Critical resources (hide)'!AN$6:AN$105)&gt;0,$E$1=2),0,1)</f>
        <v>1</v>
      </c>
      <c r="AB206" s="68">
        <f ca="1">IF(AND(SUMIF(Capacity_Resource,$D206,'Critical resources (hide)'!AO$6:AO$105)+SUMIF(Capacity_Resource,$E206,'Critical resources (hide)'!AO$6:AO$105)+SUMIF(Capacity_Resource,$F206,'Critical resources (hide)'!AO$6:AO$105)&gt;0,$E$1=2),0,1)</f>
        <v>1</v>
      </c>
      <c r="AC206" s="68">
        <f ca="1">IF(AND(SUMIF(Capacity_Resource,$D206,'Critical resources (hide)'!AP$6:AP$105)+SUMIF(Capacity_Resource,$E206,'Critical resources (hide)'!AP$6:AP$105)+SUMIF(Capacity_Resource,$F206,'Critical resources (hide)'!AP$6:AP$105)&gt;0,$E$1=2),0,1)</f>
        <v>1</v>
      </c>
      <c r="AD206" s="68">
        <f ca="1">IF(AND(SUMIF(Capacity_Resource,$D206,'Critical resources (hide)'!AQ$6:AQ$105)+SUMIF(Capacity_Resource,$E206,'Critical resources (hide)'!AQ$6:AQ$105)+SUMIF(Capacity_Resource,$F206,'Critical resources (hide)'!AQ$6:AQ$105)&gt;0,$E$1=2),0,1)</f>
        <v>1</v>
      </c>
      <c r="AE206" s="68">
        <f ca="1">IF(AND(SUMIF(Capacity_Resource,$D206,'Critical resources (hide)'!AR$6:AR$105)+SUMIF(Capacity_Resource,$E206,'Critical resources (hide)'!AR$6:AR$105)+SUMIF(Capacity_Resource,$F206,'Critical resources (hide)'!AR$6:AR$105)&gt;0,$E$1=2),0,1)</f>
        <v>1</v>
      </c>
      <c r="AF206" s="68">
        <f ca="1">IF(AND(SUMIF(Capacity_Resource,$D206,'Critical resources (hide)'!AS$6:AS$105)+SUMIF(Capacity_Resource,$E206,'Critical resources (hide)'!AS$6:AS$105)+SUMIF(Capacity_Resource,$F206,'Critical resources (hide)'!AS$6:AS$105)&gt;0,$E$1=2),0,1)</f>
        <v>1</v>
      </c>
      <c r="AG206" s="68">
        <f ca="1">IF(AND(SUMIF(Capacity_Resource,$D206,'Critical resources (hide)'!AT$6:AT$105)+SUMIF(Capacity_Resource,$E206,'Critical resources (hide)'!AT$6:AT$105)+SUMIF(Capacity_Resource,$F206,'Critical resources (hide)'!AT$6:AT$105)&gt;0,$E$1=2),0,1)</f>
        <v>1</v>
      </c>
      <c r="AH206" s="68">
        <f ca="1">IF(AND(SUMIF(Capacity_Resource,$D206,'Critical resources (hide)'!AU$6:AU$105)+SUMIF(Capacity_Resource,$E206,'Critical resources (hide)'!AU$6:AU$105)+SUMIF(Capacity_Resource,$F206,'Critical resources (hide)'!AU$6:AU$105)&gt;0,$E$1=2),0,1)</f>
        <v>1</v>
      </c>
      <c r="AI206" s="68">
        <f ca="1">IF(AND(SUMIF(Capacity_Resource,$D206,'Critical resources (hide)'!AV$6:AV$105)+SUMIF(Capacity_Resource,$E206,'Critical resources (hide)'!AV$6:AV$105)+SUMIF(Capacity_Resource,$F206,'Critical resources (hide)'!AV$6:AV$105)&gt;0,$E$1=2),0,1)</f>
        <v>1</v>
      </c>
      <c r="AJ206" s="68">
        <f ca="1">IF(AND(SUMIF(Capacity_Resource,$D206,'Critical resources (hide)'!AW$6:AW$105)+SUMIF(Capacity_Resource,$E206,'Critical resources (hide)'!AW$6:AW$105)+SUMIF(Capacity_Resource,$F206,'Critical resources (hide)'!AW$6:AW$105)&gt;0,$E$1=2),0,1)</f>
        <v>1</v>
      </c>
      <c r="AK206" s="68">
        <f ca="1">IF(AND(SUMIF(Capacity_Resource,$D206,'Critical resources (hide)'!AX$6:AX$105)+SUMIF(Capacity_Resource,$E206,'Critical resources (hide)'!AX$6:AX$105)+SUMIF(Capacity_Resource,$F206,'Critical resources (hide)'!AX$6:AX$105)&gt;0,$E$1=2),0,1)</f>
        <v>1</v>
      </c>
      <c r="AL206" s="68">
        <f ca="1">IF(AND(SUMIF(Capacity_Resource,$D206,'Critical resources (hide)'!AY$6:AY$105)+SUMIF(Capacity_Resource,$E206,'Critical resources (hide)'!AY$6:AY$105)+SUMIF(Capacity_Resource,$F206,'Critical resources (hide)'!AY$6:AY$105)&gt;0,$E$1=2),0,1)</f>
        <v>1</v>
      </c>
      <c r="AM206" s="68">
        <f ca="1">IF(AND(SUMIF(Capacity_Resource,$D206,'Critical resources (hide)'!AZ$6:AZ$105)+SUMIF(Capacity_Resource,$E206,'Critical resources (hide)'!AZ$6:AZ$105)+SUMIF(Capacity_Resource,$F206,'Critical resources (hide)'!AZ$6:AZ$105)&gt;0,$E$1=2),0,1)</f>
        <v>1</v>
      </c>
      <c r="AN206" s="68">
        <f ca="1">IF(AND(SUMIF(Capacity_Resource,$D206,'Critical resources (hide)'!BA$6:BA$105)+SUMIF(Capacity_Resource,$E206,'Critical resources (hide)'!BA$6:BA$105)+SUMIF(Capacity_Resource,$F206,'Critical resources (hide)'!BA$6:BA$105)&gt;0,$E$1=2),0,1)</f>
        <v>1</v>
      </c>
      <c r="AO206" s="68">
        <f ca="1">IF(AND(SUMIF(Capacity_Resource,$D206,'Critical resources (hide)'!BB$6:BB$105)+SUMIF(Capacity_Resource,$E206,'Critical resources (hide)'!BB$6:BB$105)+SUMIF(Capacity_Resource,$F206,'Critical resources (hide)'!BB$6:BB$105)&gt;0,$E$1=2),0,1)</f>
        <v>1</v>
      </c>
      <c r="AP206" s="68">
        <f ca="1">IF(AND(SUMIF(Capacity_Resource,$D206,'Critical resources (hide)'!BC$6:BC$105)+SUMIF(Capacity_Resource,$E206,'Critical resources (hide)'!BC$6:BC$105)+SUMIF(Capacity_Resource,$F206,'Critical resources (hide)'!BC$6:BC$105)&gt;0,$E$1=2),0,1)</f>
        <v>1</v>
      </c>
      <c r="AQ206" s="68">
        <f ca="1">IF(AND(SUMIF(Capacity_Resource,$D206,'Critical resources (hide)'!BD$6:BD$105)+SUMIF(Capacity_Resource,$E206,'Critical resources (hide)'!BD$6:BD$105)+SUMIF(Capacity_Resource,$F206,'Critical resources (hide)'!BD$6:BD$105)&gt;0,$E$1=2),0,1)</f>
        <v>1</v>
      </c>
      <c r="AR206" s="68">
        <f ca="1">IF(AND(SUMIF(Capacity_Resource,$D206,'Critical resources (hide)'!BE$6:BE$105)+SUMIF(Capacity_Resource,$E206,'Critical resources (hide)'!BE$6:BE$105)+SUMIF(Capacity_Resource,$F206,'Critical resources (hide)'!BE$6:BE$105)&gt;0,$E$1=2),0,1)</f>
        <v>1</v>
      </c>
      <c r="AS206" s="68">
        <f ca="1">IF(AND(SUMIF(Capacity_Resource,$D206,'Critical resources (hide)'!BF$6:BF$105)+SUMIF(Capacity_Resource,$E206,'Critical resources (hide)'!BF$6:BF$105)+SUMIF(Capacity_Resource,$F206,'Critical resources (hide)'!BF$6:BF$105)&gt;0,$E$1=2),0,1)</f>
        <v>1</v>
      </c>
      <c r="AT206" s="68">
        <f ca="1">IF(AND(SUMIF(Capacity_Resource,$D206,'Critical resources (hide)'!BG$6:BG$105)+SUMIF(Capacity_Resource,$E206,'Critical resources (hide)'!BG$6:BG$105)+SUMIF(Capacity_Resource,$F206,'Critical resources (hide)'!BG$6:BG$105)&gt;0,$E$1=2),0,1)</f>
        <v>1</v>
      </c>
      <c r="AU206" s="68">
        <f ca="1">IF(AND(SUMIF(Capacity_Resource,$D206,'Critical resources (hide)'!BH$6:BH$105)+SUMIF(Capacity_Resource,$E206,'Critical resources (hide)'!BH$6:BH$105)+SUMIF(Capacity_Resource,$F206,'Critical resources (hide)'!BH$6:BH$105)&gt;0,$E$1=2),0,1)</f>
        <v>1</v>
      </c>
      <c r="AV206" s="68">
        <f ca="1">IF(AND(SUMIF(Capacity_Resource,$D206,'Critical resources (hide)'!BI$6:BI$105)+SUMIF(Capacity_Resource,$E206,'Critical resources (hide)'!BI$6:BI$105)+SUMIF(Capacity_Resource,$F206,'Critical resources (hide)'!BI$6:BI$105)&gt;0,$E$1=2),0,1)</f>
        <v>1</v>
      </c>
      <c r="AW206" s="68">
        <f ca="1">IF(AND(SUMIF(Capacity_Resource,$D206,'Critical resources (hide)'!BJ$6:BJ$105)+SUMIF(Capacity_Resource,$E206,'Critical resources (hide)'!BJ$6:BJ$105)+SUMIF(Capacity_Resource,$F206,'Critical resources (hide)'!BJ$6:BJ$105)&gt;0,$E$1=2),0,1)</f>
        <v>1</v>
      </c>
      <c r="AX206" s="68">
        <f ca="1">IF(AND(SUMIF(Capacity_Resource,$D206,'Critical resources (hide)'!BK$6:BK$105)+SUMIF(Capacity_Resource,$E206,'Critical resources (hide)'!BK$6:BK$105)+SUMIF(Capacity_Resource,$F206,'Critical resources (hide)'!BK$6:BK$105)&gt;0,$E$1=2),0,1)</f>
        <v>1</v>
      </c>
      <c r="AY206" s="68">
        <f ca="1">IF(AND(SUMIF(Capacity_Resource,$D206,'Critical resources (hide)'!BL$6:BL$105)+SUMIF(Capacity_Resource,$E206,'Critical resources (hide)'!BL$6:BL$105)+SUMIF(Capacity_Resource,$F206,'Critical resources (hide)'!BL$6:BL$105)&gt;0,$E$1=2),0,1)</f>
        <v>1</v>
      </c>
      <c r="AZ206" s="68">
        <f ca="1">IF(AND(SUMIF(Capacity_Resource,$D206,'Critical resources (hide)'!BM$6:BM$105)+SUMIF(Capacity_Resource,$E206,'Critical resources (hide)'!BM$6:BM$105)+SUMIF(Capacity_Resource,$F206,'Critical resources (hide)'!BM$6:BM$105)&gt;0,$E$1=2),0,1)</f>
        <v>1</v>
      </c>
      <c r="BA206" s="68">
        <f ca="1">IF(AND(SUMIF(Capacity_Resource,$D206,'Critical resources (hide)'!BN$6:BN$105)+SUMIF(Capacity_Resource,$E206,'Critical resources (hide)'!BN$6:BN$105)+SUMIF(Capacity_Resource,$F206,'Critical resources (hide)'!BN$6:BN$105)&gt;0,$E$1=2),0,1)</f>
        <v>1</v>
      </c>
      <c r="BB206" s="68">
        <f ca="1">IF(AND(SUMIF(Capacity_Resource,$D206,'Critical resources (hide)'!BO$6:BO$105)+SUMIF(Capacity_Resource,$E206,'Critical resources (hide)'!BO$6:BO$105)+SUMIF(Capacity_Resource,$F206,'Critical resources (hide)'!BO$6:BO$105)&gt;0,$E$1=2),0,1)</f>
        <v>1</v>
      </c>
      <c r="BC206" s="68">
        <f ca="1">IF(AND(SUMIF(Capacity_Resource,$D206,'Critical resources (hide)'!BP$6:BP$105)+SUMIF(Capacity_Resource,$E206,'Critical resources (hide)'!BP$6:BP$105)+SUMIF(Capacity_Resource,$F206,'Critical resources (hide)'!BP$6:BP$105)&gt;0,$E$1=2),0,1)</f>
        <v>1</v>
      </c>
      <c r="BD206" s="68">
        <f ca="1">IF(AND(SUMIF(Capacity_Resource,$D206,'Critical resources (hide)'!BQ$6:BQ$105)+SUMIF(Capacity_Resource,$E206,'Critical resources (hide)'!BQ$6:BQ$105)+SUMIF(Capacity_Resource,$F206,'Critical resources (hide)'!BQ$6:BQ$105)&gt;0,$E$1=2),0,1)</f>
        <v>1</v>
      </c>
      <c r="BE206" s="68">
        <f ca="1">IF(AND(SUMIF(Capacity_Resource,$D206,'Critical resources (hide)'!BR$6:BR$105)+SUMIF(Capacity_Resource,$E206,'Critical resources (hide)'!BR$6:BR$105)+SUMIF(Capacity_Resource,$F206,'Critical resources (hide)'!BR$6:BR$105)&gt;0,$E$1=2),0,1)</f>
        <v>1</v>
      </c>
      <c r="BF206" s="68">
        <f ca="1">IF(AND(SUMIF(Capacity_Resource,$D206,'Critical resources (hide)'!BS$6:BS$105)+SUMIF(Capacity_Resource,$E206,'Critical resources (hide)'!BS$6:BS$105)+SUMIF(Capacity_Resource,$F206,'Critical resources (hide)'!BS$6:BS$105)&gt;0,$E$1=2),0,1)</f>
        <v>1</v>
      </c>
      <c r="BG206" s="68">
        <f ca="1">IF(AND(SUMIF(Capacity_Resource,$D206,'Critical resources (hide)'!BT$6:BT$105)+SUMIF(Capacity_Resource,$E206,'Critical resources (hide)'!BT$6:BT$105)+SUMIF(Capacity_Resource,$F206,'Critical resources (hide)'!BT$6:BT$105)&gt;0,$E$1=2),0,1)</f>
        <v>1</v>
      </c>
      <c r="BH206" s="68">
        <f>IF(ROW(A95)&lt;=Capacity!$M$16,IF('Capacity summary'!$C$14="No",SUM(H206:BG206),'Capacity summary'!$E118),0)</f>
        <v>0</v>
      </c>
      <c r="BI206" s="68" t="str">
        <f>IF(BH206&gt;0,IF(BH206&lt;Capacity!Q111,Capacity!R111,Capacity!T111/'Capacity calculation (hide)'!BH206),"")</f>
        <v/>
      </c>
      <c r="BJ206" s="5"/>
      <c r="BK206" s="5">
        <f>IF($BI206&lt;&gt;"",IF('Capacity summary'!$C$14="Yes",IF(COUNTBLANK('Capacity summary'!$H118:$BG118)&lt;52,IF('Capacity summary'!H118&lt;&gt;"",$BI206*H206,0),H206*$BI206),H206*$BI206),0)</f>
        <v>0</v>
      </c>
      <c r="BL206" s="5">
        <f>IF($BI206&lt;&gt;"",IF('Capacity summary'!$C$14="Yes",IF(COUNTBLANK('Capacity summary'!$H118:$BG118)&lt;52,IF('Capacity summary'!I118&lt;&gt;"",$BI206*I206,0),I206*$BI206),I206*$BI206),0)</f>
        <v>0</v>
      </c>
      <c r="BM206" s="5">
        <f>IF($BI206&lt;&gt;"",IF('Capacity summary'!$C$14="Yes",IF(COUNTBLANK('Capacity summary'!$H118:$BG118)&lt;52,IF('Capacity summary'!J118&lt;&gt;"",$BI206*J206,0),J206*$BI206),J206*$BI206),0)</f>
        <v>0</v>
      </c>
      <c r="BN206" s="5">
        <f>IF($BI206&lt;&gt;"",IF('Capacity summary'!$C$14="Yes",IF(COUNTBLANK('Capacity summary'!$H118:$BG118)&lt;52,IF('Capacity summary'!K118&lt;&gt;"",$BI206*K206,0),K206*$BI206),K206*$BI206),0)</f>
        <v>0</v>
      </c>
      <c r="BO206" s="5">
        <f>IF($BI206&lt;&gt;"",IF('Capacity summary'!$C$14="Yes",IF(COUNTBLANK('Capacity summary'!$H118:$BG118)&lt;52,IF('Capacity summary'!L118&lt;&gt;"",$BI206*L206,0),L206*$BI206),L206*$BI206),0)</f>
        <v>0</v>
      </c>
      <c r="BP206" s="5">
        <f>IF($BI206&lt;&gt;"",IF('Capacity summary'!$C$14="Yes",IF(COUNTBLANK('Capacity summary'!$H118:$BG118)&lt;52,IF('Capacity summary'!M118&lt;&gt;"",$BI206*M206,0),M206*$BI206),M206*$BI206),0)</f>
        <v>0</v>
      </c>
      <c r="BQ206" s="5">
        <f>IF($BI206&lt;&gt;"",IF('Capacity summary'!$C$14="Yes",IF(COUNTBLANK('Capacity summary'!$H118:$BG118)&lt;52,IF('Capacity summary'!N118&lt;&gt;"",$BI206*N206,0),N206*$BI206),N206*$BI206),0)</f>
        <v>0</v>
      </c>
      <c r="BR206" s="5">
        <f>IF($BI206&lt;&gt;"",IF('Capacity summary'!$C$14="Yes",IF(COUNTBLANK('Capacity summary'!$H118:$BG118)&lt;52,IF('Capacity summary'!O118&lt;&gt;"",$BI206*O206,0),O206*$BI206),O206*$BI206),0)</f>
        <v>0</v>
      </c>
      <c r="BS206" s="5">
        <f>IF($BI206&lt;&gt;"",IF('Capacity summary'!$C$14="Yes",IF(COUNTBLANK('Capacity summary'!$H118:$BG118)&lt;52,IF('Capacity summary'!P118&lt;&gt;"",$BI206*P206,0),P206*$BI206),P206*$BI206),0)</f>
        <v>0</v>
      </c>
      <c r="BT206" s="5">
        <f>IF($BI206&lt;&gt;"",IF('Capacity summary'!$C$14="Yes",IF(COUNTBLANK('Capacity summary'!$H118:$BG118)&lt;52,IF('Capacity summary'!Q118&lt;&gt;"",$BI206*Q206,0),Q206*$BI206),Q206*$BI206),0)</f>
        <v>0</v>
      </c>
      <c r="BU206" s="5">
        <f>IF($BI206&lt;&gt;"",IF('Capacity summary'!$C$14="Yes",IF(COUNTBLANK('Capacity summary'!$H118:$BG118)&lt;52,IF('Capacity summary'!R118&lt;&gt;"",$BI206*R206,0),R206*$BI206),R206*$BI206),0)</f>
        <v>0</v>
      </c>
      <c r="BV206" s="5">
        <f>IF($BI206&lt;&gt;"",IF('Capacity summary'!$C$14="Yes",IF(COUNTBLANK('Capacity summary'!$H118:$BG118)&lt;52,IF('Capacity summary'!S118&lt;&gt;"",$BI206*S206,0),S206*$BI206),S206*$BI206),0)</f>
        <v>0</v>
      </c>
      <c r="BW206" s="5">
        <f>IF($BI206&lt;&gt;"",IF('Capacity summary'!$C$14="Yes",IF(COUNTBLANK('Capacity summary'!$H118:$BG118)&lt;52,IF('Capacity summary'!T118&lt;&gt;"",$BI206*T206,0),T206*$BI206),T206*$BI206),0)</f>
        <v>0</v>
      </c>
      <c r="BX206" s="5">
        <f>IF($BI206&lt;&gt;"",IF('Capacity summary'!$C$14="Yes",IF(COUNTBLANK('Capacity summary'!$H118:$BG118)&lt;52,IF('Capacity summary'!U118&lt;&gt;"",$BI206*U206,0),U206*$BI206),U206*$BI206),0)</f>
        <v>0</v>
      </c>
      <c r="BY206" s="5">
        <f>IF($BI206&lt;&gt;"",IF('Capacity summary'!$C$14="Yes",IF(COUNTBLANK('Capacity summary'!$H118:$BG118)&lt;52,IF('Capacity summary'!V118&lt;&gt;"",$BI206*V206,0),V206*$BI206),V206*$BI206),0)</f>
        <v>0</v>
      </c>
      <c r="BZ206" s="5">
        <f>IF($BI206&lt;&gt;"",IF('Capacity summary'!$C$14="Yes",IF(COUNTBLANK('Capacity summary'!$H118:$BG118)&lt;52,IF('Capacity summary'!W118&lt;&gt;"",$BI206*W206,0),W206*$BI206),W206*$BI206),0)</f>
        <v>0</v>
      </c>
      <c r="CA206" s="5">
        <f>IF($BI206&lt;&gt;"",IF('Capacity summary'!$C$14="Yes",IF(COUNTBLANK('Capacity summary'!$H118:$BG118)&lt;52,IF('Capacity summary'!X118&lt;&gt;"",$BI206*X206,0),X206*$BI206),X206*$BI206),0)</f>
        <v>0</v>
      </c>
      <c r="CB206" s="5">
        <f>IF($BI206&lt;&gt;"",IF('Capacity summary'!$C$14="Yes",IF(COUNTBLANK('Capacity summary'!$H118:$BG118)&lt;52,IF('Capacity summary'!Y118&lt;&gt;"",$BI206*Y206,0),Y206*$BI206),Y206*$BI206),0)</f>
        <v>0</v>
      </c>
      <c r="CC206" s="5">
        <f>IF($BI206&lt;&gt;"",IF('Capacity summary'!$C$14="Yes",IF(COUNTBLANK('Capacity summary'!$H118:$BG118)&lt;52,IF('Capacity summary'!Z118&lt;&gt;"",$BI206*Z206,0),Z206*$BI206),Z206*$BI206),0)</f>
        <v>0</v>
      </c>
      <c r="CD206" s="5">
        <f>IF($BI206&lt;&gt;"",IF('Capacity summary'!$C$14="Yes",IF(COUNTBLANK('Capacity summary'!$H118:$BG118)&lt;52,IF('Capacity summary'!AA118&lt;&gt;"",$BI206*AA206,0),AA206*$BI206),AA206*$BI206),0)</f>
        <v>0</v>
      </c>
      <c r="CE206" s="5">
        <f>IF($BI206&lt;&gt;"",IF('Capacity summary'!$C$14="Yes",IF(COUNTBLANK('Capacity summary'!$H118:$BG118)&lt;52,IF('Capacity summary'!AB118&lt;&gt;"",$BI206*AB206,0),AB206*$BI206),AB206*$BI206),0)</f>
        <v>0</v>
      </c>
      <c r="CF206" s="5">
        <f>IF($BI206&lt;&gt;"",IF('Capacity summary'!$C$14="Yes",IF(COUNTBLANK('Capacity summary'!$H118:$BG118)&lt;52,IF('Capacity summary'!AC118&lt;&gt;"",$BI206*AC206,0),AC206*$BI206),AC206*$BI206),0)</f>
        <v>0</v>
      </c>
      <c r="CG206" s="5">
        <f>IF($BI206&lt;&gt;"",IF('Capacity summary'!$C$14="Yes",IF(COUNTBLANK('Capacity summary'!$H118:$BG118)&lt;52,IF('Capacity summary'!AD118&lt;&gt;"",$BI206*AD206,0),AD206*$BI206),AD206*$BI206),0)</f>
        <v>0</v>
      </c>
      <c r="CH206" s="5">
        <f>IF($BI206&lt;&gt;"",IF('Capacity summary'!$C$14="Yes",IF(COUNTBLANK('Capacity summary'!$H118:$BG118)&lt;52,IF('Capacity summary'!AE118&lt;&gt;"",$BI206*AE206,0),AE206*$BI206),AE206*$BI206),0)</f>
        <v>0</v>
      </c>
      <c r="CI206" s="5">
        <f>IF($BI206&lt;&gt;"",IF('Capacity summary'!$C$14="Yes",IF(COUNTBLANK('Capacity summary'!$H118:$BG118)&lt;52,IF('Capacity summary'!AF118&lt;&gt;"",$BI206*AF206,0),AF206*$BI206),AF206*$BI206),0)</f>
        <v>0</v>
      </c>
      <c r="CJ206" s="5">
        <f>IF($BI206&lt;&gt;"",IF('Capacity summary'!$C$14="Yes",IF(COUNTBLANK('Capacity summary'!$H118:$BG118)&lt;52,IF('Capacity summary'!AG118&lt;&gt;"",$BI206*AG206,0),AG206*$BI206),AG206*$BI206),0)</f>
        <v>0</v>
      </c>
      <c r="CK206" s="5">
        <f>IF($BI206&lt;&gt;"",IF('Capacity summary'!$C$14="Yes",IF(COUNTBLANK('Capacity summary'!$H118:$BG118)&lt;52,IF('Capacity summary'!AH118&lt;&gt;"",$BI206*AH206,0),AH206*$BI206),AH206*$BI206),0)</f>
        <v>0</v>
      </c>
      <c r="CL206" s="5">
        <f>IF($BI206&lt;&gt;"",IF('Capacity summary'!$C$14="Yes",IF(COUNTBLANK('Capacity summary'!$H118:$BG118)&lt;52,IF('Capacity summary'!AI118&lt;&gt;"",$BI206*AI206,0),AI206*$BI206),AI206*$BI206),0)</f>
        <v>0</v>
      </c>
      <c r="CM206" s="5">
        <f>IF($BI206&lt;&gt;"",IF('Capacity summary'!$C$14="Yes",IF(COUNTBLANK('Capacity summary'!$H118:$BG118)&lt;52,IF('Capacity summary'!AJ118&lt;&gt;"",$BI206*AJ206,0),AJ206*$BI206),AJ206*$BI206),0)</f>
        <v>0</v>
      </c>
      <c r="CN206" s="5">
        <f>IF($BI206&lt;&gt;"",IF('Capacity summary'!$C$14="Yes",IF(COUNTBLANK('Capacity summary'!$H118:$BG118)&lt;52,IF('Capacity summary'!AK118&lt;&gt;"",$BI206*AK206,0),AK206*$BI206),AK206*$BI206),0)</f>
        <v>0</v>
      </c>
      <c r="CO206" s="5">
        <f>IF($BI206&lt;&gt;"",IF('Capacity summary'!$C$14="Yes",IF(COUNTBLANK('Capacity summary'!$H118:$BG118)&lt;52,IF('Capacity summary'!AL118&lt;&gt;"",$BI206*AL206,0),AL206*$BI206),AL206*$BI206),0)</f>
        <v>0</v>
      </c>
      <c r="CP206" s="5">
        <f>IF($BI206&lt;&gt;"",IF('Capacity summary'!$C$14="Yes",IF(COUNTBLANK('Capacity summary'!$H118:$BG118)&lt;52,IF('Capacity summary'!AM118&lt;&gt;"",$BI206*AM206,0),AM206*$BI206),AM206*$BI206),0)</f>
        <v>0</v>
      </c>
      <c r="CQ206" s="5">
        <f>IF($BI206&lt;&gt;"",IF('Capacity summary'!$C$14="Yes",IF(COUNTBLANK('Capacity summary'!$H118:$BG118)&lt;52,IF('Capacity summary'!AN118&lt;&gt;"",$BI206*AN206,0),AN206*$BI206),AN206*$BI206),0)</f>
        <v>0</v>
      </c>
      <c r="CR206" s="5">
        <f>IF($BI206&lt;&gt;"",IF('Capacity summary'!$C$14="Yes",IF(COUNTBLANK('Capacity summary'!$H118:$BG118)&lt;52,IF('Capacity summary'!AO118&lt;&gt;"",$BI206*AO206,0),AO206*$BI206),AO206*$BI206),0)</f>
        <v>0</v>
      </c>
      <c r="CS206" s="5">
        <f>IF($BI206&lt;&gt;"",IF('Capacity summary'!$C$14="Yes",IF(COUNTBLANK('Capacity summary'!$H118:$BG118)&lt;52,IF('Capacity summary'!AP118&lt;&gt;"",$BI206*AP206,0),AP206*$BI206),AP206*$BI206),0)</f>
        <v>0</v>
      </c>
      <c r="CT206" s="5">
        <f>IF($BI206&lt;&gt;"",IF('Capacity summary'!$C$14="Yes",IF(COUNTBLANK('Capacity summary'!$H118:$BG118)&lt;52,IF('Capacity summary'!AQ118&lt;&gt;"",$BI206*AQ206,0),AQ206*$BI206),AQ206*$BI206),0)</f>
        <v>0</v>
      </c>
      <c r="CU206" s="5">
        <f>IF($BI206&lt;&gt;"",IF('Capacity summary'!$C$14="Yes",IF(COUNTBLANK('Capacity summary'!$H118:$BG118)&lt;52,IF('Capacity summary'!AR118&lt;&gt;"",$BI206*AR206,0),AR206*$BI206),AR206*$BI206),0)</f>
        <v>0</v>
      </c>
      <c r="CV206" s="5">
        <f>IF($BI206&lt;&gt;"",IF('Capacity summary'!$C$14="Yes",IF(COUNTBLANK('Capacity summary'!$H118:$BG118)&lt;52,IF('Capacity summary'!AS118&lt;&gt;"",$BI206*AS206,0),AS206*$BI206),AS206*$BI206),0)</f>
        <v>0</v>
      </c>
      <c r="CW206" s="5">
        <f>IF($BI206&lt;&gt;"",IF('Capacity summary'!$C$14="Yes",IF(COUNTBLANK('Capacity summary'!$H118:$BG118)&lt;52,IF('Capacity summary'!AT118&lt;&gt;"",$BI206*AT206,0),AT206*$BI206),AT206*$BI206),0)</f>
        <v>0</v>
      </c>
      <c r="CX206" s="5">
        <f>IF($BI206&lt;&gt;"",IF('Capacity summary'!$C$14="Yes",IF(COUNTBLANK('Capacity summary'!$H118:$BG118)&lt;52,IF('Capacity summary'!AU118&lt;&gt;"",$BI206*AU206,0),AU206*$BI206),AU206*$BI206),0)</f>
        <v>0</v>
      </c>
      <c r="CY206" s="5">
        <f>IF($BI206&lt;&gt;"",IF('Capacity summary'!$C$14="Yes",IF(COUNTBLANK('Capacity summary'!$H118:$BG118)&lt;52,IF('Capacity summary'!AV118&lt;&gt;"",$BI206*AV206,0),AV206*$BI206),AV206*$BI206),0)</f>
        <v>0</v>
      </c>
      <c r="CZ206" s="5">
        <f>IF($BI206&lt;&gt;"",IF('Capacity summary'!$C$14="Yes",IF(COUNTBLANK('Capacity summary'!$H118:$BG118)&lt;52,IF('Capacity summary'!AW118&lt;&gt;"",$BI206*AW206,0),AW206*$BI206),AW206*$BI206),0)</f>
        <v>0</v>
      </c>
      <c r="DA206" s="5">
        <f>IF($BI206&lt;&gt;"",IF('Capacity summary'!$C$14="Yes",IF(COUNTBLANK('Capacity summary'!$H118:$BG118)&lt;52,IF('Capacity summary'!AX118&lt;&gt;"",$BI206*AX206,0),AX206*$BI206),AX206*$BI206),0)</f>
        <v>0</v>
      </c>
      <c r="DB206" s="5">
        <f>IF($BI206&lt;&gt;"",IF('Capacity summary'!$C$14="Yes",IF(COUNTBLANK('Capacity summary'!$H118:$BG118)&lt;52,IF('Capacity summary'!AY118&lt;&gt;"",$BI206*AY206,0),AY206*$BI206),AY206*$BI206),0)</f>
        <v>0</v>
      </c>
      <c r="DC206" s="5">
        <f>IF($BI206&lt;&gt;"",IF('Capacity summary'!$C$14="Yes",IF(COUNTBLANK('Capacity summary'!$H118:$BG118)&lt;52,IF('Capacity summary'!AZ118&lt;&gt;"",$BI206*AZ206,0),AZ206*$BI206),AZ206*$BI206),0)</f>
        <v>0</v>
      </c>
      <c r="DD206" s="5">
        <f>IF($BI206&lt;&gt;"",IF('Capacity summary'!$C$14="Yes",IF(COUNTBLANK('Capacity summary'!$H118:$BG118)&lt;52,IF('Capacity summary'!BA118&lt;&gt;"",$BI206*BA206,0),BA206*$BI206),BA206*$BI206),0)</f>
        <v>0</v>
      </c>
      <c r="DE206" s="5">
        <f>IF($BI206&lt;&gt;"",IF('Capacity summary'!$C$14="Yes",IF(COUNTBLANK('Capacity summary'!$H118:$BG118)&lt;52,IF('Capacity summary'!BB118&lt;&gt;"",$BI206*BB206,0),BB206*$BI206),BB206*$BI206),0)</f>
        <v>0</v>
      </c>
      <c r="DF206" s="5">
        <f>IF($BI206&lt;&gt;"",IF('Capacity summary'!$C$14="Yes",IF(COUNTBLANK('Capacity summary'!$H118:$BG118)&lt;52,IF('Capacity summary'!BC118&lt;&gt;"",$BI206*BC206,0),BC206*$BI206),BC206*$BI206),0)</f>
        <v>0</v>
      </c>
      <c r="DG206" s="5">
        <f>IF($BI206&lt;&gt;"",IF('Capacity summary'!$C$14="Yes",IF(COUNTBLANK('Capacity summary'!$H118:$BG118)&lt;52,IF('Capacity summary'!BD118&lt;&gt;"",$BI206*BD206,0),BD206*$BI206),BD206*$BI206),0)</f>
        <v>0</v>
      </c>
      <c r="DH206" s="5">
        <f>IF($BI206&lt;&gt;"",IF('Capacity summary'!$C$14="Yes",IF(COUNTBLANK('Capacity summary'!$H118:$BG118)&lt;52,IF('Capacity summary'!BE118&lt;&gt;"",$BI206*BE206,0),BE206*$BI206),BE206*$BI206),0)</f>
        <v>0</v>
      </c>
      <c r="DI206" s="5">
        <f>IF($BI206&lt;&gt;"",IF('Capacity summary'!$C$14="Yes",IF(COUNTBLANK('Capacity summary'!$H118:$BG118)&lt;52,IF('Capacity summary'!BF118&lt;&gt;"",$BI206*BF206,0),BF206*$BI206),BF206*$BI206),0)</f>
        <v>0</v>
      </c>
      <c r="DJ206" s="5">
        <f>IF($BI206&lt;&gt;"",IF('Capacity summary'!$C$14="Yes",IF(COUNTBLANK('Capacity summary'!$H118:$BG118)&lt;52,IF('Capacity summary'!BG118&lt;&gt;"",$BI206*BG206,0),BG206*$BI206),BG206*$BI206),0)</f>
        <v>0</v>
      </c>
      <c r="DK206" s="138">
        <f t="shared" si="7"/>
        <v>0</v>
      </c>
    </row>
    <row r="207" spans="3:115" x14ac:dyDescent="0.2">
      <c r="C207" s="68" t="str">
        <f>ROW(A96)&amp;". "&amp;Capacity!N112</f>
        <v xml:space="preserve">96. </v>
      </c>
      <c r="D207" s="68">
        <f>'Capacity setup'!C213</f>
        <v>0</v>
      </c>
      <c r="E207" s="68">
        <f>'Capacity setup'!D213</f>
        <v>0</v>
      </c>
      <c r="F207" s="68">
        <f>'Capacity setup'!E213</f>
        <v>0</v>
      </c>
      <c r="H207" s="68">
        <f ca="1">IF(AND(SUMIF(Capacity_Resource,$D207,'Critical resources (hide)'!U$6:U$105)+SUMIF(Capacity_Resource,$E207,'Critical resources (hide)'!U$6:U$105)+SUMIF(Capacity_Resource,$F207,'Critical resources (hide)'!U$6:U$105)&gt;0,$E$1=2),0,1)</f>
        <v>1</v>
      </c>
      <c r="I207" s="68">
        <f ca="1">IF(AND(SUMIF(Capacity_Resource,$D207,'Critical resources (hide)'!V$6:V$105)+SUMIF(Capacity_Resource,$E207,'Critical resources (hide)'!V$6:V$105)+SUMIF(Capacity_Resource,$F207,'Critical resources (hide)'!V$6:V$105)&gt;0,$E$1=2),0,1)</f>
        <v>1</v>
      </c>
      <c r="J207" s="68">
        <f ca="1">IF(AND(SUMIF(Capacity_Resource,$D207,'Critical resources (hide)'!W$6:W$105)+SUMIF(Capacity_Resource,$E207,'Critical resources (hide)'!W$6:W$105)+SUMIF(Capacity_Resource,$F207,'Critical resources (hide)'!W$6:W$105)&gt;0,$E$1=2),0,1)</f>
        <v>1</v>
      </c>
      <c r="K207" s="68">
        <f ca="1">IF(AND(SUMIF(Capacity_Resource,$D207,'Critical resources (hide)'!X$6:X$105)+SUMIF(Capacity_Resource,$E207,'Critical resources (hide)'!X$6:X$105)+SUMIF(Capacity_Resource,$F207,'Critical resources (hide)'!X$6:X$105)&gt;0,$E$1=2),0,1)</f>
        <v>1</v>
      </c>
      <c r="L207" s="68">
        <f ca="1">IF(AND(SUMIF(Capacity_Resource,$D207,'Critical resources (hide)'!Y$6:Y$105)+SUMIF(Capacity_Resource,$E207,'Critical resources (hide)'!Y$6:Y$105)+SUMIF(Capacity_Resource,$F207,'Critical resources (hide)'!Y$6:Y$105)&gt;0,$E$1=2),0,1)</f>
        <v>1</v>
      </c>
      <c r="M207" s="68">
        <f ca="1">IF(AND(SUMIF(Capacity_Resource,$D207,'Critical resources (hide)'!Z$6:Z$105)+SUMIF(Capacity_Resource,$E207,'Critical resources (hide)'!Z$6:Z$105)+SUMIF(Capacity_Resource,$F207,'Critical resources (hide)'!Z$6:Z$105)&gt;0,$E$1=2),0,1)</f>
        <v>1</v>
      </c>
      <c r="N207" s="68">
        <f ca="1">IF(AND(SUMIF(Capacity_Resource,$D207,'Critical resources (hide)'!AA$6:AA$105)+SUMIF(Capacity_Resource,$E207,'Critical resources (hide)'!AA$6:AA$105)+SUMIF(Capacity_Resource,$F207,'Critical resources (hide)'!AA$6:AA$105)&gt;0,$E$1=2),0,1)</f>
        <v>1</v>
      </c>
      <c r="O207" s="68">
        <f ca="1">IF(AND(SUMIF(Capacity_Resource,$D207,'Critical resources (hide)'!AB$6:AB$105)+SUMIF(Capacity_Resource,$E207,'Critical resources (hide)'!AB$6:AB$105)+SUMIF(Capacity_Resource,$F207,'Critical resources (hide)'!AB$6:AB$105)&gt;0,$E$1=2),0,1)</f>
        <v>1</v>
      </c>
      <c r="P207" s="68">
        <f ca="1">IF(AND(SUMIF(Capacity_Resource,$D207,'Critical resources (hide)'!AC$6:AC$105)+SUMIF(Capacity_Resource,$E207,'Critical resources (hide)'!AC$6:AC$105)+SUMIF(Capacity_Resource,$F207,'Critical resources (hide)'!AC$6:AC$105)&gt;0,$E$1=2),0,1)</f>
        <v>1</v>
      </c>
      <c r="Q207" s="68">
        <f ca="1">IF(AND(SUMIF(Capacity_Resource,$D207,'Critical resources (hide)'!AD$6:AD$105)+SUMIF(Capacity_Resource,$E207,'Critical resources (hide)'!AD$6:AD$105)+SUMIF(Capacity_Resource,$F207,'Critical resources (hide)'!AD$6:AD$105)&gt;0,$E$1=2),0,1)</f>
        <v>1</v>
      </c>
      <c r="R207" s="68">
        <f ca="1">IF(AND(SUMIF(Capacity_Resource,$D207,'Critical resources (hide)'!AE$6:AE$105)+SUMIF(Capacity_Resource,$E207,'Critical resources (hide)'!AE$6:AE$105)+SUMIF(Capacity_Resource,$F207,'Critical resources (hide)'!AE$6:AE$105)&gt;0,$E$1=2),0,1)</f>
        <v>1</v>
      </c>
      <c r="S207" s="68">
        <f ca="1">IF(AND(SUMIF(Capacity_Resource,$D207,'Critical resources (hide)'!AF$6:AF$105)+SUMIF(Capacity_Resource,$E207,'Critical resources (hide)'!AF$6:AF$105)+SUMIF(Capacity_Resource,$F207,'Critical resources (hide)'!AF$6:AF$105)&gt;0,$E$1=2),0,1)</f>
        <v>1</v>
      </c>
      <c r="T207" s="68">
        <f ca="1">IF(AND(SUMIF(Capacity_Resource,$D207,'Critical resources (hide)'!AG$6:AG$105)+SUMIF(Capacity_Resource,$E207,'Critical resources (hide)'!AG$6:AG$105)+SUMIF(Capacity_Resource,$F207,'Critical resources (hide)'!AG$6:AG$105)&gt;0,$E$1=2),0,1)</f>
        <v>1</v>
      </c>
      <c r="U207" s="68">
        <f ca="1">IF(AND(SUMIF(Capacity_Resource,$D207,'Critical resources (hide)'!AH$6:AH$105)+SUMIF(Capacity_Resource,$E207,'Critical resources (hide)'!AH$6:AH$105)+SUMIF(Capacity_Resource,$F207,'Critical resources (hide)'!AH$6:AH$105)&gt;0,$E$1=2),0,1)</f>
        <v>1</v>
      </c>
      <c r="V207" s="68">
        <f ca="1">IF(AND(SUMIF(Capacity_Resource,$D207,'Critical resources (hide)'!AI$6:AI$105)+SUMIF(Capacity_Resource,$E207,'Critical resources (hide)'!AI$6:AI$105)+SUMIF(Capacity_Resource,$F207,'Critical resources (hide)'!AI$6:AI$105)&gt;0,$E$1=2),0,1)</f>
        <v>1</v>
      </c>
      <c r="W207" s="68">
        <f ca="1">IF(AND(SUMIF(Capacity_Resource,$D207,'Critical resources (hide)'!AJ$6:AJ$105)+SUMIF(Capacity_Resource,$E207,'Critical resources (hide)'!AJ$6:AJ$105)+SUMIF(Capacity_Resource,$F207,'Critical resources (hide)'!AJ$6:AJ$105)&gt;0,$E$1=2),0,1)</f>
        <v>1</v>
      </c>
      <c r="X207" s="68">
        <f ca="1">IF(AND(SUMIF(Capacity_Resource,$D207,'Critical resources (hide)'!AK$6:AK$105)+SUMIF(Capacity_Resource,$E207,'Critical resources (hide)'!AK$6:AK$105)+SUMIF(Capacity_Resource,$F207,'Critical resources (hide)'!AK$6:AK$105)&gt;0,$E$1=2),0,1)</f>
        <v>1</v>
      </c>
      <c r="Y207" s="68">
        <f ca="1">IF(AND(SUMIF(Capacity_Resource,$D207,'Critical resources (hide)'!AL$6:AL$105)+SUMIF(Capacity_Resource,$E207,'Critical resources (hide)'!AL$6:AL$105)+SUMIF(Capacity_Resource,$F207,'Critical resources (hide)'!AL$6:AL$105)&gt;0,$E$1=2),0,1)</f>
        <v>1</v>
      </c>
      <c r="Z207" s="68">
        <f ca="1">IF(AND(SUMIF(Capacity_Resource,$D207,'Critical resources (hide)'!AM$6:AM$105)+SUMIF(Capacity_Resource,$E207,'Critical resources (hide)'!AM$6:AM$105)+SUMIF(Capacity_Resource,$F207,'Critical resources (hide)'!AM$6:AM$105)&gt;0,$E$1=2),0,1)</f>
        <v>1</v>
      </c>
      <c r="AA207" s="68">
        <f ca="1">IF(AND(SUMIF(Capacity_Resource,$D207,'Critical resources (hide)'!AN$6:AN$105)+SUMIF(Capacity_Resource,$E207,'Critical resources (hide)'!AN$6:AN$105)+SUMIF(Capacity_Resource,$F207,'Critical resources (hide)'!AN$6:AN$105)&gt;0,$E$1=2),0,1)</f>
        <v>1</v>
      </c>
      <c r="AB207" s="68">
        <f ca="1">IF(AND(SUMIF(Capacity_Resource,$D207,'Critical resources (hide)'!AO$6:AO$105)+SUMIF(Capacity_Resource,$E207,'Critical resources (hide)'!AO$6:AO$105)+SUMIF(Capacity_Resource,$F207,'Critical resources (hide)'!AO$6:AO$105)&gt;0,$E$1=2),0,1)</f>
        <v>1</v>
      </c>
      <c r="AC207" s="68">
        <f ca="1">IF(AND(SUMIF(Capacity_Resource,$D207,'Critical resources (hide)'!AP$6:AP$105)+SUMIF(Capacity_Resource,$E207,'Critical resources (hide)'!AP$6:AP$105)+SUMIF(Capacity_Resource,$F207,'Critical resources (hide)'!AP$6:AP$105)&gt;0,$E$1=2),0,1)</f>
        <v>1</v>
      </c>
      <c r="AD207" s="68">
        <f ca="1">IF(AND(SUMIF(Capacity_Resource,$D207,'Critical resources (hide)'!AQ$6:AQ$105)+SUMIF(Capacity_Resource,$E207,'Critical resources (hide)'!AQ$6:AQ$105)+SUMIF(Capacity_Resource,$F207,'Critical resources (hide)'!AQ$6:AQ$105)&gt;0,$E$1=2),0,1)</f>
        <v>1</v>
      </c>
      <c r="AE207" s="68">
        <f ca="1">IF(AND(SUMIF(Capacity_Resource,$D207,'Critical resources (hide)'!AR$6:AR$105)+SUMIF(Capacity_Resource,$E207,'Critical resources (hide)'!AR$6:AR$105)+SUMIF(Capacity_Resource,$F207,'Critical resources (hide)'!AR$6:AR$105)&gt;0,$E$1=2),0,1)</f>
        <v>1</v>
      </c>
      <c r="AF207" s="68">
        <f ca="1">IF(AND(SUMIF(Capacity_Resource,$D207,'Critical resources (hide)'!AS$6:AS$105)+SUMIF(Capacity_Resource,$E207,'Critical resources (hide)'!AS$6:AS$105)+SUMIF(Capacity_Resource,$F207,'Critical resources (hide)'!AS$6:AS$105)&gt;0,$E$1=2),0,1)</f>
        <v>1</v>
      </c>
      <c r="AG207" s="68">
        <f ca="1">IF(AND(SUMIF(Capacity_Resource,$D207,'Critical resources (hide)'!AT$6:AT$105)+SUMIF(Capacity_Resource,$E207,'Critical resources (hide)'!AT$6:AT$105)+SUMIF(Capacity_Resource,$F207,'Critical resources (hide)'!AT$6:AT$105)&gt;0,$E$1=2),0,1)</f>
        <v>1</v>
      </c>
      <c r="AH207" s="68">
        <f ca="1">IF(AND(SUMIF(Capacity_Resource,$D207,'Critical resources (hide)'!AU$6:AU$105)+SUMIF(Capacity_Resource,$E207,'Critical resources (hide)'!AU$6:AU$105)+SUMIF(Capacity_Resource,$F207,'Critical resources (hide)'!AU$6:AU$105)&gt;0,$E$1=2),0,1)</f>
        <v>1</v>
      </c>
      <c r="AI207" s="68">
        <f ca="1">IF(AND(SUMIF(Capacity_Resource,$D207,'Critical resources (hide)'!AV$6:AV$105)+SUMIF(Capacity_Resource,$E207,'Critical resources (hide)'!AV$6:AV$105)+SUMIF(Capacity_Resource,$F207,'Critical resources (hide)'!AV$6:AV$105)&gt;0,$E$1=2),0,1)</f>
        <v>1</v>
      </c>
      <c r="AJ207" s="68">
        <f ca="1">IF(AND(SUMIF(Capacity_Resource,$D207,'Critical resources (hide)'!AW$6:AW$105)+SUMIF(Capacity_Resource,$E207,'Critical resources (hide)'!AW$6:AW$105)+SUMIF(Capacity_Resource,$F207,'Critical resources (hide)'!AW$6:AW$105)&gt;0,$E$1=2),0,1)</f>
        <v>1</v>
      </c>
      <c r="AK207" s="68">
        <f ca="1">IF(AND(SUMIF(Capacity_Resource,$D207,'Critical resources (hide)'!AX$6:AX$105)+SUMIF(Capacity_Resource,$E207,'Critical resources (hide)'!AX$6:AX$105)+SUMIF(Capacity_Resource,$F207,'Critical resources (hide)'!AX$6:AX$105)&gt;0,$E$1=2),0,1)</f>
        <v>1</v>
      </c>
      <c r="AL207" s="68">
        <f ca="1">IF(AND(SUMIF(Capacity_Resource,$D207,'Critical resources (hide)'!AY$6:AY$105)+SUMIF(Capacity_Resource,$E207,'Critical resources (hide)'!AY$6:AY$105)+SUMIF(Capacity_Resource,$F207,'Critical resources (hide)'!AY$6:AY$105)&gt;0,$E$1=2),0,1)</f>
        <v>1</v>
      </c>
      <c r="AM207" s="68">
        <f ca="1">IF(AND(SUMIF(Capacity_Resource,$D207,'Critical resources (hide)'!AZ$6:AZ$105)+SUMIF(Capacity_Resource,$E207,'Critical resources (hide)'!AZ$6:AZ$105)+SUMIF(Capacity_Resource,$F207,'Critical resources (hide)'!AZ$6:AZ$105)&gt;0,$E$1=2),0,1)</f>
        <v>1</v>
      </c>
      <c r="AN207" s="68">
        <f ca="1">IF(AND(SUMIF(Capacity_Resource,$D207,'Critical resources (hide)'!BA$6:BA$105)+SUMIF(Capacity_Resource,$E207,'Critical resources (hide)'!BA$6:BA$105)+SUMIF(Capacity_Resource,$F207,'Critical resources (hide)'!BA$6:BA$105)&gt;0,$E$1=2),0,1)</f>
        <v>1</v>
      </c>
      <c r="AO207" s="68">
        <f ca="1">IF(AND(SUMIF(Capacity_Resource,$D207,'Critical resources (hide)'!BB$6:BB$105)+SUMIF(Capacity_Resource,$E207,'Critical resources (hide)'!BB$6:BB$105)+SUMIF(Capacity_Resource,$F207,'Critical resources (hide)'!BB$6:BB$105)&gt;0,$E$1=2),0,1)</f>
        <v>1</v>
      </c>
      <c r="AP207" s="68">
        <f ca="1">IF(AND(SUMIF(Capacity_Resource,$D207,'Critical resources (hide)'!BC$6:BC$105)+SUMIF(Capacity_Resource,$E207,'Critical resources (hide)'!BC$6:BC$105)+SUMIF(Capacity_Resource,$F207,'Critical resources (hide)'!BC$6:BC$105)&gt;0,$E$1=2),0,1)</f>
        <v>1</v>
      </c>
      <c r="AQ207" s="68">
        <f ca="1">IF(AND(SUMIF(Capacity_Resource,$D207,'Critical resources (hide)'!BD$6:BD$105)+SUMIF(Capacity_Resource,$E207,'Critical resources (hide)'!BD$6:BD$105)+SUMIF(Capacity_Resource,$F207,'Critical resources (hide)'!BD$6:BD$105)&gt;0,$E$1=2),0,1)</f>
        <v>1</v>
      </c>
      <c r="AR207" s="68">
        <f ca="1">IF(AND(SUMIF(Capacity_Resource,$D207,'Critical resources (hide)'!BE$6:BE$105)+SUMIF(Capacity_Resource,$E207,'Critical resources (hide)'!BE$6:BE$105)+SUMIF(Capacity_Resource,$F207,'Critical resources (hide)'!BE$6:BE$105)&gt;0,$E$1=2),0,1)</f>
        <v>1</v>
      </c>
      <c r="AS207" s="68">
        <f ca="1">IF(AND(SUMIF(Capacity_Resource,$D207,'Critical resources (hide)'!BF$6:BF$105)+SUMIF(Capacity_Resource,$E207,'Critical resources (hide)'!BF$6:BF$105)+SUMIF(Capacity_Resource,$F207,'Critical resources (hide)'!BF$6:BF$105)&gt;0,$E$1=2),0,1)</f>
        <v>1</v>
      </c>
      <c r="AT207" s="68">
        <f ca="1">IF(AND(SUMIF(Capacity_Resource,$D207,'Critical resources (hide)'!BG$6:BG$105)+SUMIF(Capacity_Resource,$E207,'Critical resources (hide)'!BG$6:BG$105)+SUMIF(Capacity_Resource,$F207,'Critical resources (hide)'!BG$6:BG$105)&gt;0,$E$1=2),0,1)</f>
        <v>1</v>
      </c>
      <c r="AU207" s="68">
        <f ca="1">IF(AND(SUMIF(Capacity_Resource,$D207,'Critical resources (hide)'!BH$6:BH$105)+SUMIF(Capacity_Resource,$E207,'Critical resources (hide)'!BH$6:BH$105)+SUMIF(Capacity_Resource,$F207,'Critical resources (hide)'!BH$6:BH$105)&gt;0,$E$1=2),0,1)</f>
        <v>1</v>
      </c>
      <c r="AV207" s="68">
        <f ca="1">IF(AND(SUMIF(Capacity_Resource,$D207,'Critical resources (hide)'!BI$6:BI$105)+SUMIF(Capacity_Resource,$E207,'Critical resources (hide)'!BI$6:BI$105)+SUMIF(Capacity_Resource,$F207,'Critical resources (hide)'!BI$6:BI$105)&gt;0,$E$1=2),0,1)</f>
        <v>1</v>
      </c>
      <c r="AW207" s="68">
        <f ca="1">IF(AND(SUMIF(Capacity_Resource,$D207,'Critical resources (hide)'!BJ$6:BJ$105)+SUMIF(Capacity_Resource,$E207,'Critical resources (hide)'!BJ$6:BJ$105)+SUMIF(Capacity_Resource,$F207,'Critical resources (hide)'!BJ$6:BJ$105)&gt;0,$E$1=2),0,1)</f>
        <v>1</v>
      </c>
      <c r="AX207" s="68">
        <f ca="1">IF(AND(SUMIF(Capacity_Resource,$D207,'Critical resources (hide)'!BK$6:BK$105)+SUMIF(Capacity_Resource,$E207,'Critical resources (hide)'!BK$6:BK$105)+SUMIF(Capacity_Resource,$F207,'Critical resources (hide)'!BK$6:BK$105)&gt;0,$E$1=2),0,1)</f>
        <v>1</v>
      </c>
      <c r="AY207" s="68">
        <f ca="1">IF(AND(SUMIF(Capacity_Resource,$D207,'Critical resources (hide)'!BL$6:BL$105)+SUMIF(Capacity_Resource,$E207,'Critical resources (hide)'!BL$6:BL$105)+SUMIF(Capacity_Resource,$F207,'Critical resources (hide)'!BL$6:BL$105)&gt;0,$E$1=2),0,1)</f>
        <v>1</v>
      </c>
      <c r="AZ207" s="68">
        <f ca="1">IF(AND(SUMIF(Capacity_Resource,$D207,'Critical resources (hide)'!BM$6:BM$105)+SUMIF(Capacity_Resource,$E207,'Critical resources (hide)'!BM$6:BM$105)+SUMIF(Capacity_Resource,$F207,'Critical resources (hide)'!BM$6:BM$105)&gt;0,$E$1=2),0,1)</f>
        <v>1</v>
      </c>
      <c r="BA207" s="68">
        <f ca="1">IF(AND(SUMIF(Capacity_Resource,$D207,'Critical resources (hide)'!BN$6:BN$105)+SUMIF(Capacity_Resource,$E207,'Critical resources (hide)'!BN$6:BN$105)+SUMIF(Capacity_Resource,$F207,'Critical resources (hide)'!BN$6:BN$105)&gt;0,$E$1=2),0,1)</f>
        <v>1</v>
      </c>
      <c r="BB207" s="68">
        <f ca="1">IF(AND(SUMIF(Capacity_Resource,$D207,'Critical resources (hide)'!BO$6:BO$105)+SUMIF(Capacity_Resource,$E207,'Critical resources (hide)'!BO$6:BO$105)+SUMIF(Capacity_Resource,$F207,'Critical resources (hide)'!BO$6:BO$105)&gt;0,$E$1=2),0,1)</f>
        <v>1</v>
      </c>
      <c r="BC207" s="68">
        <f ca="1">IF(AND(SUMIF(Capacity_Resource,$D207,'Critical resources (hide)'!BP$6:BP$105)+SUMIF(Capacity_Resource,$E207,'Critical resources (hide)'!BP$6:BP$105)+SUMIF(Capacity_Resource,$F207,'Critical resources (hide)'!BP$6:BP$105)&gt;0,$E$1=2),0,1)</f>
        <v>1</v>
      </c>
      <c r="BD207" s="68">
        <f ca="1">IF(AND(SUMIF(Capacity_Resource,$D207,'Critical resources (hide)'!BQ$6:BQ$105)+SUMIF(Capacity_Resource,$E207,'Critical resources (hide)'!BQ$6:BQ$105)+SUMIF(Capacity_Resource,$F207,'Critical resources (hide)'!BQ$6:BQ$105)&gt;0,$E$1=2),0,1)</f>
        <v>1</v>
      </c>
      <c r="BE207" s="68">
        <f ca="1">IF(AND(SUMIF(Capacity_Resource,$D207,'Critical resources (hide)'!BR$6:BR$105)+SUMIF(Capacity_Resource,$E207,'Critical resources (hide)'!BR$6:BR$105)+SUMIF(Capacity_Resource,$F207,'Critical resources (hide)'!BR$6:BR$105)&gt;0,$E$1=2),0,1)</f>
        <v>1</v>
      </c>
      <c r="BF207" s="68">
        <f ca="1">IF(AND(SUMIF(Capacity_Resource,$D207,'Critical resources (hide)'!BS$6:BS$105)+SUMIF(Capacity_Resource,$E207,'Critical resources (hide)'!BS$6:BS$105)+SUMIF(Capacity_Resource,$F207,'Critical resources (hide)'!BS$6:BS$105)&gt;0,$E$1=2),0,1)</f>
        <v>1</v>
      </c>
      <c r="BG207" s="68">
        <f ca="1">IF(AND(SUMIF(Capacity_Resource,$D207,'Critical resources (hide)'!BT$6:BT$105)+SUMIF(Capacity_Resource,$E207,'Critical resources (hide)'!BT$6:BT$105)+SUMIF(Capacity_Resource,$F207,'Critical resources (hide)'!BT$6:BT$105)&gt;0,$E$1=2),0,1)</f>
        <v>1</v>
      </c>
      <c r="BH207" s="68">
        <f>IF(ROW(A96)&lt;=Capacity!$M$16,IF('Capacity summary'!$C$14="No",SUM(H207:BG207),'Capacity summary'!$E119),0)</f>
        <v>0</v>
      </c>
      <c r="BI207" s="68" t="str">
        <f>IF(BH207&gt;0,IF(BH207&lt;Capacity!Q112,Capacity!R112,Capacity!T112/'Capacity calculation (hide)'!BH207),"")</f>
        <v/>
      </c>
      <c r="BJ207" s="5"/>
      <c r="BK207" s="5">
        <f>IF($BI207&lt;&gt;"",IF('Capacity summary'!$C$14="Yes",IF(COUNTBLANK('Capacity summary'!$H119:$BG119)&lt;52,IF('Capacity summary'!H119&lt;&gt;"",$BI207*H207,0),H207*$BI207),H207*$BI207),0)</f>
        <v>0</v>
      </c>
      <c r="BL207" s="5">
        <f>IF($BI207&lt;&gt;"",IF('Capacity summary'!$C$14="Yes",IF(COUNTBLANK('Capacity summary'!$H119:$BG119)&lt;52,IF('Capacity summary'!I119&lt;&gt;"",$BI207*I207,0),I207*$BI207),I207*$BI207),0)</f>
        <v>0</v>
      </c>
      <c r="BM207" s="5">
        <f>IF($BI207&lt;&gt;"",IF('Capacity summary'!$C$14="Yes",IF(COUNTBLANK('Capacity summary'!$H119:$BG119)&lt;52,IF('Capacity summary'!J119&lt;&gt;"",$BI207*J207,0),J207*$BI207),J207*$BI207),0)</f>
        <v>0</v>
      </c>
      <c r="BN207" s="5">
        <f>IF($BI207&lt;&gt;"",IF('Capacity summary'!$C$14="Yes",IF(COUNTBLANK('Capacity summary'!$H119:$BG119)&lt;52,IF('Capacity summary'!K119&lt;&gt;"",$BI207*K207,0),K207*$BI207),K207*$BI207),0)</f>
        <v>0</v>
      </c>
      <c r="BO207" s="5">
        <f>IF($BI207&lt;&gt;"",IF('Capacity summary'!$C$14="Yes",IF(COUNTBLANK('Capacity summary'!$H119:$BG119)&lt;52,IF('Capacity summary'!L119&lt;&gt;"",$BI207*L207,0),L207*$BI207),L207*$BI207),0)</f>
        <v>0</v>
      </c>
      <c r="BP207" s="5">
        <f>IF($BI207&lt;&gt;"",IF('Capacity summary'!$C$14="Yes",IF(COUNTBLANK('Capacity summary'!$H119:$BG119)&lt;52,IF('Capacity summary'!M119&lt;&gt;"",$BI207*M207,0),M207*$BI207),M207*$BI207),0)</f>
        <v>0</v>
      </c>
      <c r="BQ207" s="5">
        <f>IF($BI207&lt;&gt;"",IF('Capacity summary'!$C$14="Yes",IF(COUNTBLANK('Capacity summary'!$H119:$BG119)&lt;52,IF('Capacity summary'!N119&lt;&gt;"",$BI207*N207,0),N207*$BI207),N207*$BI207),0)</f>
        <v>0</v>
      </c>
      <c r="BR207" s="5">
        <f>IF($BI207&lt;&gt;"",IF('Capacity summary'!$C$14="Yes",IF(COUNTBLANK('Capacity summary'!$H119:$BG119)&lt;52,IF('Capacity summary'!O119&lt;&gt;"",$BI207*O207,0),O207*$BI207),O207*$BI207),0)</f>
        <v>0</v>
      </c>
      <c r="BS207" s="5">
        <f>IF($BI207&lt;&gt;"",IF('Capacity summary'!$C$14="Yes",IF(COUNTBLANK('Capacity summary'!$H119:$BG119)&lt;52,IF('Capacity summary'!P119&lt;&gt;"",$BI207*P207,0),P207*$BI207),P207*$BI207),0)</f>
        <v>0</v>
      </c>
      <c r="BT207" s="5">
        <f>IF($BI207&lt;&gt;"",IF('Capacity summary'!$C$14="Yes",IF(COUNTBLANK('Capacity summary'!$H119:$BG119)&lt;52,IF('Capacity summary'!Q119&lt;&gt;"",$BI207*Q207,0),Q207*$BI207),Q207*$BI207),0)</f>
        <v>0</v>
      </c>
      <c r="BU207" s="5">
        <f>IF($BI207&lt;&gt;"",IF('Capacity summary'!$C$14="Yes",IF(COUNTBLANK('Capacity summary'!$H119:$BG119)&lt;52,IF('Capacity summary'!R119&lt;&gt;"",$BI207*R207,0),R207*$BI207),R207*$BI207),0)</f>
        <v>0</v>
      </c>
      <c r="BV207" s="5">
        <f>IF($BI207&lt;&gt;"",IF('Capacity summary'!$C$14="Yes",IF(COUNTBLANK('Capacity summary'!$H119:$BG119)&lt;52,IF('Capacity summary'!S119&lt;&gt;"",$BI207*S207,0),S207*$BI207),S207*$BI207),0)</f>
        <v>0</v>
      </c>
      <c r="BW207" s="5">
        <f>IF($BI207&lt;&gt;"",IF('Capacity summary'!$C$14="Yes",IF(COUNTBLANK('Capacity summary'!$H119:$BG119)&lt;52,IF('Capacity summary'!T119&lt;&gt;"",$BI207*T207,0),T207*$BI207),T207*$BI207),0)</f>
        <v>0</v>
      </c>
      <c r="BX207" s="5">
        <f>IF($BI207&lt;&gt;"",IF('Capacity summary'!$C$14="Yes",IF(COUNTBLANK('Capacity summary'!$H119:$BG119)&lt;52,IF('Capacity summary'!U119&lt;&gt;"",$BI207*U207,0),U207*$BI207),U207*$BI207),0)</f>
        <v>0</v>
      </c>
      <c r="BY207" s="5">
        <f>IF($BI207&lt;&gt;"",IF('Capacity summary'!$C$14="Yes",IF(COUNTBLANK('Capacity summary'!$H119:$BG119)&lt;52,IF('Capacity summary'!V119&lt;&gt;"",$BI207*V207,0),V207*$BI207),V207*$BI207),0)</f>
        <v>0</v>
      </c>
      <c r="BZ207" s="5">
        <f>IF($BI207&lt;&gt;"",IF('Capacity summary'!$C$14="Yes",IF(COUNTBLANK('Capacity summary'!$H119:$BG119)&lt;52,IF('Capacity summary'!W119&lt;&gt;"",$BI207*W207,0),W207*$BI207),W207*$BI207),0)</f>
        <v>0</v>
      </c>
      <c r="CA207" s="5">
        <f>IF($BI207&lt;&gt;"",IF('Capacity summary'!$C$14="Yes",IF(COUNTBLANK('Capacity summary'!$H119:$BG119)&lt;52,IF('Capacity summary'!X119&lt;&gt;"",$BI207*X207,0),X207*$BI207),X207*$BI207),0)</f>
        <v>0</v>
      </c>
      <c r="CB207" s="5">
        <f>IF($BI207&lt;&gt;"",IF('Capacity summary'!$C$14="Yes",IF(COUNTBLANK('Capacity summary'!$H119:$BG119)&lt;52,IF('Capacity summary'!Y119&lt;&gt;"",$BI207*Y207,0),Y207*$BI207),Y207*$BI207),0)</f>
        <v>0</v>
      </c>
      <c r="CC207" s="5">
        <f>IF($BI207&lt;&gt;"",IF('Capacity summary'!$C$14="Yes",IF(COUNTBLANK('Capacity summary'!$H119:$BG119)&lt;52,IF('Capacity summary'!Z119&lt;&gt;"",$BI207*Z207,0),Z207*$BI207),Z207*$BI207),0)</f>
        <v>0</v>
      </c>
      <c r="CD207" s="5">
        <f>IF($BI207&lt;&gt;"",IF('Capacity summary'!$C$14="Yes",IF(COUNTBLANK('Capacity summary'!$H119:$BG119)&lt;52,IF('Capacity summary'!AA119&lt;&gt;"",$BI207*AA207,0),AA207*$BI207),AA207*$BI207),0)</f>
        <v>0</v>
      </c>
      <c r="CE207" s="5">
        <f>IF($BI207&lt;&gt;"",IF('Capacity summary'!$C$14="Yes",IF(COUNTBLANK('Capacity summary'!$H119:$BG119)&lt;52,IF('Capacity summary'!AB119&lt;&gt;"",$BI207*AB207,0),AB207*$BI207),AB207*$BI207),0)</f>
        <v>0</v>
      </c>
      <c r="CF207" s="5">
        <f>IF($BI207&lt;&gt;"",IF('Capacity summary'!$C$14="Yes",IF(COUNTBLANK('Capacity summary'!$H119:$BG119)&lt;52,IF('Capacity summary'!AC119&lt;&gt;"",$BI207*AC207,0),AC207*$BI207),AC207*$BI207),0)</f>
        <v>0</v>
      </c>
      <c r="CG207" s="5">
        <f>IF($BI207&lt;&gt;"",IF('Capacity summary'!$C$14="Yes",IF(COUNTBLANK('Capacity summary'!$H119:$BG119)&lt;52,IF('Capacity summary'!AD119&lt;&gt;"",$BI207*AD207,0),AD207*$BI207),AD207*$BI207),0)</f>
        <v>0</v>
      </c>
      <c r="CH207" s="5">
        <f>IF($BI207&lt;&gt;"",IF('Capacity summary'!$C$14="Yes",IF(COUNTBLANK('Capacity summary'!$H119:$BG119)&lt;52,IF('Capacity summary'!AE119&lt;&gt;"",$BI207*AE207,0),AE207*$BI207),AE207*$BI207),0)</f>
        <v>0</v>
      </c>
      <c r="CI207" s="5">
        <f>IF($BI207&lt;&gt;"",IF('Capacity summary'!$C$14="Yes",IF(COUNTBLANK('Capacity summary'!$H119:$BG119)&lt;52,IF('Capacity summary'!AF119&lt;&gt;"",$BI207*AF207,0),AF207*$BI207),AF207*$BI207),0)</f>
        <v>0</v>
      </c>
      <c r="CJ207" s="5">
        <f>IF($BI207&lt;&gt;"",IF('Capacity summary'!$C$14="Yes",IF(COUNTBLANK('Capacity summary'!$H119:$BG119)&lt;52,IF('Capacity summary'!AG119&lt;&gt;"",$BI207*AG207,0),AG207*$BI207),AG207*$BI207),0)</f>
        <v>0</v>
      </c>
      <c r="CK207" s="5">
        <f>IF($BI207&lt;&gt;"",IF('Capacity summary'!$C$14="Yes",IF(COUNTBLANK('Capacity summary'!$H119:$BG119)&lt;52,IF('Capacity summary'!AH119&lt;&gt;"",$BI207*AH207,0),AH207*$BI207),AH207*$BI207),0)</f>
        <v>0</v>
      </c>
      <c r="CL207" s="5">
        <f>IF($BI207&lt;&gt;"",IF('Capacity summary'!$C$14="Yes",IF(COUNTBLANK('Capacity summary'!$H119:$BG119)&lt;52,IF('Capacity summary'!AI119&lt;&gt;"",$BI207*AI207,0),AI207*$BI207),AI207*$BI207),0)</f>
        <v>0</v>
      </c>
      <c r="CM207" s="5">
        <f>IF($BI207&lt;&gt;"",IF('Capacity summary'!$C$14="Yes",IF(COUNTBLANK('Capacity summary'!$H119:$BG119)&lt;52,IF('Capacity summary'!AJ119&lt;&gt;"",$BI207*AJ207,0),AJ207*$BI207),AJ207*$BI207),0)</f>
        <v>0</v>
      </c>
      <c r="CN207" s="5">
        <f>IF($BI207&lt;&gt;"",IF('Capacity summary'!$C$14="Yes",IF(COUNTBLANK('Capacity summary'!$H119:$BG119)&lt;52,IF('Capacity summary'!AK119&lt;&gt;"",$BI207*AK207,0),AK207*$BI207),AK207*$BI207),0)</f>
        <v>0</v>
      </c>
      <c r="CO207" s="5">
        <f>IF($BI207&lt;&gt;"",IF('Capacity summary'!$C$14="Yes",IF(COUNTBLANK('Capacity summary'!$H119:$BG119)&lt;52,IF('Capacity summary'!AL119&lt;&gt;"",$BI207*AL207,0),AL207*$BI207),AL207*$BI207),0)</f>
        <v>0</v>
      </c>
      <c r="CP207" s="5">
        <f>IF($BI207&lt;&gt;"",IF('Capacity summary'!$C$14="Yes",IF(COUNTBLANK('Capacity summary'!$H119:$BG119)&lt;52,IF('Capacity summary'!AM119&lt;&gt;"",$BI207*AM207,0),AM207*$BI207),AM207*$BI207),0)</f>
        <v>0</v>
      </c>
      <c r="CQ207" s="5">
        <f>IF($BI207&lt;&gt;"",IF('Capacity summary'!$C$14="Yes",IF(COUNTBLANK('Capacity summary'!$H119:$BG119)&lt;52,IF('Capacity summary'!AN119&lt;&gt;"",$BI207*AN207,0),AN207*$BI207),AN207*$BI207),0)</f>
        <v>0</v>
      </c>
      <c r="CR207" s="5">
        <f>IF($BI207&lt;&gt;"",IF('Capacity summary'!$C$14="Yes",IF(COUNTBLANK('Capacity summary'!$H119:$BG119)&lt;52,IF('Capacity summary'!AO119&lt;&gt;"",$BI207*AO207,0),AO207*$BI207),AO207*$BI207),0)</f>
        <v>0</v>
      </c>
      <c r="CS207" s="5">
        <f>IF($BI207&lt;&gt;"",IF('Capacity summary'!$C$14="Yes",IF(COUNTBLANK('Capacity summary'!$H119:$BG119)&lt;52,IF('Capacity summary'!AP119&lt;&gt;"",$BI207*AP207,0),AP207*$BI207),AP207*$BI207),0)</f>
        <v>0</v>
      </c>
      <c r="CT207" s="5">
        <f>IF($BI207&lt;&gt;"",IF('Capacity summary'!$C$14="Yes",IF(COUNTBLANK('Capacity summary'!$H119:$BG119)&lt;52,IF('Capacity summary'!AQ119&lt;&gt;"",$BI207*AQ207,0),AQ207*$BI207),AQ207*$BI207),0)</f>
        <v>0</v>
      </c>
      <c r="CU207" s="5">
        <f>IF($BI207&lt;&gt;"",IF('Capacity summary'!$C$14="Yes",IF(COUNTBLANK('Capacity summary'!$H119:$BG119)&lt;52,IF('Capacity summary'!AR119&lt;&gt;"",$BI207*AR207,0),AR207*$BI207),AR207*$BI207),0)</f>
        <v>0</v>
      </c>
      <c r="CV207" s="5">
        <f>IF($BI207&lt;&gt;"",IF('Capacity summary'!$C$14="Yes",IF(COUNTBLANK('Capacity summary'!$H119:$BG119)&lt;52,IF('Capacity summary'!AS119&lt;&gt;"",$BI207*AS207,0),AS207*$BI207),AS207*$BI207),0)</f>
        <v>0</v>
      </c>
      <c r="CW207" s="5">
        <f>IF($BI207&lt;&gt;"",IF('Capacity summary'!$C$14="Yes",IF(COUNTBLANK('Capacity summary'!$H119:$BG119)&lt;52,IF('Capacity summary'!AT119&lt;&gt;"",$BI207*AT207,0),AT207*$BI207),AT207*$BI207),0)</f>
        <v>0</v>
      </c>
      <c r="CX207" s="5">
        <f>IF($BI207&lt;&gt;"",IF('Capacity summary'!$C$14="Yes",IF(COUNTBLANK('Capacity summary'!$H119:$BG119)&lt;52,IF('Capacity summary'!AU119&lt;&gt;"",$BI207*AU207,0),AU207*$BI207),AU207*$BI207),0)</f>
        <v>0</v>
      </c>
      <c r="CY207" s="5">
        <f>IF($BI207&lt;&gt;"",IF('Capacity summary'!$C$14="Yes",IF(COUNTBLANK('Capacity summary'!$H119:$BG119)&lt;52,IF('Capacity summary'!AV119&lt;&gt;"",$BI207*AV207,0),AV207*$BI207),AV207*$BI207),0)</f>
        <v>0</v>
      </c>
      <c r="CZ207" s="5">
        <f>IF($BI207&lt;&gt;"",IF('Capacity summary'!$C$14="Yes",IF(COUNTBLANK('Capacity summary'!$H119:$BG119)&lt;52,IF('Capacity summary'!AW119&lt;&gt;"",$BI207*AW207,0),AW207*$BI207),AW207*$BI207),0)</f>
        <v>0</v>
      </c>
      <c r="DA207" s="5">
        <f>IF($BI207&lt;&gt;"",IF('Capacity summary'!$C$14="Yes",IF(COUNTBLANK('Capacity summary'!$H119:$BG119)&lt;52,IF('Capacity summary'!AX119&lt;&gt;"",$BI207*AX207,0),AX207*$BI207),AX207*$BI207),0)</f>
        <v>0</v>
      </c>
      <c r="DB207" s="5">
        <f>IF($BI207&lt;&gt;"",IF('Capacity summary'!$C$14="Yes",IF(COUNTBLANK('Capacity summary'!$H119:$BG119)&lt;52,IF('Capacity summary'!AY119&lt;&gt;"",$BI207*AY207,0),AY207*$BI207),AY207*$BI207),0)</f>
        <v>0</v>
      </c>
      <c r="DC207" s="5">
        <f>IF($BI207&lt;&gt;"",IF('Capacity summary'!$C$14="Yes",IF(COUNTBLANK('Capacity summary'!$H119:$BG119)&lt;52,IF('Capacity summary'!AZ119&lt;&gt;"",$BI207*AZ207,0),AZ207*$BI207),AZ207*$BI207),0)</f>
        <v>0</v>
      </c>
      <c r="DD207" s="5">
        <f>IF($BI207&lt;&gt;"",IF('Capacity summary'!$C$14="Yes",IF(COUNTBLANK('Capacity summary'!$H119:$BG119)&lt;52,IF('Capacity summary'!BA119&lt;&gt;"",$BI207*BA207,0),BA207*$BI207),BA207*$BI207),0)</f>
        <v>0</v>
      </c>
      <c r="DE207" s="5">
        <f>IF($BI207&lt;&gt;"",IF('Capacity summary'!$C$14="Yes",IF(COUNTBLANK('Capacity summary'!$H119:$BG119)&lt;52,IF('Capacity summary'!BB119&lt;&gt;"",$BI207*BB207,0),BB207*$BI207),BB207*$BI207),0)</f>
        <v>0</v>
      </c>
      <c r="DF207" s="5">
        <f>IF($BI207&lt;&gt;"",IF('Capacity summary'!$C$14="Yes",IF(COUNTBLANK('Capacity summary'!$H119:$BG119)&lt;52,IF('Capacity summary'!BC119&lt;&gt;"",$BI207*BC207,0),BC207*$BI207),BC207*$BI207),0)</f>
        <v>0</v>
      </c>
      <c r="DG207" s="5">
        <f>IF($BI207&lt;&gt;"",IF('Capacity summary'!$C$14="Yes",IF(COUNTBLANK('Capacity summary'!$H119:$BG119)&lt;52,IF('Capacity summary'!BD119&lt;&gt;"",$BI207*BD207,0),BD207*$BI207),BD207*$BI207),0)</f>
        <v>0</v>
      </c>
      <c r="DH207" s="5">
        <f>IF($BI207&lt;&gt;"",IF('Capacity summary'!$C$14="Yes",IF(COUNTBLANK('Capacity summary'!$H119:$BG119)&lt;52,IF('Capacity summary'!BE119&lt;&gt;"",$BI207*BE207,0),BE207*$BI207),BE207*$BI207),0)</f>
        <v>0</v>
      </c>
      <c r="DI207" s="5">
        <f>IF($BI207&lt;&gt;"",IF('Capacity summary'!$C$14="Yes",IF(COUNTBLANK('Capacity summary'!$H119:$BG119)&lt;52,IF('Capacity summary'!BF119&lt;&gt;"",$BI207*BF207,0),BF207*$BI207),BF207*$BI207),0)</f>
        <v>0</v>
      </c>
      <c r="DJ207" s="5">
        <f>IF($BI207&lt;&gt;"",IF('Capacity summary'!$C$14="Yes",IF(COUNTBLANK('Capacity summary'!$H119:$BG119)&lt;52,IF('Capacity summary'!BG119&lt;&gt;"",$BI207*BG207,0),BG207*$BI207),BG207*$BI207),0)</f>
        <v>0</v>
      </c>
      <c r="DK207" s="138">
        <f t="shared" si="7"/>
        <v>0</v>
      </c>
    </row>
    <row r="208" spans="3:115" x14ac:dyDescent="0.2">
      <c r="C208" s="68" t="str">
        <f>ROW(A97)&amp;". "&amp;Capacity!N113</f>
        <v xml:space="preserve">97. </v>
      </c>
      <c r="D208" s="68">
        <f>'Capacity setup'!C214</f>
        <v>0</v>
      </c>
      <c r="E208" s="68">
        <f>'Capacity setup'!D214</f>
        <v>0</v>
      </c>
      <c r="F208" s="68">
        <f>'Capacity setup'!E214</f>
        <v>0</v>
      </c>
      <c r="H208" s="68">
        <f ca="1">IF(AND(SUMIF(Capacity_Resource,$D208,'Critical resources (hide)'!U$6:U$105)+SUMIF(Capacity_Resource,$E208,'Critical resources (hide)'!U$6:U$105)+SUMIF(Capacity_Resource,$F208,'Critical resources (hide)'!U$6:U$105)&gt;0,$E$1=2),0,1)</f>
        <v>1</v>
      </c>
      <c r="I208" s="68">
        <f ca="1">IF(AND(SUMIF(Capacity_Resource,$D208,'Critical resources (hide)'!V$6:V$105)+SUMIF(Capacity_Resource,$E208,'Critical resources (hide)'!V$6:V$105)+SUMIF(Capacity_Resource,$F208,'Critical resources (hide)'!V$6:V$105)&gt;0,$E$1=2),0,1)</f>
        <v>1</v>
      </c>
      <c r="J208" s="68">
        <f ca="1">IF(AND(SUMIF(Capacity_Resource,$D208,'Critical resources (hide)'!W$6:W$105)+SUMIF(Capacity_Resource,$E208,'Critical resources (hide)'!W$6:W$105)+SUMIF(Capacity_Resource,$F208,'Critical resources (hide)'!W$6:W$105)&gt;0,$E$1=2),0,1)</f>
        <v>1</v>
      </c>
      <c r="K208" s="68">
        <f ca="1">IF(AND(SUMIF(Capacity_Resource,$D208,'Critical resources (hide)'!X$6:X$105)+SUMIF(Capacity_Resource,$E208,'Critical resources (hide)'!X$6:X$105)+SUMIF(Capacity_Resource,$F208,'Critical resources (hide)'!X$6:X$105)&gt;0,$E$1=2),0,1)</f>
        <v>1</v>
      </c>
      <c r="L208" s="68">
        <f ca="1">IF(AND(SUMIF(Capacity_Resource,$D208,'Critical resources (hide)'!Y$6:Y$105)+SUMIF(Capacity_Resource,$E208,'Critical resources (hide)'!Y$6:Y$105)+SUMIF(Capacity_Resource,$F208,'Critical resources (hide)'!Y$6:Y$105)&gt;0,$E$1=2),0,1)</f>
        <v>1</v>
      </c>
      <c r="M208" s="68">
        <f ca="1">IF(AND(SUMIF(Capacity_Resource,$D208,'Critical resources (hide)'!Z$6:Z$105)+SUMIF(Capacity_Resource,$E208,'Critical resources (hide)'!Z$6:Z$105)+SUMIF(Capacity_Resource,$F208,'Critical resources (hide)'!Z$6:Z$105)&gt;0,$E$1=2),0,1)</f>
        <v>1</v>
      </c>
      <c r="N208" s="68">
        <f ca="1">IF(AND(SUMIF(Capacity_Resource,$D208,'Critical resources (hide)'!AA$6:AA$105)+SUMIF(Capacity_Resource,$E208,'Critical resources (hide)'!AA$6:AA$105)+SUMIF(Capacity_Resource,$F208,'Critical resources (hide)'!AA$6:AA$105)&gt;0,$E$1=2),0,1)</f>
        <v>1</v>
      </c>
      <c r="O208" s="68">
        <f ca="1">IF(AND(SUMIF(Capacity_Resource,$D208,'Critical resources (hide)'!AB$6:AB$105)+SUMIF(Capacity_Resource,$E208,'Critical resources (hide)'!AB$6:AB$105)+SUMIF(Capacity_Resource,$F208,'Critical resources (hide)'!AB$6:AB$105)&gt;0,$E$1=2),0,1)</f>
        <v>1</v>
      </c>
      <c r="P208" s="68">
        <f ca="1">IF(AND(SUMIF(Capacity_Resource,$D208,'Critical resources (hide)'!AC$6:AC$105)+SUMIF(Capacity_Resource,$E208,'Critical resources (hide)'!AC$6:AC$105)+SUMIF(Capacity_Resource,$F208,'Critical resources (hide)'!AC$6:AC$105)&gt;0,$E$1=2),0,1)</f>
        <v>1</v>
      </c>
      <c r="Q208" s="68">
        <f ca="1">IF(AND(SUMIF(Capacity_Resource,$D208,'Critical resources (hide)'!AD$6:AD$105)+SUMIF(Capacity_Resource,$E208,'Critical resources (hide)'!AD$6:AD$105)+SUMIF(Capacity_Resource,$F208,'Critical resources (hide)'!AD$6:AD$105)&gt;0,$E$1=2),0,1)</f>
        <v>1</v>
      </c>
      <c r="R208" s="68">
        <f ca="1">IF(AND(SUMIF(Capacity_Resource,$D208,'Critical resources (hide)'!AE$6:AE$105)+SUMIF(Capacity_Resource,$E208,'Critical resources (hide)'!AE$6:AE$105)+SUMIF(Capacity_Resource,$F208,'Critical resources (hide)'!AE$6:AE$105)&gt;0,$E$1=2),0,1)</f>
        <v>1</v>
      </c>
      <c r="S208" s="68">
        <f ca="1">IF(AND(SUMIF(Capacity_Resource,$D208,'Critical resources (hide)'!AF$6:AF$105)+SUMIF(Capacity_Resource,$E208,'Critical resources (hide)'!AF$6:AF$105)+SUMIF(Capacity_Resource,$F208,'Critical resources (hide)'!AF$6:AF$105)&gt;0,$E$1=2),0,1)</f>
        <v>1</v>
      </c>
      <c r="T208" s="68">
        <f ca="1">IF(AND(SUMIF(Capacity_Resource,$D208,'Critical resources (hide)'!AG$6:AG$105)+SUMIF(Capacity_Resource,$E208,'Critical resources (hide)'!AG$6:AG$105)+SUMIF(Capacity_Resource,$F208,'Critical resources (hide)'!AG$6:AG$105)&gt;0,$E$1=2),0,1)</f>
        <v>1</v>
      </c>
      <c r="U208" s="68">
        <f ca="1">IF(AND(SUMIF(Capacity_Resource,$D208,'Critical resources (hide)'!AH$6:AH$105)+SUMIF(Capacity_Resource,$E208,'Critical resources (hide)'!AH$6:AH$105)+SUMIF(Capacity_Resource,$F208,'Critical resources (hide)'!AH$6:AH$105)&gt;0,$E$1=2),0,1)</f>
        <v>1</v>
      </c>
      <c r="V208" s="68">
        <f ca="1">IF(AND(SUMIF(Capacity_Resource,$D208,'Critical resources (hide)'!AI$6:AI$105)+SUMIF(Capacity_Resource,$E208,'Critical resources (hide)'!AI$6:AI$105)+SUMIF(Capacity_Resource,$F208,'Critical resources (hide)'!AI$6:AI$105)&gt;0,$E$1=2),0,1)</f>
        <v>1</v>
      </c>
      <c r="W208" s="68">
        <f ca="1">IF(AND(SUMIF(Capacity_Resource,$D208,'Critical resources (hide)'!AJ$6:AJ$105)+SUMIF(Capacity_Resource,$E208,'Critical resources (hide)'!AJ$6:AJ$105)+SUMIF(Capacity_Resource,$F208,'Critical resources (hide)'!AJ$6:AJ$105)&gt;0,$E$1=2),0,1)</f>
        <v>1</v>
      </c>
      <c r="X208" s="68">
        <f ca="1">IF(AND(SUMIF(Capacity_Resource,$D208,'Critical resources (hide)'!AK$6:AK$105)+SUMIF(Capacity_Resource,$E208,'Critical resources (hide)'!AK$6:AK$105)+SUMIF(Capacity_Resource,$F208,'Critical resources (hide)'!AK$6:AK$105)&gt;0,$E$1=2),0,1)</f>
        <v>1</v>
      </c>
      <c r="Y208" s="68">
        <f ca="1">IF(AND(SUMIF(Capacity_Resource,$D208,'Critical resources (hide)'!AL$6:AL$105)+SUMIF(Capacity_Resource,$E208,'Critical resources (hide)'!AL$6:AL$105)+SUMIF(Capacity_Resource,$F208,'Critical resources (hide)'!AL$6:AL$105)&gt;0,$E$1=2),0,1)</f>
        <v>1</v>
      </c>
      <c r="Z208" s="68">
        <f ca="1">IF(AND(SUMIF(Capacity_Resource,$D208,'Critical resources (hide)'!AM$6:AM$105)+SUMIF(Capacity_Resource,$E208,'Critical resources (hide)'!AM$6:AM$105)+SUMIF(Capacity_Resource,$F208,'Critical resources (hide)'!AM$6:AM$105)&gt;0,$E$1=2),0,1)</f>
        <v>1</v>
      </c>
      <c r="AA208" s="68">
        <f ca="1">IF(AND(SUMIF(Capacity_Resource,$D208,'Critical resources (hide)'!AN$6:AN$105)+SUMIF(Capacity_Resource,$E208,'Critical resources (hide)'!AN$6:AN$105)+SUMIF(Capacity_Resource,$F208,'Critical resources (hide)'!AN$6:AN$105)&gt;0,$E$1=2),0,1)</f>
        <v>1</v>
      </c>
      <c r="AB208" s="68">
        <f ca="1">IF(AND(SUMIF(Capacity_Resource,$D208,'Critical resources (hide)'!AO$6:AO$105)+SUMIF(Capacity_Resource,$E208,'Critical resources (hide)'!AO$6:AO$105)+SUMIF(Capacity_Resource,$F208,'Critical resources (hide)'!AO$6:AO$105)&gt;0,$E$1=2),0,1)</f>
        <v>1</v>
      </c>
      <c r="AC208" s="68">
        <f ca="1">IF(AND(SUMIF(Capacity_Resource,$D208,'Critical resources (hide)'!AP$6:AP$105)+SUMIF(Capacity_Resource,$E208,'Critical resources (hide)'!AP$6:AP$105)+SUMIF(Capacity_Resource,$F208,'Critical resources (hide)'!AP$6:AP$105)&gt;0,$E$1=2),0,1)</f>
        <v>1</v>
      </c>
      <c r="AD208" s="68">
        <f ca="1">IF(AND(SUMIF(Capacity_Resource,$D208,'Critical resources (hide)'!AQ$6:AQ$105)+SUMIF(Capacity_Resource,$E208,'Critical resources (hide)'!AQ$6:AQ$105)+SUMIF(Capacity_Resource,$F208,'Critical resources (hide)'!AQ$6:AQ$105)&gt;0,$E$1=2),0,1)</f>
        <v>1</v>
      </c>
      <c r="AE208" s="68">
        <f ca="1">IF(AND(SUMIF(Capacity_Resource,$D208,'Critical resources (hide)'!AR$6:AR$105)+SUMIF(Capacity_Resource,$E208,'Critical resources (hide)'!AR$6:AR$105)+SUMIF(Capacity_Resource,$F208,'Critical resources (hide)'!AR$6:AR$105)&gt;0,$E$1=2),0,1)</f>
        <v>1</v>
      </c>
      <c r="AF208" s="68">
        <f ca="1">IF(AND(SUMIF(Capacity_Resource,$D208,'Critical resources (hide)'!AS$6:AS$105)+SUMIF(Capacity_Resource,$E208,'Critical resources (hide)'!AS$6:AS$105)+SUMIF(Capacity_Resource,$F208,'Critical resources (hide)'!AS$6:AS$105)&gt;0,$E$1=2),0,1)</f>
        <v>1</v>
      </c>
      <c r="AG208" s="68">
        <f ca="1">IF(AND(SUMIF(Capacity_Resource,$D208,'Critical resources (hide)'!AT$6:AT$105)+SUMIF(Capacity_Resource,$E208,'Critical resources (hide)'!AT$6:AT$105)+SUMIF(Capacity_Resource,$F208,'Critical resources (hide)'!AT$6:AT$105)&gt;0,$E$1=2),0,1)</f>
        <v>1</v>
      </c>
      <c r="AH208" s="68">
        <f ca="1">IF(AND(SUMIF(Capacity_Resource,$D208,'Critical resources (hide)'!AU$6:AU$105)+SUMIF(Capacity_Resource,$E208,'Critical resources (hide)'!AU$6:AU$105)+SUMIF(Capacity_Resource,$F208,'Critical resources (hide)'!AU$6:AU$105)&gt;0,$E$1=2),0,1)</f>
        <v>1</v>
      </c>
      <c r="AI208" s="68">
        <f ca="1">IF(AND(SUMIF(Capacity_Resource,$D208,'Critical resources (hide)'!AV$6:AV$105)+SUMIF(Capacity_Resource,$E208,'Critical resources (hide)'!AV$6:AV$105)+SUMIF(Capacity_Resource,$F208,'Critical resources (hide)'!AV$6:AV$105)&gt;0,$E$1=2),0,1)</f>
        <v>1</v>
      </c>
      <c r="AJ208" s="68">
        <f ca="1">IF(AND(SUMIF(Capacity_Resource,$D208,'Critical resources (hide)'!AW$6:AW$105)+SUMIF(Capacity_Resource,$E208,'Critical resources (hide)'!AW$6:AW$105)+SUMIF(Capacity_Resource,$F208,'Critical resources (hide)'!AW$6:AW$105)&gt;0,$E$1=2),0,1)</f>
        <v>1</v>
      </c>
      <c r="AK208" s="68">
        <f ca="1">IF(AND(SUMIF(Capacity_Resource,$D208,'Critical resources (hide)'!AX$6:AX$105)+SUMIF(Capacity_Resource,$E208,'Critical resources (hide)'!AX$6:AX$105)+SUMIF(Capacity_Resource,$F208,'Critical resources (hide)'!AX$6:AX$105)&gt;0,$E$1=2),0,1)</f>
        <v>1</v>
      </c>
      <c r="AL208" s="68">
        <f ca="1">IF(AND(SUMIF(Capacity_Resource,$D208,'Critical resources (hide)'!AY$6:AY$105)+SUMIF(Capacity_Resource,$E208,'Critical resources (hide)'!AY$6:AY$105)+SUMIF(Capacity_Resource,$F208,'Critical resources (hide)'!AY$6:AY$105)&gt;0,$E$1=2),0,1)</f>
        <v>1</v>
      </c>
      <c r="AM208" s="68">
        <f ca="1">IF(AND(SUMIF(Capacity_Resource,$D208,'Critical resources (hide)'!AZ$6:AZ$105)+SUMIF(Capacity_Resource,$E208,'Critical resources (hide)'!AZ$6:AZ$105)+SUMIF(Capacity_Resource,$F208,'Critical resources (hide)'!AZ$6:AZ$105)&gt;0,$E$1=2),0,1)</f>
        <v>1</v>
      </c>
      <c r="AN208" s="68">
        <f ca="1">IF(AND(SUMIF(Capacity_Resource,$D208,'Critical resources (hide)'!BA$6:BA$105)+SUMIF(Capacity_Resource,$E208,'Critical resources (hide)'!BA$6:BA$105)+SUMIF(Capacity_Resource,$F208,'Critical resources (hide)'!BA$6:BA$105)&gt;0,$E$1=2),0,1)</f>
        <v>1</v>
      </c>
      <c r="AO208" s="68">
        <f ca="1">IF(AND(SUMIF(Capacity_Resource,$D208,'Critical resources (hide)'!BB$6:BB$105)+SUMIF(Capacity_Resource,$E208,'Critical resources (hide)'!BB$6:BB$105)+SUMIF(Capacity_Resource,$F208,'Critical resources (hide)'!BB$6:BB$105)&gt;0,$E$1=2),0,1)</f>
        <v>1</v>
      </c>
      <c r="AP208" s="68">
        <f ca="1">IF(AND(SUMIF(Capacity_Resource,$D208,'Critical resources (hide)'!BC$6:BC$105)+SUMIF(Capacity_Resource,$E208,'Critical resources (hide)'!BC$6:BC$105)+SUMIF(Capacity_Resource,$F208,'Critical resources (hide)'!BC$6:BC$105)&gt;0,$E$1=2),0,1)</f>
        <v>1</v>
      </c>
      <c r="AQ208" s="68">
        <f ca="1">IF(AND(SUMIF(Capacity_Resource,$D208,'Critical resources (hide)'!BD$6:BD$105)+SUMIF(Capacity_Resource,$E208,'Critical resources (hide)'!BD$6:BD$105)+SUMIF(Capacity_Resource,$F208,'Critical resources (hide)'!BD$6:BD$105)&gt;0,$E$1=2),0,1)</f>
        <v>1</v>
      </c>
      <c r="AR208" s="68">
        <f ca="1">IF(AND(SUMIF(Capacity_Resource,$D208,'Critical resources (hide)'!BE$6:BE$105)+SUMIF(Capacity_Resource,$E208,'Critical resources (hide)'!BE$6:BE$105)+SUMIF(Capacity_Resource,$F208,'Critical resources (hide)'!BE$6:BE$105)&gt;0,$E$1=2),0,1)</f>
        <v>1</v>
      </c>
      <c r="AS208" s="68">
        <f ca="1">IF(AND(SUMIF(Capacity_Resource,$D208,'Critical resources (hide)'!BF$6:BF$105)+SUMIF(Capacity_Resource,$E208,'Critical resources (hide)'!BF$6:BF$105)+SUMIF(Capacity_Resource,$F208,'Critical resources (hide)'!BF$6:BF$105)&gt;0,$E$1=2),0,1)</f>
        <v>1</v>
      </c>
      <c r="AT208" s="68">
        <f ca="1">IF(AND(SUMIF(Capacity_Resource,$D208,'Critical resources (hide)'!BG$6:BG$105)+SUMIF(Capacity_Resource,$E208,'Critical resources (hide)'!BG$6:BG$105)+SUMIF(Capacity_Resource,$F208,'Critical resources (hide)'!BG$6:BG$105)&gt;0,$E$1=2),0,1)</f>
        <v>1</v>
      </c>
      <c r="AU208" s="68">
        <f ca="1">IF(AND(SUMIF(Capacity_Resource,$D208,'Critical resources (hide)'!BH$6:BH$105)+SUMIF(Capacity_Resource,$E208,'Critical resources (hide)'!BH$6:BH$105)+SUMIF(Capacity_Resource,$F208,'Critical resources (hide)'!BH$6:BH$105)&gt;0,$E$1=2),0,1)</f>
        <v>1</v>
      </c>
      <c r="AV208" s="68">
        <f ca="1">IF(AND(SUMIF(Capacity_Resource,$D208,'Critical resources (hide)'!BI$6:BI$105)+SUMIF(Capacity_Resource,$E208,'Critical resources (hide)'!BI$6:BI$105)+SUMIF(Capacity_Resource,$F208,'Critical resources (hide)'!BI$6:BI$105)&gt;0,$E$1=2),0,1)</f>
        <v>1</v>
      </c>
      <c r="AW208" s="68">
        <f ca="1">IF(AND(SUMIF(Capacity_Resource,$D208,'Critical resources (hide)'!BJ$6:BJ$105)+SUMIF(Capacity_Resource,$E208,'Critical resources (hide)'!BJ$6:BJ$105)+SUMIF(Capacity_Resource,$F208,'Critical resources (hide)'!BJ$6:BJ$105)&gt;0,$E$1=2),0,1)</f>
        <v>1</v>
      </c>
      <c r="AX208" s="68">
        <f ca="1">IF(AND(SUMIF(Capacity_Resource,$D208,'Critical resources (hide)'!BK$6:BK$105)+SUMIF(Capacity_Resource,$E208,'Critical resources (hide)'!BK$6:BK$105)+SUMIF(Capacity_Resource,$F208,'Critical resources (hide)'!BK$6:BK$105)&gt;0,$E$1=2),0,1)</f>
        <v>1</v>
      </c>
      <c r="AY208" s="68">
        <f ca="1">IF(AND(SUMIF(Capacity_Resource,$D208,'Critical resources (hide)'!BL$6:BL$105)+SUMIF(Capacity_Resource,$E208,'Critical resources (hide)'!BL$6:BL$105)+SUMIF(Capacity_Resource,$F208,'Critical resources (hide)'!BL$6:BL$105)&gt;0,$E$1=2),0,1)</f>
        <v>1</v>
      </c>
      <c r="AZ208" s="68">
        <f ca="1">IF(AND(SUMIF(Capacity_Resource,$D208,'Critical resources (hide)'!BM$6:BM$105)+SUMIF(Capacity_Resource,$E208,'Critical resources (hide)'!BM$6:BM$105)+SUMIF(Capacity_Resource,$F208,'Critical resources (hide)'!BM$6:BM$105)&gt;0,$E$1=2),0,1)</f>
        <v>1</v>
      </c>
      <c r="BA208" s="68">
        <f ca="1">IF(AND(SUMIF(Capacity_Resource,$D208,'Critical resources (hide)'!BN$6:BN$105)+SUMIF(Capacity_Resource,$E208,'Critical resources (hide)'!BN$6:BN$105)+SUMIF(Capacity_Resource,$F208,'Critical resources (hide)'!BN$6:BN$105)&gt;0,$E$1=2),0,1)</f>
        <v>1</v>
      </c>
      <c r="BB208" s="68">
        <f ca="1">IF(AND(SUMIF(Capacity_Resource,$D208,'Critical resources (hide)'!BO$6:BO$105)+SUMIF(Capacity_Resource,$E208,'Critical resources (hide)'!BO$6:BO$105)+SUMIF(Capacity_Resource,$F208,'Critical resources (hide)'!BO$6:BO$105)&gt;0,$E$1=2),0,1)</f>
        <v>1</v>
      </c>
      <c r="BC208" s="68">
        <f ca="1">IF(AND(SUMIF(Capacity_Resource,$D208,'Critical resources (hide)'!BP$6:BP$105)+SUMIF(Capacity_Resource,$E208,'Critical resources (hide)'!BP$6:BP$105)+SUMIF(Capacity_Resource,$F208,'Critical resources (hide)'!BP$6:BP$105)&gt;0,$E$1=2),0,1)</f>
        <v>1</v>
      </c>
      <c r="BD208" s="68">
        <f ca="1">IF(AND(SUMIF(Capacity_Resource,$D208,'Critical resources (hide)'!BQ$6:BQ$105)+SUMIF(Capacity_Resource,$E208,'Critical resources (hide)'!BQ$6:BQ$105)+SUMIF(Capacity_Resource,$F208,'Critical resources (hide)'!BQ$6:BQ$105)&gt;0,$E$1=2),0,1)</f>
        <v>1</v>
      </c>
      <c r="BE208" s="68">
        <f ca="1">IF(AND(SUMIF(Capacity_Resource,$D208,'Critical resources (hide)'!BR$6:BR$105)+SUMIF(Capacity_Resource,$E208,'Critical resources (hide)'!BR$6:BR$105)+SUMIF(Capacity_Resource,$F208,'Critical resources (hide)'!BR$6:BR$105)&gt;0,$E$1=2),0,1)</f>
        <v>1</v>
      </c>
      <c r="BF208" s="68">
        <f ca="1">IF(AND(SUMIF(Capacity_Resource,$D208,'Critical resources (hide)'!BS$6:BS$105)+SUMIF(Capacity_Resource,$E208,'Critical resources (hide)'!BS$6:BS$105)+SUMIF(Capacity_Resource,$F208,'Critical resources (hide)'!BS$6:BS$105)&gt;0,$E$1=2),0,1)</f>
        <v>1</v>
      </c>
      <c r="BG208" s="68">
        <f ca="1">IF(AND(SUMIF(Capacity_Resource,$D208,'Critical resources (hide)'!BT$6:BT$105)+SUMIF(Capacity_Resource,$E208,'Critical resources (hide)'!BT$6:BT$105)+SUMIF(Capacity_Resource,$F208,'Critical resources (hide)'!BT$6:BT$105)&gt;0,$E$1=2),0,1)</f>
        <v>1</v>
      </c>
      <c r="BH208" s="68">
        <f>IF(ROW(A97)&lt;=Capacity!$M$16,IF('Capacity summary'!$C$14="No",SUM(H208:BG208),'Capacity summary'!$E120),0)</f>
        <v>0</v>
      </c>
      <c r="BI208" s="68" t="str">
        <f>IF(BH208&gt;0,IF(BH208&lt;Capacity!Q113,Capacity!R113,Capacity!T113/'Capacity calculation (hide)'!BH208),"")</f>
        <v/>
      </c>
      <c r="BJ208" s="5"/>
      <c r="BK208" s="5">
        <f>IF($BI208&lt;&gt;"",IF('Capacity summary'!$C$14="Yes",IF(COUNTBLANK('Capacity summary'!$H120:$BG120)&lt;52,IF('Capacity summary'!H120&lt;&gt;"",$BI208*H208,0),H208*$BI208),H208*$BI208),0)</f>
        <v>0</v>
      </c>
      <c r="BL208" s="5">
        <f>IF($BI208&lt;&gt;"",IF('Capacity summary'!$C$14="Yes",IF(COUNTBLANK('Capacity summary'!$H120:$BG120)&lt;52,IF('Capacity summary'!I120&lt;&gt;"",$BI208*I208,0),I208*$BI208),I208*$BI208),0)</f>
        <v>0</v>
      </c>
      <c r="BM208" s="5">
        <f>IF($BI208&lt;&gt;"",IF('Capacity summary'!$C$14="Yes",IF(COUNTBLANK('Capacity summary'!$H120:$BG120)&lt;52,IF('Capacity summary'!J120&lt;&gt;"",$BI208*J208,0),J208*$BI208),J208*$BI208),0)</f>
        <v>0</v>
      </c>
      <c r="BN208" s="5">
        <f>IF($BI208&lt;&gt;"",IF('Capacity summary'!$C$14="Yes",IF(COUNTBLANK('Capacity summary'!$H120:$BG120)&lt;52,IF('Capacity summary'!K120&lt;&gt;"",$BI208*K208,0),K208*$BI208),K208*$BI208),0)</f>
        <v>0</v>
      </c>
      <c r="BO208" s="5">
        <f>IF($BI208&lt;&gt;"",IF('Capacity summary'!$C$14="Yes",IF(COUNTBLANK('Capacity summary'!$H120:$BG120)&lt;52,IF('Capacity summary'!L120&lt;&gt;"",$BI208*L208,0),L208*$BI208),L208*$BI208),0)</f>
        <v>0</v>
      </c>
      <c r="BP208" s="5">
        <f>IF($BI208&lt;&gt;"",IF('Capacity summary'!$C$14="Yes",IF(COUNTBLANK('Capacity summary'!$H120:$BG120)&lt;52,IF('Capacity summary'!M120&lt;&gt;"",$BI208*M208,0),M208*$BI208),M208*$BI208),0)</f>
        <v>0</v>
      </c>
      <c r="BQ208" s="5">
        <f>IF($BI208&lt;&gt;"",IF('Capacity summary'!$C$14="Yes",IF(COUNTBLANK('Capacity summary'!$H120:$BG120)&lt;52,IF('Capacity summary'!N120&lt;&gt;"",$BI208*N208,0),N208*$BI208),N208*$BI208),0)</f>
        <v>0</v>
      </c>
      <c r="BR208" s="5">
        <f>IF($BI208&lt;&gt;"",IF('Capacity summary'!$C$14="Yes",IF(COUNTBLANK('Capacity summary'!$H120:$BG120)&lt;52,IF('Capacity summary'!O120&lt;&gt;"",$BI208*O208,0),O208*$BI208),O208*$BI208),0)</f>
        <v>0</v>
      </c>
      <c r="BS208" s="5">
        <f>IF($BI208&lt;&gt;"",IF('Capacity summary'!$C$14="Yes",IF(COUNTBLANK('Capacity summary'!$H120:$BG120)&lt;52,IF('Capacity summary'!P120&lt;&gt;"",$BI208*P208,0),P208*$BI208),P208*$BI208),0)</f>
        <v>0</v>
      </c>
      <c r="BT208" s="5">
        <f>IF($BI208&lt;&gt;"",IF('Capacity summary'!$C$14="Yes",IF(COUNTBLANK('Capacity summary'!$H120:$BG120)&lt;52,IF('Capacity summary'!Q120&lt;&gt;"",$BI208*Q208,0),Q208*$BI208),Q208*$BI208),0)</f>
        <v>0</v>
      </c>
      <c r="BU208" s="5">
        <f>IF($BI208&lt;&gt;"",IF('Capacity summary'!$C$14="Yes",IF(COUNTBLANK('Capacity summary'!$H120:$BG120)&lt;52,IF('Capacity summary'!R120&lt;&gt;"",$BI208*R208,0),R208*$BI208),R208*$BI208),0)</f>
        <v>0</v>
      </c>
      <c r="BV208" s="5">
        <f>IF($BI208&lt;&gt;"",IF('Capacity summary'!$C$14="Yes",IF(COUNTBLANK('Capacity summary'!$H120:$BG120)&lt;52,IF('Capacity summary'!S120&lt;&gt;"",$BI208*S208,0),S208*$BI208),S208*$BI208),0)</f>
        <v>0</v>
      </c>
      <c r="BW208" s="5">
        <f>IF($BI208&lt;&gt;"",IF('Capacity summary'!$C$14="Yes",IF(COUNTBLANK('Capacity summary'!$H120:$BG120)&lt;52,IF('Capacity summary'!T120&lt;&gt;"",$BI208*T208,0),T208*$BI208),T208*$BI208),0)</f>
        <v>0</v>
      </c>
      <c r="BX208" s="5">
        <f>IF($BI208&lt;&gt;"",IF('Capacity summary'!$C$14="Yes",IF(COUNTBLANK('Capacity summary'!$H120:$BG120)&lt;52,IF('Capacity summary'!U120&lt;&gt;"",$BI208*U208,0),U208*$BI208),U208*$BI208),0)</f>
        <v>0</v>
      </c>
      <c r="BY208" s="5">
        <f>IF($BI208&lt;&gt;"",IF('Capacity summary'!$C$14="Yes",IF(COUNTBLANK('Capacity summary'!$H120:$BG120)&lt;52,IF('Capacity summary'!V120&lt;&gt;"",$BI208*V208,0),V208*$BI208),V208*$BI208),0)</f>
        <v>0</v>
      </c>
      <c r="BZ208" s="5">
        <f>IF($BI208&lt;&gt;"",IF('Capacity summary'!$C$14="Yes",IF(COUNTBLANK('Capacity summary'!$H120:$BG120)&lt;52,IF('Capacity summary'!W120&lt;&gt;"",$BI208*W208,0),W208*$BI208),W208*$BI208),0)</f>
        <v>0</v>
      </c>
      <c r="CA208" s="5">
        <f>IF($BI208&lt;&gt;"",IF('Capacity summary'!$C$14="Yes",IF(COUNTBLANK('Capacity summary'!$H120:$BG120)&lt;52,IF('Capacity summary'!X120&lt;&gt;"",$BI208*X208,0),X208*$BI208),X208*$BI208),0)</f>
        <v>0</v>
      </c>
      <c r="CB208" s="5">
        <f>IF($BI208&lt;&gt;"",IF('Capacity summary'!$C$14="Yes",IF(COUNTBLANK('Capacity summary'!$H120:$BG120)&lt;52,IF('Capacity summary'!Y120&lt;&gt;"",$BI208*Y208,0),Y208*$BI208),Y208*$BI208),0)</f>
        <v>0</v>
      </c>
      <c r="CC208" s="5">
        <f>IF($BI208&lt;&gt;"",IF('Capacity summary'!$C$14="Yes",IF(COUNTBLANK('Capacity summary'!$H120:$BG120)&lt;52,IF('Capacity summary'!Z120&lt;&gt;"",$BI208*Z208,0),Z208*$BI208),Z208*$BI208),0)</f>
        <v>0</v>
      </c>
      <c r="CD208" s="5">
        <f>IF($BI208&lt;&gt;"",IF('Capacity summary'!$C$14="Yes",IF(COUNTBLANK('Capacity summary'!$H120:$BG120)&lt;52,IF('Capacity summary'!AA120&lt;&gt;"",$BI208*AA208,0),AA208*$BI208),AA208*$BI208),0)</f>
        <v>0</v>
      </c>
      <c r="CE208" s="5">
        <f>IF($BI208&lt;&gt;"",IF('Capacity summary'!$C$14="Yes",IF(COUNTBLANK('Capacity summary'!$H120:$BG120)&lt;52,IF('Capacity summary'!AB120&lt;&gt;"",$BI208*AB208,0),AB208*$BI208),AB208*$BI208),0)</f>
        <v>0</v>
      </c>
      <c r="CF208" s="5">
        <f>IF($BI208&lt;&gt;"",IF('Capacity summary'!$C$14="Yes",IF(COUNTBLANK('Capacity summary'!$H120:$BG120)&lt;52,IF('Capacity summary'!AC120&lt;&gt;"",$BI208*AC208,0),AC208*$BI208),AC208*$BI208),0)</f>
        <v>0</v>
      </c>
      <c r="CG208" s="5">
        <f>IF($BI208&lt;&gt;"",IF('Capacity summary'!$C$14="Yes",IF(COUNTBLANK('Capacity summary'!$H120:$BG120)&lt;52,IF('Capacity summary'!AD120&lt;&gt;"",$BI208*AD208,0),AD208*$BI208),AD208*$BI208),0)</f>
        <v>0</v>
      </c>
      <c r="CH208" s="5">
        <f>IF($BI208&lt;&gt;"",IF('Capacity summary'!$C$14="Yes",IF(COUNTBLANK('Capacity summary'!$H120:$BG120)&lt;52,IF('Capacity summary'!AE120&lt;&gt;"",$BI208*AE208,0),AE208*$BI208),AE208*$BI208),0)</f>
        <v>0</v>
      </c>
      <c r="CI208" s="5">
        <f>IF($BI208&lt;&gt;"",IF('Capacity summary'!$C$14="Yes",IF(COUNTBLANK('Capacity summary'!$H120:$BG120)&lt;52,IF('Capacity summary'!AF120&lt;&gt;"",$BI208*AF208,0),AF208*$BI208),AF208*$BI208),0)</f>
        <v>0</v>
      </c>
      <c r="CJ208" s="5">
        <f>IF($BI208&lt;&gt;"",IF('Capacity summary'!$C$14="Yes",IF(COUNTBLANK('Capacity summary'!$H120:$BG120)&lt;52,IF('Capacity summary'!AG120&lt;&gt;"",$BI208*AG208,0),AG208*$BI208),AG208*$BI208),0)</f>
        <v>0</v>
      </c>
      <c r="CK208" s="5">
        <f>IF($BI208&lt;&gt;"",IF('Capacity summary'!$C$14="Yes",IF(COUNTBLANK('Capacity summary'!$H120:$BG120)&lt;52,IF('Capacity summary'!AH120&lt;&gt;"",$BI208*AH208,0),AH208*$BI208),AH208*$BI208),0)</f>
        <v>0</v>
      </c>
      <c r="CL208" s="5">
        <f>IF($BI208&lt;&gt;"",IF('Capacity summary'!$C$14="Yes",IF(COUNTBLANK('Capacity summary'!$H120:$BG120)&lt;52,IF('Capacity summary'!AI120&lt;&gt;"",$BI208*AI208,0),AI208*$BI208),AI208*$BI208),0)</f>
        <v>0</v>
      </c>
      <c r="CM208" s="5">
        <f>IF($BI208&lt;&gt;"",IF('Capacity summary'!$C$14="Yes",IF(COUNTBLANK('Capacity summary'!$H120:$BG120)&lt;52,IF('Capacity summary'!AJ120&lt;&gt;"",$BI208*AJ208,0),AJ208*$BI208),AJ208*$BI208),0)</f>
        <v>0</v>
      </c>
      <c r="CN208" s="5">
        <f>IF($BI208&lt;&gt;"",IF('Capacity summary'!$C$14="Yes",IF(COUNTBLANK('Capacity summary'!$H120:$BG120)&lt;52,IF('Capacity summary'!AK120&lt;&gt;"",$BI208*AK208,0),AK208*$BI208),AK208*$BI208),0)</f>
        <v>0</v>
      </c>
      <c r="CO208" s="5">
        <f>IF($BI208&lt;&gt;"",IF('Capacity summary'!$C$14="Yes",IF(COUNTBLANK('Capacity summary'!$H120:$BG120)&lt;52,IF('Capacity summary'!AL120&lt;&gt;"",$BI208*AL208,0),AL208*$BI208),AL208*$BI208),0)</f>
        <v>0</v>
      </c>
      <c r="CP208" s="5">
        <f>IF($BI208&lt;&gt;"",IF('Capacity summary'!$C$14="Yes",IF(COUNTBLANK('Capacity summary'!$H120:$BG120)&lt;52,IF('Capacity summary'!AM120&lt;&gt;"",$BI208*AM208,0),AM208*$BI208),AM208*$BI208),0)</f>
        <v>0</v>
      </c>
      <c r="CQ208" s="5">
        <f>IF($BI208&lt;&gt;"",IF('Capacity summary'!$C$14="Yes",IF(COUNTBLANK('Capacity summary'!$H120:$BG120)&lt;52,IF('Capacity summary'!AN120&lt;&gt;"",$BI208*AN208,0),AN208*$BI208),AN208*$BI208),0)</f>
        <v>0</v>
      </c>
      <c r="CR208" s="5">
        <f>IF($BI208&lt;&gt;"",IF('Capacity summary'!$C$14="Yes",IF(COUNTBLANK('Capacity summary'!$H120:$BG120)&lt;52,IF('Capacity summary'!AO120&lt;&gt;"",$BI208*AO208,0),AO208*$BI208),AO208*$BI208),0)</f>
        <v>0</v>
      </c>
      <c r="CS208" s="5">
        <f>IF($BI208&lt;&gt;"",IF('Capacity summary'!$C$14="Yes",IF(COUNTBLANK('Capacity summary'!$H120:$BG120)&lt;52,IF('Capacity summary'!AP120&lt;&gt;"",$BI208*AP208,0),AP208*$BI208),AP208*$BI208),0)</f>
        <v>0</v>
      </c>
      <c r="CT208" s="5">
        <f>IF($BI208&lt;&gt;"",IF('Capacity summary'!$C$14="Yes",IF(COUNTBLANK('Capacity summary'!$H120:$BG120)&lt;52,IF('Capacity summary'!AQ120&lt;&gt;"",$BI208*AQ208,0),AQ208*$BI208),AQ208*$BI208),0)</f>
        <v>0</v>
      </c>
      <c r="CU208" s="5">
        <f>IF($BI208&lt;&gt;"",IF('Capacity summary'!$C$14="Yes",IF(COUNTBLANK('Capacity summary'!$H120:$BG120)&lt;52,IF('Capacity summary'!AR120&lt;&gt;"",$BI208*AR208,0),AR208*$BI208),AR208*$BI208),0)</f>
        <v>0</v>
      </c>
      <c r="CV208" s="5">
        <f>IF($BI208&lt;&gt;"",IF('Capacity summary'!$C$14="Yes",IF(COUNTBLANK('Capacity summary'!$H120:$BG120)&lt;52,IF('Capacity summary'!AS120&lt;&gt;"",$BI208*AS208,0),AS208*$BI208),AS208*$BI208),0)</f>
        <v>0</v>
      </c>
      <c r="CW208" s="5">
        <f>IF($BI208&lt;&gt;"",IF('Capacity summary'!$C$14="Yes",IF(COUNTBLANK('Capacity summary'!$H120:$BG120)&lt;52,IF('Capacity summary'!AT120&lt;&gt;"",$BI208*AT208,0),AT208*$BI208),AT208*$BI208),0)</f>
        <v>0</v>
      </c>
      <c r="CX208" s="5">
        <f>IF($BI208&lt;&gt;"",IF('Capacity summary'!$C$14="Yes",IF(COUNTBLANK('Capacity summary'!$H120:$BG120)&lt;52,IF('Capacity summary'!AU120&lt;&gt;"",$BI208*AU208,0),AU208*$BI208),AU208*$BI208),0)</f>
        <v>0</v>
      </c>
      <c r="CY208" s="5">
        <f>IF($BI208&lt;&gt;"",IF('Capacity summary'!$C$14="Yes",IF(COUNTBLANK('Capacity summary'!$H120:$BG120)&lt;52,IF('Capacity summary'!AV120&lt;&gt;"",$BI208*AV208,0),AV208*$BI208),AV208*$BI208),0)</f>
        <v>0</v>
      </c>
      <c r="CZ208" s="5">
        <f>IF($BI208&lt;&gt;"",IF('Capacity summary'!$C$14="Yes",IF(COUNTBLANK('Capacity summary'!$H120:$BG120)&lt;52,IF('Capacity summary'!AW120&lt;&gt;"",$BI208*AW208,0),AW208*$BI208),AW208*$BI208),0)</f>
        <v>0</v>
      </c>
      <c r="DA208" s="5">
        <f>IF($BI208&lt;&gt;"",IF('Capacity summary'!$C$14="Yes",IF(COUNTBLANK('Capacity summary'!$H120:$BG120)&lt;52,IF('Capacity summary'!AX120&lt;&gt;"",$BI208*AX208,0),AX208*$BI208),AX208*$BI208),0)</f>
        <v>0</v>
      </c>
      <c r="DB208" s="5">
        <f>IF($BI208&lt;&gt;"",IF('Capacity summary'!$C$14="Yes",IF(COUNTBLANK('Capacity summary'!$H120:$BG120)&lt;52,IF('Capacity summary'!AY120&lt;&gt;"",$BI208*AY208,0),AY208*$BI208),AY208*$BI208),0)</f>
        <v>0</v>
      </c>
      <c r="DC208" s="5">
        <f>IF($BI208&lt;&gt;"",IF('Capacity summary'!$C$14="Yes",IF(COUNTBLANK('Capacity summary'!$H120:$BG120)&lt;52,IF('Capacity summary'!AZ120&lt;&gt;"",$BI208*AZ208,0),AZ208*$BI208),AZ208*$BI208),0)</f>
        <v>0</v>
      </c>
      <c r="DD208" s="5">
        <f>IF($BI208&lt;&gt;"",IF('Capacity summary'!$C$14="Yes",IF(COUNTBLANK('Capacity summary'!$H120:$BG120)&lt;52,IF('Capacity summary'!BA120&lt;&gt;"",$BI208*BA208,0),BA208*$BI208),BA208*$BI208),0)</f>
        <v>0</v>
      </c>
      <c r="DE208" s="5">
        <f>IF($BI208&lt;&gt;"",IF('Capacity summary'!$C$14="Yes",IF(COUNTBLANK('Capacity summary'!$H120:$BG120)&lt;52,IF('Capacity summary'!BB120&lt;&gt;"",$BI208*BB208,0),BB208*$BI208),BB208*$BI208),0)</f>
        <v>0</v>
      </c>
      <c r="DF208" s="5">
        <f>IF($BI208&lt;&gt;"",IF('Capacity summary'!$C$14="Yes",IF(COUNTBLANK('Capacity summary'!$H120:$BG120)&lt;52,IF('Capacity summary'!BC120&lt;&gt;"",$BI208*BC208,0),BC208*$BI208),BC208*$BI208),0)</f>
        <v>0</v>
      </c>
      <c r="DG208" s="5">
        <f>IF($BI208&lt;&gt;"",IF('Capacity summary'!$C$14="Yes",IF(COUNTBLANK('Capacity summary'!$H120:$BG120)&lt;52,IF('Capacity summary'!BD120&lt;&gt;"",$BI208*BD208,0),BD208*$BI208),BD208*$BI208),0)</f>
        <v>0</v>
      </c>
      <c r="DH208" s="5">
        <f>IF($BI208&lt;&gt;"",IF('Capacity summary'!$C$14="Yes",IF(COUNTBLANK('Capacity summary'!$H120:$BG120)&lt;52,IF('Capacity summary'!BE120&lt;&gt;"",$BI208*BE208,0),BE208*$BI208),BE208*$BI208),0)</f>
        <v>0</v>
      </c>
      <c r="DI208" s="5">
        <f>IF($BI208&lt;&gt;"",IF('Capacity summary'!$C$14="Yes",IF(COUNTBLANK('Capacity summary'!$H120:$BG120)&lt;52,IF('Capacity summary'!BF120&lt;&gt;"",$BI208*BF208,0),BF208*$BI208),BF208*$BI208),0)</f>
        <v>0</v>
      </c>
      <c r="DJ208" s="5">
        <f>IF($BI208&lt;&gt;"",IF('Capacity summary'!$C$14="Yes",IF(COUNTBLANK('Capacity summary'!$H120:$BG120)&lt;52,IF('Capacity summary'!BG120&lt;&gt;"",$BI208*BG208,0),BG208*$BI208),BG208*$BI208),0)</f>
        <v>0</v>
      </c>
      <c r="DK208" s="138">
        <f t="shared" si="7"/>
        <v>0</v>
      </c>
    </row>
    <row r="209" spans="2:115" x14ac:dyDescent="0.2">
      <c r="C209" s="68" t="str">
        <f>ROW(A98)&amp;". "&amp;Capacity!N114</f>
        <v xml:space="preserve">98. </v>
      </c>
      <c r="D209" s="68">
        <f>'Capacity setup'!C215</f>
        <v>0</v>
      </c>
      <c r="E209" s="68">
        <f>'Capacity setup'!D215</f>
        <v>0</v>
      </c>
      <c r="F209" s="68">
        <f>'Capacity setup'!E215</f>
        <v>0</v>
      </c>
      <c r="H209" s="68">
        <f ca="1">IF(AND(SUMIF(Capacity_Resource,$D209,'Critical resources (hide)'!U$6:U$105)+SUMIF(Capacity_Resource,$E209,'Critical resources (hide)'!U$6:U$105)+SUMIF(Capacity_Resource,$F209,'Critical resources (hide)'!U$6:U$105)&gt;0,$E$1=2),0,1)</f>
        <v>1</v>
      </c>
      <c r="I209" s="68">
        <f ca="1">IF(AND(SUMIF(Capacity_Resource,$D209,'Critical resources (hide)'!V$6:V$105)+SUMIF(Capacity_Resource,$E209,'Critical resources (hide)'!V$6:V$105)+SUMIF(Capacity_Resource,$F209,'Critical resources (hide)'!V$6:V$105)&gt;0,$E$1=2),0,1)</f>
        <v>1</v>
      </c>
      <c r="J209" s="68">
        <f ca="1">IF(AND(SUMIF(Capacity_Resource,$D209,'Critical resources (hide)'!W$6:W$105)+SUMIF(Capacity_Resource,$E209,'Critical resources (hide)'!W$6:W$105)+SUMIF(Capacity_Resource,$F209,'Critical resources (hide)'!W$6:W$105)&gt;0,$E$1=2),0,1)</f>
        <v>1</v>
      </c>
      <c r="K209" s="68">
        <f ca="1">IF(AND(SUMIF(Capacity_Resource,$D209,'Critical resources (hide)'!X$6:X$105)+SUMIF(Capacity_Resource,$E209,'Critical resources (hide)'!X$6:X$105)+SUMIF(Capacity_Resource,$F209,'Critical resources (hide)'!X$6:X$105)&gt;0,$E$1=2),0,1)</f>
        <v>1</v>
      </c>
      <c r="L209" s="68">
        <f ca="1">IF(AND(SUMIF(Capacity_Resource,$D209,'Critical resources (hide)'!Y$6:Y$105)+SUMIF(Capacity_Resource,$E209,'Critical resources (hide)'!Y$6:Y$105)+SUMIF(Capacity_Resource,$F209,'Critical resources (hide)'!Y$6:Y$105)&gt;0,$E$1=2),0,1)</f>
        <v>1</v>
      </c>
      <c r="M209" s="68">
        <f ca="1">IF(AND(SUMIF(Capacity_Resource,$D209,'Critical resources (hide)'!Z$6:Z$105)+SUMIF(Capacity_Resource,$E209,'Critical resources (hide)'!Z$6:Z$105)+SUMIF(Capacity_Resource,$F209,'Critical resources (hide)'!Z$6:Z$105)&gt;0,$E$1=2),0,1)</f>
        <v>1</v>
      </c>
      <c r="N209" s="68">
        <f ca="1">IF(AND(SUMIF(Capacity_Resource,$D209,'Critical resources (hide)'!AA$6:AA$105)+SUMIF(Capacity_Resource,$E209,'Critical resources (hide)'!AA$6:AA$105)+SUMIF(Capacity_Resource,$F209,'Critical resources (hide)'!AA$6:AA$105)&gt;0,$E$1=2),0,1)</f>
        <v>1</v>
      </c>
      <c r="O209" s="68">
        <f ca="1">IF(AND(SUMIF(Capacity_Resource,$D209,'Critical resources (hide)'!AB$6:AB$105)+SUMIF(Capacity_Resource,$E209,'Critical resources (hide)'!AB$6:AB$105)+SUMIF(Capacity_Resource,$F209,'Critical resources (hide)'!AB$6:AB$105)&gt;0,$E$1=2),0,1)</f>
        <v>1</v>
      </c>
      <c r="P209" s="68">
        <f ca="1">IF(AND(SUMIF(Capacity_Resource,$D209,'Critical resources (hide)'!AC$6:AC$105)+SUMIF(Capacity_Resource,$E209,'Critical resources (hide)'!AC$6:AC$105)+SUMIF(Capacity_Resource,$F209,'Critical resources (hide)'!AC$6:AC$105)&gt;0,$E$1=2),0,1)</f>
        <v>1</v>
      </c>
      <c r="Q209" s="68">
        <f ca="1">IF(AND(SUMIF(Capacity_Resource,$D209,'Critical resources (hide)'!AD$6:AD$105)+SUMIF(Capacity_Resource,$E209,'Critical resources (hide)'!AD$6:AD$105)+SUMIF(Capacity_Resource,$F209,'Critical resources (hide)'!AD$6:AD$105)&gt;0,$E$1=2),0,1)</f>
        <v>1</v>
      </c>
      <c r="R209" s="68">
        <f ca="1">IF(AND(SUMIF(Capacity_Resource,$D209,'Critical resources (hide)'!AE$6:AE$105)+SUMIF(Capacity_Resource,$E209,'Critical resources (hide)'!AE$6:AE$105)+SUMIF(Capacity_Resource,$F209,'Critical resources (hide)'!AE$6:AE$105)&gt;0,$E$1=2),0,1)</f>
        <v>1</v>
      </c>
      <c r="S209" s="68">
        <f ca="1">IF(AND(SUMIF(Capacity_Resource,$D209,'Critical resources (hide)'!AF$6:AF$105)+SUMIF(Capacity_Resource,$E209,'Critical resources (hide)'!AF$6:AF$105)+SUMIF(Capacity_Resource,$F209,'Critical resources (hide)'!AF$6:AF$105)&gt;0,$E$1=2),0,1)</f>
        <v>1</v>
      </c>
      <c r="T209" s="68">
        <f ca="1">IF(AND(SUMIF(Capacity_Resource,$D209,'Critical resources (hide)'!AG$6:AG$105)+SUMIF(Capacity_Resource,$E209,'Critical resources (hide)'!AG$6:AG$105)+SUMIF(Capacity_Resource,$F209,'Critical resources (hide)'!AG$6:AG$105)&gt;0,$E$1=2),0,1)</f>
        <v>1</v>
      </c>
      <c r="U209" s="68">
        <f ca="1">IF(AND(SUMIF(Capacity_Resource,$D209,'Critical resources (hide)'!AH$6:AH$105)+SUMIF(Capacity_Resource,$E209,'Critical resources (hide)'!AH$6:AH$105)+SUMIF(Capacity_Resource,$F209,'Critical resources (hide)'!AH$6:AH$105)&gt;0,$E$1=2),0,1)</f>
        <v>1</v>
      </c>
      <c r="V209" s="68">
        <f ca="1">IF(AND(SUMIF(Capacity_Resource,$D209,'Critical resources (hide)'!AI$6:AI$105)+SUMIF(Capacity_Resource,$E209,'Critical resources (hide)'!AI$6:AI$105)+SUMIF(Capacity_Resource,$F209,'Critical resources (hide)'!AI$6:AI$105)&gt;0,$E$1=2),0,1)</f>
        <v>1</v>
      </c>
      <c r="W209" s="68">
        <f ca="1">IF(AND(SUMIF(Capacity_Resource,$D209,'Critical resources (hide)'!AJ$6:AJ$105)+SUMIF(Capacity_Resource,$E209,'Critical resources (hide)'!AJ$6:AJ$105)+SUMIF(Capacity_Resource,$F209,'Critical resources (hide)'!AJ$6:AJ$105)&gt;0,$E$1=2),0,1)</f>
        <v>1</v>
      </c>
      <c r="X209" s="68">
        <f ca="1">IF(AND(SUMIF(Capacity_Resource,$D209,'Critical resources (hide)'!AK$6:AK$105)+SUMIF(Capacity_Resource,$E209,'Critical resources (hide)'!AK$6:AK$105)+SUMIF(Capacity_Resource,$F209,'Critical resources (hide)'!AK$6:AK$105)&gt;0,$E$1=2),0,1)</f>
        <v>1</v>
      </c>
      <c r="Y209" s="68">
        <f ca="1">IF(AND(SUMIF(Capacity_Resource,$D209,'Critical resources (hide)'!AL$6:AL$105)+SUMIF(Capacity_Resource,$E209,'Critical resources (hide)'!AL$6:AL$105)+SUMIF(Capacity_Resource,$F209,'Critical resources (hide)'!AL$6:AL$105)&gt;0,$E$1=2),0,1)</f>
        <v>1</v>
      </c>
      <c r="Z209" s="68">
        <f ca="1">IF(AND(SUMIF(Capacity_Resource,$D209,'Critical resources (hide)'!AM$6:AM$105)+SUMIF(Capacity_Resource,$E209,'Critical resources (hide)'!AM$6:AM$105)+SUMIF(Capacity_Resource,$F209,'Critical resources (hide)'!AM$6:AM$105)&gt;0,$E$1=2),0,1)</f>
        <v>1</v>
      </c>
      <c r="AA209" s="68">
        <f ca="1">IF(AND(SUMIF(Capacity_Resource,$D209,'Critical resources (hide)'!AN$6:AN$105)+SUMIF(Capacity_Resource,$E209,'Critical resources (hide)'!AN$6:AN$105)+SUMIF(Capacity_Resource,$F209,'Critical resources (hide)'!AN$6:AN$105)&gt;0,$E$1=2),0,1)</f>
        <v>1</v>
      </c>
      <c r="AB209" s="68">
        <f ca="1">IF(AND(SUMIF(Capacity_Resource,$D209,'Critical resources (hide)'!AO$6:AO$105)+SUMIF(Capacity_Resource,$E209,'Critical resources (hide)'!AO$6:AO$105)+SUMIF(Capacity_Resource,$F209,'Critical resources (hide)'!AO$6:AO$105)&gt;0,$E$1=2),0,1)</f>
        <v>1</v>
      </c>
      <c r="AC209" s="68">
        <f ca="1">IF(AND(SUMIF(Capacity_Resource,$D209,'Critical resources (hide)'!AP$6:AP$105)+SUMIF(Capacity_Resource,$E209,'Critical resources (hide)'!AP$6:AP$105)+SUMIF(Capacity_Resource,$F209,'Critical resources (hide)'!AP$6:AP$105)&gt;0,$E$1=2),0,1)</f>
        <v>1</v>
      </c>
      <c r="AD209" s="68">
        <f ca="1">IF(AND(SUMIF(Capacity_Resource,$D209,'Critical resources (hide)'!AQ$6:AQ$105)+SUMIF(Capacity_Resource,$E209,'Critical resources (hide)'!AQ$6:AQ$105)+SUMIF(Capacity_Resource,$F209,'Critical resources (hide)'!AQ$6:AQ$105)&gt;0,$E$1=2),0,1)</f>
        <v>1</v>
      </c>
      <c r="AE209" s="68">
        <f ca="1">IF(AND(SUMIF(Capacity_Resource,$D209,'Critical resources (hide)'!AR$6:AR$105)+SUMIF(Capacity_Resource,$E209,'Critical resources (hide)'!AR$6:AR$105)+SUMIF(Capacity_Resource,$F209,'Critical resources (hide)'!AR$6:AR$105)&gt;0,$E$1=2),0,1)</f>
        <v>1</v>
      </c>
      <c r="AF209" s="68">
        <f ca="1">IF(AND(SUMIF(Capacity_Resource,$D209,'Critical resources (hide)'!AS$6:AS$105)+SUMIF(Capacity_Resource,$E209,'Critical resources (hide)'!AS$6:AS$105)+SUMIF(Capacity_Resource,$F209,'Critical resources (hide)'!AS$6:AS$105)&gt;0,$E$1=2),0,1)</f>
        <v>1</v>
      </c>
      <c r="AG209" s="68">
        <f ca="1">IF(AND(SUMIF(Capacity_Resource,$D209,'Critical resources (hide)'!AT$6:AT$105)+SUMIF(Capacity_Resource,$E209,'Critical resources (hide)'!AT$6:AT$105)+SUMIF(Capacity_Resource,$F209,'Critical resources (hide)'!AT$6:AT$105)&gt;0,$E$1=2),0,1)</f>
        <v>1</v>
      </c>
      <c r="AH209" s="68">
        <f ca="1">IF(AND(SUMIF(Capacity_Resource,$D209,'Critical resources (hide)'!AU$6:AU$105)+SUMIF(Capacity_Resource,$E209,'Critical resources (hide)'!AU$6:AU$105)+SUMIF(Capacity_Resource,$F209,'Critical resources (hide)'!AU$6:AU$105)&gt;0,$E$1=2),0,1)</f>
        <v>1</v>
      </c>
      <c r="AI209" s="68">
        <f ca="1">IF(AND(SUMIF(Capacity_Resource,$D209,'Critical resources (hide)'!AV$6:AV$105)+SUMIF(Capacity_Resource,$E209,'Critical resources (hide)'!AV$6:AV$105)+SUMIF(Capacity_Resource,$F209,'Critical resources (hide)'!AV$6:AV$105)&gt;0,$E$1=2),0,1)</f>
        <v>1</v>
      </c>
      <c r="AJ209" s="68">
        <f ca="1">IF(AND(SUMIF(Capacity_Resource,$D209,'Critical resources (hide)'!AW$6:AW$105)+SUMIF(Capacity_Resource,$E209,'Critical resources (hide)'!AW$6:AW$105)+SUMIF(Capacity_Resource,$F209,'Critical resources (hide)'!AW$6:AW$105)&gt;0,$E$1=2),0,1)</f>
        <v>1</v>
      </c>
      <c r="AK209" s="68">
        <f ca="1">IF(AND(SUMIF(Capacity_Resource,$D209,'Critical resources (hide)'!AX$6:AX$105)+SUMIF(Capacity_Resource,$E209,'Critical resources (hide)'!AX$6:AX$105)+SUMIF(Capacity_Resource,$F209,'Critical resources (hide)'!AX$6:AX$105)&gt;0,$E$1=2),0,1)</f>
        <v>1</v>
      </c>
      <c r="AL209" s="68">
        <f ca="1">IF(AND(SUMIF(Capacity_Resource,$D209,'Critical resources (hide)'!AY$6:AY$105)+SUMIF(Capacity_Resource,$E209,'Critical resources (hide)'!AY$6:AY$105)+SUMIF(Capacity_Resource,$F209,'Critical resources (hide)'!AY$6:AY$105)&gt;0,$E$1=2),0,1)</f>
        <v>1</v>
      </c>
      <c r="AM209" s="68">
        <f ca="1">IF(AND(SUMIF(Capacity_Resource,$D209,'Critical resources (hide)'!AZ$6:AZ$105)+SUMIF(Capacity_Resource,$E209,'Critical resources (hide)'!AZ$6:AZ$105)+SUMIF(Capacity_Resource,$F209,'Critical resources (hide)'!AZ$6:AZ$105)&gt;0,$E$1=2),0,1)</f>
        <v>1</v>
      </c>
      <c r="AN209" s="68">
        <f ca="1">IF(AND(SUMIF(Capacity_Resource,$D209,'Critical resources (hide)'!BA$6:BA$105)+SUMIF(Capacity_Resource,$E209,'Critical resources (hide)'!BA$6:BA$105)+SUMIF(Capacity_Resource,$F209,'Critical resources (hide)'!BA$6:BA$105)&gt;0,$E$1=2),0,1)</f>
        <v>1</v>
      </c>
      <c r="AO209" s="68">
        <f ca="1">IF(AND(SUMIF(Capacity_Resource,$D209,'Critical resources (hide)'!BB$6:BB$105)+SUMIF(Capacity_Resource,$E209,'Critical resources (hide)'!BB$6:BB$105)+SUMIF(Capacity_Resource,$F209,'Critical resources (hide)'!BB$6:BB$105)&gt;0,$E$1=2),0,1)</f>
        <v>1</v>
      </c>
      <c r="AP209" s="68">
        <f ca="1">IF(AND(SUMIF(Capacity_Resource,$D209,'Critical resources (hide)'!BC$6:BC$105)+SUMIF(Capacity_Resource,$E209,'Critical resources (hide)'!BC$6:BC$105)+SUMIF(Capacity_Resource,$F209,'Critical resources (hide)'!BC$6:BC$105)&gt;0,$E$1=2),0,1)</f>
        <v>1</v>
      </c>
      <c r="AQ209" s="68">
        <f ca="1">IF(AND(SUMIF(Capacity_Resource,$D209,'Critical resources (hide)'!BD$6:BD$105)+SUMIF(Capacity_Resource,$E209,'Critical resources (hide)'!BD$6:BD$105)+SUMIF(Capacity_Resource,$F209,'Critical resources (hide)'!BD$6:BD$105)&gt;0,$E$1=2),0,1)</f>
        <v>1</v>
      </c>
      <c r="AR209" s="68">
        <f ca="1">IF(AND(SUMIF(Capacity_Resource,$D209,'Critical resources (hide)'!BE$6:BE$105)+SUMIF(Capacity_Resource,$E209,'Critical resources (hide)'!BE$6:BE$105)+SUMIF(Capacity_Resource,$F209,'Critical resources (hide)'!BE$6:BE$105)&gt;0,$E$1=2),0,1)</f>
        <v>1</v>
      </c>
      <c r="AS209" s="68">
        <f ca="1">IF(AND(SUMIF(Capacity_Resource,$D209,'Critical resources (hide)'!BF$6:BF$105)+SUMIF(Capacity_Resource,$E209,'Critical resources (hide)'!BF$6:BF$105)+SUMIF(Capacity_Resource,$F209,'Critical resources (hide)'!BF$6:BF$105)&gt;0,$E$1=2),0,1)</f>
        <v>1</v>
      </c>
      <c r="AT209" s="68">
        <f ca="1">IF(AND(SUMIF(Capacity_Resource,$D209,'Critical resources (hide)'!BG$6:BG$105)+SUMIF(Capacity_Resource,$E209,'Critical resources (hide)'!BG$6:BG$105)+SUMIF(Capacity_Resource,$F209,'Critical resources (hide)'!BG$6:BG$105)&gt;0,$E$1=2),0,1)</f>
        <v>1</v>
      </c>
      <c r="AU209" s="68">
        <f ca="1">IF(AND(SUMIF(Capacity_Resource,$D209,'Critical resources (hide)'!BH$6:BH$105)+SUMIF(Capacity_Resource,$E209,'Critical resources (hide)'!BH$6:BH$105)+SUMIF(Capacity_Resource,$F209,'Critical resources (hide)'!BH$6:BH$105)&gt;0,$E$1=2),0,1)</f>
        <v>1</v>
      </c>
      <c r="AV209" s="68">
        <f ca="1">IF(AND(SUMIF(Capacity_Resource,$D209,'Critical resources (hide)'!BI$6:BI$105)+SUMIF(Capacity_Resource,$E209,'Critical resources (hide)'!BI$6:BI$105)+SUMIF(Capacity_Resource,$F209,'Critical resources (hide)'!BI$6:BI$105)&gt;0,$E$1=2),0,1)</f>
        <v>1</v>
      </c>
      <c r="AW209" s="68">
        <f ca="1">IF(AND(SUMIF(Capacity_Resource,$D209,'Critical resources (hide)'!BJ$6:BJ$105)+SUMIF(Capacity_Resource,$E209,'Critical resources (hide)'!BJ$6:BJ$105)+SUMIF(Capacity_Resource,$F209,'Critical resources (hide)'!BJ$6:BJ$105)&gt;0,$E$1=2),0,1)</f>
        <v>1</v>
      </c>
      <c r="AX209" s="68">
        <f ca="1">IF(AND(SUMIF(Capacity_Resource,$D209,'Critical resources (hide)'!BK$6:BK$105)+SUMIF(Capacity_Resource,$E209,'Critical resources (hide)'!BK$6:BK$105)+SUMIF(Capacity_Resource,$F209,'Critical resources (hide)'!BK$6:BK$105)&gt;0,$E$1=2),0,1)</f>
        <v>1</v>
      </c>
      <c r="AY209" s="68">
        <f ca="1">IF(AND(SUMIF(Capacity_Resource,$D209,'Critical resources (hide)'!BL$6:BL$105)+SUMIF(Capacity_Resource,$E209,'Critical resources (hide)'!BL$6:BL$105)+SUMIF(Capacity_Resource,$F209,'Critical resources (hide)'!BL$6:BL$105)&gt;0,$E$1=2),0,1)</f>
        <v>1</v>
      </c>
      <c r="AZ209" s="68">
        <f ca="1">IF(AND(SUMIF(Capacity_Resource,$D209,'Critical resources (hide)'!BM$6:BM$105)+SUMIF(Capacity_Resource,$E209,'Critical resources (hide)'!BM$6:BM$105)+SUMIF(Capacity_Resource,$F209,'Critical resources (hide)'!BM$6:BM$105)&gt;0,$E$1=2),0,1)</f>
        <v>1</v>
      </c>
      <c r="BA209" s="68">
        <f ca="1">IF(AND(SUMIF(Capacity_Resource,$D209,'Critical resources (hide)'!BN$6:BN$105)+SUMIF(Capacity_Resource,$E209,'Critical resources (hide)'!BN$6:BN$105)+SUMIF(Capacity_Resource,$F209,'Critical resources (hide)'!BN$6:BN$105)&gt;0,$E$1=2),0,1)</f>
        <v>1</v>
      </c>
      <c r="BB209" s="68">
        <f ca="1">IF(AND(SUMIF(Capacity_Resource,$D209,'Critical resources (hide)'!BO$6:BO$105)+SUMIF(Capacity_Resource,$E209,'Critical resources (hide)'!BO$6:BO$105)+SUMIF(Capacity_Resource,$F209,'Critical resources (hide)'!BO$6:BO$105)&gt;0,$E$1=2),0,1)</f>
        <v>1</v>
      </c>
      <c r="BC209" s="68">
        <f ca="1">IF(AND(SUMIF(Capacity_Resource,$D209,'Critical resources (hide)'!BP$6:BP$105)+SUMIF(Capacity_Resource,$E209,'Critical resources (hide)'!BP$6:BP$105)+SUMIF(Capacity_Resource,$F209,'Critical resources (hide)'!BP$6:BP$105)&gt;0,$E$1=2),0,1)</f>
        <v>1</v>
      </c>
      <c r="BD209" s="68">
        <f ca="1">IF(AND(SUMIF(Capacity_Resource,$D209,'Critical resources (hide)'!BQ$6:BQ$105)+SUMIF(Capacity_Resource,$E209,'Critical resources (hide)'!BQ$6:BQ$105)+SUMIF(Capacity_Resource,$F209,'Critical resources (hide)'!BQ$6:BQ$105)&gt;0,$E$1=2),0,1)</f>
        <v>1</v>
      </c>
      <c r="BE209" s="68">
        <f ca="1">IF(AND(SUMIF(Capacity_Resource,$D209,'Critical resources (hide)'!BR$6:BR$105)+SUMIF(Capacity_Resource,$E209,'Critical resources (hide)'!BR$6:BR$105)+SUMIF(Capacity_Resource,$F209,'Critical resources (hide)'!BR$6:BR$105)&gt;0,$E$1=2),0,1)</f>
        <v>1</v>
      </c>
      <c r="BF209" s="68">
        <f ca="1">IF(AND(SUMIF(Capacity_Resource,$D209,'Critical resources (hide)'!BS$6:BS$105)+SUMIF(Capacity_Resource,$E209,'Critical resources (hide)'!BS$6:BS$105)+SUMIF(Capacity_Resource,$F209,'Critical resources (hide)'!BS$6:BS$105)&gt;0,$E$1=2),0,1)</f>
        <v>1</v>
      </c>
      <c r="BG209" s="68">
        <f ca="1">IF(AND(SUMIF(Capacity_Resource,$D209,'Critical resources (hide)'!BT$6:BT$105)+SUMIF(Capacity_Resource,$E209,'Critical resources (hide)'!BT$6:BT$105)+SUMIF(Capacity_Resource,$F209,'Critical resources (hide)'!BT$6:BT$105)&gt;0,$E$1=2),0,1)</f>
        <v>1</v>
      </c>
      <c r="BH209" s="68">
        <f>IF(ROW(A98)&lt;=Capacity!$M$16,IF('Capacity summary'!$C$14="No",SUM(H209:BG209),'Capacity summary'!$E121),0)</f>
        <v>0</v>
      </c>
      <c r="BI209" s="68" t="str">
        <f>IF(BH209&gt;0,IF(BH209&lt;Capacity!Q114,Capacity!R114,Capacity!T114/'Capacity calculation (hide)'!BH209),"")</f>
        <v/>
      </c>
      <c r="BJ209" s="5"/>
      <c r="BK209" s="5">
        <f>IF($BI209&lt;&gt;"",IF('Capacity summary'!$C$14="Yes",IF(COUNTBLANK('Capacity summary'!$H121:$BG121)&lt;52,IF('Capacity summary'!H121&lt;&gt;"",$BI209*H209,0),H209*$BI209),H209*$BI209),0)</f>
        <v>0</v>
      </c>
      <c r="BL209" s="5">
        <f>IF($BI209&lt;&gt;"",IF('Capacity summary'!$C$14="Yes",IF(COUNTBLANK('Capacity summary'!$H121:$BG121)&lt;52,IF('Capacity summary'!I121&lt;&gt;"",$BI209*I209,0),I209*$BI209),I209*$BI209),0)</f>
        <v>0</v>
      </c>
      <c r="BM209" s="5">
        <f>IF($BI209&lt;&gt;"",IF('Capacity summary'!$C$14="Yes",IF(COUNTBLANK('Capacity summary'!$H121:$BG121)&lt;52,IF('Capacity summary'!J121&lt;&gt;"",$BI209*J209,0),J209*$BI209),J209*$BI209),0)</f>
        <v>0</v>
      </c>
      <c r="BN209" s="5">
        <f>IF($BI209&lt;&gt;"",IF('Capacity summary'!$C$14="Yes",IF(COUNTBLANK('Capacity summary'!$H121:$BG121)&lt;52,IF('Capacity summary'!K121&lt;&gt;"",$BI209*K209,0),K209*$BI209),K209*$BI209),0)</f>
        <v>0</v>
      </c>
      <c r="BO209" s="5">
        <f>IF($BI209&lt;&gt;"",IF('Capacity summary'!$C$14="Yes",IF(COUNTBLANK('Capacity summary'!$H121:$BG121)&lt;52,IF('Capacity summary'!L121&lt;&gt;"",$BI209*L209,0),L209*$BI209),L209*$BI209),0)</f>
        <v>0</v>
      </c>
      <c r="BP209" s="5">
        <f>IF($BI209&lt;&gt;"",IF('Capacity summary'!$C$14="Yes",IF(COUNTBLANK('Capacity summary'!$H121:$BG121)&lt;52,IF('Capacity summary'!M121&lt;&gt;"",$BI209*M209,0),M209*$BI209),M209*$BI209),0)</f>
        <v>0</v>
      </c>
      <c r="BQ209" s="5">
        <f>IF($BI209&lt;&gt;"",IF('Capacity summary'!$C$14="Yes",IF(COUNTBLANK('Capacity summary'!$H121:$BG121)&lt;52,IF('Capacity summary'!N121&lt;&gt;"",$BI209*N209,0),N209*$BI209),N209*$BI209),0)</f>
        <v>0</v>
      </c>
      <c r="BR209" s="5">
        <f>IF($BI209&lt;&gt;"",IF('Capacity summary'!$C$14="Yes",IF(COUNTBLANK('Capacity summary'!$H121:$BG121)&lt;52,IF('Capacity summary'!O121&lt;&gt;"",$BI209*O209,0),O209*$BI209),O209*$BI209),0)</f>
        <v>0</v>
      </c>
      <c r="BS209" s="5">
        <f>IF($BI209&lt;&gt;"",IF('Capacity summary'!$C$14="Yes",IF(COUNTBLANK('Capacity summary'!$H121:$BG121)&lt;52,IF('Capacity summary'!P121&lt;&gt;"",$BI209*P209,0),P209*$BI209),P209*$BI209),0)</f>
        <v>0</v>
      </c>
      <c r="BT209" s="5">
        <f>IF($BI209&lt;&gt;"",IF('Capacity summary'!$C$14="Yes",IF(COUNTBLANK('Capacity summary'!$H121:$BG121)&lt;52,IF('Capacity summary'!Q121&lt;&gt;"",$BI209*Q209,0),Q209*$BI209),Q209*$BI209),0)</f>
        <v>0</v>
      </c>
      <c r="BU209" s="5">
        <f>IF($BI209&lt;&gt;"",IF('Capacity summary'!$C$14="Yes",IF(COUNTBLANK('Capacity summary'!$H121:$BG121)&lt;52,IF('Capacity summary'!R121&lt;&gt;"",$BI209*R209,0),R209*$BI209),R209*$BI209),0)</f>
        <v>0</v>
      </c>
      <c r="BV209" s="5">
        <f>IF($BI209&lt;&gt;"",IF('Capacity summary'!$C$14="Yes",IF(COUNTBLANK('Capacity summary'!$H121:$BG121)&lt;52,IF('Capacity summary'!S121&lt;&gt;"",$BI209*S209,0),S209*$BI209),S209*$BI209),0)</f>
        <v>0</v>
      </c>
      <c r="BW209" s="5">
        <f>IF($BI209&lt;&gt;"",IF('Capacity summary'!$C$14="Yes",IF(COUNTBLANK('Capacity summary'!$H121:$BG121)&lt;52,IF('Capacity summary'!T121&lt;&gt;"",$BI209*T209,0),T209*$BI209),T209*$BI209),0)</f>
        <v>0</v>
      </c>
      <c r="BX209" s="5">
        <f>IF($BI209&lt;&gt;"",IF('Capacity summary'!$C$14="Yes",IF(COUNTBLANK('Capacity summary'!$H121:$BG121)&lt;52,IF('Capacity summary'!U121&lt;&gt;"",$BI209*U209,0),U209*$BI209),U209*$BI209),0)</f>
        <v>0</v>
      </c>
      <c r="BY209" s="5">
        <f>IF($BI209&lt;&gt;"",IF('Capacity summary'!$C$14="Yes",IF(COUNTBLANK('Capacity summary'!$H121:$BG121)&lt;52,IF('Capacity summary'!V121&lt;&gt;"",$BI209*V209,0),V209*$BI209),V209*$BI209),0)</f>
        <v>0</v>
      </c>
      <c r="BZ209" s="5">
        <f>IF($BI209&lt;&gt;"",IF('Capacity summary'!$C$14="Yes",IF(COUNTBLANK('Capacity summary'!$H121:$BG121)&lt;52,IF('Capacity summary'!W121&lt;&gt;"",$BI209*W209,0),W209*$BI209),W209*$BI209),0)</f>
        <v>0</v>
      </c>
      <c r="CA209" s="5">
        <f>IF($BI209&lt;&gt;"",IF('Capacity summary'!$C$14="Yes",IF(COUNTBLANK('Capacity summary'!$H121:$BG121)&lt;52,IF('Capacity summary'!X121&lt;&gt;"",$BI209*X209,0),X209*$BI209),X209*$BI209),0)</f>
        <v>0</v>
      </c>
      <c r="CB209" s="5">
        <f>IF($BI209&lt;&gt;"",IF('Capacity summary'!$C$14="Yes",IF(COUNTBLANK('Capacity summary'!$H121:$BG121)&lt;52,IF('Capacity summary'!Y121&lt;&gt;"",$BI209*Y209,0),Y209*$BI209),Y209*$BI209),0)</f>
        <v>0</v>
      </c>
      <c r="CC209" s="5">
        <f>IF($BI209&lt;&gt;"",IF('Capacity summary'!$C$14="Yes",IF(COUNTBLANK('Capacity summary'!$H121:$BG121)&lt;52,IF('Capacity summary'!Z121&lt;&gt;"",$BI209*Z209,0),Z209*$BI209),Z209*$BI209),0)</f>
        <v>0</v>
      </c>
      <c r="CD209" s="5">
        <f>IF($BI209&lt;&gt;"",IF('Capacity summary'!$C$14="Yes",IF(COUNTBLANK('Capacity summary'!$H121:$BG121)&lt;52,IF('Capacity summary'!AA121&lt;&gt;"",$BI209*AA209,0),AA209*$BI209),AA209*$BI209),0)</f>
        <v>0</v>
      </c>
      <c r="CE209" s="5">
        <f>IF($BI209&lt;&gt;"",IF('Capacity summary'!$C$14="Yes",IF(COUNTBLANK('Capacity summary'!$H121:$BG121)&lt;52,IF('Capacity summary'!AB121&lt;&gt;"",$BI209*AB209,0),AB209*$BI209),AB209*$BI209),0)</f>
        <v>0</v>
      </c>
      <c r="CF209" s="5">
        <f>IF($BI209&lt;&gt;"",IF('Capacity summary'!$C$14="Yes",IF(COUNTBLANK('Capacity summary'!$H121:$BG121)&lt;52,IF('Capacity summary'!AC121&lt;&gt;"",$BI209*AC209,0),AC209*$BI209),AC209*$BI209),0)</f>
        <v>0</v>
      </c>
      <c r="CG209" s="5">
        <f>IF($BI209&lt;&gt;"",IF('Capacity summary'!$C$14="Yes",IF(COUNTBLANK('Capacity summary'!$H121:$BG121)&lt;52,IF('Capacity summary'!AD121&lt;&gt;"",$BI209*AD209,0),AD209*$BI209),AD209*$BI209),0)</f>
        <v>0</v>
      </c>
      <c r="CH209" s="5">
        <f>IF($BI209&lt;&gt;"",IF('Capacity summary'!$C$14="Yes",IF(COUNTBLANK('Capacity summary'!$H121:$BG121)&lt;52,IF('Capacity summary'!AE121&lt;&gt;"",$BI209*AE209,0),AE209*$BI209),AE209*$BI209),0)</f>
        <v>0</v>
      </c>
      <c r="CI209" s="5">
        <f>IF($BI209&lt;&gt;"",IF('Capacity summary'!$C$14="Yes",IF(COUNTBLANK('Capacity summary'!$H121:$BG121)&lt;52,IF('Capacity summary'!AF121&lt;&gt;"",$BI209*AF209,0),AF209*$BI209),AF209*$BI209),0)</f>
        <v>0</v>
      </c>
      <c r="CJ209" s="5">
        <f>IF($BI209&lt;&gt;"",IF('Capacity summary'!$C$14="Yes",IF(COUNTBLANK('Capacity summary'!$H121:$BG121)&lt;52,IF('Capacity summary'!AG121&lt;&gt;"",$BI209*AG209,0),AG209*$BI209),AG209*$BI209),0)</f>
        <v>0</v>
      </c>
      <c r="CK209" s="5">
        <f>IF($BI209&lt;&gt;"",IF('Capacity summary'!$C$14="Yes",IF(COUNTBLANK('Capacity summary'!$H121:$BG121)&lt;52,IF('Capacity summary'!AH121&lt;&gt;"",$BI209*AH209,0),AH209*$BI209),AH209*$BI209),0)</f>
        <v>0</v>
      </c>
      <c r="CL209" s="5">
        <f>IF($BI209&lt;&gt;"",IF('Capacity summary'!$C$14="Yes",IF(COUNTBLANK('Capacity summary'!$H121:$BG121)&lt;52,IF('Capacity summary'!AI121&lt;&gt;"",$BI209*AI209,0),AI209*$BI209),AI209*$BI209),0)</f>
        <v>0</v>
      </c>
      <c r="CM209" s="5">
        <f>IF($BI209&lt;&gt;"",IF('Capacity summary'!$C$14="Yes",IF(COUNTBLANK('Capacity summary'!$H121:$BG121)&lt;52,IF('Capacity summary'!AJ121&lt;&gt;"",$BI209*AJ209,0),AJ209*$BI209),AJ209*$BI209),0)</f>
        <v>0</v>
      </c>
      <c r="CN209" s="5">
        <f>IF($BI209&lt;&gt;"",IF('Capacity summary'!$C$14="Yes",IF(COUNTBLANK('Capacity summary'!$H121:$BG121)&lt;52,IF('Capacity summary'!AK121&lt;&gt;"",$BI209*AK209,0),AK209*$BI209),AK209*$BI209),0)</f>
        <v>0</v>
      </c>
      <c r="CO209" s="5">
        <f>IF($BI209&lt;&gt;"",IF('Capacity summary'!$C$14="Yes",IF(COUNTBLANK('Capacity summary'!$H121:$BG121)&lt;52,IF('Capacity summary'!AL121&lt;&gt;"",$BI209*AL209,0),AL209*$BI209),AL209*$BI209),0)</f>
        <v>0</v>
      </c>
      <c r="CP209" s="5">
        <f>IF($BI209&lt;&gt;"",IF('Capacity summary'!$C$14="Yes",IF(COUNTBLANK('Capacity summary'!$H121:$BG121)&lt;52,IF('Capacity summary'!AM121&lt;&gt;"",$BI209*AM209,0),AM209*$BI209),AM209*$BI209),0)</f>
        <v>0</v>
      </c>
      <c r="CQ209" s="5">
        <f>IF($BI209&lt;&gt;"",IF('Capacity summary'!$C$14="Yes",IF(COUNTBLANK('Capacity summary'!$H121:$BG121)&lt;52,IF('Capacity summary'!AN121&lt;&gt;"",$BI209*AN209,0),AN209*$BI209),AN209*$BI209),0)</f>
        <v>0</v>
      </c>
      <c r="CR209" s="5">
        <f>IF($BI209&lt;&gt;"",IF('Capacity summary'!$C$14="Yes",IF(COUNTBLANK('Capacity summary'!$H121:$BG121)&lt;52,IF('Capacity summary'!AO121&lt;&gt;"",$BI209*AO209,0),AO209*$BI209),AO209*$BI209),0)</f>
        <v>0</v>
      </c>
      <c r="CS209" s="5">
        <f>IF($BI209&lt;&gt;"",IF('Capacity summary'!$C$14="Yes",IF(COUNTBLANK('Capacity summary'!$H121:$BG121)&lt;52,IF('Capacity summary'!AP121&lt;&gt;"",$BI209*AP209,0),AP209*$BI209),AP209*$BI209),0)</f>
        <v>0</v>
      </c>
      <c r="CT209" s="5">
        <f>IF($BI209&lt;&gt;"",IF('Capacity summary'!$C$14="Yes",IF(COUNTBLANK('Capacity summary'!$H121:$BG121)&lt;52,IF('Capacity summary'!AQ121&lt;&gt;"",$BI209*AQ209,0),AQ209*$BI209),AQ209*$BI209),0)</f>
        <v>0</v>
      </c>
      <c r="CU209" s="5">
        <f>IF($BI209&lt;&gt;"",IF('Capacity summary'!$C$14="Yes",IF(COUNTBLANK('Capacity summary'!$H121:$BG121)&lt;52,IF('Capacity summary'!AR121&lt;&gt;"",$BI209*AR209,0),AR209*$BI209),AR209*$BI209),0)</f>
        <v>0</v>
      </c>
      <c r="CV209" s="5">
        <f>IF($BI209&lt;&gt;"",IF('Capacity summary'!$C$14="Yes",IF(COUNTBLANK('Capacity summary'!$H121:$BG121)&lt;52,IF('Capacity summary'!AS121&lt;&gt;"",$BI209*AS209,0),AS209*$BI209),AS209*$BI209),0)</f>
        <v>0</v>
      </c>
      <c r="CW209" s="5">
        <f>IF($BI209&lt;&gt;"",IF('Capacity summary'!$C$14="Yes",IF(COUNTBLANK('Capacity summary'!$H121:$BG121)&lt;52,IF('Capacity summary'!AT121&lt;&gt;"",$BI209*AT209,0),AT209*$BI209),AT209*$BI209),0)</f>
        <v>0</v>
      </c>
      <c r="CX209" s="5">
        <f>IF($BI209&lt;&gt;"",IF('Capacity summary'!$C$14="Yes",IF(COUNTBLANK('Capacity summary'!$H121:$BG121)&lt;52,IF('Capacity summary'!AU121&lt;&gt;"",$BI209*AU209,0),AU209*$BI209),AU209*$BI209),0)</f>
        <v>0</v>
      </c>
      <c r="CY209" s="5">
        <f>IF($BI209&lt;&gt;"",IF('Capacity summary'!$C$14="Yes",IF(COUNTBLANK('Capacity summary'!$H121:$BG121)&lt;52,IF('Capacity summary'!AV121&lt;&gt;"",$BI209*AV209,0),AV209*$BI209),AV209*$BI209),0)</f>
        <v>0</v>
      </c>
      <c r="CZ209" s="5">
        <f>IF($BI209&lt;&gt;"",IF('Capacity summary'!$C$14="Yes",IF(COUNTBLANK('Capacity summary'!$H121:$BG121)&lt;52,IF('Capacity summary'!AW121&lt;&gt;"",$BI209*AW209,0),AW209*$BI209),AW209*$BI209),0)</f>
        <v>0</v>
      </c>
      <c r="DA209" s="5">
        <f>IF($BI209&lt;&gt;"",IF('Capacity summary'!$C$14="Yes",IF(COUNTBLANK('Capacity summary'!$H121:$BG121)&lt;52,IF('Capacity summary'!AX121&lt;&gt;"",$BI209*AX209,0),AX209*$BI209),AX209*$BI209),0)</f>
        <v>0</v>
      </c>
      <c r="DB209" s="5">
        <f>IF($BI209&lt;&gt;"",IF('Capacity summary'!$C$14="Yes",IF(COUNTBLANK('Capacity summary'!$H121:$BG121)&lt;52,IF('Capacity summary'!AY121&lt;&gt;"",$BI209*AY209,0),AY209*$BI209),AY209*$BI209),0)</f>
        <v>0</v>
      </c>
      <c r="DC209" s="5">
        <f>IF($BI209&lt;&gt;"",IF('Capacity summary'!$C$14="Yes",IF(COUNTBLANK('Capacity summary'!$H121:$BG121)&lt;52,IF('Capacity summary'!AZ121&lt;&gt;"",$BI209*AZ209,0),AZ209*$BI209),AZ209*$BI209),0)</f>
        <v>0</v>
      </c>
      <c r="DD209" s="5">
        <f>IF($BI209&lt;&gt;"",IF('Capacity summary'!$C$14="Yes",IF(COUNTBLANK('Capacity summary'!$H121:$BG121)&lt;52,IF('Capacity summary'!BA121&lt;&gt;"",$BI209*BA209,0),BA209*$BI209),BA209*$BI209),0)</f>
        <v>0</v>
      </c>
      <c r="DE209" s="5">
        <f>IF($BI209&lt;&gt;"",IF('Capacity summary'!$C$14="Yes",IF(COUNTBLANK('Capacity summary'!$H121:$BG121)&lt;52,IF('Capacity summary'!BB121&lt;&gt;"",$BI209*BB209,0),BB209*$BI209),BB209*$BI209),0)</f>
        <v>0</v>
      </c>
      <c r="DF209" s="5">
        <f>IF($BI209&lt;&gt;"",IF('Capacity summary'!$C$14="Yes",IF(COUNTBLANK('Capacity summary'!$H121:$BG121)&lt;52,IF('Capacity summary'!BC121&lt;&gt;"",$BI209*BC209,0),BC209*$BI209),BC209*$BI209),0)</f>
        <v>0</v>
      </c>
      <c r="DG209" s="5">
        <f>IF($BI209&lt;&gt;"",IF('Capacity summary'!$C$14="Yes",IF(COUNTBLANK('Capacity summary'!$H121:$BG121)&lt;52,IF('Capacity summary'!BD121&lt;&gt;"",$BI209*BD209,0),BD209*$BI209),BD209*$BI209),0)</f>
        <v>0</v>
      </c>
      <c r="DH209" s="5">
        <f>IF($BI209&lt;&gt;"",IF('Capacity summary'!$C$14="Yes",IF(COUNTBLANK('Capacity summary'!$H121:$BG121)&lt;52,IF('Capacity summary'!BE121&lt;&gt;"",$BI209*BE209,0),BE209*$BI209),BE209*$BI209),0)</f>
        <v>0</v>
      </c>
      <c r="DI209" s="5">
        <f>IF($BI209&lt;&gt;"",IF('Capacity summary'!$C$14="Yes",IF(COUNTBLANK('Capacity summary'!$H121:$BG121)&lt;52,IF('Capacity summary'!BF121&lt;&gt;"",$BI209*BF209,0),BF209*$BI209),BF209*$BI209),0)</f>
        <v>0</v>
      </c>
      <c r="DJ209" s="5">
        <f>IF($BI209&lt;&gt;"",IF('Capacity summary'!$C$14="Yes",IF(COUNTBLANK('Capacity summary'!$H121:$BG121)&lt;52,IF('Capacity summary'!BG121&lt;&gt;"",$BI209*BG209,0),BG209*$BI209),BG209*$BI209),0)</f>
        <v>0</v>
      </c>
      <c r="DK209" s="138">
        <f t="shared" si="7"/>
        <v>0</v>
      </c>
    </row>
    <row r="210" spans="2:115" x14ac:dyDescent="0.2">
      <c r="C210" s="68" t="str">
        <f>ROW(A99)&amp;". "&amp;Capacity!N115</f>
        <v xml:space="preserve">99. </v>
      </c>
      <c r="D210" s="68">
        <f>'Capacity setup'!C216</f>
        <v>0</v>
      </c>
      <c r="E210" s="68">
        <f>'Capacity setup'!D216</f>
        <v>0</v>
      </c>
      <c r="F210" s="68">
        <f>'Capacity setup'!E216</f>
        <v>0</v>
      </c>
      <c r="H210" s="68">
        <f ca="1">IF(AND(SUMIF(Capacity_Resource,$D210,'Critical resources (hide)'!U$6:U$105)+SUMIF(Capacity_Resource,$E210,'Critical resources (hide)'!U$6:U$105)+SUMIF(Capacity_Resource,$F210,'Critical resources (hide)'!U$6:U$105)&gt;0,$E$1=2),0,1)</f>
        <v>1</v>
      </c>
      <c r="I210" s="68">
        <f ca="1">IF(AND(SUMIF(Capacity_Resource,$D210,'Critical resources (hide)'!V$6:V$105)+SUMIF(Capacity_Resource,$E210,'Critical resources (hide)'!V$6:V$105)+SUMIF(Capacity_Resource,$F210,'Critical resources (hide)'!V$6:V$105)&gt;0,$E$1=2),0,1)</f>
        <v>1</v>
      </c>
      <c r="J210" s="68">
        <f ca="1">IF(AND(SUMIF(Capacity_Resource,$D210,'Critical resources (hide)'!W$6:W$105)+SUMIF(Capacity_Resource,$E210,'Critical resources (hide)'!W$6:W$105)+SUMIF(Capacity_Resource,$F210,'Critical resources (hide)'!W$6:W$105)&gt;0,$E$1=2),0,1)</f>
        <v>1</v>
      </c>
      <c r="K210" s="68">
        <f ca="1">IF(AND(SUMIF(Capacity_Resource,$D210,'Critical resources (hide)'!X$6:X$105)+SUMIF(Capacity_Resource,$E210,'Critical resources (hide)'!X$6:X$105)+SUMIF(Capacity_Resource,$F210,'Critical resources (hide)'!X$6:X$105)&gt;0,$E$1=2),0,1)</f>
        <v>1</v>
      </c>
      <c r="L210" s="68">
        <f ca="1">IF(AND(SUMIF(Capacity_Resource,$D210,'Critical resources (hide)'!Y$6:Y$105)+SUMIF(Capacity_Resource,$E210,'Critical resources (hide)'!Y$6:Y$105)+SUMIF(Capacity_Resource,$F210,'Critical resources (hide)'!Y$6:Y$105)&gt;0,$E$1=2),0,1)</f>
        <v>1</v>
      </c>
      <c r="M210" s="68">
        <f ca="1">IF(AND(SUMIF(Capacity_Resource,$D210,'Critical resources (hide)'!Z$6:Z$105)+SUMIF(Capacity_Resource,$E210,'Critical resources (hide)'!Z$6:Z$105)+SUMIF(Capacity_Resource,$F210,'Critical resources (hide)'!Z$6:Z$105)&gt;0,$E$1=2),0,1)</f>
        <v>1</v>
      </c>
      <c r="N210" s="68">
        <f ca="1">IF(AND(SUMIF(Capacity_Resource,$D210,'Critical resources (hide)'!AA$6:AA$105)+SUMIF(Capacity_Resource,$E210,'Critical resources (hide)'!AA$6:AA$105)+SUMIF(Capacity_Resource,$F210,'Critical resources (hide)'!AA$6:AA$105)&gt;0,$E$1=2),0,1)</f>
        <v>1</v>
      </c>
      <c r="O210" s="68">
        <f ca="1">IF(AND(SUMIF(Capacity_Resource,$D210,'Critical resources (hide)'!AB$6:AB$105)+SUMIF(Capacity_Resource,$E210,'Critical resources (hide)'!AB$6:AB$105)+SUMIF(Capacity_Resource,$F210,'Critical resources (hide)'!AB$6:AB$105)&gt;0,$E$1=2),0,1)</f>
        <v>1</v>
      </c>
      <c r="P210" s="68">
        <f ca="1">IF(AND(SUMIF(Capacity_Resource,$D210,'Critical resources (hide)'!AC$6:AC$105)+SUMIF(Capacity_Resource,$E210,'Critical resources (hide)'!AC$6:AC$105)+SUMIF(Capacity_Resource,$F210,'Critical resources (hide)'!AC$6:AC$105)&gt;0,$E$1=2),0,1)</f>
        <v>1</v>
      </c>
      <c r="Q210" s="68">
        <f ca="1">IF(AND(SUMIF(Capacity_Resource,$D210,'Critical resources (hide)'!AD$6:AD$105)+SUMIF(Capacity_Resource,$E210,'Critical resources (hide)'!AD$6:AD$105)+SUMIF(Capacity_Resource,$F210,'Critical resources (hide)'!AD$6:AD$105)&gt;0,$E$1=2),0,1)</f>
        <v>1</v>
      </c>
      <c r="R210" s="68">
        <f ca="1">IF(AND(SUMIF(Capacity_Resource,$D210,'Critical resources (hide)'!AE$6:AE$105)+SUMIF(Capacity_Resource,$E210,'Critical resources (hide)'!AE$6:AE$105)+SUMIF(Capacity_Resource,$F210,'Critical resources (hide)'!AE$6:AE$105)&gt;0,$E$1=2),0,1)</f>
        <v>1</v>
      </c>
      <c r="S210" s="68">
        <f ca="1">IF(AND(SUMIF(Capacity_Resource,$D210,'Critical resources (hide)'!AF$6:AF$105)+SUMIF(Capacity_Resource,$E210,'Critical resources (hide)'!AF$6:AF$105)+SUMIF(Capacity_Resource,$F210,'Critical resources (hide)'!AF$6:AF$105)&gt;0,$E$1=2),0,1)</f>
        <v>1</v>
      </c>
      <c r="T210" s="68">
        <f ca="1">IF(AND(SUMIF(Capacity_Resource,$D210,'Critical resources (hide)'!AG$6:AG$105)+SUMIF(Capacity_Resource,$E210,'Critical resources (hide)'!AG$6:AG$105)+SUMIF(Capacity_Resource,$F210,'Critical resources (hide)'!AG$6:AG$105)&gt;0,$E$1=2),0,1)</f>
        <v>1</v>
      </c>
      <c r="U210" s="68">
        <f ca="1">IF(AND(SUMIF(Capacity_Resource,$D210,'Critical resources (hide)'!AH$6:AH$105)+SUMIF(Capacity_Resource,$E210,'Critical resources (hide)'!AH$6:AH$105)+SUMIF(Capacity_Resource,$F210,'Critical resources (hide)'!AH$6:AH$105)&gt;0,$E$1=2),0,1)</f>
        <v>1</v>
      </c>
      <c r="V210" s="68">
        <f ca="1">IF(AND(SUMIF(Capacity_Resource,$D210,'Critical resources (hide)'!AI$6:AI$105)+SUMIF(Capacity_Resource,$E210,'Critical resources (hide)'!AI$6:AI$105)+SUMIF(Capacity_Resource,$F210,'Critical resources (hide)'!AI$6:AI$105)&gt;0,$E$1=2),0,1)</f>
        <v>1</v>
      </c>
      <c r="W210" s="68">
        <f ca="1">IF(AND(SUMIF(Capacity_Resource,$D210,'Critical resources (hide)'!AJ$6:AJ$105)+SUMIF(Capacity_Resource,$E210,'Critical resources (hide)'!AJ$6:AJ$105)+SUMIF(Capacity_Resource,$F210,'Critical resources (hide)'!AJ$6:AJ$105)&gt;0,$E$1=2),0,1)</f>
        <v>1</v>
      </c>
      <c r="X210" s="68">
        <f ca="1">IF(AND(SUMIF(Capacity_Resource,$D210,'Critical resources (hide)'!AK$6:AK$105)+SUMIF(Capacity_Resource,$E210,'Critical resources (hide)'!AK$6:AK$105)+SUMIF(Capacity_Resource,$F210,'Critical resources (hide)'!AK$6:AK$105)&gt;0,$E$1=2),0,1)</f>
        <v>1</v>
      </c>
      <c r="Y210" s="68">
        <f ca="1">IF(AND(SUMIF(Capacity_Resource,$D210,'Critical resources (hide)'!AL$6:AL$105)+SUMIF(Capacity_Resource,$E210,'Critical resources (hide)'!AL$6:AL$105)+SUMIF(Capacity_Resource,$F210,'Critical resources (hide)'!AL$6:AL$105)&gt;0,$E$1=2),0,1)</f>
        <v>1</v>
      </c>
      <c r="Z210" s="68">
        <f ca="1">IF(AND(SUMIF(Capacity_Resource,$D210,'Critical resources (hide)'!AM$6:AM$105)+SUMIF(Capacity_Resource,$E210,'Critical resources (hide)'!AM$6:AM$105)+SUMIF(Capacity_Resource,$F210,'Critical resources (hide)'!AM$6:AM$105)&gt;0,$E$1=2),0,1)</f>
        <v>1</v>
      </c>
      <c r="AA210" s="68">
        <f ca="1">IF(AND(SUMIF(Capacity_Resource,$D210,'Critical resources (hide)'!AN$6:AN$105)+SUMIF(Capacity_Resource,$E210,'Critical resources (hide)'!AN$6:AN$105)+SUMIF(Capacity_Resource,$F210,'Critical resources (hide)'!AN$6:AN$105)&gt;0,$E$1=2),0,1)</f>
        <v>1</v>
      </c>
      <c r="AB210" s="68">
        <f ca="1">IF(AND(SUMIF(Capacity_Resource,$D210,'Critical resources (hide)'!AO$6:AO$105)+SUMIF(Capacity_Resource,$E210,'Critical resources (hide)'!AO$6:AO$105)+SUMIF(Capacity_Resource,$F210,'Critical resources (hide)'!AO$6:AO$105)&gt;0,$E$1=2),0,1)</f>
        <v>1</v>
      </c>
      <c r="AC210" s="68">
        <f ca="1">IF(AND(SUMIF(Capacity_Resource,$D210,'Critical resources (hide)'!AP$6:AP$105)+SUMIF(Capacity_Resource,$E210,'Critical resources (hide)'!AP$6:AP$105)+SUMIF(Capacity_Resource,$F210,'Critical resources (hide)'!AP$6:AP$105)&gt;0,$E$1=2),0,1)</f>
        <v>1</v>
      </c>
      <c r="AD210" s="68">
        <f ca="1">IF(AND(SUMIF(Capacity_Resource,$D210,'Critical resources (hide)'!AQ$6:AQ$105)+SUMIF(Capacity_Resource,$E210,'Critical resources (hide)'!AQ$6:AQ$105)+SUMIF(Capacity_Resource,$F210,'Critical resources (hide)'!AQ$6:AQ$105)&gt;0,$E$1=2),0,1)</f>
        <v>1</v>
      </c>
      <c r="AE210" s="68">
        <f ca="1">IF(AND(SUMIF(Capacity_Resource,$D210,'Critical resources (hide)'!AR$6:AR$105)+SUMIF(Capacity_Resource,$E210,'Critical resources (hide)'!AR$6:AR$105)+SUMIF(Capacity_Resource,$F210,'Critical resources (hide)'!AR$6:AR$105)&gt;0,$E$1=2),0,1)</f>
        <v>1</v>
      </c>
      <c r="AF210" s="68">
        <f ca="1">IF(AND(SUMIF(Capacity_Resource,$D210,'Critical resources (hide)'!AS$6:AS$105)+SUMIF(Capacity_Resource,$E210,'Critical resources (hide)'!AS$6:AS$105)+SUMIF(Capacity_Resource,$F210,'Critical resources (hide)'!AS$6:AS$105)&gt;0,$E$1=2),0,1)</f>
        <v>1</v>
      </c>
      <c r="AG210" s="68">
        <f ca="1">IF(AND(SUMIF(Capacity_Resource,$D210,'Critical resources (hide)'!AT$6:AT$105)+SUMIF(Capacity_Resource,$E210,'Critical resources (hide)'!AT$6:AT$105)+SUMIF(Capacity_Resource,$F210,'Critical resources (hide)'!AT$6:AT$105)&gt;0,$E$1=2),0,1)</f>
        <v>1</v>
      </c>
      <c r="AH210" s="68">
        <f ca="1">IF(AND(SUMIF(Capacity_Resource,$D210,'Critical resources (hide)'!AU$6:AU$105)+SUMIF(Capacity_Resource,$E210,'Critical resources (hide)'!AU$6:AU$105)+SUMIF(Capacity_Resource,$F210,'Critical resources (hide)'!AU$6:AU$105)&gt;0,$E$1=2),0,1)</f>
        <v>1</v>
      </c>
      <c r="AI210" s="68">
        <f ca="1">IF(AND(SUMIF(Capacity_Resource,$D210,'Critical resources (hide)'!AV$6:AV$105)+SUMIF(Capacity_Resource,$E210,'Critical resources (hide)'!AV$6:AV$105)+SUMIF(Capacity_Resource,$F210,'Critical resources (hide)'!AV$6:AV$105)&gt;0,$E$1=2),0,1)</f>
        <v>1</v>
      </c>
      <c r="AJ210" s="68">
        <f ca="1">IF(AND(SUMIF(Capacity_Resource,$D210,'Critical resources (hide)'!AW$6:AW$105)+SUMIF(Capacity_Resource,$E210,'Critical resources (hide)'!AW$6:AW$105)+SUMIF(Capacity_Resource,$F210,'Critical resources (hide)'!AW$6:AW$105)&gt;0,$E$1=2),0,1)</f>
        <v>1</v>
      </c>
      <c r="AK210" s="68">
        <f ca="1">IF(AND(SUMIF(Capacity_Resource,$D210,'Critical resources (hide)'!AX$6:AX$105)+SUMIF(Capacity_Resource,$E210,'Critical resources (hide)'!AX$6:AX$105)+SUMIF(Capacity_Resource,$F210,'Critical resources (hide)'!AX$6:AX$105)&gt;0,$E$1=2),0,1)</f>
        <v>1</v>
      </c>
      <c r="AL210" s="68">
        <f ca="1">IF(AND(SUMIF(Capacity_Resource,$D210,'Critical resources (hide)'!AY$6:AY$105)+SUMIF(Capacity_Resource,$E210,'Critical resources (hide)'!AY$6:AY$105)+SUMIF(Capacity_Resource,$F210,'Critical resources (hide)'!AY$6:AY$105)&gt;0,$E$1=2),0,1)</f>
        <v>1</v>
      </c>
      <c r="AM210" s="68">
        <f ca="1">IF(AND(SUMIF(Capacity_Resource,$D210,'Critical resources (hide)'!AZ$6:AZ$105)+SUMIF(Capacity_Resource,$E210,'Critical resources (hide)'!AZ$6:AZ$105)+SUMIF(Capacity_Resource,$F210,'Critical resources (hide)'!AZ$6:AZ$105)&gt;0,$E$1=2),0,1)</f>
        <v>1</v>
      </c>
      <c r="AN210" s="68">
        <f ca="1">IF(AND(SUMIF(Capacity_Resource,$D210,'Critical resources (hide)'!BA$6:BA$105)+SUMIF(Capacity_Resource,$E210,'Critical resources (hide)'!BA$6:BA$105)+SUMIF(Capacity_Resource,$F210,'Critical resources (hide)'!BA$6:BA$105)&gt;0,$E$1=2),0,1)</f>
        <v>1</v>
      </c>
      <c r="AO210" s="68">
        <f ca="1">IF(AND(SUMIF(Capacity_Resource,$D210,'Critical resources (hide)'!BB$6:BB$105)+SUMIF(Capacity_Resource,$E210,'Critical resources (hide)'!BB$6:BB$105)+SUMIF(Capacity_Resource,$F210,'Critical resources (hide)'!BB$6:BB$105)&gt;0,$E$1=2),0,1)</f>
        <v>1</v>
      </c>
      <c r="AP210" s="68">
        <f ca="1">IF(AND(SUMIF(Capacity_Resource,$D210,'Critical resources (hide)'!BC$6:BC$105)+SUMIF(Capacity_Resource,$E210,'Critical resources (hide)'!BC$6:BC$105)+SUMIF(Capacity_Resource,$F210,'Critical resources (hide)'!BC$6:BC$105)&gt;0,$E$1=2),0,1)</f>
        <v>1</v>
      </c>
      <c r="AQ210" s="68">
        <f ca="1">IF(AND(SUMIF(Capacity_Resource,$D210,'Critical resources (hide)'!BD$6:BD$105)+SUMIF(Capacity_Resource,$E210,'Critical resources (hide)'!BD$6:BD$105)+SUMIF(Capacity_Resource,$F210,'Critical resources (hide)'!BD$6:BD$105)&gt;0,$E$1=2),0,1)</f>
        <v>1</v>
      </c>
      <c r="AR210" s="68">
        <f ca="1">IF(AND(SUMIF(Capacity_Resource,$D210,'Critical resources (hide)'!BE$6:BE$105)+SUMIF(Capacity_Resource,$E210,'Critical resources (hide)'!BE$6:BE$105)+SUMIF(Capacity_Resource,$F210,'Critical resources (hide)'!BE$6:BE$105)&gt;0,$E$1=2),0,1)</f>
        <v>1</v>
      </c>
      <c r="AS210" s="68">
        <f ca="1">IF(AND(SUMIF(Capacity_Resource,$D210,'Critical resources (hide)'!BF$6:BF$105)+SUMIF(Capacity_Resource,$E210,'Critical resources (hide)'!BF$6:BF$105)+SUMIF(Capacity_Resource,$F210,'Critical resources (hide)'!BF$6:BF$105)&gt;0,$E$1=2),0,1)</f>
        <v>1</v>
      </c>
      <c r="AT210" s="68">
        <f ca="1">IF(AND(SUMIF(Capacity_Resource,$D210,'Critical resources (hide)'!BG$6:BG$105)+SUMIF(Capacity_Resource,$E210,'Critical resources (hide)'!BG$6:BG$105)+SUMIF(Capacity_Resource,$F210,'Critical resources (hide)'!BG$6:BG$105)&gt;0,$E$1=2),0,1)</f>
        <v>1</v>
      </c>
      <c r="AU210" s="68">
        <f ca="1">IF(AND(SUMIF(Capacity_Resource,$D210,'Critical resources (hide)'!BH$6:BH$105)+SUMIF(Capacity_Resource,$E210,'Critical resources (hide)'!BH$6:BH$105)+SUMIF(Capacity_Resource,$F210,'Critical resources (hide)'!BH$6:BH$105)&gt;0,$E$1=2),0,1)</f>
        <v>1</v>
      </c>
      <c r="AV210" s="68">
        <f ca="1">IF(AND(SUMIF(Capacity_Resource,$D210,'Critical resources (hide)'!BI$6:BI$105)+SUMIF(Capacity_Resource,$E210,'Critical resources (hide)'!BI$6:BI$105)+SUMIF(Capacity_Resource,$F210,'Critical resources (hide)'!BI$6:BI$105)&gt;0,$E$1=2),0,1)</f>
        <v>1</v>
      </c>
      <c r="AW210" s="68">
        <f ca="1">IF(AND(SUMIF(Capacity_Resource,$D210,'Critical resources (hide)'!BJ$6:BJ$105)+SUMIF(Capacity_Resource,$E210,'Critical resources (hide)'!BJ$6:BJ$105)+SUMIF(Capacity_Resource,$F210,'Critical resources (hide)'!BJ$6:BJ$105)&gt;0,$E$1=2),0,1)</f>
        <v>1</v>
      </c>
      <c r="AX210" s="68">
        <f ca="1">IF(AND(SUMIF(Capacity_Resource,$D210,'Critical resources (hide)'!BK$6:BK$105)+SUMIF(Capacity_Resource,$E210,'Critical resources (hide)'!BK$6:BK$105)+SUMIF(Capacity_Resource,$F210,'Critical resources (hide)'!BK$6:BK$105)&gt;0,$E$1=2),0,1)</f>
        <v>1</v>
      </c>
      <c r="AY210" s="68">
        <f ca="1">IF(AND(SUMIF(Capacity_Resource,$D210,'Critical resources (hide)'!BL$6:BL$105)+SUMIF(Capacity_Resource,$E210,'Critical resources (hide)'!BL$6:BL$105)+SUMIF(Capacity_Resource,$F210,'Critical resources (hide)'!BL$6:BL$105)&gt;0,$E$1=2),0,1)</f>
        <v>1</v>
      </c>
      <c r="AZ210" s="68">
        <f ca="1">IF(AND(SUMIF(Capacity_Resource,$D210,'Critical resources (hide)'!BM$6:BM$105)+SUMIF(Capacity_Resource,$E210,'Critical resources (hide)'!BM$6:BM$105)+SUMIF(Capacity_Resource,$F210,'Critical resources (hide)'!BM$6:BM$105)&gt;0,$E$1=2),0,1)</f>
        <v>1</v>
      </c>
      <c r="BA210" s="68">
        <f ca="1">IF(AND(SUMIF(Capacity_Resource,$D210,'Critical resources (hide)'!BN$6:BN$105)+SUMIF(Capacity_Resource,$E210,'Critical resources (hide)'!BN$6:BN$105)+SUMIF(Capacity_Resource,$F210,'Critical resources (hide)'!BN$6:BN$105)&gt;0,$E$1=2),0,1)</f>
        <v>1</v>
      </c>
      <c r="BB210" s="68">
        <f ca="1">IF(AND(SUMIF(Capacity_Resource,$D210,'Critical resources (hide)'!BO$6:BO$105)+SUMIF(Capacity_Resource,$E210,'Critical resources (hide)'!BO$6:BO$105)+SUMIF(Capacity_Resource,$F210,'Critical resources (hide)'!BO$6:BO$105)&gt;0,$E$1=2),0,1)</f>
        <v>1</v>
      </c>
      <c r="BC210" s="68">
        <f ca="1">IF(AND(SUMIF(Capacity_Resource,$D210,'Critical resources (hide)'!BP$6:BP$105)+SUMIF(Capacity_Resource,$E210,'Critical resources (hide)'!BP$6:BP$105)+SUMIF(Capacity_Resource,$F210,'Critical resources (hide)'!BP$6:BP$105)&gt;0,$E$1=2),0,1)</f>
        <v>1</v>
      </c>
      <c r="BD210" s="68">
        <f ca="1">IF(AND(SUMIF(Capacity_Resource,$D210,'Critical resources (hide)'!BQ$6:BQ$105)+SUMIF(Capacity_Resource,$E210,'Critical resources (hide)'!BQ$6:BQ$105)+SUMIF(Capacity_Resource,$F210,'Critical resources (hide)'!BQ$6:BQ$105)&gt;0,$E$1=2),0,1)</f>
        <v>1</v>
      </c>
      <c r="BE210" s="68">
        <f ca="1">IF(AND(SUMIF(Capacity_Resource,$D210,'Critical resources (hide)'!BR$6:BR$105)+SUMIF(Capacity_Resource,$E210,'Critical resources (hide)'!BR$6:BR$105)+SUMIF(Capacity_Resource,$F210,'Critical resources (hide)'!BR$6:BR$105)&gt;0,$E$1=2),0,1)</f>
        <v>1</v>
      </c>
      <c r="BF210" s="68">
        <f ca="1">IF(AND(SUMIF(Capacity_Resource,$D210,'Critical resources (hide)'!BS$6:BS$105)+SUMIF(Capacity_Resource,$E210,'Critical resources (hide)'!BS$6:BS$105)+SUMIF(Capacity_Resource,$F210,'Critical resources (hide)'!BS$6:BS$105)&gt;0,$E$1=2),0,1)</f>
        <v>1</v>
      </c>
      <c r="BG210" s="68">
        <f ca="1">IF(AND(SUMIF(Capacity_Resource,$D210,'Critical resources (hide)'!BT$6:BT$105)+SUMIF(Capacity_Resource,$E210,'Critical resources (hide)'!BT$6:BT$105)+SUMIF(Capacity_Resource,$F210,'Critical resources (hide)'!BT$6:BT$105)&gt;0,$E$1=2),0,1)</f>
        <v>1</v>
      </c>
      <c r="BH210" s="68">
        <f>IF(ROW(A99)&lt;=Capacity!$M$16,IF('Capacity summary'!$C$14="No",SUM(H210:BG210),'Capacity summary'!$E122),0)</f>
        <v>0</v>
      </c>
      <c r="BI210" s="68" t="str">
        <f>IF(BH210&gt;0,IF(BH210&lt;Capacity!Q115,Capacity!R115,Capacity!T115/'Capacity calculation (hide)'!BH210),"")</f>
        <v/>
      </c>
      <c r="BJ210" s="5"/>
      <c r="BK210" s="5">
        <f>IF($BI210&lt;&gt;"",IF('Capacity summary'!$C$14="Yes",IF(COUNTBLANK('Capacity summary'!$H122:$BG122)&lt;52,IF('Capacity summary'!H122&lt;&gt;"",$BI210*H210,0),H210*$BI210),H210*$BI210),0)</f>
        <v>0</v>
      </c>
      <c r="BL210" s="5">
        <f>IF($BI210&lt;&gt;"",IF('Capacity summary'!$C$14="Yes",IF(COUNTBLANK('Capacity summary'!$H122:$BG122)&lt;52,IF('Capacity summary'!I122&lt;&gt;"",$BI210*I210,0),I210*$BI210),I210*$BI210),0)</f>
        <v>0</v>
      </c>
      <c r="BM210" s="5">
        <f>IF($BI210&lt;&gt;"",IF('Capacity summary'!$C$14="Yes",IF(COUNTBLANK('Capacity summary'!$H122:$BG122)&lt;52,IF('Capacity summary'!J122&lt;&gt;"",$BI210*J210,0),J210*$BI210),J210*$BI210),0)</f>
        <v>0</v>
      </c>
      <c r="BN210" s="5">
        <f>IF($BI210&lt;&gt;"",IF('Capacity summary'!$C$14="Yes",IF(COUNTBLANK('Capacity summary'!$H122:$BG122)&lt;52,IF('Capacity summary'!K122&lt;&gt;"",$BI210*K210,0),K210*$BI210),K210*$BI210),0)</f>
        <v>0</v>
      </c>
      <c r="BO210" s="5">
        <f>IF($BI210&lt;&gt;"",IF('Capacity summary'!$C$14="Yes",IF(COUNTBLANK('Capacity summary'!$H122:$BG122)&lt;52,IF('Capacity summary'!L122&lt;&gt;"",$BI210*L210,0),L210*$BI210),L210*$BI210),0)</f>
        <v>0</v>
      </c>
      <c r="BP210" s="5">
        <f>IF($BI210&lt;&gt;"",IF('Capacity summary'!$C$14="Yes",IF(COUNTBLANK('Capacity summary'!$H122:$BG122)&lt;52,IF('Capacity summary'!M122&lt;&gt;"",$BI210*M210,0),M210*$BI210),M210*$BI210),0)</f>
        <v>0</v>
      </c>
      <c r="BQ210" s="5">
        <f>IF($BI210&lt;&gt;"",IF('Capacity summary'!$C$14="Yes",IF(COUNTBLANK('Capacity summary'!$H122:$BG122)&lt;52,IF('Capacity summary'!N122&lt;&gt;"",$BI210*N210,0),N210*$BI210),N210*$BI210),0)</f>
        <v>0</v>
      </c>
      <c r="BR210" s="5">
        <f>IF($BI210&lt;&gt;"",IF('Capacity summary'!$C$14="Yes",IF(COUNTBLANK('Capacity summary'!$H122:$BG122)&lt;52,IF('Capacity summary'!O122&lt;&gt;"",$BI210*O210,0),O210*$BI210),O210*$BI210),0)</f>
        <v>0</v>
      </c>
      <c r="BS210" s="5">
        <f>IF($BI210&lt;&gt;"",IF('Capacity summary'!$C$14="Yes",IF(COUNTBLANK('Capacity summary'!$H122:$BG122)&lt;52,IF('Capacity summary'!P122&lt;&gt;"",$BI210*P210,0),P210*$BI210),P210*$BI210),0)</f>
        <v>0</v>
      </c>
      <c r="BT210" s="5">
        <f>IF($BI210&lt;&gt;"",IF('Capacity summary'!$C$14="Yes",IF(COUNTBLANK('Capacity summary'!$H122:$BG122)&lt;52,IF('Capacity summary'!Q122&lt;&gt;"",$BI210*Q210,0),Q210*$BI210),Q210*$BI210),0)</f>
        <v>0</v>
      </c>
      <c r="BU210" s="5">
        <f>IF($BI210&lt;&gt;"",IF('Capacity summary'!$C$14="Yes",IF(COUNTBLANK('Capacity summary'!$H122:$BG122)&lt;52,IF('Capacity summary'!R122&lt;&gt;"",$BI210*R210,0),R210*$BI210),R210*$BI210),0)</f>
        <v>0</v>
      </c>
      <c r="BV210" s="5">
        <f>IF($BI210&lt;&gt;"",IF('Capacity summary'!$C$14="Yes",IF(COUNTBLANK('Capacity summary'!$H122:$BG122)&lt;52,IF('Capacity summary'!S122&lt;&gt;"",$BI210*S210,0),S210*$BI210),S210*$BI210),0)</f>
        <v>0</v>
      </c>
      <c r="BW210" s="5">
        <f>IF($BI210&lt;&gt;"",IF('Capacity summary'!$C$14="Yes",IF(COUNTBLANK('Capacity summary'!$H122:$BG122)&lt;52,IF('Capacity summary'!T122&lt;&gt;"",$BI210*T210,0),T210*$BI210),T210*$BI210),0)</f>
        <v>0</v>
      </c>
      <c r="BX210" s="5">
        <f>IF($BI210&lt;&gt;"",IF('Capacity summary'!$C$14="Yes",IF(COUNTBLANK('Capacity summary'!$H122:$BG122)&lt;52,IF('Capacity summary'!U122&lt;&gt;"",$BI210*U210,0),U210*$BI210),U210*$BI210),0)</f>
        <v>0</v>
      </c>
      <c r="BY210" s="5">
        <f>IF($BI210&lt;&gt;"",IF('Capacity summary'!$C$14="Yes",IF(COUNTBLANK('Capacity summary'!$H122:$BG122)&lt;52,IF('Capacity summary'!V122&lt;&gt;"",$BI210*V210,0),V210*$BI210),V210*$BI210),0)</f>
        <v>0</v>
      </c>
      <c r="BZ210" s="5">
        <f>IF($BI210&lt;&gt;"",IF('Capacity summary'!$C$14="Yes",IF(COUNTBLANK('Capacity summary'!$H122:$BG122)&lt;52,IF('Capacity summary'!W122&lt;&gt;"",$BI210*W210,0),W210*$BI210),W210*$BI210),0)</f>
        <v>0</v>
      </c>
      <c r="CA210" s="5">
        <f>IF($BI210&lt;&gt;"",IF('Capacity summary'!$C$14="Yes",IF(COUNTBLANK('Capacity summary'!$H122:$BG122)&lt;52,IF('Capacity summary'!X122&lt;&gt;"",$BI210*X210,0),X210*$BI210),X210*$BI210),0)</f>
        <v>0</v>
      </c>
      <c r="CB210" s="5">
        <f>IF($BI210&lt;&gt;"",IF('Capacity summary'!$C$14="Yes",IF(COUNTBLANK('Capacity summary'!$H122:$BG122)&lt;52,IF('Capacity summary'!Y122&lt;&gt;"",$BI210*Y210,0),Y210*$BI210),Y210*$BI210),0)</f>
        <v>0</v>
      </c>
      <c r="CC210" s="5">
        <f>IF($BI210&lt;&gt;"",IF('Capacity summary'!$C$14="Yes",IF(COUNTBLANK('Capacity summary'!$H122:$BG122)&lt;52,IF('Capacity summary'!Z122&lt;&gt;"",$BI210*Z210,0),Z210*$BI210),Z210*$BI210),0)</f>
        <v>0</v>
      </c>
      <c r="CD210" s="5">
        <f>IF($BI210&lt;&gt;"",IF('Capacity summary'!$C$14="Yes",IF(COUNTBLANK('Capacity summary'!$H122:$BG122)&lt;52,IF('Capacity summary'!AA122&lt;&gt;"",$BI210*AA210,0),AA210*$BI210),AA210*$BI210),0)</f>
        <v>0</v>
      </c>
      <c r="CE210" s="5">
        <f>IF($BI210&lt;&gt;"",IF('Capacity summary'!$C$14="Yes",IF(COUNTBLANK('Capacity summary'!$H122:$BG122)&lt;52,IF('Capacity summary'!AB122&lt;&gt;"",$BI210*AB210,0),AB210*$BI210),AB210*$BI210),0)</f>
        <v>0</v>
      </c>
      <c r="CF210" s="5">
        <f>IF($BI210&lt;&gt;"",IF('Capacity summary'!$C$14="Yes",IF(COUNTBLANK('Capacity summary'!$H122:$BG122)&lt;52,IF('Capacity summary'!AC122&lt;&gt;"",$BI210*AC210,0),AC210*$BI210),AC210*$BI210),0)</f>
        <v>0</v>
      </c>
      <c r="CG210" s="5">
        <f>IF($BI210&lt;&gt;"",IF('Capacity summary'!$C$14="Yes",IF(COUNTBLANK('Capacity summary'!$H122:$BG122)&lt;52,IF('Capacity summary'!AD122&lt;&gt;"",$BI210*AD210,0),AD210*$BI210),AD210*$BI210),0)</f>
        <v>0</v>
      </c>
      <c r="CH210" s="5">
        <f>IF($BI210&lt;&gt;"",IF('Capacity summary'!$C$14="Yes",IF(COUNTBLANK('Capacity summary'!$H122:$BG122)&lt;52,IF('Capacity summary'!AE122&lt;&gt;"",$BI210*AE210,0),AE210*$BI210),AE210*$BI210),0)</f>
        <v>0</v>
      </c>
      <c r="CI210" s="5">
        <f>IF($BI210&lt;&gt;"",IF('Capacity summary'!$C$14="Yes",IF(COUNTBLANK('Capacity summary'!$H122:$BG122)&lt;52,IF('Capacity summary'!AF122&lt;&gt;"",$BI210*AF210,0),AF210*$BI210),AF210*$BI210),0)</f>
        <v>0</v>
      </c>
      <c r="CJ210" s="5">
        <f>IF($BI210&lt;&gt;"",IF('Capacity summary'!$C$14="Yes",IF(COUNTBLANK('Capacity summary'!$H122:$BG122)&lt;52,IF('Capacity summary'!AG122&lt;&gt;"",$BI210*AG210,0),AG210*$BI210),AG210*$BI210),0)</f>
        <v>0</v>
      </c>
      <c r="CK210" s="5">
        <f>IF($BI210&lt;&gt;"",IF('Capacity summary'!$C$14="Yes",IF(COUNTBLANK('Capacity summary'!$H122:$BG122)&lt;52,IF('Capacity summary'!AH122&lt;&gt;"",$BI210*AH210,0),AH210*$BI210),AH210*$BI210),0)</f>
        <v>0</v>
      </c>
      <c r="CL210" s="5">
        <f>IF($BI210&lt;&gt;"",IF('Capacity summary'!$C$14="Yes",IF(COUNTBLANK('Capacity summary'!$H122:$BG122)&lt;52,IF('Capacity summary'!AI122&lt;&gt;"",$BI210*AI210,0),AI210*$BI210),AI210*$BI210),0)</f>
        <v>0</v>
      </c>
      <c r="CM210" s="5">
        <f>IF($BI210&lt;&gt;"",IF('Capacity summary'!$C$14="Yes",IF(COUNTBLANK('Capacity summary'!$H122:$BG122)&lt;52,IF('Capacity summary'!AJ122&lt;&gt;"",$BI210*AJ210,0),AJ210*$BI210),AJ210*$BI210),0)</f>
        <v>0</v>
      </c>
      <c r="CN210" s="5">
        <f>IF($BI210&lt;&gt;"",IF('Capacity summary'!$C$14="Yes",IF(COUNTBLANK('Capacity summary'!$H122:$BG122)&lt;52,IF('Capacity summary'!AK122&lt;&gt;"",$BI210*AK210,0),AK210*$BI210),AK210*$BI210),0)</f>
        <v>0</v>
      </c>
      <c r="CO210" s="5">
        <f>IF($BI210&lt;&gt;"",IF('Capacity summary'!$C$14="Yes",IF(COUNTBLANK('Capacity summary'!$H122:$BG122)&lt;52,IF('Capacity summary'!AL122&lt;&gt;"",$BI210*AL210,0),AL210*$BI210),AL210*$BI210),0)</f>
        <v>0</v>
      </c>
      <c r="CP210" s="5">
        <f>IF($BI210&lt;&gt;"",IF('Capacity summary'!$C$14="Yes",IF(COUNTBLANK('Capacity summary'!$H122:$BG122)&lt;52,IF('Capacity summary'!AM122&lt;&gt;"",$BI210*AM210,0),AM210*$BI210),AM210*$BI210),0)</f>
        <v>0</v>
      </c>
      <c r="CQ210" s="5">
        <f>IF($BI210&lt;&gt;"",IF('Capacity summary'!$C$14="Yes",IF(COUNTBLANK('Capacity summary'!$H122:$BG122)&lt;52,IF('Capacity summary'!AN122&lt;&gt;"",$BI210*AN210,0),AN210*$BI210),AN210*$BI210),0)</f>
        <v>0</v>
      </c>
      <c r="CR210" s="5">
        <f>IF($BI210&lt;&gt;"",IF('Capacity summary'!$C$14="Yes",IF(COUNTBLANK('Capacity summary'!$H122:$BG122)&lt;52,IF('Capacity summary'!AO122&lt;&gt;"",$BI210*AO210,0),AO210*$BI210),AO210*$BI210),0)</f>
        <v>0</v>
      </c>
      <c r="CS210" s="5">
        <f>IF($BI210&lt;&gt;"",IF('Capacity summary'!$C$14="Yes",IF(COUNTBLANK('Capacity summary'!$H122:$BG122)&lt;52,IF('Capacity summary'!AP122&lt;&gt;"",$BI210*AP210,0),AP210*$BI210),AP210*$BI210),0)</f>
        <v>0</v>
      </c>
      <c r="CT210" s="5">
        <f>IF($BI210&lt;&gt;"",IF('Capacity summary'!$C$14="Yes",IF(COUNTBLANK('Capacity summary'!$H122:$BG122)&lt;52,IF('Capacity summary'!AQ122&lt;&gt;"",$BI210*AQ210,0),AQ210*$BI210),AQ210*$BI210),0)</f>
        <v>0</v>
      </c>
      <c r="CU210" s="5">
        <f>IF($BI210&lt;&gt;"",IF('Capacity summary'!$C$14="Yes",IF(COUNTBLANK('Capacity summary'!$H122:$BG122)&lt;52,IF('Capacity summary'!AR122&lt;&gt;"",$BI210*AR210,0),AR210*$BI210),AR210*$BI210),0)</f>
        <v>0</v>
      </c>
      <c r="CV210" s="5">
        <f>IF($BI210&lt;&gt;"",IF('Capacity summary'!$C$14="Yes",IF(COUNTBLANK('Capacity summary'!$H122:$BG122)&lt;52,IF('Capacity summary'!AS122&lt;&gt;"",$BI210*AS210,0),AS210*$BI210),AS210*$BI210),0)</f>
        <v>0</v>
      </c>
      <c r="CW210" s="5">
        <f>IF($BI210&lt;&gt;"",IF('Capacity summary'!$C$14="Yes",IF(COUNTBLANK('Capacity summary'!$H122:$BG122)&lt;52,IF('Capacity summary'!AT122&lt;&gt;"",$BI210*AT210,0),AT210*$BI210),AT210*$BI210),0)</f>
        <v>0</v>
      </c>
      <c r="CX210" s="5">
        <f>IF($BI210&lt;&gt;"",IF('Capacity summary'!$C$14="Yes",IF(COUNTBLANK('Capacity summary'!$H122:$BG122)&lt;52,IF('Capacity summary'!AU122&lt;&gt;"",$BI210*AU210,0),AU210*$BI210),AU210*$BI210),0)</f>
        <v>0</v>
      </c>
      <c r="CY210" s="5">
        <f>IF($BI210&lt;&gt;"",IF('Capacity summary'!$C$14="Yes",IF(COUNTBLANK('Capacity summary'!$H122:$BG122)&lt;52,IF('Capacity summary'!AV122&lt;&gt;"",$BI210*AV210,0),AV210*$BI210),AV210*$BI210),0)</f>
        <v>0</v>
      </c>
      <c r="CZ210" s="5">
        <f>IF($BI210&lt;&gt;"",IF('Capacity summary'!$C$14="Yes",IF(COUNTBLANK('Capacity summary'!$H122:$BG122)&lt;52,IF('Capacity summary'!AW122&lt;&gt;"",$BI210*AW210,0),AW210*$BI210),AW210*$BI210),0)</f>
        <v>0</v>
      </c>
      <c r="DA210" s="5">
        <f>IF($BI210&lt;&gt;"",IF('Capacity summary'!$C$14="Yes",IF(COUNTBLANK('Capacity summary'!$H122:$BG122)&lt;52,IF('Capacity summary'!AX122&lt;&gt;"",$BI210*AX210,0),AX210*$BI210),AX210*$BI210),0)</f>
        <v>0</v>
      </c>
      <c r="DB210" s="5">
        <f>IF($BI210&lt;&gt;"",IF('Capacity summary'!$C$14="Yes",IF(COUNTBLANK('Capacity summary'!$H122:$BG122)&lt;52,IF('Capacity summary'!AY122&lt;&gt;"",$BI210*AY210,0),AY210*$BI210),AY210*$BI210),0)</f>
        <v>0</v>
      </c>
      <c r="DC210" s="5">
        <f>IF($BI210&lt;&gt;"",IF('Capacity summary'!$C$14="Yes",IF(COUNTBLANK('Capacity summary'!$H122:$BG122)&lt;52,IF('Capacity summary'!AZ122&lt;&gt;"",$BI210*AZ210,0),AZ210*$BI210),AZ210*$BI210),0)</f>
        <v>0</v>
      </c>
      <c r="DD210" s="5">
        <f>IF($BI210&lt;&gt;"",IF('Capacity summary'!$C$14="Yes",IF(COUNTBLANK('Capacity summary'!$H122:$BG122)&lt;52,IF('Capacity summary'!BA122&lt;&gt;"",$BI210*BA210,0),BA210*$BI210),BA210*$BI210),0)</f>
        <v>0</v>
      </c>
      <c r="DE210" s="5">
        <f>IF($BI210&lt;&gt;"",IF('Capacity summary'!$C$14="Yes",IF(COUNTBLANK('Capacity summary'!$H122:$BG122)&lt;52,IF('Capacity summary'!BB122&lt;&gt;"",$BI210*BB210,0),BB210*$BI210),BB210*$BI210),0)</f>
        <v>0</v>
      </c>
      <c r="DF210" s="5">
        <f>IF($BI210&lt;&gt;"",IF('Capacity summary'!$C$14="Yes",IF(COUNTBLANK('Capacity summary'!$H122:$BG122)&lt;52,IF('Capacity summary'!BC122&lt;&gt;"",$BI210*BC210,0),BC210*$BI210),BC210*$BI210),0)</f>
        <v>0</v>
      </c>
      <c r="DG210" s="5">
        <f>IF($BI210&lt;&gt;"",IF('Capacity summary'!$C$14="Yes",IF(COUNTBLANK('Capacity summary'!$H122:$BG122)&lt;52,IF('Capacity summary'!BD122&lt;&gt;"",$BI210*BD210,0),BD210*$BI210),BD210*$BI210),0)</f>
        <v>0</v>
      </c>
      <c r="DH210" s="5">
        <f>IF($BI210&lt;&gt;"",IF('Capacity summary'!$C$14="Yes",IF(COUNTBLANK('Capacity summary'!$H122:$BG122)&lt;52,IF('Capacity summary'!BE122&lt;&gt;"",$BI210*BE210,0),BE210*$BI210),BE210*$BI210),0)</f>
        <v>0</v>
      </c>
      <c r="DI210" s="5">
        <f>IF($BI210&lt;&gt;"",IF('Capacity summary'!$C$14="Yes",IF(COUNTBLANK('Capacity summary'!$H122:$BG122)&lt;52,IF('Capacity summary'!BF122&lt;&gt;"",$BI210*BF210,0),BF210*$BI210),BF210*$BI210),0)</f>
        <v>0</v>
      </c>
      <c r="DJ210" s="5">
        <f>IF($BI210&lt;&gt;"",IF('Capacity summary'!$C$14="Yes",IF(COUNTBLANK('Capacity summary'!$H122:$BG122)&lt;52,IF('Capacity summary'!BG122&lt;&gt;"",$BI210*BG210,0),BG210*$BI210),BG210*$BI210),0)</f>
        <v>0</v>
      </c>
      <c r="DK210" s="138">
        <f t="shared" si="7"/>
        <v>0</v>
      </c>
    </row>
    <row r="211" spans="2:115" x14ac:dyDescent="0.2">
      <c r="C211" s="68" t="str">
        <f>ROW(A100)&amp;". "&amp;Capacity!N116</f>
        <v xml:space="preserve">100. </v>
      </c>
      <c r="D211" s="68">
        <f>'Capacity setup'!C217</f>
        <v>0</v>
      </c>
      <c r="E211" s="68">
        <f>'Capacity setup'!D217</f>
        <v>0</v>
      </c>
      <c r="F211" s="68">
        <f>'Capacity setup'!E217</f>
        <v>0</v>
      </c>
      <c r="H211" s="68">
        <f ca="1">IF(AND(SUMIF(Capacity_Resource,$D211,'Critical resources (hide)'!U$6:U$105)+SUMIF(Capacity_Resource,$E211,'Critical resources (hide)'!U$6:U$105)+SUMIF(Capacity_Resource,$F211,'Critical resources (hide)'!U$6:U$105)&gt;0,$E$1=2),0,1)</f>
        <v>1</v>
      </c>
      <c r="I211" s="68">
        <f ca="1">IF(AND(SUMIF(Capacity_Resource,$D211,'Critical resources (hide)'!V$6:V$105)+SUMIF(Capacity_Resource,$E211,'Critical resources (hide)'!V$6:V$105)+SUMIF(Capacity_Resource,$F211,'Critical resources (hide)'!V$6:V$105)&gt;0,$E$1=2),0,1)</f>
        <v>1</v>
      </c>
      <c r="J211" s="68">
        <f ca="1">IF(AND(SUMIF(Capacity_Resource,$D211,'Critical resources (hide)'!W$6:W$105)+SUMIF(Capacity_Resource,$E211,'Critical resources (hide)'!W$6:W$105)+SUMIF(Capacity_Resource,$F211,'Critical resources (hide)'!W$6:W$105)&gt;0,$E$1=2),0,1)</f>
        <v>1</v>
      </c>
      <c r="K211" s="68">
        <f ca="1">IF(AND(SUMIF(Capacity_Resource,$D211,'Critical resources (hide)'!X$6:X$105)+SUMIF(Capacity_Resource,$E211,'Critical resources (hide)'!X$6:X$105)+SUMIF(Capacity_Resource,$F211,'Critical resources (hide)'!X$6:X$105)&gt;0,$E$1=2),0,1)</f>
        <v>1</v>
      </c>
      <c r="L211" s="68">
        <f ca="1">IF(AND(SUMIF(Capacity_Resource,$D211,'Critical resources (hide)'!Y$6:Y$105)+SUMIF(Capacity_Resource,$E211,'Critical resources (hide)'!Y$6:Y$105)+SUMIF(Capacity_Resource,$F211,'Critical resources (hide)'!Y$6:Y$105)&gt;0,$E$1=2),0,1)</f>
        <v>1</v>
      </c>
      <c r="M211" s="68">
        <f ca="1">IF(AND(SUMIF(Capacity_Resource,$D211,'Critical resources (hide)'!Z$6:Z$105)+SUMIF(Capacity_Resource,$E211,'Critical resources (hide)'!Z$6:Z$105)+SUMIF(Capacity_Resource,$F211,'Critical resources (hide)'!Z$6:Z$105)&gt;0,$E$1=2),0,1)</f>
        <v>1</v>
      </c>
      <c r="N211" s="68">
        <f ca="1">IF(AND(SUMIF(Capacity_Resource,$D211,'Critical resources (hide)'!AA$6:AA$105)+SUMIF(Capacity_Resource,$E211,'Critical resources (hide)'!AA$6:AA$105)+SUMIF(Capacity_Resource,$F211,'Critical resources (hide)'!AA$6:AA$105)&gt;0,$E$1=2),0,1)</f>
        <v>1</v>
      </c>
      <c r="O211" s="68">
        <f ca="1">IF(AND(SUMIF(Capacity_Resource,$D211,'Critical resources (hide)'!AB$6:AB$105)+SUMIF(Capacity_Resource,$E211,'Critical resources (hide)'!AB$6:AB$105)+SUMIF(Capacity_Resource,$F211,'Critical resources (hide)'!AB$6:AB$105)&gt;0,$E$1=2),0,1)</f>
        <v>1</v>
      </c>
      <c r="P211" s="68">
        <f ca="1">IF(AND(SUMIF(Capacity_Resource,$D211,'Critical resources (hide)'!AC$6:AC$105)+SUMIF(Capacity_Resource,$E211,'Critical resources (hide)'!AC$6:AC$105)+SUMIF(Capacity_Resource,$F211,'Critical resources (hide)'!AC$6:AC$105)&gt;0,$E$1=2),0,1)</f>
        <v>1</v>
      </c>
      <c r="Q211" s="68">
        <f ca="1">IF(AND(SUMIF(Capacity_Resource,$D211,'Critical resources (hide)'!AD$6:AD$105)+SUMIF(Capacity_Resource,$E211,'Critical resources (hide)'!AD$6:AD$105)+SUMIF(Capacity_Resource,$F211,'Critical resources (hide)'!AD$6:AD$105)&gt;0,$E$1=2),0,1)</f>
        <v>1</v>
      </c>
      <c r="R211" s="68">
        <f ca="1">IF(AND(SUMIF(Capacity_Resource,$D211,'Critical resources (hide)'!AE$6:AE$105)+SUMIF(Capacity_Resource,$E211,'Critical resources (hide)'!AE$6:AE$105)+SUMIF(Capacity_Resource,$F211,'Critical resources (hide)'!AE$6:AE$105)&gt;0,$E$1=2),0,1)</f>
        <v>1</v>
      </c>
      <c r="S211" s="68">
        <f ca="1">IF(AND(SUMIF(Capacity_Resource,$D211,'Critical resources (hide)'!AF$6:AF$105)+SUMIF(Capacity_Resource,$E211,'Critical resources (hide)'!AF$6:AF$105)+SUMIF(Capacity_Resource,$F211,'Critical resources (hide)'!AF$6:AF$105)&gt;0,$E$1=2),0,1)</f>
        <v>1</v>
      </c>
      <c r="T211" s="68">
        <f ca="1">IF(AND(SUMIF(Capacity_Resource,$D211,'Critical resources (hide)'!AG$6:AG$105)+SUMIF(Capacity_Resource,$E211,'Critical resources (hide)'!AG$6:AG$105)+SUMIF(Capacity_Resource,$F211,'Critical resources (hide)'!AG$6:AG$105)&gt;0,$E$1=2),0,1)</f>
        <v>1</v>
      </c>
      <c r="U211" s="68">
        <f ca="1">IF(AND(SUMIF(Capacity_Resource,$D211,'Critical resources (hide)'!AH$6:AH$105)+SUMIF(Capacity_Resource,$E211,'Critical resources (hide)'!AH$6:AH$105)+SUMIF(Capacity_Resource,$F211,'Critical resources (hide)'!AH$6:AH$105)&gt;0,$E$1=2),0,1)</f>
        <v>1</v>
      </c>
      <c r="V211" s="68">
        <f ca="1">IF(AND(SUMIF(Capacity_Resource,$D211,'Critical resources (hide)'!AI$6:AI$105)+SUMIF(Capacity_Resource,$E211,'Critical resources (hide)'!AI$6:AI$105)+SUMIF(Capacity_Resource,$F211,'Critical resources (hide)'!AI$6:AI$105)&gt;0,$E$1=2),0,1)</f>
        <v>1</v>
      </c>
      <c r="W211" s="68">
        <f ca="1">IF(AND(SUMIF(Capacity_Resource,$D211,'Critical resources (hide)'!AJ$6:AJ$105)+SUMIF(Capacity_Resource,$E211,'Critical resources (hide)'!AJ$6:AJ$105)+SUMIF(Capacity_Resource,$F211,'Critical resources (hide)'!AJ$6:AJ$105)&gt;0,$E$1=2),0,1)</f>
        <v>1</v>
      </c>
      <c r="X211" s="68">
        <f ca="1">IF(AND(SUMIF(Capacity_Resource,$D211,'Critical resources (hide)'!AK$6:AK$105)+SUMIF(Capacity_Resource,$E211,'Critical resources (hide)'!AK$6:AK$105)+SUMIF(Capacity_Resource,$F211,'Critical resources (hide)'!AK$6:AK$105)&gt;0,$E$1=2),0,1)</f>
        <v>1</v>
      </c>
      <c r="Y211" s="68">
        <f ca="1">IF(AND(SUMIF(Capacity_Resource,$D211,'Critical resources (hide)'!AL$6:AL$105)+SUMIF(Capacity_Resource,$E211,'Critical resources (hide)'!AL$6:AL$105)+SUMIF(Capacity_Resource,$F211,'Critical resources (hide)'!AL$6:AL$105)&gt;0,$E$1=2),0,1)</f>
        <v>1</v>
      </c>
      <c r="Z211" s="68">
        <f ca="1">IF(AND(SUMIF(Capacity_Resource,$D211,'Critical resources (hide)'!AM$6:AM$105)+SUMIF(Capacity_Resource,$E211,'Critical resources (hide)'!AM$6:AM$105)+SUMIF(Capacity_Resource,$F211,'Critical resources (hide)'!AM$6:AM$105)&gt;0,$E$1=2),0,1)</f>
        <v>1</v>
      </c>
      <c r="AA211" s="68">
        <f ca="1">IF(AND(SUMIF(Capacity_Resource,$D211,'Critical resources (hide)'!AN$6:AN$105)+SUMIF(Capacity_Resource,$E211,'Critical resources (hide)'!AN$6:AN$105)+SUMIF(Capacity_Resource,$F211,'Critical resources (hide)'!AN$6:AN$105)&gt;0,$E$1=2),0,1)</f>
        <v>1</v>
      </c>
      <c r="AB211" s="68">
        <f ca="1">IF(AND(SUMIF(Capacity_Resource,$D211,'Critical resources (hide)'!AO$6:AO$105)+SUMIF(Capacity_Resource,$E211,'Critical resources (hide)'!AO$6:AO$105)+SUMIF(Capacity_Resource,$F211,'Critical resources (hide)'!AO$6:AO$105)&gt;0,$E$1=2),0,1)</f>
        <v>1</v>
      </c>
      <c r="AC211" s="68">
        <f ca="1">IF(AND(SUMIF(Capacity_Resource,$D211,'Critical resources (hide)'!AP$6:AP$105)+SUMIF(Capacity_Resource,$E211,'Critical resources (hide)'!AP$6:AP$105)+SUMIF(Capacity_Resource,$F211,'Critical resources (hide)'!AP$6:AP$105)&gt;0,$E$1=2),0,1)</f>
        <v>1</v>
      </c>
      <c r="AD211" s="68">
        <f ca="1">IF(AND(SUMIF(Capacity_Resource,$D211,'Critical resources (hide)'!AQ$6:AQ$105)+SUMIF(Capacity_Resource,$E211,'Critical resources (hide)'!AQ$6:AQ$105)+SUMIF(Capacity_Resource,$F211,'Critical resources (hide)'!AQ$6:AQ$105)&gt;0,$E$1=2),0,1)</f>
        <v>1</v>
      </c>
      <c r="AE211" s="68">
        <f ca="1">IF(AND(SUMIF(Capacity_Resource,$D211,'Critical resources (hide)'!AR$6:AR$105)+SUMIF(Capacity_Resource,$E211,'Critical resources (hide)'!AR$6:AR$105)+SUMIF(Capacity_Resource,$F211,'Critical resources (hide)'!AR$6:AR$105)&gt;0,$E$1=2),0,1)</f>
        <v>1</v>
      </c>
      <c r="AF211" s="68">
        <f ca="1">IF(AND(SUMIF(Capacity_Resource,$D211,'Critical resources (hide)'!AS$6:AS$105)+SUMIF(Capacity_Resource,$E211,'Critical resources (hide)'!AS$6:AS$105)+SUMIF(Capacity_Resource,$F211,'Critical resources (hide)'!AS$6:AS$105)&gt;0,$E$1=2),0,1)</f>
        <v>1</v>
      </c>
      <c r="AG211" s="68">
        <f ca="1">IF(AND(SUMIF(Capacity_Resource,$D211,'Critical resources (hide)'!AT$6:AT$105)+SUMIF(Capacity_Resource,$E211,'Critical resources (hide)'!AT$6:AT$105)+SUMIF(Capacity_Resource,$F211,'Critical resources (hide)'!AT$6:AT$105)&gt;0,$E$1=2),0,1)</f>
        <v>1</v>
      </c>
      <c r="AH211" s="68">
        <f ca="1">IF(AND(SUMIF(Capacity_Resource,$D211,'Critical resources (hide)'!AU$6:AU$105)+SUMIF(Capacity_Resource,$E211,'Critical resources (hide)'!AU$6:AU$105)+SUMIF(Capacity_Resource,$F211,'Critical resources (hide)'!AU$6:AU$105)&gt;0,$E$1=2),0,1)</f>
        <v>1</v>
      </c>
      <c r="AI211" s="68">
        <f ca="1">IF(AND(SUMIF(Capacity_Resource,$D211,'Critical resources (hide)'!AV$6:AV$105)+SUMIF(Capacity_Resource,$E211,'Critical resources (hide)'!AV$6:AV$105)+SUMIF(Capacity_Resource,$F211,'Critical resources (hide)'!AV$6:AV$105)&gt;0,$E$1=2),0,1)</f>
        <v>1</v>
      </c>
      <c r="AJ211" s="68">
        <f ca="1">IF(AND(SUMIF(Capacity_Resource,$D211,'Critical resources (hide)'!AW$6:AW$105)+SUMIF(Capacity_Resource,$E211,'Critical resources (hide)'!AW$6:AW$105)+SUMIF(Capacity_Resource,$F211,'Critical resources (hide)'!AW$6:AW$105)&gt;0,$E$1=2),0,1)</f>
        <v>1</v>
      </c>
      <c r="AK211" s="68">
        <f ca="1">IF(AND(SUMIF(Capacity_Resource,$D211,'Critical resources (hide)'!AX$6:AX$105)+SUMIF(Capacity_Resource,$E211,'Critical resources (hide)'!AX$6:AX$105)+SUMIF(Capacity_Resource,$F211,'Critical resources (hide)'!AX$6:AX$105)&gt;0,$E$1=2),0,1)</f>
        <v>1</v>
      </c>
      <c r="AL211" s="68">
        <f ca="1">IF(AND(SUMIF(Capacity_Resource,$D211,'Critical resources (hide)'!AY$6:AY$105)+SUMIF(Capacity_Resource,$E211,'Critical resources (hide)'!AY$6:AY$105)+SUMIF(Capacity_Resource,$F211,'Critical resources (hide)'!AY$6:AY$105)&gt;0,$E$1=2),0,1)</f>
        <v>1</v>
      </c>
      <c r="AM211" s="68">
        <f ca="1">IF(AND(SUMIF(Capacity_Resource,$D211,'Critical resources (hide)'!AZ$6:AZ$105)+SUMIF(Capacity_Resource,$E211,'Critical resources (hide)'!AZ$6:AZ$105)+SUMIF(Capacity_Resource,$F211,'Critical resources (hide)'!AZ$6:AZ$105)&gt;0,$E$1=2),0,1)</f>
        <v>1</v>
      </c>
      <c r="AN211" s="68">
        <f ca="1">IF(AND(SUMIF(Capacity_Resource,$D211,'Critical resources (hide)'!BA$6:BA$105)+SUMIF(Capacity_Resource,$E211,'Critical resources (hide)'!BA$6:BA$105)+SUMIF(Capacity_Resource,$F211,'Critical resources (hide)'!BA$6:BA$105)&gt;0,$E$1=2),0,1)</f>
        <v>1</v>
      </c>
      <c r="AO211" s="68">
        <f ca="1">IF(AND(SUMIF(Capacity_Resource,$D211,'Critical resources (hide)'!BB$6:BB$105)+SUMIF(Capacity_Resource,$E211,'Critical resources (hide)'!BB$6:BB$105)+SUMIF(Capacity_Resource,$F211,'Critical resources (hide)'!BB$6:BB$105)&gt;0,$E$1=2),0,1)</f>
        <v>1</v>
      </c>
      <c r="AP211" s="68">
        <f ca="1">IF(AND(SUMIF(Capacity_Resource,$D211,'Critical resources (hide)'!BC$6:BC$105)+SUMIF(Capacity_Resource,$E211,'Critical resources (hide)'!BC$6:BC$105)+SUMIF(Capacity_Resource,$F211,'Critical resources (hide)'!BC$6:BC$105)&gt;0,$E$1=2),0,1)</f>
        <v>1</v>
      </c>
      <c r="AQ211" s="68">
        <f ca="1">IF(AND(SUMIF(Capacity_Resource,$D211,'Critical resources (hide)'!BD$6:BD$105)+SUMIF(Capacity_Resource,$E211,'Critical resources (hide)'!BD$6:BD$105)+SUMIF(Capacity_Resource,$F211,'Critical resources (hide)'!BD$6:BD$105)&gt;0,$E$1=2),0,1)</f>
        <v>1</v>
      </c>
      <c r="AR211" s="68">
        <f ca="1">IF(AND(SUMIF(Capacity_Resource,$D211,'Critical resources (hide)'!BE$6:BE$105)+SUMIF(Capacity_Resource,$E211,'Critical resources (hide)'!BE$6:BE$105)+SUMIF(Capacity_Resource,$F211,'Critical resources (hide)'!BE$6:BE$105)&gt;0,$E$1=2),0,1)</f>
        <v>1</v>
      </c>
      <c r="AS211" s="68">
        <f ca="1">IF(AND(SUMIF(Capacity_Resource,$D211,'Critical resources (hide)'!BF$6:BF$105)+SUMIF(Capacity_Resource,$E211,'Critical resources (hide)'!BF$6:BF$105)+SUMIF(Capacity_Resource,$F211,'Critical resources (hide)'!BF$6:BF$105)&gt;0,$E$1=2),0,1)</f>
        <v>1</v>
      </c>
      <c r="AT211" s="68">
        <f ca="1">IF(AND(SUMIF(Capacity_Resource,$D211,'Critical resources (hide)'!BG$6:BG$105)+SUMIF(Capacity_Resource,$E211,'Critical resources (hide)'!BG$6:BG$105)+SUMIF(Capacity_Resource,$F211,'Critical resources (hide)'!BG$6:BG$105)&gt;0,$E$1=2),0,1)</f>
        <v>1</v>
      </c>
      <c r="AU211" s="68">
        <f ca="1">IF(AND(SUMIF(Capacity_Resource,$D211,'Critical resources (hide)'!BH$6:BH$105)+SUMIF(Capacity_Resource,$E211,'Critical resources (hide)'!BH$6:BH$105)+SUMIF(Capacity_Resource,$F211,'Critical resources (hide)'!BH$6:BH$105)&gt;0,$E$1=2),0,1)</f>
        <v>1</v>
      </c>
      <c r="AV211" s="68">
        <f ca="1">IF(AND(SUMIF(Capacity_Resource,$D211,'Critical resources (hide)'!BI$6:BI$105)+SUMIF(Capacity_Resource,$E211,'Critical resources (hide)'!BI$6:BI$105)+SUMIF(Capacity_Resource,$F211,'Critical resources (hide)'!BI$6:BI$105)&gt;0,$E$1=2),0,1)</f>
        <v>1</v>
      </c>
      <c r="AW211" s="68">
        <f ca="1">IF(AND(SUMIF(Capacity_Resource,$D211,'Critical resources (hide)'!BJ$6:BJ$105)+SUMIF(Capacity_Resource,$E211,'Critical resources (hide)'!BJ$6:BJ$105)+SUMIF(Capacity_Resource,$F211,'Critical resources (hide)'!BJ$6:BJ$105)&gt;0,$E$1=2),0,1)</f>
        <v>1</v>
      </c>
      <c r="AX211" s="68">
        <f ca="1">IF(AND(SUMIF(Capacity_Resource,$D211,'Critical resources (hide)'!BK$6:BK$105)+SUMIF(Capacity_Resource,$E211,'Critical resources (hide)'!BK$6:BK$105)+SUMIF(Capacity_Resource,$F211,'Critical resources (hide)'!BK$6:BK$105)&gt;0,$E$1=2),0,1)</f>
        <v>1</v>
      </c>
      <c r="AY211" s="68">
        <f ca="1">IF(AND(SUMIF(Capacity_Resource,$D211,'Critical resources (hide)'!BL$6:BL$105)+SUMIF(Capacity_Resource,$E211,'Critical resources (hide)'!BL$6:BL$105)+SUMIF(Capacity_Resource,$F211,'Critical resources (hide)'!BL$6:BL$105)&gt;0,$E$1=2),0,1)</f>
        <v>1</v>
      </c>
      <c r="AZ211" s="68">
        <f ca="1">IF(AND(SUMIF(Capacity_Resource,$D211,'Critical resources (hide)'!BM$6:BM$105)+SUMIF(Capacity_Resource,$E211,'Critical resources (hide)'!BM$6:BM$105)+SUMIF(Capacity_Resource,$F211,'Critical resources (hide)'!BM$6:BM$105)&gt;0,$E$1=2),0,1)</f>
        <v>1</v>
      </c>
      <c r="BA211" s="68">
        <f ca="1">IF(AND(SUMIF(Capacity_Resource,$D211,'Critical resources (hide)'!BN$6:BN$105)+SUMIF(Capacity_Resource,$E211,'Critical resources (hide)'!BN$6:BN$105)+SUMIF(Capacity_Resource,$F211,'Critical resources (hide)'!BN$6:BN$105)&gt;0,$E$1=2),0,1)</f>
        <v>1</v>
      </c>
      <c r="BB211" s="68">
        <f ca="1">IF(AND(SUMIF(Capacity_Resource,$D211,'Critical resources (hide)'!BO$6:BO$105)+SUMIF(Capacity_Resource,$E211,'Critical resources (hide)'!BO$6:BO$105)+SUMIF(Capacity_Resource,$F211,'Critical resources (hide)'!BO$6:BO$105)&gt;0,$E$1=2),0,1)</f>
        <v>1</v>
      </c>
      <c r="BC211" s="68">
        <f ca="1">IF(AND(SUMIF(Capacity_Resource,$D211,'Critical resources (hide)'!BP$6:BP$105)+SUMIF(Capacity_Resource,$E211,'Critical resources (hide)'!BP$6:BP$105)+SUMIF(Capacity_Resource,$F211,'Critical resources (hide)'!BP$6:BP$105)&gt;0,$E$1=2),0,1)</f>
        <v>1</v>
      </c>
      <c r="BD211" s="68">
        <f ca="1">IF(AND(SUMIF(Capacity_Resource,$D211,'Critical resources (hide)'!BQ$6:BQ$105)+SUMIF(Capacity_Resource,$E211,'Critical resources (hide)'!BQ$6:BQ$105)+SUMIF(Capacity_Resource,$F211,'Critical resources (hide)'!BQ$6:BQ$105)&gt;0,$E$1=2),0,1)</f>
        <v>1</v>
      </c>
      <c r="BE211" s="68">
        <f ca="1">IF(AND(SUMIF(Capacity_Resource,$D211,'Critical resources (hide)'!BR$6:BR$105)+SUMIF(Capacity_Resource,$E211,'Critical resources (hide)'!BR$6:BR$105)+SUMIF(Capacity_Resource,$F211,'Critical resources (hide)'!BR$6:BR$105)&gt;0,$E$1=2),0,1)</f>
        <v>1</v>
      </c>
      <c r="BF211" s="68">
        <f ca="1">IF(AND(SUMIF(Capacity_Resource,$D211,'Critical resources (hide)'!BS$6:BS$105)+SUMIF(Capacity_Resource,$E211,'Critical resources (hide)'!BS$6:BS$105)+SUMIF(Capacity_Resource,$F211,'Critical resources (hide)'!BS$6:BS$105)&gt;0,$E$1=2),0,1)</f>
        <v>1</v>
      </c>
      <c r="BG211" s="68">
        <f ca="1">IF(AND(SUMIF(Capacity_Resource,$D211,'Critical resources (hide)'!BT$6:BT$105)+SUMIF(Capacity_Resource,$E211,'Critical resources (hide)'!BT$6:BT$105)+SUMIF(Capacity_Resource,$F211,'Critical resources (hide)'!BT$6:BT$105)&gt;0,$E$1=2),0,1)</f>
        <v>1</v>
      </c>
      <c r="BH211" s="68">
        <f>IF(ROW(A100)&lt;=Capacity!$M$16,IF('Capacity summary'!$C$14="No",SUM(H211:BG211),'Capacity summary'!$E123),0)</f>
        <v>0</v>
      </c>
      <c r="BI211" s="68" t="str">
        <f>IF(BH211&gt;0,IF(BH211&lt;Capacity!Q116,Capacity!R116,Capacity!T116/'Capacity calculation (hide)'!BH211),"")</f>
        <v/>
      </c>
      <c r="BJ211" s="5"/>
      <c r="BK211" s="5">
        <f>IF($BI211&lt;&gt;"",IF('Capacity summary'!$C$14="Yes",IF(COUNTBLANK('Capacity summary'!$H123:$BG123)&lt;52,IF('Capacity summary'!H123&lt;&gt;"",$BI211*H211,0),H211*$BI211),H211*$BI211),0)</f>
        <v>0</v>
      </c>
      <c r="BL211" s="5">
        <f>IF($BI211&lt;&gt;"",IF('Capacity summary'!$C$14="Yes",IF(COUNTBLANK('Capacity summary'!$H123:$BG123)&lt;52,IF('Capacity summary'!I123&lt;&gt;"",$BI211*I211,0),I211*$BI211),I211*$BI211),0)</f>
        <v>0</v>
      </c>
      <c r="BM211" s="5">
        <f>IF($BI211&lt;&gt;"",IF('Capacity summary'!$C$14="Yes",IF(COUNTBLANK('Capacity summary'!$H123:$BG123)&lt;52,IF('Capacity summary'!J123&lt;&gt;"",$BI211*J211,0),J211*$BI211),J211*$BI211),0)</f>
        <v>0</v>
      </c>
      <c r="BN211" s="5">
        <f>IF($BI211&lt;&gt;"",IF('Capacity summary'!$C$14="Yes",IF(COUNTBLANK('Capacity summary'!$H123:$BG123)&lt;52,IF('Capacity summary'!K123&lt;&gt;"",$BI211*K211,0),K211*$BI211),K211*$BI211),0)</f>
        <v>0</v>
      </c>
      <c r="BO211" s="5">
        <f>IF($BI211&lt;&gt;"",IF('Capacity summary'!$C$14="Yes",IF(COUNTBLANK('Capacity summary'!$H123:$BG123)&lt;52,IF('Capacity summary'!L123&lt;&gt;"",$BI211*L211,0),L211*$BI211),L211*$BI211),0)</f>
        <v>0</v>
      </c>
      <c r="BP211" s="5">
        <f>IF($BI211&lt;&gt;"",IF('Capacity summary'!$C$14="Yes",IF(COUNTBLANK('Capacity summary'!$H123:$BG123)&lt;52,IF('Capacity summary'!M123&lt;&gt;"",$BI211*M211,0),M211*$BI211),M211*$BI211),0)</f>
        <v>0</v>
      </c>
      <c r="BQ211" s="5">
        <f>IF($BI211&lt;&gt;"",IF('Capacity summary'!$C$14="Yes",IF(COUNTBLANK('Capacity summary'!$H123:$BG123)&lt;52,IF('Capacity summary'!N123&lt;&gt;"",$BI211*N211,0),N211*$BI211),N211*$BI211),0)</f>
        <v>0</v>
      </c>
      <c r="BR211" s="5">
        <f>IF($BI211&lt;&gt;"",IF('Capacity summary'!$C$14="Yes",IF(COUNTBLANK('Capacity summary'!$H123:$BG123)&lt;52,IF('Capacity summary'!O123&lt;&gt;"",$BI211*O211,0),O211*$BI211),O211*$BI211),0)</f>
        <v>0</v>
      </c>
      <c r="BS211" s="5">
        <f>IF($BI211&lt;&gt;"",IF('Capacity summary'!$C$14="Yes",IF(COUNTBLANK('Capacity summary'!$H123:$BG123)&lt;52,IF('Capacity summary'!P123&lt;&gt;"",$BI211*P211,0),P211*$BI211),P211*$BI211),0)</f>
        <v>0</v>
      </c>
      <c r="BT211" s="5">
        <f>IF($BI211&lt;&gt;"",IF('Capacity summary'!$C$14="Yes",IF(COUNTBLANK('Capacity summary'!$H123:$BG123)&lt;52,IF('Capacity summary'!Q123&lt;&gt;"",$BI211*Q211,0),Q211*$BI211),Q211*$BI211),0)</f>
        <v>0</v>
      </c>
      <c r="BU211" s="5">
        <f>IF($BI211&lt;&gt;"",IF('Capacity summary'!$C$14="Yes",IF(COUNTBLANK('Capacity summary'!$H123:$BG123)&lt;52,IF('Capacity summary'!R123&lt;&gt;"",$BI211*R211,0),R211*$BI211),R211*$BI211),0)</f>
        <v>0</v>
      </c>
      <c r="BV211" s="5">
        <f>IF($BI211&lt;&gt;"",IF('Capacity summary'!$C$14="Yes",IF(COUNTBLANK('Capacity summary'!$H123:$BG123)&lt;52,IF('Capacity summary'!S123&lt;&gt;"",$BI211*S211,0),S211*$BI211),S211*$BI211),0)</f>
        <v>0</v>
      </c>
      <c r="BW211" s="5">
        <f>IF($BI211&lt;&gt;"",IF('Capacity summary'!$C$14="Yes",IF(COUNTBLANK('Capacity summary'!$H123:$BG123)&lt;52,IF('Capacity summary'!T123&lt;&gt;"",$BI211*T211,0),T211*$BI211),T211*$BI211),0)</f>
        <v>0</v>
      </c>
      <c r="BX211" s="5">
        <f>IF($BI211&lt;&gt;"",IF('Capacity summary'!$C$14="Yes",IF(COUNTBLANK('Capacity summary'!$H123:$BG123)&lt;52,IF('Capacity summary'!U123&lt;&gt;"",$BI211*U211,0),U211*$BI211),U211*$BI211),0)</f>
        <v>0</v>
      </c>
      <c r="BY211" s="5">
        <f>IF($BI211&lt;&gt;"",IF('Capacity summary'!$C$14="Yes",IF(COUNTBLANK('Capacity summary'!$H123:$BG123)&lt;52,IF('Capacity summary'!V123&lt;&gt;"",$BI211*V211,0),V211*$BI211),V211*$BI211),0)</f>
        <v>0</v>
      </c>
      <c r="BZ211" s="5">
        <f>IF($BI211&lt;&gt;"",IF('Capacity summary'!$C$14="Yes",IF(COUNTBLANK('Capacity summary'!$H123:$BG123)&lt;52,IF('Capacity summary'!W123&lt;&gt;"",$BI211*W211,0),W211*$BI211),W211*$BI211),0)</f>
        <v>0</v>
      </c>
      <c r="CA211" s="5">
        <f>IF($BI211&lt;&gt;"",IF('Capacity summary'!$C$14="Yes",IF(COUNTBLANK('Capacity summary'!$H123:$BG123)&lt;52,IF('Capacity summary'!X123&lt;&gt;"",$BI211*X211,0),X211*$BI211),X211*$BI211),0)</f>
        <v>0</v>
      </c>
      <c r="CB211" s="5">
        <f>IF($BI211&lt;&gt;"",IF('Capacity summary'!$C$14="Yes",IF(COUNTBLANK('Capacity summary'!$H123:$BG123)&lt;52,IF('Capacity summary'!Y123&lt;&gt;"",$BI211*Y211,0),Y211*$BI211),Y211*$BI211),0)</f>
        <v>0</v>
      </c>
      <c r="CC211" s="5">
        <f>IF($BI211&lt;&gt;"",IF('Capacity summary'!$C$14="Yes",IF(COUNTBLANK('Capacity summary'!$H123:$BG123)&lt;52,IF('Capacity summary'!Z123&lt;&gt;"",$BI211*Z211,0),Z211*$BI211),Z211*$BI211),0)</f>
        <v>0</v>
      </c>
      <c r="CD211" s="5">
        <f>IF($BI211&lt;&gt;"",IF('Capacity summary'!$C$14="Yes",IF(COUNTBLANK('Capacity summary'!$H123:$BG123)&lt;52,IF('Capacity summary'!AA123&lt;&gt;"",$BI211*AA211,0),AA211*$BI211),AA211*$BI211),0)</f>
        <v>0</v>
      </c>
      <c r="CE211" s="5">
        <f>IF($BI211&lt;&gt;"",IF('Capacity summary'!$C$14="Yes",IF(COUNTBLANK('Capacity summary'!$H123:$BG123)&lt;52,IF('Capacity summary'!AB123&lt;&gt;"",$BI211*AB211,0),AB211*$BI211),AB211*$BI211),0)</f>
        <v>0</v>
      </c>
      <c r="CF211" s="5">
        <f>IF($BI211&lt;&gt;"",IF('Capacity summary'!$C$14="Yes",IF(COUNTBLANK('Capacity summary'!$H123:$BG123)&lt;52,IF('Capacity summary'!AC123&lt;&gt;"",$BI211*AC211,0),AC211*$BI211),AC211*$BI211),0)</f>
        <v>0</v>
      </c>
      <c r="CG211" s="5">
        <f>IF($BI211&lt;&gt;"",IF('Capacity summary'!$C$14="Yes",IF(COUNTBLANK('Capacity summary'!$H123:$BG123)&lt;52,IF('Capacity summary'!AD123&lt;&gt;"",$BI211*AD211,0),AD211*$BI211),AD211*$BI211),0)</f>
        <v>0</v>
      </c>
      <c r="CH211" s="5">
        <f>IF($BI211&lt;&gt;"",IF('Capacity summary'!$C$14="Yes",IF(COUNTBLANK('Capacity summary'!$H123:$BG123)&lt;52,IF('Capacity summary'!AE123&lt;&gt;"",$BI211*AE211,0),AE211*$BI211),AE211*$BI211),0)</f>
        <v>0</v>
      </c>
      <c r="CI211" s="5">
        <f>IF($BI211&lt;&gt;"",IF('Capacity summary'!$C$14="Yes",IF(COUNTBLANK('Capacity summary'!$H123:$BG123)&lt;52,IF('Capacity summary'!AF123&lt;&gt;"",$BI211*AF211,0),AF211*$BI211),AF211*$BI211),0)</f>
        <v>0</v>
      </c>
      <c r="CJ211" s="5">
        <f>IF($BI211&lt;&gt;"",IF('Capacity summary'!$C$14="Yes",IF(COUNTBLANK('Capacity summary'!$H123:$BG123)&lt;52,IF('Capacity summary'!AG123&lt;&gt;"",$BI211*AG211,0),AG211*$BI211),AG211*$BI211),0)</f>
        <v>0</v>
      </c>
      <c r="CK211" s="5">
        <f>IF($BI211&lt;&gt;"",IF('Capacity summary'!$C$14="Yes",IF(COUNTBLANK('Capacity summary'!$H123:$BG123)&lt;52,IF('Capacity summary'!AH123&lt;&gt;"",$BI211*AH211,0),AH211*$BI211),AH211*$BI211),0)</f>
        <v>0</v>
      </c>
      <c r="CL211" s="5">
        <f>IF($BI211&lt;&gt;"",IF('Capacity summary'!$C$14="Yes",IF(COUNTBLANK('Capacity summary'!$H123:$BG123)&lt;52,IF('Capacity summary'!AI123&lt;&gt;"",$BI211*AI211,0),AI211*$BI211),AI211*$BI211),0)</f>
        <v>0</v>
      </c>
      <c r="CM211" s="5">
        <f>IF($BI211&lt;&gt;"",IF('Capacity summary'!$C$14="Yes",IF(COUNTBLANK('Capacity summary'!$H123:$BG123)&lt;52,IF('Capacity summary'!AJ123&lt;&gt;"",$BI211*AJ211,0),AJ211*$BI211),AJ211*$BI211),0)</f>
        <v>0</v>
      </c>
      <c r="CN211" s="5">
        <f>IF($BI211&lt;&gt;"",IF('Capacity summary'!$C$14="Yes",IF(COUNTBLANK('Capacity summary'!$H123:$BG123)&lt;52,IF('Capacity summary'!AK123&lt;&gt;"",$BI211*AK211,0),AK211*$BI211),AK211*$BI211),0)</f>
        <v>0</v>
      </c>
      <c r="CO211" s="5">
        <f>IF($BI211&lt;&gt;"",IF('Capacity summary'!$C$14="Yes",IF(COUNTBLANK('Capacity summary'!$H123:$BG123)&lt;52,IF('Capacity summary'!AL123&lt;&gt;"",$BI211*AL211,0),AL211*$BI211),AL211*$BI211),0)</f>
        <v>0</v>
      </c>
      <c r="CP211" s="5">
        <f>IF($BI211&lt;&gt;"",IF('Capacity summary'!$C$14="Yes",IF(COUNTBLANK('Capacity summary'!$H123:$BG123)&lt;52,IF('Capacity summary'!AM123&lt;&gt;"",$BI211*AM211,0),AM211*$BI211),AM211*$BI211),0)</f>
        <v>0</v>
      </c>
      <c r="CQ211" s="5">
        <f>IF($BI211&lt;&gt;"",IF('Capacity summary'!$C$14="Yes",IF(COUNTBLANK('Capacity summary'!$H123:$BG123)&lt;52,IF('Capacity summary'!AN123&lt;&gt;"",$BI211*AN211,0),AN211*$BI211),AN211*$BI211),0)</f>
        <v>0</v>
      </c>
      <c r="CR211" s="5">
        <f>IF($BI211&lt;&gt;"",IF('Capacity summary'!$C$14="Yes",IF(COUNTBLANK('Capacity summary'!$H123:$BG123)&lt;52,IF('Capacity summary'!AO123&lt;&gt;"",$BI211*AO211,0),AO211*$BI211),AO211*$BI211),0)</f>
        <v>0</v>
      </c>
      <c r="CS211" s="5">
        <f>IF($BI211&lt;&gt;"",IF('Capacity summary'!$C$14="Yes",IF(COUNTBLANK('Capacity summary'!$H123:$BG123)&lt;52,IF('Capacity summary'!AP123&lt;&gt;"",$BI211*AP211,0),AP211*$BI211),AP211*$BI211),0)</f>
        <v>0</v>
      </c>
      <c r="CT211" s="5">
        <f>IF($BI211&lt;&gt;"",IF('Capacity summary'!$C$14="Yes",IF(COUNTBLANK('Capacity summary'!$H123:$BG123)&lt;52,IF('Capacity summary'!AQ123&lt;&gt;"",$BI211*AQ211,0),AQ211*$BI211),AQ211*$BI211),0)</f>
        <v>0</v>
      </c>
      <c r="CU211" s="5">
        <f>IF($BI211&lt;&gt;"",IF('Capacity summary'!$C$14="Yes",IF(COUNTBLANK('Capacity summary'!$H123:$BG123)&lt;52,IF('Capacity summary'!AR123&lt;&gt;"",$BI211*AR211,0),AR211*$BI211),AR211*$BI211),0)</f>
        <v>0</v>
      </c>
      <c r="CV211" s="5">
        <f>IF($BI211&lt;&gt;"",IF('Capacity summary'!$C$14="Yes",IF(COUNTBLANK('Capacity summary'!$H123:$BG123)&lt;52,IF('Capacity summary'!AS123&lt;&gt;"",$BI211*AS211,0),AS211*$BI211),AS211*$BI211),0)</f>
        <v>0</v>
      </c>
      <c r="CW211" s="5">
        <f>IF($BI211&lt;&gt;"",IF('Capacity summary'!$C$14="Yes",IF(COUNTBLANK('Capacity summary'!$H123:$BG123)&lt;52,IF('Capacity summary'!AT123&lt;&gt;"",$BI211*AT211,0),AT211*$BI211),AT211*$BI211),0)</f>
        <v>0</v>
      </c>
      <c r="CX211" s="5">
        <f>IF($BI211&lt;&gt;"",IF('Capacity summary'!$C$14="Yes",IF(COUNTBLANK('Capacity summary'!$H123:$BG123)&lt;52,IF('Capacity summary'!AU123&lt;&gt;"",$BI211*AU211,0),AU211*$BI211),AU211*$BI211),0)</f>
        <v>0</v>
      </c>
      <c r="CY211" s="5">
        <f>IF($BI211&lt;&gt;"",IF('Capacity summary'!$C$14="Yes",IF(COUNTBLANK('Capacity summary'!$H123:$BG123)&lt;52,IF('Capacity summary'!AV123&lt;&gt;"",$BI211*AV211,0),AV211*$BI211),AV211*$BI211),0)</f>
        <v>0</v>
      </c>
      <c r="CZ211" s="5">
        <f>IF($BI211&lt;&gt;"",IF('Capacity summary'!$C$14="Yes",IF(COUNTBLANK('Capacity summary'!$H123:$BG123)&lt;52,IF('Capacity summary'!AW123&lt;&gt;"",$BI211*AW211,0),AW211*$BI211),AW211*$BI211),0)</f>
        <v>0</v>
      </c>
      <c r="DA211" s="5">
        <f>IF($BI211&lt;&gt;"",IF('Capacity summary'!$C$14="Yes",IF(COUNTBLANK('Capacity summary'!$H123:$BG123)&lt;52,IF('Capacity summary'!AX123&lt;&gt;"",$BI211*AX211,0),AX211*$BI211),AX211*$BI211),0)</f>
        <v>0</v>
      </c>
      <c r="DB211" s="5">
        <f>IF($BI211&lt;&gt;"",IF('Capacity summary'!$C$14="Yes",IF(COUNTBLANK('Capacity summary'!$H123:$BG123)&lt;52,IF('Capacity summary'!AY123&lt;&gt;"",$BI211*AY211,0),AY211*$BI211),AY211*$BI211),0)</f>
        <v>0</v>
      </c>
      <c r="DC211" s="5">
        <f>IF($BI211&lt;&gt;"",IF('Capacity summary'!$C$14="Yes",IF(COUNTBLANK('Capacity summary'!$H123:$BG123)&lt;52,IF('Capacity summary'!AZ123&lt;&gt;"",$BI211*AZ211,0),AZ211*$BI211),AZ211*$BI211),0)</f>
        <v>0</v>
      </c>
      <c r="DD211" s="5">
        <f>IF($BI211&lt;&gt;"",IF('Capacity summary'!$C$14="Yes",IF(COUNTBLANK('Capacity summary'!$H123:$BG123)&lt;52,IF('Capacity summary'!BA123&lt;&gt;"",$BI211*BA211,0),BA211*$BI211),BA211*$BI211),0)</f>
        <v>0</v>
      </c>
      <c r="DE211" s="5">
        <f>IF($BI211&lt;&gt;"",IF('Capacity summary'!$C$14="Yes",IF(COUNTBLANK('Capacity summary'!$H123:$BG123)&lt;52,IF('Capacity summary'!BB123&lt;&gt;"",$BI211*BB211,0),BB211*$BI211),BB211*$BI211),0)</f>
        <v>0</v>
      </c>
      <c r="DF211" s="5">
        <f>IF($BI211&lt;&gt;"",IF('Capacity summary'!$C$14="Yes",IF(COUNTBLANK('Capacity summary'!$H123:$BG123)&lt;52,IF('Capacity summary'!BC123&lt;&gt;"",$BI211*BC211,0),BC211*$BI211),BC211*$BI211),0)</f>
        <v>0</v>
      </c>
      <c r="DG211" s="5">
        <f>IF($BI211&lt;&gt;"",IF('Capacity summary'!$C$14="Yes",IF(COUNTBLANK('Capacity summary'!$H123:$BG123)&lt;52,IF('Capacity summary'!BD123&lt;&gt;"",$BI211*BD211,0),BD211*$BI211),BD211*$BI211),0)</f>
        <v>0</v>
      </c>
      <c r="DH211" s="5">
        <f>IF($BI211&lt;&gt;"",IF('Capacity summary'!$C$14="Yes",IF(COUNTBLANK('Capacity summary'!$H123:$BG123)&lt;52,IF('Capacity summary'!BE123&lt;&gt;"",$BI211*BE211,0),BE211*$BI211),BE211*$BI211),0)</f>
        <v>0</v>
      </c>
      <c r="DI211" s="5">
        <f>IF($BI211&lt;&gt;"",IF('Capacity summary'!$C$14="Yes",IF(COUNTBLANK('Capacity summary'!$H123:$BG123)&lt;52,IF('Capacity summary'!BF123&lt;&gt;"",$BI211*BF211,0),BF211*$BI211),BF211*$BI211),0)</f>
        <v>0</v>
      </c>
      <c r="DJ211" s="5">
        <f>IF($BI211&lt;&gt;"",IF('Capacity summary'!$C$14="Yes",IF(COUNTBLANK('Capacity summary'!$H123:$BG123)&lt;52,IF('Capacity summary'!BG123&lt;&gt;"",$BI211*BG211,0),BG211*$BI211),BG211*$BI211),0)</f>
        <v>0</v>
      </c>
      <c r="DK211" s="138">
        <f t="shared" si="7"/>
        <v>0</v>
      </c>
    </row>
    <row r="212" spans="2:115" x14ac:dyDescent="0.2">
      <c r="B212" s="68"/>
    </row>
    <row r="213" spans="2:115" x14ac:dyDescent="0.2">
      <c r="B213" s="68"/>
    </row>
    <row r="214" spans="2:115" ht="15" x14ac:dyDescent="0.25">
      <c r="B214" s="68"/>
      <c r="BI214" s="312" t="s">
        <v>1123</v>
      </c>
      <c r="BK214">
        <f>SUMIFS(BK$112:BK$211,Capacity!$V$17:$V$116,"X")</f>
        <v>0</v>
      </c>
      <c r="BL214" s="68">
        <f>SUMIFS(BL$112:BL$211,Capacity!$V$17:$V$116,"X")</f>
        <v>0</v>
      </c>
      <c r="BM214" s="68">
        <f>SUMIFS(BM$112:BM$211,Capacity!$V$17:$V$116,"X")</f>
        <v>0</v>
      </c>
      <c r="BN214" s="68">
        <f>SUMIFS(BN$112:BN$211,Capacity!$V$17:$V$116,"X")</f>
        <v>0</v>
      </c>
      <c r="BO214" s="68">
        <f>SUMIFS(BO$112:BO$211,Capacity!$V$17:$V$116,"X")</f>
        <v>0</v>
      </c>
      <c r="BP214" s="68">
        <f>SUMIFS(BP$112:BP$211,Capacity!$V$17:$V$116,"X")</f>
        <v>0</v>
      </c>
      <c r="BQ214" s="68">
        <f>SUMIFS(BQ$112:BQ$211,Capacity!$V$17:$V$116,"X")</f>
        <v>0</v>
      </c>
      <c r="BR214" s="68">
        <f>SUMIFS(BR$112:BR$211,Capacity!$V$17:$V$116,"X")</f>
        <v>0</v>
      </c>
      <c r="BS214" s="68">
        <f>SUMIFS(BS$112:BS$211,Capacity!$V$17:$V$116,"X")</f>
        <v>0</v>
      </c>
      <c r="BT214" s="68">
        <f>SUMIFS(BT$112:BT$211,Capacity!$V$17:$V$116,"X")</f>
        <v>0</v>
      </c>
      <c r="BU214" s="68">
        <f>SUMIFS(BU$112:BU$211,Capacity!$V$17:$V$116,"X")</f>
        <v>0</v>
      </c>
      <c r="BV214" s="68">
        <f>SUMIFS(BV$112:BV$211,Capacity!$V$17:$V$116,"X")</f>
        <v>0</v>
      </c>
      <c r="BW214" s="68">
        <f>SUMIFS(BW$112:BW$211,Capacity!$V$17:$V$116,"X")</f>
        <v>0</v>
      </c>
      <c r="BX214" s="68">
        <f>SUMIFS(BX$112:BX$211,Capacity!$V$17:$V$116,"X")</f>
        <v>0</v>
      </c>
      <c r="BY214" s="68">
        <f>SUMIFS(BY$112:BY$211,Capacity!$V$17:$V$116,"X")</f>
        <v>0</v>
      </c>
      <c r="BZ214" s="68">
        <f>SUMIFS(BZ$112:BZ$211,Capacity!$V$17:$V$116,"X")</f>
        <v>0</v>
      </c>
      <c r="CA214" s="68">
        <f>SUMIFS(CA$112:CA$211,Capacity!$V$17:$V$116,"X")</f>
        <v>0</v>
      </c>
      <c r="CB214" s="68">
        <f>SUMIFS(CB$112:CB$211,Capacity!$V$17:$V$116,"X")</f>
        <v>0</v>
      </c>
      <c r="CC214" s="68">
        <f>SUMIFS(CC$112:CC$211,Capacity!$V$17:$V$116,"X")</f>
        <v>0</v>
      </c>
      <c r="CD214" s="68">
        <f>SUMIFS(CD$112:CD$211,Capacity!$V$17:$V$116,"X")</f>
        <v>0</v>
      </c>
      <c r="CE214" s="68">
        <f>SUMIFS(CE$112:CE$211,Capacity!$V$17:$V$116,"X")</f>
        <v>0</v>
      </c>
      <c r="CF214" s="68">
        <f>SUMIFS(CF$112:CF$211,Capacity!$V$17:$V$116,"X")</f>
        <v>0</v>
      </c>
      <c r="CG214" s="68">
        <f>SUMIFS(CG$112:CG$211,Capacity!$V$17:$V$116,"X")</f>
        <v>0</v>
      </c>
      <c r="CH214" s="68">
        <f>SUMIFS(CH$112:CH$211,Capacity!$V$17:$V$116,"X")</f>
        <v>0</v>
      </c>
      <c r="CI214" s="68">
        <f>SUMIFS(CI$112:CI$211,Capacity!$V$17:$V$116,"X")</f>
        <v>0</v>
      </c>
      <c r="CJ214" s="68">
        <f>SUMIFS(CJ$112:CJ$211,Capacity!$V$17:$V$116,"X")</f>
        <v>0</v>
      </c>
      <c r="CK214" s="68">
        <f>SUMIFS(CK$112:CK$211,Capacity!$V$17:$V$116,"X")</f>
        <v>0</v>
      </c>
      <c r="CL214" s="68">
        <f>SUMIFS(CL$112:CL$211,Capacity!$V$17:$V$116,"X")</f>
        <v>0</v>
      </c>
      <c r="CM214" s="68">
        <f>SUMIFS(CM$112:CM$211,Capacity!$V$17:$V$116,"X")</f>
        <v>0</v>
      </c>
      <c r="CN214" s="68">
        <f>SUMIFS(CN$112:CN$211,Capacity!$V$17:$V$116,"X")</f>
        <v>0</v>
      </c>
      <c r="CO214" s="68">
        <f>SUMIFS(CO$112:CO$211,Capacity!$V$17:$V$116,"X")</f>
        <v>0</v>
      </c>
      <c r="CP214" s="68">
        <f>SUMIFS(CP$112:CP$211,Capacity!$V$17:$V$116,"X")</f>
        <v>0</v>
      </c>
      <c r="CQ214" s="68">
        <f>SUMIFS(CQ$112:CQ$211,Capacity!$V$17:$V$116,"X")</f>
        <v>0</v>
      </c>
      <c r="CR214" s="68">
        <f>SUMIFS(CR$112:CR$211,Capacity!$V$17:$V$116,"X")</f>
        <v>0</v>
      </c>
      <c r="CS214" s="68">
        <f>SUMIFS(CS$112:CS$211,Capacity!$V$17:$V$116,"X")</f>
        <v>0</v>
      </c>
      <c r="CT214" s="68">
        <f>SUMIFS(CT$112:CT$211,Capacity!$V$17:$V$116,"X")</f>
        <v>0</v>
      </c>
      <c r="CU214" s="68">
        <f>SUMIFS(CU$112:CU$211,Capacity!$V$17:$V$116,"X")</f>
        <v>0</v>
      </c>
      <c r="CV214" s="68">
        <f>SUMIFS(CV$112:CV$211,Capacity!$V$17:$V$116,"X")</f>
        <v>0</v>
      </c>
      <c r="CW214" s="68">
        <f>SUMIFS(CW$112:CW$211,Capacity!$V$17:$V$116,"X")</f>
        <v>0</v>
      </c>
      <c r="CX214" s="68">
        <f>SUMIFS(CX$112:CX$211,Capacity!$V$17:$V$116,"X")</f>
        <v>0</v>
      </c>
      <c r="CY214" s="68">
        <f>SUMIFS(CY$112:CY$211,Capacity!$V$17:$V$116,"X")</f>
        <v>0</v>
      </c>
      <c r="CZ214" s="68">
        <f>SUMIFS(CZ$112:CZ$211,Capacity!$V$17:$V$116,"X")</f>
        <v>0</v>
      </c>
      <c r="DA214" s="68">
        <f>SUMIFS(DA$112:DA$211,Capacity!$V$17:$V$116,"X")</f>
        <v>0</v>
      </c>
      <c r="DB214" s="68">
        <f>SUMIFS(DB$112:DB$211,Capacity!$V$17:$V$116,"X")</f>
        <v>0</v>
      </c>
      <c r="DC214" s="68">
        <f>SUMIFS(DC$112:DC$211,Capacity!$V$17:$V$116,"X")</f>
        <v>0</v>
      </c>
      <c r="DD214" s="68">
        <f>SUMIFS(DD$112:DD$211,Capacity!$V$17:$V$116,"X")</f>
        <v>0</v>
      </c>
      <c r="DE214" s="68">
        <f>SUMIFS(DE$112:DE$211,Capacity!$V$17:$V$116,"X")</f>
        <v>0</v>
      </c>
      <c r="DF214" s="68">
        <f>SUMIFS(DF$112:DF$211,Capacity!$V$17:$V$116,"X")</f>
        <v>0</v>
      </c>
      <c r="DG214" s="68">
        <f>SUMIFS(DG$112:DG$211,Capacity!$V$17:$V$116,"X")</f>
        <v>0</v>
      </c>
      <c r="DH214" s="68">
        <f>SUMIFS(DH$112:DH$211,Capacity!$V$17:$V$116,"X")</f>
        <v>0</v>
      </c>
      <c r="DI214" s="68">
        <f>SUMIFS(DI$112:DI$211,Capacity!$V$17:$V$116,"X")</f>
        <v>0</v>
      </c>
      <c r="DJ214" s="68">
        <f>SUMIFS(DJ$112:DJ$211,Capacity!$V$17:$V$116,"X")</f>
        <v>0</v>
      </c>
      <c r="DK214" s="68">
        <f>SUMIFS(DK$112:DK$211,Capacity!$V$17:$V$116,"X")</f>
        <v>0</v>
      </c>
    </row>
    <row r="215" spans="2:115" x14ac:dyDescent="0.2">
      <c r="B215" s="68"/>
    </row>
    <row r="216" spans="2:115" x14ac:dyDescent="0.2">
      <c r="B216" s="68"/>
    </row>
    <row r="217" spans="2:115" x14ac:dyDescent="0.2">
      <c r="B217" s="68"/>
    </row>
    <row r="218" spans="2:115" x14ac:dyDescent="0.2">
      <c r="B218" s="68"/>
    </row>
    <row r="219" spans="2:115" x14ac:dyDescent="0.2">
      <c r="B219" s="68"/>
    </row>
    <row r="220" spans="2:115" x14ac:dyDescent="0.2">
      <c r="B220" s="68"/>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dimension ref="A1:M96"/>
  <sheetViews>
    <sheetView showGridLines="0" showRowColHeaders="0" zoomScaleNormal="100" workbookViewId="0"/>
  </sheetViews>
  <sheetFormatPr defaultRowHeight="14.25" x14ac:dyDescent="0.2"/>
  <cols>
    <col min="1" max="1" width="16.125" customWidth="1"/>
    <col min="2" max="2" width="13.125" customWidth="1"/>
    <col min="3" max="4" width="11.125" customWidth="1"/>
    <col min="5" max="6" width="19.875" customWidth="1"/>
    <col min="7" max="10" width="9.125" customWidth="1"/>
  </cols>
  <sheetData>
    <row r="1" spans="1:12" x14ac:dyDescent="0.2">
      <c r="B1" s="68"/>
    </row>
    <row r="2" spans="1:12" x14ac:dyDescent="0.2">
      <c r="A2" t="s">
        <v>312</v>
      </c>
      <c r="C2" s="345" t="s">
        <v>89</v>
      </c>
      <c r="D2" s="347"/>
      <c r="F2" s="243" t="str">
        <f ca="1">"On aggregate, 1 patient = "&amp;TEXT('Demand background (hide)'!$BN$16,"#.#")&amp;" "&amp;Setup!$I$17</f>
        <v>On aggregate, 1 patient = 37. Minutes</v>
      </c>
    </row>
    <row r="3" spans="1:12" x14ac:dyDescent="0.2">
      <c r="A3" t="s">
        <v>330</v>
      </c>
      <c r="C3" s="390">
        <v>52</v>
      </c>
      <c r="D3" s="347"/>
      <c r="F3" s="102" t="s">
        <v>328</v>
      </c>
    </row>
    <row r="4" spans="1:12" x14ac:dyDescent="0.2">
      <c r="A4" t="s">
        <v>14</v>
      </c>
      <c r="C4" s="345" t="s">
        <v>19</v>
      </c>
      <c r="D4" s="347"/>
    </row>
    <row r="5" spans="1:12" x14ac:dyDescent="0.2">
      <c r="K5" s="73"/>
    </row>
    <row r="6" spans="1:12" ht="15.75" thickBot="1" x14ac:dyDescent="0.3">
      <c r="A6" s="104" t="s">
        <v>311</v>
      </c>
      <c r="B6" s="105"/>
      <c r="C6" s="105"/>
      <c r="D6" s="10"/>
      <c r="E6" s="403" t="s">
        <v>349</v>
      </c>
      <c r="F6" s="403"/>
      <c r="G6" s="64" t="s">
        <v>89</v>
      </c>
      <c r="H6" s="10" t="s">
        <v>90</v>
      </c>
      <c r="I6" s="10"/>
      <c r="K6" s="73"/>
    </row>
    <row r="7" spans="1:12" ht="15" thickBot="1" x14ac:dyDescent="0.25">
      <c r="A7" s="11"/>
      <c r="B7" s="12"/>
      <c r="C7" s="12"/>
      <c r="D7" s="10"/>
      <c r="E7" s="404" t="s">
        <v>216</v>
      </c>
      <c r="F7" s="398"/>
      <c r="G7" s="385">
        <v>1.0999999999999999E-2</v>
      </c>
      <c r="H7" s="387">
        <f ca="1">'Parameters calculator (hide)'!B25</f>
        <v>7.6559999999999997</v>
      </c>
      <c r="I7" s="10"/>
    </row>
    <row r="8" spans="1:12" ht="15" thickBot="1" x14ac:dyDescent="0.25">
      <c r="A8" s="12"/>
      <c r="B8" s="12"/>
      <c r="C8" s="12"/>
      <c r="D8" s="13"/>
      <c r="E8" s="14"/>
      <c r="F8" s="15"/>
      <c r="G8" s="386"/>
      <c r="H8" s="388"/>
      <c r="I8" s="10"/>
    </row>
    <row r="9" spans="1:12" ht="15" thickBot="1" x14ac:dyDescent="0.25">
      <c r="A9" s="86" t="s">
        <v>340</v>
      </c>
      <c r="B9" s="393" t="str">
        <f ca="1">TEXT('Parameters calculator (hide)'!B19,"#,#")</f>
        <v>696</v>
      </c>
      <c r="C9" s="12"/>
      <c r="D9" s="13"/>
      <c r="E9" s="10"/>
      <c r="F9" s="10"/>
      <c r="G9" s="10"/>
      <c r="H9" s="10"/>
      <c r="I9" s="10"/>
    </row>
    <row r="10" spans="1:12" ht="15" thickBot="1" x14ac:dyDescent="0.25">
      <c r="A10" s="245" t="str">
        <f>"("&amp;$C$4&amp;")"</f>
        <v>(Patients)</v>
      </c>
      <c r="B10" s="394"/>
      <c r="C10" s="16"/>
      <c r="D10" s="17"/>
      <c r="E10" s="395" t="s">
        <v>351</v>
      </c>
      <c r="F10" s="396"/>
      <c r="G10" s="64" t="s">
        <v>89</v>
      </c>
      <c r="H10" s="10" t="s">
        <v>90</v>
      </c>
      <c r="I10" s="10"/>
      <c r="K10" s="5"/>
    </row>
    <row r="11" spans="1:12" ht="15" thickBot="1" x14ac:dyDescent="0.25">
      <c r="A11" s="92" t="s">
        <v>341</v>
      </c>
      <c r="B11" s="12"/>
      <c r="C11" s="18"/>
      <c r="D11" s="13"/>
      <c r="E11" s="397" t="s">
        <v>91</v>
      </c>
      <c r="F11" s="398"/>
      <c r="G11" s="399">
        <v>0.11348300821985031</v>
      </c>
      <c r="H11" s="387">
        <f ca="1">'Parameters calculator (hide)'!C25</f>
        <v>78.115347810084643</v>
      </c>
      <c r="I11" s="10"/>
    </row>
    <row r="12" spans="1:12" ht="15" thickBot="1" x14ac:dyDescent="0.25">
      <c r="A12" s="92" t="str">
        <f ca="1">"normalised to "&amp;TEXT('Parameters calculator (hide)'!$B$18,"#")&amp;" wks"</f>
        <v>normalised to 52 wks</v>
      </c>
      <c r="B12" s="12"/>
      <c r="C12" s="18"/>
      <c r="D12" s="10"/>
      <c r="E12" s="19"/>
      <c r="F12" s="15"/>
      <c r="G12" s="400"/>
      <c r="H12" s="388"/>
      <c r="I12" s="10"/>
    </row>
    <row r="13" spans="1:12" x14ac:dyDescent="0.2">
      <c r="A13" s="11" t="s">
        <v>92</v>
      </c>
      <c r="B13" s="12"/>
      <c r="C13" s="18"/>
      <c r="D13" s="20" t="s">
        <v>93</v>
      </c>
      <c r="E13" s="10"/>
      <c r="F13" s="10"/>
      <c r="G13" s="10"/>
      <c r="H13" s="10"/>
      <c r="I13" s="10"/>
    </row>
    <row r="14" spans="1:12" ht="15" thickBot="1" x14ac:dyDescent="0.25">
      <c r="B14" s="21"/>
      <c r="C14" s="22"/>
      <c r="D14" s="21"/>
      <c r="E14" s="21"/>
      <c r="F14" s="21"/>
      <c r="G14" s="21"/>
      <c r="H14" s="21"/>
      <c r="I14" s="21"/>
      <c r="J14" s="21"/>
      <c r="K14" s="21"/>
      <c r="L14" s="21"/>
    </row>
    <row r="15" spans="1:12" ht="15" thickBot="1" x14ac:dyDescent="0.25">
      <c r="B15" s="94"/>
      <c r="C15" s="401" t="s">
        <v>376</v>
      </c>
      <c r="D15" s="402"/>
      <c r="E15" s="21"/>
      <c r="F15" s="371" t="s">
        <v>402</v>
      </c>
      <c r="G15" s="371"/>
      <c r="H15" s="21"/>
      <c r="I15" s="65" t="s">
        <v>89</v>
      </c>
      <c r="J15" s="21" t="s">
        <v>90</v>
      </c>
      <c r="K15" s="21"/>
      <c r="L15" s="21"/>
    </row>
    <row r="16" spans="1:12" ht="15" thickBot="1" x14ac:dyDescent="0.25">
      <c r="B16" s="21"/>
      <c r="C16" s="374">
        <f ca="1">IF(B9-H7-H11+J16&lt;0, 0, B9-H7-H11+J16)</f>
        <v>665.29617218991552</v>
      </c>
      <c r="D16" s="375"/>
      <c r="E16" s="21"/>
      <c r="F16" s="21" t="s">
        <v>94</v>
      </c>
      <c r="G16" s="21"/>
      <c r="H16" s="21"/>
      <c r="I16" s="378">
        <f>'Parameters calculator (hide)'!$H$24</f>
        <v>0.8</v>
      </c>
      <c r="J16" s="380">
        <f ca="1">'Parameters calculator (hide)'!H25</f>
        <v>55.067520000000002</v>
      </c>
      <c r="K16" s="21"/>
      <c r="L16" s="21"/>
    </row>
    <row r="17" spans="1:13" ht="15" thickBot="1" x14ac:dyDescent="0.25">
      <c r="B17" s="21"/>
      <c r="C17" s="376"/>
      <c r="D17" s="377"/>
      <c r="E17" s="23"/>
      <c r="F17" s="24"/>
      <c r="G17" s="24"/>
      <c r="H17" s="24"/>
      <c r="I17" s="379"/>
      <c r="J17" s="381"/>
      <c r="K17" s="25"/>
      <c r="L17" s="21"/>
    </row>
    <row r="18" spans="1:13" x14ac:dyDescent="0.2">
      <c r="B18" s="91" t="s">
        <v>377</v>
      </c>
      <c r="C18" s="21"/>
      <c r="D18" s="23"/>
      <c r="E18" s="21"/>
      <c r="F18" s="21"/>
      <c r="G18" s="21"/>
      <c r="H18" s="26"/>
      <c r="I18" s="26"/>
      <c r="J18" s="26"/>
      <c r="K18" s="27"/>
      <c r="L18" s="21"/>
    </row>
    <row r="19" spans="1:13" x14ac:dyDescent="0.2">
      <c r="B19" s="91" t="s">
        <v>378</v>
      </c>
      <c r="C19" s="21"/>
      <c r="D19" s="28"/>
      <c r="E19" s="21"/>
      <c r="F19" s="21"/>
      <c r="G19" s="21"/>
      <c r="H19" s="26"/>
      <c r="I19" s="26"/>
      <c r="J19" s="26"/>
      <c r="K19" s="27"/>
      <c r="L19" s="21"/>
    </row>
    <row r="20" spans="1:13" ht="15" thickBot="1" x14ac:dyDescent="0.25">
      <c r="B20" s="91"/>
      <c r="C20" s="21"/>
      <c r="D20" s="28"/>
      <c r="E20" s="382" t="s">
        <v>350</v>
      </c>
      <c r="F20" s="382"/>
      <c r="G20" s="65" t="s">
        <v>89</v>
      </c>
      <c r="H20" s="26" t="s">
        <v>90</v>
      </c>
      <c r="I20" s="26"/>
      <c r="J20" s="26"/>
      <c r="K20" s="27"/>
      <c r="L20" s="21"/>
    </row>
    <row r="21" spans="1:13" ht="15" thickBot="1" x14ac:dyDescent="0.25">
      <c r="B21" s="21"/>
      <c r="C21" s="21"/>
      <c r="D21" s="29"/>
      <c r="E21" s="383" t="s">
        <v>95</v>
      </c>
      <c r="F21" s="384"/>
      <c r="G21" s="385">
        <v>0.1</v>
      </c>
      <c r="H21" s="387">
        <f ca="1">'Parameters calculator (hide)'!E25</f>
        <v>68.834400000000002</v>
      </c>
      <c r="I21" s="30"/>
      <c r="J21" s="30"/>
      <c r="K21" s="22"/>
      <c r="L21" s="21"/>
    </row>
    <row r="22" spans="1:13" ht="15" thickBot="1" x14ac:dyDescent="0.25">
      <c r="B22" s="91"/>
      <c r="C22" s="27"/>
      <c r="D22" s="24"/>
      <c r="E22" s="24"/>
      <c r="F22" s="25"/>
      <c r="G22" s="386"/>
      <c r="H22" s="388"/>
      <c r="I22" s="25"/>
      <c r="J22" s="21"/>
      <c r="K22" s="21"/>
      <c r="L22" s="21"/>
    </row>
    <row r="23" spans="1:13" x14ac:dyDescent="0.2">
      <c r="B23" s="31" t="s">
        <v>96</v>
      </c>
      <c r="C23" s="27"/>
      <c r="D23" s="21"/>
      <c r="E23" s="21"/>
      <c r="F23" s="21"/>
      <c r="G23" s="21"/>
      <c r="H23" s="26"/>
      <c r="I23" s="27"/>
      <c r="J23" s="21"/>
      <c r="K23" s="21"/>
      <c r="L23" s="21"/>
    </row>
    <row r="24" spans="1:13" x14ac:dyDescent="0.2">
      <c r="A24" s="32"/>
      <c r="B24" s="32"/>
      <c r="C24" s="33"/>
      <c r="D24" s="32"/>
      <c r="E24" s="32"/>
      <c r="F24" s="32"/>
      <c r="G24" s="32"/>
      <c r="H24" s="32"/>
      <c r="I24" s="33"/>
      <c r="J24" s="32"/>
      <c r="K24" s="32"/>
    </row>
    <row r="25" spans="1:13" ht="15" thickBot="1" x14ac:dyDescent="0.25">
      <c r="A25" s="389" t="s">
        <v>375</v>
      </c>
      <c r="B25" s="32"/>
      <c r="C25" s="33"/>
      <c r="D25" s="32"/>
      <c r="E25" s="32"/>
      <c r="F25" s="32"/>
      <c r="G25" s="32"/>
      <c r="H25" s="32"/>
      <c r="I25" s="33"/>
      <c r="J25" s="32"/>
      <c r="K25" s="32"/>
    </row>
    <row r="26" spans="1:13" ht="15" thickBot="1" x14ac:dyDescent="0.25">
      <c r="A26" s="389"/>
      <c r="B26" s="391">
        <f ca="1">'Parameters calculator (hide)'!B27</f>
        <v>596.46177218991556</v>
      </c>
      <c r="C26" s="34"/>
      <c r="D26" s="32"/>
      <c r="E26" s="32"/>
      <c r="F26" s="32"/>
      <c r="G26" s="93"/>
      <c r="H26" s="32"/>
      <c r="I26" s="33" t="s">
        <v>89</v>
      </c>
      <c r="J26" s="32" t="s">
        <v>90</v>
      </c>
      <c r="K26" s="32"/>
    </row>
    <row r="27" spans="1:13" ht="15" thickBot="1" x14ac:dyDescent="0.25">
      <c r="A27" s="246" t="str">
        <f>"("&amp;$C$4&amp;")"</f>
        <v>(Patients)</v>
      </c>
      <c r="B27" s="392"/>
      <c r="C27" s="32"/>
      <c r="D27" s="32"/>
      <c r="E27" s="32"/>
      <c r="F27" s="84" t="s">
        <v>403</v>
      </c>
      <c r="G27" s="93"/>
      <c r="H27" s="32"/>
      <c r="I27" s="385">
        <v>0.2</v>
      </c>
      <c r="J27" s="372">
        <f ca="1">'Parameters calculator (hide)'!F25</f>
        <v>13.76688</v>
      </c>
      <c r="K27" s="32"/>
    </row>
    <row r="28" spans="1:13" ht="15" thickBot="1" x14ac:dyDescent="0.25">
      <c r="A28" s="84"/>
      <c r="B28" s="32"/>
      <c r="C28" s="32"/>
      <c r="D28" s="32"/>
      <c r="E28" s="32"/>
      <c r="F28" s="32" t="s">
        <v>97</v>
      </c>
      <c r="G28" s="32"/>
      <c r="H28" s="32"/>
      <c r="I28" s="386"/>
      <c r="J28" s="373"/>
      <c r="K28" s="32"/>
    </row>
    <row r="29" spans="1:13" x14ac:dyDescent="0.2">
      <c r="A29" s="35" t="s">
        <v>98</v>
      </c>
      <c r="B29" s="32"/>
      <c r="C29" s="32"/>
      <c r="D29" s="32"/>
      <c r="E29" s="32"/>
      <c r="F29" s="32"/>
      <c r="G29" s="32"/>
      <c r="H29" s="32"/>
      <c r="I29" s="32"/>
      <c r="J29" s="32"/>
      <c r="K29" s="32"/>
    </row>
    <row r="30" spans="1:13" ht="15" thickBot="1" x14ac:dyDescent="0.25"/>
    <row r="31" spans="1:13" ht="15" thickBot="1" x14ac:dyDescent="0.25">
      <c r="A31" t="s">
        <v>374</v>
      </c>
      <c r="F31" s="215"/>
    </row>
    <row r="32" spans="1:13" ht="14.25" customHeight="1" x14ac:dyDescent="0.2">
      <c r="A32" t="s">
        <v>512</v>
      </c>
      <c r="B32" s="1"/>
      <c r="C32" s="1"/>
      <c r="D32" s="1"/>
      <c r="E32" s="1"/>
      <c r="F32" s="244" t="str">
        <f>'Parameters calculator (hide)'!E45</f>
        <v/>
      </c>
      <c r="G32" s="1"/>
      <c r="H32" s="151" t="str">
        <f>IF(F31&lt;&gt;"",IF(ABS(1-(F32/B9))&gt;0.05,"There appears to be some inconsistencies in your figures.",""),"")</f>
        <v/>
      </c>
      <c r="I32" s="151"/>
      <c r="J32" s="151"/>
      <c r="K32" s="151"/>
      <c r="L32" s="151"/>
      <c r="M32" s="151"/>
    </row>
    <row r="33" spans="1:8" ht="15" x14ac:dyDescent="0.25">
      <c r="A33" s="2"/>
      <c r="H33" s="152" t="str">
        <f>IF(H32&lt;&gt;"","Please recheck your figures.","")</f>
        <v/>
      </c>
    </row>
    <row r="36" spans="1:8" ht="15" x14ac:dyDescent="0.25">
      <c r="A36" s="2"/>
      <c r="C36" s="5"/>
    </row>
    <row r="37" spans="1:8" x14ac:dyDescent="0.2">
      <c r="C37" s="5"/>
    </row>
    <row r="42" spans="1:8" x14ac:dyDescent="0.2">
      <c r="B42" s="68"/>
    </row>
    <row r="43" spans="1:8" x14ac:dyDescent="0.2">
      <c r="B43" s="68"/>
    </row>
    <row r="44" spans="1:8" x14ac:dyDescent="0.2">
      <c r="B44" s="68"/>
    </row>
    <row r="45" spans="1:8" x14ac:dyDescent="0.2">
      <c r="B45" s="68"/>
    </row>
    <row r="46" spans="1:8" x14ac:dyDescent="0.2">
      <c r="B46" s="68"/>
    </row>
    <row r="47" spans="1:8" x14ac:dyDescent="0.2">
      <c r="B47" s="68"/>
    </row>
    <row r="48" spans="1:8" x14ac:dyDescent="0.2">
      <c r="B48" s="68"/>
    </row>
    <row r="49" spans="2:2" x14ac:dyDescent="0.2">
      <c r="B49" s="68"/>
    </row>
    <row r="50" spans="2:2" x14ac:dyDescent="0.2">
      <c r="B50" s="68"/>
    </row>
    <row r="51" spans="2:2" x14ac:dyDescent="0.2">
      <c r="B51" s="68"/>
    </row>
    <row r="52" spans="2:2" x14ac:dyDescent="0.2">
      <c r="B52" s="68"/>
    </row>
    <row r="53" spans="2:2" x14ac:dyDescent="0.2">
      <c r="B53" s="68"/>
    </row>
    <row r="54" spans="2:2" x14ac:dyDescent="0.2">
      <c r="B54" s="68"/>
    </row>
    <row r="55" spans="2:2" x14ac:dyDescent="0.2">
      <c r="B55" s="68"/>
    </row>
    <row r="56" spans="2:2" x14ac:dyDescent="0.2">
      <c r="B56" s="68"/>
    </row>
    <row r="57" spans="2:2" x14ac:dyDescent="0.2">
      <c r="B57" s="68"/>
    </row>
    <row r="58" spans="2:2" x14ac:dyDescent="0.2">
      <c r="B58" s="68"/>
    </row>
    <row r="59" spans="2:2" x14ac:dyDescent="0.2">
      <c r="B59" s="68"/>
    </row>
    <row r="60" spans="2:2" x14ac:dyDescent="0.2">
      <c r="B60" s="68"/>
    </row>
    <row r="61" spans="2:2" x14ac:dyDescent="0.2">
      <c r="B61" s="68"/>
    </row>
    <row r="62" spans="2:2" x14ac:dyDescent="0.2">
      <c r="B62" s="68"/>
    </row>
    <row r="63" spans="2:2" x14ac:dyDescent="0.2">
      <c r="B63" s="68"/>
    </row>
    <row r="64" spans="2:2" x14ac:dyDescent="0.2">
      <c r="B64" s="68"/>
    </row>
    <row r="65" spans="2:2" x14ac:dyDescent="0.2">
      <c r="B65" s="68"/>
    </row>
    <row r="66" spans="2:2" x14ac:dyDescent="0.2">
      <c r="B66" s="68"/>
    </row>
    <row r="67" spans="2:2" x14ac:dyDescent="0.2">
      <c r="B67" s="68"/>
    </row>
    <row r="68" spans="2:2" x14ac:dyDescent="0.2">
      <c r="B68" s="68"/>
    </row>
    <row r="69" spans="2:2" x14ac:dyDescent="0.2">
      <c r="B69" s="68"/>
    </row>
    <row r="70" spans="2:2" x14ac:dyDescent="0.2">
      <c r="B70" s="68"/>
    </row>
    <row r="71" spans="2:2" x14ac:dyDescent="0.2">
      <c r="B71" s="68"/>
    </row>
    <row r="72" spans="2:2" x14ac:dyDescent="0.2">
      <c r="B72" s="68"/>
    </row>
    <row r="73" spans="2:2" x14ac:dyDescent="0.2">
      <c r="B73" s="68"/>
    </row>
    <row r="74" spans="2:2" x14ac:dyDescent="0.2">
      <c r="B74" s="68"/>
    </row>
    <row r="75" spans="2:2" x14ac:dyDescent="0.2">
      <c r="B75" s="68"/>
    </row>
    <row r="76" spans="2:2" x14ac:dyDescent="0.2">
      <c r="B76" s="68"/>
    </row>
    <row r="77" spans="2:2" x14ac:dyDescent="0.2">
      <c r="B77" s="68"/>
    </row>
    <row r="78" spans="2:2" x14ac:dyDescent="0.2">
      <c r="B78" s="68"/>
    </row>
    <row r="79" spans="2:2" x14ac:dyDescent="0.2">
      <c r="B79" s="68"/>
    </row>
    <row r="80" spans="2:2" x14ac:dyDescent="0.2">
      <c r="B80" s="68"/>
    </row>
    <row r="81" spans="1:2" x14ac:dyDescent="0.2">
      <c r="B81" s="68"/>
    </row>
    <row r="82" spans="1:2" x14ac:dyDescent="0.2">
      <c r="B82" s="68"/>
    </row>
    <row r="83" spans="1:2" x14ac:dyDescent="0.2">
      <c r="A83" s="68"/>
      <c r="B83" s="68"/>
    </row>
    <row r="84" spans="1:2" x14ac:dyDescent="0.2">
      <c r="A84" s="68"/>
      <c r="B84" s="68"/>
    </row>
    <row r="85" spans="1:2" x14ac:dyDescent="0.2">
      <c r="A85" s="68"/>
      <c r="B85" s="68"/>
    </row>
    <row r="86" spans="1:2" x14ac:dyDescent="0.2">
      <c r="A86" s="68"/>
      <c r="B86" s="68"/>
    </row>
    <row r="87" spans="1:2" x14ac:dyDescent="0.2">
      <c r="B87" s="68"/>
    </row>
    <row r="88" spans="1:2" x14ac:dyDescent="0.2">
      <c r="A88" s="68"/>
      <c r="B88" s="68"/>
    </row>
    <row r="89" spans="1:2" x14ac:dyDescent="0.2">
      <c r="A89" s="68"/>
      <c r="B89" s="68"/>
    </row>
    <row r="90" spans="1:2" x14ac:dyDescent="0.2">
      <c r="A90" s="68"/>
      <c r="B90" s="68"/>
    </row>
    <row r="91" spans="1:2" x14ac:dyDescent="0.2">
      <c r="A91" s="68"/>
      <c r="B91" s="68"/>
    </row>
    <row r="92" spans="1:2" x14ac:dyDescent="0.2">
      <c r="B92" s="68"/>
    </row>
    <row r="93" spans="1:2" x14ac:dyDescent="0.2">
      <c r="B93" s="68"/>
    </row>
    <row r="94" spans="1:2" x14ac:dyDescent="0.2">
      <c r="B94" s="68"/>
    </row>
    <row r="95" spans="1:2" x14ac:dyDescent="0.2">
      <c r="B95" s="68"/>
    </row>
    <row r="96" spans="1:2" x14ac:dyDescent="0.2">
      <c r="B96" s="68"/>
    </row>
  </sheetData>
  <sheetProtection algorithmName="SHA-512" hashValue="OAGf/c/guoO/UBB4v4KyxRGuNV8K/qwrCzD3cpmF4PIMJwgJXCoWNlazKKcXkS/ho9+4e9zCIEco/NbRWDxanA==" saltValue="MbXIbVOD25NmmF7gG8Wg+g==" spinCount="100000" sheet="1" objects="1" scenarios="1"/>
  <mergeCells count="25">
    <mergeCell ref="A25:A26"/>
    <mergeCell ref="C3:D3"/>
    <mergeCell ref="C2:D2"/>
    <mergeCell ref="B26:B27"/>
    <mergeCell ref="I27:I28"/>
    <mergeCell ref="B9:B10"/>
    <mergeCell ref="E10:F10"/>
    <mergeCell ref="E11:F11"/>
    <mergeCell ref="G11:G12"/>
    <mergeCell ref="H11:H12"/>
    <mergeCell ref="G7:G8"/>
    <mergeCell ref="H7:H8"/>
    <mergeCell ref="C15:D15"/>
    <mergeCell ref="C4:D4"/>
    <mergeCell ref="E6:F6"/>
    <mergeCell ref="E7:F7"/>
    <mergeCell ref="F15:G15"/>
    <mergeCell ref="J27:J28"/>
    <mergeCell ref="C16:D17"/>
    <mergeCell ref="I16:I17"/>
    <mergeCell ref="J16:J17"/>
    <mergeCell ref="E20:F20"/>
    <mergeCell ref="E21:F21"/>
    <mergeCell ref="G21:G22"/>
    <mergeCell ref="H21:H22"/>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81" r:id="rId4" name="Param_Calculator_Yes">
              <controlPr defaultSize="0" autoFill="0" autoLine="0" autoPict="0" macro="[0]!Sheet11.Param_Calculator_Yes_click">
                <anchor moveWithCells="1">
                  <from>
                    <xdr:col>5</xdr:col>
                    <xdr:colOff>0</xdr:colOff>
                    <xdr:row>3</xdr:row>
                    <xdr:rowOff>0</xdr:rowOff>
                  </from>
                  <to>
                    <xdr:col>5</xdr:col>
                    <xdr:colOff>533400</xdr:colOff>
                    <xdr:row>4</xdr:row>
                    <xdr:rowOff>28575</xdr:rowOff>
                  </to>
                </anchor>
              </controlPr>
            </control>
          </mc:Choice>
        </mc:AlternateContent>
        <mc:AlternateContent xmlns:mc="http://schemas.openxmlformats.org/markup-compatibility/2006">
          <mc:Choice Requires="x14">
            <control shapeId="11282" r:id="rId5" name="Param_Calculator_No">
              <controlPr defaultSize="0" autoFill="0" autoLine="0" autoPict="0" macro="[0]!Sheet11.Param_Calculator_No_click">
                <anchor moveWithCells="1">
                  <from>
                    <xdr:col>5</xdr:col>
                    <xdr:colOff>981075</xdr:colOff>
                    <xdr:row>3</xdr:row>
                    <xdr:rowOff>0</xdr:rowOff>
                  </from>
                  <to>
                    <xdr:col>6</xdr:col>
                    <xdr:colOff>0</xdr:colOff>
                    <xdr:row>4</xdr:row>
                    <xdr:rowOff>28575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EF235BF0-678A-49C6-8C5A-B9A8F711387E}">
            <xm:f>IF(AND(Num_Modalities&gt;1,Setup!$I$17&lt;&gt;"Patients"),TRUE, FALSE)</xm:f>
            <x14:dxf>
              <font>
                <color theme="1"/>
              </font>
            </x14:dxf>
          </x14:cfRule>
          <xm:sqref>F2</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1200-000000000000}">
          <x14:formula1>
            <xm:f>'Control sheet (hide)'!$E$16:$E$17</xm:f>
          </x14:formula1>
          <xm:sqref>C2:D2</xm:sqref>
        </x14:dataValidation>
        <x14:dataValidation type="list" allowBlank="1" showInputMessage="1" showErrorMessage="1" xr:uid="{00000000-0002-0000-1200-000001000000}">
          <x14:formula1>
            <xm:f>IF(Setup!$I$17="Patients",'Control sheet (hide)'!$E$2,IF(Setup!$I$17="Minutes",'Control sheet (hide)'!$E$9:$E$10,'Control sheet (hide)'!$E$6:$E$7))</xm:f>
          </x14:formula1>
          <xm:sqref>C4:D4</xm:sqref>
        </x14:dataValidation>
        <x14:dataValidation type="list" allowBlank="1" showInputMessage="1" showErrorMessage="1" xr:uid="{00000000-0002-0000-1200-000002000000}">
          <x14:formula1>
            <xm:f>'Control sheet (hide)'!$AI$2:$AI$35</xm:f>
          </x14:formula1>
          <xm:sqref>C3:D3</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G29"/>
  <sheetViews>
    <sheetView showGridLines="0" showRowColHeaders="0" workbookViewId="0">
      <selection activeCell="G9" sqref="G9"/>
    </sheetView>
  </sheetViews>
  <sheetFormatPr defaultRowHeight="14.25" x14ac:dyDescent="0.2"/>
  <cols>
    <col min="1" max="1" width="32.125" customWidth="1"/>
    <col min="2" max="9" width="10.625" customWidth="1"/>
  </cols>
  <sheetData>
    <row r="1" spans="1:7" ht="15" x14ac:dyDescent="0.25">
      <c r="A1" s="104" t="s">
        <v>325</v>
      </c>
      <c r="B1" s="105"/>
      <c r="C1" s="105"/>
      <c r="D1" s="105"/>
      <c r="E1" s="105"/>
      <c r="F1" s="105"/>
      <c r="G1" s="105"/>
    </row>
    <row r="3" spans="1:7" x14ac:dyDescent="0.2">
      <c r="A3" t="s">
        <v>323</v>
      </c>
    </row>
    <row r="4" spans="1:7" s="68" customFormat="1" ht="15" x14ac:dyDescent="0.25">
      <c r="A4" s="216">
        <v>52</v>
      </c>
      <c r="B4"/>
    </row>
    <row r="5" spans="1:7" s="68" customFormat="1" x14ac:dyDescent="0.2"/>
    <row r="6" spans="1:7" s="68" customFormat="1" x14ac:dyDescent="0.2"/>
    <row r="7" spans="1:7" s="68" customFormat="1" x14ac:dyDescent="0.2"/>
    <row r="8" spans="1:7" ht="15" x14ac:dyDescent="0.25">
      <c r="A8" s="90" t="s">
        <v>104</v>
      </c>
      <c r="B8" s="98" t="s">
        <v>77</v>
      </c>
      <c r="C8" s="98" t="s">
        <v>313</v>
      </c>
      <c r="D8" s="97"/>
      <c r="E8" s="99" t="s">
        <v>101</v>
      </c>
      <c r="F8" s="97"/>
      <c r="G8" s="100" t="s">
        <v>314</v>
      </c>
    </row>
    <row r="9" spans="1:7" x14ac:dyDescent="0.2">
      <c r="A9" s="87" t="str">
        <f>IF(Setup!C27&lt;&gt;"",Setup!C27,"Modality "&amp;ROW(A1))</f>
        <v>Test name 1</v>
      </c>
      <c r="B9" s="217"/>
      <c r="C9" s="217"/>
      <c r="E9" s="217"/>
      <c r="G9" s="217"/>
    </row>
    <row r="10" spans="1:7" x14ac:dyDescent="0.2">
      <c r="A10" s="87" t="str">
        <f>IF(Setup!C28&lt;&gt;"",Setup!C28,"Modality "&amp;ROW(A2))</f>
        <v>Test name 2</v>
      </c>
      <c r="B10" s="217"/>
      <c r="C10" s="217"/>
      <c r="E10" s="217"/>
      <c r="G10" s="217"/>
    </row>
    <row r="11" spans="1:7" hidden="1" x14ac:dyDescent="0.2">
      <c r="A11" s="87" t="str">
        <f>IF(Setup!C29&lt;&gt;"",Setup!C29,"Modality "&amp;ROW(A3))</f>
        <v>Another modality</v>
      </c>
      <c r="B11" s="217"/>
      <c r="C11" s="217"/>
      <c r="E11" s="217"/>
      <c r="G11" s="217"/>
    </row>
    <row r="12" spans="1:7" hidden="1" x14ac:dyDescent="0.2">
      <c r="A12" s="87" t="str">
        <f>IF(Setup!C30&lt;&gt;"",Setup!C30,"Modality "&amp;ROW(A8))</f>
        <v>Modality 4</v>
      </c>
      <c r="B12" s="217"/>
      <c r="C12" s="217"/>
      <c r="E12" s="217"/>
      <c r="G12" s="217"/>
    </row>
    <row r="13" spans="1:7" hidden="1" x14ac:dyDescent="0.2">
      <c r="A13" s="87" t="str">
        <f>IF(Setup!C31&lt;&gt;"",Setup!C31,"Modality "&amp;ROW(A9))</f>
        <v>Modality 5</v>
      </c>
      <c r="B13" s="217"/>
      <c r="C13" s="217"/>
      <c r="E13" s="217"/>
      <c r="G13" s="217"/>
    </row>
    <row r="14" spans="1:7" hidden="1" x14ac:dyDescent="0.2">
      <c r="A14" s="87" t="str">
        <f>IF(Setup!C32&lt;&gt;"",Setup!C32,"Modality "&amp;ROW(A10))</f>
        <v>Modality 6</v>
      </c>
      <c r="B14" s="217"/>
      <c r="C14" s="217"/>
      <c r="E14" s="217"/>
      <c r="G14" s="217"/>
    </row>
    <row r="15" spans="1:7" hidden="1" x14ac:dyDescent="0.2">
      <c r="A15" s="87" t="str">
        <f>IF(Setup!C33&lt;&gt;"",Setup!C33,"Modality "&amp;ROW(A11))</f>
        <v>Modality 7</v>
      </c>
      <c r="B15" s="217"/>
      <c r="C15" s="217"/>
      <c r="E15" s="217"/>
      <c r="G15" s="217"/>
    </row>
    <row r="16" spans="1:7" hidden="1" x14ac:dyDescent="0.2">
      <c r="A16" s="87" t="str">
        <f>IF(Setup!C34&lt;&gt;"",Setup!C34,"Modality "&amp;ROW(A12))</f>
        <v>Modality 8</v>
      </c>
      <c r="B16" s="217"/>
      <c r="C16" s="217"/>
      <c r="E16" s="217"/>
      <c r="G16" s="217"/>
    </row>
    <row r="17" spans="1:7" hidden="1" x14ac:dyDescent="0.2">
      <c r="A17" s="87" t="str">
        <f>IF(Setup!C35&lt;&gt;"",Setup!C35,"Modality "&amp;ROW(A13))</f>
        <v>Modality 9</v>
      </c>
      <c r="B17" s="217"/>
      <c r="C17" s="217"/>
      <c r="E17" s="217"/>
      <c r="G17" s="217"/>
    </row>
    <row r="18" spans="1:7" hidden="1" x14ac:dyDescent="0.2">
      <c r="A18" s="87" t="str">
        <f>IF(Setup!C36&lt;&gt;"",Setup!C36,"Modality "&amp;ROW(A14))</f>
        <v>Modality 10</v>
      </c>
      <c r="B18" s="217"/>
      <c r="C18" s="217"/>
      <c r="E18" s="217"/>
      <c r="G18" s="217"/>
    </row>
    <row r="19" spans="1:7" x14ac:dyDescent="0.2">
      <c r="A19" s="68"/>
    </row>
    <row r="20" spans="1:7" s="68" customFormat="1" ht="15" x14ac:dyDescent="0.25">
      <c r="B20" s="97" t="s">
        <v>19</v>
      </c>
      <c r="C20" s="97" t="str">
        <f>Setup!I17</f>
        <v>Minutes</v>
      </c>
    </row>
    <row r="21" spans="1:7" s="68" customFormat="1" x14ac:dyDescent="0.2">
      <c r="A21" s="68" t="s">
        <v>398</v>
      </c>
      <c r="B21" s="96">
        <f ca="1">'Parameters calculator (hide)'!B19</f>
        <v>696</v>
      </c>
      <c r="C21" s="96">
        <f ca="1">'Parameters calculator (hide)'!B19*'Parameters calculator (hide)'!E18</f>
        <v>25740.000000000004</v>
      </c>
    </row>
    <row r="22" spans="1:7" s="68" customFormat="1" x14ac:dyDescent="0.2">
      <c r="A22" s="68" t="s">
        <v>399</v>
      </c>
      <c r="B22" s="70"/>
      <c r="C22" s="70"/>
    </row>
    <row r="23" spans="1:7" s="68" customFormat="1" x14ac:dyDescent="0.2"/>
    <row r="24" spans="1:7" s="68" customFormat="1" x14ac:dyDescent="0.2"/>
    <row r="25" spans="1:7" ht="15" x14ac:dyDescent="0.25">
      <c r="A25" s="89" t="str">
        <f>"Summed and translated to "&amp;Setup!$I$17</f>
        <v>Summed and translated to Minutes</v>
      </c>
      <c r="B25" s="70">
        <f ca="1">'Parameters calculator (hide)'!C15</f>
        <v>0</v>
      </c>
      <c r="C25" s="96">
        <f ca="1">'Parameters calculator (hide)'!E15</f>
        <v>0</v>
      </c>
      <c r="E25" s="96">
        <f ca="1">'Parameters calculator (hide)'!G15</f>
        <v>0</v>
      </c>
      <c r="G25" s="70">
        <f ca="1">'Parameters calculator (hide)'!I15</f>
        <v>0</v>
      </c>
    </row>
    <row r="26" spans="1:7" ht="15" x14ac:dyDescent="0.25">
      <c r="A26" s="89" t="s">
        <v>324</v>
      </c>
      <c r="B26" s="95">
        <f ca="1">'Parameters calculator (hide)'!C16</f>
        <v>0</v>
      </c>
      <c r="C26" s="95">
        <f ca="1">'Parameters calculator (hide)'!E16</f>
        <v>0</v>
      </c>
      <c r="E26" s="95">
        <f ca="1">'Parameters calculator (hide)'!G16</f>
        <v>0</v>
      </c>
      <c r="G26" s="95">
        <f ca="1">'Parameters calculator (hide)'!I16</f>
        <v>0</v>
      </c>
    </row>
    <row r="27" spans="1:7" x14ac:dyDescent="0.2">
      <c r="A27" s="68"/>
      <c r="B27" s="68"/>
      <c r="C27" s="68"/>
      <c r="D27" s="68"/>
      <c r="E27" s="68"/>
      <c r="F27" s="68"/>
      <c r="G27" s="68"/>
    </row>
    <row r="28" spans="1:7" x14ac:dyDescent="0.2">
      <c r="A28" s="68"/>
      <c r="B28" s="68"/>
      <c r="C28" s="68"/>
      <c r="D28" s="68"/>
      <c r="E28" s="68"/>
      <c r="F28" s="68"/>
      <c r="G28" s="68"/>
    </row>
    <row r="29" spans="1:7" x14ac:dyDescent="0.2">
      <c r="A29" t="s">
        <v>400</v>
      </c>
    </row>
  </sheetData>
  <sheetProtection algorithmName="SHA-512" hashValue="hc/OOGoAXY2CEUZuBGueWm1JuH+5iXtO7WZ5nLIH9LDVGm34YMOE11RQW6Q7T96sVVK6mVE+uqGc0CQIv33EBg==" saltValue="KCdejAueO67amwfs1bPfyg==" spinCount="100000" sheet="1" objects="1" scenarios="1"/>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0000000}">
          <x14:formula1>
            <xm:f>'Control sheet (hide)'!$AI$2:$AI$35</xm:f>
          </x14:formula1>
          <xm:sqref>A4</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N80"/>
  <sheetViews>
    <sheetView topLeftCell="A33" workbookViewId="0">
      <selection activeCell="G57" sqref="G57"/>
    </sheetView>
  </sheetViews>
  <sheetFormatPr defaultRowHeight="14.25" x14ac:dyDescent="0.2"/>
  <cols>
    <col min="1" max="1" width="15.875" customWidth="1"/>
    <col min="3" max="3" width="11" bestFit="1" customWidth="1"/>
    <col min="5" max="5" width="17.25" customWidth="1"/>
  </cols>
  <sheetData>
    <row r="1" spans="1:9" x14ac:dyDescent="0.2">
      <c r="A1" t="s">
        <v>407</v>
      </c>
    </row>
    <row r="3" spans="1:9" x14ac:dyDescent="0.2">
      <c r="B3" t="s">
        <v>77</v>
      </c>
      <c r="D3" t="s">
        <v>100</v>
      </c>
      <c r="F3" t="s">
        <v>101</v>
      </c>
      <c r="H3" t="s">
        <v>102</v>
      </c>
    </row>
    <row r="4" spans="1:9" x14ac:dyDescent="0.2">
      <c r="A4" t="s">
        <v>104</v>
      </c>
      <c r="B4" t="s">
        <v>19</v>
      </c>
      <c r="C4" t="s">
        <v>315</v>
      </c>
      <c r="D4" s="68" t="s">
        <v>19</v>
      </c>
      <c r="E4" s="68" t="s">
        <v>315</v>
      </c>
      <c r="F4" s="68" t="s">
        <v>19</v>
      </c>
      <c r="G4" s="68" t="s">
        <v>315</v>
      </c>
      <c r="H4" s="68" t="s">
        <v>19</v>
      </c>
      <c r="I4" s="68" t="s">
        <v>315</v>
      </c>
    </row>
    <row r="5" spans="1:9" x14ac:dyDescent="0.2">
      <c r="A5">
        <v>1</v>
      </c>
      <c r="B5">
        <f>'Parameters calculator'!B9</f>
        <v>0</v>
      </c>
      <c r="C5">
        <f ca="1">B5*OFFSET('Demand background (hide)'!$N$2,0,ROW(A1)-1,1,1)</f>
        <v>0</v>
      </c>
      <c r="D5">
        <f>'Parameters calculator'!C9</f>
        <v>0</v>
      </c>
      <c r="E5" s="68">
        <f ca="1">D5*OFFSET('Demand background (hide)'!$N$2,0,ROW(E1)-1,1,1)</f>
        <v>0</v>
      </c>
      <c r="F5">
        <f>'Parameters calculator'!E9</f>
        <v>0</v>
      </c>
      <c r="G5" s="68">
        <f ca="1">F5*OFFSET('Demand background (hide)'!$N$2,0,ROW(G1)-1,1,1)</f>
        <v>0</v>
      </c>
      <c r="H5">
        <f>'Parameters calculator'!G9</f>
        <v>0</v>
      </c>
      <c r="I5" s="68">
        <f ca="1">H5*OFFSET('Demand background (hide)'!$N$2,0,ROW(I1)-1,1,1)</f>
        <v>0</v>
      </c>
    </row>
    <row r="6" spans="1:9" x14ac:dyDescent="0.2">
      <c r="A6">
        <v>2</v>
      </c>
      <c r="B6" s="68">
        <f>'Parameters calculator'!B10</f>
        <v>0</v>
      </c>
      <c r="C6" s="68">
        <f ca="1">B6*OFFSET('Demand background (hide)'!$N$2,0,ROW(A2)-1,1,1)</f>
        <v>0</v>
      </c>
      <c r="D6" s="68">
        <f>'Parameters calculator'!C10</f>
        <v>0</v>
      </c>
      <c r="E6" s="68">
        <f ca="1">D6*OFFSET('Demand background (hide)'!$N$2,0,ROW(E2)-1,1,1)</f>
        <v>0</v>
      </c>
      <c r="F6" s="68">
        <f>'Parameters calculator'!E10</f>
        <v>0</v>
      </c>
      <c r="G6" s="68">
        <f ca="1">F6*OFFSET('Demand background (hide)'!$N$2,0,ROW(G2)-1,1,1)</f>
        <v>0</v>
      </c>
      <c r="H6" s="68">
        <f>'Parameters calculator'!G10</f>
        <v>0</v>
      </c>
      <c r="I6" s="68">
        <f ca="1">H6*OFFSET('Demand background (hide)'!$N$2,0,ROW(I2)-1,1,1)</f>
        <v>0</v>
      </c>
    </row>
    <row r="7" spans="1:9" x14ac:dyDescent="0.2">
      <c r="A7">
        <v>3</v>
      </c>
      <c r="B7" s="68">
        <f>'Parameters calculator'!B11</f>
        <v>0</v>
      </c>
      <c r="C7" s="68">
        <f ca="1">B7*OFFSET('Demand background (hide)'!$N$2,0,ROW(A3)-1,1,1)</f>
        <v>0</v>
      </c>
      <c r="D7" s="68">
        <f>'Parameters calculator'!C11</f>
        <v>0</v>
      </c>
      <c r="E7" s="68">
        <f ca="1">D7*OFFSET('Demand background (hide)'!$N$2,0,ROW(E3)-1,1,1)</f>
        <v>0</v>
      </c>
      <c r="F7" s="68">
        <f>'Parameters calculator'!E11</f>
        <v>0</v>
      </c>
      <c r="G7" s="68">
        <f ca="1">F7*OFFSET('Demand background (hide)'!$N$2,0,ROW(E3)-1,1,1)</f>
        <v>0</v>
      </c>
      <c r="H7" s="68">
        <f>'Parameters calculator'!G11</f>
        <v>0</v>
      </c>
      <c r="I7" s="68">
        <f ca="1">H7*OFFSET('Demand background (hide)'!$N$2,0,ROW(G3)-1,1,1)</f>
        <v>0</v>
      </c>
    </row>
    <row r="8" spans="1:9" x14ac:dyDescent="0.2">
      <c r="A8">
        <v>4</v>
      </c>
      <c r="B8" s="68">
        <f>'Parameters calculator'!B12</f>
        <v>0</v>
      </c>
      <c r="C8" s="68">
        <f ca="1">B8*OFFSET('Demand background (hide)'!$N$2,0,ROW(A4)-1,1,1)</f>
        <v>0</v>
      </c>
      <c r="D8" s="68">
        <f>'Parameters calculator'!C12</f>
        <v>0</v>
      </c>
      <c r="E8" s="68">
        <f ca="1">D8*OFFSET('Demand background (hide)'!$N$2,0,ROW(E4)-1,1,1)</f>
        <v>0</v>
      </c>
      <c r="F8" s="68">
        <f>'Parameters calculator'!E12</f>
        <v>0</v>
      </c>
      <c r="G8" s="68">
        <f ca="1">F8*OFFSET('Demand background (hide)'!$N$2,0,ROW(E4)-1,1,1)</f>
        <v>0</v>
      </c>
      <c r="H8" s="68">
        <f>'Parameters calculator'!G12</f>
        <v>0</v>
      </c>
      <c r="I8" s="68">
        <f ca="1">H8*OFFSET('Demand background (hide)'!$N$2,0,ROW(G4)-1,1,1)</f>
        <v>0</v>
      </c>
    </row>
    <row r="9" spans="1:9" x14ac:dyDescent="0.2">
      <c r="A9">
        <v>5</v>
      </c>
      <c r="B9" s="68">
        <f>'Parameters calculator'!B13</f>
        <v>0</v>
      </c>
      <c r="C9" s="68">
        <f ca="1">B9*OFFSET('Demand background (hide)'!$N$2,0,ROW(A5)-1,1,1)</f>
        <v>0</v>
      </c>
      <c r="D9" s="68">
        <f>'Parameters calculator'!C13</f>
        <v>0</v>
      </c>
      <c r="E9" s="68">
        <f ca="1">D9*OFFSET('Demand background (hide)'!$N$2,0,ROW(E5)-1,1,1)</f>
        <v>0</v>
      </c>
      <c r="F9" s="68">
        <f>'Parameters calculator'!E13</f>
        <v>0</v>
      </c>
      <c r="G9" s="68">
        <f ca="1">F9*OFFSET('Demand background (hide)'!$N$2,0,ROW(E5)-1,1,1)</f>
        <v>0</v>
      </c>
      <c r="H9" s="68">
        <f>'Parameters calculator'!G13</f>
        <v>0</v>
      </c>
      <c r="I9" s="68">
        <f ca="1">H9*OFFSET('Demand background (hide)'!$N$2,0,ROW(G5)-1,1,1)</f>
        <v>0</v>
      </c>
    </row>
    <row r="10" spans="1:9" x14ac:dyDescent="0.2">
      <c r="A10">
        <v>6</v>
      </c>
      <c r="B10" s="68">
        <f>'Parameters calculator'!B14</f>
        <v>0</v>
      </c>
      <c r="C10" s="68">
        <f ca="1">B10*OFFSET('Demand background (hide)'!$N$2,0,ROW(A6)-1,1,1)</f>
        <v>0</v>
      </c>
      <c r="D10" s="68">
        <f>'Parameters calculator'!C14</f>
        <v>0</v>
      </c>
      <c r="E10" s="68">
        <f ca="1">D10*OFFSET('Demand background (hide)'!$N$2,0,ROW(E6)-1,1,1)</f>
        <v>0</v>
      </c>
      <c r="F10" s="68">
        <f>'Parameters calculator'!E14</f>
        <v>0</v>
      </c>
      <c r="G10" s="68">
        <f ca="1">F10*OFFSET('Demand background (hide)'!$N$2,0,ROW(E6)-1,1,1)</f>
        <v>0</v>
      </c>
      <c r="H10" s="68">
        <f>'Parameters calculator'!G14</f>
        <v>0</v>
      </c>
      <c r="I10" s="68">
        <f ca="1">H10*OFFSET('Demand background (hide)'!$N$2,0,ROW(G6)-1,1,1)</f>
        <v>0</v>
      </c>
    </row>
    <row r="11" spans="1:9" x14ac:dyDescent="0.2">
      <c r="A11">
        <v>7</v>
      </c>
      <c r="B11" s="68">
        <f>'Parameters calculator'!B15</f>
        <v>0</v>
      </c>
      <c r="C11" s="68">
        <f ca="1">B11*OFFSET('Demand background (hide)'!$N$2,0,ROW(A7)-1,1,1)</f>
        <v>0</v>
      </c>
      <c r="D11" s="68">
        <f>'Parameters calculator'!C15</f>
        <v>0</v>
      </c>
      <c r="E11" s="68">
        <f ca="1">D11*OFFSET('Demand background (hide)'!$N$2,0,ROW(E7)-1,1,1)</f>
        <v>0</v>
      </c>
      <c r="F11" s="68">
        <f>'Parameters calculator'!E15</f>
        <v>0</v>
      </c>
      <c r="G11" s="68">
        <f ca="1">F11*OFFSET('Demand background (hide)'!$N$2,0,ROW(E7)-1,1,1)</f>
        <v>0</v>
      </c>
      <c r="H11" s="68">
        <f>'Parameters calculator'!G15</f>
        <v>0</v>
      </c>
      <c r="I11" s="68">
        <f ca="1">H11*OFFSET('Demand background (hide)'!$N$2,0,ROW(G7)-1,1,1)</f>
        <v>0</v>
      </c>
    </row>
    <row r="12" spans="1:9" x14ac:dyDescent="0.2">
      <c r="A12">
        <v>8</v>
      </c>
      <c r="B12" s="68">
        <f>'Parameters calculator'!B16</f>
        <v>0</v>
      </c>
      <c r="C12" s="68">
        <f ca="1">B12*OFFSET('Demand background (hide)'!$N$2,0,ROW(A8)-1,1,1)</f>
        <v>0</v>
      </c>
      <c r="D12" s="68">
        <f>'Parameters calculator'!C16</f>
        <v>0</v>
      </c>
      <c r="E12" s="68">
        <f ca="1">D12*OFFSET('Demand background (hide)'!$N$2,0,ROW(E8)-1,1,1)</f>
        <v>0</v>
      </c>
      <c r="F12" s="68">
        <f>'Parameters calculator'!E16</f>
        <v>0</v>
      </c>
      <c r="G12" s="68">
        <f ca="1">F12*OFFSET('Demand background (hide)'!$N$2,0,ROW(E8)-1,1,1)</f>
        <v>0</v>
      </c>
      <c r="H12" s="68">
        <f>'Parameters calculator'!G16</f>
        <v>0</v>
      </c>
      <c r="I12" s="68">
        <f ca="1">H12*OFFSET('Demand background (hide)'!$N$2,0,ROW(G8)-1,1,1)</f>
        <v>0</v>
      </c>
    </row>
    <row r="13" spans="1:9" x14ac:dyDescent="0.2">
      <c r="A13">
        <v>9</v>
      </c>
      <c r="B13" s="68">
        <f>'Parameters calculator'!B17</f>
        <v>0</v>
      </c>
      <c r="C13" s="68">
        <f ca="1">B13*OFFSET('Demand background (hide)'!$N$2,0,ROW(A9)-1,1,1)</f>
        <v>0</v>
      </c>
      <c r="D13" s="68">
        <f>'Parameters calculator'!C17</f>
        <v>0</v>
      </c>
      <c r="E13" s="68">
        <f ca="1">D13*OFFSET('Demand background (hide)'!$N$2,0,ROW(E9)-1,1,1)</f>
        <v>0</v>
      </c>
      <c r="F13" s="68">
        <f>'Parameters calculator'!E17</f>
        <v>0</v>
      </c>
      <c r="G13" s="68">
        <f ca="1">F13*OFFSET('Demand background (hide)'!$N$2,0,ROW(E9)-1,1,1)</f>
        <v>0</v>
      </c>
      <c r="H13" s="68">
        <f>'Parameters calculator'!G17</f>
        <v>0</v>
      </c>
      <c r="I13" s="68">
        <f ca="1">H13*OFFSET('Demand background (hide)'!$N$2,0,ROW(G9)-1,1,1)</f>
        <v>0</v>
      </c>
    </row>
    <row r="14" spans="1:9" x14ac:dyDescent="0.2">
      <c r="A14">
        <v>10</v>
      </c>
      <c r="B14" s="68">
        <f>'Parameters calculator'!B18</f>
        <v>0</v>
      </c>
      <c r="C14" s="68">
        <f ca="1">B14*OFFSET('Demand background (hide)'!$N$2,0,ROW(A10)-1,1,1)</f>
        <v>0</v>
      </c>
      <c r="D14" s="68">
        <f>'Parameters calculator'!C18</f>
        <v>0</v>
      </c>
      <c r="E14" s="68">
        <f ca="1">D14*OFFSET('Demand background (hide)'!$N$2,0,ROW(E10)-1,1,1)</f>
        <v>0</v>
      </c>
      <c r="F14" s="68">
        <f>'Parameters calculator'!E18</f>
        <v>0</v>
      </c>
      <c r="G14" s="68">
        <f ca="1">F14*OFFSET('Demand background (hide)'!$N$2,0,ROW(E10)-1,1,1)</f>
        <v>0</v>
      </c>
      <c r="H14" s="68">
        <f>'Parameters calculator'!G18</f>
        <v>0</v>
      </c>
      <c r="I14" s="68">
        <f ca="1">H14*OFFSET('Demand background (hide)'!$N$2,0,ROW(G10)-1,1,1)</f>
        <v>0</v>
      </c>
    </row>
    <row r="15" spans="1:9" x14ac:dyDescent="0.2">
      <c r="A15" t="s">
        <v>316</v>
      </c>
      <c r="C15" s="5">
        <f ca="1">SUM(OFFSET(C$5,0,0,Num_Modalities,1))</f>
        <v>0</v>
      </c>
      <c r="D15" s="5"/>
      <c r="E15" s="5">
        <f ca="1">SUM(OFFSET(E$5,0,0,Num_Modalities,1))</f>
        <v>0</v>
      </c>
      <c r="F15" s="5"/>
      <c r="G15" s="5">
        <f ca="1">SUM(OFFSET(G$5,0,0,Num_Modalities,1))</f>
        <v>0</v>
      </c>
      <c r="H15" s="5"/>
      <c r="I15" s="5">
        <f ca="1">SUM(OFFSET(I$5,0,0,Num_Modalities,1))</f>
        <v>0</v>
      </c>
    </row>
    <row r="16" spans="1:9" x14ac:dyDescent="0.2">
      <c r="A16" t="s">
        <v>348</v>
      </c>
      <c r="C16" s="85">
        <f ca="1">C15/'Parameters calculator'!$C$21</f>
        <v>0</v>
      </c>
      <c r="E16" s="85">
        <f ca="1">E15/('Parameters calculator'!$C$21-C15)</f>
        <v>0</v>
      </c>
      <c r="G16" s="85">
        <f ca="1">G15/('Parameters calculator'!$C$21-C15)</f>
        <v>0</v>
      </c>
      <c r="I16" s="85">
        <f ca="1">IF(G15=0,0,I15/G15)</f>
        <v>0</v>
      </c>
    </row>
    <row r="17" spans="1:13" s="68" customFormat="1" x14ac:dyDescent="0.2"/>
    <row r="18" spans="1:13" s="68" customFormat="1" x14ac:dyDescent="0.2">
      <c r="A18" s="68" t="s">
        <v>149</v>
      </c>
      <c r="B18" s="68">
        <f ca="1">IF(LEFT(INDIRECT(H18),4)="Base",MAX('SPC background (hide)'!$I$5:$I$11),INDIRECT(H18))</f>
        <v>52</v>
      </c>
      <c r="D18" s="68" t="s">
        <v>214</v>
      </c>
      <c r="E18" s="5">
        <f ca="1">'Demand background (hide)'!BN16</f>
        <v>36.982758620689658</v>
      </c>
      <c r="G18" s="68" t="s">
        <v>397</v>
      </c>
      <c r="H18" s="52" t="s">
        <v>504</v>
      </c>
    </row>
    <row r="19" spans="1:13" x14ac:dyDescent="0.2">
      <c r="A19" t="s">
        <v>331</v>
      </c>
      <c r="B19">
        <f ca="1">'Demand background (hide)'!$BM$18*'Parameters calculator (hide)'!$B$18*IF(OR(Parameters!C4="Patients",B34=1),1/E18,1)</f>
        <v>696</v>
      </c>
    </row>
    <row r="20" spans="1:13" x14ac:dyDescent="0.2">
      <c r="B20" t="s">
        <v>77</v>
      </c>
      <c r="C20" t="s">
        <v>338</v>
      </c>
      <c r="E20" t="s">
        <v>101</v>
      </c>
      <c r="F20" t="s">
        <v>339</v>
      </c>
      <c r="H20" t="s">
        <v>103</v>
      </c>
    </row>
    <row r="21" spans="1:13" s="68" customFormat="1" x14ac:dyDescent="0.2">
      <c r="A21" s="68" t="s">
        <v>336</v>
      </c>
      <c r="B21" s="85">
        <f>Parameters!$G$7</f>
        <v>1.0999999999999999E-2</v>
      </c>
      <c r="C21" s="85">
        <f>Parameters!$G$11</f>
        <v>0.11348300821985031</v>
      </c>
      <c r="D21" s="48"/>
      <c r="E21" s="85">
        <f>Parameters!$G$21</f>
        <v>0.1</v>
      </c>
      <c r="F21" s="85">
        <f>Parameters!$I$27</f>
        <v>0.2</v>
      </c>
      <c r="G21" s="48"/>
      <c r="H21" s="85">
        <f>1-F21</f>
        <v>0.8</v>
      </c>
      <c r="M21" s="68" t="s">
        <v>396</v>
      </c>
    </row>
    <row r="22" spans="1:13" s="68" customFormat="1" x14ac:dyDescent="0.2">
      <c r="A22" s="68" t="s">
        <v>337</v>
      </c>
      <c r="B22" s="5">
        <f ca="1">Parameters!$H$7</f>
        <v>7.6559999999999997</v>
      </c>
      <c r="C22" s="5">
        <f ca="1">Parameters!$H$11</f>
        <v>78.115347810084643</v>
      </c>
      <c r="E22" s="5">
        <f ca="1">Parameters!$H$21</f>
        <v>68.834400000000002</v>
      </c>
      <c r="F22" s="5">
        <f ca="1">Parameters!$J$27</f>
        <v>13.76688</v>
      </c>
      <c r="H22" s="5">
        <f ca="1">E22-F22</f>
        <v>55.067520000000002</v>
      </c>
    </row>
    <row r="23" spans="1:13" s="68" customFormat="1" x14ac:dyDescent="0.2"/>
    <row r="24" spans="1:13" x14ac:dyDescent="0.2">
      <c r="A24" s="68" t="s">
        <v>334</v>
      </c>
      <c r="B24" s="85">
        <f ca="1">IF($B$34=2,IFERROR(B22/B19,NA()),C16)</f>
        <v>1.0999999999999999E-2</v>
      </c>
      <c r="C24" s="85">
        <f ca="1">IF($B$34=2,IFERROR(C22/(B19-B22),NA()),E16)</f>
        <v>0.1134830082198503</v>
      </c>
      <c r="D24" s="48"/>
      <c r="E24" s="85">
        <f ca="1">IF($B$34=2,IFERROR(E22/(B19-B22),NA()),G16)</f>
        <v>9.9999999999999992E-2</v>
      </c>
      <c r="F24" s="85">
        <f ca="1">IF($B$34=2,IF(E22=0,0,IFERROR(F22/E22,NA())),I16)</f>
        <v>0.2</v>
      </c>
      <c r="G24" s="48"/>
      <c r="H24" s="85">
        <f>IF(Parameters!$C$2="%",'Parameters calculator (hide)'!$H$21,1-F24)</f>
        <v>0.8</v>
      </c>
    </row>
    <row r="25" spans="1:13" x14ac:dyDescent="0.2">
      <c r="A25" t="s">
        <v>335</v>
      </c>
      <c r="B25" s="5">
        <f ca="1">IFERROR(B19*B21,NA())</f>
        <v>7.6559999999999997</v>
      </c>
      <c r="C25" s="5">
        <f ca="1">IFERROR((B19*(1-B21)*C21),NA())</f>
        <v>78.115347810084643</v>
      </c>
      <c r="D25" s="68"/>
      <c r="E25" s="5">
        <f ca="1">IFERROR(B19*(1-B21)*E21,NA())</f>
        <v>68.834400000000002</v>
      </c>
      <c r="F25" s="5">
        <f ca="1">IFERROR(E25*F21,NA())</f>
        <v>13.76688</v>
      </c>
      <c r="G25" s="68"/>
      <c r="H25" s="5">
        <f ca="1">E25-F25</f>
        <v>55.067520000000002</v>
      </c>
    </row>
    <row r="27" spans="1:13" x14ac:dyDescent="0.2">
      <c r="A27" t="s">
        <v>343</v>
      </c>
      <c r="B27">
        <f ca="1">IF(Parameters!$C$2="Volume",B19-B22-C22+H22-E22,B19-B25-C25+H25-E25)</f>
        <v>596.46177218991556</v>
      </c>
      <c r="M27" t="s">
        <v>317</v>
      </c>
    </row>
    <row r="28" spans="1:13" x14ac:dyDescent="0.2">
      <c r="M28" t="s">
        <v>318</v>
      </c>
    </row>
    <row r="29" spans="1:13" x14ac:dyDescent="0.2">
      <c r="A29" t="s">
        <v>345</v>
      </c>
      <c r="B29" t="s">
        <v>381</v>
      </c>
      <c r="C29" t="s">
        <v>382</v>
      </c>
      <c r="D29" t="s">
        <v>379</v>
      </c>
      <c r="E29" t="s">
        <v>380</v>
      </c>
      <c r="F29" t="s">
        <v>346</v>
      </c>
      <c r="G29" t="s">
        <v>347</v>
      </c>
      <c r="I29" t="s">
        <v>353</v>
      </c>
      <c r="J29" t="s">
        <v>352</v>
      </c>
      <c r="M29" t="s">
        <v>319</v>
      </c>
    </row>
    <row r="30" spans="1:13" x14ac:dyDescent="0.2">
      <c r="A30" t="s">
        <v>77</v>
      </c>
      <c r="B30" t="s">
        <v>383</v>
      </c>
      <c r="C30" t="s">
        <v>387</v>
      </c>
      <c r="D30" s="52" t="s">
        <v>362</v>
      </c>
      <c r="E30" s="52" t="s">
        <v>366</v>
      </c>
      <c r="F30" s="52" t="s">
        <v>362</v>
      </c>
      <c r="G30" s="52" t="s">
        <v>370</v>
      </c>
      <c r="I30" t="s">
        <v>354</v>
      </c>
      <c r="J30" t="s">
        <v>358</v>
      </c>
      <c r="M30" t="s">
        <v>320</v>
      </c>
    </row>
    <row r="31" spans="1:13" x14ac:dyDescent="0.2">
      <c r="A31" t="s">
        <v>338</v>
      </c>
      <c r="B31" t="s">
        <v>384</v>
      </c>
      <c r="C31" t="s">
        <v>388</v>
      </c>
      <c r="D31" s="52" t="s">
        <v>363</v>
      </c>
      <c r="E31" s="52" t="s">
        <v>367</v>
      </c>
      <c r="F31" s="52" t="s">
        <v>363</v>
      </c>
      <c r="G31" s="52" t="s">
        <v>371</v>
      </c>
      <c r="I31" t="s">
        <v>355</v>
      </c>
      <c r="J31" s="68" t="s">
        <v>359</v>
      </c>
      <c r="M31" t="s">
        <v>321</v>
      </c>
    </row>
    <row r="32" spans="1:13" x14ac:dyDescent="0.2">
      <c r="A32" t="s">
        <v>101</v>
      </c>
      <c r="B32" t="s">
        <v>385</v>
      </c>
      <c r="C32" t="s">
        <v>389</v>
      </c>
      <c r="D32" s="52" t="s">
        <v>364</v>
      </c>
      <c r="E32" s="52" t="s">
        <v>368</v>
      </c>
      <c r="F32" s="52" t="s">
        <v>364</v>
      </c>
      <c r="G32" s="52" t="s">
        <v>372</v>
      </c>
      <c r="I32" t="s">
        <v>356</v>
      </c>
      <c r="J32" s="68" t="s">
        <v>360</v>
      </c>
      <c r="M32" t="s">
        <v>322</v>
      </c>
    </row>
    <row r="33" spans="1:13" x14ac:dyDescent="0.2">
      <c r="A33" t="s">
        <v>339</v>
      </c>
      <c r="B33" t="s">
        <v>386</v>
      </c>
      <c r="C33" t="s">
        <v>390</v>
      </c>
      <c r="D33" s="52" t="s">
        <v>365</v>
      </c>
      <c r="E33" s="52" t="s">
        <v>369</v>
      </c>
      <c r="F33" s="52" t="s">
        <v>365</v>
      </c>
      <c r="G33" s="52" t="s">
        <v>373</v>
      </c>
      <c r="I33" t="s">
        <v>357</v>
      </c>
      <c r="J33" s="68" t="s">
        <v>361</v>
      </c>
      <c r="M33" t="s">
        <v>344</v>
      </c>
    </row>
    <row r="34" spans="1:13" x14ac:dyDescent="0.2">
      <c r="A34" t="s">
        <v>333</v>
      </c>
      <c r="B34">
        <v>2</v>
      </c>
      <c r="C34">
        <v>2</v>
      </c>
    </row>
    <row r="37" spans="1:13" x14ac:dyDescent="0.2">
      <c r="A37" s="52" t="s">
        <v>401</v>
      </c>
      <c r="B37" s="68"/>
    </row>
    <row r="38" spans="1:13" x14ac:dyDescent="0.2">
      <c r="A38" t="s">
        <v>413</v>
      </c>
    </row>
    <row r="40" spans="1:13" x14ac:dyDescent="0.2">
      <c r="E40" t="s">
        <v>510</v>
      </c>
    </row>
    <row r="41" spans="1:13" x14ac:dyDescent="0.2">
      <c r="A41" t="s">
        <v>408</v>
      </c>
      <c r="E41" t="s">
        <v>508</v>
      </c>
      <c r="G41" t="s">
        <v>505</v>
      </c>
      <c r="H41" t="s">
        <v>509</v>
      </c>
    </row>
    <row r="42" spans="1:13" x14ac:dyDescent="0.2">
      <c r="B42" t="s">
        <v>89</v>
      </c>
      <c r="E42" s="148">
        <f>Parameters!F31</f>
        <v>0</v>
      </c>
    </row>
    <row r="43" spans="1:13" x14ac:dyDescent="0.2">
      <c r="A43" t="s">
        <v>77</v>
      </c>
      <c r="B43" s="101">
        <f ca="1">IF(B34=1,C16,B24)</f>
        <v>1.0999999999999999E-2</v>
      </c>
      <c r="C43" s="148">
        <f ca="1">(1-B43)</f>
        <v>0.98899999999999999</v>
      </c>
      <c r="E43" s="150"/>
      <c r="G43" s="148"/>
    </row>
    <row r="44" spans="1:13" x14ac:dyDescent="0.2">
      <c r="A44" t="s">
        <v>338</v>
      </c>
      <c r="B44" s="101">
        <f ca="1">IF(B34=1,E16,C24)</f>
        <v>0.1134830082198503</v>
      </c>
      <c r="C44" s="148">
        <f ca="1">B44</f>
        <v>0.1134830082198503</v>
      </c>
      <c r="E44" s="148" t="s">
        <v>511</v>
      </c>
      <c r="G44" s="148"/>
      <c r="H44" s="68"/>
    </row>
    <row r="45" spans="1:13" x14ac:dyDescent="0.2">
      <c r="A45" t="s">
        <v>101</v>
      </c>
      <c r="B45" s="101">
        <f ca="1">IF(B34=1,G16,E24)</f>
        <v>9.9999999999999992E-2</v>
      </c>
      <c r="C45" s="148"/>
      <c r="E45" s="148" t="str">
        <f>IF(E42&gt;0,E42/(1-C44-(B45*B46))/C43,"")</f>
        <v/>
      </c>
      <c r="G45" s="148"/>
      <c r="H45" s="68"/>
    </row>
    <row r="46" spans="1:13" x14ac:dyDescent="0.2">
      <c r="A46" t="s">
        <v>339</v>
      </c>
      <c r="B46" s="101">
        <f ca="1">IF(B34=1,I16,F24)</f>
        <v>0.2</v>
      </c>
      <c r="C46" s="148">
        <f ca="1">B46*B45</f>
        <v>0.02</v>
      </c>
      <c r="E46" s="148"/>
      <c r="G46" s="148"/>
      <c r="H46" s="68"/>
    </row>
    <row r="47" spans="1:13" x14ac:dyDescent="0.2">
      <c r="A47" t="s">
        <v>409</v>
      </c>
      <c r="B47" s="101">
        <f ca="1">IF(B34=1,1-I16,1-F24)</f>
        <v>0.8</v>
      </c>
      <c r="C47" s="148">
        <f ca="1">B47*B45</f>
        <v>0.08</v>
      </c>
      <c r="D47" s="37"/>
      <c r="E47" s="148"/>
      <c r="F47" s="148"/>
      <c r="G47" s="148"/>
      <c r="H47" s="68"/>
    </row>
    <row r="51" spans="1:14" x14ac:dyDescent="0.2">
      <c r="A51" t="s">
        <v>410</v>
      </c>
      <c r="E51" t="s">
        <v>880</v>
      </c>
      <c r="F51" t="s">
        <v>416</v>
      </c>
      <c r="L51" t="s">
        <v>423</v>
      </c>
    </row>
    <row r="53" spans="1:14" x14ac:dyDescent="0.2">
      <c r="A53" t="s">
        <v>411</v>
      </c>
      <c r="B53" t="s">
        <v>150</v>
      </c>
      <c r="C53" t="s">
        <v>151</v>
      </c>
      <c r="D53" t="s">
        <v>887</v>
      </c>
      <c r="F53" t="s">
        <v>417</v>
      </c>
      <c r="G53" t="s">
        <v>426</v>
      </c>
      <c r="L53" t="s">
        <v>150</v>
      </c>
      <c r="M53" t="s">
        <v>151</v>
      </c>
    </row>
    <row r="54" spans="1:14" s="68" customFormat="1" x14ac:dyDescent="0.2">
      <c r="A54"/>
      <c r="B54"/>
      <c r="C54"/>
      <c r="E54" s="5"/>
      <c r="F54" s="5"/>
    </row>
    <row r="55" spans="1:14" s="68" customFormat="1" x14ac:dyDescent="0.2">
      <c r="A55" s="68" t="str">
        <f>Setup!B24</f>
        <v>Routine</v>
      </c>
      <c r="B55" s="68">
        <f>Pathway!B8/IF(Pathway!$E8="Weeks",1,7)</f>
        <v>2</v>
      </c>
      <c r="C55" s="68">
        <f>Pathway!C8/IF(Pathway!$E8="Weeks",1,7)</f>
        <v>6</v>
      </c>
      <c r="D55" s="68">
        <f>Pathway!D8/IF(Pathway!$E8="Weeks",1,7)</f>
        <v>0</v>
      </c>
      <c r="E55" s="68">
        <f ca="1">IF(AND(Pathway!$H$5="Override",Pathway!$I$6=""),Pathway!H8,Pathway!G8)</f>
        <v>0.78243978243978252</v>
      </c>
      <c r="F55" s="5">
        <f ca="1">('Demand background (hide)'!$BM$18*E55*(B55+((C55-B55)/2)))</f>
        <v>1549.2307692307693</v>
      </c>
      <c r="G55" s="68">
        <f ca="1">$C$47*E55*D55*'Demand background (hide)'!$BM$18</f>
        <v>0</v>
      </c>
      <c r="L55" s="68">
        <f t="shared" ref="L55:L57" si="0">B55</f>
        <v>2</v>
      </c>
      <c r="M55" s="68">
        <f t="shared" ref="M55:M57" si="1">C55-B55</f>
        <v>4</v>
      </c>
      <c r="N55" s="68">
        <f>D55</f>
        <v>0</v>
      </c>
    </row>
    <row r="56" spans="1:14" s="68" customFormat="1" x14ac:dyDescent="0.2">
      <c r="A56" s="68" t="str">
        <f>Setup!B23</f>
        <v>Urgent</v>
      </c>
      <c r="B56" s="68">
        <f>Pathway!B7/IF(Pathway!$E7="Weeks",1,7)</f>
        <v>0</v>
      </c>
      <c r="C56" s="68">
        <f>Pathway!C7/IF(Pathway!$E7="Weeks",1,7)</f>
        <v>2</v>
      </c>
      <c r="D56" s="68">
        <f>Pathway!D7/IF(Pathway!$E7="Weeks",1,7)</f>
        <v>0</v>
      </c>
      <c r="E56" s="68">
        <f ca="1">IF(AND(Pathway!$H$5="Override",Pathway!$I$6=""),Pathway!H7,Pathway!G7)</f>
        <v>0.21756021756021757</v>
      </c>
      <c r="F56" s="5">
        <f ca="1">('Demand background (hide)'!$BM$18*E56*(B56+((C56-B56)/2)))</f>
        <v>107.69230769230769</v>
      </c>
      <c r="G56" s="68">
        <f ca="1">$C$47*E56*D56* 'Demand background (hide)'!$BM$18</f>
        <v>0</v>
      </c>
      <c r="L56" s="68">
        <f t="shared" si="0"/>
        <v>0</v>
      </c>
      <c r="M56" s="68">
        <f t="shared" si="1"/>
        <v>2</v>
      </c>
      <c r="N56" s="68">
        <f t="shared" ref="N56:N57" si="2">D56</f>
        <v>0</v>
      </c>
    </row>
    <row r="57" spans="1:14" x14ac:dyDescent="0.2">
      <c r="A57" t="str">
        <f>Setup!B22</f>
        <v>2WW</v>
      </c>
      <c r="B57">
        <f>Pathway!B6/IF(Pathway!$E6="Weeks",1,7)</f>
        <v>0</v>
      </c>
      <c r="C57" s="68">
        <f>Pathway!C6/IF(Pathway!$E6="Weeks",1,7)</f>
        <v>0</v>
      </c>
      <c r="D57" s="68">
        <f>Pathway!D6/IF(Pathway!$E6="Weeks",1,7)</f>
        <v>0</v>
      </c>
      <c r="E57" s="68">
        <f ca="1">IF(AND(Pathway!$H$5="Override",Pathway!$I$6=""),Pathway!H6,Pathway!G6)</f>
        <v>0</v>
      </c>
      <c r="F57" s="5">
        <f ca="1">('Demand background (hide)'!$BM$18*E57*(B57+((C57-B57)/2)))</f>
        <v>0</v>
      </c>
      <c r="G57" s="68">
        <f ca="1">$C$47*E57*D57*'Demand background (hide)'!$BM$18</f>
        <v>0</v>
      </c>
      <c r="L57" s="68">
        <f t="shared" si="0"/>
        <v>0</v>
      </c>
      <c r="M57" s="68">
        <f t="shared" si="1"/>
        <v>0</v>
      </c>
      <c r="N57" s="68">
        <f t="shared" si="2"/>
        <v>0</v>
      </c>
    </row>
    <row r="61" spans="1:14" x14ac:dyDescent="0.2">
      <c r="F61" s="5"/>
      <c r="H61" t="s">
        <v>167</v>
      </c>
      <c r="I61" t="s">
        <v>168</v>
      </c>
    </row>
    <row r="62" spans="1:14" x14ac:dyDescent="0.2">
      <c r="A62" t="s">
        <v>418</v>
      </c>
      <c r="F62" s="5">
        <f ca="1">SUM(F55:G57)</f>
        <v>1656.9230769230769</v>
      </c>
      <c r="H62" s="5">
        <f ca="1">F62*0.95</f>
        <v>1574.0769230769231</v>
      </c>
      <c r="I62" s="5">
        <f ca="1">F62*1.05</f>
        <v>1739.7692307692307</v>
      </c>
    </row>
    <row r="63" spans="1:14" x14ac:dyDescent="0.2">
      <c r="A63" t="s">
        <v>419</v>
      </c>
      <c r="F63" s="5">
        <f ca="1">F62/E18</f>
        <v>44.802582033351257</v>
      </c>
      <c r="H63" s="5">
        <f ca="1">F63*0.95</f>
        <v>42.562452931683694</v>
      </c>
      <c r="I63" s="5">
        <f ca="1">F63*1.05</f>
        <v>47.04271113501882</v>
      </c>
    </row>
    <row r="65" spans="1:10" x14ac:dyDescent="0.2">
      <c r="G65" t="str">
        <f>"Waiting list position ("&amp;LOWER(Summary!$C$8)&amp;")"</f>
        <v>Waiting list position (patients)</v>
      </c>
    </row>
    <row r="66" spans="1:10" x14ac:dyDescent="0.2">
      <c r="A66" t="s">
        <v>420</v>
      </c>
      <c r="G66" t="s">
        <v>433</v>
      </c>
      <c r="H66" s="5">
        <f ca="1">IF(Summary!$C$8&lt;&gt;"Patients",H62,H63)</f>
        <v>42.562452931683694</v>
      </c>
      <c r="I66" s="5">
        <f ca="1">IF(Summary!$C$8&lt;&gt;"Patients",I62,I63)</f>
        <v>47.04271113501882</v>
      </c>
      <c r="J66" s="5">
        <f ca="1">I66-H66</f>
        <v>4.4802582033351257</v>
      </c>
    </row>
    <row r="67" spans="1:10" x14ac:dyDescent="0.2">
      <c r="B67" t="s">
        <v>432</v>
      </c>
      <c r="C67" t="s">
        <v>315</v>
      </c>
      <c r="G67" t="s">
        <v>434</v>
      </c>
      <c r="H67" s="5">
        <f ca="1">IF(Summary!$C$8&lt;&gt;"Patients",C79,B79)</f>
        <v>60</v>
      </c>
    </row>
    <row r="68" spans="1:10" x14ac:dyDescent="0.2">
      <c r="A68" t="str">
        <f>Setup!C27</f>
        <v>Test name 1</v>
      </c>
      <c r="B68" s="5">
        <f>IF(ROW(A1)&lt;=Num_Modalities,Setup!G27,0)</f>
        <v>30</v>
      </c>
      <c r="C68" s="5">
        <f ca="1">Setup!G27*'Demand background (hide)'!BN6</f>
        <v>900</v>
      </c>
      <c r="D68" s="68"/>
      <c r="I68" s="5"/>
    </row>
    <row r="69" spans="1:10" x14ac:dyDescent="0.2">
      <c r="A69" s="68" t="str">
        <f>Setup!C28</f>
        <v>Test name 2</v>
      </c>
      <c r="B69" s="5">
        <f>IF(ROW(A2)&lt;=Num_Modalities,Setup!G28,0)</f>
        <v>30</v>
      </c>
      <c r="C69" s="5">
        <f ca="1">Setup!G28*'Demand background (hide)'!BN7</f>
        <v>1200</v>
      </c>
      <c r="D69" s="68"/>
      <c r="G69" t="s">
        <v>309</v>
      </c>
      <c r="H69" t="str">
        <f ca="1">IF(AND(H66&gt;H67,I66&gt;H67),0,IF(H66&lt;I66,"0",TEXT(MAX(0,H67-I66),"#,#"))&amp;" - "&amp;TEXT(H67-H66,"#,#"))</f>
        <v>0 - 17</v>
      </c>
    </row>
    <row r="70" spans="1:10" x14ac:dyDescent="0.2">
      <c r="A70" s="68" t="str">
        <f>Setup!C29</f>
        <v>Another modality</v>
      </c>
      <c r="B70" s="5">
        <f>IF(ROW(A3)&lt;=Num_Modalities,Setup!G29,0)</f>
        <v>0</v>
      </c>
      <c r="C70" s="5">
        <f ca="1">Setup!G29*'Demand background (hide)'!BN8</f>
        <v>20</v>
      </c>
      <c r="D70" s="68"/>
    </row>
    <row r="71" spans="1:10" x14ac:dyDescent="0.2">
      <c r="A71" s="68" t="str">
        <f>Setup!C30</f>
        <v>Modality 4</v>
      </c>
      <c r="B71" s="5">
        <f>IF(ROW(A4)&lt;=Num_Modalities,Setup!G30,0)</f>
        <v>0</v>
      </c>
      <c r="C71" s="5">
        <f ca="1">B71*'Demand background (hide)'!BN9</f>
        <v>0</v>
      </c>
      <c r="D71" s="68"/>
      <c r="H71" s="5">
        <f ca="1">H67-H66</f>
        <v>17.437547068316306</v>
      </c>
      <c r="I71" s="5">
        <f ca="1">H67-I66</f>
        <v>12.95728886498118</v>
      </c>
    </row>
    <row r="72" spans="1:10" x14ac:dyDescent="0.2">
      <c r="A72" s="68" t="str">
        <f>Setup!C31</f>
        <v>Modality 5</v>
      </c>
      <c r="B72" s="5">
        <f>IF(ROW(A5)&lt;=Num_Modalities,Setup!G31,0)</f>
        <v>0</v>
      </c>
      <c r="C72" s="5">
        <f ca="1">B72*'Demand background (hide)'!BN10</f>
        <v>0</v>
      </c>
      <c r="D72" s="68"/>
    </row>
    <row r="73" spans="1:10" x14ac:dyDescent="0.2">
      <c r="A73" s="68" t="str">
        <f>Setup!C32</f>
        <v>Modality 6</v>
      </c>
      <c r="B73" s="5">
        <f>IF(ROW(A6)&lt;=Num_Modalities,Setup!G32,0)</f>
        <v>0</v>
      </c>
      <c r="C73" s="5">
        <f ca="1">B73*'Demand background (hide)'!BN11</f>
        <v>0</v>
      </c>
      <c r="D73" s="68"/>
    </row>
    <row r="74" spans="1:10" x14ac:dyDescent="0.2">
      <c r="A74" s="68" t="str">
        <f>Setup!C33</f>
        <v>Modality 7</v>
      </c>
      <c r="B74" s="5">
        <f>IF(ROW(A7)&lt;=Num_Modalities,Setup!G33,0)</f>
        <v>0</v>
      </c>
      <c r="C74" s="5">
        <f ca="1">B74*'Demand background (hide)'!BN12</f>
        <v>0</v>
      </c>
      <c r="D74" s="68"/>
    </row>
    <row r="75" spans="1:10" x14ac:dyDescent="0.2">
      <c r="A75" s="68" t="str">
        <f>Setup!C34</f>
        <v>Modality 8</v>
      </c>
      <c r="B75" s="5">
        <f>IF(ROW(A8)&lt;=Num_Modalities,Setup!G34,0)</f>
        <v>0</v>
      </c>
      <c r="C75" s="5">
        <f ca="1">B75*'Demand background (hide)'!BN13</f>
        <v>0</v>
      </c>
      <c r="D75" s="68"/>
    </row>
    <row r="76" spans="1:10" x14ac:dyDescent="0.2">
      <c r="A76" s="68" t="str">
        <f>Setup!C35</f>
        <v>Modality 9</v>
      </c>
      <c r="B76" s="5">
        <f>IF(ROW(A9)&lt;=Num_Modalities,Setup!G35,0)</f>
        <v>0</v>
      </c>
      <c r="C76" s="5">
        <f ca="1">B76*'Demand background (hide)'!BN14</f>
        <v>0</v>
      </c>
      <c r="D76" s="68"/>
    </row>
    <row r="77" spans="1:10" x14ac:dyDescent="0.2">
      <c r="A77" s="68" t="str">
        <f>Setup!C36</f>
        <v>Modality 10</v>
      </c>
      <c r="B77" s="5">
        <f>IF(ROW(A10)&lt;=Num_Modalities,Setup!G36,0)</f>
        <v>0</v>
      </c>
      <c r="C77" s="5">
        <f ca="1">B77*'Demand background (hide)'!BN15</f>
        <v>0</v>
      </c>
      <c r="D77" s="68"/>
    </row>
    <row r="78" spans="1:10" x14ac:dyDescent="0.2">
      <c r="A78" s="68"/>
    </row>
    <row r="79" spans="1:10" x14ac:dyDescent="0.2">
      <c r="A79" s="68" t="s">
        <v>58</v>
      </c>
      <c r="B79" s="5">
        <f ca="1">SUM(OFFSET($B$68,0,0,Num_Modalities,1))</f>
        <v>60</v>
      </c>
      <c r="C79" s="5">
        <f ca="1">SUM(OFFSET($C$68,0,0,Num_Modalities,1))</f>
        <v>2100</v>
      </c>
    </row>
    <row r="80" spans="1:10" x14ac:dyDescent="0.2">
      <c r="A80" s="68"/>
    </row>
  </sheetData>
  <pageMargins left="0.7" right="0.7" top="0.75" bottom="0.75" header="0.3" footer="0.3"/>
  <pageSetup paperSize="9" orientation="portrait" horizontalDpi="90" verticalDpi="90"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3:M10"/>
  <sheetViews>
    <sheetView showGridLines="0" showRowColHeaders="0" workbookViewId="0"/>
  </sheetViews>
  <sheetFormatPr defaultRowHeight="14.25" x14ac:dyDescent="0.2"/>
  <cols>
    <col min="4" max="4" width="13.875" customWidth="1"/>
    <col min="8" max="8" width="11.625" bestFit="1" customWidth="1"/>
  </cols>
  <sheetData>
    <row r="3" spans="1:13" ht="15" x14ac:dyDescent="0.25">
      <c r="A3" s="242" t="s">
        <v>410</v>
      </c>
      <c r="B3" s="241"/>
      <c r="C3" s="103"/>
      <c r="D3" s="103"/>
      <c r="E3" s="103"/>
      <c r="F3" s="103"/>
      <c r="G3" s="103"/>
      <c r="H3" s="103"/>
      <c r="I3" s="103"/>
      <c r="J3" s="103"/>
      <c r="K3" s="103"/>
      <c r="L3" s="103"/>
      <c r="M3" s="103"/>
    </row>
    <row r="4" spans="1:13" x14ac:dyDescent="0.2">
      <c r="F4" s="83"/>
    </row>
    <row r="5" spans="1:13" ht="30" x14ac:dyDescent="0.2">
      <c r="A5" s="234" t="s">
        <v>411</v>
      </c>
      <c r="B5" s="238" t="s">
        <v>150</v>
      </c>
      <c r="C5" s="239" t="s">
        <v>406</v>
      </c>
      <c r="D5" s="284" t="s">
        <v>886</v>
      </c>
      <c r="E5" s="285" t="s">
        <v>14</v>
      </c>
      <c r="F5" s="149"/>
      <c r="G5" s="240" t="s">
        <v>507</v>
      </c>
      <c r="H5" s="269" t="s">
        <v>878</v>
      </c>
      <c r="J5" s="68"/>
    </row>
    <row r="6" spans="1:13" x14ac:dyDescent="0.2">
      <c r="A6" s="235" t="str">
        <f>Setup!B22</f>
        <v>2WW</v>
      </c>
      <c r="B6" s="156"/>
      <c r="C6" s="156"/>
      <c r="D6" s="283"/>
      <c r="E6" s="162" t="s">
        <v>404</v>
      </c>
      <c r="G6" s="230">
        <f ca="1">IFERROR('Demand background (hide)'!BJ20,"")</f>
        <v>0</v>
      </c>
      <c r="H6" s="232"/>
      <c r="I6" s="231" t="str">
        <f>IF(AND(H5="Override",SUM(H6:H8)&lt;&gt;1),"Total values must equal 100%, defaulting to calculated value","")</f>
        <v/>
      </c>
      <c r="J6" s="68"/>
    </row>
    <row r="7" spans="1:13" x14ac:dyDescent="0.2">
      <c r="A7" s="236" t="str">
        <f>Setup!B23</f>
        <v>Urgent</v>
      </c>
      <c r="B7" s="156">
        <v>0</v>
      </c>
      <c r="C7" s="156">
        <v>2</v>
      </c>
      <c r="D7" s="283"/>
      <c r="E7" s="162" t="s">
        <v>405</v>
      </c>
      <c r="G7" s="230">
        <f ca="1">IFERROR('Demand background (hide)'!BK20,"")</f>
        <v>0.21756021756021757</v>
      </c>
      <c r="H7" s="233"/>
      <c r="J7" s="68"/>
    </row>
    <row r="8" spans="1:13" x14ac:dyDescent="0.2">
      <c r="A8" s="237" t="str">
        <f>Setup!B24</f>
        <v>Routine</v>
      </c>
      <c r="B8" s="156">
        <v>2</v>
      </c>
      <c r="C8" s="156">
        <v>6</v>
      </c>
      <c r="D8" s="283"/>
      <c r="E8" s="162" t="s">
        <v>405</v>
      </c>
      <c r="G8" s="230">
        <f ca="1">IFERROR('Demand background (hide)'!BL20,"")</f>
        <v>0.78243978243978252</v>
      </c>
      <c r="H8" s="233"/>
      <c r="J8" s="68"/>
    </row>
    <row r="10" spans="1:13" x14ac:dyDescent="0.2">
      <c r="E10" s="68"/>
      <c r="F10" s="68"/>
    </row>
  </sheetData>
  <sheetProtection password="A249" sheet="1" objects="1" scenarios="1"/>
  <conditionalFormatting sqref="H6:H8">
    <cfRule type="expression" dxfId="5" priority="1">
      <formula>IF(AND($H$5="Override",$I$6=""),TRUE,FALSE)</formula>
    </cfRule>
  </conditionalFormatting>
  <dataValidations count="2">
    <dataValidation type="decimal" allowBlank="1" showInputMessage="1" showErrorMessage="1" sqref="B6:C8" xr:uid="{00000000-0002-0000-1500-000000000000}">
      <formula1>0</formula1>
      <formula2>99</formula2>
    </dataValidation>
    <dataValidation type="decimal" allowBlank="1" showInputMessage="1" showErrorMessage="1" sqref="H6:H8" xr:uid="{00000000-0002-0000-1500-000001000000}">
      <formula1>0</formula1>
      <formula2>1</formula2>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2000000}">
          <x14:formula1>
            <xm:f>'Control sheet (hide)'!$E$19:$E$20</xm:f>
          </x14:formula1>
          <xm:sqref>E6:E8</xm:sqref>
        </x14:dataValidation>
        <x14:dataValidation type="list" allowBlank="1" showInputMessage="1" showErrorMessage="1" xr:uid="{00000000-0002-0000-1500-000003000000}">
          <x14:formula1>
            <xm:f>'Control sheet (hide)'!$H$13:$H$14</xm:f>
          </x14:formula1>
          <xm:sqref>H5</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dimension ref="A1:U61"/>
  <sheetViews>
    <sheetView showGridLines="0" showRowColHeaders="0" topLeftCell="A9" zoomScaleNormal="100" workbookViewId="0">
      <selection activeCell="B27" sqref="B27:C27"/>
    </sheetView>
  </sheetViews>
  <sheetFormatPr defaultRowHeight="14.25" x14ac:dyDescent="0.2"/>
  <cols>
    <col min="1" max="1" width="1.25" style="68" customWidth="1"/>
    <col min="2" max="2" width="12.375" customWidth="1"/>
    <col min="3" max="3" width="13.5" customWidth="1"/>
    <col min="4" max="5" width="10.5" customWidth="1"/>
    <col min="6" max="6" width="8.75" bestFit="1" customWidth="1"/>
    <col min="7" max="17" width="7.75" customWidth="1"/>
    <col min="18" max="20" width="9" customWidth="1"/>
    <col min="59" max="59" width="9" customWidth="1"/>
  </cols>
  <sheetData>
    <row r="1" spans="2:21" ht="15" x14ac:dyDescent="0.25">
      <c r="B1" s="147" t="s">
        <v>251</v>
      </c>
      <c r="C1" s="32"/>
      <c r="D1" s="32"/>
      <c r="E1" s="32"/>
      <c r="F1" s="32"/>
      <c r="G1" s="32"/>
      <c r="H1" s="32"/>
      <c r="I1" s="32"/>
      <c r="J1" s="32"/>
      <c r="K1" s="32"/>
      <c r="L1" s="32"/>
      <c r="M1" s="32"/>
      <c r="N1" s="32"/>
      <c r="O1" s="32"/>
      <c r="P1" s="32"/>
      <c r="Q1" s="32"/>
      <c r="R1" s="32"/>
      <c r="S1" s="32"/>
      <c r="T1" s="32"/>
      <c r="U1" s="32"/>
    </row>
    <row r="4" spans="2:21" ht="15" x14ac:dyDescent="0.2">
      <c r="B4" s="405" t="s">
        <v>889</v>
      </c>
      <c r="C4" s="405"/>
      <c r="D4" s="405"/>
      <c r="E4" s="405"/>
    </row>
    <row r="6" spans="2:21" ht="15" x14ac:dyDescent="0.25">
      <c r="B6" s="2" t="s">
        <v>306</v>
      </c>
    </row>
    <row r="7" spans="2:21" x14ac:dyDescent="0.2">
      <c r="B7" t="s">
        <v>492</v>
      </c>
      <c r="C7" s="155" t="s">
        <v>424</v>
      </c>
    </row>
    <row r="8" spans="2:21" x14ac:dyDescent="0.2">
      <c r="B8" t="s">
        <v>493</v>
      </c>
      <c r="C8" s="155" t="s">
        <v>19</v>
      </c>
    </row>
    <row r="12" spans="2:21" ht="15" x14ac:dyDescent="0.25">
      <c r="B12" s="341" t="s">
        <v>429</v>
      </c>
      <c r="C12" s="68"/>
    </row>
    <row r="13" spans="2:21" x14ac:dyDescent="0.2">
      <c r="B13" s="342"/>
    </row>
    <row r="17" spans="2:16" s="83" customFormat="1" ht="15" x14ac:dyDescent="0.25">
      <c r="B17" s="419" t="s">
        <v>954</v>
      </c>
    </row>
    <row r="18" spans="2:16" x14ac:dyDescent="0.2">
      <c r="B18" s="420" t="s">
        <v>22</v>
      </c>
    </row>
    <row r="23" spans="2:16" ht="15" x14ac:dyDescent="0.25">
      <c r="B23" s="2" t="s">
        <v>496</v>
      </c>
    </row>
    <row r="24" spans="2:16" x14ac:dyDescent="0.2">
      <c r="B24" s="163" t="s">
        <v>20</v>
      </c>
      <c r="D24" s="412" t="str">
        <f ca="1">"On aggregate, 1 patient = "&amp;TEXT('Demand background (hide)'!$BN$16,"#.#")&amp;" "&amp;Setup!$I$17</f>
        <v>On aggregate, 1 patient = 37. Minutes</v>
      </c>
      <c r="E24" s="412"/>
      <c r="F24" s="412"/>
      <c r="G24" s="412"/>
      <c r="H24" s="412"/>
      <c r="I24" s="412"/>
      <c r="J24" s="412"/>
      <c r="K24" s="412"/>
      <c r="P24" s="172" t="s">
        <v>503</v>
      </c>
    </row>
    <row r="26" spans="2:16" s="68" customFormat="1" x14ac:dyDescent="0.2"/>
    <row r="27" spans="2:16" s="68" customFormat="1" ht="15" x14ac:dyDescent="0.25">
      <c r="B27" s="406" t="s">
        <v>304</v>
      </c>
      <c r="C27" s="406"/>
      <c r="D27" s="286" t="s">
        <v>500</v>
      </c>
      <c r="E27" s="286" t="s">
        <v>130</v>
      </c>
    </row>
    <row r="28" spans="2:16" s="68" customFormat="1" x14ac:dyDescent="0.2">
      <c r="B28" s="407" t="s">
        <v>888</v>
      </c>
      <c r="C28" s="407"/>
      <c r="D28" s="281">
        <f ca="1">IFERROR('Summary Calculations (hide)'!N70,"")</f>
        <v>17.162263338543283</v>
      </c>
      <c r="E28" s="282" t="s">
        <v>502</v>
      </c>
      <c r="G28" s="231" t="str">
        <f ca="1">IF(D28&lt;&gt;"",IF(SUM(D32:D33)&lt;D28,"You need an additional "&amp;CEILING((D28-SUM(D32:D33)),1)&amp;IF($C$8="Patients"," slots",IF($C$8="Minutes"," minutes"," points"))&amp;" to meet the 85th percentile of demand. It may be advisable to review your capacity if you have an urgent, or very variable service.",""),"")</f>
        <v>You need an additional 6 slots to meet the 85th percentile of demand. It may be advisable to review your capacity if you have an urgent, or very variable service.</v>
      </c>
    </row>
    <row r="29" spans="2:16" s="68" customFormat="1" x14ac:dyDescent="0.2">
      <c r="B29" s="407" t="str">
        <f>"  Based on "&amp;Setup!$I$19&amp;"th percentile"</f>
        <v xml:space="preserve">  Based on 65th percentile</v>
      </c>
      <c r="C29" s="407"/>
      <c r="D29" s="281">
        <f ca="1">IFERROR('Summary Calculations (hide)'!M70,"")</f>
        <v>14.254500348202729</v>
      </c>
      <c r="E29" s="282" t="s">
        <v>502</v>
      </c>
      <c r="G29" s="280" t="str">
        <f ca="1">IF(D29&lt;&gt;"",IF(SUM(D32:D33)&lt;D29,"You need an additional "&amp;CEILING((D29-SUM(D32:D33)),1)&amp;IF($C$8="Patients"," slots",IF($C$8="Minutes"," minutes"," points"))&amp;" to meet the "&amp;Setup!$I$19&amp;"th percentile of demand. Your waiting list size is likely to increase over time.",""),"")</f>
        <v>You need an additional 3 slots to meet the 65th percentile of demand. Your waiting list size is likely to increase over time.</v>
      </c>
    </row>
    <row r="30" spans="2:16" s="68" customFormat="1" x14ac:dyDescent="0.2">
      <c r="B30" s="408" t="s">
        <v>506</v>
      </c>
      <c r="C30" s="409"/>
      <c r="D30" s="281">
        <f ca="1">IFERROR('Summary Calculations (hide)'!X70,"")</f>
        <v>12.794157157498374</v>
      </c>
      <c r="E30" s="281">
        <f ca="1">IFERROR('Summary Calculations (hide)'!X71,"")</f>
        <v>678.09032934741379</v>
      </c>
    </row>
    <row r="31" spans="2:16" s="68" customFormat="1" ht="15" x14ac:dyDescent="0.25">
      <c r="B31" s="146" t="s">
        <v>305</v>
      </c>
      <c r="C31" s="144"/>
    </row>
    <row r="32" spans="2:16" s="68" customFormat="1" x14ac:dyDescent="0.2">
      <c r="B32" s="410" t="s">
        <v>498</v>
      </c>
      <c r="C32" s="411"/>
      <c r="D32" s="281">
        <f ca="1">IFERROR('Summary Calculations (hide)'!R70,"")</f>
        <v>10.39230769230768</v>
      </c>
      <c r="E32" s="281">
        <f ca="1">IFERROR('Summary Calculations (hide)'!R71,"")</f>
        <v>550.79230769230708</v>
      </c>
      <c r="H32" s="5"/>
    </row>
    <row r="33" spans="2:21" s="68" customFormat="1" x14ac:dyDescent="0.2">
      <c r="B33" s="410" t="s">
        <v>499</v>
      </c>
      <c r="C33" s="411"/>
      <c r="D33" s="281">
        <f ca="1">IFERROR('Summary Calculations (hide)'!S70,"")</f>
        <v>1.7300435413642963</v>
      </c>
      <c r="E33" s="281">
        <f ca="1">IFERROR('Summary Calculations (hide)'!S71,"")</f>
        <v>91.692307692307708</v>
      </c>
    </row>
    <row r="34" spans="2:21" s="68" customFormat="1" ht="15" x14ac:dyDescent="0.25">
      <c r="B34" s="146" t="s">
        <v>937</v>
      </c>
    </row>
    <row r="35" spans="2:21" s="68" customFormat="1" x14ac:dyDescent="0.2">
      <c r="B35" s="410" t="s">
        <v>936</v>
      </c>
      <c r="C35" s="411"/>
      <c r="D35" s="281">
        <f ca="1">IFERROR('Summary Calculations (hide)'!V70,"")</f>
        <v>3.8000000000000029</v>
      </c>
      <c r="E35" s="281">
        <f ca="1">IFERROR('Summary Calculations (hide)'!V71,"")</f>
        <v>201.40000000000015</v>
      </c>
    </row>
    <row r="37" spans="2:21" x14ac:dyDescent="0.2">
      <c r="B37" s="32"/>
      <c r="C37" s="32"/>
      <c r="D37" s="32"/>
      <c r="E37" s="32"/>
      <c r="F37" s="32"/>
      <c r="G37" s="32"/>
      <c r="H37" s="32"/>
      <c r="I37" s="32"/>
      <c r="J37" s="32"/>
      <c r="K37" s="32"/>
      <c r="L37" s="32"/>
      <c r="M37" s="32"/>
      <c r="N37" s="32"/>
      <c r="O37" s="32"/>
      <c r="P37" s="32"/>
      <c r="Q37" s="32"/>
      <c r="R37" s="32"/>
      <c r="S37" s="32"/>
      <c r="T37" s="32"/>
      <c r="U37" s="32"/>
    </row>
    <row r="38" spans="2:21" ht="15" x14ac:dyDescent="0.2">
      <c r="B38" s="405" t="str">
        <f>"Current waiting list vs Estimated sustainable waiting list ("&amp;C8&amp;")"</f>
        <v>Current waiting list vs Estimated sustainable waiting list (Patients)</v>
      </c>
      <c r="C38" s="405"/>
      <c r="D38" s="405"/>
      <c r="E38" s="405"/>
      <c r="F38" s="405"/>
      <c r="G38" s="405"/>
      <c r="H38" s="405"/>
    </row>
    <row r="40" spans="2:21" ht="15" x14ac:dyDescent="0.25">
      <c r="B40" s="415" t="s">
        <v>492</v>
      </c>
      <c r="C40" s="415"/>
      <c r="D40" s="416" t="s">
        <v>251</v>
      </c>
      <c r="E40" s="416"/>
    </row>
    <row r="42" spans="2:21" x14ac:dyDescent="0.2">
      <c r="B42" s="414" t="s">
        <v>1149</v>
      </c>
      <c r="C42" s="414"/>
      <c r="D42" s="339">
        <v>0</v>
      </c>
    </row>
    <row r="43" spans="2:21" x14ac:dyDescent="0.2">
      <c r="B43" s="414" t="s">
        <v>1150</v>
      </c>
      <c r="C43" s="414"/>
      <c r="D43" s="339">
        <v>0</v>
      </c>
    </row>
    <row r="49" spans="2:4" x14ac:dyDescent="0.2">
      <c r="B49" s="139" t="s">
        <v>307</v>
      </c>
      <c r="C49" s="417">
        <f ca="1">'Parameters calculator (hide)'!H67</f>
        <v>60</v>
      </c>
      <c r="D49" s="417"/>
    </row>
    <row r="50" spans="2:4" x14ac:dyDescent="0.2">
      <c r="B50" s="140" t="s">
        <v>308</v>
      </c>
      <c r="C50" s="413" t="str">
        <f ca="1">IFERROR(TEXT('Parameters calculator (hide)'!H66,"#,#")&amp;" - "&amp;TEXT('Parameters calculator (hide)'!I66,"#,#"),"")</f>
        <v>43 - 47</v>
      </c>
      <c r="D50" s="413"/>
    </row>
    <row r="53" spans="2:4" x14ac:dyDescent="0.2">
      <c r="B53" s="21" t="s">
        <v>309</v>
      </c>
      <c r="C53" s="413" t="str">
        <f ca="1">IFERROR('Parameters calculator (hide)'!H69,"")</f>
        <v>0 - 17</v>
      </c>
      <c r="D53" s="413"/>
    </row>
    <row r="55" spans="2:4" x14ac:dyDescent="0.2">
      <c r="B55" s="348" t="s">
        <v>938</v>
      </c>
      <c r="C55" s="348"/>
    </row>
    <row r="57" spans="2:4" x14ac:dyDescent="0.2">
      <c r="B57" t="s">
        <v>939</v>
      </c>
    </row>
    <row r="58" spans="2:4" x14ac:dyDescent="0.2">
      <c r="B58" s="289"/>
      <c r="C58" t="s">
        <v>405</v>
      </c>
    </row>
    <row r="60" spans="2:4" x14ac:dyDescent="0.2">
      <c r="B60" t="s">
        <v>940</v>
      </c>
    </row>
    <row r="61" spans="2:4" x14ac:dyDescent="0.2">
      <c r="B61" s="287" t="str">
        <f ca="1">IF(OR(C53=0,B58=0,C53=""),"--",TEXT('Parameters calculator (hide)'!I71/B58,"#")&amp;" - "&amp;TEXT('Parameters calculator (hide)'!H71/B58,"#"))</f>
        <v>--</v>
      </c>
      <c r="C61" t="str">
        <f>LOWER(C8)&amp;" per week to clear in the time specified"</f>
        <v>patients per week to clear in the time specified</v>
      </c>
    </row>
  </sheetData>
  <sheetProtection algorithmName="SHA-512" hashValue="tigai7p0JX2WsXU6z2hpGhfdTBprtlVr6gvfKPZrrmmluY1mgV/gzAiFLclw636sk/uvHJ5dxSRb2WBV0dbH1A==" saltValue="3AgnVtUATWgR7ubUu1pNKg==" spinCount="100000" sheet="1" objects="1" scenarios="1"/>
  <mergeCells count="18">
    <mergeCell ref="C53:D53"/>
    <mergeCell ref="B42:C42"/>
    <mergeCell ref="B43:C43"/>
    <mergeCell ref="B40:C40"/>
    <mergeCell ref="B55:C55"/>
    <mergeCell ref="D40:E40"/>
    <mergeCell ref="C49:D49"/>
    <mergeCell ref="C50:D50"/>
    <mergeCell ref="B4:E4"/>
    <mergeCell ref="B38:H38"/>
    <mergeCell ref="B27:C27"/>
    <mergeCell ref="B28:C28"/>
    <mergeCell ref="B29:C29"/>
    <mergeCell ref="B30:C30"/>
    <mergeCell ref="B32:C32"/>
    <mergeCell ref="B33:C33"/>
    <mergeCell ref="B35:C35"/>
    <mergeCell ref="D24:K24"/>
  </mergeCells>
  <dataValidations count="2">
    <dataValidation type="date" operator="greaterThanOrEqual" allowBlank="1" showInputMessage="1" showErrorMessage="1" sqref="B13" xr:uid="{00000000-0002-0000-1600-000000000000}">
      <formula1>TODAY()</formula1>
    </dataValidation>
    <dataValidation type="list" allowBlank="1" showInputMessage="1" showErrorMessage="1" sqref="D40" xr:uid="{00000000-0002-0000-1600-000001000000}">
      <formula1>"Summary, Prediction Interval"</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72048" r:id="rId4" name="WL_Sim_Button">
              <controlPr defaultSize="0" print="0" autoFill="0" autoPict="0" macro="[0]!WaitingListPrediction">
                <anchor moveWithCells="1" sizeWithCells="1">
                  <from>
                    <xdr:col>2</xdr:col>
                    <xdr:colOff>723900</xdr:colOff>
                    <xdr:row>43</xdr:row>
                    <xdr:rowOff>142875</xdr:rowOff>
                  </from>
                  <to>
                    <xdr:col>4</xdr:col>
                    <xdr:colOff>276225</xdr:colOff>
                    <xdr:row>45</xdr:row>
                    <xdr:rowOff>19050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03641715-3A6D-4599-835F-652D697F9B9A}">
            <xm:f>IF(AND(Num_Modalities&gt;1,Setup!$I$17&lt;&gt;"Patients"),TRUE, FALSE)</xm:f>
            <x14:dxf>
              <font>
                <color theme="1"/>
              </font>
            </x14:dxf>
          </x14:cfRule>
          <xm:sqref>D24</xm:sqref>
        </x14:conditionalFormatting>
        <x14:conditionalFormatting xmlns:xm="http://schemas.microsoft.com/office/excel/2006/main">
          <x14:cfRule type="expression" priority="1" id="{54B3D961-32B7-4A16-BB8A-835512A91F26}">
            <xm:f>IF(OR(Setup!$I$13="Yes",Setup!$I$15="Yes"),FALSE,TRUE)</xm:f>
            <x14:dxf>
              <font>
                <color theme="0"/>
              </font>
              <border>
                <left/>
                <right/>
                <top/>
                <bottom/>
                <vertical/>
                <horizontal/>
              </border>
            </x14:dxf>
          </x14:cfRule>
          <xm:sqref>B17:B18</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1600-000002000000}">
          <x14:formula1>
            <xm:f>IF(Setup!$I$17="Patients",'Control sheet (hide)'!$E$2,IF(Setup!$I$17="Minutes",'Control sheet (hide)'!$E$9:$E$10,'Control sheet (hide)'!$E$6:$E$7))</xm:f>
          </x14:formula1>
          <xm:sqref>C8</xm:sqref>
        </x14:dataValidation>
        <x14:dataValidation type="list" allowBlank="1" showInputMessage="1" showErrorMessage="1" xr:uid="{00000000-0002-0000-1600-000003000000}">
          <x14:formula1>
            <xm:f>'Control sheet (hide)'!$E$22:$E$23</xm:f>
          </x14:formula1>
          <xm:sqref>C7</xm:sqref>
        </x14:dataValidation>
        <x14:dataValidation type="list" allowBlank="1" showInputMessage="1" showErrorMessage="1" xr:uid="{00000000-0002-0000-1600-000004000000}">
          <x14:formula1>
            <xm:f>'Control sheet (hide)'!$C$6:$C$7</xm:f>
          </x14:formula1>
          <xm:sqref>B18</xm:sqref>
        </x14:dataValidation>
        <x14:dataValidation type="list" allowBlank="1" showInputMessage="1" showErrorMessage="1" xr:uid="{00000000-0002-0000-1600-000005000000}">
          <x14:formula1>
            <xm:f>'Control sheet (hide)'!$C$3:$C$4</xm:f>
          </x14:formula1>
          <xm:sqref>B24</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A28:L73"/>
  <sheetViews>
    <sheetView topLeftCell="A13" workbookViewId="0">
      <selection activeCell="D32" sqref="D32"/>
    </sheetView>
  </sheetViews>
  <sheetFormatPr defaultRowHeight="14.25" x14ac:dyDescent="0.2"/>
  <cols>
    <col min="1" max="1" width="32.875" customWidth="1"/>
  </cols>
  <sheetData>
    <row r="28" spans="1:12" x14ac:dyDescent="0.2">
      <c r="A28" t="s">
        <v>890</v>
      </c>
      <c r="J28" t="s">
        <v>947</v>
      </c>
    </row>
    <row r="30" spans="1:12" x14ac:dyDescent="0.2">
      <c r="A30" t="s">
        <v>395</v>
      </c>
      <c r="B30" t="s">
        <v>891</v>
      </c>
      <c r="J30" t="s">
        <v>948</v>
      </c>
      <c r="K30" t="s">
        <v>395</v>
      </c>
      <c r="L30" t="s">
        <v>891</v>
      </c>
    </row>
    <row r="31" spans="1:12" x14ac:dyDescent="0.2">
      <c r="A31" t="s">
        <v>11</v>
      </c>
      <c r="B31" t="s">
        <v>933</v>
      </c>
      <c r="J31" t="s">
        <v>949</v>
      </c>
      <c r="K31" t="s">
        <v>99</v>
      </c>
      <c r="L31" t="s">
        <v>943</v>
      </c>
    </row>
    <row r="32" spans="1:12" x14ac:dyDescent="0.2">
      <c r="A32" t="s">
        <v>51</v>
      </c>
      <c r="B32" t="s">
        <v>892</v>
      </c>
      <c r="J32" t="s">
        <v>951</v>
      </c>
      <c r="K32" t="s">
        <v>392</v>
      </c>
      <c r="L32" t="s">
        <v>944</v>
      </c>
    </row>
    <row r="33" spans="1:12" x14ac:dyDescent="0.2">
      <c r="A33" s="68" t="s">
        <v>51</v>
      </c>
      <c r="B33" t="s">
        <v>893</v>
      </c>
      <c r="J33" t="s">
        <v>950</v>
      </c>
      <c r="K33" t="s">
        <v>394</v>
      </c>
      <c r="L33" t="s">
        <v>945</v>
      </c>
    </row>
    <row r="34" spans="1:12" x14ac:dyDescent="0.2">
      <c r="A34" s="68" t="s">
        <v>51</v>
      </c>
      <c r="B34" t="s">
        <v>894</v>
      </c>
      <c r="J34" t="s">
        <v>952</v>
      </c>
      <c r="K34" t="s">
        <v>394</v>
      </c>
      <c r="L34" t="s">
        <v>946</v>
      </c>
    </row>
    <row r="35" spans="1:12" x14ac:dyDescent="0.2">
      <c r="A35" s="68" t="s">
        <v>51</v>
      </c>
      <c r="B35" t="s">
        <v>895</v>
      </c>
    </row>
    <row r="36" spans="1:12" x14ac:dyDescent="0.2">
      <c r="A36" s="68" t="s">
        <v>51</v>
      </c>
      <c r="B36" t="s">
        <v>896</v>
      </c>
    </row>
    <row r="37" spans="1:12" x14ac:dyDescent="0.2">
      <c r="A37" s="68" t="s">
        <v>51</v>
      </c>
      <c r="B37" t="s">
        <v>897</v>
      </c>
    </row>
    <row r="38" spans="1:12" x14ac:dyDescent="0.2">
      <c r="A38" s="68" t="s">
        <v>51</v>
      </c>
      <c r="B38" t="s">
        <v>898</v>
      </c>
    </row>
    <row r="39" spans="1:12" x14ac:dyDescent="0.2">
      <c r="A39" s="68" t="s">
        <v>51</v>
      </c>
      <c r="B39" t="s">
        <v>899</v>
      </c>
    </row>
    <row r="40" spans="1:12" x14ac:dyDescent="0.2">
      <c r="A40" t="s">
        <v>51</v>
      </c>
      <c r="B40" t="s">
        <v>900</v>
      </c>
    </row>
    <row r="41" spans="1:12" x14ac:dyDescent="0.2">
      <c r="A41" t="s">
        <v>51</v>
      </c>
      <c r="B41" t="s">
        <v>901</v>
      </c>
    </row>
    <row r="42" spans="1:12" x14ac:dyDescent="0.2">
      <c r="A42" t="s">
        <v>99</v>
      </c>
      <c r="B42" t="s">
        <v>902</v>
      </c>
    </row>
    <row r="43" spans="1:12" x14ac:dyDescent="0.2">
      <c r="A43" t="s">
        <v>99</v>
      </c>
      <c r="B43" t="s">
        <v>903</v>
      </c>
    </row>
    <row r="44" spans="1:12" x14ac:dyDescent="0.2">
      <c r="A44" t="s">
        <v>905</v>
      </c>
      <c r="B44" t="s">
        <v>1185</v>
      </c>
    </row>
    <row r="45" spans="1:12" x14ac:dyDescent="0.2">
      <c r="A45" t="s">
        <v>391</v>
      </c>
      <c r="B45" t="s">
        <v>906</v>
      </c>
    </row>
    <row r="46" spans="1:12" x14ac:dyDescent="0.2">
      <c r="A46" t="s">
        <v>391</v>
      </c>
      <c r="B46" t="s">
        <v>907</v>
      </c>
    </row>
    <row r="47" spans="1:12" x14ac:dyDescent="0.2">
      <c r="A47" t="s">
        <v>391</v>
      </c>
      <c r="B47" t="s">
        <v>388</v>
      </c>
    </row>
    <row r="48" spans="1:12" x14ac:dyDescent="0.2">
      <c r="A48" t="s">
        <v>391</v>
      </c>
      <c r="B48" t="s">
        <v>908</v>
      </c>
    </row>
    <row r="49" spans="1:2" x14ac:dyDescent="0.2">
      <c r="A49" t="s">
        <v>391</v>
      </c>
      <c r="B49" t="s">
        <v>909</v>
      </c>
    </row>
    <row r="50" spans="1:2" x14ac:dyDescent="0.2">
      <c r="A50" t="s">
        <v>392</v>
      </c>
      <c r="B50" t="s">
        <v>902</v>
      </c>
    </row>
    <row r="51" spans="1:2" x14ac:dyDescent="0.2">
      <c r="A51" t="s">
        <v>392</v>
      </c>
      <c r="B51" t="s">
        <v>910</v>
      </c>
    </row>
    <row r="52" spans="1:2" x14ac:dyDescent="0.2">
      <c r="A52" t="s">
        <v>393</v>
      </c>
      <c r="B52" t="s">
        <v>911</v>
      </c>
    </row>
    <row r="53" spans="1:2" x14ac:dyDescent="0.2">
      <c r="A53" t="s">
        <v>393</v>
      </c>
      <c r="B53" t="s">
        <v>912</v>
      </c>
    </row>
    <row r="54" spans="1:2" x14ac:dyDescent="0.2">
      <c r="A54" t="s">
        <v>913</v>
      </c>
      <c r="B54" t="s">
        <v>914</v>
      </c>
    </row>
    <row r="55" spans="1:2" x14ac:dyDescent="0.2">
      <c r="A55" t="s">
        <v>915</v>
      </c>
      <c r="B55" t="s">
        <v>916</v>
      </c>
    </row>
    <row r="56" spans="1:2" x14ac:dyDescent="0.2">
      <c r="A56" s="68" t="s">
        <v>394</v>
      </c>
      <c r="B56" s="68" t="s">
        <v>918</v>
      </c>
    </row>
    <row r="57" spans="1:2" x14ac:dyDescent="0.2">
      <c r="A57" t="s">
        <v>394</v>
      </c>
      <c r="B57" t="s">
        <v>917</v>
      </c>
    </row>
    <row r="58" spans="1:2" x14ac:dyDescent="0.2">
      <c r="A58" t="s">
        <v>480</v>
      </c>
      <c r="B58" t="s">
        <v>911</v>
      </c>
    </row>
    <row r="59" spans="1:2" x14ac:dyDescent="0.2">
      <c r="A59" s="68" t="s">
        <v>480</v>
      </c>
      <c r="B59" t="s">
        <v>917</v>
      </c>
    </row>
    <row r="60" spans="1:2" x14ac:dyDescent="0.2">
      <c r="A60" s="68" t="s">
        <v>480</v>
      </c>
      <c r="B60" t="s">
        <v>919</v>
      </c>
    </row>
    <row r="61" spans="1:2" x14ac:dyDescent="0.2">
      <c r="A61" s="68" t="s">
        <v>480</v>
      </c>
      <c r="B61" t="s">
        <v>920</v>
      </c>
    </row>
    <row r="62" spans="1:2" x14ac:dyDescent="0.2">
      <c r="A62" t="s">
        <v>921</v>
      </c>
      <c r="B62" t="s">
        <v>922</v>
      </c>
    </row>
    <row r="63" spans="1:2" x14ac:dyDescent="0.2">
      <c r="A63" t="s">
        <v>921</v>
      </c>
      <c r="B63" t="s">
        <v>923</v>
      </c>
    </row>
    <row r="64" spans="1:2" x14ac:dyDescent="0.2">
      <c r="A64" t="s">
        <v>921</v>
      </c>
      <c r="B64" t="s">
        <v>924</v>
      </c>
    </row>
    <row r="65" spans="1:2" x14ac:dyDescent="0.2">
      <c r="A65" t="s">
        <v>251</v>
      </c>
      <c r="B65" t="s">
        <v>925</v>
      </c>
    </row>
    <row r="66" spans="1:2" x14ac:dyDescent="0.2">
      <c r="A66" t="s">
        <v>251</v>
      </c>
      <c r="B66" t="s">
        <v>927</v>
      </c>
    </row>
    <row r="67" spans="1:2" x14ac:dyDescent="0.2">
      <c r="A67" s="68" t="s">
        <v>251</v>
      </c>
      <c r="B67" t="s">
        <v>926</v>
      </c>
    </row>
    <row r="68" spans="1:2" x14ac:dyDescent="0.2">
      <c r="A68" t="s">
        <v>513</v>
      </c>
      <c r="B68" t="s">
        <v>931</v>
      </c>
    </row>
    <row r="69" spans="1:2" x14ac:dyDescent="0.2">
      <c r="A69" t="s">
        <v>513</v>
      </c>
      <c r="B69" t="s">
        <v>902</v>
      </c>
    </row>
    <row r="70" spans="1:2" x14ac:dyDescent="0.2">
      <c r="A70" t="s">
        <v>513</v>
      </c>
      <c r="B70" t="s">
        <v>932</v>
      </c>
    </row>
    <row r="71" spans="1:2" x14ac:dyDescent="0.2">
      <c r="A71" t="s">
        <v>513</v>
      </c>
      <c r="B71" t="s">
        <v>928</v>
      </c>
    </row>
    <row r="72" spans="1:2" x14ac:dyDescent="0.2">
      <c r="A72" t="s">
        <v>513</v>
      </c>
      <c r="B72" t="s">
        <v>929</v>
      </c>
    </row>
    <row r="73" spans="1:2" x14ac:dyDescent="0.2">
      <c r="A73" s="68" t="s">
        <v>513</v>
      </c>
      <c r="B73" t="s">
        <v>930</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6"/>
  <dimension ref="A1:X72"/>
  <sheetViews>
    <sheetView workbookViewId="0">
      <selection activeCell="U67" sqref="U67"/>
    </sheetView>
  </sheetViews>
  <sheetFormatPr defaultRowHeight="14.25" x14ac:dyDescent="0.2"/>
  <cols>
    <col min="1" max="1" width="12.375" style="68" customWidth="1"/>
    <col min="3" max="3" width="9" style="68"/>
    <col min="5" max="5" width="9.875" bestFit="1" customWidth="1"/>
    <col min="7" max="7" width="18.5" bestFit="1" customWidth="1"/>
    <col min="8" max="8" width="15.625" bestFit="1" customWidth="1"/>
    <col min="11" max="12" width="9.75" style="68" customWidth="1"/>
    <col min="22" max="22" width="9" hidden="1" customWidth="1"/>
  </cols>
  <sheetData>
    <row r="1" spans="1:24" x14ac:dyDescent="0.2">
      <c r="A1" s="68" t="s">
        <v>490</v>
      </c>
      <c r="D1" t="s">
        <v>422</v>
      </c>
    </row>
    <row r="2" spans="1:24" x14ac:dyDescent="0.2">
      <c r="A2" s="83" t="str">
        <f>"Required vs available capacity by week ("&amp;Summary!$C$8&amp;")"</f>
        <v>Required vs available capacity by week (Patients)</v>
      </c>
    </row>
    <row r="3" spans="1:24" x14ac:dyDescent="0.2">
      <c r="E3" t="s">
        <v>246</v>
      </c>
      <c r="F3" t="s">
        <v>247</v>
      </c>
      <c r="H3" t="s">
        <v>252</v>
      </c>
      <c r="J3" t="s">
        <v>879</v>
      </c>
      <c r="L3" s="68" t="s">
        <v>1166</v>
      </c>
    </row>
    <row r="4" spans="1:24" x14ac:dyDescent="0.2">
      <c r="D4" t="s">
        <v>241</v>
      </c>
      <c r="E4">
        <f>IFERROR('SPC background (hide)'!C4,"")</f>
        <v>99</v>
      </c>
      <c r="F4">
        <f ca="1">'SPC background (hide)'!G5+'Summary Calculations (hide)'!E4-1</f>
        <v>150</v>
      </c>
      <c r="H4" t="s">
        <v>77</v>
      </c>
      <c r="I4" s="101">
        <f ca="1">'Parameters calculator (hide)'!B43</f>
        <v>1.0999999999999999E-2</v>
      </c>
      <c r="J4">
        <f ca="1">IF(Planning!C15="",'Summary Calculations (hide)'!I4,Planning!C15)</f>
        <v>1.0999999999999999E-2</v>
      </c>
      <c r="L4" s="68">
        <f ca="1">(1-J4)*(1-J5+(J6*J7))</f>
        <v>0.955885304870568</v>
      </c>
    </row>
    <row r="5" spans="1:24" x14ac:dyDescent="0.2">
      <c r="D5" t="s">
        <v>242</v>
      </c>
      <c r="E5" t="str">
        <f ca="1">IFERROR('SPC background (hide)'!D6,"")</f>
        <v/>
      </c>
      <c r="F5" t="e">
        <f ca="1">'SPC background (hide)'!H7+'Summary Calculations (hide)'!E5-1</f>
        <v>#VALUE!</v>
      </c>
      <c r="H5" t="s">
        <v>253</v>
      </c>
      <c r="I5" s="101">
        <f ca="1">'Parameters calculator (hide)'!B44</f>
        <v>0.1134830082198503</v>
      </c>
      <c r="J5" s="68">
        <f ca="1">IF(Planning!C16="",'Summary Calculations (hide)'!I5,Planning!C16)</f>
        <v>0.1134830082198503</v>
      </c>
    </row>
    <row r="6" spans="1:24" x14ac:dyDescent="0.2">
      <c r="D6" t="s">
        <v>243</v>
      </c>
      <c r="E6" t="str">
        <f ca="1">IFERROR('SPC background (hide)'!D8,"")</f>
        <v/>
      </c>
      <c r="F6" t="str">
        <f ca="1">IFERROR('SPC background (hide)'!H9-'Summary Calculations (hide)'!E6-1,"")</f>
        <v/>
      </c>
      <c r="H6" t="s">
        <v>101</v>
      </c>
      <c r="I6" s="101">
        <f ca="1">'Parameters calculator (hide)'!B45</f>
        <v>9.9999999999999992E-2</v>
      </c>
      <c r="J6" s="68">
        <f ca="1">IF(Planning!C17="",'Summary Calculations (hide)'!I6,Planning!C17)</f>
        <v>9.9999999999999992E-2</v>
      </c>
    </row>
    <row r="7" spans="1:24" x14ac:dyDescent="0.2">
      <c r="D7" t="s">
        <v>244</v>
      </c>
      <c r="E7" t="str">
        <f ca="1">IFERROR('SPC background (hide)'!D10,"")</f>
        <v/>
      </c>
      <c r="F7" t="str">
        <f ca="1">IFERROR('SPC background (hide)'!H11-'Summary Calculations (hide)'!E7-1,"")</f>
        <v/>
      </c>
      <c r="H7" t="s">
        <v>421</v>
      </c>
      <c r="I7" s="101">
        <f ca="1">'Parameters calculator (hide)'!B47</f>
        <v>0.8</v>
      </c>
      <c r="J7" s="68">
        <f ca="1">IF(Planning!C18="",'Summary Calculations (hide)'!I7,1-Planning!C18)</f>
        <v>0.8</v>
      </c>
    </row>
    <row r="9" spans="1:24" x14ac:dyDescent="0.2">
      <c r="H9" t="s">
        <v>425</v>
      </c>
      <c r="I9" s="5">
        <f ca="1">'Demand background (hide)'!BN16</f>
        <v>36.982758620689658</v>
      </c>
    </row>
    <row r="11" spans="1:24" x14ac:dyDescent="0.2">
      <c r="D11" t="s">
        <v>245</v>
      </c>
      <c r="E11" s="88">
        <f ca="1">IF(Summary!$B$13="",'Critical resources (hide)'!B6,Summary!$B$13)</f>
        <v>43584</v>
      </c>
    </row>
    <row r="12" spans="1:24" x14ac:dyDescent="0.2">
      <c r="P12" t="s">
        <v>414</v>
      </c>
      <c r="R12" t="str">
        <f>"Required vs available capacity ("&amp;LOWER(Summary!$C$8)&amp;")"</f>
        <v>Required vs available capacity (patients)</v>
      </c>
      <c r="X12" t="s">
        <v>501</v>
      </c>
    </row>
    <row r="13" spans="1:24" x14ac:dyDescent="0.2">
      <c r="E13" t="s">
        <v>99</v>
      </c>
      <c r="G13" s="63"/>
      <c r="H13" s="63"/>
      <c r="I13" t="s">
        <v>305</v>
      </c>
      <c r="K13" s="68" t="s">
        <v>412</v>
      </c>
      <c r="M13" t="s">
        <v>304</v>
      </c>
      <c r="P13" s="68" t="s">
        <v>305</v>
      </c>
      <c r="Q13" s="68"/>
      <c r="R13" s="68" t="s">
        <v>412</v>
      </c>
      <c r="S13" s="68"/>
      <c r="T13" s="68" t="s">
        <v>304</v>
      </c>
      <c r="U13" s="68"/>
      <c r="X13" t="s">
        <v>158</v>
      </c>
    </row>
    <row r="14" spans="1:24" x14ac:dyDescent="0.2">
      <c r="A14" s="68" t="s">
        <v>431</v>
      </c>
      <c r="B14" t="s">
        <v>130</v>
      </c>
      <c r="C14" s="68" t="s">
        <v>430</v>
      </c>
      <c r="D14" t="s">
        <v>250</v>
      </c>
      <c r="E14" t="s">
        <v>167</v>
      </c>
      <c r="F14" t="s">
        <v>168</v>
      </c>
      <c r="G14" t="s">
        <v>248</v>
      </c>
      <c r="H14" t="s">
        <v>249</v>
      </c>
      <c r="I14" t="s">
        <v>483</v>
      </c>
      <c r="J14" t="s">
        <v>484</v>
      </c>
      <c r="K14" s="68" t="s">
        <v>483</v>
      </c>
      <c r="L14" s="68" t="s">
        <v>484</v>
      </c>
      <c r="M14" t="s">
        <v>167</v>
      </c>
      <c r="N14" t="s">
        <v>168</v>
      </c>
      <c r="P14" s="68" t="s">
        <v>483</v>
      </c>
      <c r="Q14" s="68" t="s">
        <v>484</v>
      </c>
      <c r="R14" s="68" t="s">
        <v>483</v>
      </c>
      <c r="S14" s="68" t="s">
        <v>484</v>
      </c>
      <c r="T14" s="68" t="s">
        <v>167</v>
      </c>
      <c r="U14" s="68" t="s">
        <v>168</v>
      </c>
      <c r="V14" t="s">
        <v>438</v>
      </c>
    </row>
    <row r="15" spans="1:24" x14ac:dyDescent="0.2">
      <c r="A15" s="88">
        <f ca="1">E11-WEEKDAY(E11,3)</f>
        <v>43584</v>
      </c>
      <c r="B15">
        <f ca="1">YEAR(A15)</f>
        <v>2019</v>
      </c>
      <c r="C15" s="68" t="str">
        <f ca="1">TEXT(A15,"MMM")</f>
        <v>Apr</v>
      </c>
      <c r="D15">
        <f ca="1">WEEKNUM(A15,21)</f>
        <v>18</v>
      </c>
      <c r="E15" s="5">
        <f ca="1">VLOOKUP($D15,'SPC background (hide)'!$AG$2:$AS$54,12,0)</f>
        <v>551.5</v>
      </c>
      <c r="F15" s="5">
        <f ca="1">VLOOKUP($D15,'SPC background (hide)'!$AG$2:$AS$54,13,0)</f>
        <v>664</v>
      </c>
      <c r="G15" s="5" t="str">
        <f>IF(Setup!$I$15="Yes",VLOOKUP(D15,'SPC background (hide)'!$AG$2:$AT$54,14,0)/IF(Summary!$C$8="Patients",'Summary Calculations (hide)'!$I$9,1),"")</f>
        <v/>
      </c>
      <c r="H15">
        <f ca="1">IF(Setup!$I$13="Yes",'Planned background (hide)'!$V$23/IF(Summary!$C$8="Patients",'Summary Calculations (hide)'!$I$9,1),"")</f>
        <v>3.8</v>
      </c>
      <c r="I15" s="5">
        <f ca="1">HLOOKUP(D15,'Capacity calculation (hide)'!$BK$3:$DJ$4,2,0)</f>
        <v>14.192307692307693</v>
      </c>
      <c r="J15" s="5">
        <f ca="1">HLOOKUP(D15,'Capacity calculation (hide)'!$BK$110:$DJ$111,2,0)</f>
        <v>0</v>
      </c>
      <c r="K15" s="5">
        <f ca="1">IF(I15-IF(Setup!$I$15="Yes",$G15,0)-IF(Setup!$I$13="Yes",$H15,0)&lt;0,0,I15-IF(Setup!$I$15="Yes",$G15,0)-IF(Setup!$I$13="Yes",$H15,0))</f>
        <v>10.392307692307693</v>
      </c>
      <c r="L15" s="5">
        <f ca="1">J15</f>
        <v>0</v>
      </c>
      <c r="M15" s="5">
        <f ca="1">(E15*(1-'Parameters calculator (hide)'!$B$43))*(1-'Parameters calculator (hide)'!$B$44+('Parameters calculator (hide)'!$B$45*'Parameters calculator (hide)'!$B$47))</f>
        <v>527.17074563611823</v>
      </c>
      <c r="N15" s="5">
        <f ca="1">(F15*(1-'Parameters calculator (hide)'!$B$43))*(1-'Parameters calculator (hide)'!$B$44+('Parameters calculator (hide)'!$B$45*'Parameters calculator (hide)'!$B$47))</f>
        <v>634.70784243405717</v>
      </c>
      <c r="P15" s="5">
        <f ca="1">I15</f>
        <v>14.192307692307693</v>
      </c>
      <c r="Q15" s="5">
        <f ca="1">J15</f>
        <v>0</v>
      </c>
      <c r="R15" s="5">
        <f ca="1">IF(P15-V15&lt;0,0,P15-V15)</f>
        <v>10.392307692307693</v>
      </c>
      <c r="S15" s="5">
        <f ca="1">IF(R15=0,IF(P15+Q15-V15&lt;0,0,P15+Q15-V15),Q15)</f>
        <v>0</v>
      </c>
      <c r="T15" s="5">
        <f ca="1">M15/IF(Summary!$C$8&lt;&gt;"Patients",1,$I$9)</f>
        <v>14.254500348202729</v>
      </c>
      <c r="U15" s="5">
        <f ca="1">(IF(N15-M15=0,0.1,N15-M15)/IF(Summary!$C$8&lt;&gt;"Patients",1,$I$9))</f>
        <v>2.9077629903405398</v>
      </c>
      <c r="V15" s="5">
        <f ca="1">SUM(G15:H15)</f>
        <v>3.8</v>
      </c>
      <c r="X15" s="5">
        <f ca="1">(VLOOKUP(D15,'SPC background (hide)'!$AG$2:$AN$54,8,0)/IF(Summary!$C$8&lt;&gt;"Patients",1,$I$9))*(1-$I$4)*(1-$I$5+($I$6*$I$7))</f>
        <v>12.794157157498368</v>
      </c>
    </row>
    <row r="16" spans="1:24" x14ac:dyDescent="0.2">
      <c r="A16" s="88">
        <f ca="1">A15+7</f>
        <v>43591</v>
      </c>
      <c r="B16" s="68" t="str">
        <f t="shared" ref="B16:B47" ca="1" si="0">IF(YEAR(A16)&lt;&gt;YEAR(A15),YEAR(A16),"")</f>
        <v/>
      </c>
      <c r="C16" s="68" t="str">
        <f ca="1">IF(TEXT(A16,"MMM")&lt;&gt;TEXT(A15,"MMM"),TEXT(A16,"MMM"),"")</f>
        <v>May</v>
      </c>
      <c r="D16" s="68">
        <f t="shared" ref="D16:D66" ca="1" si="1">WEEKNUM(A16,21)</f>
        <v>19</v>
      </c>
      <c r="E16" s="5">
        <f ca="1">VLOOKUP($D16,'SPC background (hide)'!$AG$2:$AS$54,12,0)</f>
        <v>551.5</v>
      </c>
      <c r="F16" s="5">
        <f ca="1">VLOOKUP($D16,'SPC background (hide)'!$AG$2:$AS$54,13,0)</f>
        <v>664</v>
      </c>
      <c r="G16" s="5" t="str">
        <f>IF(Setup!$I$15="Yes",VLOOKUP(D16,'SPC background (hide)'!$AG$2:$AT$54,14,0)/IF(Summary!$C$8="Patients",'Summary Calculations (hide)'!$I$9,1),"")</f>
        <v/>
      </c>
      <c r="H16" s="68">
        <f ca="1">IF(Setup!$I$13="Yes",'Planned background (hide)'!$V$23/IF(Summary!$C$8="Patients",'Summary Calculations (hide)'!$I$9,1),"")</f>
        <v>3.8</v>
      </c>
      <c r="I16" s="5">
        <f ca="1">HLOOKUP(D16,'Capacity calculation (hide)'!$BK$3:$DJ$4,2,0)</f>
        <v>14.192307692307693</v>
      </c>
      <c r="J16" s="5">
        <f ca="1">HLOOKUP(D16,'Capacity calculation (hide)'!$BK$110:$DJ$111,2,0)</f>
        <v>4</v>
      </c>
      <c r="K16" s="5">
        <f ca="1">IF(I16-IF(Setup!$I$15="Yes",$G16,0)-IF(Setup!$I$13="Yes",$H16,0)&lt;0,0,I16-IF(Setup!$I$15="Yes",$G16,0)-IF(Setup!$I$13="Yes",$H16,0))</f>
        <v>10.392307692307693</v>
      </c>
      <c r="L16" s="5">
        <f t="shared" ref="L16:L66" ca="1" si="2">J16</f>
        <v>4</v>
      </c>
      <c r="M16" s="5">
        <f ca="1">(E16*(1-'Parameters calculator (hide)'!$B$43))*(1-'Parameters calculator (hide)'!$B$44+('Parameters calculator (hide)'!$B$45*'Parameters calculator (hide)'!$B$47))</f>
        <v>527.17074563611823</v>
      </c>
      <c r="N16" s="5">
        <f ca="1">(F16*(1-'Parameters calculator (hide)'!$B$43))*(1-'Parameters calculator (hide)'!$B$44+('Parameters calculator (hide)'!$B$45*'Parameters calculator (hide)'!$B$47))</f>
        <v>634.70784243405717</v>
      </c>
      <c r="P16" s="5">
        <f t="shared" ref="P16:P66" ca="1" si="3">I16</f>
        <v>14.192307692307693</v>
      </c>
      <c r="Q16" s="5">
        <f t="shared" ref="Q16:Q66" ca="1" si="4">J16</f>
        <v>4</v>
      </c>
      <c r="R16" s="5">
        <f t="shared" ref="R16:R66" ca="1" si="5">IF(P16-V16&lt;0,0,P16-V16)</f>
        <v>10.392307692307693</v>
      </c>
      <c r="S16" s="5">
        <f t="shared" ref="S16:S66" ca="1" si="6">IF(R16=0,IF(P16+Q16-V16&lt;0,0,P16+Q16-V16),Q16)</f>
        <v>4</v>
      </c>
      <c r="T16" s="5">
        <f ca="1">M16/IF(Summary!$C$8&lt;&gt;"Patients",1,$I$9)</f>
        <v>14.254500348202729</v>
      </c>
      <c r="U16" s="5">
        <f ca="1">(IF(N16-M16=0,0.1,N16-M16)/IF(Summary!$C$8&lt;&gt;"Patients",1,$I$9))</f>
        <v>2.9077629903405398</v>
      </c>
      <c r="V16" s="5">
        <f t="shared" ref="V16:V66" ca="1" si="7">SUM(G16:H16)</f>
        <v>3.8</v>
      </c>
      <c r="X16" s="5">
        <f ca="1">(VLOOKUP(D16,'SPC background (hide)'!$AG$2:$AN$54,8,0)/IF(Summary!$C$8&lt;&gt;"Patients",1,$I$9))*(1-$I$4)*(1-$I$5+($I$6*$I$7))</f>
        <v>12.794157157498368</v>
      </c>
    </row>
    <row r="17" spans="1:24" x14ac:dyDescent="0.2">
      <c r="A17" s="88">
        <f t="shared" ref="A17:A67" ca="1" si="8">A16+7</f>
        <v>43598</v>
      </c>
      <c r="B17" s="68" t="str">
        <f t="shared" ca="1" si="0"/>
        <v/>
      </c>
      <c r="C17" s="68" t="str">
        <f t="shared" ref="C17:C65" ca="1" si="9">IF(TEXT(A17,"MMM")&lt;&gt;TEXT(A16,"MMM"),TEXT(A17,"MMM"),"")</f>
        <v/>
      </c>
      <c r="D17" s="68">
        <f t="shared" ca="1" si="1"/>
        <v>20</v>
      </c>
      <c r="E17" s="5">
        <f ca="1">VLOOKUP($D17,'SPC background (hide)'!$AG$2:$AS$54,12,0)</f>
        <v>551.5</v>
      </c>
      <c r="F17" s="5">
        <f ca="1">VLOOKUP($D17,'SPC background (hide)'!$AG$2:$AS$54,13,0)</f>
        <v>664</v>
      </c>
      <c r="G17" s="5" t="str">
        <f>IF(Setup!$I$15="Yes",VLOOKUP(D17,'SPC background (hide)'!$AG$2:$AT$54,14,0)/IF(Summary!$C$8="Patients",'Summary Calculations (hide)'!$I$9,1),"")</f>
        <v/>
      </c>
      <c r="H17" s="68">
        <f ca="1">IF(Setup!$I$13="Yes",'Planned background (hide)'!$V$23/IF(Summary!$C$8="Patients",'Summary Calculations (hide)'!$I$9,1),"")</f>
        <v>3.8</v>
      </c>
      <c r="I17" s="5">
        <f ca="1">HLOOKUP(D17,'Capacity calculation (hide)'!$BK$3:$DJ$4,2,0)</f>
        <v>14.192307692307693</v>
      </c>
      <c r="J17" s="5">
        <f ca="1">HLOOKUP(D17,'Capacity calculation (hide)'!$BK$110:$DJ$111,2,0)</f>
        <v>0</v>
      </c>
      <c r="K17" s="5">
        <f ca="1">IF(I17-IF(Setup!$I$15="Yes",$G17,0)-IF(Setup!$I$13="Yes",$H17,0)&lt;0,0,I17-IF(Setup!$I$15="Yes",$G17,0)-IF(Setup!$I$13="Yes",$H17,0))</f>
        <v>10.392307692307693</v>
      </c>
      <c r="L17" s="5">
        <f t="shared" ca="1" si="2"/>
        <v>0</v>
      </c>
      <c r="M17" s="5">
        <f ca="1">(E17*(1-'Parameters calculator (hide)'!$B$43))*(1-'Parameters calculator (hide)'!$B$44+('Parameters calculator (hide)'!$B$45*'Parameters calculator (hide)'!$B$47))</f>
        <v>527.17074563611823</v>
      </c>
      <c r="N17" s="5">
        <f ca="1">(F17*(1-'Parameters calculator (hide)'!$B$43))*(1-'Parameters calculator (hide)'!$B$44+('Parameters calculator (hide)'!$B$45*'Parameters calculator (hide)'!$B$47))</f>
        <v>634.70784243405717</v>
      </c>
      <c r="P17" s="5">
        <f t="shared" ca="1" si="3"/>
        <v>14.192307692307693</v>
      </c>
      <c r="Q17" s="5">
        <f t="shared" ca="1" si="4"/>
        <v>0</v>
      </c>
      <c r="R17" s="5">
        <f t="shared" ca="1" si="5"/>
        <v>10.392307692307693</v>
      </c>
      <c r="S17" s="5">
        <f t="shared" ca="1" si="6"/>
        <v>0</v>
      </c>
      <c r="T17" s="5">
        <f ca="1">M17/IF(Summary!$C$8&lt;&gt;"Patients",1,$I$9)</f>
        <v>14.254500348202729</v>
      </c>
      <c r="U17" s="5">
        <f ca="1">(IF(N17-M17=0,0.1,N17-M17)/IF(Summary!$C$8&lt;&gt;"Patients",1,$I$9))</f>
        <v>2.9077629903405398</v>
      </c>
      <c r="V17" s="5">
        <f t="shared" ca="1" si="7"/>
        <v>3.8</v>
      </c>
      <c r="X17" s="5">
        <f ca="1">(VLOOKUP(D17,'SPC background (hide)'!$AG$2:$AN$54,8,0)/IF(Summary!$C$8&lt;&gt;"Patients",1,$I$9))*(1-$I$4)*(1-$I$5+($I$6*$I$7))</f>
        <v>12.794157157498368</v>
      </c>
    </row>
    <row r="18" spans="1:24" x14ac:dyDescent="0.2">
      <c r="A18" s="88">
        <f t="shared" ca="1" si="8"/>
        <v>43605</v>
      </c>
      <c r="B18" s="68" t="str">
        <f t="shared" ca="1" si="0"/>
        <v/>
      </c>
      <c r="C18" s="68" t="str">
        <f t="shared" ca="1" si="9"/>
        <v/>
      </c>
      <c r="D18" s="68">
        <f t="shared" ca="1" si="1"/>
        <v>21</v>
      </c>
      <c r="E18" s="5">
        <f ca="1">VLOOKUP($D18,'SPC background (hide)'!$AG$2:$AS$54,12,0)</f>
        <v>551.5</v>
      </c>
      <c r="F18" s="5">
        <f ca="1">VLOOKUP($D18,'SPC background (hide)'!$AG$2:$AS$54,13,0)</f>
        <v>664</v>
      </c>
      <c r="G18" s="5" t="str">
        <f>IF(Setup!$I$15="Yes",VLOOKUP(D18,'SPC background (hide)'!$AG$2:$AT$54,14,0)/IF(Summary!$C$8="Patients",'Summary Calculations (hide)'!$I$9,1),"")</f>
        <v/>
      </c>
      <c r="H18" s="68">
        <f ca="1">IF(Setup!$I$13="Yes",'Planned background (hide)'!$V$23/IF(Summary!$C$8="Patients",'Summary Calculations (hide)'!$I$9,1),"")</f>
        <v>3.8</v>
      </c>
      <c r="I18" s="5">
        <f ca="1">HLOOKUP(D18,'Capacity calculation (hide)'!$BK$3:$DJ$4,2,0)</f>
        <v>14.192307692307693</v>
      </c>
      <c r="J18" s="5">
        <f ca="1">HLOOKUP(D18,'Capacity calculation (hide)'!$BK$110:$DJ$111,2,0)</f>
        <v>4</v>
      </c>
      <c r="K18" s="5">
        <f ca="1">IF(I18-IF(Setup!$I$15="Yes",$G18,0)-IF(Setup!$I$13="Yes",$H18,0)&lt;0,0,I18-IF(Setup!$I$15="Yes",$G18,0)-IF(Setup!$I$13="Yes",$H18,0))</f>
        <v>10.392307692307693</v>
      </c>
      <c r="L18" s="5">
        <f t="shared" ca="1" si="2"/>
        <v>4</v>
      </c>
      <c r="M18" s="5">
        <f ca="1">(E18*(1-'Parameters calculator (hide)'!$B$43))*(1-'Parameters calculator (hide)'!$B$44+('Parameters calculator (hide)'!$B$45*'Parameters calculator (hide)'!$B$47))</f>
        <v>527.17074563611823</v>
      </c>
      <c r="N18" s="5">
        <f ca="1">(F18*(1-'Parameters calculator (hide)'!$B$43))*(1-'Parameters calculator (hide)'!$B$44+('Parameters calculator (hide)'!$B$45*'Parameters calculator (hide)'!$B$47))</f>
        <v>634.70784243405717</v>
      </c>
      <c r="P18" s="5">
        <f t="shared" ca="1" si="3"/>
        <v>14.192307692307693</v>
      </c>
      <c r="Q18" s="5">
        <f t="shared" ca="1" si="4"/>
        <v>4</v>
      </c>
      <c r="R18" s="5">
        <f t="shared" ca="1" si="5"/>
        <v>10.392307692307693</v>
      </c>
      <c r="S18" s="5">
        <f t="shared" ca="1" si="6"/>
        <v>4</v>
      </c>
      <c r="T18" s="5">
        <f ca="1">M18/IF(Summary!$C$8&lt;&gt;"Patients",1,$I$9)</f>
        <v>14.254500348202729</v>
      </c>
      <c r="U18" s="5">
        <f ca="1">(IF(N18-M18=0,0.1,N18-M18)/IF(Summary!$C$8&lt;&gt;"Patients",1,$I$9))</f>
        <v>2.9077629903405398</v>
      </c>
      <c r="V18" s="5">
        <f t="shared" ca="1" si="7"/>
        <v>3.8</v>
      </c>
      <c r="X18" s="5">
        <f ca="1">(VLOOKUP(D18,'SPC background (hide)'!$AG$2:$AN$54,8,0)/IF(Summary!$C$8&lt;&gt;"Patients",1,$I$9))*(1-$I$4)*(1-$I$5+($I$6*$I$7))</f>
        <v>12.794157157498368</v>
      </c>
    </row>
    <row r="19" spans="1:24" x14ac:dyDescent="0.2">
      <c r="A19" s="88">
        <f t="shared" ca="1" si="8"/>
        <v>43612</v>
      </c>
      <c r="B19" s="68" t="str">
        <f t="shared" ca="1" si="0"/>
        <v/>
      </c>
      <c r="C19" s="68" t="str">
        <f t="shared" ca="1" si="9"/>
        <v/>
      </c>
      <c r="D19" s="68">
        <f t="shared" ca="1" si="1"/>
        <v>22</v>
      </c>
      <c r="E19" s="5">
        <f ca="1">VLOOKUP($D19,'SPC background (hide)'!$AG$2:$AS$54,12,0)</f>
        <v>551.5</v>
      </c>
      <c r="F19" s="5">
        <f ca="1">VLOOKUP($D19,'SPC background (hide)'!$AG$2:$AS$54,13,0)</f>
        <v>664</v>
      </c>
      <c r="G19" s="5" t="str">
        <f>IF(Setup!$I$15="Yes",VLOOKUP(D19,'SPC background (hide)'!$AG$2:$AT$54,14,0)/IF(Summary!$C$8="Patients",'Summary Calculations (hide)'!$I$9,1),"")</f>
        <v/>
      </c>
      <c r="H19" s="68">
        <f ca="1">IF(Setup!$I$13="Yes",'Planned background (hide)'!$V$23/IF(Summary!$C$8="Patients",'Summary Calculations (hide)'!$I$9,1),"")</f>
        <v>3.8</v>
      </c>
      <c r="I19" s="5">
        <f ca="1">HLOOKUP(D19,'Capacity calculation (hide)'!$BK$3:$DJ$4,2,0)</f>
        <v>14.192307692307693</v>
      </c>
      <c r="J19" s="5">
        <f ca="1">HLOOKUP(D19,'Capacity calculation (hide)'!$BK$110:$DJ$111,2,0)</f>
        <v>0</v>
      </c>
      <c r="K19" s="5">
        <f ca="1">IF(I19-IF(Setup!$I$15="Yes",$G19,0)-IF(Setup!$I$13="Yes",$H19,0)&lt;0,0,I19-IF(Setup!$I$15="Yes",$G19,0)-IF(Setup!$I$13="Yes",$H19,0))</f>
        <v>10.392307692307693</v>
      </c>
      <c r="L19" s="5">
        <f t="shared" ca="1" si="2"/>
        <v>0</v>
      </c>
      <c r="M19" s="5">
        <f ca="1">(E19*(1-'Parameters calculator (hide)'!$B$43))*(1-'Parameters calculator (hide)'!$B$44+('Parameters calculator (hide)'!$B$45*'Parameters calculator (hide)'!$B$47))</f>
        <v>527.17074563611823</v>
      </c>
      <c r="N19" s="5">
        <f ca="1">(F19*(1-'Parameters calculator (hide)'!$B$43))*(1-'Parameters calculator (hide)'!$B$44+('Parameters calculator (hide)'!$B$45*'Parameters calculator (hide)'!$B$47))</f>
        <v>634.70784243405717</v>
      </c>
      <c r="P19" s="5">
        <f t="shared" ca="1" si="3"/>
        <v>14.192307692307693</v>
      </c>
      <c r="Q19" s="5">
        <f t="shared" ca="1" si="4"/>
        <v>0</v>
      </c>
      <c r="R19" s="5">
        <f t="shared" ca="1" si="5"/>
        <v>10.392307692307693</v>
      </c>
      <c r="S19" s="5">
        <f t="shared" ca="1" si="6"/>
        <v>0</v>
      </c>
      <c r="T19" s="5">
        <f ca="1">M19/IF(Summary!$C$8&lt;&gt;"Patients",1,$I$9)</f>
        <v>14.254500348202729</v>
      </c>
      <c r="U19" s="5">
        <f ca="1">(IF(N19-M19=0,0.1,N19-M19)/IF(Summary!$C$8&lt;&gt;"Patients",1,$I$9))</f>
        <v>2.9077629903405398</v>
      </c>
      <c r="V19" s="5">
        <f t="shared" ca="1" si="7"/>
        <v>3.8</v>
      </c>
      <c r="X19" s="5">
        <f ca="1">(VLOOKUP(D19,'SPC background (hide)'!$AG$2:$AN$54,8,0)/IF(Summary!$C$8&lt;&gt;"Patients",1,$I$9))*(1-$I$4)*(1-$I$5+($I$6*$I$7))</f>
        <v>12.794157157498368</v>
      </c>
    </row>
    <row r="20" spans="1:24" x14ac:dyDescent="0.2">
      <c r="A20" s="88">
        <f t="shared" ca="1" si="8"/>
        <v>43619</v>
      </c>
      <c r="B20" s="68" t="str">
        <f t="shared" ca="1" si="0"/>
        <v/>
      </c>
      <c r="C20" s="68" t="str">
        <f t="shared" ca="1" si="9"/>
        <v>Jun</v>
      </c>
      <c r="D20" s="68">
        <f t="shared" ca="1" si="1"/>
        <v>23</v>
      </c>
      <c r="E20" s="5">
        <f ca="1">VLOOKUP($D20,'SPC background (hide)'!$AG$2:$AS$54,12,0)</f>
        <v>551.5</v>
      </c>
      <c r="F20" s="5">
        <f ca="1">VLOOKUP($D20,'SPC background (hide)'!$AG$2:$AS$54,13,0)</f>
        <v>664</v>
      </c>
      <c r="G20" s="5" t="str">
        <f>IF(Setup!$I$15="Yes",VLOOKUP(D20,'SPC background (hide)'!$AG$2:$AT$54,14,0)/IF(Summary!$C$8="Patients",'Summary Calculations (hide)'!$I$9,1),"")</f>
        <v/>
      </c>
      <c r="H20" s="68">
        <f ca="1">IF(Setup!$I$13="Yes",'Planned background (hide)'!$V$23/IF(Summary!$C$8="Patients",'Summary Calculations (hide)'!$I$9,1),"")</f>
        <v>3.8</v>
      </c>
      <c r="I20" s="5">
        <f ca="1">HLOOKUP(D20,'Capacity calculation (hide)'!$BK$3:$DJ$4,2,0)</f>
        <v>14.192307692307693</v>
      </c>
      <c r="J20" s="5">
        <f ca="1">HLOOKUP(D20,'Capacity calculation (hide)'!$BK$110:$DJ$111,2,0)</f>
        <v>4</v>
      </c>
      <c r="K20" s="5">
        <f ca="1">IF(I20-IF(Setup!$I$15="Yes",$G20,0)-IF(Setup!$I$13="Yes",$H20,0)&lt;0,0,I20-IF(Setup!$I$15="Yes",$G20,0)-IF(Setup!$I$13="Yes",$H20,0))</f>
        <v>10.392307692307693</v>
      </c>
      <c r="L20" s="5">
        <f t="shared" ca="1" si="2"/>
        <v>4</v>
      </c>
      <c r="M20" s="5">
        <f ca="1">(E20*(1-'Parameters calculator (hide)'!$B$43))*(1-'Parameters calculator (hide)'!$B$44+('Parameters calculator (hide)'!$B$45*'Parameters calculator (hide)'!$B$47))</f>
        <v>527.17074563611823</v>
      </c>
      <c r="N20" s="5">
        <f ca="1">(F20*(1-'Parameters calculator (hide)'!$B$43))*(1-'Parameters calculator (hide)'!$B$44+('Parameters calculator (hide)'!$B$45*'Parameters calculator (hide)'!$B$47))</f>
        <v>634.70784243405717</v>
      </c>
      <c r="P20" s="5">
        <f t="shared" ca="1" si="3"/>
        <v>14.192307692307693</v>
      </c>
      <c r="Q20" s="5">
        <f t="shared" ca="1" si="4"/>
        <v>4</v>
      </c>
      <c r="R20" s="5">
        <f t="shared" ca="1" si="5"/>
        <v>10.392307692307693</v>
      </c>
      <c r="S20" s="5">
        <f t="shared" ca="1" si="6"/>
        <v>4</v>
      </c>
      <c r="T20" s="5">
        <f ca="1">M20/IF(Summary!$C$8&lt;&gt;"Patients",1,$I$9)</f>
        <v>14.254500348202729</v>
      </c>
      <c r="U20" s="5">
        <f ca="1">(IF(N20-M20=0,0.1,N20-M20)/IF(Summary!$C$8&lt;&gt;"Patients",1,$I$9))</f>
        <v>2.9077629903405398</v>
      </c>
      <c r="V20" s="5">
        <f t="shared" ca="1" si="7"/>
        <v>3.8</v>
      </c>
      <c r="X20" s="5">
        <f ca="1">(VLOOKUP(D20,'SPC background (hide)'!$AG$2:$AN$54,8,0)/IF(Summary!$C$8&lt;&gt;"Patients",1,$I$9))*(1-$I$4)*(1-$I$5+($I$6*$I$7))</f>
        <v>12.794157157498368</v>
      </c>
    </row>
    <row r="21" spans="1:24" x14ac:dyDescent="0.2">
      <c r="A21" s="88">
        <f t="shared" ca="1" si="8"/>
        <v>43626</v>
      </c>
      <c r="B21" s="68" t="str">
        <f t="shared" ca="1" si="0"/>
        <v/>
      </c>
      <c r="C21" s="68" t="str">
        <f t="shared" ca="1" si="9"/>
        <v/>
      </c>
      <c r="D21" s="68">
        <f t="shared" ca="1" si="1"/>
        <v>24</v>
      </c>
      <c r="E21" s="5">
        <f ca="1">VLOOKUP($D21,'SPC background (hide)'!$AG$2:$AS$54,12,0)</f>
        <v>551.5</v>
      </c>
      <c r="F21" s="5">
        <f ca="1">VLOOKUP($D21,'SPC background (hide)'!$AG$2:$AS$54,13,0)</f>
        <v>664</v>
      </c>
      <c r="G21" s="5" t="str">
        <f>IF(Setup!$I$15="Yes",VLOOKUP(D21,'SPC background (hide)'!$AG$2:$AT$54,14,0)/IF(Summary!$C$8="Patients",'Summary Calculations (hide)'!$I$9,1),"")</f>
        <v/>
      </c>
      <c r="H21" s="68">
        <f ca="1">IF(Setup!$I$13="Yes",'Planned background (hide)'!$V$23/IF(Summary!$C$8="Patients",'Summary Calculations (hide)'!$I$9,1),"")</f>
        <v>3.8</v>
      </c>
      <c r="I21" s="5">
        <f ca="1">HLOOKUP(D21,'Capacity calculation (hide)'!$BK$3:$DJ$4,2,0)</f>
        <v>14.192307692307693</v>
      </c>
      <c r="J21" s="5">
        <f ca="1">HLOOKUP(D21,'Capacity calculation (hide)'!$BK$110:$DJ$111,2,0)</f>
        <v>4</v>
      </c>
      <c r="K21" s="5">
        <f ca="1">IF(I21-IF(Setup!$I$15="Yes",$G21,0)-IF(Setup!$I$13="Yes",$H21,0)&lt;0,0,I21-IF(Setup!$I$15="Yes",$G21,0)-IF(Setup!$I$13="Yes",$H21,0))</f>
        <v>10.392307692307693</v>
      </c>
      <c r="L21" s="5">
        <f t="shared" ca="1" si="2"/>
        <v>4</v>
      </c>
      <c r="M21" s="5">
        <f ca="1">(E21*(1-'Parameters calculator (hide)'!$B$43))*(1-'Parameters calculator (hide)'!$B$44+('Parameters calculator (hide)'!$B$45*'Parameters calculator (hide)'!$B$47))</f>
        <v>527.17074563611823</v>
      </c>
      <c r="N21" s="5">
        <f ca="1">(F21*(1-'Parameters calculator (hide)'!$B$43))*(1-'Parameters calculator (hide)'!$B$44+('Parameters calculator (hide)'!$B$45*'Parameters calculator (hide)'!$B$47))</f>
        <v>634.70784243405717</v>
      </c>
      <c r="P21" s="5">
        <f t="shared" ca="1" si="3"/>
        <v>14.192307692307693</v>
      </c>
      <c r="Q21" s="5">
        <f t="shared" ca="1" si="4"/>
        <v>4</v>
      </c>
      <c r="R21" s="5">
        <f t="shared" ca="1" si="5"/>
        <v>10.392307692307693</v>
      </c>
      <c r="S21" s="5">
        <f t="shared" ca="1" si="6"/>
        <v>4</v>
      </c>
      <c r="T21" s="5">
        <f ca="1">M21/IF(Summary!$C$8&lt;&gt;"Patients",1,$I$9)</f>
        <v>14.254500348202729</v>
      </c>
      <c r="U21" s="5">
        <f ca="1">(IF(N21-M21=0,0.1,N21-M21)/IF(Summary!$C$8&lt;&gt;"Patients",1,$I$9))</f>
        <v>2.9077629903405398</v>
      </c>
      <c r="V21" s="5">
        <f t="shared" ca="1" si="7"/>
        <v>3.8</v>
      </c>
      <c r="X21" s="5">
        <f ca="1">(VLOOKUP(D21,'SPC background (hide)'!$AG$2:$AN$54,8,0)/IF(Summary!$C$8&lt;&gt;"Patients",1,$I$9))*(1-$I$4)*(1-$I$5+($I$6*$I$7))</f>
        <v>12.794157157498368</v>
      </c>
    </row>
    <row r="22" spans="1:24" x14ac:dyDescent="0.2">
      <c r="A22" s="88">
        <f t="shared" ca="1" si="8"/>
        <v>43633</v>
      </c>
      <c r="B22" s="68" t="str">
        <f t="shared" ca="1" si="0"/>
        <v/>
      </c>
      <c r="C22" s="68" t="str">
        <f t="shared" ca="1" si="9"/>
        <v/>
      </c>
      <c r="D22" s="68">
        <f t="shared" ca="1" si="1"/>
        <v>25</v>
      </c>
      <c r="E22" s="5">
        <f ca="1">VLOOKUP($D22,'SPC background (hide)'!$AG$2:$AS$54,12,0)</f>
        <v>551.5</v>
      </c>
      <c r="F22" s="5">
        <f ca="1">VLOOKUP($D22,'SPC background (hide)'!$AG$2:$AS$54,13,0)</f>
        <v>664</v>
      </c>
      <c r="G22" s="5" t="str">
        <f>IF(Setup!$I$15="Yes",VLOOKUP(D22,'SPC background (hide)'!$AG$2:$AT$54,14,0)/IF(Summary!$C$8="Patients",'Summary Calculations (hide)'!$I$9,1),"")</f>
        <v/>
      </c>
      <c r="H22" s="68">
        <f ca="1">IF(Setup!$I$13="Yes",'Planned background (hide)'!$V$23/IF(Summary!$C$8="Patients",'Summary Calculations (hide)'!$I$9,1),"")</f>
        <v>3.8</v>
      </c>
      <c r="I22" s="5">
        <f ca="1">HLOOKUP(D22,'Capacity calculation (hide)'!$BK$3:$DJ$4,2,0)</f>
        <v>14.192307692307693</v>
      </c>
      <c r="J22" s="5">
        <f ca="1">HLOOKUP(D22,'Capacity calculation (hide)'!$BK$110:$DJ$111,2,0)</f>
        <v>0</v>
      </c>
      <c r="K22" s="5">
        <f ca="1">IF(I22-IF(Setup!$I$15="Yes",$G22,0)-IF(Setup!$I$13="Yes",$H22,0)&lt;0,0,I22-IF(Setup!$I$15="Yes",$G22,0)-IF(Setup!$I$13="Yes",$H22,0))</f>
        <v>10.392307692307693</v>
      </c>
      <c r="L22" s="5">
        <f t="shared" ca="1" si="2"/>
        <v>0</v>
      </c>
      <c r="M22" s="5">
        <f ca="1">(E22*(1-'Parameters calculator (hide)'!$B$43))*(1-'Parameters calculator (hide)'!$B$44+('Parameters calculator (hide)'!$B$45*'Parameters calculator (hide)'!$B$47))</f>
        <v>527.17074563611823</v>
      </c>
      <c r="N22" s="5">
        <f ca="1">(F22*(1-'Parameters calculator (hide)'!$B$43))*(1-'Parameters calculator (hide)'!$B$44+('Parameters calculator (hide)'!$B$45*'Parameters calculator (hide)'!$B$47))</f>
        <v>634.70784243405717</v>
      </c>
      <c r="P22" s="5">
        <f t="shared" ca="1" si="3"/>
        <v>14.192307692307693</v>
      </c>
      <c r="Q22" s="5">
        <f t="shared" ca="1" si="4"/>
        <v>0</v>
      </c>
      <c r="R22" s="5">
        <f t="shared" ca="1" si="5"/>
        <v>10.392307692307693</v>
      </c>
      <c r="S22" s="5">
        <f t="shared" ca="1" si="6"/>
        <v>0</v>
      </c>
      <c r="T22" s="5">
        <f ca="1">M22/IF(Summary!$C$8&lt;&gt;"Patients",1,$I$9)</f>
        <v>14.254500348202729</v>
      </c>
      <c r="U22" s="5">
        <f ca="1">(IF(N22-M22=0,0.1,N22-M22)/IF(Summary!$C$8&lt;&gt;"Patients",1,$I$9))</f>
        <v>2.9077629903405398</v>
      </c>
      <c r="V22" s="5">
        <f t="shared" ca="1" si="7"/>
        <v>3.8</v>
      </c>
      <c r="X22" s="5">
        <f ca="1">(VLOOKUP(D22,'SPC background (hide)'!$AG$2:$AN$54,8,0)/IF(Summary!$C$8&lt;&gt;"Patients",1,$I$9))*(1-$I$4)*(1-$I$5+($I$6*$I$7))</f>
        <v>12.794157157498368</v>
      </c>
    </row>
    <row r="23" spans="1:24" x14ac:dyDescent="0.2">
      <c r="A23" s="88">
        <f t="shared" ca="1" si="8"/>
        <v>43640</v>
      </c>
      <c r="B23" s="68" t="str">
        <f t="shared" ca="1" si="0"/>
        <v/>
      </c>
      <c r="C23" s="68" t="str">
        <f t="shared" ca="1" si="9"/>
        <v/>
      </c>
      <c r="D23" s="68">
        <f t="shared" ca="1" si="1"/>
        <v>26</v>
      </c>
      <c r="E23" s="5">
        <f ca="1">VLOOKUP($D23,'SPC background (hide)'!$AG$2:$AS$54,12,0)</f>
        <v>551.5</v>
      </c>
      <c r="F23" s="5">
        <f ca="1">VLOOKUP($D23,'SPC background (hide)'!$AG$2:$AS$54,13,0)</f>
        <v>664</v>
      </c>
      <c r="G23" s="5" t="str">
        <f>IF(Setup!$I$15="Yes",VLOOKUP(D23,'SPC background (hide)'!$AG$2:$AT$54,14,0)/IF(Summary!$C$8="Patients",'Summary Calculations (hide)'!$I$9,1),"")</f>
        <v/>
      </c>
      <c r="H23" s="68">
        <f ca="1">IF(Setup!$I$13="Yes",'Planned background (hide)'!$V$23/IF(Summary!$C$8="Patients",'Summary Calculations (hide)'!$I$9,1),"")</f>
        <v>3.8</v>
      </c>
      <c r="I23" s="5">
        <f ca="1">HLOOKUP(D23,'Capacity calculation (hide)'!$BK$3:$DJ$4,2,0)</f>
        <v>14.192307692307693</v>
      </c>
      <c r="J23" s="5">
        <f ca="1">HLOOKUP(D23,'Capacity calculation (hide)'!$BK$110:$DJ$111,2,0)</f>
        <v>3.6923076923076925</v>
      </c>
      <c r="K23" s="5">
        <f ca="1">IF(I23-IF(Setup!$I$15="Yes",$G23,0)-IF(Setup!$I$13="Yes",$H23,0)&lt;0,0,I23-IF(Setup!$I$15="Yes",$G23,0)-IF(Setup!$I$13="Yes",$H23,0))</f>
        <v>10.392307692307693</v>
      </c>
      <c r="L23" s="5">
        <f t="shared" ca="1" si="2"/>
        <v>3.6923076923076925</v>
      </c>
      <c r="M23" s="5">
        <f ca="1">(E23*(1-'Parameters calculator (hide)'!$B$43))*(1-'Parameters calculator (hide)'!$B$44+('Parameters calculator (hide)'!$B$45*'Parameters calculator (hide)'!$B$47))</f>
        <v>527.17074563611823</v>
      </c>
      <c r="N23" s="5">
        <f ca="1">(F23*(1-'Parameters calculator (hide)'!$B$43))*(1-'Parameters calculator (hide)'!$B$44+('Parameters calculator (hide)'!$B$45*'Parameters calculator (hide)'!$B$47))</f>
        <v>634.70784243405717</v>
      </c>
      <c r="P23" s="5">
        <f t="shared" ca="1" si="3"/>
        <v>14.192307692307693</v>
      </c>
      <c r="Q23" s="5">
        <f t="shared" ca="1" si="4"/>
        <v>3.6923076923076925</v>
      </c>
      <c r="R23" s="5">
        <f t="shared" ca="1" si="5"/>
        <v>10.392307692307693</v>
      </c>
      <c r="S23" s="5">
        <f t="shared" ca="1" si="6"/>
        <v>3.6923076923076925</v>
      </c>
      <c r="T23" s="5">
        <f ca="1">M23/IF(Summary!$C$8&lt;&gt;"Patients",1,$I$9)</f>
        <v>14.254500348202729</v>
      </c>
      <c r="U23" s="5">
        <f ca="1">(IF(N23-M23=0,0.1,N23-M23)/IF(Summary!$C$8&lt;&gt;"Patients",1,$I$9))</f>
        <v>2.9077629903405398</v>
      </c>
      <c r="V23" s="5">
        <f t="shared" ca="1" si="7"/>
        <v>3.8</v>
      </c>
      <c r="X23" s="5">
        <f ca="1">(VLOOKUP(D23,'SPC background (hide)'!$AG$2:$AN$54,8,0)/IF(Summary!$C$8&lt;&gt;"Patients",1,$I$9))*(1-$I$4)*(1-$I$5+($I$6*$I$7))</f>
        <v>12.794157157498368</v>
      </c>
    </row>
    <row r="24" spans="1:24" x14ac:dyDescent="0.2">
      <c r="A24" s="88">
        <f t="shared" ca="1" si="8"/>
        <v>43647</v>
      </c>
      <c r="B24" s="68" t="str">
        <f t="shared" ca="1" si="0"/>
        <v/>
      </c>
      <c r="C24" s="68" t="str">
        <f t="shared" ca="1" si="9"/>
        <v>Jul</v>
      </c>
      <c r="D24" s="68">
        <f t="shared" ca="1" si="1"/>
        <v>27</v>
      </c>
      <c r="E24" s="5">
        <f ca="1">VLOOKUP($D24,'SPC background (hide)'!$AG$2:$AS$54,12,0)</f>
        <v>551.5</v>
      </c>
      <c r="F24" s="5">
        <f ca="1">VLOOKUP($D24,'SPC background (hide)'!$AG$2:$AS$54,13,0)</f>
        <v>664</v>
      </c>
      <c r="G24" s="5" t="str">
        <f>IF(Setup!$I$15="Yes",VLOOKUP(D24,'SPC background (hide)'!$AG$2:$AT$54,14,0)/IF(Summary!$C$8="Patients",'Summary Calculations (hide)'!$I$9,1),"")</f>
        <v/>
      </c>
      <c r="H24" s="68">
        <f ca="1">IF(Setup!$I$13="Yes",'Planned background (hide)'!$V$23/IF(Summary!$C$8="Patients",'Summary Calculations (hide)'!$I$9,1),"")</f>
        <v>3.8</v>
      </c>
      <c r="I24" s="5">
        <f ca="1">HLOOKUP(D24,'Capacity calculation (hide)'!$BK$3:$DJ$4,2,0)</f>
        <v>14.192307692307693</v>
      </c>
      <c r="J24" s="5">
        <f ca="1">HLOOKUP(D24,'Capacity calculation (hide)'!$BK$110:$DJ$111,2,0)</f>
        <v>7.6923076923076925</v>
      </c>
      <c r="K24" s="5">
        <f ca="1">IF(I24-IF(Setup!$I$15="Yes",$G24,0)-IF(Setup!$I$13="Yes",$H24,0)&lt;0,0,I24-IF(Setup!$I$15="Yes",$G24,0)-IF(Setup!$I$13="Yes",$H24,0))</f>
        <v>10.392307692307693</v>
      </c>
      <c r="L24" s="5">
        <f t="shared" ca="1" si="2"/>
        <v>7.6923076923076925</v>
      </c>
      <c r="M24" s="5">
        <f ca="1">(E24*(1-'Parameters calculator (hide)'!$B$43))*(1-'Parameters calculator (hide)'!$B$44+('Parameters calculator (hide)'!$B$45*'Parameters calculator (hide)'!$B$47))</f>
        <v>527.17074563611823</v>
      </c>
      <c r="N24" s="5">
        <f ca="1">(F24*(1-'Parameters calculator (hide)'!$B$43))*(1-'Parameters calculator (hide)'!$B$44+('Parameters calculator (hide)'!$B$45*'Parameters calculator (hide)'!$B$47))</f>
        <v>634.70784243405717</v>
      </c>
      <c r="P24" s="5">
        <f t="shared" ca="1" si="3"/>
        <v>14.192307692307693</v>
      </c>
      <c r="Q24" s="5">
        <f t="shared" ca="1" si="4"/>
        <v>7.6923076923076925</v>
      </c>
      <c r="R24" s="5">
        <f t="shared" ca="1" si="5"/>
        <v>10.392307692307693</v>
      </c>
      <c r="S24" s="5">
        <f t="shared" ca="1" si="6"/>
        <v>7.6923076923076925</v>
      </c>
      <c r="T24" s="5">
        <f ca="1">M24/IF(Summary!$C$8&lt;&gt;"Patients",1,$I$9)</f>
        <v>14.254500348202729</v>
      </c>
      <c r="U24" s="5">
        <f ca="1">(IF(N24-M24=0,0.1,N24-M24)/IF(Summary!$C$8&lt;&gt;"Patients",1,$I$9))</f>
        <v>2.9077629903405398</v>
      </c>
      <c r="V24" s="5">
        <f t="shared" ca="1" si="7"/>
        <v>3.8</v>
      </c>
      <c r="X24" s="5">
        <f ca="1">(VLOOKUP(D24,'SPC background (hide)'!$AG$2:$AN$54,8,0)/IF(Summary!$C$8&lt;&gt;"Patients",1,$I$9))*(1-$I$4)*(1-$I$5+($I$6*$I$7))</f>
        <v>12.794157157498368</v>
      </c>
    </row>
    <row r="25" spans="1:24" x14ac:dyDescent="0.2">
      <c r="A25" s="88">
        <f t="shared" ca="1" si="8"/>
        <v>43654</v>
      </c>
      <c r="B25" s="68" t="str">
        <f t="shared" ca="1" si="0"/>
        <v/>
      </c>
      <c r="C25" s="68" t="str">
        <f t="shared" ca="1" si="9"/>
        <v/>
      </c>
      <c r="D25" s="68">
        <f t="shared" ca="1" si="1"/>
        <v>28</v>
      </c>
      <c r="E25" s="5">
        <f ca="1">VLOOKUP($D25,'SPC background (hide)'!$AG$2:$AS$54,12,0)</f>
        <v>551.5</v>
      </c>
      <c r="F25" s="5">
        <f ca="1">VLOOKUP($D25,'SPC background (hide)'!$AG$2:$AS$54,13,0)</f>
        <v>664</v>
      </c>
      <c r="G25" s="5" t="str">
        <f>IF(Setup!$I$15="Yes",VLOOKUP(D25,'SPC background (hide)'!$AG$2:$AT$54,14,0)/IF(Summary!$C$8="Patients",'Summary Calculations (hide)'!$I$9,1),"")</f>
        <v/>
      </c>
      <c r="H25" s="68">
        <f ca="1">IF(Setup!$I$13="Yes",'Planned background (hide)'!$V$23/IF(Summary!$C$8="Patients",'Summary Calculations (hide)'!$I$9,1),"")</f>
        <v>3.8</v>
      </c>
      <c r="I25" s="5">
        <f ca="1">HLOOKUP(D25,'Capacity calculation (hide)'!$BK$3:$DJ$4,2,0)</f>
        <v>14.192307692307693</v>
      </c>
      <c r="J25" s="5">
        <f ca="1">HLOOKUP(D25,'Capacity calculation (hide)'!$BK$110:$DJ$111,2,0)</f>
        <v>4</v>
      </c>
      <c r="K25" s="5">
        <f ca="1">IF(I25-IF(Setup!$I$15="Yes",$G25,0)-IF(Setup!$I$13="Yes",$H25,0)&lt;0,0,I25-IF(Setup!$I$15="Yes",$G25,0)-IF(Setup!$I$13="Yes",$H25,0))</f>
        <v>10.392307692307693</v>
      </c>
      <c r="L25" s="5">
        <f t="shared" ca="1" si="2"/>
        <v>4</v>
      </c>
      <c r="M25" s="5">
        <f ca="1">(E25*(1-'Parameters calculator (hide)'!$B$43))*(1-'Parameters calculator (hide)'!$B$44+('Parameters calculator (hide)'!$B$45*'Parameters calculator (hide)'!$B$47))</f>
        <v>527.17074563611823</v>
      </c>
      <c r="N25" s="5">
        <f ca="1">(F25*(1-'Parameters calculator (hide)'!$B$43))*(1-'Parameters calculator (hide)'!$B$44+('Parameters calculator (hide)'!$B$45*'Parameters calculator (hide)'!$B$47))</f>
        <v>634.70784243405717</v>
      </c>
      <c r="P25" s="5">
        <f t="shared" ca="1" si="3"/>
        <v>14.192307692307693</v>
      </c>
      <c r="Q25" s="5">
        <f t="shared" ca="1" si="4"/>
        <v>4</v>
      </c>
      <c r="R25" s="5">
        <f t="shared" ca="1" si="5"/>
        <v>10.392307692307693</v>
      </c>
      <c r="S25" s="5">
        <f t="shared" ca="1" si="6"/>
        <v>4</v>
      </c>
      <c r="T25" s="5">
        <f ca="1">M25/IF(Summary!$C$8&lt;&gt;"Patients",1,$I$9)</f>
        <v>14.254500348202729</v>
      </c>
      <c r="U25" s="5">
        <f ca="1">(IF(N25-M25=0,0.1,N25-M25)/IF(Summary!$C$8&lt;&gt;"Patients",1,$I$9))</f>
        <v>2.9077629903405398</v>
      </c>
      <c r="V25" s="5">
        <f t="shared" ca="1" si="7"/>
        <v>3.8</v>
      </c>
      <c r="X25" s="5">
        <f ca="1">(VLOOKUP(D25,'SPC background (hide)'!$AG$2:$AN$54,8,0)/IF(Summary!$C$8&lt;&gt;"Patients",1,$I$9))*(1-$I$4)*(1-$I$5+($I$6*$I$7))</f>
        <v>12.794157157498368</v>
      </c>
    </row>
    <row r="26" spans="1:24" x14ac:dyDescent="0.2">
      <c r="A26" s="88">
        <f t="shared" ca="1" si="8"/>
        <v>43661</v>
      </c>
      <c r="B26" s="68" t="str">
        <f t="shared" ca="1" si="0"/>
        <v/>
      </c>
      <c r="C26" s="68" t="str">
        <f t="shared" ca="1" si="9"/>
        <v/>
      </c>
      <c r="D26" s="68">
        <f t="shared" ca="1" si="1"/>
        <v>29</v>
      </c>
      <c r="E26" s="5">
        <f ca="1">VLOOKUP($D26,'SPC background (hide)'!$AG$2:$AS$54,12,0)</f>
        <v>551.5</v>
      </c>
      <c r="F26" s="5">
        <f ca="1">VLOOKUP($D26,'SPC background (hide)'!$AG$2:$AS$54,13,0)</f>
        <v>664</v>
      </c>
      <c r="G26" s="5" t="str">
        <f>IF(Setup!$I$15="Yes",VLOOKUP(D26,'SPC background (hide)'!$AG$2:$AT$54,14,0)/IF(Summary!$C$8="Patients",'Summary Calculations (hide)'!$I$9,1),"")</f>
        <v/>
      </c>
      <c r="H26" s="68">
        <f ca="1">IF(Setup!$I$13="Yes",'Planned background (hide)'!$V$23/IF(Summary!$C$8="Patients",'Summary Calculations (hide)'!$I$9,1),"")</f>
        <v>3.8</v>
      </c>
      <c r="I26" s="5">
        <f ca="1">HLOOKUP(D26,'Capacity calculation (hide)'!$BK$3:$DJ$4,2,0)</f>
        <v>14.192307692307693</v>
      </c>
      <c r="J26" s="5">
        <f ca="1">HLOOKUP(D26,'Capacity calculation (hide)'!$BK$110:$DJ$111,2,0)</f>
        <v>0</v>
      </c>
      <c r="K26" s="5">
        <f ca="1">IF(I26-IF(Setup!$I$15="Yes",$G26,0)-IF(Setup!$I$13="Yes",$H26,0)&lt;0,0,I26-IF(Setup!$I$15="Yes",$G26,0)-IF(Setup!$I$13="Yes",$H26,0))</f>
        <v>10.392307692307693</v>
      </c>
      <c r="L26" s="5">
        <f t="shared" ca="1" si="2"/>
        <v>0</v>
      </c>
      <c r="M26" s="5">
        <f ca="1">(E26*(1-'Parameters calculator (hide)'!$B$43))*(1-'Parameters calculator (hide)'!$B$44+('Parameters calculator (hide)'!$B$45*'Parameters calculator (hide)'!$B$47))</f>
        <v>527.17074563611823</v>
      </c>
      <c r="N26" s="5">
        <f ca="1">(F26*(1-'Parameters calculator (hide)'!$B$43))*(1-'Parameters calculator (hide)'!$B$44+('Parameters calculator (hide)'!$B$45*'Parameters calculator (hide)'!$B$47))</f>
        <v>634.70784243405717</v>
      </c>
      <c r="P26" s="5">
        <f t="shared" ca="1" si="3"/>
        <v>14.192307692307693</v>
      </c>
      <c r="Q26" s="5">
        <f t="shared" ca="1" si="4"/>
        <v>0</v>
      </c>
      <c r="R26" s="5">
        <f t="shared" ca="1" si="5"/>
        <v>10.392307692307693</v>
      </c>
      <c r="S26" s="5">
        <f t="shared" ca="1" si="6"/>
        <v>0</v>
      </c>
      <c r="T26" s="5">
        <f ca="1">M26/IF(Summary!$C$8&lt;&gt;"Patients",1,$I$9)</f>
        <v>14.254500348202729</v>
      </c>
      <c r="U26" s="5">
        <f ca="1">(IF(N26-M26=0,0.1,N26-M26)/IF(Summary!$C$8&lt;&gt;"Patients",1,$I$9))</f>
        <v>2.9077629903405398</v>
      </c>
      <c r="V26" s="5">
        <f t="shared" ca="1" si="7"/>
        <v>3.8</v>
      </c>
      <c r="X26" s="5">
        <f ca="1">(VLOOKUP(D26,'SPC background (hide)'!$AG$2:$AN$54,8,0)/IF(Summary!$C$8&lt;&gt;"Patients",1,$I$9))*(1-$I$4)*(1-$I$5+($I$6*$I$7))</f>
        <v>12.794157157498368</v>
      </c>
    </row>
    <row r="27" spans="1:24" x14ac:dyDescent="0.2">
      <c r="A27" s="88">
        <f t="shared" ca="1" si="8"/>
        <v>43668</v>
      </c>
      <c r="B27" s="68" t="str">
        <f t="shared" ca="1" si="0"/>
        <v/>
      </c>
      <c r="C27" s="68" t="str">
        <f t="shared" ca="1" si="9"/>
        <v/>
      </c>
      <c r="D27" s="68">
        <f t="shared" ca="1" si="1"/>
        <v>30</v>
      </c>
      <c r="E27" s="5">
        <f ca="1">VLOOKUP($D27,'SPC background (hide)'!$AG$2:$AS$54,12,0)</f>
        <v>551.5</v>
      </c>
      <c r="F27" s="5">
        <f ca="1">VLOOKUP($D27,'SPC background (hide)'!$AG$2:$AS$54,13,0)</f>
        <v>664</v>
      </c>
      <c r="G27" s="5" t="str">
        <f>IF(Setup!$I$15="Yes",VLOOKUP(D27,'SPC background (hide)'!$AG$2:$AT$54,14,0)/IF(Summary!$C$8="Patients",'Summary Calculations (hide)'!$I$9,1),"")</f>
        <v/>
      </c>
      <c r="H27" s="68">
        <f ca="1">IF(Setup!$I$13="Yes",'Planned background (hide)'!$V$23/IF(Summary!$C$8="Patients",'Summary Calculations (hide)'!$I$9,1),"")</f>
        <v>3.8</v>
      </c>
      <c r="I27" s="5">
        <f ca="1">HLOOKUP(D27,'Capacity calculation (hide)'!$BK$3:$DJ$4,2,0)</f>
        <v>14.192307692307693</v>
      </c>
      <c r="J27" s="5">
        <f ca="1">HLOOKUP(D27,'Capacity calculation (hide)'!$BK$110:$DJ$111,2,0)</f>
        <v>0</v>
      </c>
      <c r="K27" s="5">
        <f ca="1">IF(I27-IF(Setup!$I$15="Yes",$G27,0)-IF(Setup!$I$13="Yes",$H27,0)&lt;0,0,I27-IF(Setup!$I$15="Yes",$G27,0)-IF(Setup!$I$13="Yes",$H27,0))</f>
        <v>10.392307692307693</v>
      </c>
      <c r="L27" s="5">
        <f t="shared" ca="1" si="2"/>
        <v>0</v>
      </c>
      <c r="M27" s="5">
        <f ca="1">(E27*(1-'Parameters calculator (hide)'!$B$43))*(1-'Parameters calculator (hide)'!$B$44+('Parameters calculator (hide)'!$B$45*'Parameters calculator (hide)'!$B$47))</f>
        <v>527.17074563611823</v>
      </c>
      <c r="N27" s="5">
        <f ca="1">(F27*(1-'Parameters calculator (hide)'!$B$43))*(1-'Parameters calculator (hide)'!$B$44+('Parameters calculator (hide)'!$B$45*'Parameters calculator (hide)'!$B$47))</f>
        <v>634.70784243405717</v>
      </c>
      <c r="P27" s="5">
        <f t="shared" ca="1" si="3"/>
        <v>14.192307692307693</v>
      </c>
      <c r="Q27" s="5">
        <f t="shared" ca="1" si="4"/>
        <v>0</v>
      </c>
      <c r="R27" s="5">
        <f t="shared" ca="1" si="5"/>
        <v>10.392307692307693</v>
      </c>
      <c r="S27" s="5">
        <f t="shared" ca="1" si="6"/>
        <v>0</v>
      </c>
      <c r="T27" s="5">
        <f ca="1">M27/IF(Summary!$C$8&lt;&gt;"Patients",1,$I$9)</f>
        <v>14.254500348202729</v>
      </c>
      <c r="U27" s="5">
        <f ca="1">(IF(N27-M27=0,0.1,N27-M27)/IF(Summary!$C$8&lt;&gt;"Patients",1,$I$9))</f>
        <v>2.9077629903405398</v>
      </c>
      <c r="V27" s="5">
        <f t="shared" ca="1" si="7"/>
        <v>3.8</v>
      </c>
      <c r="X27" s="5">
        <f ca="1">(VLOOKUP(D27,'SPC background (hide)'!$AG$2:$AN$54,8,0)/IF(Summary!$C$8&lt;&gt;"Patients",1,$I$9))*(1-$I$4)*(1-$I$5+($I$6*$I$7))</f>
        <v>12.794157157498368</v>
      </c>
    </row>
    <row r="28" spans="1:24" x14ac:dyDescent="0.2">
      <c r="A28" s="88">
        <f t="shared" ca="1" si="8"/>
        <v>43675</v>
      </c>
      <c r="B28" s="68" t="str">
        <f t="shared" ca="1" si="0"/>
        <v/>
      </c>
      <c r="C28" s="68" t="str">
        <f t="shared" ca="1" si="9"/>
        <v/>
      </c>
      <c r="D28" s="68">
        <f t="shared" ca="1" si="1"/>
        <v>31</v>
      </c>
      <c r="E28" s="5">
        <f ca="1">VLOOKUP($D28,'SPC background (hide)'!$AG$2:$AS$54,12,0)</f>
        <v>551.5</v>
      </c>
      <c r="F28" s="5">
        <f ca="1">VLOOKUP($D28,'SPC background (hide)'!$AG$2:$AS$54,13,0)</f>
        <v>664</v>
      </c>
      <c r="G28" s="5" t="str">
        <f>IF(Setup!$I$15="Yes",VLOOKUP(D28,'SPC background (hide)'!$AG$2:$AT$54,14,0)/IF(Summary!$C$8="Patients",'Summary Calculations (hide)'!$I$9,1),"")</f>
        <v/>
      </c>
      <c r="H28" s="68">
        <f ca="1">IF(Setup!$I$13="Yes",'Planned background (hide)'!$V$23/IF(Summary!$C$8="Patients",'Summary Calculations (hide)'!$I$9,1),"")</f>
        <v>3.8</v>
      </c>
      <c r="I28" s="5">
        <f ca="1">HLOOKUP(D28,'Capacity calculation (hide)'!$BK$3:$DJ$4,2,0)</f>
        <v>14.192307692307693</v>
      </c>
      <c r="J28" s="5">
        <f ca="1">HLOOKUP(D28,'Capacity calculation (hide)'!$BK$110:$DJ$111,2,0)</f>
        <v>7.6923076923076925</v>
      </c>
      <c r="K28" s="5">
        <f ca="1">IF(I28-IF(Setup!$I$15="Yes",$G28,0)-IF(Setup!$I$13="Yes",$H28,0)&lt;0,0,I28-IF(Setup!$I$15="Yes",$G28,0)-IF(Setup!$I$13="Yes",$H28,0))</f>
        <v>10.392307692307693</v>
      </c>
      <c r="L28" s="5">
        <f t="shared" ca="1" si="2"/>
        <v>7.6923076923076925</v>
      </c>
      <c r="M28" s="5">
        <f ca="1">(E28*(1-'Parameters calculator (hide)'!$B$43))*(1-'Parameters calculator (hide)'!$B$44+('Parameters calculator (hide)'!$B$45*'Parameters calculator (hide)'!$B$47))</f>
        <v>527.17074563611823</v>
      </c>
      <c r="N28" s="5">
        <f ca="1">(F28*(1-'Parameters calculator (hide)'!$B$43))*(1-'Parameters calculator (hide)'!$B$44+('Parameters calculator (hide)'!$B$45*'Parameters calculator (hide)'!$B$47))</f>
        <v>634.70784243405717</v>
      </c>
      <c r="P28" s="5">
        <f t="shared" ca="1" si="3"/>
        <v>14.192307692307693</v>
      </c>
      <c r="Q28" s="5">
        <f t="shared" ca="1" si="4"/>
        <v>7.6923076923076925</v>
      </c>
      <c r="R28" s="5">
        <f t="shared" ca="1" si="5"/>
        <v>10.392307692307693</v>
      </c>
      <c r="S28" s="5">
        <f t="shared" ca="1" si="6"/>
        <v>7.6923076923076925</v>
      </c>
      <c r="T28" s="5">
        <f ca="1">M28/IF(Summary!$C$8&lt;&gt;"Patients",1,$I$9)</f>
        <v>14.254500348202729</v>
      </c>
      <c r="U28" s="5">
        <f ca="1">(IF(N28-M28=0,0.1,N28-M28)/IF(Summary!$C$8&lt;&gt;"Patients",1,$I$9))</f>
        <v>2.9077629903405398</v>
      </c>
      <c r="V28" s="5">
        <f t="shared" ca="1" si="7"/>
        <v>3.8</v>
      </c>
      <c r="X28" s="5">
        <f ca="1">(VLOOKUP(D28,'SPC background (hide)'!$AG$2:$AN$54,8,0)/IF(Summary!$C$8&lt;&gt;"Patients",1,$I$9))*(1-$I$4)*(1-$I$5+($I$6*$I$7))</f>
        <v>12.794157157498368</v>
      </c>
    </row>
    <row r="29" spans="1:24" x14ac:dyDescent="0.2">
      <c r="A29" s="88">
        <f t="shared" ca="1" si="8"/>
        <v>43682</v>
      </c>
      <c r="B29" s="68" t="str">
        <f t="shared" ca="1" si="0"/>
        <v/>
      </c>
      <c r="C29" s="68" t="str">
        <f t="shared" ca="1" si="9"/>
        <v>Aug</v>
      </c>
      <c r="D29" s="68">
        <f t="shared" ca="1" si="1"/>
        <v>32</v>
      </c>
      <c r="E29" s="5">
        <f ca="1">VLOOKUP($D29,'SPC background (hide)'!$AG$2:$AS$54,12,0)</f>
        <v>551.5</v>
      </c>
      <c r="F29" s="5">
        <f ca="1">VLOOKUP($D29,'SPC background (hide)'!$AG$2:$AS$54,13,0)</f>
        <v>664</v>
      </c>
      <c r="G29" s="5" t="str">
        <f>IF(Setup!$I$15="Yes",VLOOKUP(D29,'SPC background (hide)'!$AG$2:$AT$54,14,0)/IF(Summary!$C$8="Patients",'Summary Calculations (hide)'!$I$9,1),"")</f>
        <v/>
      </c>
      <c r="H29" s="68">
        <f ca="1">IF(Setup!$I$13="Yes",'Planned background (hide)'!$V$23/IF(Summary!$C$8="Patients",'Summary Calculations (hide)'!$I$9,1),"")</f>
        <v>3.8</v>
      </c>
      <c r="I29" s="5">
        <f ca="1">HLOOKUP(D29,'Capacity calculation (hide)'!$BK$3:$DJ$4,2,0)</f>
        <v>14.192307692307693</v>
      </c>
      <c r="J29" s="5">
        <f ca="1">HLOOKUP(D29,'Capacity calculation (hide)'!$BK$110:$DJ$111,2,0)</f>
        <v>0</v>
      </c>
      <c r="K29" s="5">
        <f ca="1">IF(I29-IF(Setup!$I$15="Yes",$G29,0)-IF(Setup!$I$13="Yes",$H29,0)&lt;0,0,I29-IF(Setup!$I$15="Yes",$G29,0)-IF(Setup!$I$13="Yes",$H29,0))</f>
        <v>10.392307692307693</v>
      </c>
      <c r="L29" s="5">
        <f t="shared" ca="1" si="2"/>
        <v>0</v>
      </c>
      <c r="M29" s="5">
        <f ca="1">(E29*(1-'Parameters calculator (hide)'!$B$43))*(1-'Parameters calculator (hide)'!$B$44+('Parameters calculator (hide)'!$B$45*'Parameters calculator (hide)'!$B$47))</f>
        <v>527.17074563611823</v>
      </c>
      <c r="N29" s="5">
        <f ca="1">(F29*(1-'Parameters calculator (hide)'!$B$43))*(1-'Parameters calculator (hide)'!$B$44+('Parameters calculator (hide)'!$B$45*'Parameters calculator (hide)'!$B$47))</f>
        <v>634.70784243405717</v>
      </c>
      <c r="P29" s="5">
        <f t="shared" ca="1" si="3"/>
        <v>14.192307692307693</v>
      </c>
      <c r="Q29" s="5">
        <f t="shared" ca="1" si="4"/>
        <v>0</v>
      </c>
      <c r="R29" s="5">
        <f t="shared" ca="1" si="5"/>
        <v>10.392307692307693</v>
      </c>
      <c r="S29" s="5">
        <f t="shared" ca="1" si="6"/>
        <v>0</v>
      </c>
      <c r="T29" s="5">
        <f ca="1">M29/IF(Summary!$C$8&lt;&gt;"Patients",1,$I$9)</f>
        <v>14.254500348202729</v>
      </c>
      <c r="U29" s="5">
        <f ca="1">(IF(N29-M29=0,0.1,N29-M29)/IF(Summary!$C$8&lt;&gt;"Patients",1,$I$9))</f>
        <v>2.9077629903405398</v>
      </c>
      <c r="V29" s="5">
        <f t="shared" ca="1" si="7"/>
        <v>3.8</v>
      </c>
      <c r="X29" s="5">
        <f ca="1">(VLOOKUP(D29,'SPC background (hide)'!$AG$2:$AN$54,8,0)/IF(Summary!$C$8&lt;&gt;"Patients",1,$I$9))*(1-$I$4)*(1-$I$5+($I$6*$I$7))</f>
        <v>12.794157157498368</v>
      </c>
    </row>
    <row r="30" spans="1:24" x14ac:dyDescent="0.2">
      <c r="A30" s="88">
        <f t="shared" ca="1" si="8"/>
        <v>43689</v>
      </c>
      <c r="B30" s="68" t="str">
        <f t="shared" ca="1" si="0"/>
        <v/>
      </c>
      <c r="C30" s="68" t="str">
        <f t="shared" ca="1" si="9"/>
        <v/>
      </c>
      <c r="D30" s="68">
        <f t="shared" ca="1" si="1"/>
        <v>33</v>
      </c>
      <c r="E30" s="5">
        <f ca="1">VLOOKUP($D30,'SPC background (hide)'!$AG$2:$AS$54,12,0)</f>
        <v>551.5</v>
      </c>
      <c r="F30" s="5">
        <f ca="1">VLOOKUP($D30,'SPC background (hide)'!$AG$2:$AS$54,13,0)</f>
        <v>664</v>
      </c>
      <c r="G30" s="5" t="str">
        <f>IF(Setup!$I$15="Yes",VLOOKUP(D30,'SPC background (hide)'!$AG$2:$AT$54,14,0)/IF(Summary!$C$8="Patients",'Summary Calculations (hide)'!$I$9,1),"")</f>
        <v/>
      </c>
      <c r="H30" s="68">
        <f ca="1">IF(Setup!$I$13="Yes",'Planned background (hide)'!$V$23/IF(Summary!$C$8="Patients",'Summary Calculations (hide)'!$I$9,1),"")</f>
        <v>3.8</v>
      </c>
      <c r="I30" s="5">
        <f ca="1">HLOOKUP(D30,'Capacity calculation (hide)'!$BK$3:$DJ$4,2,0)</f>
        <v>14.192307692307693</v>
      </c>
      <c r="J30" s="5">
        <f ca="1">HLOOKUP(D30,'Capacity calculation (hide)'!$BK$110:$DJ$111,2,0)</f>
        <v>0</v>
      </c>
      <c r="K30" s="5">
        <f ca="1">IF(I30-IF(Setup!$I$15="Yes",$G30,0)-IF(Setup!$I$13="Yes",$H30,0)&lt;0,0,I30-IF(Setup!$I$15="Yes",$G30,0)-IF(Setup!$I$13="Yes",$H30,0))</f>
        <v>10.392307692307693</v>
      </c>
      <c r="L30" s="5">
        <f t="shared" ca="1" si="2"/>
        <v>0</v>
      </c>
      <c r="M30" s="5">
        <f ca="1">(E30*(1-'Parameters calculator (hide)'!$B$43))*(1-'Parameters calculator (hide)'!$B$44+('Parameters calculator (hide)'!$B$45*'Parameters calculator (hide)'!$B$47))</f>
        <v>527.17074563611823</v>
      </c>
      <c r="N30" s="5">
        <f ca="1">(F30*(1-'Parameters calculator (hide)'!$B$43))*(1-'Parameters calculator (hide)'!$B$44+('Parameters calculator (hide)'!$B$45*'Parameters calculator (hide)'!$B$47))</f>
        <v>634.70784243405717</v>
      </c>
      <c r="P30" s="5">
        <f t="shared" ca="1" si="3"/>
        <v>14.192307692307693</v>
      </c>
      <c r="Q30" s="5">
        <f t="shared" ca="1" si="4"/>
        <v>0</v>
      </c>
      <c r="R30" s="5">
        <f t="shared" ca="1" si="5"/>
        <v>10.392307692307693</v>
      </c>
      <c r="S30" s="5">
        <f t="shared" ca="1" si="6"/>
        <v>0</v>
      </c>
      <c r="T30" s="5">
        <f ca="1">M30/IF(Summary!$C$8&lt;&gt;"Patients",1,$I$9)</f>
        <v>14.254500348202729</v>
      </c>
      <c r="U30" s="5">
        <f ca="1">(IF(N30-M30=0,0.1,N30-M30)/IF(Summary!$C$8&lt;&gt;"Patients",1,$I$9))</f>
        <v>2.9077629903405398</v>
      </c>
      <c r="V30" s="5">
        <f t="shared" ca="1" si="7"/>
        <v>3.8</v>
      </c>
      <c r="X30" s="5">
        <f ca="1">(VLOOKUP(D30,'SPC background (hide)'!$AG$2:$AN$54,8,0)/IF(Summary!$C$8&lt;&gt;"Patients",1,$I$9))*(1-$I$4)*(1-$I$5+($I$6*$I$7))</f>
        <v>12.794157157498368</v>
      </c>
    </row>
    <row r="31" spans="1:24" x14ac:dyDescent="0.2">
      <c r="A31" s="88">
        <f t="shared" ca="1" si="8"/>
        <v>43696</v>
      </c>
      <c r="B31" s="68" t="str">
        <f t="shared" ca="1" si="0"/>
        <v/>
      </c>
      <c r="C31" s="68" t="str">
        <f t="shared" ca="1" si="9"/>
        <v/>
      </c>
      <c r="D31" s="68">
        <f t="shared" ca="1" si="1"/>
        <v>34</v>
      </c>
      <c r="E31" s="5">
        <f ca="1">VLOOKUP($D31,'SPC background (hide)'!$AG$2:$AS$54,12,0)</f>
        <v>551.5</v>
      </c>
      <c r="F31" s="5">
        <f ca="1">VLOOKUP($D31,'SPC background (hide)'!$AG$2:$AS$54,13,0)</f>
        <v>664</v>
      </c>
      <c r="G31" s="5" t="str">
        <f>IF(Setup!$I$15="Yes",VLOOKUP(D31,'SPC background (hide)'!$AG$2:$AT$54,14,0)/IF(Summary!$C$8="Patients",'Summary Calculations (hide)'!$I$9,1),"")</f>
        <v/>
      </c>
      <c r="H31" s="68">
        <f ca="1">IF(Setup!$I$13="Yes",'Planned background (hide)'!$V$23/IF(Summary!$C$8="Patients",'Summary Calculations (hide)'!$I$9,1),"")</f>
        <v>3.8</v>
      </c>
      <c r="I31" s="5">
        <f ca="1">HLOOKUP(D31,'Capacity calculation (hide)'!$BK$3:$DJ$4,2,0)</f>
        <v>14.192307692307693</v>
      </c>
      <c r="J31" s="5">
        <f ca="1">HLOOKUP(D31,'Capacity calculation (hide)'!$BK$110:$DJ$111,2,0)</f>
        <v>0</v>
      </c>
      <c r="K31" s="5">
        <f ca="1">IF(I31-IF(Setup!$I$15="Yes",$G31,0)-IF(Setup!$I$13="Yes",$H31,0)&lt;0,0,I31-IF(Setup!$I$15="Yes",$G31,0)-IF(Setup!$I$13="Yes",$H31,0))</f>
        <v>10.392307692307693</v>
      </c>
      <c r="L31" s="5">
        <f t="shared" ca="1" si="2"/>
        <v>0</v>
      </c>
      <c r="M31" s="5">
        <f ca="1">(E31*(1-'Parameters calculator (hide)'!$B$43))*(1-'Parameters calculator (hide)'!$B$44+('Parameters calculator (hide)'!$B$45*'Parameters calculator (hide)'!$B$47))</f>
        <v>527.17074563611823</v>
      </c>
      <c r="N31" s="5">
        <f ca="1">(F31*(1-'Parameters calculator (hide)'!$B$43))*(1-'Parameters calculator (hide)'!$B$44+('Parameters calculator (hide)'!$B$45*'Parameters calculator (hide)'!$B$47))</f>
        <v>634.70784243405717</v>
      </c>
      <c r="P31" s="5">
        <f t="shared" ca="1" si="3"/>
        <v>14.192307692307693</v>
      </c>
      <c r="Q31" s="5">
        <f t="shared" ca="1" si="4"/>
        <v>0</v>
      </c>
      <c r="R31" s="5">
        <f t="shared" ca="1" si="5"/>
        <v>10.392307692307693</v>
      </c>
      <c r="S31" s="5">
        <f t="shared" ca="1" si="6"/>
        <v>0</v>
      </c>
      <c r="T31" s="5">
        <f ca="1">M31/IF(Summary!$C$8&lt;&gt;"Patients",1,$I$9)</f>
        <v>14.254500348202729</v>
      </c>
      <c r="U31" s="5">
        <f ca="1">(IF(N31-M31=0,0.1,N31-M31)/IF(Summary!$C$8&lt;&gt;"Patients",1,$I$9))</f>
        <v>2.9077629903405398</v>
      </c>
      <c r="V31" s="5">
        <f t="shared" ca="1" si="7"/>
        <v>3.8</v>
      </c>
      <c r="X31" s="5">
        <f ca="1">(VLOOKUP(D31,'SPC background (hide)'!$AG$2:$AN$54,8,0)/IF(Summary!$C$8&lt;&gt;"Patients",1,$I$9))*(1-$I$4)*(1-$I$5+($I$6*$I$7))</f>
        <v>12.794157157498368</v>
      </c>
    </row>
    <row r="32" spans="1:24" x14ac:dyDescent="0.2">
      <c r="A32" s="88">
        <f t="shared" ca="1" si="8"/>
        <v>43703</v>
      </c>
      <c r="B32" s="68" t="str">
        <f t="shared" ca="1" si="0"/>
        <v/>
      </c>
      <c r="C32" s="68" t="str">
        <f t="shared" ca="1" si="9"/>
        <v/>
      </c>
      <c r="D32" s="68">
        <f t="shared" ca="1" si="1"/>
        <v>35</v>
      </c>
      <c r="E32" s="5">
        <f ca="1">VLOOKUP($D32,'SPC background (hide)'!$AG$2:$AS$54,12,0)</f>
        <v>551.5</v>
      </c>
      <c r="F32" s="5">
        <f ca="1">VLOOKUP($D32,'SPC background (hide)'!$AG$2:$AS$54,13,0)</f>
        <v>664</v>
      </c>
      <c r="G32" s="5" t="str">
        <f>IF(Setup!$I$15="Yes",VLOOKUP(D32,'SPC background (hide)'!$AG$2:$AT$54,14,0)/IF(Summary!$C$8="Patients",'Summary Calculations (hide)'!$I$9,1),"")</f>
        <v/>
      </c>
      <c r="H32" s="68">
        <f ca="1">IF(Setup!$I$13="Yes",'Planned background (hide)'!$V$23/IF(Summary!$C$8="Patients",'Summary Calculations (hide)'!$I$9,1),"")</f>
        <v>3.8</v>
      </c>
      <c r="I32" s="5">
        <f ca="1">HLOOKUP(D32,'Capacity calculation (hide)'!$BK$3:$DJ$4,2,0)</f>
        <v>14.192307692307693</v>
      </c>
      <c r="J32" s="5">
        <f ca="1">HLOOKUP(D32,'Capacity calculation (hide)'!$BK$110:$DJ$111,2,0)</f>
        <v>0</v>
      </c>
      <c r="K32" s="5">
        <f ca="1">IF(I32-IF(Setup!$I$15="Yes",$G32,0)-IF(Setup!$I$13="Yes",$H32,0)&lt;0,0,I32-IF(Setup!$I$15="Yes",$G32,0)-IF(Setup!$I$13="Yes",$H32,0))</f>
        <v>10.392307692307693</v>
      </c>
      <c r="L32" s="5">
        <f t="shared" ca="1" si="2"/>
        <v>0</v>
      </c>
      <c r="M32" s="5">
        <f ca="1">(E32*(1-'Parameters calculator (hide)'!$B$43))*(1-'Parameters calculator (hide)'!$B$44+('Parameters calculator (hide)'!$B$45*'Parameters calculator (hide)'!$B$47))</f>
        <v>527.17074563611823</v>
      </c>
      <c r="N32" s="5">
        <f ca="1">(F32*(1-'Parameters calculator (hide)'!$B$43))*(1-'Parameters calculator (hide)'!$B$44+('Parameters calculator (hide)'!$B$45*'Parameters calculator (hide)'!$B$47))</f>
        <v>634.70784243405717</v>
      </c>
      <c r="P32" s="5">
        <f t="shared" ca="1" si="3"/>
        <v>14.192307692307693</v>
      </c>
      <c r="Q32" s="5">
        <f t="shared" ca="1" si="4"/>
        <v>0</v>
      </c>
      <c r="R32" s="5">
        <f t="shared" ca="1" si="5"/>
        <v>10.392307692307693</v>
      </c>
      <c r="S32" s="5">
        <f t="shared" ca="1" si="6"/>
        <v>0</v>
      </c>
      <c r="T32" s="5">
        <f ca="1">M32/IF(Summary!$C$8&lt;&gt;"Patients",1,$I$9)</f>
        <v>14.254500348202729</v>
      </c>
      <c r="U32" s="5">
        <f ca="1">(IF(N32-M32=0,0.1,N32-M32)/IF(Summary!$C$8&lt;&gt;"Patients",1,$I$9))</f>
        <v>2.9077629903405398</v>
      </c>
      <c r="V32" s="5">
        <f t="shared" ca="1" si="7"/>
        <v>3.8</v>
      </c>
      <c r="X32" s="5">
        <f ca="1">(VLOOKUP(D32,'SPC background (hide)'!$AG$2:$AN$54,8,0)/IF(Summary!$C$8&lt;&gt;"Patients",1,$I$9))*(1-$I$4)*(1-$I$5+($I$6*$I$7))</f>
        <v>12.794157157498368</v>
      </c>
    </row>
    <row r="33" spans="1:24" x14ac:dyDescent="0.2">
      <c r="A33" s="88">
        <f t="shared" ca="1" si="8"/>
        <v>43710</v>
      </c>
      <c r="B33" s="68" t="str">
        <f t="shared" ca="1" si="0"/>
        <v/>
      </c>
      <c r="C33" s="68" t="str">
        <f t="shared" ca="1" si="9"/>
        <v>Sep</v>
      </c>
      <c r="D33" s="68">
        <f t="shared" ca="1" si="1"/>
        <v>36</v>
      </c>
      <c r="E33" s="5">
        <f ca="1">VLOOKUP($D33,'SPC background (hide)'!$AG$2:$AS$54,12,0)</f>
        <v>551.5</v>
      </c>
      <c r="F33" s="5">
        <f ca="1">VLOOKUP($D33,'SPC background (hide)'!$AG$2:$AS$54,13,0)</f>
        <v>664</v>
      </c>
      <c r="G33" s="5" t="str">
        <f>IF(Setup!$I$15="Yes",VLOOKUP(D33,'SPC background (hide)'!$AG$2:$AT$54,14,0)/IF(Summary!$C$8="Patients",'Summary Calculations (hide)'!$I$9,1),"")</f>
        <v/>
      </c>
      <c r="H33" s="68">
        <f ca="1">IF(Setup!$I$13="Yes",'Planned background (hide)'!$V$23/IF(Summary!$C$8="Patients",'Summary Calculations (hide)'!$I$9,1),"")</f>
        <v>3.8</v>
      </c>
      <c r="I33" s="5">
        <f ca="1">HLOOKUP(D33,'Capacity calculation (hide)'!$BK$3:$DJ$4,2,0)</f>
        <v>14.192307692307693</v>
      </c>
      <c r="J33" s="5">
        <f ca="1">HLOOKUP(D33,'Capacity calculation (hide)'!$BK$110:$DJ$111,2,0)</f>
        <v>0</v>
      </c>
      <c r="K33" s="5">
        <f ca="1">IF(I33-IF(Setup!$I$15="Yes",$G33,0)-IF(Setup!$I$13="Yes",$H33,0)&lt;0,0,I33-IF(Setup!$I$15="Yes",$G33,0)-IF(Setup!$I$13="Yes",$H33,0))</f>
        <v>10.392307692307693</v>
      </c>
      <c r="L33" s="5">
        <f t="shared" ca="1" si="2"/>
        <v>0</v>
      </c>
      <c r="M33" s="5">
        <f ca="1">(E33*(1-'Parameters calculator (hide)'!$B$43))*(1-'Parameters calculator (hide)'!$B$44+('Parameters calculator (hide)'!$B$45*'Parameters calculator (hide)'!$B$47))</f>
        <v>527.17074563611823</v>
      </c>
      <c r="N33" s="5">
        <f ca="1">(F33*(1-'Parameters calculator (hide)'!$B$43))*(1-'Parameters calculator (hide)'!$B$44+('Parameters calculator (hide)'!$B$45*'Parameters calculator (hide)'!$B$47))</f>
        <v>634.70784243405717</v>
      </c>
      <c r="P33" s="5">
        <f t="shared" ca="1" si="3"/>
        <v>14.192307692307693</v>
      </c>
      <c r="Q33" s="5">
        <f t="shared" ca="1" si="4"/>
        <v>0</v>
      </c>
      <c r="R33" s="5">
        <f t="shared" ca="1" si="5"/>
        <v>10.392307692307693</v>
      </c>
      <c r="S33" s="5">
        <f t="shared" ca="1" si="6"/>
        <v>0</v>
      </c>
      <c r="T33" s="5">
        <f ca="1">M33/IF(Summary!$C$8&lt;&gt;"Patients",1,$I$9)</f>
        <v>14.254500348202729</v>
      </c>
      <c r="U33" s="5">
        <f ca="1">(IF(N33-M33=0,0.1,N33-M33)/IF(Summary!$C$8&lt;&gt;"Patients",1,$I$9))</f>
        <v>2.9077629903405398</v>
      </c>
      <c r="V33" s="5">
        <f t="shared" ca="1" si="7"/>
        <v>3.8</v>
      </c>
      <c r="X33" s="5">
        <f ca="1">(VLOOKUP(D33,'SPC background (hide)'!$AG$2:$AN$54,8,0)/IF(Summary!$C$8&lt;&gt;"Patients",1,$I$9))*(1-$I$4)*(1-$I$5+($I$6*$I$7))</f>
        <v>12.794157157498368</v>
      </c>
    </row>
    <row r="34" spans="1:24" x14ac:dyDescent="0.2">
      <c r="A34" s="88">
        <f t="shared" ca="1" si="8"/>
        <v>43717</v>
      </c>
      <c r="B34" s="68" t="str">
        <f t="shared" ca="1" si="0"/>
        <v/>
      </c>
      <c r="C34" s="68" t="str">
        <f t="shared" ca="1" si="9"/>
        <v/>
      </c>
      <c r="D34" s="68">
        <f t="shared" ca="1" si="1"/>
        <v>37</v>
      </c>
      <c r="E34" s="5">
        <f ca="1">VLOOKUP($D34,'SPC background (hide)'!$AG$2:$AS$54,12,0)</f>
        <v>551.5</v>
      </c>
      <c r="F34" s="5">
        <f ca="1">VLOOKUP($D34,'SPC background (hide)'!$AG$2:$AS$54,13,0)</f>
        <v>664</v>
      </c>
      <c r="G34" s="5" t="str">
        <f>IF(Setup!$I$15="Yes",VLOOKUP(D34,'SPC background (hide)'!$AG$2:$AT$54,14,0)/IF(Summary!$C$8="Patients",'Summary Calculations (hide)'!$I$9,1),"")</f>
        <v/>
      </c>
      <c r="H34" s="68">
        <f ca="1">IF(Setup!$I$13="Yes",'Planned background (hide)'!$V$23/IF(Summary!$C$8="Patients",'Summary Calculations (hide)'!$I$9,1),"")</f>
        <v>3.8</v>
      </c>
      <c r="I34" s="5">
        <f ca="1">HLOOKUP(D34,'Capacity calculation (hide)'!$BK$3:$DJ$4,2,0)</f>
        <v>14.192307692307693</v>
      </c>
      <c r="J34" s="5">
        <f ca="1">HLOOKUP(D34,'Capacity calculation (hide)'!$BK$110:$DJ$111,2,0)</f>
        <v>0</v>
      </c>
      <c r="K34" s="5">
        <f ca="1">IF(I34-IF(Setup!$I$15="Yes",$G34,0)-IF(Setup!$I$13="Yes",$H34,0)&lt;0,0,I34-IF(Setup!$I$15="Yes",$G34,0)-IF(Setup!$I$13="Yes",$H34,0))</f>
        <v>10.392307692307693</v>
      </c>
      <c r="L34" s="5">
        <f t="shared" ca="1" si="2"/>
        <v>0</v>
      </c>
      <c r="M34" s="5">
        <f ca="1">(E34*(1-'Parameters calculator (hide)'!$B$43))*(1-'Parameters calculator (hide)'!$B$44+('Parameters calculator (hide)'!$B$45*'Parameters calculator (hide)'!$B$47))</f>
        <v>527.17074563611823</v>
      </c>
      <c r="N34" s="5">
        <f ca="1">(F34*(1-'Parameters calculator (hide)'!$B$43))*(1-'Parameters calculator (hide)'!$B$44+('Parameters calculator (hide)'!$B$45*'Parameters calculator (hide)'!$B$47))</f>
        <v>634.70784243405717</v>
      </c>
      <c r="P34" s="5">
        <f t="shared" ca="1" si="3"/>
        <v>14.192307692307693</v>
      </c>
      <c r="Q34" s="5">
        <f t="shared" ca="1" si="4"/>
        <v>0</v>
      </c>
      <c r="R34" s="5">
        <f t="shared" ca="1" si="5"/>
        <v>10.392307692307693</v>
      </c>
      <c r="S34" s="5">
        <f t="shared" ca="1" si="6"/>
        <v>0</v>
      </c>
      <c r="T34" s="5">
        <f ca="1">M34/IF(Summary!$C$8&lt;&gt;"Patients",1,$I$9)</f>
        <v>14.254500348202729</v>
      </c>
      <c r="U34" s="5">
        <f ca="1">(IF(N34-M34=0,0.1,N34-M34)/IF(Summary!$C$8&lt;&gt;"Patients",1,$I$9))</f>
        <v>2.9077629903405398</v>
      </c>
      <c r="V34" s="5">
        <f t="shared" ca="1" si="7"/>
        <v>3.8</v>
      </c>
      <c r="X34" s="5">
        <f ca="1">(VLOOKUP(D34,'SPC background (hide)'!$AG$2:$AN$54,8,0)/IF(Summary!$C$8&lt;&gt;"Patients",1,$I$9))*(1-$I$4)*(1-$I$5+($I$6*$I$7))</f>
        <v>12.794157157498368</v>
      </c>
    </row>
    <row r="35" spans="1:24" x14ac:dyDescent="0.2">
      <c r="A35" s="88">
        <f t="shared" ca="1" si="8"/>
        <v>43724</v>
      </c>
      <c r="B35" s="68" t="str">
        <f t="shared" ca="1" si="0"/>
        <v/>
      </c>
      <c r="C35" s="68" t="str">
        <f t="shared" ca="1" si="9"/>
        <v/>
      </c>
      <c r="D35" s="68">
        <f t="shared" ca="1" si="1"/>
        <v>38</v>
      </c>
      <c r="E35" s="5">
        <f ca="1">VLOOKUP($D35,'SPC background (hide)'!$AG$2:$AS$54,12,0)</f>
        <v>551.5</v>
      </c>
      <c r="F35" s="5">
        <f ca="1">VLOOKUP($D35,'SPC background (hide)'!$AG$2:$AS$54,13,0)</f>
        <v>664</v>
      </c>
      <c r="G35" s="5" t="str">
        <f>IF(Setup!$I$15="Yes",VLOOKUP(D35,'SPC background (hide)'!$AG$2:$AT$54,14,0)/IF(Summary!$C$8="Patients",'Summary Calculations (hide)'!$I$9,1),"")</f>
        <v/>
      </c>
      <c r="H35" s="68">
        <f ca="1">IF(Setup!$I$13="Yes",'Planned background (hide)'!$V$23/IF(Summary!$C$8="Patients",'Summary Calculations (hide)'!$I$9,1),"")</f>
        <v>3.8</v>
      </c>
      <c r="I35" s="5">
        <f ca="1">HLOOKUP(D35,'Capacity calculation (hide)'!$BK$3:$DJ$4,2,0)</f>
        <v>14.192307692307693</v>
      </c>
      <c r="J35" s="5">
        <f ca="1">HLOOKUP(D35,'Capacity calculation (hide)'!$BK$110:$DJ$111,2,0)</f>
        <v>0</v>
      </c>
      <c r="K35" s="5">
        <f ca="1">IF(I35-IF(Setup!$I$15="Yes",$G35,0)-IF(Setup!$I$13="Yes",$H35,0)&lt;0,0,I35-IF(Setup!$I$15="Yes",$G35,0)-IF(Setup!$I$13="Yes",$H35,0))</f>
        <v>10.392307692307693</v>
      </c>
      <c r="L35" s="5">
        <f t="shared" ca="1" si="2"/>
        <v>0</v>
      </c>
      <c r="M35" s="5">
        <f ca="1">(E35*(1-'Parameters calculator (hide)'!$B$43))*(1-'Parameters calculator (hide)'!$B$44+('Parameters calculator (hide)'!$B$45*'Parameters calculator (hide)'!$B$47))</f>
        <v>527.17074563611823</v>
      </c>
      <c r="N35" s="5">
        <f ca="1">(F35*(1-'Parameters calculator (hide)'!$B$43))*(1-'Parameters calculator (hide)'!$B$44+('Parameters calculator (hide)'!$B$45*'Parameters calculator (hide)'!$B$47))</f>
        <v>634.70784243405717</v>
      </c>
      <c r="P35" s="5">
        <f t="shared" ca="1" si="3"/>
        <v>14.192307692307693</v>
      </c>
      <c r="Q35" s="5">
        <f t="shared" ca="1" si="4"/>
        <v>0</v>
      </c>
      <c r="R35" s="5">
        <f t="shared" ca="1" si="5"/>
        <v>10.392307692307693</v>
      </c>
      <c r="S35" s="5">
        <f t="shared" ca="1" si="6"/>
        <v>0</v>
      </c>
      <c r="T35" s="5">
        <f ca="1">M35/IF(Summary!$C$8&lt;&gt;"Patients",1,$I$9)</f>
        <v>14.254500348202729</v>
      </c>
      <c r="U35" s="5">
        <f ca="1">(IF(N35-M35=0,0.1,N35-M35)/IF(Summary!$C$8&lt;&gt;"Patients",1,$I$9))</f>
        <v>2.9077629903405398</v>
      </c>
      <c r="V35" s="5">
        <f t="shared" ca="1" si="7"/>
        <v>3.8</v>
      </c>
      <c r="X35" s="5">
        <f ca="1">(VLOOKUP(D35,'SPC background (hide)'!$AG$2:$AN$54,8,0)/IF(Summary!$C$8&lt;&gt;"Patients",1,$I$9))*(1-$I$4)*(1-$I$5+($I$6*$I$7))</f>
        <v>12.794157157498368</v>
      </c>
    </row>
    <row r="36" spans="1:24" x14ac:dyDescent="0.2">
      <c r="A36" s="88">
        <f t="shared" ca="1" si="8"/>
        <v>43731</v>
      </c>
      <c r="B36" s="68" t="str">
        <f t="shared" ca="1" si="0"/>
        <v/>
      </c>
      <c r="C36" s="68" t="str">
        <f t="shared" ca="1" si="9"/>
        <v/>
      </c>
      <c r="D36" s="68">
        <f t="shared" ca="1" si="1"/>
        <v>39</v>
      </c>
      <c r="E36" s="5">
        <f ca="1">VLOOKUP($D36,'SPC background (hide)'!$AG$2:$AS$54,12,0)</f>
        <v>551.5</v>
      </c>
      <c r="F36" s="5">
        <f ca="1">VLOOKUP($D36,'SPC background (hide)'!$AG$2:$AS$54,13,0)</f>
        <v>664</v>
      </c>
      <c r="G36" s="5" t="str">
        <f>IF(Setup!$I$15="Yes",VLOOKUP(D36,'SPC background (hide)'!$AG$2:$AT$54,14,0)/IF(Summary!$C$8="Patients",'Summary Calculations (hide)'!$I$9,1),"")</f>
        <v/>
      </c>
      <c r="H36" s="68">
        <f ca="1">IF(Setup!$I$13="Yes",'Planned background (hide)'!$V$23/IF(Summary!$C$8="Patients",'Summary Calculations (hide)'!$I$9,1),"")</f>
        <v>3.8</v>
      </c>
      <c r="I36" s="5">
        <f ca="1">HLOOKUP(D36,'Capacity calculation (hide)'!$BK$3:$DJ$4,2,0)</f>
        <v>14.192307692307693</v>
      </c>
      <c r="J36" s="5">
        <f ca="1">HLOOKUP(D36,'Capacity calculation (hide)'!$BK$110:$DJ$111,2,0)</f>
        <v>0</v>
      </c>
      <c r="K36" s="5">
        <f ca="1">IF(I36-IF(Setup!$I$15="Yes",$G36,0)-IF(Setup!$I$13="Yes",$H36,0)&lt;0,0,I36-IF(Setup!$I$15="Yes",$G36,0)-IF(Setup!$I$13="Yes",$H36,0))</f>
        <v>10.392307692307693</v>
      </c>
      <c r="L36" s="5">
        <f t="shared" ca="1" si="2"/>
        <v>0</v>
      </c>
      <c r="M36" s="5">
        <f ca="1">(E36*(1-'Parameters calculator (hide)'!$B$43))*(1-'Parameters calculator (hide)'!$B$44+('Parameters calculator (hide)'!$B$45*'Parameters calculator (hide)'!$B$47))</f>
        <v>527.17074563611823</v>
      </c>
      <c r="N36" s="5">
        <f ca="1">(F36*(1-'Parameters calculator (hide)'!$B$43))*(1-'Parameters calculator (hide)'!$B$44+('Parameters calculator (hide)'!$B$45*'Parameters calculator (hide)'!$B$47))</f>
        <v>634.70784243405717</v>
      </c>
      <c r="P36" s="5">
        <f t="shared" ca="1" si="3"/>
        <v>14.192307692307693</v>
      </c>
      <c r="Q36" s="5">
        <f t="shared" ca="1" si="4"/>
        <v>0</v>
      </c>
      <c r="R36" s="5">
        <f t="shared" ca="1" si="5"/>
        <v>10.392307692307693</v>
      </c>
      <c r="S36" s="5">
        <f t="shared" ca="1" si="6"/>
        <v>0</v>
      </c>
      <c r="T36" s="5">
        <f ca="1">M36/IF(Summary!$C$8&lt;&gt;"Patients",1,$I$9)</f>
        <v>14.254500348202729</v>
      </c>
      <c r="U36" s="5">
        <f ca="1">(IF(N36-M36=0,0.1,N36-M36)/IF(Summary!$C$8&lt;&gt;"Patients",1,$I$9))</f>
        <v>2.9077629903405398</v>
      </c>
      <c r="V36" s="5">
        <f t="shared" ca="1" si="7"/>
        <v>3.8</v>
      </c>
      <c r="X36" s="5">
        <f ca="1">(VLOOKUP(D36,'SPC background (hide)'!$AG$2:$AN$54,8,0)/IF(Summary!$C$8&lt;&gt;"Patients",1,$I$9))*(1-$I$4)*(1-$I$5+($I$6*$I$7))</f>
        <v>12.794157157498368</v>
      </c>
    </row>
    <row r="37" spans="1:24" x14ac:dyDescent="0.2">
      <c r="A37" s="88">
        <f t="shared" ca="1" si="8"/>
        <v>43738</v>
      </c>
      <c r="B37" s="68" t="str">
        <f t="shared" ca="1" si="0"/>
        <v/>
      </c>
      <c r="C37" s="68" t="str">
        <f t="shared" ca="1" si="9"/>
        <v/>
      </c>
      <c r="D37" s="68">
        <f t="shared" ca="1" si="1"/>
        <v>40</v>
      </c>
      <c r="E37" s="5">
        <f ca="1">VLOOKUP($D37,'SPC background (hide)'!$AG$2:$AS$54,12,0)</f>
        <v>551.5</v>
      </c>
      <c r="F37" s="5">
        <f ca="1">VLOOKUP($D37,'SPC background (hide)'!$AG$2:$AS$54,13,0)</f>
        <v>664</v>
      </c>
      <c r="G37" s="5" t="str">
        <f>IF(Setup!$I$15="Yes",VLOOKUP(D37,'SPC background (hide)'!$AG$2:$AT$54,14,0)/IF(Summary!$C$8="Patients",'Summary Calculations (hide)'!$I$9,1),"")</f>
        <v/>
      </c>
      <c r="H37" s="68">
        <f ca="1">IF(Setup!$I$13="Yes",'Planned background (hide)'!$V$23/IF(Summary!$C$8="Patients",'Summary Calculations (hide)'!$I$9,1),"")</f>
        <v>3.8</v>
      </c>
      <c r="I37" s="5">
        <f ca="1">HLOOKUP(D37,'Capacity calculation (hide)'!$BK$3:$DJ$4,2,0)</f>
        <v>14.192307692307693</v>
      </c>
      <c r="J37" s="5">
        <f ca="1">HLOOKUP(D37,'Capacity calculation (hide)'!$BK$110:$DJ$111,2,0)</f>
        <v>0</v>
      </c>
      <c r="K37" s="5">
        <f ca="1">IF(I37-IF(Setup!$I$15="Yes",$G37,0)-IF(Setup!$I$13="Yes",$H37,0)&lt;0,0,I37-IF(Setup!$I$15="Yes",$G37,0)-IF(Setup!$I$13="Yes",$H37,0))</f>
        <v>10.392307692307693</v>
      </c>
      <c r="L37" s="5">
        <f t="shared" ca="1" si="2"/>
        <v>0</v>
      </c>
      <c r="M37" s="5">
        <f ca="1">(E37*(1-'Parameters calculator (hide)'!$B$43))*(1-'Parameters calculator (hide)'!$B$44+('Parameters calculator (hide)'!$B$45*'Parameters calculator (hide)'!$B$47))</f>
        <v>527.17074563611823</v>
      </c>
      <c r="N37" s="5">
        <f ca="1">(F37*(1-'Parameters calculator (hide)'!$B$43))*(1-'Parameters calculator (hide)'!$B$44+('Parameters calculator (hide)'!$B$45*'Parameters calculator (hide)'!$B$47))</f>
        <v>634.70784243405717</v>
      </c>
      <c r="P37" s="5">
        <f t="shared" ca="1" si="3"/>
        <v>14.192307692307693</v>
      </c>
      <c r="Q37" s="5">
        <f t="shared" ca="1" si="4"/>
        <v>0</v>
      </c>
      <c r="R37" s="5">
        <f t="shared" ca="1" si="5"/>
        <v>10.392307692307693</v>
      </c>
      <c r="S37" s="5">
        <f t="shared" ca="1" si="6"/>
        <v>0</v>
      </c>
      <c r="T37" s="5">
        <f ca="1">M37/IF(Summary!$C$8&lt;&gt;"Patients",1,$I$9)</f>
        <v>14.254500348202729</v>
      </c>
      <c r="U37" s="5">
        <f ca="1">(IF(N37-M37=0,0.1,N37-M37)/IF(Summary!$C$8&lt;&gt;"Patients",1,$I$9))</f>
        <v>2.9077629903405398</v>
      </c>
      <c r="V37" s="5">
        <f t="shared" ca="1" si="7"/>
        <v>3.8</v>
      </c>
      <c r="X37" s="5">
        <f ca="1">(VLOOKUP(D37,'SPC background (hide)'!$AG$2:$AN$54,8,0)/IF(Summary!$C$8&lt;&gt;"Patients",1,$I$9))*(1-$I$4)*(1-$I$5+($I$6*$I$7))</f>
        <v>12.794157157498368</v>
      </c>
    </row>
    <row r="38" spans="1:24" x14ac:dyDescent="0.2">
      <c r="A38" s="88">
        <f t="shared" ca="1" si="8"/>
        <v>43745</v>
      </c>
      <c r="B38" s="68" t="str">
        <f t="shared" ca="1" si="0"/>
        <v/>
      </c>
      <c r="C38" s="68" t="str">
        <f t="shared" ca="1" si="9"/>
        <v>Oct</v>
      </c>
      <c r="D38" s="68">
        <f t="shared" ca="1" si="1"/>
        <v>41</v>
      </c>
      <c r="E38" s="5">
        <f ca="1">VLOOKUP($D38,'SPC background (hide)'!$AG$2:$AS$54,12,0)</f>
        <v>551.5</v>
      </c>
      <c r="F38" s="5">
        <f ca="1">VLOOKUP($D38,'SPC background (hide)'!$AG$2:$AS$54,13,0)</f>
        <v>664</v>
      </c>
      <c r="G38" s="5" t="str">
        <f>IF(Setup!$I$15="Yes",VLOOKUP(D38,'SPC background (hide)'!$AG$2:$AT$54,14,0)/IF(Summary!$C$8="Patients",'Summary Calculations (hide)'!$I$9,1),"")</f>
        <v/>
      </c>
      <c r="H38" s="68">
        <f ca="1">IF(Setup!$I$13="Yes",'Planned background (hide)'!$V$23/IF(Summary!$C$8="Patients",'Summary Calculations (hide)'!$I$9,1),"")</f>
        <v>3.8</v>
      </c>
      <c r="I38" s="5">
        <f ca="1">HLOOKUP(D38,'Capacity calculation (hide)'!$BK$3:$DJ$4,2,0)</f>
        <v>14.192307692307693</v>
      </c>
      <c r="J38" s="5">
        <f ca="1">HLOOKUP(D38,'Capacity calculation (hide)'!$BK$110:$DJ$111,2,0)</f>
        <v>0</v>
      </c>
      <c r="K38" s="5">
        <f ca="1">IF(I38-IF(Setup!$I$15="Yes",$G38,0)-IF(Setup!$I$13="Yes",$H38,0)&lt;0,0,I38-IF(Setup!$I$15="Yes",$G38,0)-IF(Setup!$I$13="Yes",$H38,0))</f>
        <v>10.392307692307693</v>
      </c>
      <c r="L38" s="5">
        <f t="shared" ca="1" si="2"/>
        <v>0</v>
      </c>
      <c r="M38" s="5">
        <f ca="1">(E38*(1-'Parameters calculator (hide)'!$B$43))*(1-'Parameters calculator (hide)'!$B$44+('Parameters calculator (hide)'!$B$45*'Parameters calculator (hide)'!$B$47))</f>
        <v>527.17074563611823</v>
      </c>
      <c r="N38" s="5">
        <f ca="1">(F38*(1-'Parameters calculator (hide)'!$B$43))*(1-'Parameters calculator (hide)'!$B$44+('Parameters calculator (hide)'!$B$45*'Parameters calculator (hide)'!$B$47))</f>
        <v>634.70784243405717</v>
      </c>
      <c r="P38" s="5">
        <f t="shared" ca="1" si="3"/>
        <v>14.192307692307693</v>
      </c>
      <c r="Q38" s="5">
        <f t="shared" ca="1" si="4"/>
        <v>0</v>
      </c>
      <c r="R38" s="5">
        <f t="shared" ca="1" si="5"/>
        <v>10.392307692307693</v>
      </c>
      <c r="S38" s="5">
        <f t="shared" ca="1" si="6"/>
        <v>0</v>
      </c>
      <c r="T38" s="5">
        <f ca="1">M38/IF(Summary!$C$8&lt;&gt;"Patients",1,$I$9)</f>
        <v>14.254500348202729</v>
      </c>
      <c r="U38" s="5">
        <f ca="1">(IF(N38-M38=0,0.1,N38-M38)/IF(Summary!$C$8&lt;&gt;"Patients",1,$I$9))</f>
        <v>2.9077629903405398</v>
      </c>
      <c r="V38" s="5">
        <f t="shared" ca="1" si="7"/>
        <v>3.8</v>
      </c>
      <c r="X38" s="5">
        <f ca="1">(VLOOKUP(D38,'SPC background (hide)'!$AG$2:$AN$54,8,0)/IF(Summary!$C$8&lt;&gt;"Patients",1,$I$9))*(1-$I$4)*(1-$I$5+($I$6*$I$7))</f>
        <v>12.794157157498368</v>
      </c>
    </row>
    <row r="39" spans="1:24" x14ac:dyDescent="0.2">
      <c r="A39" s="88">
        <f t="shared" ca="1" si="8"/>
        <v>43752</v>
      </c>
      <c r="B39" s="68" t="str">
        <f t="shared" ca="1" si="0"/>
        <v/>
      </c>
      <c r="C39" s="68" t="str">
        <f t="shared" ca="1" si="9"/>
        <v/>
      </c>
      <c r="D39" s="68">
        <f t="shared" ca="1" si="1"/>
        <v>42</v>
      </c>
      <c r="E39" s="5">
        <f ca="1">VLOOKUP($D39,'SPC background (hide)'!$AG$2:$AS$54,12,0)</f>
        <v>551.5</v>
      </c>
      <c r="F39" s="5">
        <f ca="1">VLOOKUP($D39,'SPC background (hide)'!$AG$2:$AS$54,13,0)</f>
        <v>664</v>
      </c>
      <c r="G39" s="5" t="str">
        <f>IF(Setup!$I$15="Yes",VLOOKUP(D39,'SPC background (hide)'!$AG$2:$AT$54,14,0)/IF(Summary!$C$8="Patients",'Summary Calculations (hide)'!$I$9,1),"")</f>
        <v/>
      </c>
      <c r="H39" s="68">
        <f ca="1">IF(Setup!$I$13="Yes",'Planned background (hide)'!$V$23/IF(Summary!$C$8="Patients",'Summary Calculations (hide)'!$I$9,1),"")</f>
        <v>3.8</v>
      </c>
      <c r="I39" s="5">
        <f ca="1">HLOOKUP(D39,'Capacity calculation (hide)'!$BK$3:$DJ$4,2,0)</f>
        <v>14.192307692307693</v>
      </c>
      <c r="J39" s="5">
        <f ca="1">HLOOKUP(D39,'Capacity calculation (hide)'!$BK$110:$DJ$111,2,0)</f>
        <v>0</v>
      </c>
      <c r="K39" s="5">
        <f ca="1">IF(I39-IF(Setup!$I$15="Yes",$G39,0)-IF(Setup!$I$13="Yes",$H39,0)&lt;0,0,I39-IF(Setup!$I$15="Yes",$G39,0)-IF(Setup!$I$13="Yes",$H39,0))</f>
        <v>10.392307692307693</v>
      </c>
      <c r="L39" s="5">
        <f t="shared" ca="1" si="2"/>
        <v>0</v>
      </c>
      <c r="M39" s="5">
        <f ca="1">(E39*(1-'Parameters calculator (hide)'!$B$43))*(1-'Parameters calculator (hide)'!$B$44+('Parameters calculator (hide)'!$B$45*'Parameters calculator (hide)'!$B$47))</f>
        <v>527.17074563611823</v>
      </c>
      <c r="N39" s="5">
        <f ca="1">(F39*(1-'Parameters calculator (hide)'!$B$43))*(1-'Parameters calculator (hide)'!$B$44+('Parameters calculator (hide)'!$B$45*'Parameters calculator (hide)'!$B$47))</f>
        <v>634.70784243405717</v>
      </c>
      <c r="P39" s="5">
        <f t="shared" ca="1" si="3"/>
        <v>14.192307692307693</v>
      </c>
      <c r="Q39" s="5">
        <f t="shared" ca="1" si="4"/>
        <v>0</v>
      </c>
      <c r="R39" s="5">
        <f t="shared" ca="1" si="5"/>
        <v>10.392307692307693</v>
      </c>
      <c r="S39" s="5">
        <f t="shared" ca="1" si="6"/>
        <v>0</v>
      </c>
      <c r="T39" s="5">
        <f ca="1">M39/IF(Summary!$C$8&lt;&gt;"Patients",1,$I$9)</f>
        <v>14.254500348202729</v>
      </c>
      <c r="U39" s="5">
        <f ca="1">(IF(N39-M39=0,0.1,N39-M39)/IF(Summary!$C$8&lt;&gt;"Patients",1,$I$9))</f>
        <v>2.9077629903405398</v>
      </c>
      <c r="V39" s="5">
        <f t="shared" ca="1" si="7"/>
        <v>3.8</v>
      </c>
      <c r="X39" s="5">
        <f ca="1">(VLOOKUP(D39,'SPC background (hide)'!$AG$2:$AN$54,8,0)/IF(Summary!$C$8&lt;&gt;"Patients",1,$I$9))*(1-$I$4)*(1-$I$5+($I$6*$I$7))</f>
        <v>12.794157157498368</v>
      </c>
    </row>
    <row r="40" spans="1:24" x14ac:dyDescent="0.2">
      <c r="A40" s="88">
        <f t="shared" ca="1" si="8"/>
        <v>43759</v>
      </c>
      <c r="B40" s="68" t="str">
        <f t="shared" ca="1" si="0"/>
        <v/>
      </c>
      <c r="C40" s="68" t="str">
        <f t="shared" ca="1" si="9"/>
        <v/>
      </c>
      <c r="D40" s="68">
        <f t="shared" ca="1" si="1"/>
        <v>43</v>
      </c>
      <c r="E40" s="5">
        <f ca="1">VLOOKUP($D40,'SPC background (hide)'!$AG$2:$AS$54,12,0)</f>
        <v>551.5</v>
      </c>
      <c r="F40" s="5">
        <f ca="1">VLOOKUP($D40,'SPC background (hide)'!$AG$2:$AS$54,13,0)</f>
        <v>664</v>
      </c>
      <c r="G40" s="5" t="str">
        <f>IF(Setup!$I$15="Yes",VLOOKUP(D40,'SPC background (hide)'!$AG$2:$AT$54,14,0)/IF(Summary!$C$8="Patients",'Summary Calculations (hide)'!$I$9,1),"")</f>
        <v/>
      </c>
      <c r="H40" s="68">
        <f ca="1">IF(Setup!$I$13="Yes",'Planned background (hide)'!$V$23/IF(Summary!$C$8="Patients",'Summary Calculations (hide)'!$I$9,1),"")</f>
        <v>3.8</v>
      </c>
      <c r="I40" s="5">
        <f ca="1">HLOOKUP(D40,'Capacity calculation (hide)'!$BK$3:$DJ$4,2,0)</f>
        <v>14.192307692307693</v>
      </c>
      <c r="J40" s="5">
        <f ca="1">HLOOKUP(D40,'Capacity calculation (hide)'!$BK$110:$DJ$111,2,0)</f>
        <v>3.6923076923076925</v>
      </c>
      <c r="K40" s="5">
        <f ca="1">IF(I40-IF(Setup!$I$15="Yes",$G40,0)-IF(Setup!$I$13="Yes",$H40,0)&lt;0,0,I40-IF(Setup!$I$15="Yes",$G40,0)-IF(Setup!$I$13="Yes",$H40,0))</f>
        <v>10.392307692307693</v>
      </c>
      <c r="L40" s="5">
        <f t="shared" ca="1" si="2"/>
        <v>3.6923076923076925</v>
      </c>
      <c r="M40" s="5">
        <f ca="1">(E40*(1-'Parameters calculator (hide)'!$B$43))*(1-'Parameters calculator (hide)'!$B$44+('Parameters calculator (hide)'!$B$45*'Parameters calculator (hide)'!$B$47))</f>
        <v>527.17074563611823</v>
      </c>
      <c r="N40" s="5">
        <f ca="1">(F40*(1-'Parameters calculator (hide)'!$B$43))*(1-'Parameters calculator (hide)'!$B$44+('Parameters calculator (hide)'!$B$45*'Parameters calculator (hide)'!$B$47))</f>
        <v>634.70784243405717</v>
      </c>
      <c r="P40" s="5">
        <f t="shared" ca="1" si="3"/>
        <v>14.192307692307693</v>
      </c>
      <c r="Q40" s="5">
        <f t="shared" ca="1" si="4"/>
        <v>3.6923076923076925</v>
      </c>
      <c r="R40" s="5">
        <f t="shared" ca="1" si="5"/>
        <v>10.392307692307693</v>
      </c>
      <c r="S40" s="5">
        <f t="shared" ca="1" si="6"/>
        <v>3.6923076923076925</v>
      </c>
      <c r="T40" s="5">
        <f ca="1">M40/IF(Summary!$C$8&lt;&gt;"Patients",1,$I$9)</f>
        <v>14.254500348202729</v>
      </c>
      <c r="U40" s="5">
        <f ca="1">(IF(N40-M40=0,0.1,N40-M40)/IF(Summary!$C$8&lt;&gt;"Patients",1,$I$9))</f>
        <v>2.9077629903405398</v>
      </c>
      <c r="V40" s="5">
        <f t="shared" ca="1" si="7"/>
        <v>3.8</v>
      </c>
      <c r="X40" s="5">
        <f ca="1">(VLOOKUP(D40,'SPC background (hide)'!$AG$2:$AN$54,8,0)/IF(Summary!$C$8&lt;&gt;"Patients",1,$I$9))*(1-$I$4)*(1-$I$5+($I$6*$I$7))</f>
        <v>12.794157157498368</v>
      </c>
    </row>
    <row r="41" spans="1:24" x14ac:dyDescent="0.2">
      <c r="A41" s="88">
        <f t="shared" ca="1" si="8"/>
        <v>43766</v>
      </c>
      <c r="B41" s="68" t="str">
        <f t="shared" ca="1" si="0"/>
        <v/>
      </c>
      <c r="C41" s="68" t="str">
        <f t="shared" ca="1" si="9"/>
        <v/>
      </c>
      <c r="D41" s="68">
        <f t="shared" ca="1" si="1"/>
        <v>44</v>
      </c>
      <c r="E41" s="5">
        <f ca="1">VLOOKUP($D41,'SPC background (hide)'!$AG$2:$AS$54,12,0)</f>
        <v>551.5</v>
      </c>
      <c r="F41" s="5">
        <f ca="1">VLOOKUP($D41,'SPC background (hide)'!$AG$2:$AS$54,13,0)</f>
        <v>664</v>
      </c>
      <c r="G41" s="5" t="str">
        <f>IF(Setup!$I$15="Yes",VLOOKUP(D41,'SPC background (hide)'!$AG$2:$AT$54,14,0)/IF(Summary!$C$8="Patients",'Summary Calculations (hide)'!$I$9,1),"")</f>
        <v/>
      </c>
      <c r="H41" s="68">
        <f ca="1">IF(Setup!$I$13="Yes",'Planned background (hide)'!$V$23/IF(Summary!$C$8="Patients",'Summary Calculations (hide)'!$I$9,1),"")</f>
        <v>3.8</v>
      </c>
      <c r="I41" s="5">
        <f ca="1">HLOOKUP(D41,'Capacity calculation (hide)'!$BK$3:$DJ$4,2,0)</f>
        <v>14.192307692307693</v>
      </c>
      <c r="J41" s="5">
        <f ca="1">HLOOKUP(D41,'Capacity calculation (hide)'!$BK$110:$DJ$111,2,0)</f>
        <v>3.6923076923076925</v>
      </c>
      <c r="K41" s="5">
        <f ca="1">IF(I41-IF(Setup!$I$15="Yes",$G41,0)-IF(Setup!$I$13="Yes",$H41,0)&lt;0,0,I41-IF(Setup!$I$15="Yes",$G41,0)-IF(Setup!$I$13="Yes",$H41,0))</f>
        <v>10.392307692307693</v>
      </c>
      <c r="L41" s="5">
        <f t="shared" ca="1" si="2"/>
        <v>3.6923076923076925</v>
      </c>
      <c r="M41" s="5">
        <f ca="1">(E41*(1-'Parameters calculator (hide)'!$B$43))*(1-'Parameters calculator (hide)'!$B$44+('Parameters calculator (hide)'!$B$45*'Parameters calculator (hide)'!$B$47))</f>
        <v>527.17074563611823</v>
      </c>
      <c r="N41" s="5">
        <f ca="1">(F41*(1-'Parameters calculator (hide)'!$B$43))*(1-'Parameters calculator (hide)'!$B$44+('Parameters calculator (hide)'!$B$45*'Parameters calculator (hide)'!$B$47))</f>
        <v>634.70784243405717</v>
      </c>
      <c r="P41" s="5">
        <f t="shared" ca="1" si="3"/>
        <v>14.192307692307693</v>
      </c>
      <c r="Q41" s="5">
        <f t="shared" ca="1" si="4"/>
        <v>3.6923076923076925</v>
      </c>
      <c r="R41" s="5">
        <f t="shared" ca="1" si="5"/>
        <v>10.392307692307693</v>
      </c>
      <c r="S41" s="5">
        <f t="shared" ca="1" si="6"/>
        <v>3.6923076923076925</v>
      </c>
      <c r="T41" s="5">
        <f ca="1">M41/IF(Summary!$C$8&lt;&gt;"Patients",1,$I$9)</f>
        <v>14.254500348202729</v>
      </c>
      <c r="U41" s="5">
        <f ca="1">(IF(N41-M41=0,0.1,N41-M41)/IF(Summary!$C$8&lt;&gt;"Patients",1,$I$9))</f>
        <v>2.9077629903405398</v>
      </c>
      <c r="V41" s="5">
        <f t="shared" ca="1" si="7"/>
        <v>3.8</v>
      </c>
      <c r="X41" s="5">
        <f ca="1">(VLOOKUP(D41,'SPC background (hide)'!$AG$2:$AN$54,8,0)/IF(Summary!$C$8&lt;&gt;"Patients",1,$I$9))*(1-$I$4)*(1-$I$5+($I$6*$I$7))</f>
        <v>12.794157157498368</v>
      </c>
    </row>
    <row r="42" spans="1:24" x14ac:dyDescent="0.2">
      <c r="A42" s="88">
        <f t="shared" ca="1" si="8"/>
        <v>43773</v>
      </c>
      <c r="B42" s="68" t="str">
        <f t="shared" ca="1" si="0"/>
        <v/>
      </c>
      <c r="C42" s="68" t="str">
        <f t="shared" ca="1" si="9"/>
        <v>Nov</v>
      </c>
      <c r="D42" s="68">
        <f t="shared" ca="1" si="1"/>
        <v>45</v>
      </c>
      <c r="E42" s="5">
        <f ca="1">VLOOKUP($D42,'SPC background (hide)'!$AG$2:$AS$54,12,0)</f>
        <v>551.5</v>
      </c>
      <c r="F42" s="5">
        <f ca="1">VLOOKUP($D42,'SPC background (hide)'!$AG$2:$AS$54,13,0)</f>
        <v>664</v>
      </c>
      <c r="G42" s="5" t="str">
        <f>IF(Setup!$I$15="Yes",VLOOKUP(D42,'SPC background (hide)'!$AG$2:$AT$54,14,0)/IF(Summary!$C$8="Patients",'Summary Calculations (hide)'!$I$9,1),"")</f>
        <v/>
      </c>
      <c r="H42" s="68">
        <f ca="1">IF(Setup!$I$13="Yes",'Planned background (hide)'!$V$23/IF(Summary!$C$8="Patients",'Summary Calculations (hide)'!$I$9,1),"")</f>
        <v>3.8</v>
      </c>
      <c r="I42" s="5">
        <f ca="1">HLOOKUP(D42,'Capacity calculation (hide)'!$BK$3:$DJ$4,2,0)</f>
        <v>14.192307692307693</v>
      </c>
      <c r="J42" s="5">
        <f ca="1">HLOOKUP(D42,'Capacity calculation (hide)'!$BK$110:$DJ$111,2,0)</f>
        <v>7.6923076923076925</v>
      </c>
      <c r="K42" s="5">
        <f ca="1">IF(I42-IF(Setup!$I$15="Yes",$G42,0)-IF(Setup!$I$13="Yes",$H42,0)&lt;0,0,I42-IF(Setup!$I$15="Yes",$G42,0)-IF(Setup!$I$13="Yes",$H42,0))</f>
        <v>10.392307692307693</v>
      </c>
      <c r="L42" s="5">
        <f t="shared" ca="1" si="2"/>
        <v>7.6923076923076925</v>
      </c>
      <c r="M42" s="5">
        <f ca="1">(E42*(1-'Parameters calculator (hide)'!$B$43))*(1-'Parameters calculator (hide)'!$B$44+('Parameters calculator (hide)'!$B$45*'Parameters calculator (hide)'!$B$47))</f>
        <v>527.17074563611823</v>
      </c>
      <c r="N42" s="5">
        <f ca="1">(F42*(1-'Parameters calculator (hide)'!$B$43))*(1-'Parameters calculator (hide)'!$B$44+('Parameters calculator (hide)'!$B$45*'Parameters calculator (hide)'!$B$47))</f>
        <v>634.70784243405717</v>
      </c>
      <c r="P42" s="5">
        <f t="shared" ca="1" si="3"/>
        <v>14.192307692307693</v>
      </c>
      <c r="Q42" s="5">
        <f t="shared" ca="1" si="4"/>
        <v>7.6923076923076925</v>
      </c>
      <c r="R42" s="5">
        <f t="shared" ca="1" si="5"/>
        <v>10.392307692307693</v>
      </c>
      <c r="S42" s="5">
        <f t="shared" ca="1" si="6"/>
        <v>7.6923076923076925</v>
      </c>
      <c r="T42" s="5">
        <f ca="1">M42/IF(Summary!$C$8&lt;&gt;"Patients",1,$I$9)</f>
        <v>14.254500348202729</v>
      </c>
      <c r="U42" s="5">
        <f ca="1">(IF(N42-M42=0,0.1,N42-M42)/IF(Summary!$C$8&lt;&gt;"Patients",1,$I$9))</f>
        <v>2.9077629903405398</v>
      </c>
      <c r="V42" s="5">
        <f t="shared" ca="1" si="7"/>
        <v>3.8</v>
      </c>
      <c r="X42" s="5">
        <f ca="1">(VLOOKUP(D42,'SPC background (hide)'!$AG$2:$AN$54,8,0)/IF(Summary!$C$8&lt;&gt;"Patients",1,$I$9))*(1-$I$4)*(1-$I$5+($I$6*$I$7))</f>
        <v>12.794157157498368</v>
      </c>
    </row>
    <row r="43" spans="1:24" x14ac:dyDescent="0.2">
      <c r="A43" s="88">
        <f t="shared" ca="1" si="8"/>
        <v>43780</v>
      </c>
      <c r="B43" s="68" t="str">
        <f t="shared" ca="1" si="0"/>
        <v/>
      </c>
      <c r="C43" s="68" t="str">
        <f t="shared" ca="1" si="9"/>
        <v/>
      </c>
      <c r="D43" s="68">
        <f t="shared" ca="1" si="1"/>
        <v>46</v>
      </c>
      <c r="E43" s="5">
        <f ca="1">VLOOKUP($D43,'SPC background (hide)'!$AG$2:$AS$54,12,0)</f>
        <v>551.5</v>
      </c>
      <c r="F43" s="5">
        <f ca="1">VLOOKUP($D43,'SPC background (hide)'!$AG$2:$AS$54,13,0)</f>
        <v>664</v>
      </c>
      <c r="G43" s="5" t="str">
        <f>IF(Setup!$I$15="Yes",VLOOKUP(D43,'SPC background (hide)'!$AG$2:$AT$54,14,0)/IF(Summary!$C$8="Patients",'Summary Calculations (hide)'!$I$9,1),"")</f>
        <v/>
      </c>
      <c r="H43" s="68">
        <f ca="1">IF(Setup!$I$13="Yes",'Planned background (hide)'!$V$23/IF(Summary!$C$8="Patients",'Summary Calculations (hide)'!$I$9,1),"")</f>
        <v>3.8</v>
      </c>
      <c r="I43" s="5">
        <f ca="1">HLOOKUP(D43,'Capacity calculation (hide)'!$BK$3:$DJ$4,2,0)</f>
        <v>14.192307692307693</v>
      </c>
      <c r="J43" s="5">
        <f ca="1">HLOOKUP(D43,'Capacity calculation (hide)'!$BK$110:$DJ$111,2,0)</f>
        <v>7.6923076923076925</v>
      </c>
      <c r="K43" s="5">
        <f ca="1">IF(I43-IF(Setup!$I$15="Yes",$G43,0)-IF(Setup!$I$13="Yes",$H43,0)&lt;0,0,I43-IF(Setup!$I$15="Yes",$G43,0)-IF(Setup!$I$13="Yes",$H43,0))</f>
        <v>10.392307692307693</v>
      </c>
      <c r="L43" s="5">
        <f t="shared" ca="1" si="2"/>
        <v>7.6923076923076925</v>
      </c>
      <c r="M43" s="5">
        <f ca="1">(E43*(1-'Parameters calculator (hide)'!$B$43))*(1-'Parameters calculator (hide)'!$B$44+('Parameters calculator (hide)'!$B$45*'Parameters calculator (hide)'!$B$47))</f>
        <v>527.17074563611823</v>
      </c>
      <c r="N43" s="5">
        <f ca="1">(F43*(1-'Parameters calculator (hide)'!$B$43))*(1-'Parameters calculator (hide)'!$B$44+('Parameters calculator (hide)'!$B$45*'Parameters calculator (hide)'!$B$47))</f>
        <v>634.70784243405717</v>
      </c>
      <c r="P43" s="5">
        <f t="shared" ca="1" si="3"/>
        <v>14.192307692307693</v>
      </c>
      <c r="Q43" s="5">
        <f t="shared" ca="1" si="4"/>
        <v>7.6923076923076925</v>
      </c>
      <c r="R43" s="5">
        <f t="shared" ca="1" si="5"/>
        <v>10.392307692307693</v>
      </c>
      <c r="S43" s="5">
        <f t="shared" ca="1" si="6"/>
        <v>7.6923076923076925</v>
      </c>
      <c r="T43" s="5">
        <f ca="1">M43/IF(Summary!$C$8&lt;&gt;"Patients",1,$I$9)</f>
        <v>14.254500348202729</v>
      </c>
      <c r="U43" s="5">
        <f ca="1">(IF(N43-M43=0,0.1,N43-M43)/IF(Summary!$C$8&lt;&gt;"Patients",1,$I$9))</f>
        <v>2.9077629903405398</v>
      </c>
      <c r="V43" s="5">
        <f t="shared" ca="1" si="7"/>
        <v>3.8</v>
      </c>
      <c r="X43" s="5">
        <f ca="1">(VLOOKUP(D43,'SPC background (hide)'!$AG$2:$AN$54,8,0)/IF(Summary!$C$8&lt;&gt;"Patients",1,$I$9))*(1-$I$4)*(1-$I$5+($I$6*$I$7))</f>
        <v>12.794157157498368</v>
      </c>
    </row>
    <row r="44" spans="1:24" x14ac:dyDescent="0.2">
      <c r="A44" s="88">
        <f t="shared" ca="1" si="8"/>
        <v>43787</v>
      </c>
      <c r="B44" s="68" t="str">
        <f t="shared" ca="1" si="0"/>
        <v/>
      </c>
      <c r="C44" s="68" t="str">
        <f t="shared" ca="1" si="9"/>
        <v/>
      </c>
      <c r="D44" s="68">
        <f t="shared" ca="1" si="1"/>
        <v>47</v>
      </c>
      <c r="E44" s="5">
        <f ca="1">VLOOKUP($D44,'SPC background (hide)'!$AG$2:$AS$54,12,0)</f>
        <v>551.5</v>
      </c>
      <c r="F44" s="5">
        <f ca="1">VLOOKUP($D44,'SPC background (hide)'!$AG$2:$AS$54,13,0)</f>
        <v>664</v>
      </c>
      <c r="G44" s="5" t="str">
        <f>IF(Setup!$I$15="Yes",VLOOKUP(D44,'SPC background (hide)'!$AG$2:$AT$54,14,0)/IF(Summary!$C$8="Patients",'Summary Calculations (hide)'!$I$9,1),"")</f>
        <v/>
      </c>
      <c r="H44" s="68">
        <f ca="1">IF(Setup!$I$13="Yes",'Planned background (hide)'!$V$23/IF(Summary!$C$8="Patients",'Summary Calculations (hide)'!$I$9,1),"")</f>
        <v>3.8</v>
      </c>
      <c r="I44" s="5">
        <f ca="1">HLOOKUP(D44,'Capacity calculation (hide)'!$BK$3:$DJ$4,2,0)</f>
        <v>14.192307692307693</v>
      </c>
      <c r="J44" s="5">
        <f ca="1">HLOOKUP(D44,'Capacity calculation (hide)'!$BK$110:$DJ$111,2,0)</f>
        <v>3.6923076923076925</v>
      </c>
      <c r="K44" s="5">
        <f ca="1">IF(I44-IF(Setup!$I$15="Yes",$G44,0)-IF(Setup!$I$13="Yes",$H44,0)&lt;0,0,I44-IF(Setup!$I$15="Yes",$G44,0)-IF(Setup!$I$13="Yes",$H44,0))</f>
        <v>10.392307692307693</v>
      </c>
      <c r="L44" s="5">
        <f t="shared" ca="1" si="2"/>
        <v>3.6923076923076925</v>
      </c>
      <c r="M44" s="5">
        <f ca="1">(E44*(1-'Parameters calculator (hide)'!$B$43))*(1-'Parameters calculator (hide)'!$B$44+('Parameters calculator (hide)'!$B$45*'Parameters calculator (hide)'!$B$47))</f>
        <v>527.17074563611823</v>
      </c>
      <c r="N44" s="5">
        <f ca="1">(F44*(1-'Parameters calculator (hide)'!$B$43))*(1-'Parameters calculator (hide)'!$B$44+('Parameters calculator (hide)'!$B$45*'Parameters calculator (hide)'!$B$47))</f>
        <v>634.70784243405717</v>
      </c>
      <c r="P44" s="5">
        <f t="shared" ca="1" si="3"/>
        <v>14.192307692307693</v>
      </c>
      <c r="Q44" s="5">
        <f t="shared" ca="1" si="4"/>
        <v>3.6923076923076925</v>
      </c>
      <c r="R44" s="5">
        <f t="shared" ca="1" si="5"/>
        <v>10.392307692307693</v>
      </c>
      <c r="S44" s="5">
        <f t="shared" ca="1" si="6"/>
        <v>3.6923076923076925</v>
      </c>
      <c r="T44" s="5">
        <f ca="1">M44/IF(Summary!$C$8&lt;&gt;"Patients",1,$I$9)</f>
        <v>14.254500348202729</v>
      </c>
      <c r="U44" s="5">
        <f ca="1">(IF(N44-M44=0,0.1,N44-M44)/IF(Summary!$C$8&lt;&gt;"Patients",1,$I$9))</f>
        <v>2.9077629903405398</v>
      </c>
      <c r="V44" s="5">
        <f t="shared" ca="1" si="7"/>
        <v>3.8</v>
      </c>
      <c r="X44" s="5">
        <f ca="1">(VLOOKUP(D44,'SPC background (hide)'!$AG$2:$AN$54,8,0)/IF(Summary!$C$8&lt;&gt;"Patients",1,$I$9))*(1-$I$4)*(1-$I$5+($I$6*$I$7))</f>
        <v>12.794157157498368</v>
      </c>
    </row>
    <row r="45" spans="1:24" x14ac:dyDescent="0.2">
      <c r="A45" s="88">
        <f t="shared" ca="1" si="8"/>
        <v>43794</v>
      </c>
      <c r="B45" s="68" t="str">
        <f t="shared" ca="1" si="0"/>
        <v/>
      </c>
      <c r="C45" s="68" t="str">
        <f t="shared" ca="1" si="9"/>
        <v/>
      </c>
      <c r="D45" s="68">
        <f t="shared" ca="1" si="1"/>
        <v>48</v>
      </c>
      <c r="E45" s="5">
        <f ca="1">VLOOKUP($D45,'SPC background (hide)'!$AG$2:$AS$54,12,0)</f>
        <v>551.5</v>
      </c>
      <c r="F45" s="5">
        <f ca="1">VLOOKUP($D45,'SPC background (hide)'!$AG$2:$AS$54,13,0)</f>
        <v>664</v>
      </c>
      <c r="G45" s="5" t="str">
        <f>IF(Setup!$I$15="Yes",VLOOKUP(D45,'SPC background (hide)'!$AG$2:$AT$54,14,0)/IF(Summary!$C$8="Patients",'Summary Calculations (hide)'!$I$9,1),"")</f>
        <v/>
      </c>
      <c r="H45" s="68">
        <f ca="1">IF(Setup!$I$13="Yes",'Planned background (hide)'!$V$23/IF(Summary!$C$8="Patients",'Summary Calculations (hide)'!$I$9,1),"")</f>
        <v>3.8</v>
      </c>
      <c r="I45" s="5">
        <f ca="1">HLOOKUP(D45,'Capacity calculation (hide)'!$BK$3:$DJ$4,2,0)</f>
        <v>14.192307692307693</v>
      </c>
      <c r="J45" s="5">
        <f ca="1">HLOOKUP(D45,'Capacity calculation (hide)'!$BK$110:$DJ$111,2,0)</f>
        <v>3.6923076923076925</v>
      </c>
      <c r="K45" s="5">
        <f ca="1">IF(I45-IF(Setup!$I$15="Yes",$G45,0)-IF(Setup!$I$13="Yes",$H45,0)&lt;0,0,I45-IF(Setup!$I$15="Yes",$G45,0)-IF(Setup!$I$13="Yes",$H45,0))</f>
        <v>10.392307692307693</v>
      </c>
      <c r="L45" s="5">
        <f t="shared" ca="1" si="2"/>
        <v>3.6923076923076925</v>
      </c>
      <c r="M45" s="5">
        <f ca="1">(E45*(1-'Parameters calculator (hide)'!$B$43))*(1-'Parameters calculator (hide)'!$B$44+('Parameters calculator (hide)'!$B$45*'Parameters calculator (hide)'!$B$47))</f>
        <v>527.17074563611823</v>
      </c>
      <c r="N45" s="5">
        <f ca="1">(F45*(1-'Parameters calculator (hide)'!$B$43))*(1-'Parameters calculator (hide)'!$B$44+('Parameters calculator (hide)'!$B$45*'Parameters calculator (hide)'!$B$47))</f>
        <v>634.70784243405717</v>
      </c>
      <c r="P45" s="5">
        <f t="shared" ca="1" si="3"/>
        <v>14.192307692307693</v>
      </c>
      <c r="Q45" s="5">
        <f t="shared" ca="1" si="4"/>
        <v>3.6923076923076925</v>
      </c>
      <c r="R45" s="5">
        <f t="shared" ca="1" si="5"/>
        <v>10.392307692307693</v>
      </c>
      <c r="S45" s="5">
        <f t="shared" ca="1" si="6"/>
        <v>3.6923076923076925</v>
      </c>
      <c r="T45" s="5">
        <f ca="1">M45/IF(Summary!$C$8&lt;&gt;"Patients",1,$I$9)</f>
        <v>14.254500348202729</v>
      </c>
      <c r="U45" s="5">
        <f ca="1">(IF(N45-M45=0,0.1,N45-M45)/IF(Summary!$C$8&lt;&gt;"Patients",1,$I$9))</f>
        <v>2.9077629903405398</v>
      </c>
      <c r="V45" s="5">
        <f t="shared" ca="1" si="7"/>
        <v>3.8</v>
      </c>
      <c r="X45" s="5">
        <f ca="1">(VLOOKUP(D45,'SPC background (hide)'!$AG$2:$AN$54,8,0)/IF(Summary!$C$8&lt;&gt;"Patients",1,$I$9))*(1-$I$4)*(1-$I$5+($I$6*$I$7))</f>
        <v>12.794157157498368</v>
      </c>
    </row>
    <row r="46" spans="1:24" x14ac:dyDescent="0.2">
      <c r="A46" s="88">
        <f t="shared" ca="1" si="8"/>
        <v>43801</v>
      </c>
      <c r="B46" s="68" t="str">
        <f t="shared" ca="1" si="0"/>
        <v/>
      </c>
      <c r="C46" s="68" t="str">
        <f t="shared" ca="1" si="9"/>
        <v>Dec</v>
      </c>
      <c r="D46" s="68">
        <f t="shared" ca="1" si="1"/>
        <v>49</v>
      </c>
      <c r="E46" s="5">
        <f ca="1">VLOOKUP($D46,'SPC background (hide)'!$AG$2:$AS$54,12,0)</f>
        <v>551.5</v>
      </c>
      <c r="F46" s="5">
        <f ca="1">VLOOKUP($D46,'SPC background (hide)'!$AG$2:$AS$54,13,0)</f>
        <v>664</v>
      </c>
      <c r="G46" s="5" t="str">
        <f>IF(Setup!$I$15="Yes",VLOOKUP(D46,'SPC background (hide)'!$AG$2:$AT$54,14,0)/IF(Summary!$C$8="Patients",'Summary Calculations (hide)'!$I$9,1),"")</f>
        <v/>
      </c>
      <c r="H46" s="68">
        <f ca="1">IF(Setup!$I$13="Yes",'Planned background (hide)'!$V$23/IF(Summary!$C$8="Patients",'Summary Calculations (hide)'!$I$9,1),"")</f>
        <v>3.8</v>
      </c>
      <c r="I46" s="5">
        <f ca="1">HLOOKUP(D46,'Capacity calculation (hide)'!$BK$3:$DJ$4,2,0)</f>
        <v>14.192307692307693</v>
      </c>
      <c r="J46" s="5">
        <f ca="1">HLOOKUP(D46,'Capacity calculation (hide)'!$BK$110:$DJ$111,2,0)</f>
        <v>3.6923076923076925</v>
      </c>
      <c r="K46" s="5">
        <f ca="1">IF(I46-IF(Setup!$I$15="Yes",$G46,0)-IF(Setup!$I$13="Yes",$H46,0)&lt;0,0,I46-IF(Setup!$I$15="Yes",$G46,0)-IF(Setup!$I$13="Yes",$H46,0))</f>
        <v>10.392307692307693</v>
      </c>
      <c r="L46" s="5">
        <f t="shared" ca="1" si="2"/>
        <v>3.6923076923076925</v>
      </c>
      <c r="M46" s="5">
        <f ca="1">(E46*(1-'Parameters calculator (hide)'!$B$43))*(1-'Parameters calculator (hide)'!$B$44+('Parameters calculator (hide)'!$B$45*'Parameters calculator (hide)'!$B$47))</f>
        <v>527.17074563611823</v>
      </c>
      <c r="N46" s="5">
        <f ca="1">(F46*(1-'Parameters calculator (hide)'!$B$43))*(1-'Parameters calculator (hide)'!$B$44+('Parameters calculator (hide)'!$B$45*'Parameters calculator (hide)'!$B$47))</f>
        <v>634.70784243405717</v>
      </c>
      <c r="P46" s="5">
        <f t="shared" ca="1" si="3"/>
        <v>14.192307692307693</v>
      </c>
      <c r="Q46" s="5">
        <f t="shared" ca="1" si="4"/>
        <v>3.6923076923076925</v>
      </c>
      <c r="R46" s="5">
        <f t="shared" ca="1" si="5"/>
        <v>10.392307692307693</v>
      </c>
      <c r="S46" s="5">
        <f t="shared" ca="1" si="6"/>
        <v>3.6923076923076925</v>
      </c>
      <c r="T46" s="5">
        <f ca="1">M46/IF(Summary!$C$8&lt;&gt;"Patients",1,$I$9)</f>
        <v>14.254500348202729</v>
      </c>
      <c r="U46" s="5">
        <f ca="1">(IF(N46-M46=0,0.1,N46-M46)/IF(Summary!$C$8&lt;&gt;"Patients",1,$I$9))</f>
        <v>2.9077629903405398</v>
      </c>
      <c r="V46" s="5">
        <f t="shared" ca="1" si="7"/>
        <v>3.8</v>
      </c>
      <c r="X46" s="5">
        <f ca="1">(VLOOKUP(D46,'SPC background (hide)'!$AG$2:$AN$54,8,0)/IF(Summary!$C$8&lt;&gt;"Patients",1,$I$9))*(1-$I$4)*(1-$I$5+($I$6*$I$7))</f>
        <v>12.794157157498368</v>
      </c>
    </row>
    <row r="47" spans="1:24" x14ac:dyDescent="0.2">
      <c r="A47" s="88">
        <f t="shared" ca="1" si="8"/>
        <v>43808</v>
      </c>
      <c r="B47" s="68" t="str">
        <f t="shared" ca="1" si="0"/>
        <v/>
      </c>
      <c r="C47" s="68" t="str">
        <f t="shared" ca="1" si="9"/>
        <v/>
      </c>
      <c r="D47" s="68">
        <f t="shared" ca="1" si="1"/>
        <v>50</v>
      </c>
      <c r="E47" s="5">
        <f ca="1">VLOOKUP($D47,'SPC background (hide)'!$AG$2:$AS$54,12,0)</f>
        <v>551.5</v>
      </c>
      <c r="F47" s="5">
        <f ca="1">VLOOKUP($D47,'SPC background (hide)'!$AG$2:$AS$54,13,0)</f>
        <v>664</v>
      </c>
      <c r="G47" s="5" t="str">
        <f>IF(Setup!$I$15="Yes",VLOOKUP(D47,'SPC background (hide)'!$AG$2:$AT$54,14,0)/IF(Summary!$C$8="Patients",'Summary Calculations (hide)'!$I$9,1),"")</f>
        <v/>
      </c>
      <c r="H47" s="68">
        <f ca="1">IF(Setup!$I$13="Yes",'Planned background (hide)'!$V$23/IF(Summary!$C$8="Patients",'Summary Calculations (hide)'!$I$9,1),"")</f>
        <v>3.8</v>
      </c>
      <c r="I47" s="5">
        <f ca="1">HLOOKUP(D47,'Capacity calculation (hide)'!$BK$3:$DJ$4,2,0)</f>
        <v>14.192307692307693</v>
      </c>
      <c r="J47" s="5">
        <f ca="1">HLOOKUP(D47,'Capacity calculation (hide)'!$BK$110:$DJ$111,2,0)</f>
        <v>3.6923076923076925</v>
      </c>
      <c r="K47" s="5">
        <f ca="1">IF(I47-IF(Setup!$I$15="Yes",$G47,0)-IF(Setup!$I$13="Yes",$H47,0)&lt;0,0,I47-IF(Setup!$I$15="Yes",$G47,0)-IF(Setup!$I$13="Yes",$H47,0))</f>
        <v>10.392307692307693</v>
      </c>
      <c r="L47" s="5">
        <f t="shared" ca="1" si="2"/>
        <v>3.6923076923076925</v>
      </c>
      <c r="M47" s="5">
        <f ca="1">(E47*(1-'Parameters calculator (hide)'!$B$43))*(1-'Parameters calculator (hide)'!$B$44+('Parameters calculator (hide)'!$B$45*'Parameters calculator (hide)'!$B$47))</f>
        <v>527.17074563611823</v>
      </c>
      <c r="N47" s="5">
        <f ca="1">(F47*(1-'Parameters calculator (hide)'!$B$43))*(1-'Parameters calculator (hide)'!$B$44+('Parameters calculator (hide)'!$B$45*'Parameters calculator (hide)'!$B$47))</f>
        <v>634.70784243405717</v>
      </c>
      <c r="P47" s="5">
        <f t="shared" ca="1" si="3"/>
        <v>14.192307692307693</v>
      </c>
      <c r="Q47" s="5">
        <f t="shared" ca="1" si="4"/>
        <v>3.6923076923076925</v>
      </c>
      <c r="R47" s="5">
        <f t="shared" ca="1" si="5"/>
        <v>10.392307692307693</v>
      </c>
      <c r="S47" s="5">
        <f t="shared" ca="1" si="6"/>
        <v>3.6923076923076925</v>
      </c>
      <c r="T47" s="5">
        <f ca="1">M47/IF(Summary!$C$8&lt;&gt;"Patients",1,$I$9)</f>
        <v>14.254500348202729</v>
      </c>
      <c r="U47" s="5">
        <f ca="1">(IF(N47-M47=0,0.1,N47-M47)/IF(Summary!$C$8&lt;&gt;"Patients",1,$I$9))</f>
        <v>2.9077629903405398</v>
      </c>
      <c r="V47" s="5">
        <f t="shared" ca="1" si="7"/>
        <v>3.8</v>
      </c>
      <c r="X47" s="5">
        <f ca="1">(VLOOKUP(D47,'SPC background (hide)'!$AG$2:$AN$54,8,0)/IF(Summary!$C$8&lt;&gt;"Patients",1,$I$9))*(1-$I$4)*(1-$I$5+($I$6*$I$7))</f>
        <v>12.794157157498368</v>
      </c>
    </row>
    <row r="48" spans="1:24" x14ac:dyDescent="0.2">
      <c r="A48" s="88">
        <f t="shared" ca="1" si="8"/>
        <v>43815</v>
      </c>
      <c r="B48" s="68" t="str">
        <f t="shared" ref="B48:B66" ca="1" si="10">IF(YEAR(A48)&lt;&gt;YEAR(A47),YEAR(A48),"")</f>
        <v/>
      </c>
      <c r="C48" s="68" t="str">
        <f t="shared" ca="1" si="9"/>
        <v/>
      </c>
      <c r="D48" s="68">
        <f t="shared" ca="1" si="1"/>
        <v>51</v>
      </c>
      <c r="E48" s="5">
        <f ca="1">VLOOKUP($D48,'SPC background (hide)'!$AG$2:$AS$54,12,0)</f>
        <v>551.5</v>
      </c>
      <c r="F48" s="5">
        <f ca="1">VLOOKUP($D48,'SPC background (hide)'!$AG$2:$AS$54,13,0)</f>
        <v>664</v>
      </c>
      <c r="G48" s="5" t="str">
        <f>IF(Setup!$I$15="Yes",VLOOKUP(D48,'SPC background (hide)'!$AG$2:$AT$54,14,0)/IF(Summary!$C$8="Patients",'Summary Calculations (hide)'!$I$9,1),"")</f>
        <v/>
      </c>
      <c r="H48" s="68">
        <f ca="1">IF(Setup!$I$13="Yes",'Planned background (hide)'!$V$23/IF(Summary!$C$8="Patients",'Summary Calculations (hide)'!$I$9,1),"")</f>
        <v>3.8</v>
      </c>
      <c r="I48" s="5">
        <f ca="1">HLOOKUP(D48,'Capacity calculation (hide)'!$BK$3:$DJ$4,2,0)</f>
        <v>14.192307692307693</v>
      </c>
      <c r="J48" s="5">
        <f ca="1">HLOOKUP(D48,'Capacity calculation (hide)'!$BK$110:$DJ$111,2,0)</f>
        <v>3.6923076923076925</v>
      </c>
      <c r="K48" s="5">
        <f ca="1">IF(I48-IF(Setup!$I$15="Yes",$G48,0)-IF(Setup!$I$13="Yes",$H48,0)&lt;0,0,I48-IF(Setup!$I$15="Yes",$G48,0)-IF(Setup!$I$13="Yes",$H48,0))</f>
        <v>10.392307692307693</v>
      </c>
      <c r="L48" s="5">
        <f t="shared" ca="1" si="2"/>
        <v>3.6923076923076925</v>
      </c>
      <c r="M48" s="5">
        <f ca="1">(E48*(1-'Parameters calculator (hide)'!$B$43))*(1-'Parameters calculator (hide)'!$B$44+('Parameters calculator (hide)'!$B$45*'Parameters calculator (hide)'!$B$47))</f>
        <v>527.17074563611823</v>
      </c>
      <c r="N48" s="5">
        <f ca="1">(F48*(1-'Parameters calculator (hide)'!$B$43))*(1-'Parameters calculator (hide)'!$B$44+('Parameters calculator (hide)'!$B$45*'Parameters calculator (hide)'!$B$47))</f>
        <v>634.70784243405717</v>
      </c>
      <c r="P48" s="5">
        <f t="shared" ca="1" si="3"/>
        <v>14.192307692307693</v>
      </c>
      <c r="Q48" s="5">
        <f t="shared" ca="1" si="4"/>
        <v>3.6923076923076925</v>
      </c>
      <c r="R48" s="5">
        <f t="shared" ca="1" si="5"/>
        <v>10.392307692307693</v>
      </c>
      <c r="S48" s="5">
        <f t="shared" ca="1" si="6"/>
        <v>3.6923076923076925</v>
      </c>
      <c r="T48" s="5">
        <f ca="1">M48/IF(Summary!$C$8&lt;&gt;"Patients",1,$I$9)</f>
        <v>14.254500348202729</v>
      </c>
      <c r="U48" s="5">
        <f ca="1">(IF(N48-M48=0,0.1,N48-M48)/IF(Summary!$C$8&lt;&gt;"Patients",1,$I$9))</f>
        <v>2.9077629903405398</v>
      </c>
      <c r="V48" s="5">
        <f t="shared" ca="1" si="7"/>
        <v>3.8</v>
      </c>
      <c r="X48" s="5">
        <f ca="1">(VLOOKUP(D48,'SPC background (hide)'!$AG$2:$AN$54,8,0)/IF(Summary!$C$8&lt;&gt;"Patients",1,$I$9))*(1-$I$4)*(1-$I$5+($I$6*$I$7))</f>
        <v>12.794157157498368</v>
      </c>
    </row>
    <row r="49" spans="1:24" x14ac:dyDescent="0.2">
      <c r="A49" s="88">
        <f t="shared" ca="1" si="8"/>
        <v>43822</v>
      </c>
      <c r="B49" s="68" t="str">
        <f t="shared" ca="1" si="10"/>
        <v/>
      </c>
      <c r="C49" s="68" t="str">
        <f t="shared" ca="1" si="9"/>
        <v/>
      </c>
      <c r="D49" s="68">
        <f t="shared" ca="1" si="1"/>
        <v>52</v>
      </c>
      <c r="E49" s="5">
        <f ca="1">VLOOKUP($D49,'SPC background (hide)'!$AG$2:$AS$54,12,0)</f>
        <v>551.5</v>
      </c>
      <c r="F49" s="5">
        <f ca="1">VLOOKUP($D49,'SPC background (hide)'!$AG$2:$AS$54,13,0)</f>
        <v>664</v>
      </c>
      <c r="G49" s="5" t="str">
        <f>IF(Setup!$I$15="Yes",VLOOKUP(D49,'SPC background (hide)'!$AG$2:$AT$54,14,0)/IF(Summary!$C$8="Patients",'Summary Calculations (hide)'!$I$9,1),"")</f>
        <v/>
      </c>
      <c r="H49" s="68">
        <f ca="1">IF(Setup!$I$13="Yes",'Planned background (hide)'!$V$23/IF(Summary!$C$8="Patients",'Summary Calculations (hide)'!$I$9,1),"")</f>
        <v>3.8</v>
      </c>
      <c r="I49" s="5">
        <f ca="1">HLOOKUP(D49,'Capacity calculation (hide)'!$BK$3:$DJ$4,2,0)</f>
        <v>14.192307692307693</v>
      </c>
      <c r="J49" s="5">
        <f ca="1">HLOOKUP(D49,'Capacity calculation (hide)'!$BK$110:$DJ$111,2,0)</f>
        <v>3.6923076923076925</v>
      </c>
      <c r="K49" s="5">
        <f ca="1">IF(I49-IF(Setup!$I$15="Yes",$G49,0)-IF(Setup!$I$13="Yes",$H49,0)&lt;0,0,I49-IF(Setup!$I$15="Yes",$G49,0)-IF(Setup!$I$13="Yes",$H49,0))</f>
        <v>10.392307692307693</v>
      </c>
      <c r="L49" s="5">
        <f t="shared" ca="1" si="2"/>
        <v>3.6923076923076925</v>
      </c>
      <c r="M49" s="5">
        <f ca="1">(E49*(1-'Parameters calculator (hide)'!$B$43))*(1-'Parameters calculator (hide)'!$B$44+('Parameters calculator (hide)'!$B$45*'Parameters calculator (hide)'!$B$47))</f>
        <v>527.17074563611823</v>
      </c>
      <c r="N49" s="5">
        <f ca="1">(F49*(1-'Parameters calculator (hide)'!$B$43))*(1-'Parameters calculator (hide)'!$B$44+('Parameters calculator (hide)'!$B$45*'Parameters calculator (hide)'!$B$47))</f>
        <v>634.70784243405717</v>
      </c>
      <c r="P49" s="5">
        <f t="shared" ca="1" si="3"/>
        <v>14.192307692307693</v>
      </c>
      <c r="Q49" s="5">
        <f t="shared" ca="1" si="4"/>
        <v>3.6923076923076925</v>
      </c>
      <c r="R49" s="5">
        <f t="shared" ca="1" si="5"/>
        <v>10.392307692307693</v>
      </c>
      <c r="S49" s="5">
        <f t="shared" ca="1" si="6"/>
        <v>3.6923076923076925</v>
      </c>
      <c r="T49" s="5">
        <f ca="1">M49/IF(Summary!$C$8&lt;&gt;"Patients",1,$I$9)</f>
        <v>14.254500348202729</v>
      </c>
      <c r="U49" s="5">
        <f ca="1">(IF(N49-M49=0,0.1,N49-M49)/IF(Summary!$C$8&lt;&gt;"Patients",1,$I$9))</f>
        <v>2.9077629903405398</v>
      </c>
      <c r="V49" s="5">
        <f t="shared" ca="1" si="7"/>
        <v>3.8</v>
      </c>
      <c r="X49" s="5">
        <f ca="1">(VLOOKUP(D49,'SPC background (hide)'!$AG$2:$AN$54,8,0)/IF(Summary!$C$8&lt;&gt;"Patients",1,$I$9))*(1-$I$4)*(1-$I$5+($I$6*$I$7))</f>
        <v>12.794157157498368</v>
      </c>
    </row>
    <row r="50" spans="1:24" x14ac:dyDescent="0.2">
      <c r="A50" s="88">
        <f t="shared" ca="1" si="8"/>
        <v>43829</v>
      </c>
      <c r="B50" s="68" t="str">
        <f t="shared" ca="1" si="10"/>
        <v/>
      </c>
      <c r="C50" s="68" t="str">
        <f t="shared" ca="1" si="9"/>
        <v/>
      </c>
      <c r="D50" s="68">
        <f t="shared" ca="1" si="1"/>
        <v>1</v>
      </c>
      <c r="E50" s="5">
        <f ca="1">VLOOKUP($D50,'SPC background (hide)'!$AG$2:$AS$54,12,0)</f>
        <v>551.5</v>
      </c>
      <c r="F50" s="5">
        <f ca="1">VLOOKUP($D50,'SPC background (hide)'!$AG$2:$AS$54,13,0)</f>
        <v>664</v>
      </c>
      <c r="G50" s="5" t="str">
        <f>IF(Setup!$I$15="Yes",VLOOKUP(D50,'SPC background (hide)'!$AG$2:$AT$54,14,0)/IF(Summary!$C$8="Patients",'Summary Calculations (hide)'!$I$9,1),"")</f>
        <v/>
      </c>
      <c r="H50" s="68">
        <f ca="1">IF(Setup!$I$13="Yes",'Planned background (hide)'!$V$23/IF(Summary!$C$8="Patients",'Summary Calculations (hide)'!$I$9,1),"")</f>
        <v>3.8</v>
      </c>
      <c r="I50" s="5">
        <f ca="1">HLOOKUP(D50,'Capacity calculation (hide)'!$BK$3:$DJ$4,2,0)</f>
        <v>14.192307692307693</v>
      </c>
      <c r="J50" s="5">
        <f ca="1">HLOOKUP(D50,'Capacity calculation (hide)'!$BK$110:$DJ$111,2,0)</f>
        <v>0</v>
      </c>
      <c r="K50" s="5">
        <f ca="1">IF(I50-IF(Setup!$I$15="Yes",$G50,0)-IF(Setup!$I$13="Yes",$H50,0)&lt;0,0,I50-IF(Setup!$I$15="Yes",$G50,0)-IF(Setup!$I$13="Yes",$H50,0))</f>
        <v>10.392307692307693</v>
      </c>
      <c r="L50" s="5">
        <f t="shared" ca="1" si="2"/>
        <v>0</v>
      </c>
      <c r="M50" s="5">
        <f ca="1">(E50*(1-'Parameters calculator (hide)'!$B$43))*(1-'Parameters calculator (hide)'!$B$44+('Parameters calculator (hide)'!$B$45*'Parameters calculator (hide)'!$B$47))</f>
        <v>527.17074563611823</v>
      </c>
      <c r="N50" s="5">
        <f ca="1">(F50*(1-'Parameters calculator (hide)'!$B$43))*(1-'Parameters calculator (hide)'!$B$44+('Parameters calculator (hide)'!$B$45*'Parameters calculator (hide)'!$B$47))</f>
        <v>634.70784243405717</v>
      </c>
      <c r="P50" s="5">
        <f t="shared" ca="1" si="3"/>
        <v>14.192307692307693</v>
      </c>
      <c r="Q50" s="5">
        <f t="shared" ca="1" si="4"/>
        <v>0</v>
      </c>
      <c r="R50" s="5">
        <f t="shared" ca="1" si="5"/>
        <v>10.392307692307693</v>
      </c>
      <c r="S50" s="5">
        <f t="shared" ca="1" si="6"/>
        <v>0</v>
      </c>
      <c r="T50" s="5">
        <f ca="1">M50/IF(Summary!$C$8&lt;&gt;"Patients",1,$I$9)</f>
        <v>14.254500348202729</v>
      </c>
      <c r="U50" s="5">
        <f ca="1">(IF(N50-M50=0,0.1,N50-M50)/IF(Summary!$C$8&lt;&gt;"Patients",1,$I$9))</f>
        <v>2.9077629903405398</v>
      </c>
      <c r="V50" s="5">
        <f t="shared" ca="1" si="7"/>
        <v>3.8</v>
      </c>
      <c r="X50" s="5">
        <f ca="1">(VLOOKUP(D50,'SPC background (hide)'!$AG$2:$AN$54,8,0)/IF(Summary!$C$8&lt;&gt;"Patients",1,$I$9))*(1-$I$4)*(1-$I$5+($I$6*$I$7))</f>
        <v>12.794157157498368</v>
      </c>
    </row>
    <row r="51" spans="1:24" x14ac:dyDescent="0.2">
      <c r="A51" s="88">
        <f t="shared" ca="1" si="8"/>
        <v>43836</v>
      </c>
      <c r="B51" s="68">
        <f t="shared" ca="1" si="10"/>
        <v>2020</v>
      </c>
      <c r="C51" s="68" t="str">
        <f t="shared" ca="1" si="9"/>
        <v>Jan</v>
      </c>
      <c r="D51" s="68">
        <f t="shared" ca="1" si="1"/>
        <v>2</v>
      </c>
      <c r="E51" s="5">
        <f ca="1">VLOOKUP($D51,'SPC background (hide)'!$AG$2:$AS$54,12,0)</f>
        <v>551.5</v>
      </c>
      <c r="F51" s="5">
        <f ca="1">VLOOKUP($D51,'SPC background (hide)'!$AG$2:$AS$54,13,0)</f>
        <v>664</v>
      </c>
      <c r="G51" s="5" t="str">
        <f>IF(Setup!$I$15="Yes",VLOOKUP(D51,'SPC background (hide)'!$AG$2:$AT$54,14,0)/IF(Summary!$C$8="Patients",'Summary Calculations (hide)'!$I$9,1),"")</f>
        <v/>
      </c>
      <c r="H51" s="68">
        <f ca="1">IF(Setup!$I$13="Yes",'Planned background (hide)'!$V$23/IF(Summary!$C$8="Patients",'Summary Calculations (hide)'!$I$9,1),"")</f>
        <v>3.8</v>
      </c>
      <c r="I51" s="5">
        <f ca="1">HLOOKUP(D51,'Capacity calculation (hide)'!$BK$3:$DJ$4,2,0)</f>
        <v>14.192307692307693</v>
      </c>
      <c r="J51" s="5">
        <f ca="1">HLOOKUP(D51,'Capacity calculation (hide)'!$BK$110:$DJ$111,2,0)</f>
        <v>4</v>
      </c>
      <c r="K51" s="5">
        <f ca="1">IF(I51-IF(Setup!$I$15="Yes",$G51,0)-IF(Setup!$I$13="Yes",$H51,0)&lt;0,0,I51-IF(Setup!$I$15="Yes",$G51,0)-IF(Setup!$I$13="Yes",$H51,0))</f>
        <v>10.392307692307693</v>
      </c>
      <c r="L51" s="5">
        <f t="shared" ca="1" si="2"/>
        <v>4</v>
      </c>
      <c r="M51" s="5">
        <f ca="1">(E51*(1-'Parameters calculator (hide)'!$B$43))*(1-'Parameters calculator (hide)'!$B$44+('Parameters calculator (hide)'!$B$45*'Parameters calculator (hide)'!$B$47))</f>
        <v>527.17074563611823</v>
      </c>
      <c r="N51" s="5">
        <f ca="1">(F51*(1-'Parameters calculator (hide)'!$B$43))*(1-'Parameters calculator (hide)'!$B$44+('Parameters calculator (hide)'!$B$45*'Parameters calculator (hide)'!$B$47))</f>
        <v>634.70784243405717</v>
      </c>
      <c r="P51" s="5">
        <f t="shared" ca="1" si="3"/>
        <v>14.192307692307693</v>
      </c>
      <c r="Q51" s="5">
        <f t="shared" ca="1" si="4"/>
        <v>4</v>
      </c>
      <c r="R51" s="5">
        <f t="shared" ca="1" si="5"/>
        <v>10.392307692307693</v>
      </c>
      <c r="S51" s="5">
        <f t="shared" ca="1" si="6"/>
        <v>4</v>
      </c>
      <c r="T51" s="5">
        <f ca="1">M51/IF(Summary!$C$8&lt;&gt;"Patients",1,$I$9)</f>
        <v>14.254500348202729</v>
      </c>
      <c r="U51" s="5">
        <f ca="1">(IF(N51-M51=0,0.1,N51-M51)/IF(Summary!$C$8&lt;&gt;"Patients",1,$I$9))</f>
        <v>2.9077629903405398</v>
      </c>
      <c r="V51" s="5">
        <f t="shared" ca="1" si="7"/>
        <v>3.8</v>
      </c>
      <c r="X51" s="5">
        <f ca="1">(VLOOKUP(D51,'SPC background (hide)'!$AG$2:$AN$54,8,0)/IF(Summary!$C$8&lt;&gt;"Patients",1,$I$9))*(1-$I$4)*(1-$I$5+($I$6*$I$7))</f>
        <v>12.794157157498368</v>
      </c>
    </row>
    <row r="52" spans="1:24" x14ac:dyDescent="0.2">
      <c r="A52" s="88">
        <f t="shared" ca="1" si="8"/>
        <v>43843</v>
      </c>
      <c r="B52" s="68" t="str">
        <f t="shared" ca="1" si="10"/>
        <v/>
      </c>
      <c r="C52" s="68" t="str">
        <f t="shared" ca="1" si="9"/>
        <v/>
      </c>
      <c r="D52" s="68">
        <f t="shared" ca="1" si="1"/>
        <v>3</v>
      </c>
      <c r="E52" s="5">
        <f ca="1">VLOOKUP($D52,'SPC background (hide)'!$AG$2:$AS$54,12,0)</f>
        <v>551.5</v>
      </c>
      <c r="F52" s="5">
        <f ca="1">VLOOKUP($D52,'SPC background (hide)'!$AG$2:$AS$54,13,0)</f>
        <v>664</v>
      </c>
      <c r="G52" s="5" t="str">
        <f>IF(Setup!$I$15="Yes",VLOOKUP(D52,'SPC background (hide)'!$AG$2:$AT$54,14,0)/IF(Summary!$C$8="Patients",'Summary Calculations (hide)'!$I$9,1),"")</f>
        <v/>
      </c>
      <c r="H52" s="68">
        <f ca="1">IF(Setup!$I$13="Yes",'Planned background (hide)'!$V$23/IF(Summary!$C$8="Patients",'Summary Calculations (hide)'!$I$9,1),"")</f>
        <v>3.8</v>
      </c>
      <c r="I52" s="5">
        <f ca="1">HLOOKUP(D52,'Capacity calculation (hide)'!$BK$3:$DJ$4,2,0)</f>
        <v>14.192307692307693</v>
      </c>
      <c r="J52" s="5">
        <f ca="1">HLOOKUP(D52,'Capacity calculation (hide)'!$BK$110:$DJ$111,2,0)</f>
        <v>0</v>
      </c>
      <c r="K52" s="5">
        <f ca="1">IF(I52-IF(Setup!$I$15="Yes",$G52,0)-IF(Setup!$I$13="Yes",$H52,0)&lt;0,0,I52-IF(Setup!$I$15="Yes",$G52,0)-IF(Setup!$I$13="Yes",$H52,0))</f>
        <v>10.392307692307693</v>
      </c>
      <c r="L52" s="5">
        <f t="shared" ca="1" si="2"/>
        <v>0</v>
      </c>
      <c r="M52" s="5">
        <f ca="1">(E52*(1-'Parameters calculator (hide)'!$B$43))*(1-'Parameters calculator (hide)'!$B$44+('Parameters calculator (hide)'!$B$45*'Parameters calculator (hide)'!$B$47))</f>
        <v>527.17074563611823</v>
      </c>
      <c r="N52" s="5">
        <f ca="1">(F52*(1-'Parameters calculator (hide)'!$B$43))*(1-'Parameters calculator (hide)'!$B$44+('Parameters calculator (hide)'!$B$45*'Parameters calculator (hide)'!$B$47))</f>
        <v>634.70784243405717</v>
      </c>
      <c r="P52" s="5">
        <f t="shared" ca="1" si="3"/>
        <v>14.192307692307693</v>
      </c>
      <c r="Q52" s="5">
        <f t="shared" ca="1" si="4"/>
        <v>0</v>
      </c>
      <c r="R52" s="5">
        <f t="shared" ca="1" si="5"/>
        <v>10.392307692307693</v>
      </c>
      <c r="S52" s="5">
        <f t="shared" ca="1" si="6"/>
        <v>0</v>
      </c>
      <c r="T52" s="5">
        <f ca="1">M52/IF(Summary!$C$8&lt;&gt;"Patients",1,$I$9)</f>
        <v>14.254500348202729</v>
      </c>
      <c r="U52" s="5">
        <f ca="1">(IF(N52-M52=0,0.1,N52-M52)/IF(Summary!$C$8&lt;&gt;"Patients",1,$I$9))</f>
        <v>2.9077629903405398</v>
      </c>
      <c r="V52" s="5">
        <f t="shared" ca="1" si="7"/>
        <v>3.8</v>
      </c>
      <c r="X52" s="5">
        <f ca="1">(VLOOKUP(D52,'SPC background (hide)'!$AG$2:$AN$54,8,0)/IF(Summary!$C$8&lt;&gt;"Patients",1,$I$9))*(1-$I$4)*(1-$I$5+($I$6*$I$7))</f>
        <v>12.794157157498368</v>
      </c>
    </row>
    <row r="53" spans="1:24" x14ac:dyDescent="0.2">
      <c r="A53" s="88">
        <f t="shared" ca="1" si="8"/>
        <v>43850</v>
      </c>
      <c r="B53" s="68" t="str">
        <f t="shared" ca="1" si="10"/>
        <v/>
      </c>
      <c r="C53" s="68" t="str">
        <f t="shared" ca="1" si="9"/>
        <v/>
      </c>
      <c r="D53" s="68">
        <f t="shared" ca="1" si="1"/>
        <v>4</v>
      </c>
      <c r="E53" s="5">
        <f ca="1">VLOOKUP($D53,'SPC background (hide)'!$AG$2:$AS$54,12,0)</f>
        <v>551.5</v>
      </c>
      <c r="F53" s="5">
        <f ca="1">VLOOKUP($D53,'SPC background (hide)'!$AG$2:$AS$54,13,0)</f>
        <v>664</v>
      </c>
      <c r="G53" s="5" t="str">
        <f>IF(Setup!$I$15="Yes",VLOOKUP(D53,'SPC background (hide)'!$AG$2:$AT$54,14,0)/IF(Summary!$C$8="Patients",'Summary Calculations (hide)'!$I$9,1),"")</f>
        <v/>
      </c>
      <c r="H53" s="68">
        <f ca="1">IF(Setup!$I$13="Yes",'Planned background (hide)'!$V$23/IF(Summary!$C$8="Patients",'Summary Calculations (hide)'!$I$9,1),"")</f>
        <v>3.8</v>
      </c>
      <c r="I53" s="5">
        <f ca="1">HLOOKUP(D53,'Capacity calculation (hide)'!$BK$3:$DJ$4,2,0)</f>
        <v>14.192307692307693</v>
      </c>
      <c r="J53" s="5">
        <f ca="1">HLOOKUP(D53,'Capacity calculation (hide)'!$BK$110:$DJ$111,2,0)</f>
        <v>0</v>
      </c>
      <c r="K53" s="5">
        <f ca="1">IF(I53-IF(Setup!$I$15="Yes",$G53,0)-IF(Setup!$I$13="Yes",$H53,0)&lt;0,0,I53-IF(Setup!$I$15="Yes",$G53,0)-IF(Setup!$I$13="Yes",$H53,0))</f>
        <v>10.392307692307693</v>
      </c>
      <c r="L53" s="5">
        <f t="shared" ca="1" si="2"/>
        <v>0</v>
      </c>
      <c r="M53" s="5">
        <f ca="1">(E53*(1-'Parameters calculator (hide)'!$B$43))*(1-'Parameters calculator (hide)'!$B$44+('Parameters calculator (hide)'!$B$45*'Parameters calculator (hide)'!$B$47))</f>
        <v>527.17074563611823</v>
      </c>
      <c r="N53" s="5">
        <f ca="1">(F53*(1-'Parameters calculator (hide)'!$B$43))*(1-'Parameters calculator (hide)'!$B$44+('Parameters calculator (hide)'!$B$45*'Parameters calculator (hide)'!$B$47))</f>
        <v>634.70784243405717</v>
      </c>
      <c r="P53" s="5">
        <f t="shared" ca="1" si="3"/>
        <v>14.192307692307693</v>
      </c>
      <c r="Q53" s="5">
        <f t="shared" ca="1" si="4"/>
        <v>0</v>
      </c>
      <c r="R53" s="5">
        <f t="shared" ca="1" si="5"/>
        <v>10.392307692307693</v>
      </c>
      <c r="S53" s="5">
        <f t="shared" ca="1" si="6"/>
        <v>0</v>
      </c>
      <c r="T53" s="5">
        <f ca="1">M53/IF(Summary!$C$8&lt;&gt;"Patients",1,$I$9)</f>
        <v>14.254500348202729</v>
      </c>
      <c r="U53" s="5">
        <f ca="1">(IF(N53-M53=0,0.1,N53-M53)/IF(Summary!$C$8&lt;&gt;"Patients",1,$I$9))</f>
        <v>2.9077629903405398</v>
      </c>
      <c r="V53" s="5">
        <f t="shared" ca="1" si="7"/>
        <v>3.8</v>
      </c>
      <c r="X53" s="5">
        <f ca="1">(VLOOKUP(D53,'SPC background (hide)'!$AG$2:$AN$54,8,0)/IF(Summary!$C$8&lt;&gt;"Patients",1,$I$9))*(1-$I$4)*(1-$I$5+($I$6*$I$7))</f>
        <v>12.794157157498368</v>
      </c>
    </row>
    <row r="54" spans="1:24" x14ac:dyDescent="0.2">
      <c r="A54" s="88">
        <f t="shared" ca="1" si="8"/>
        <v>43857</v>
      </c>
      <c r="B54" s="68" t="str">
        <f t="shared" ca="1" si="10"/>
        <v/>
      </c>
      <c r="C54" s="68" t="str">
        <f t="shared" ca="1" si="9"/>
        <v/>
      </c>
      <c r="D54" s="68">
        <f t="shared" ca="1" si="1"/>
        <v>5</v>
      </c>
      <c r="E54" s="5">
        <f ca="1">VLOOKUP($D54,'SPC background (hide)'!$AG$2:$AS$54,12,0)</f>
        <v>551.5</v>
      </c>
      <c r="F54" s="5">
        <f ca="1">VLOOKUP($D54,'SPC background (hide)'!$AG$2:$AS$54,13,0)</f>
        <v>664</v>
      </c>
      <c r="G54" s="5" t="str">
        <f>IF(Setup!$I$15="Yes",VLOOKUP(D54,'SPC background (hide)'!$AG$2:$AT$54,14,0)/IF(Summary!$C$8="Patients",'Summary Calculations (hide)'!$I$9,1),"")</f>
        <v/>
      </c>
      <c r="H54" s="68">
        <f ca="1">IF(Setup!$I$13="Yes",'Planned background (hide)'!$V$23/IF(Summary!$C$8="Patients",'Summary Calculations (hide)'!$I$9,1),"")</f>
        <v>3.8</v>
      </c>
      <c r="I54" s="5">
        <f ca="1">HLOOKUP(D54,'Capacity calculation (hide)'!$BK$3:$DJ$4,2,0)</f>
        <v>14.192307692307693</v>
      </c>
      <c r="J54" s="5">
        <f ca="1">HLOOKUP(D54,'Capacity calculation (hide)'!$BK$110:$DJ$111,2,0)</f>
        <v>0</v>
      </c>
      <c r="K54" s="5">
        <f ca="1">IF(I54-IF(Setup!$I$15="Yes",$G54,0)-IF(Setup!$I$13="Yes",$H54,0)&lt;0,0,I54-IF(Setup!$I$15="Yes",$G54,0)-IF(Setup!$I$13="Yes",$H54,0))</f>
        <v>10.392307692307693</v>
      </c>
      <c r="L54" s="5">
        <f t="shared" ca="1" si="2"/>
        <v>0</v>
      </c>
      <c r="M54" s="5">
        <f ca="1">(E54*(1-'Parameters calculator (hide)'!$B$43))*(1-'Parameters calculator (hide)'!$B$44+('Parameters calculator (hide)'!$B$45*'Parameters calculator (hide)'!$B$47))</f>
        <v>527.17074563611823</v>
      </c>
      <c r="N54" s="5">
        <f ca="1">(F54*(1-'Parameters calculator (hide)'!$B$43))*(1-'Parameters calculator (hide)'!$B$44+('Parameters calculator (hide)'!$B$45*'Parameters calculator (hide)'!$B$47))</f>
        <v>634.70784243405717</v>
      </c>
      <c r="P54" s="5">
        <f t="shared" ca="1" si="3"/>
        <v>14.192307692307693</v>
      </c>
      <c r="Q54" s="5">
        <f t="shared" ca="1" si="4"/>
        <v>0</v>
      </c>
      <c r="R54" s="5">
        <f t="shared" ca="1" si="5"/>
        <v>10.392307692307693</v>
      </c>
      <c r="S54" s="5">
        <f t="shared" ca="1" si="6"/>
        <v>0</v>
      </c>
      <c r="T54" s="5">
        <f ca="1">M54/IF(Summary!$C$8&lt;&gt;"Patients",1,$I$9)</f>
        <v>14.254500348202729</v>
      </c>
      <c r="U54" s="5">
        <f ca="1">(IF(N54-M54=0,0.1,N54-M54)/IF(Summary!$C$8&lt;&gt;"Patients",1,$I$9))</f>
        <v>2.9077629903405398</v>
      </c>
      <c r="V54" s="5">
        <f t="shared" ca="1" si="7"/>
        <v>3.8</v>
      </c>
      <c r="X54" s="5">
        <f ca="1">(VLOOKUP(D54,'SPC background (hide)'!$AG$2:$AN$54,8,0)/IF(Summary!$C$8&lt;&gt;"Patients",1,$I$9))*(1-$I$4)*(1-$I$5+($I$6*$I$7))</f>
        <v>12.794157157498368</v>
      </c>
    </row>
    <row r="55" spans="1:24" x14ac:dyDescent="0.2">
      <c r="A55" s="88">
        <f t="shared" ca="1" si="8"/>
        <v>43864</v>
      </c>
      <c r="B55" s="68" t="str">
        <f t="shared" ca="1" si="10"/>
        <v/>
      </c>
      <c r="C55" s="68" t="str">
        <f t="shared" ca="1" si="9"/>
        <v>Feb</v>
      </c>
      <c r="D55" s="68">
        <f t="shared" ca="1" si="1"/>
        <v>6</v>
      </c>
      <c r="E55" s="5">
        <f ca="1">VLOOKUP($D55,'SPC background (hide)'!$AG$2:$AS$54,12,0)</f>
        <v>551.5</v>
      </c>
      <c r="F55" s="5">
        <f ca="1">VLOOKUP($D55,'SPC background (hide)'!$AG$2:$AS$54,13,0)</f>
        <v>664</v>
      </c>
      <c r="G55" s="5" t="str">
        <f>IF(Setup!$I$15="Yes",VLOOKUP(D55,'SPC background (hide)'!$AG$2:$AT$54,14,0)/IF(Summary!$C$8="Patients",'Summary Calculations (hide)'!$I$9,1),"")</f>
        <v/>
      </c>
      <c r="H55" s="68">
        <f ca="1">IF(Setup!$I$13="Yes",'Planned background (hide)'!$V$23/IF(Summary!$C$8="Patients",'Summary Calculations (hide)'!$I$9,1),"")</f>
        <v>3.8</v>
      </c>
      <c r="I55" s="5">
        <f ca="1">HLOOKUP(D55,'Capacity calculation (hide)'!$BK$3:$DJ$4,2,0)</f>
        <v>14.192307692307693</v>
      </c>
      <c r="J55" s="5">
        <f ca="1">HLOOKUP(D55,'Capacity calculation (hide)'!$BK$110:$DJ$111,2,0)</f>
        <v>0</v>
      </c>
      <c r="K55" s="5">
        <f ca="1">IF(I55-IF(Setup!$I$15="Yes",$G55,0)-IF(Setup!$I$13="Yes",$H55,0)&lt;0,0,I55-IF(Setup!$I$15="Yes",$G55,0)-IF(Setup!$I$13="Yes",$H55,0))</f>
        <v>10.392307692307693</v>
      </c>
      <c r="L55" s="5">
        <f t="shared" ca="1" si="2"/>
        <v>0</v>
      </c>
      <c r="M55" s="5">
        <f ca="1">(E55*(1-'Parameters calculator (hide)'!$B$43))*(1-'Parameters calculator (hide)'!$B$44+('Parameters calculator (hide)'!$B$45*'Parameters calculator (hide)'!$B$47))</f>
        <v>527.17074563611823</v>
      </c>
      <c r="N55" s="5">
        <f ca="1">(F55*(1-'Parameters calculator (hide)'!$B$43))*(1-'Parameters calculator (hide)'!$B$44+('Parameters calculator (hide)'!$B$45*'Parameters calculator (hide)'!$B$47))</f>
        <v>634.70784243405717</v>
      </c>
      <c r="P55" s="5">
        <f t="shared" ca="1" si="3"/>
        <v>14.192307692307693</v>
      </c>
      <c r="Q55" s="5">
        <f t="shared" ca="1" si="4"/>
        <v>0</v>
      </c>
      <c r="R55" s="5">
        <f t="shared" ca="1" si="5"/>
        <v>10.392307692307693</v>
      </c>
      <c r="S55" s="5">
        <f t="shared" ca="1" si="6"/>
        <v>0</v>
      </c>
      <c r="T55" s="5">
        <f ca="1">M55/IF(Summary!$C$8&lt;&gt;"Patients",1,$I$9)</f>
        <v>14.254500348202729</v>
      </c>
      <c r="U55" s="5">
        <f ca="1">(IF(N55-M55=0,0.1,N55-M55)/IF(Summary!$C$8&lt;&gt;"Patients",1,$I$9))</f>
        <v>2.9077629903405398</v>
      </c>
      <c r="V55" s="5">
        <f t="shared" ca="1" si="7"/>
        <v>3.8</v>
      </c>
      <c r="X55" s="5">
        <f ca="1">(VLOOKUP(D55,'SPC background (hide)'!$AG$2:$AN$54,8,0)/IF(Summary!$C$8&lt;&gt;"Patients",1,$I$9))*(1-$I$4)*(1-$I$5+($I$6*$I$7))</f>
        <v>12.794157157498368</v>
      </c>
    </row>
    <row r="56" spans="1:24" x14ac:dyDescent="0.2">
      <c r="A56" s="88">
        <f t="shared" ca="1" si="8"/>
        <v>43871</v>
      </c>
      <c r="B56" s="68" t="str">
        <f t="shared" ca="1" si="10"/>
        <v/>
      </c>
      <c r="C56" s="68" t="str">
        <f t="shared" ca="1" si="9"/>
        <v/>
      </c>
      <c r="D56" s="68">
        <f t="shared" ca="1" si="1"/>
        <v>7</v>
      </c>
      <c r="E56" s="5">
        <f ca="1">VLOOKUP($D56,'SPC background (hide)'!$AG$2:$AS$54,12,0)</f>
        <v>551.5</v>
      </c>
      <c r="F56" s="5">
        <f ca="1">VLOOKUP($D56,'SPC background (hide)'!$AG$2:$AS$54,13,0)</f>
        <v>664</v>
      </c>
      <c r="G56" s="5" t="str">
        <f>IF(Setup!$I$15="Yes",VLOOKUP(D56,'SPC background (hide)'!$AG$2:$AT$54,14,0)/IF(Summary!$C$8="Patients",'Summary Calculations (hide)'!$I$9,1),"")</f>
        <v/>
      </c>
      <c r="H56" s="68">
        <f ca="1">IF(Setup!$I$13="Yes",'Planned background (hide)'!$V$23/IF(Summary!$C$8="Patients",'Summary Calculations (hide)'!$I$9,1),"")</f>
        <v>3.8</v>
      </c>
      <c r="I56" s="5">
        <f ca="1">HLOOKUP(D56,'Capacity calculation (hide)'!$BK$3:$DJ$4,2,0)</f>
        <v>14.192307692307693</v>
      </c>
      <c r="J56" s="5">
        <f ca="1">HLOOKUP(D56,'Capacity calculation (hide)'!$BK$110:$DJ$111,2,0)</f>
        <v>0</v>
      </c>
      <c r="K56" s="5">
        <f ca="1">IF(I56-IF(Setup!$I$15="Yes",$G56,0)-IF(Setup!$I$13="Yes",$H56,0)&lt;0,0,I56-IF(Setup!$I$15="Yes",$G56,0)-IF(Setup!$I$13="Yes",$H56,0))</f>
        <v>10.392307692307693</v>
      </c>
      <c r="L56" s="5">
        <f t="shared" ca="1" si="2"/>
        <v>0</v>
      </c>
      <c r="M56" s="5">
        <f ca="1">(E56*(1-'Parameters calculator (hide)'!$B$43))*(1-'Parameters calculator (hide)'!$B$44+('Parameters calculator (hide)'!$B$45*'Parameters calculator (hide)'!$B$47))</f>
        <v>527.17074563611823</v>
      </c>
      <c r="N56" s="5">
        <f ca="1">(F56*(1-'Parameters calculator (hide)'!$B$43))*(1-'Parameters calculator (hide)'!$B$44+('Parameters calculator (hide)'!$B$45*'Parameters calculator (hide)'!$B$47))</f>
        <v>634.70784243405717</v>
      </c>
      <c r="P56" s="5">
        <f t="shared" ca="1" si="3"/>
        <v>14.192307692307693</v>
      </c>
      <c r="Q56" s="5">
        <f t="shared" ca="1" si="4"/>
        <v>0</v>
      </c>
      <c r="R56" s="5">
        <f t="shared" ca="1" si="5"/>
        <v>10.392307692307693</v>
      </c>
      <c r="S56" s="5">
        <f t="shared" ca="1" si="6"/>
        <v>0</v>
      </c>
      <c r="T56" s="5">
        <f ca="1">M56/IF(Summary!$C$8&lt;&gt;"Patients",1,$I$9)</f>
        <v>14.254500348202729</v>
      </c>
      <c r="U56" s="5">
        <f ca="1">(IF(N56-M56=0,0.1,N56-M56)/IF(Summary!$C$8&lt;&gt;"Patients",1,$I$9))</f>
        <v>2.9077629903405398</v>
      </c>
      <c r="V56" s="5">
        <f t="shared" ca="1" si="7"/>
        <v>3.8</v>
      </c>
      <c r="X56" s="5">
        <f ca="1">(VLOOKUP(D56,'SPC background (hide)'!$AG$2:$AN$54,8,0)/IF(Summary!$C$8&lt;&gt;"Patients",1,$I$9))*(1-$I$4)*(1-$I$5+($I$6*$I$7))</f>
        <v>12.794157157498368</v>
      </c>
    </row>
    <row r="57" spans="1:24" x14ac:dyDescent="0.2">
      <c r="A57" s="88">
        <f t="shared" ca="1" si="8"/>
        <v>43878</v>
      </c>
      <c r="B57" s="68" t="str">
        <f t="shared" ca="1" si="10"/>
        <v/>
      </c>
      <c r="C57" s="68" t="str">
        <f t="shared" ca="1" si="9"/>
        <v/>
      </c>
      <c r="D57" s="68">
        <f t="shared" ca="1" si="1"/>
        <v>8</v>
      </c>
      <c r="E57" s="5">
        <f ca="1">VLOOKUP($D57,'SPC background (hide)'!$AG$2:$AS$54,12,0)</f>
        <v>551.5</v>
      </c>
      <c r="F57" s="5">
        <f ca="1">VLOOKUP($D57,'SPC background (hide)'!$AG$2:$AS$54,13,0)</f>
        <v>664</v>
      </c>
      <c r="G57" s="5" t="str">
        <f>IF(Setup!$I$15="Yes",VLOOKUP(D57,'SPC background (hide)'!$AG$2:$AT$54,14,0)/IF(Summary!$C$8="Patients",'Summary Calculations (hide)'!$I$9,1),"")</f>
        <v/>
      </c>
      <c r="H57" s="68">
        <f ca="1">IF(Setup!$I$13="Yes",'Planned background (hide)'!$V$23/IF(Summary!$C$8="Patients",'Summary Calculations (hide)'!$I$9,1),"")</f>
        <v>3.8</v>
      </c>
      <c r="I57" s="5">
        <f ca="1">HLOOKUP(D57,'Capacity calculation (hide)'!$BK$3:$DJ$4,2,0)</f>
        <v>14.192307692307693</v>
      </c>
      <c r="J57" s="5">
        <f ca="1">HLOOKUP(D57,'Capacity calculation (hide)'!$BK$110:$DJ$111,2,0)</f>
        <v>0</v>
      </c>
      <c r="K57" s="5">
        <f ca="1">IF(I57-IF(Setup!$I$15="Yes",$G57,0)-IF(Setup!$I$13="Yes",$H57,0)&lt;0,0,I57-IF(Setup!$I$15="Yes",$G57,0)-IF(Setup!$I$13="Yes",$H57,0))</f>
        <v>10.392307692307693</v>
      </c>
      <c r="L57" s="5">
        <f t="shared" ca="1" si="2"/>
        <v>0</v>
      </c>
      <c r="M57" s="5">
        <f ca="1">(E57*(1-'Parameters calculator (hide)'!$B$43))*(1-'Parameters calculator (hide)'!$B$44+('Parameters calculator (hide)'!$B$45*'Parameters calculator (hide)'!$B$47))</f>
        <v>527.17074563611823</v>
      </c>
      <c r="N57" s="5">
        <f ca="1">(F57*(1-'Parameters calculator (hide)'!$B$43))*(1-'Parameters calculator (hide)'!$B$44+('Parameters calculator (hide)'!$B$45*'Parameters calculator (hide)'!$B$47))</f>
        <v>634.70784243405717</v>
      </c>
      <c r="P57" s="5">
        <f t="shared" ca="1" si="3"/>
        <v>14.192307692307693</v>
      </c>
      <c r="Q57" s="5">
        <f t="shared" ca="1" si="4"/>
        <v>0</v>
      </c>
      <c r="R57" s="5">
        <f t="shared" ca="1" si="5"/>
        <v>10.392307692307693</v>
      </c>
      <c r="S57" s="5">
        <f t="shared" ca="1" si="6"/>
        <v>0</v>
      </c>
      <c r="T57" s="5">
        <f ca="1">M57/IF(Summary!$C$8&lt;&gt;"Patients",1,$I$9)</f>
        <v>14.254500348202729</v>
      </c>
      <c r="U57" s="5">
        <f ca="1">(IF(N57-M57=0,0.1,N57-M57)/IF(Summary!$C$8&lt;&gt;"Patients",1,$I$9))</f>
        <v>2.9077629903405398</v>
      </c>
      <c r="V57" s="5">
        <f t="shared" ca="1" si="7"/>
        <v>3.8</v>
      </c>
      <c r="X57" s="5">
        <f ca="1">(VLOOKUP(D57,'SPC background (hide)'!$AG$2:$AN$54,8,0)/IF(Summary!$C$8&lt;&gt;"Patients",1,$I$9))*(1-$I$4)*(1-$I$5+($I$6*$I$7))</f>
        <v>12.794157157498368</v>
      </c>
    </row>
    <row r="58" spans="1:24" x14ac:dyDescent="0.2">
      <c r="A58" s="88">
        <f t="shared" ca="1" si="8"/>
        <v>43885</v>
      </c>
      <c r="B58" s="68" t="str">
        <f t="shared" ca="1" si="10"/>
        <v/>
      </c>
      <c r="C58" s="68" t="str">
        <f t="shared" ca="1" si="9"/>
        <v/>
      </c>
      <c r="D58" s="68">
        <f t="shared" ca="1" si="1"/>
        <v>9</v>
      </c>
      <c r="E58" s="5">
        <f ca="1">VLOOKUP($D58,'SPC background (hide)'!$AG$2:$AS$54,12,0)</f>
        <v>551.5</v>
      </c>
      <c r="F58" s="5">
        <f ca="1">VLOOKUP($D58,'SPC background (hide)'!$AG$2:$AS$54,13,0)</f>
        <v>664</v>
      </c>
      <c r="G58" s="5" t="str">
        <f>IF(Setup!$I$15="Yes",VLOOKUP(D58,'SPC background (hide)'!$AG$2:$AT$54,14,0)/IF(Summary!$C$8="Patients",'Summary Calculations (hide)'!$I$9,1),"")</f>
        <v/>
      </c>
      <c r="H58" s="68">
        <f ca="1">IF(Setup!$I$13="Yes",'Planned background (hide)'!$V$23/IF(Summary!$C$8="Patients",'Summary Calculations (hide)'!$I$9,1),"")</f>
        <v>3.8</v>
      </c>
      <c r="I58" s="5">
        <f ca="1">HLOOKUP(D58,'Capacity calculation (hide)'!$BK$3:$DJ$4,2,0)</f>
        <v>14.192307692307693</v>
      </c>
      <c r="J58" s="5">
        <f ca="1">HLOOKUP(D58,'Capacity calculation (hide)'!$BK$110:$DJ$111,2,0)</f>
        <v>0</v>
      </c>
      <c r="K58" s="5">
        <f ca="1">IF(I58-IF(Setup!$I$15="Yes",$G58,0)-IF(Setup!$I$13="Yes",$H58,0)&lt;0,0,I58-IF(Setup!$I$15="Yes",$G58,0)-IF(Setup!$I$13="Yes",$H58,0))</f>
        <v>10.392307692307693</v>
      </c>
      <c r="L58" s="5">
        <f t="shared" ca="1" si="2"/>
        <v>0</v>
      </c>
      <c r="M58" s="5">
        <f ca="1">(E58*(1-'Parameters calculator (hide)'!$B$43))*(1-'Parameters calculator (hide)'!$B$44+('Parameters calculator (hide)'!$B$45*'Parameters calculator (hide)'!$B$47))</f>
        <v>527.17074563611823</v>
      </c>
      <c r="N58" s="5">
        <f ca="1">(F58*(1-'Parameters calculator (hide)'!$B$43))*(1-'Parameters calculator (hide)'!$B$44+('Parameters calculator (hide)'!$B$45*'Parameters calculator (hide)'!$B$47))</f>
        <v>634.70784243405717</v>
      </c>
      <c r="P58" s="5">
        <f t="shared" ca="1" si="3"/>
        <v>14.192307692307693</v>
      </c>
      <c r="Q58" s="5">
        <f t="shared" ca="1" si="4"/>
        <v>0</v>
      </c>
      <c r="R58" s="5">
        <f t="shared" ca="1" si="5"/>
        <v>10.392307692307693</v>
      </c>
      <c r="S58" s="5">
        <f t="shared" ca="1" si="6"/>
        <v>0</v>
      </c>
      <c r="T58" s="5">
        <f ca="1">M58/IF(Summary!$C$8&lt;&gt;"Patients",1,$I$9)</f>
        <v>14.254500348202729</v>
      </c>
      <c r="U58" s="5">
        <f ca="1">(IF(N58-M58=0,0.1,N58-M58)/IF(Summary!$C$8&lt;&gt;"Patients",1,$I$9))</f>
        <v>2.9077629903405398</v>
      </c>
      <c r="V58" s="5">
        <f t="shared" ca="1" si="7"/>
        <v>3.8</v>
      </c>
      <c r="X58" s="5">
        <f ca="1">(VLOOKUP(D58,'SPC background (hide)'!$AG$2:$AN$54,8,0)/IF(Summary!$C$8&lt;&gt;"Patients",1,$I$9))*(1-$I$4)*(1-$I$5+($I$6*$I$7))</f>
        <v>12.794157157498368</v>
      </c>
    </row>
    <row r="59" spans="1:24" x14ac:dyDescent="0.2">
      <c r="A59" s="88">
        <f t="shared" ca="1" si="8"/>
        <v>43892</v>
      </c>
      <c r="B59" s="68" t="str">
        <f t="shared" ca="1" si="10"/>
        <v/>
      </c>
      <c r="C59" s="68" t="str">
        <f t="shared" ca="1" si="9"/>
        <v>Mar</v>
      </c>
      <c r="D59" s="68">
        <f t="shared" ca="1" si="1"/>
        <v>10</v>
      </c>
      <c r="E59" s="5">
        <f ca="1">VLOOKUP($D59,'SPC background (hide)'!$AG$2:$AS$54,12,0)</f>
        <v>551.5</v>
      </c>
      <c r="F59" s="5">
        <f ca="1">VLOOKUP($D59,'SPC background (hide)'!$AG$2:$AS$54,13,0)</f>
        <v>664</v>
      </c>
      <c r="G59" s="5" t="str">
        <f>IF(Setup!$I$15="Yes",VLOOKUP(D59,'SPC background (hide)'!$AG$2:$AT$54,14,0)/IF(Summary!$C$8="Patients",'Summary Calculations (hide)'!$I$9,1),"")</f>
        <v/>
      </c>
      <c r="H59" s="68">
        <f ca="1">IF(Setup!$I$13="Yes",'Planned background (hide)'!$V$23/IF(Summary!$C$8="Patients",'Summary Calculations (hide)'!$I$9,1),"")</f>
        <v>3.8</v>
      </c>
      <c r="I59" s="5">
        <f ca="1">HLOOKUP(D59,'Capacity calculation (hide)'!$BK$3:$DJ$4,2,0)</f>
        <v>14.192307692307693</v>
      </c>
      <c r="J59" s="5">
        <f ca="1">HLOOKUP(D59,'Capacity calculation (hide)'!$BK$110:$DJ$111,2,0)</f>
        <v>0</v>
      </c>
      <c r="K59" s="5">
        <f ca="1">IF(I59-IF(Setup!$I$15="Yes",$G59,0)-IF(Setup!$I$13="Yes",$H59,0)&lt;0,0,I59-IF(Setup!$I$15="Yes",$G59,0)-IF(Setup!$I$13="Yes",$H59,0))</f>
        <v>10.392307692307693</v>
      </c>
      <c r="L59" s="5">
        <f t="shared" ca="1" si="2"/>
        <v>0</v>
      </c>
      <c r="M59" s="5">
        <f ca="1">(E59*(1-'Parameters calculator (hide)'!$B$43))*(1-'Parameters calculator (hide)'!$B$44+('Parameters calculator (hide)'!$B$45*'Parameters calculator (hide)'!$B$47))</f>
        <v>527.17074563611823</v>
      </c>
      <c r="N59" s="5">
        <f ca="1">(F59*(1-'Parameters calculator (hide)'!$B$43))*(1-'Parameters calculator (hide)'!$B$44+('Parameters calculator (hide)'!$B$45*'Parameters calculator (hide)'!$B$47))</f>
        <v>634.70784243405717</v>
      </c>
      <c r="P59" s="5">
        <f t="shared" ca="1" si="3"/>
        <v>14.192307692307693</v>
      </c>
      <c r="Q59" s="5">
        <f t="shared" ca="1" si="4"/>
        <v>0</v>
      </c>
      <c r="R59" s="5">
        <f t="shared" ca="1" si="5"/>
        <v>10.392307692307693</v>
      </c>
      <c r="S59" s="5">
        <f t="shared" ca="1" si="6"/>
        <v>0</v>
      </c>
      <c r="T59" s="5">
        <f ca="1">M59/IF(Summary!$C$8&lt;&gt;"Patients",1,$I$9)</f>
        <v>14.254500348202729</v>
      </c>
      <c r="U59" s="5">
        <f ca="1">(IF(N59-M59=0,0.1,N59-M59)/IF(Summary!$C$8&lt;&gt;"Patients",1,$I$9))</f>
        <v>2.9077629903405398</v>
      </c>
      <c r="V59" s="5">
        <f t="shared" ca="1" si="7"/>
        <v>3.8</v>
      </c>
      <c r="X59" s="5">
        <f ca="1">(VLOOKUP(D59,'SPC background (hide)'!$AG$2:$AN$54,8,0)/IF(Summary!$C$8&lt;&gt;"Patients",1,$I$9))*(1-$I$4)*(1-$I$5+($I$6*$I$7))</f>
        <v>12.794157157498368</v>
      </c>
    </row>
    <row r="60" spans="1:24" x14ac:dyDescent="0.2">
      <c r="A60" s="88">
        <f t="shared" ca="1" si="8"/>
        <v>43899</v>
      </c>
      <c r="B60" s="68" t="str">
        <f t="shared" ca="1" si="10"/>
        <v/>
      </c>
      <c r="C60" s="68" t="str">
        <f t="shared" ca="1" si="9"/>
        <v/>
      </c>
      <c r="D60" s="68">
        <f t="shared" ca="1" si="1"/>
        <v>11</v>
      </c>
      <c r="E60" s="5">
        <f ca="1">VLOOKUP($D60,'SPC background (hide)'!$AG$2:$AS$54,12,0)</f>
        <v>551.5</v>
      </c>
      <c r="F60" s="5">
        <f ca="1">VLOOKUP($D60,'SPC background (hide)'!$AG$2:$AS$54,13,0)</f>
        <v>664</v>
      </c>
      <c r="G60" s="5" t="str">
        <f>IF(Setup!$I$15="Yes",VLOOKUP(D60,'SPC background (hide)'!$AG$2:$AT$54,14,0)/IF(Summary!$C$8="Patients",'Summary Calculations (hide)'!$I$9,1),"")</f>
        <v/>
      </c>
      <c r="H60" s="68">
        <f ca="1">IF(Setup!$I$13="Yes",'Planned background (hide)'!$V$23/IF(Summary!$C$8="Patients",'Summary Calculations (hide)'!$I$9,1),"")</f>
        <v>3.8</v>
      </c>
      <c r="I60" s="5">
        <f ca="1">HLOOKUP(D60,'Capacity calculation (hide)'!$BK$3:$DJ$4,2,0)</f>
        <v>14.192307692307693</v>
      </c>
      <c r="J60" s="5">
        <f ca="1">HLOOKUP(D60,'Capacity calculation (hide)'!$BK$110:$DJ$111,2,0)</f>
        <v>0</v>
      </c>
      <c r="K60" s="5">
        <f ca="1">IF(I60-IF(Setup!$I$15="Yes",$G60,0)-IF(Setup!$I$13="Yes",$H60,0)&lt;0,0,I60-IF(Setup!$I$15="Yes",$G60,0)-IF(Setup!$I$13="Yes",$H60,0))</f>
        <v>10.392307692307693</v>
      </c>
      <c r="L60" s="5">
        <f t="shared" ca="1" si="2"/>
        <v>0</v>
      </c>
      <c r="M60" s="5">
        <f ca="1">(E60*(1-'Parameters calculator (hide)'!$B$43))*(1-'Parameters calculator (hide)'!$B$44+('Parameters calculator (hide)'!$B$45*'Parameters calculator (hide)'!$B$47))</f>
        <v>527.17074563611823</v>
      </c>
      <c r="N60" s="5">
        <f ca="1">(F60*(1-'Parameters calculator (hide)'!$B$43))*(1-'Parameters calculator (hide)'!$B$44+('Parameters calculator (hide)'!$B$45*'Parameters calculator (hide)'!$B$47))</f>
        <v>634.70784243405717</v>
      </c>
      <c r="P60" s="5">
        <f t="shared" ca="1" si="3"/>
        <v>14.192307692307693</v>
      </c>
      <c r="Q60" s="5">
        <f t="shared" ca="1" si="4"/>
        <v>0</v>
      </c>
      <c r="R60" s="5">
        <f t="shared" ca="1" si="5"/>
        <v>10.392307692307693</v>
      </c>
      <c r="S60" s="5">
        <f t="shared" ca="1" si="6"/>
        <v>0</v>
      </c>
      <c r="T60" s="5">
        <f ca="1">M60/IF(Summary!$C$8&lt;&gt;"Patients",1,$I$9)</f>
        <v>14.254500348202729</v>
      </c>
      <c r="U60" s="5">
        <f ca="1">(IF(N60-M60=0,0.1,N60-M60)/IF(Summary!$C$8&lt;&gt;"Patients",1,$I$9))</f>
        <v>2.9077629903405398</v>
      </c>
      <c r="V60" s="5">
        <f t="shared" ca="1" si="7"/>
        <v>3.8</v>
      </c>
      <c r="X60" s="5">
        <f ca="1">(VLOOKUP(D60,'SPC background (hide)'!$AG$2:$AN$54,8,0)/IF(Summary!$C$8&lt;&gt;"Patients",1,$I$9))*(1-$I$4)*(1-$I$5+($I$6*$I$7))</f>
        <v>12.794157157498368</v>
      </c>
    </row>
    <row r="61" spans="1:24" x14ac:dyDescent="0.2">
      <c r="A61" s="88">
        <f t="shared" ca="1" si="8"/>
        <v>43906</v>
      </c>
      <c r="B61" s="68" t="str">
        <f t="shared" ca="1" si="10"/>
        <v/>
      </c>
      <c r="C61" s="68" t="str">
        <f t="shared" ca="1" si="9"/>
        <v/>
      </c>
      <c r="D61" s="68">
        <f t="shared" ca="1" si="1"/>
        <v>12</v>
      </c>
      <c r="E61" s="5">
        <f ca="1">VLOOKUP($D61,'SPC background (hide)'!$AG$2:$AS$54,12,0)</f>
        <v>551.5</v>
      </c>
      <c r="F61" s="5">
        <f ca="1">VLOOKUP($D61,'SPC background (hide)'!$AG$2:$AS$54,13,0)</f>
        <v>664</v>
      </c>
      <c r="G61" s="5" t="str">
        <f>IF(Setup!$I$15="Yes",VLOOKUP(D61,'SPC background (hide)'!$AG$2:$AT$54,14,0)/IF(Summary!$C$8="Patients",'Summary Calculations (hide)'!$I$9,1),"")</f>
        <v/>
      </c>
      <c r="H61" s="68">
        <f ca="1">IF(Setup!$I$13="Yes",'Planned background (hide)'!$V$23/IF(Summary!$C$8="Patients",'Summary Calculations (hide)'!$I$9,1),"")</f>
        <v>3.8</v>
      </c>
      <c r="I61" s="5">
        <f ca="1">HLOOKUP(D61,'Capacity calculation (hide)'!$BK$3:$DJ$4,2,0)</f>
        <v>14.192307692307693</v>
      </c>
      <c r="J61" s="5">
        <f ca="1">HLOOKUP(D61,'Capacity calculation (hide)'!$BK$110:$DJ$111,2,0)</f>
        <v>0</v>
      </c>
      <c r="K61" s="5">
        <f ca="1">IF(I61-IF(Setup!$I$15="Yes",$G61,0)-IF(Setup!$I$13="Yes",$H61,0)&lt;0,0,I61-IF(Setup!$I$15="Yes",$G61,0)-IF(Setup!$I$13="Yes",$H61,0))</f>
        <v>10.392307692307693</v>
      </c>
      <c r="L61" s="5">
        <f t="shared" ca="1" si="2"/>
        <v>0</v>
      </c>
      <c r="M61" s="5">
        <f ca="1">(E61*(1-'Parameters calculator (hide)'!$B$43))*(1-'Parameters calculator (hide)'!$B$44+('Parameters calculator (hide)'!$B$45*'Parameters calculator (hide)'!$B$47))</f>
        <v>527.17074563611823</v>
      </c>
      <c r="N61" s="5">
        <f ca="1">(F61*(1-'Parameters calculator (hide)'!$B$43))*(1-'Parameters calculator (hide)'!$B$44+('Parameters calculator (hide)'!$B$45*'Parameters calculator (hide)'!$B$47))</f>
        <v>634.70784243405717</v>
      </c>
      <c r="P61" s="5">
        <f t="shared" ca="1" si="3"/>
        <v>14.192307692307693</v>
      </c>
      <c r="Q61" s="5">
        <f t="shared" ca="1" si="4"/>
        <v>0</v>
      </c>
      <c r="R61" s="5">
        <f t="shared" ca="1" si="5"/>
        <v>10.392307692307693</v>
      </c>
      <c r="S61" s="5">
        <f t="shared" ca="1" si="6"/>
        <v>0</v>
      </c>
      <c r="T61" s="5">
        <f ca="1">M61/IF(Summary!$C$8&lt;&gt;"Patients",1,$I$9)</f>
        <v>14.254500348202729</v>
      </c>
      <c r="U61" s="5">
        <f ca="1">(IF(N61-M61=0,0.1,N61-M61)/IF(Summary!$C$8&lt;&gt;"Patients",1,$I$9))</f>
        <v>2.9077629903405398</v>
      </c>
      <c r="V61" s="5">
        <f t="shared" ca="1" si="7"/>
        <v>3.8</v>
      </c>
      <c r="X61" s="5">
        <f ca="1">(VLOOKUP(D61,'SPC background (hide)'!$AG$2:$AN$54,8,0)/IF(Summary!$C$8&lt;&gt;"Patients",1,$I$9))*(1-$I$4)*(1-$I$5+($I$6*$I$7))</f>
        <v>12.794157157498368</v>
      </c>
    </row>
    <row r="62" spans="1:24" x14ac:dyDescent="0.2">
      <c r="A62" s="88">
        <f t="shared" ca="1" si="8"/>
        <v>43913</v>
      </c>
      <c r="B62" s="68" t="str">
        <f t="shared" ca="1" si="10"/>
        <v/>
      </c>
      <c r="C62" s="68" t="str">
        <f t="shared" ca="1" si="9"/>
        <v/>
      </c>
      <c r="D62" s="68">
        <f t="shared" ca="1" si="1"/>
        <v>13</v>
      </c>
      <c r="E62" s="5">
        <f ca="1">VLOOKUP($D62,'SPC background (hide)'!$AG$2:$AS$54,12,0)</f>
        <v>551.5</v>
      </c>
      <c r="F62" s="5">
        <f ca="1">VLOOKUP($D62,'SPC background (hide)'!$AG$2:$AS$54,13,0)</f>
        <v>664</v>
      </c>
      <c r="G62" s="5" t="str">
        <f>IF(Setup!$I$15="Yes",VLOOKUP(D62,'SPC background (hide)'!$AG$2:$AT$54,14,0)/IF(Summary!$C$8="Patients",'Summary Calculations (hide)'!$I$9,1),"")</f>
        <v/>
      </c>
      <c r="H62" s="68">
        <f ca="1">IF(Setup!$I$13="Yes",'Planned background (hide)'!$V$23/IF(Summary!$C$8="Patients",'Summary Calculations (hide)'!$I$9,1),"")</f>
        <v>3.8</v>
      </c>
      <c r="I62" s="5">
        <f ca="1">HLOOKUP(D62,'Capacity calculation (hide)'!$BK$3:$DJ$4,2,0)</f>
        <v>14.192307692307693</v>
      </c>
      <c r="J62" s="5">
        <f ca="1">HLOOKUP(D62,'Capacity calculation (hide)'!$BK$110:$DJ$111,2,0)</f>
        <v>0</v>
      </c>
      <c r="K62" s="5">
        <f ca="1">IF(I62-IF(Setup!$I$15="Yes",$G62,0)-IF(Setup!$I$13="Yes",$H62,0)&lt;0,0,I62-IF(Setup!$I$15="Yes",$G62,0)-IF(Setup!$I$13="Yes",$H62,0))</f>
        <v>10.392307692307693</v>
      </c>
      <c r="L62" s="5">
        <f t="shared" ca="1" si="2"/>
        <v>0</v>
      </c>
      <c r="M62" s="5">
        <f ca="1">(E62*(1-'Parameters calculator (hide)'!$B$43))*(1-'Parameters calculator (hide)'!$B$44+('Parameters calculator (hide)'!$B$45*'Parameters calculator (hide)'!$B$47))</f>
        <v>527.17074563611823</v>
      </c>
      <c r="N62" s="5">
        <f ca="1">(F62*(1-'Parameters calculator (hide)'!$B$43))*(1-'Parameters calculator (hide)'!$B$44+('Parameters calculator (hide)'!$B$45*'Parameters calculator (hide)'!$B$47))</f>
        <v>634.70784243405717</v>
      </c>
      <c r="P62" s="5">
        <f t="shared" ca="1" si="3"/>
        <v>14.192307692307693</v>
      </c>
      <c r="Q62" s="5">
        <f t="shared" ca="1" si="4"/>
        <v>0</v>
      </c>
      <c r="R62" s="5">
        <f t="shared" ca="1" si="5"/>
        <v>10.392307692307693</v>
      </c>
      <c r="S62" s="5">
        <f t="shared" ca="1" si="6"/>
        <v>0</v>
      </c>
      <c r="T62" s="5">
        <f ca="1">M62/IF(Summary!$C$8&lt;&gt;"Patients",1,$I$9)</f>
        <v>14.254500348202729</v>
      </c>
      <c r="U62" s="5">
        <f ca="1">(IF(N62-M62=0,0.1,N62-M62)/IF(Summary!$C$8&lt;&gt;"Patients",1,$I$9))</f>
        <v>2.9077629903405398</v>
      </c>
      <c r="V62" s="5">
        <f t="shared" ca="1" si="7"/>
        <v>3.8</v>
      </c>
      <c r="X62" s="5">
        <f ca="1">(VLOOKUP(D62,'SPC background (hide)'!$AG$2:$AN$54,8,0)/IF(Summary!$C$8&lt;&gt;"Patients",1,$I$9))*(1-$I$4)*(1-$I$5+($I$6*$I$7))</f>
        <v>12.794157157498368</v>
      </c>
    </row>
    <row r="63" spans="1:24" x14ac:dyDescent="0.2">
      <c r="A63" s="88">
        <f t="shared" ca="1" si="8"/>
        <v>43920</v>
      </c>
      <c r="B63" s="68" t="str">
        <f t="shared" ca="1" si="10"/>
        <v/>
      </c>
      <c r="C63" s="68" t="str">
        <f t="shared" ca="1" si="9"/>
        <v/>
      </c>
      <c r="D63" s="68">
        <f t="shared" ca="1" si="1"/>
        <v>14</v>
      </c>
      <c r="E63" s="5">
        <f ca="1">VLOOKUP($D63,'SPC background (hide)'!$AG$2:$AS$54,12,0)</f>
        <v>551.5</v>
      </c>
      <c r="F63" s="5">
        <f ca="1">VLOOKUP($D63,'SPC background (hide)'!$AG$2:$AS$54,13,0)</f>
        <v>664</v>
      </c>
      <c r="G63" s="5" t="str">
        <f>IF(Setup!$I$15="Yes",VLOOKUP(D63,'SPC background (hide)'!$AG$2:$AT$54,14,0)/IF(Summary!$C$8="Patients",'Summary Calculations (hide)'!$I$9,1),"")</f>
        <v/>
      </c>
      <c r="H63" s="68">
        <f ca="1">IF(Setup!$I$13="Yes",'Planned background (hide)'!$V$23/IF(Summary!$C$8="Patients",'Summary Calculations (hide)'!$I$9,1),"")</f>
        <v>3.8</v>
      </c>
      <c r="I63" s="5">
        <f ca="1">HLOOKUP(D63,'Capacity calculation (hide)'!$BK$3:$DJ$4,2,0)</f>
        <v>14.192307692307693</v>
      </c>
      <c r="J63" s="5">
        <f ca="1">HLOOKUP(D63,'Capacity calculation (hide)'!$BK$110:$DJ$111,2,0)</f>
        <v>0</v>
      </c>
      <c r="K63" s="5">
        <f ca="1">IF(I63-IF(Setup!$I$15="Yes",$G63,0)-IF(Setup!$I$13="Yes",$H63,0)&lt;0,0,I63-IF(Setup!$I$15="Yes",$G63,0)-IF(Setup!$I$13="Yes",$H63,0))</f>
        <v>10.392307692307693</v>
      </c>
      <c r="L63" s="5">
        <f t="shared" ca="1" si="2"/>
        <v>0</v>
      </c>
      <c r="M63" s="5">
        <f ca="1">(E63*(1-'Parameters calculator (hide)'!$B$43))*(1-'Parameters calculator (hide)'!$B$44+('Parameters calculator (hide)'!$B$45*'Parameters calculator (hide)'!$B$47))</f>
        <v>527.17074563611823</v>
      </c>
      <c r="N63" s="5">
        <f ca="1">(F63*(1-'Parameters calculator (hide)'!$B$43))*(1-'Parameters calculator (hide)'!$B$44+('Parameters calculator (hide)'!$B$45*'Parameters calculator (hide)'!$B$47))</f>
        <v>634.70784243405717</v>
      </c>
      <c r="P63" s="5">
        <f t="shared" ca="1" si="3"/>
        <v>14.192307692307693</v>
      </c>
      <c r="Q63" s="5">
        <f t="shared" ca="1" si="4"/>
        <v>0</v>
      </c>
      <c r="R63" s="5">
        <f t="shared" ca="1" si="5"/>
        <v>10.392307692307693</v>
      </c>
      <c r="S63" s="5">
        <f t="shared" ca="1" si="6"/>
        <v>0</v>
      </c>
      <c r="T63" s="5">
        <f ca="1">M63/IF(Summary!$C$8&lt;&gt;"Patients",1,$I$9)</f>
        <v>14.254500348202729</v>
      </c>
      <c r="U63" s="5">
        <f ca="1">(IF(N63-M63=0,0.1,N63-M63)/IF(Summary!$C$8&lt;&gt;"Patients",1,$I$9))</f>
        <v>2.9077629903405398</v>
      </c>
      <c r="V63" s="5">
        <f t="shared" ca="1" si="7"/>
        <v>3.8</v>
      </c>
      <c r="X63" s="5">
        <f ca="1">(VLOOKUP(D63,'SPC background (hide)'!$AG$2:$AN$54,8,0)/IF(Summary!$C$8&lt;&gt;"Patients",1,$I$9))*(1-$I$4)*(1-$I$5+($I$6*$I$7))</f>
        <v>12.794157157498368</v>
      </c>
    </row>
    <row r="64" spans="1:24" x14ac:dyDescent="0.2">
      <c r="A64" s="88">
        <f t="shared" ca="1" si="8"/>
        <v>43927</v>
      </c>
      <c r="B64" s="68" t="str">
        <f t="shared" ca="1" si="10"/>
        <v/>
      </c>
      <c r="C64" s="68" t="str">
        <f t="shared" ca="1" si="9"/>
        <v>Apr</v>
      </c>
      <c r="D64" s="68">
        <f t="shared" ca="1" si="1"/>
        <v>15</v>
      </c>
      <c r="E64" s="5">
        <f ca="1">VLOOKUP($D64,'SPC background (hide)'!$AG$2:$AS$54,12,0)</f>
        <v>551.5</v>
      </c>
      <c r="F64" s="5">
        <f ca="1">VLOOKUP($D64,'SPC background (hide)'!$AG$2:$AS$54,13,0)</f>
        <v>664</v>
      </c>
      <c r="G64" s="5" t="str">
        <f>IF(Setup!$I$15="Yes",VLOOKUP(D64,'SPC background (hide)'!$AG$2:$AT$54,14,0)/IF(Summary!$C$8="Patients",'Summary Calculations (hide)'!$I$9,1),"")</f>
        <v/>
      </c>
      <c r="H64" s="68">
        <f ca="1">IF(Setup!$I$13="Yes",'Planned background (hide)'!$V$23/IF(Summary!$C$8="Patients",'Summary Calculations (hide)'!$I$9,1),"")</f>
        <v>3.8</v>
      </c>
      <c r="I64" s="5">
        <f ca="1">HLOOKUP(D64,'Capacity calculation (hide)'!$BK$3:$DJ$4,2,0)</f>
        <v>14.192307692307693</v>
      </c>
      <c r="J64" s="5">
        <f ca="1">HLOOKUP(D64,'Capacity calculation (hide)'!$BK$110:$DJ$111,2,0)</f>
        <v>0</v>
      </c>
      <c r="K64" s="5">
        <f ca="1">IF(I64-IF(Setup!$I$15="Yes",$G64,0)-IF(Setup!$I$13="Yes",$H64,0)&lt;0,0,I64-IF(Setup!$I$15="Yes",$G64,0)-IF(Setup!$I$13="Yes",$H64,0))</f>
        <v>10.392307692307693</v>
      </c>
      <c r="L64" s="5">
        <f t="shared" ca="1" si="2"/>
        <v>0</v>
      </c>
      <c r="M64" s="5">
        <f ca="1">(E64*(1-'Parameters calculator (hide)'!$B$43))*(1-'Parameters calculator (hide)'!$B$44+('Parameters calculator (hide)'!$B$45*'Parameters calculator (hide)'!$B$47))</f>
        <v>527.17074563611823</v>
      </c>
      <c r="N64" s="5">
        <f ca="1">(F64*(1-'Parameters calculator (hide)'!$B$43))*(1-'Parameters calculator (hide)'!$B$44+('Parameters calculator (hide)'!$B$45*'Parameters calculator (hide)'!$B$47))</f>
        <v>634.70784243405717</v>
      </c>
      <c r="P64" s="5">
        <f t="shared" ca="1" si="3"/>
        <v>14.192307692307693</v>
      </c>
      <c r="Q64" s="5">
        <f t="shared" ca="1" si="4"/>
        <v>0</v>
      </c>
      <c r="R64" s="5">
        <f t="shared" ca="1" si="5"/>
        <v>10.392307692307693</v>
      </c>
      <c r="S64" s="5">
        <f t="shared" ca="1" si="6"/>
        <v>0</v>
      </c>
      <c r="T64" s="5">
        <f ca="1">M64/IF(Summary!$C$8&lt;&gt;"Patients",1,$I$9)</f>
        <v>14.254500348202729</v>
      </c>
      <c r="U64" s="5">
        <f ca="1">(IF(N64-M64=0,0.1,N64-M64)/IF(Summary!$C$8&lt;&gt;"Patients",1,$I$9))</f>
        <v>2.9077629903405398</v>
      </c>
      <c r="V64" s="5">
        <f t="shared" ca="1" si="7"/>
        <v>3.8</v>
      </c>
      <c r="X64" s="5">
        <f ca="1">(VLOOKUP(D64,'SPC background (hide)'!$AG$2:$AN$54,8,0)/IF(Summary!$C$8&lt;&gt;"Patients",1,$I$9))*(1-$I$4)*(1-$I$5+($I$6*$I$7))</f>
        <v>12.794157157498368</v>
      </c>
    </row>
    <row r="65" spans="1:24" x14ac:dyDescent="0.2">
      <c r="A65" s="88">
        <f t="shared" ca="1" si="8"/>
        <v>43934</v>
      </c>
      <c r="B65" s="68" t="str">
        <f t="shared" ca="1" si="10"/>
        <v/>
      </c>
      <c r="C65" s="68" t="str">
        <f t="shared" ca="1" si="9"/>
        <v/>
      </c>
      <c r="D65" s="68">
        <f t="shared" ca="1" si="1"/>
        <v>16</v>
      </c>
      <c r="E65" s="5">
        <f ca="1">VLOOKUP($D65,'SPC background (hide)'!$AG$2:$AS$54,12,0)</f>
        <v>551.5</v>
      </c>
      <c r="F65" s="5">
        <f ca="1">VLOOKUP($D65,'SPC background (hide)'!$AG$2:$AS$54,13,0)</f>
        <v>664</v>
      </c>
      <c r="G65" s="5" t="str">
        <f>IF(Setup!$I$15="Yes",VLOOKUP(D65,'SPC background (hide)'!$AG$2:$AT$54,14,0)/IF(Summary!$C$8="Patients",'Summary Calculations (hide)'!$I$9,1),"")</f>
        <v/>
      </c>
      <c r="H65" s="68">
        <f ca="1">IF(Setup!$I$13="Yes",'Planned background (hide)'!$V$23/IF(Summary!$C$8="Patients",'Summary Calculations (hide)'!$I$9,1),"")</f>
        <v>3.8</v>
      </c>
      <c r="I65" s="5">
        <f ca="1">HLOOKUP(D65,'Capacity calculation (hide)'!$BK$3:$DJ$4,2,0)</f>
        <v>14.192307692307693</v>
      </c>
      <c r="J65" s="5">
        <f ca="1">HLOOKUP(D65,'Capacity calculation (hide)'!$BK$110:$DJ$111,2,0)</f>
        <v>0</v>
      </c>
      <c r="K65" s="5">
        <f ca="1">IF(I65-IF(Setup!$I$15="Yes",$G65,0)-IF(Setup!$I$13="Yes",$H65,0)&lt;0,0,I65-IF(Setup!$I$15="Yes",$G65,0)-IF(Setup!$I$13="Yes",$H65,0))</f>
        <v>10.392307692307693</v>
      </c>
      <c r="L65" s="5">
        <f t="shared" ca="1" si="2"/>
        <v>0</v>
      </c>
      <c r="M65" s="5">
        <f ca="1">(E65*(1-'Parameters calculator (hide)'!$B$43))*(1-'Parameters calculator (hide)'!$B$44+('Parameters calculator (hide)'!$B$45*'Parameters calculator (hide)'!$B$47))</f>
        <v>527.17074563611823</v>
      </c>
      <c r="N65" s="5">
        <f ca="1">(F65*(1-'Parameters calculator (hide)'!$B$43))*(1-'Parameters calculator (hide)'!$B$44+('Parameters calculator (hide)'!$B$45*'Parameters calculator (hide)'!$B$47))</f>
        <v>634.70784243405717</v>
      </c>
      <c r="P65" s="5">
        <f t="shared" ca="1" si="3"/>
        <v>14.192307692307693</v>
      </c>
      <c r="Q65" s="5">
        <f t="shared" ca="1" si="4"/>
        <v>0</v>
      </c>
      <c r="R65" s="5">
        <f t="shared" ca="1" si="5"/>
        <v>10.392307692307693</v>
      </c>
      <c r="S65" s="5">
        <f t="shared" ca="1" si="6"/>
        <v>0</v>
      </c>
      <c r="T65" s="5">
        <f ca="1">M65/IF(Summary!$C$8&lt;&gt;"Patients",1,$I$9)</f>
        <v>14.254500348202729</v>
      </c>
      <c r="U65" s="5">
        <f ca="1">(IF(N65-M65=0,0.1,N65-M65)/IF(Summary!$C$8&lt;&gt;"Patients",1,$I$9))</f>
        <v>2.9077629903405398</v>
      </c>
      <c r="V65" s="5">
        <f t="shared" ca="1" si="7"/>
        <v>3.8</v>
      </c>
      <c r="X65" s="5">
        <f ca="1">(VLOOKUP(D65,'SPC background (hide)'!$AG$2:$AN$54,8,0)/IF(Summary!$C$8&lt;&gt;"Patients",1,$I$9))*(1-$I$4)*(1-$I$5+($I$6*$I$7))</f>
        <v>12.794157157498368</v>
      </c>
    </row>
    <row r="66" spans="1:24" x14ac:dyDescent="0.2">
      <c r="A66" s="88">
        <f t="shared" ca="1" si="8"/>
        <v>43941</v>
      </c>
      <c r="B66" s="68" t="str">
        <f t="shared" ca="1" si="10"/>
        <v/>
      </c>
      <c r="C66" s="68" t="str">
        <f ca="1">IF(TEXT(A66,"MMM")&lt;&gt;TEXT(A65,"MMM"),TEXT(A66,"MMM"),"")</f>
        <v/>
      </c>
      <c r="D66" s="68">
        <f t="shared" ca="1" si="1"/>
        <v>17</v>
      </c>
      <c r="E66" s="5">
        <f ca="1">VLOOKUP($D66,'SPC background (hide)'!$AG$2:$AS$54,12,0)</f>
        <v>551.5</v>
      </c>
      <c r="F66" s="5">
        <f ca="1">VLOOKUP($D66,'SPC background (hide)'!$AG$2:$AS$54,13,0)</f>
        <v>664</v>
      </c>
      <c r="G66" s="5" t="str">
        <f>IF(Setup!$I$15="Yes",VLOOKUP(D66,'SPC background (hide)'!$AG$2:$AT$54,14,0)/IF(Summary!$C$8="Patients",'Summary Calculations (hide)'!$I$9,1),"")</f>
        <v/>
      </c>
      <c r="H66" s="68">
        <f ca="1">IF(Setup!$I$13="Yes",'Planned background (hide)'!$V$23/IF(Summary!$C$8="Patients",'Summary Calculations (hide)'!$I$9,1),"")</f>
        <v>3.8</v>
      </c>
      <c r="I66" s="5">
        <f ca="1">HLOOKUP(D66,'Capacity calculation (hide)'!$BK$3:$DJ$4,2,0)</f>
        <v>14.192307692307693</v>
      </c>
      <c r="J66" s="5">
        <f ca="1">HLOOKUP(D66,'Capacity calculation (hide)'!$BK$110:$DJ$111,2,0)</f>
        <v>0</v>
      </c>
      <c r="K66" s="5">
        <f ca="1">IF(I66-IF(Setup!$I$15="Yes",$G66,0)-IF(Setup!$I$13="Yes",$H66,0)&lt;0,0,I66-IF(Setup!$I$15="Yes",$G66,0)-IF(Setup!$I$13="Yes",$H66,0))</f>
        <v>10.392307692307693</v>
      </c>
      <c r="L66" s="5">
        <f t="shared" ca="1" si="2"/>
        <v>0</v>
      </c>
      <c r="M66" s="5">
        <f ca="1">(E66*(1-'Parameters calculator (hide)'!$B$43))*(1-'Parameters calculator (hide)'!$B$44+('Parameters calculator (hide)'!$B$45*'Parameters calculator (hide)'!$B$47))</f>
        <v>527.17074563611823</v>
      </c>
      <c r="N66" s="5">
        <f ca="1">(F66*(1-'Parameters calculator (hide)'!$B$43))*(1-'Parameters calculator (hide)'!$B$44+('Parameters calculator (hide)'!$B$45*'Parameters calculator (hide)'!$B$47))</f>
        <v>634.70784243405717</v>
      </c>
      <c r="P66" s="5">
        <f t="shared" ca="1" si="3"/>
        <v>14.192307692307693</v>
      </c>
      <c r="Q66" s="5">
        <f t="shared" ca="1" si="4"/>
        <v>0</v>
      </c>
      <c r="R66" s="5">
        <f t="shared" ca="1" si="5"/>
        <v>10.392307692307693</v>
      </c>
      <c r="S66" s="5">
        <f t="shared" ca="1" si="6"/>
        <v>0</v>
      </c>
      <c r="T66" s="5">
        <f ca="1">M66/IF(Summary!$C$8&lt;&gt;"Patients",1,$I$9)</f>
        <v>14.254500348202729</v>
      </c>
      <c r="U66" s="5">
        <f ca="1">(IF(N66-M66=0,0.1,N66-M66)/IF(Summary!$C$8&lt;&gt;"Patients",1,$I$9))</f>
        <v>2.9077629903405398</v>
      </c>
      <c r="V66" s="5">
        <f t="shared" ca="1" si="7"/>
        <v>3.8</v>
      </c>
      <c r="X66" s="5">
        <f ca="1">(VLOOKUP(D66,'SPC background (hide)'!$AG$2:$AN$54,8,0)/IF(Summary!$C$8&lt;&gt;"Patients",1,$I$9))*(1-$I$4)*(1-$I$5+($I$6*$I$7))</f>
        <v>12.794157157498368</v>
      </c>
    </row>
    <row r="67" spans="1:24" x14ac:dyDescent="0.2">
      <c r="A67" s="303">
        <f t="shared" ca="1" si="8"/>
        <v>43948</v>
      </c>
      <c r="B67" s="68" t="str">
        <f t="shared" ref="B67" ca="1" si="11">IF(YEAR(A67)&lt;&gt;YEAR(A66),YEAR(A67),"")</f>
        <v/>
      </c>
      <c r="C67" s="68" t="str">
        <f t="shared" ref="C67" ca="1" si="12">IF(TEXT(A67,"MMM")&lt;&gt;TEXT(A66,"MMM"),TEXT(A67,"MMM"),"")</f>
        <v/>
      </c>
      <c r="D67" s="60">
        <f ca="1">IF(MAX(D15:D66)=53,WEEKNUM(A67,21),53)</f>
        <v>53</v>
      </c>
      <c r="E67" s="5">
        <f ca="1">VLOOKUP($D67,'SPC background (hide)'!$AG$2:$AS$54,12,0)</f>
        <v>551.5</v>
      </c>
      <c r="F67" s="5">
        <f ca="1">VLOOKUP($D67,'SPC background (hide)'!$AG$2:$AS$54,13,0)</f>
        <v>664</v>
      </c>
      <c r="G67" s="5" t="str">
        <f>IF(Setup!$I$15="Yes",VLOOKUP(D67,'SPC background (hide)'!$AG$2:$AT$54,14,0)/IF(Summary!$C$8="Patients",'Summary Calculations (hide)'!$I$9,1),"")</f>
        <v/>
      </c>
      <c r="H67" s="68">
        <f ca="1">IF(Setup!$I$13="Yes",'Planned background (hide)'!$V$23/IF(Summary!$C$8="Patients",'Summary Calculations (hide)'!$I$9,1),"")</f>
        <v>3.8</v>
      </c>
      <c r="I67" s="305">
        <f ca="1">IF(D67=53,HLOOKUP(52,'Capacity calculation (hide)'!$BK$3:$DJ$4,2,0),I66)</f>
        <v>14.192307692307693</v>
      </c>
      <c r="J67" s="305">
        <f ca="1">IF(D67=53,HLOOKUP(52,'Capacity calculation (hide)'!$BK$110:$DJ$111,2,0),J66)</f>
        <v>3.6923076923076925</v>
      </c>
      <c r="K67" s="5">
        <f ca="1">IF(I67-IF(Setup!$I$15="Yes",$G67,0)-IF(Setup!$I$13="Yes",$H67,0)&lt;0,0,I67-IF(Setup!$I$15="Yes",$G67,0)-IF(Setup!$I$13="Yes",$H67,0))</f>
        <v>10.392307692307693</v>
      </c>
      <c r="L67" s="5">
        <f t="shared" ref="L67" ca="1" si="13">J67</f>
        <v>3.6923076923076925</v>
      </c>
      <c r="M67" s="5">
        <f ca="1">(E67*(1-'Parameters calculator (hide)'!$B$43))*(1-'Parameters calculator (hide)'!$B$44+('Parameters calculator (hide)'!$B$45*'Parameters calculator (hide)'!$B$47))</f>
        <v>527.17074563611823</v>
      </c>
      <c r="N67" s="5">
        <f ca="1">(F67*(1-'Parameters calculator (hide)'!$B$43))*(1-'Parameters calculator (hide)'!$B$44+('Parameters calculator (hide)'!$B$45*'Parameters calculator (hide)'!$B$47))</f>
        <v>634.70784243405717</v>
      </c>
      <c r="O67" s="68"/>
      <c r="P67" s="5">
        <f t="shared" ref="P67" ca="1" si="14">I67</f>
        <v>14.192307692307693</v>
      </c>
      <c r="Q67" s="5">
        <f t="shared" ref="Q67" ca="1" si="15">J67</f>
        <v>3.6923076923076925</v>
      </c>
      <c r="R67" s="5">
        <f t="shared" ref="R67" ca="1" si="16">IF(P67-V67&lt;0,0,P67-V67)</f>
        <v>10.392307692307693</v>
      </c>
      <c r="S67" s="5">
        <f t="shared" ref="S67" ca="1" si="17">IF(R67=0,IF(P67+Q67-V67&lt;0,0,P67+Q67-V67),Q67)</f>
        <v>3.6923076923076925</v>
      </c>
      <c r="T67" s="5">
        <f ca="1">M67/IF(Summary!$C$8&lt;&gt;"Patients",1,$I$9)</f>
        <v>14.254500348202729</v>
      </c>
      <c r="U67" s="5">
        <f ca="1">(IF(N67-M67=0,0.1,N67-M67)/IF(Summary!$C$8&lt;&gt;"Patients",1,$I$9))</f>
        <v>2.9077629903405398</v>
      </c>
      <c r="V67" s="5">
        <f t="shared" ref="V67" ca="1" si="18">SUM(G67:H67)</f>
        <v>3.8</v>
      </c>
      <c r="W67" s="68"/>
      <c r="X67" s="5">
        <f ca="1">(VLOOKUP(D67,'SPC background (hide)'!$AG$2:$AN$54,8,0)/IF(Summary!$C$8&lt;&gt;"Patients",1,$I$9))*(1-$I$4)*(1-$I$5+($I$6*$I$7))</f>
        <v>12.794157157498368</v>
      </c>
    </row>
    <row r="68" spans="1:24" s="68" customFormat="1" x14ac:dyDescent="0.2">
      <c r="X68" s="5"/>
    </row>
    <row r="69" spans="1:24" x14ac:dyDescent="0.2">
      <c r="X69" s="5"/>
    </row>
    <row r="70" spans="1:24" x14ac:dyDescent="0.2">
      <c r="D70" t="s">
        <v>292</v>
      </c>
      <c r="E70" s="5">
        <f ca="1">AVERAGE(E15:E67)</f>
        <v>551.5</v>
      </c>
      <c r="F70" s="5">
        <f ca="1">AVERAGE(F15:F67)</f>
        <v>664</v>
      </c>
      <c r="G70" s="5" t="str">
        <f>IF(Setup!$I$15="Yes",AVERAGE(G15:G67),"")</f>
        <v/>
      </c>
      <c r="H70" s="5">
        <f ca="1">IF(Setup!$I$13="Yes",AVERAGE(H15:H67),"")</f>
        <v>3.8000000000000029</v>
      </c>
      <c r="I70" s="5">
        <f ca="1">AVERAGE(I15:I67)</f>
        <v>14.192307692307699</v>
      </c>
      <c r="J70" s="5">
        <f ca="1">AVERAGE(J15:J67)</f>
        <v>1.7300435413642963</v>
      </c>
      <c r="K70" s="5">
        <f ca="1">AVERAGE(K15:K67)</f>
        <v>10.39230769230768</v>
      </c>
      <c r="L70" s="5">
        <f ca="1">AVERAGE(L15:L67)</f>
        <v>1.7300435413642963</v>
      </c>
      <c r="M70" s="106">
        <f ca="1">AVERAGE(M15:M67)/IF(Summary!$C$8&lt;&gt;"Patients",1,$I$9)</f>
        <v>14.254500348202729</v>
      </c>
      <c r="N70" s="106">
        <f ca="1">AVERAGE(N15:N67)/IF(Summary!$C$8&lt;&gt;"Patients",1,$I$9)</f>
        <v>17.162263338543283</v>
      </c>
      <c r="R70" s="5">
        <f ca="1">AVERAGE(R15:R67)</f>
        <v>10.39230769230768</v>
      </c>
      <c r="S70" s="5">
        <f ca="1">AVERAGE(S15:S67)</f>
        <v>1.7300435413642963</v>
      </c>
      <c r="V70" s="106">
        <f ca="1">IF(AND(Setup!$I$13="No",Setup!$I$15="No"),0,IF(H70&lt;&gt;"",H70,0)+IF(G70&lt;&gt;"",G70,0))</f>
        <v>3.8000000000000029</v>
      </c>
      <c r="X70" s="5">
        <f ca="1">AVERAGE(X15:X67)</f>
        <v>12.794157157498374</v>
      </c>
    </row>
    <row r="71" spans="1:24" x14ac:dyDescent="0.2">
      <c r="E71" s="61"/>
      <c r="I71" t="s">
        <v>310</v>
      </c>
      <c r="K71" s="106">
        <f ca="1">(K70)/IF(Summary!$C$8&lt;&gt;"Patients",1,$I$9)</f>
        <v>0.2810041240810468</v>
      </c>
      <c r="L71" s="106">
        <f ca="1">(L70)/IF(Summary!$C$8&lt;&gt;"Patients",1,$I$9)</f>
        <v>4.677973212080614E-2</v>
      </c>
      <c r="M71" s="5"/>
      <c r="N71" s="5">
        <f ca="1">IF(N70-M70=0,0.1,N70-M70)</f>
        <v>2.9077629903405544</v>
      </c>
      <c r="R71" s="5">
        <f ca="1">SUM(R15:R67)</f>
        <v>550.79230769230708</v>
      </c>
      <c r="S71" s="5">
        <f ca="1">SUM(S15:S67)</f>
        <v>91.692307692307708</v>
      </c>
      <c r="V71" s="5">
        <f ca="1">SUM(V15:V67)</f>
        <v>201.40000000000015</v>
      </c>
      <c r="X71" s="5">
        <f ca="1">SUM(X15:X67)</f>
        <v>678.09032934741379</v>
      </c>
    </row>
    <row r="72" spans="1:24" x14ac:dyDescent="0.2">
      <c r="E72" s="5"/>
      <c r="F72" s="5"/>
      <c r="J72" s="5"/>
      <c r="K72" s="5"/>
      <c r="L72" s="5"/>
      <c r="M72" s="5"/>
      <c r="N72" s="5"/>
      <c r="X72" s="5">
        <f ca="1">AVERAGE(X15:X67)</f>
        <v>12.794157157498374</v>
      </c>
    </row>
  </sheetData>
  <pageMargins left="0.7" right="0.7" top="0.75" bottom="0.75" header="0.3" footer="0.3"/>
  <pageSetup paperSize="9" orientation="portrait" horizontalDpi="90" verticalDpi="90" r:id="rId1"/>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9"/>
  <dimension ref="A2:DJ172"/>
  <sheetViews>
    <sheetView topLeftCell="M30" zoomScale="85" zoomScaleNormal="85" workbookViewId="0">
      <selection activeCell="T64" sqref="T64:Z64"/>
    </sheetView>
  </sheetViews>
  <sheetFormatPr defaultRowHeight="14.25" x14ac:dyDescent="0.2"/>
  <cols>
    <col min="1" max="1" width="27.25" bestFit="1" customWidth="1"/>
    <col min="2" max="2" width="20.75" bestFit="1" customWidth="1"/>
    <col min="3" max="3" width="60.625" bestFit="1" customWidth="1"/>
    <col min="4" max="4" width="15.25" customWidth="1"/>
    <col min="5" max="5" width="20" bestFit="1" customWidth="1"/>
    <col min="8" max="8" width="18.5" bestFit="1" customWidth="1"/>
    <col min="13" max="13" width="11.625" bestFit="1" customWidth="1"/>
    <col min="14" max="14" width="10.125" bestFit="1" customWidth="1"/>
  </cols>
  <sheetData>
    <row r="2" spans="1:29" x14ac:dyDescent="0.2">
      <c r="M2" t="s">
        <v>1138</v>
      </c>
    </row>
    <row r="3" spans="1:29" x14ac:dyDescent="0.2">
      <c r="A3" t="s">
        <v>1124</v>
      </c>
      <c r="B3" s="308">
        <f>Summary!$D$42</f>
        <v>0</v>
      </c>
      <c r="H3" t="s">
        <v>155</v>
      </c>
      <c r="I3" t="s">
        <v>150</v>
      </c>
      <c r="J3" t="s">
        <v>151</v>
      </c>
      <c r="K3" t="s">
        <v>158</v>
      </c>
      <c r="L3" t="s">
        <v>1136</v>
      </c>
      <c r="M3" t="s">
        <v>534</v>
      </c>
      <c r="N3" t="s">
        <v>1137</v>
      </c>
    </row>
    <row r="4" spans="1:29" x14ac:dyDescent="0.2">
      <c r="A4" t="s">
        <v>1125</v>
      </c>
      <c r="B4" s="308">
        <f>Summary!$D$43</f>
        <v>0</v>
      </c>
      <c r="H4">
        <v>1</v>
      </c>
      <c r="I4">
        <f>'SPC background (hide)'!L4</f>
        <v>99</v>
      </c>
      <c r="J4">
        <f ca="1">'SPC background (hide)'!M4</f>
        <v>150</v>
      </c>
      <c r="K4" s="5">
        <f ca="1">'SPC background (hide)'!O4</f>
        <v>495</v>
      </c>
      <c r="L4">
        <f ca="1">IFERROR(VLOOKUP(H4,'SPC background (hide)'!$AI$2:$AJ$54,2,FALSE),"")</f>
        <v>141.67348608837972</v>
      </c>
      <c r="M4" s="5">
        <f ca="1">'SPC background (hide)'!P4</f>
        <v>551.5</v>
      </c>
      <c r="N4" s="5">
        <f ca="1">'SPC background (hide)'!Q4</f>
        <v>664</v>
      </c>
    </row>
    <row r="5" spans="1:29" x14ac:dyDescent="0.2">
      <c r="A5" t="s">
        <v>77</v>
      </c>
      <c r="B5" s="3">
        <f ca="1">'Summary Calculations (hide)'!I4</f>
        <v>1.0999999999999999E-2</v>
      </c>
      <c r="H5">
        <v>2</v>
      </c>
      <c r="I5" t="str">
        <f ca="1">'SPC background (hide)'!L5</f>
        <v/>
      </c>
      <c r="J5">
        <f ca="1">'SPC background (hide)'!M5</f>
        <v>0</v>
      </c>
      <c r="K5" s="5" t="str">
        <f ca="1">'SPC background (hide)'!O5</f>
        <v/>
      </c>
      <c r="L5" s="68" t="str">
        <f ca="1">IFERROR(VLOOKUP(H5,'SPC background (hide)'!$AI$2:$AJ$54,2,FALSE),"")</f>
        <v/>
      </c>
      <c r="M5" s="5" t="str">
        <f ca="1">'SPC background (hide)'!P5</f>
        <v/>
      </c>
      <c r="N5" s="5" t="str">
        <f ca="1">'SPC background (hide)'!Q5</f>
        <v/>
      </c>
    </row>
    <row r="6" spans="1:29" x14ac:dyDescent="0.2">
      <c r="A6" t="s">
        <v>1126</v>
      </c>
      <c r="B6" s="3">
        <f ca="1">'Summary Calculations (hide)'!I5</f>
        <v>0.1134830082198503</v>
      </c>
      <c r="H6">
        <v>3</v>
      </c>
      <c r="I6" t="str">
        <f ca="1">'SPC background (hide)'!L6</f>
        <v/>
      </c>
      <c r="J6">
        <f ca="1">'SPC background (hide)'!M6</f>
        <v>0</v>
      </c>
      <c r="K6" s="5" t="str">
        <f ca="1">'SPC background (hide)'!O6</f>
        <v/>
      </c>
      <c r="L6" s="68" t="str">
        <f ca="1">IFERROR(VLOOKUP(H6,'SPC background (hide)'!$AI$2:$AJ$54,2,FALSE),"")</f>
        <v/>
      </c>
      <c r="M6" s="5" t="str">
        <f ca="1">'SPC background (hide)'!P6</f>
        <v/>
      </c>
      <c r="N6" s="5" t="str">
        <f ca="1">'SPC background (hide)'!Q6</f>
        <v/>
      </c>
    </row>
    <row r="7" spans="1:29" x14ac:dyDescent="0.2">
      <c r="A7" t="s">
        <v>101</v>
      </c>
      <c r="B7" s="3">
        <f ca="1">'Summary Calculations (hide)'!I6</f>
        <v>9.9999999999999992E-2</v>
      </c>
      <c r="H7">
        <v>4</v>
      </c>
      <c r="I7" t="str">
        <f ca="1">'SPC background (hide)'!L7</f>
        <v/>
      </c>
      <c r="J7">
        <f ca="1">'SPC background (hide)'!M7</f>
        <v>0</v>
      </c>
      <c r="K7" s="5" t="str">
        <f ca="1">'SPC background (hide)'!O7</f>
        <v/>
      </c>
      <c r="L7" s="68" t="str">
        <f ca="1">IFERROR(VLOOKUP(H7,'SPC background (hide)'!$AI$2:$AJ$54,2,FALSE),"")</f>
        <v/>
      </c>
      <c r="M7" s="5" t="str">
        <f ca="1">'SPC background (hide)'!P7</f>
        <v/>
      </c>
      <c r="N7" s="5" t="str">
        <f ca="1">'SPC background (hide)'!Q7</f>
        <v/>
      </c>
    </row>
    <row r="8" spans="1:29" x14ac:dyDescent="0.2">
      <c r="A8" t="s">
        <v>421</v>
      </c>
      <c r="B8" s="3">
        <f ca="1">'Summary Calculations (hide)'!I7</f>
        <v>0.8</v>
      </c>
      <c r="H8" s="68">
        <v>5</v>
      </c>
      <c r="I8" s="68">
        <f ca="1">'SPC background (hide)'!L8</f>
        <v>53</v>
      </c>
      <c r="J8" s="68">
        <f ca="1">'SPC background (hide)'!M8</f>
        <v>52</v>
      </c>
      <c r="K8" s="5">
        <f ca="1">'SPC background (hide)'!O8</f>
        <v>495</v>
      </c>
      <c r="L8" s="68">
        <f ca="1">IFERROR(VLOOKUP(H8,'SPC background (hide)'!$AI$2:$AJ$54,2,FALSE),"")</f>
        <v>141.67348608837972</v>
      </c>
      <c r="M8" s="5">
        <f ca="1">'SPC background (hide)'!P8</f>
        <v>551.5</v>
      </c>
      <c r="N8" s="5">
        <f ca="1">'SPC background (hide)'!Q8</f>
        <v>664</v>
      </c>
    </row>
    <row r="10" spans="1:29" x14ac:dyDescent="0.2">
      <c r="A10" t="s">
        <v>1158</v>
      </c>
      <c r="B10" s="3"/>
      <c r="H10" t="s">
        <v>1135</v>
      </c>
      <c r="T10" t="s">
        <v>1141</v>
      </c>
    </row>
    <row r="11" spans="1:29" x14ac:dyDescent="0.2">
      <c r="A11" t="s">
        <v>1127</v>
      </c>
      <c r="B11" s="3">
        <f ca="1">(1-B5)*(1-(B6+B7))</f>
        <v>0.77786530487056815</v>
      </c>
      <c r="C11" s="52" t="s">
        <v>1154</v>
      </c>
      <c r="D11" t="s">
        <v>1148</v>
      </c>
      <c r="T11" t="s">
        <v>1142</v>
      </c>
      <c r="U11" t="s">
        <v>1143</v>
      </c>
      <c r="V11" t="s">
        <v>1144</v>
      </c>
      <c r="W11" t="s">
        <v>1145</v>
      </c>
      <c r="X11" t="s">
        <v>1146</v>
      </c>
      <c r="Y11" t="s">
        <v>1147</v>
      </c>
      <c r="Z11" t="s">
        <v>158</v>
      </c>
      <c r="AA11" t="s">
        <v>1151</v>
      </c>
      <c r="AB11" t="s">
        <v>1152</v>
      </c>
      <c r="AC11" t="s">
        <v>1153</v>
      </c>
    </row>
    <row r="12" spans="1:29" x14ac:dyDescent="0.2">
      <c r="A12" t="s">
        <v>1128</v>
      </c>
      <c r="B12" s="3">
        <f ca="1">(1-B5) * (B7*B8)</f>
        <v>7.9119999999999996E-2</v>
      </c>
      <c r="C12" s="52" t="s">
        <v>1155</v>
      </c>
      <c r="H12" t="str">
        <f>'Summary Calculations (hide)'!A14</f>
        <v>Reference week start</v>
      </c>
      <c r="I12" t="str">
        <f>'Summary Calculations (hide)'!B14</f>
        <v>Year</v>
      </c>
      <c r="J12" t="str">
        <f>'Summary Calculations (hide)'!C14</f>
        <v>Month</v>
      </c>
      <c r="K12" t="str">
        <f>'Summary Calculations (hide)'!D14</f>
        <v>Wk index</v>
      </c>
      <c r="L12" t="s">
        <v>155</v>
      </c>
      <c r="M12" t="s">
        <v>158</v>
      </c>
      <c r="N12" t="s">
        <v>1139</v>
      </c>
      <c r="R12" t="s">
        <v>394</v>
      </c>
      <c r="T12">
        <v>2100</v>
      </c>
    </row>
    <row r="13" spans="1:29" x14ac:dyDescent="0.2">
      <c r="A13" t="s">
        <v>1132</v>
      </c>
      <c r="B13" s="3">
        <f ca="1">B11+B12</f>
        <v>0.85698530487056812</v>
      </c>
      <c r="C13" s="52" t="s">
        <v>1133</v>
      </c>
      <c r="H13" s="303">
        <f ca="1">'Summary Calculations (hide)'!A15</f>
        <v>43584</v>
      </c>
      <c r="I13">
        <f ca="1">'Summary Calculations (hide)'!B15</f>
        <v>2019</v>
      </c>
      <c r="J13" t="str">
        <f ca="1">'Summary Calculations (hide)'!C15</f>
        <v>Apr</v>
      </c>
      <c r="K13">
        <f ca="1">'Summary Calculations (hide)'!D15</f>
        <v>18</v>
      </c>
      <c r="L13">
        <f ca="1">VLOOKUP($K13,'SPC background (hide)'!$AG$2:$AS$54,3,0)</f>
        <v>1</v>
      </c>
      <c r="M13">
        <f ca="1">((VLOOKUP(L13,$H$4:$N$8,4,FALSE)*(1-$B$5)*(1-$B$6+($B$7*$B$8))))</f>
        <v>473.16322591093115</v>
      </c>
      <c r="N13" s="68">
        <f ca="1">((VLOOKUP(L13,$H$4:$N$8,5,FALSE)*(1-$B$5)*(1-$B$6+($B$7*$B$8))))</f>
        <v>135.42360344166701</v>
      </c>
      <c r="R13" s="5">
        <f ca="1">(VLOOKUP(K13,'Summary Calculations (hide)'!$D$15:$L$67,8,0)+VLOOKUP(K13,'Summary Calculations (hide)'!$D$15:$L$67,9,0))*IF(Summary!$C$8="Patients",'Summary Calculations (hide)'!$I$9,1)</f>
        <v>384.33620689655174</v>
      </c>
      <c r="AA13">
        <f ca="1">IF(Summary!$C$8="Patients", 'Parameters calculator (hide)'!$H$63,'Parameters calculator (hide)'!$H$62)</f>
        <v>42.562452931683694</v>
      </c>
      <c r="AB13" s="68">
        <f ca="1">IF(Summary!$C$8="Patients", 'Parameters calculator (hide)'!$I$63,'Parameters calculator (hide)'!$I$62)</f>
        <v>47.04271113501882</v>
      </c>
      <c r="AC13">
        <f ca="1">AB13-AA13</f>
        <v>4.4802582033351257</v>
      </c>
    </row>
    <row r="14" spans="1:29" x14ac:dyDescent="0.2">
      <c r="A14" t="s">
        <v>1129</v>
      </c>
      <c r="B14" s="3">
        <f ca="1">1 - B7</f>
        <v>0.9</v>
      </c>
      <c r="C14" s="52" t="s">
        <v>1156</v>
      </c>
      <c r="H14" s="303">
        <f ca="1">'Summary Calculations (hide)'!A16</f>
        <v>43591</v>
      </c>
      <c r="I14" t="str">
        <f ca="1">'Summary Calculations (hide)'!B16</f>
        <v/>
      </c>
      <c r="J14" t="str">
        <f ca="1">'Summary Calculations (hide)'!C16</f>
        <v>May</v>
      </c>
      <c r="K14">
        <f ca="1">'Summary Calculations (hide)'!D16</f>
        <v>19</v>
      </c>
      <c r="L14" s="68">
        <f ca="1">VLOOKUP($K14,'SPC background (hide)'!$AG$2:$AS$54,3,0)</f>
        <v>1</v>
      </c>
      <c r="M14" s="68">
        <f t="shared" ref="M14:M64" ca="1" si="0">((VLOOKUP(L14,$H$4:$N$8,4,FALSE)*(1-$B$5)*(1-$B$6+($B$7*$B$8))))</f>
        <v>473.16322591093115</v>
      </c>
      <c r="N14" s="68">
        <f t="shared" ref="N14:N64" ca="1" si="1">((VLOOKUP(L14,$H$4:$N$8,5,FALSE)*(1-$B$5)*(1-$B$6+($B$7*$B$8))))</f>
        <v>135.42360344166701</v>
      </c>
      <c r="O14" s="68"/>
      <c r="P14" s="68"/>
      <c r="Q14" s="68"/>
      <c r="R14" s="5">
        <f ca="1">(VLOOKUP(K14,'Summary Calculations (hide)'!$D$15:$L$67,8,0)+VLOOKUP(K14,'Summary Calculations (hide)'!$D$15:$L$67,9,0))*IF(Summary!$C$8="Patients",'Summary Calculations (hide)'!$I$9,1)</f>
        <v>532.26724137931035</v>
      </c>
      <c r="AA14" s="68">
        <f ca="1">IF(Summary!$C$8="Patients", 'Parameters calculator (hide)'!$H$63,'Parameters calculator (hide)'!$H$62)</f>
        <v>42.562452931683694</v>
      </c>
      <c r="AB14" s="68">
        <f ca="1">IF(Summary!$C$8="Patients", 'Parameters calculator (hide)'!$I$63,'Parameters calculator (hide)'!$I$62)</f>
        <v>47.04271113501882</v>
      </c>
      <c r="AC14" s="68">
        <f t="shared" ref="AC14:AC64" ca="1" si="2">AB14-AA14</f>
        <v>4.4802582033351257</v>
      </c>
    </row>
    <row r="15" spans="1:29" x14ac:dyDescent="0.2">
      <c r="A15" t="s">
        <v>1130</v>
      </c>
      <c r="B15" s="3">
        <f ca="1">B7*B8</f>
        <v>0.08</v>
      </c>
      <c r="C15" s="52" t="s">
        <v>1157</v>
      </c>
      <c r="H15" s="303">
        <f ca="1">'Summary Calculations (hide)'!A17</f>
        <v>43598</v>
      </c>
      <c r="I15" t="str">
        <f ca="1">'Summary Calculations (hide)'!B17</f>
        <v/>
      </c>
      <c r="J15" t="str">
        <f ca="1">'Summary Calculations (hide)'!C17</f>
        <v/>
      </c>
      <c r="K15">
        <f ca="1">'Summary Calculations (hide)'!D17</f>
        <v>20</v>
      </c>
      <c r="L15" s="68">
        <f ca="1">VLOOKUP($K15,'SPC background (hide)'!$AG$2:$AS$54,3,0)</f>
        <v>1</v>
      </c>
      <c r="M15" s="68">
        <f t="shared" ca="1" si="0"/>
        <v>473.16322591093115</v>
      </c>
      <c r="N15" s="68">
        <f t="shared" ca="1" si="1"/>
        <v>135.42360344166701</v>
      </c>
      <c r="O15" s="68"/>
      <c r="P15" s="68"/>
      <c r="Q15" s="68"/>
      <c r="R15" s="5">
        <f ca="1">(VLOOKUP(K15,'Summary Calculations (hide)'!$D$15:$L$67,8,0)+VLOOKUP(K15,'Summary Calculations (hide)'!$D$15:$L$67,9,0))*IF(Summary!$C$8="Patients",'Summary Calculations (hide)'!$I$9,1)</f>
        <v>384.33620689655174</v>
      </c>
      <c r="AA15" s="68">
        <f ca="1">IF(Summary!$C$8="Patients", 'Parameters calculator (hide)'!$H$63,'Parameters calculator (hide)'!$H$62)</f>
        <v>42.562452931683694</v>
      </c>
      <c r="AB15" s="68">
        <f ca="1">IF(Summary!$C$8="Patients", 'Parameters calculator (hide)'!$I$63,'Parameters calculator (hide)'!$I$62)</f>
        <v>47.04271113501882</v>
      </c>
      <c r="AC15" s="68">
        <f t="shared" ca="1" si="2"/>
        <v>4.4802582033351257</v>
      </c>
    </row>
    <row r="16" spans="1:29" x14ac:dyDescent="0.2">
      <c r="A16" t="s">
        <v>1140</v>
      </c>
      <c r="B16" s="3">
        <f ca="1">B14+B15</f>
        <v>0.98</v>
      </c>
      <c r="C16" s="52" t="s">
        <v>1134</v>
      </c>
      <c r="H16" s="303">
        <f ca="1">'Summary Calculations (hide)'!A18</f>
        <v>43605</v>
      </c>
      <c r="I16" t="str">
        <f ca="1">'Summary Calculations (hide)'!B18</f>
        <v/>
      </c>
      <c r="J16" t="str">
        <f ca="1">'Summary Calculations (hide)'!C18</f>
        <v/>
      </c>
      <c r="K16">
        <f ca="1">'Summary Calculations (hide)'!D18</f>
        <v>21</v>
      </c>
      <c r="L16" s="68">
        <f ca="1">VLOOKUP($K16,'SPC background (hide)'!$AG$2:$AS$54,3,0)</f>
        <v>1</v>
      </c>
      <c r="M16" s="68">
        <f t="shared" ca="1" si="0"/>
        <v>473.16322591093115</v>
      </c>
      <c r="N16" s="68">
        <f t="shared" ca="1" si="1"/>
        <v>135.42360344166701</v>
      </c>
      <c r="O16" s="68"/>
      <c r="P16" s="68"/>
      <c r="Q16" s="68"/>
      <c r="R16" s="5">
        <f ca="1">(VLOOKUP(K16,'Summary Calculations (hide)'!$D$15:$L$67,8,0)+VLOOKUP(K16,'Summary Calculations (hide)'!$D$15:$L$67,9,0))*IF(Summary!$C$8="Patients",'Summary Calculations (hide)'!$I$9,1)</f>
        <v>532.26724137931035</v>
      </c>
      <c r="AA16" s="68">
        <f ca="1">IF(Summary!$C$8="Patients", 'Parameters calculator (hide)'!$H$63,'Parameters calculator (hide)'!$H$62)</f>
        <v>42.562452931683694</v>
      </c>
      <c r="AB16" s="68">
        <f ca="1">IF(Summary!$C$8="Patients", 'Parameters calculator (hide)'!$I$63,'Parameters calculator (hide)'!$I$62)</f>
        <v>47.04271113501882</v>
      </c>
      <c r="AC16" s="68">
        <f t="shared" ca="1" si="2"/>
        <v>4.4802582033351257</v>
      </c>
    </row>
    <row r="17" spans="1:29" x14ac:dyDescent="0.2">
      <c r="H17" s="303">
        <f ca="1">'Summary Calculations (hide)'!A19</f>
        <v>43612</v>
      </c>
      <c r="I17" t="str">
        <f ca="1">'Summary Calculations (hide)'!B19</f>
        <v/>
      </c>
      <c r="J17" t="str">
        <f ca="1">'Summary Calculations (hide)'!C19</f>
        <v/>
      </c>
      <c r="K17">
        <f ca="1">'Summary Calculations (hide)'!D19</f>
        <v>22</v>
      </c>
      <c r="L17" s="68">
        <f ca="1">VLOOKUP($K17,'SPC background (hide)'!$AG$2:$AS$54,3,0)</f>
        <v>1</v>
      </c>
      <c r="M17" s="68">
        <f t="shared" ca="1" si="0"/>
        <v>473.16322591093115</v>
      </c>
      <c r="N17" s="68">
        <f t="shared" ca="1" si="1"/>
        <v>135.42360344166701</v>
      </c>
      <c r="O17" s="68"/>
      <c r="P17" s="68"/>
      <c r="Q17" s="68"/>
      <c r="R17" s="5">
        <f ca="1">(VLOOKUP(K17,'Summary Calculations (hide)'!$D$15:$L$67,8,0)+VLOOKUP(K17,'Summary Calculations (hide)'!$D$15:$L$67,9,0))*IF(Summary!$C$8="Patients",'Summary Calculations (hide)'!$I$9,1)</f>
        <v>384.33620689655174</v>
      </c>
      <c r="AA17" s="68">
        <f ca="1">IF(Summary!$C$8="Patients", 'Parameters calculator (hide)'!$H$63,'Parameters calculator (hide)'!$H$62)</f>
        <v>42.562452931683694</v>
      </c>
      <c r="AB17" s="68">
        <f ca="1">IF(Summary!$C$8="Patients", 'Parameters calculator (hide)'!$I$63,'Parameters calculator (hide)'!$I$62)</f>
        <v>47.04271113501882</v>
      </c>
      <c r="AC17" s="68">
        <f t="shared" ca="1" si="2"/>
        <v>4.4802582033351257</v>
      </c>
    </row>
    <row r="18" spans="1:29" x14ac:dyDescent="0.2">
      <c r="A18" s="3"/>
      <c r="B18" s="3"/>
      <c r="C18" s="3"/>
      <c r="H18" s="303">
        <f ca="1">'Summary Calculations (hide)'!A20</f>
        <v>43619</v>
      </c>
      <c r="I18" t="str">
        <f ca="1">'Summary Calculations (hide)'!B20</f>
        <v/>
      </c>
      <c r="J18" t="str">
        <f ca="1">'Summary Calculations (hide)'!C20</f>
        <v>Jun</v>
      </c>
      <c r="K18">
        <f ca="1">'Summary Calculations (hide)'!D20</f>
        <v>23</v>
      </c>
      <c r="L18" s="68">
        <f ca="1">VLOOKUP($K18,'SPC background (hide)'!$AG$2:$AS$54,3,0)</f>
        <v>1</v>
      </c>
      <c r="M18" s="68">
        <f t="shared" ca="1" si="0"/>
        <v>473.16322591093115</v>
      </c>
      <c r="N18" s="68">
        <f t="shared" ca="1" si="1"/>
        <v>135.42360344166701</v>
      </c>
      <c r="O18" s="68"/>
      <c r="P18" s="68"/>
      <c r="Q18" s="68"/>
      <c r="R18" s="5">
        <f ca="1">(VLOOKUP(K18,'Summary Calculations (hide)'!$D$15:$L$67,8,0)+VLOOKUP(K18,'Summary Calculations (hide)'!$D$15:$L$67,9,0))*IF(Summary!$C$8="Patients",'Summary Calculations (hide)'!$I$9,1)</f>
        <v>532.26724137931035</v>
      </c>
      <c r="AA18" s="68">
        <f ca="1">IF(Summary!$C$8="Patients", 'Parameters calculator (hide)'!$H$63,'Parameters calculator (hide)'!$H$62)</f>
        <v>42.562452931683694</v>
      </c>
      <c r="AB18" s="68">
        <f ca="1">IF(Summary!$C$8="Patients", 'Parameters calculator (hide)'!$I$63,'Parameters calculator (hide)'!$I$62)</f>
        <v>47.04271113501882</v>
      </c>
      <c r="AC18" s="68">
        <f t="shared" ca="1" si="2"/>
        <v>4.4802582033351257</v>
      </c>
    </row>
    <row r="19" spans="1:29" x14ac:dyDescent="0.2">
      <c r="A19" s="3"/>
      <c r="B19" s="3"/>
      <c r="C19" s="3"/>
      <c r="H19" s="303">
        <f ca="1">'Summary Calculations (hide)'!A21</f>
        <v>43626</v>
      </c>
      <c r="I19" t="str">
        <f ca="1">'Summary Calculations (hide)'!B21</f>
        <v/>
      </c>
      <c r="J19" t="str">
        <f ca="1">'Summary Calculations (hide)'!C21</f>
        <v/>
      </c>
      <c r="K19">
        <f ca="1">'Summary Calculations (hide)'!D21</f>
        <v>24</v>
      </c>
      <c r="L19" s="68">
        <f ca="1">VLOOKUP($K19,'SPC background (hide)'!$AG$2:$AS$54,3,0)</f>
        <v>1</v>
      </c>
      <c r="M19" s="68">
        <f t="shared" ca="1" si="0"/>
        <v>473.16322591093115</v>
      </c>
      <c r="N19" s="68">
        <f t="shared" ca="1" si="1"/>
        <v>135.42360344166701</v>
      </c>
      <c r="O19" s="68"/>
      <c r="P19" s="68"/>
      <c r="Q19" s="68"/>
      <c r="R19" s="5">
        <f ca="1">(VLOOKUP(K19,'Summary Calculations (hide)'!$D$15:$L$67,8,0)+VLOOKUP(K19,'Summary Calculations (hide)'!$D$15:$L$67,9,0))*IF(Summary!$C$8="Patients",'Summary Calculations (hide)'!$I$9,1)</f>
        <v>532.26724137931035</v>
      </c>
      <c r="AA19" s="68">
        <f ca="1">IF(Summary!$C$8="Patients", 'Parameters calculator (hide)'!$H$63,'Parameters calculator (hide)'!$H$62)</f>
        <v>42.562452931683694</v>
      </c>
      <c r="AB19" s="68">
        <f ca="1">IF(Summary!$C$8="Patients", 'Parameters calculator (hide)'!$I$63,'Parameters calculator (hide)'!$I$62)</f>
        <v>47.04271113501882</v>
      </c>
      <c r="AC19" s="68">
        <f t="shared" ca="1" si="2"/>
        <v>4.4802582033351257</v>
      </c>
    </row>
    <row r="20" spans="1:29" x14ac:dyDescent="0.2">
      <c r="A20" s="3"/>
      <c r="B20" s="3"/>
      <c r="C20" s="3"/>
      <c r="H20" s="303">
        <f ca="1">'Summary Calculations (hide)'!A22</f>
        <v>43633</v>
      </c>
      <c r="I20" t="str">
        <f ca="1">'Summary Calculations (hide)'!B22</f>
        <v/>
      </c>
      <c r="J20" t="str">
        <f ca="1">'Summary Calculations (hide)'!C22</f>
        <v/>
      </c>
      <c r="K20">
        <f ca="1">'Summary Calculations (hide)'!D22</f>
        <v>25</v>
      </c>
      <c r="L20" s="68">
        <f ca="1">VLOOKUP($K20,'SPC background (hide)'!$AG$2:$AS$54,3,0)</f>
        <v>1</v>
      </c>
      <c r="M20" s="68">
        <f t="shared" ca="1" si="0"/>
        <v>473.16322591093115</v>
      </c>
      <c r="N20" s="68">
        <f t="shared" ca="1" si="1"/>
        <v>135.42360344166701</v>
      </c>
      <c r="O20" s="68"/>
      <c r="P20" s="68"/>
      <c r="Q20" s="68"/>
      <c r="R20" s="5">
        <f ca="1">(VLOOKUP(K20,'Summary Calculations (hide)'!$D$15:$L$67,8,0)+VLOOKUP(K20,'Summary Calculations (hide)'!$D$15:$L$67,9,0))*IF(Summary!$C$8="Patients",'Summary Calculations (hide)'!$I$9,1)</f>
        <v>384.33620689655174</v>
      </c>
      <c r="AA20" s="68">
        <f ca="1">IF(Summary!$C$8="Patients", 'Parameters calculator (hide)'!$H$63,'Parameters calculator (hide)'!$H$62)</f>
        <v>42.562452931683694</v>
      </c>
      <c r="AB20" s="68">
        <f ca="1">IF(Summary!$C$8="Patients", 'Parameters calculator (hide)'!$I$63,'Parameters calculator (hide)'!$I$62)</f>
        <v>47.04271113501882</v>
      </c>
      <c r="AC20" s="68">
        <f t="shared" ca="1" si="2"/>
        <v>4.4802582033351257</v>
      </c>
    </row>
    <row r="21" spans="1:29" x14ac:dyDescent="0.2">
      <c r="A21" s="3"/>
      <c r="B21" s="3"/>
      <c r="C21" s="3"/>
      <c r="H21" s="303">
        <f ca="1">'Summary Calculations (hide)'!A23</f>
        <v>43640</v>
      </c>
      <c r="I21" t="str">
        <f ca="1">'Summary Calculations (hide)'!B23</f>
        <v/>
      </c>
      <c r="J21" t="str">
        <f ca="1">'Summary Calculations (hide)'!C23</f>
        <v/>
      </c>
      <c r="K21">
        <f ca="1">'Summary Calculations (hide)'!D23</f>
        <v>26</v>
      </c>
      <c r="L21" s="68">
        <f ca="1">VLOOKUP($K21,'SPC background (hide)'!$AG$2:$AS$54,3,0)</f>
        <v>1</v>
      </c>
      <c r="M21" s="68">
        <f t="shared" ca="1" si="0"/>
        <v>473.16322591093115</v>
      </c>
      <c r="N21" s="68">
        <f t="shared" ca="1" si="1"/>
        <v>135.42360344166701</v>
      </c>
      <c r="O21" s="68"/>
      <c r="P21" s="68"/>
      <c r="Q21" s="68"/>
      <c r="R21" s="5">
        <f ca="1">(VLOOKUP(K21,'Summary Calculations (hide)'!$D$15:$L$67,8,0)+VLOOKUP(K21,'Summary Calculations (hide)'!$D$15:$L$67,9,0))*IF(Summary!$C$8="Patients",'Summary Calculations (hide)'!$I$9,1)</f>
        <v>520.8879310344829</v>
      </c>
      <c r="AA21" s="68">
        <f ca="1">IF(Summary!$C$8="Patients", 'Parameters calculator (hide)'!$H$63,'Parameters calculator (hide)'!$H$62)</f>
        <v>42.562452931683694</v>
      </c>
      <c r="AB21" s="68">
        <f ca="1">IF(Summary!$C$8="Patients", 'Parameters calculator (hide)'!$I$63,'Parameters calculator (hide)'!$I$62)</f>
        <v>47.04271113501882</v>
      </c>
      <c r="AC21" s="68">
        <f t="shared" ca="1" si="2"/>
        <v>4.4802582033351257</v>
      </c>
    </row>
    <row r="22" spans="1:29" x14ac:dyDescent="0.2">
      <c r="A22" s="3"/>
      <c r="B22" s="3"/>
      <c r="C22" s="3"/>
      <c r="H22" s="303">
        <f ca="1">'Summary Calculations (hide)'!A24</f>
        <v>43647</v>
      </c>
      <c r="I22" t="str">
        <f ca="1">'Summary Calculations (hide)'!B24</f>
        <v/>
      </c>
      <c r="J22" t="str">
        <f ca="1">'Summary Calculations (hide)'!C24</f>
        <v>Jul</v>
      </c>
      <c r="K22">
        <f ca="1">'Summary Calculations (hide)'!D24</f>
        <v>27</v>
      </c>
      <c r="L22" s="68">
        <f ca="1">VLOOKUP($K22,'SPC background (hide)'!$AG$2:$AS$54,3,0)</f>
        <v>1</v>
      </c>
      <c r="M22" s="68">
        <f t="shared" ca="1" si="0"/>
        <v>473.16322591093115</v>
      </c>
      <c r="N22" s="68">
        <f t="shared" ca="1" si="1"/>
        <v>135.42360344166701</v>
      </c>
      <c r="O22" s="68"/>
      <c r="P22" s="68"/>
      <c r="Q22" s="68"/>
      <c r="R22" s="5">
        <f ca="1">(VLOOKUP(K22,'Summary Calculations (hide)'!$D$15:$L$67,8,0)+VLOOKUP(K22,'Summary Calculations (hide)'!$D$15:$L$67,9,0))*IF(Summary!$C$8="Patients",'Summary Calculations (hide)'!$I$9,1)</f>
        <v>668.81896551724151</v>
      </c>
      <c r="AA22" s="68">
        <f ca="1">IF(Summary!$C$8="Patients", 'Parameters calculator (hide)'!$H$63,'Parameters calculator (hide)'!$H$62)</f>
        <v>42.562452931683694</v>
      </c>
      <c r="AB22" s="68">
        <f ca="1">IF(Summary!$C$8="Patients", 'Parameters calculator (hide)'!$I$63,'Parameters calculator (hide)'!$I$62)</f>
        <v>47.04271113501882</v>
      </c>
      <c r="AC22" s="68">
        <f t="shared" ca="1" si="2"/>
        <v>4.4802582033351257</v>
      </c>
    </row>
    <row r="23" spans="1:29" x14ac:dyDescent="0.2">
      <c r="A23" s="3"/>
      <c r="B23" s="3"/>
      <c r="C23" s="3"/>
      <c r="H23" s="303">
        <f ca="1">'Summary Calculations (hide)'!A25</f>
        <v>43654</v>
      </c>
      <c r="I23" t="str">
        <f ca="1">'Summary Calculations (hide)'!B25</f>
        <v/>
      </c>
      <c r="J23" t="str">
        <f ca="1">'Summary Calculations (hide)'!C25</f>
        <v/>
      </c>
      <c r="K23">
        <f ca="1">'Summary Calculations (hide)'!D25</f>
        <v>28</v>
      </c>
      <c r="L23" s="68">
        <f ca="1">VLOOKUP($K23,'SPC background (hide)'!$AG$2:$AS$54,3,0)</f>
        <v>1</v>
      </c>
      <c r="M23" s="68">
        <f t="shared" ca="1" si="0"/>
        <v>473.16322591093115</v>
      </c>
      <c r="N23" s="68">
        <f t="shared" ca="1" si="1"/>
        <v>135.42360344166701</v>
      </c>
      <c r="O23" s="68"/>
      <c r="P23" s="68"/>
      <c r="Q23" s="68"/>
      <c r="R23" s="5">
        <f ca="1">(VLOOKUP(K23,'Summary Calculations (hide)'!$D$15:$L$67,8,0)+VLOOKUP(K23,'Summary Calculations (hide)'!$D$15:$L$67,9,0))*IF(Summary!$C$8="Patients",'Summary Calculations (hide)'!$I$9,1)</f>
        <v>532.26724137931035</v>
      </c>
      <c r="AA23" s="68">
        <f ca="1">IF(Summary!$C$8="Patients", 'Parameters calculator (hide)'!$H$63,'Parameters calculator (hide)'!$H$62)</f>
        <v>42.562452931683694</v>
      </c>
      <c r="AB23" s="68">
        <f ca="1">IF(Summary!$C$8="Patients", 'Parameters calculator (hide)'!$I$63,'Parameters calculator (hide)'!$I$62)</f>
        <v>47.04271113501882</v>
      </c>
      <c r="AC23" s="68">
        <f t="shared" ca="1" si="2"/>
        <v>4.4802582033351257</v>
      </c>
    </row>
    <row r="24" spans="1:29" x14ac:dyDescent="0.2">
      <c r="A24" s="3"/>
      <c r="B24" s="3"/>
      <c r="C24" s="3"/>
      <c r="H24" s="303">
        <f ca="1">'Summary Calculations (hide)'!A26</f>
        <v>43661</v>
      </c>
      <c r="I24" t="str">
        <f ca="1">'Summary Calculations (hide)'!B26</f>
        <v/>
      </c>
      <c r="J24" t="str">
        <f ca="1">'Summary Calculations (hide)'!C26</f>
        <v/>
      </c>
      <c r="K24">
        <f ca="1">'Summary Calculations (hide)'!D26</f>
        <v>29</v>
      </c>
      <c r="L24" s="68">
        <f ca="1">VLOOKUP($K24,'SPC background (hide)'!$AG$2:$AS$54,3,0)</f>
        <v>1</v>
      </c>
      <c r="M24" s="68">
        <f t="shared" ca="1" si="0"/>
        <v>473.16322591093115</v>
      </c>
      <c r="N24" s="68">
        <f t="shared" ca="1" si="1"/>
        <v>135.42360344166701</v>
      </c>
      <c r="O24" s="68"/>
      <c r="P24" s="68"/>
      <c r="Q24" s="68"/>
      <c r="R24" s="5">
        <f ca="1">(VLOOKUP(K24,'Summary Calculations (hide)'!$D$15:$L$67,8,0)+VLOOKUP(K24,'Summary Calculations (hide)'!$D$15:$L$67,9,0))*IF(Summary!$C$8="Patients",'Summary Calculations (hide)'!$I$9,1)</f>
        <v>384.33620689655174</v>
      </c>
      <c r="AA24" s="68">
        <f ca="1">IF(Summary!$C$8="Patients", 'Parameters calculator (hide)'!$H$63,'Parameters calculator (hide)'!$H$62)</f>
        <v>42.562452931683694</v>
      </c>
      <c r="AB24" s="68">
        <f ca="1">IF(Summary!$C$8="Patients", 'Parameters calculator (hide)'!$I$63,'Parameters calculator (hide)'!$I$62)</f>
        <v>47.04271113501882</v>
      </c>
      <c r="AC24" s="68">
        <f t="shared" ca="1" si="2"/>
        <v>4.4802582033351257</v>
      </c>
    </row>
    <row r="25" spans="1:29" x14ac:dyDescent="0.2">
      <c r="A25" s="3"/>
      <c r="B25" s="3"/>
      <c r="C25" s="3"/>
      <c r="H25" s="303">
        <f ca="1">'Summary Calculations (hide)'!A27</f>
        <v>43668</v>
      </c>
      <c r="I25" t="str">
        <f ca="1">'Summary Calculations (hide)'!B27</f>
        <v/>
      </c>
      <c r="J25" t="str">
        <f ca="1">'Summary Calculations (hide)'!C27</f>
        <v/>
      </c>
      <c r="K25">
        <f ca="1">'Summary Calculations (hide)'!D27</f>
        <v>30</v>
      </c>
      <c r="L25" s="68">
        <f ca="1">VLOOKUP($K25,'SPC background (hide)'!$AG$2:$AS$54,3,0)</f>
        <v>1</v>
      </c>
      <c r="M25" s="68">
        <f t="shared" ca="1" si="0"/>
        <v>473.16322591093115</v>
      </c>
      <c r="N25" s="68">
        <f t="shared" ca="1" si="1"/>
        <v>135.42360344166701</v>
      </c>
      <c r="O25" s="68"/>
      <c r="P25" s="68"/>
      <c r="Q25" s="68"/>
      <c r="R25" s="5">
        <f ca="1">(VLOOKUP(K25,'Summary Calculations (hide)'!$D$15:$L$67,8,0)+VLOOKUP(K25,'Summary Calculations (hide)'!$D$15:$L$67,9,0))*IF(Summary!$C$8="Patients",'Summary Calculations (hide)'!$I$9,1)</f>
        <v>384.33620689655174</v>
      </c>
      <c r="AA25" s="68">
        <f ca="1">IF(Summary!$C$8="Patients", 'Parameters calculator (hide)'!$H$63,'Parameters calculator (hide)'!$H$62)</f>
        <v>42.562452931683694</v>
      </c>
      <c r="AB25" s="68">
        <f ca="1">IF(Summary!$C$8="Patients", 'Parameters calculator (hide)'!$I$63,'Parameters calculator (hide)'!$I$62)</f>
        <v>47.04271113501882</v>
      </c>
      <c r="AC25" s="68">
        <f t="shared" ca="1" si="2"/>
        <v>4.4802582033351257</v>
      </c>
    </row>
    <row r="26" spans="1:29" ht="15" x14ac:dyDescent="0.25">
      <c r="A26" s="3"/>
      <c r="B26" s="3"/>
      <c r="C26" s="309"/>
      <c r="H26" s="303">
        <f ca="1">'Summary Calculations (hide)'!A28</f>
        <v>43675</v>
      </c>
      <c r="I26" t="str">
        <f ca="1">'Summary Calculations (hide)'!B28</f>
        <v/>
      </c>
      <c r="J26" t="str">
        <f ca="1">'Summary Calculations (hide)'!C28</f>
        <v/>
      </c>
      <c r="K26">
        <f ca="1">'Summary Calculations (hide)'!D28</f>
        <v>31</v>
      </c>
      <c r="L26" s="68">
        <f ca="1">VLOOKUP($K26,'SPC background (hide)'!$AG$2:$AS$54,3,0)</f>
        <v>1</v>
      </c>
      <c r="M26" s="68">
        <f t="shared" ca="1" si="0"/>
        <v>473.16322591093115</v>
      </c>
      <c r="N26" s="68">
        <f t="shared" ca="1" si="1"/>
        <v>135.42360344166701</v>
      </c>
      <c r="O26" s="68"/>
      <c r="P26" s="68"/>
      <c r="Q26" s="68"/>
      <c r="R26" s="5">
        <f ca="1">(VLOOKUP(K26,'Summary Calculations (hide)'!$D$15:$L$67,8,0)+VLOOKUP(K26,'Summary Calculations (hide)'!$D$15:$L$67,9,0))*IF(Summary!$C$8="Patients",'Summary Calculations (hide)'!$I$9,1)</f>
        <v>668.81896551724151</v>
      </c>
      <c r="AA26" s="68">
        <f ca="1">IF(Summary!$C$8="Patients", 'Parameters calculator (hide)'!$H$63,'Parameters calculator (hide)'!$H$62)</f>
        <v>42.562452931683694</v>
      </c>
      <c r="AB26" s="68">
        <f ca="1">IF(Summary!$C$8="Patients", 'Parameters calculator (hide)'!$I$63,'Parameters calculator (hide)'!$I$62)</f>
        <v>47.04271113501882</v>
      </c>
      <c r="AC26" s="68">
        <f t="shared" ca="1" si="2"/>
        <v>4.4802582033351257</v>
      </c>
    </row>
    <row r="27" spans="1:29" x14ac:dyDescent="0.2">
      <c r="A27" s="3"/>
      <c r="B27" s="3"/>
      <c r="C27" s="3"/>
      <c r="H27" s="303">
        <f ca="1">'Summary Calculations (hide)'!A29</f>
        <v>43682</v>
      </c>
      <c r="I27" t="str">
        <f ca="1">'Summary Calculations (hide)'!B29</f>
        <v/>
      </c>
      <c r="J27" t="str">
        <f ca="1">'Summary Calculations (hide)'!C29</f>
        <v>Aug</v>
      </c>
      <c r="K27">
        <f ca="1">'Summary Calculations (hide)'!D29</f>
        <v>32</v>
      </c>
      <c r="L27" s="68">
        <f ca="1">VLOOKUP($K27,'SPC background (hide)'!$AG$2:$AS$54,3,0)</f>
        <v>1</v>
      </c>
      <c r="M27" s="68">
        <f t="shared" ca="1" si="0"/>
        <v>473.16322591093115</v>
      </c>
      <c r="N27" s="68">
        <f t="shared" ca="1" si="1"/>
        <v>135.42360344166701</v>
      </c>
      <c r="O27" s="68"/>
      <c r="P27" s="68"/>
      <c r="Q27" s="68"/>
      <c r="R27" s="5">
        <f ca="1">(VLOOKUP(K27,'Summary Calculations (hide)'!$D$15:$L$67,8,0)+VLOOKUP(K27,'Summary Calculations (hide)'!$D$15:$L$67,9,0))*IF(Summary!$C$8="Patients",'Summary Calculations (hide)'!$I$9,1)</f>
        <v>384.33620689655174</v>
      </c>
      <c r="AA27" s="68">
        <f ca="1">IF(Summary!$C$8="Patients", 'Parameters calculator (hide)'!$H$63,'Parameters calculator (hide)'!$H$62)</f>
        <v>42.562452931683694</v>
      </c>
      <c r="AB27" s="68">
        <f ca="1">IF(Summary!$C$8="Patients", 'Parameters calculator (hide)'!$I$63,'Parameters calculator (hide)'!$I$62)</f>
        <v>47.04271113501882</v>
      </c>
      <c r="AC27" s="68">
        <f t="shared" ca="1" si="2"/>
        <v>4.4802582033351257</v>
      </c>
    </row>
    <row r="28" spans="1:29" x14ac:dyDescent="0.2">
      <c r="A28" s="3"/>
      <c r="B28" s="3"/>
      <c r="C28" s="3"/>
      <c r="H28" s="303">
        <f ca="1">'Summary Calculations (hide)'!A30</f>
        <v>43689</v>
      </c>
      <c r="I28" t="str">
        <f ca="1">'Summary Calculations (hide)'!B30</f>
        <v/>
      </c>
      <c r="J28" t="str">
        <f ca="1">'Summary Calculations (hide)'!C30</f>
        <v/>
      </c>
      <c r="K28">
        <f ca="1">'Summary Calculations (hide)'!D30</f>
        <v>33</v>
      </c>
      <c r="L28" s="68">
        <f ca="1">VLOOKUP($K28,'SPC background (hide)'!$AG$2:$AS$54,3,0)</f>
        <v>1</v>
      </c>
      <c r="M28" s="68">
        <f t="shared" ca="1" si="0"/>
        <v>473.16322591093115</v>
      </c>
      <c r="N28" s="68">
        <f t="shared" ca="1" si="1"/>
        <v>135.42360344166701</v>
      </c>
      <c r="O28" s="68"/>
      <c r="P28" s="68"/>
      <c r="Q28" s="68"/>
      <c r="R28" s="5">
        <f ca="1">(VLOOKUP(K28,'Summary Calculations (hide)'!$D$15:$L$67,8,0)+VLOOKUP(K28,'Summary Calculations (hide)'!$D$15:$L$67,9,0))*IF(Summary!$C$8="Patients",'Summary Calculations (hide)'!$I$9,1)</f>
        <v>384.33620689655174</v>
      </c>
      <c r="AA28" s="68">
        <f ca="1">IF(Summary!$C$8="Patients", 'Parameters calculator (hide)'!$H$63,'Parameters calculator (hide)'!$H$62)</f>
        <v>42.562452931683694</v>
      </c>
      <c r="AB28" s="68">
        <f ca="1">IF(Summary!$C$8="Patients", 'Parameters calculator (hide)'!$I$63,'Parameters calculator (hide)'!$I$62)</f>
        <v>47.04271113501882</v>
      </c>
      <c r="AC28" s="68">
        <f t="shared" ca="1" si="2"/>
        <v>4.4802582033351257</v>
      </c>
    </row>
    <row r="29" spans="1:29" x14ac:dyDescent="0.2">
      <c r="A29" s="3"/>
      <c r="B29" s="3"/>
      <c r="C29" s="3"/>
      <c r="H29" s="303">
        <f ca="1">'Summary Calculations (hide)'!A31</f>
        <v>43696</v>
      </c>
      <c r="I29" t="str">
        <f ca="1">'Summary Calculations (hide)'!B31</f>
        <v/>
      </c>
      <c r="J29" t="str">
        <f ca="1">'Summary Calculations (hide)'!C31</f>
        <v/>
      </c>
      <c r="K29">
        <f ca="1">'Summary Calculations (hide)'!D31</f>
        <v>34</v>
      </c>
      <c r="L29" s="68">
        <f ca="1">VLOOKUP($K29,'SPC background (hide)'!$AG$2:$AS$54,3,0)</f>
        <v>1</v>
      </c>
      <c r="M29" s="68">
        <f t="shared" ca="1" si="0"/>
        <v>473.16322591093115</v>
      </c>
      <c r="N29" s="68">
        <f t="shared" ca="1" si="1"/>
        <v>135.42360344166701</v>
      </c>
      <c r="O29" s="68"/>
      <c r="P29" s="68"/>
      <c r="Q29" s="68"/>
      <c r="R29" s="5">
        <f ca="1">(VLOOKUP(K29,'Summary Calculations (hide)'!$D$15:$L$67,8,0)+VLOOKUP(K29,'Summary Calculations (hide)'!$D$15:$L$67,9,0))*IF(Summary!$C$8="Patients",'Summary Calculations (hide)'!$I$9,1)</f>
        <v>384.33620689655174</v>
      </c>
      <c r="AA29" s="68">
        <f ca="1">IF(Summary!$C$8="Patients", 'Parameters calculator (hide)'!$H$63,'Parameters calculator (hide)'!$H$62)</f>
        <v>42.562452931683694</v>
      </c>
      <c r="AB29" s="68">
        <f ca="1">IF(Summary!$C$8="Patients", 'Parameters calculator (hide)'!$I$63,'Parameters calculator (hide)'!$I$62)</f>
        <v>47.04271113501882</v>
      </c>
      <c r="AC29" s="68">
        <f t="shared" ca="1" si="2"/>
        <v>4.4802582033351257</v>
      </c>
    </row>
    <row r="30" spans="1:29" x14ac:dyDescent="0.2">
      <c r="A30" s="3"/>
      <c r="B30" s="3"/>
      <c r="C30" s="3"/>
      <c r="H30" s="303">
        <f ca="1">'Summary Calculations (hide)'!A32</f>
        <v>43703</v>
      </c>
      <c r="I30" t="str">
        <f ca="1">'Summary Calculations (hide)'!B32</f>
        <v/>
      </c>
      <c r="J30" t="str">
        <f ca="1">'Summary Calculations (hide)'!C32</f>
        <v/>
      </c>
      <c r="K30">
        <f ca="1">'Summary Calculations (hide)'!D32</f>
        <v>35</v>
      </c>
      <c r="L30" s="68">
        <f ca="1">VLOOKUP($K30,'SPC background (hide)'!$AG$2:$AS$54,3,0)</f>
        <v>1</v>
      </c>
      <c r="M30" s="68">
        <f t="shared" ca="1" si="0"/>
        <v>473.16322591093115</v>
      </c>
      <c r="N30" s="68">
        <f t="shared" ca="1" si="1"/>
        <v>135.42360344166701</v>
      </c>
      <c r="O30" s="68"/>
      <c r="P30" s="68"/>
      <c r="Q30" s="68"/>
      <c r="R30" s="5">
        <f ca="1">(VLOOKUP(K30,'Summary Calculations (hide)'!$D$15:$L$67,8,0)+VLOOKUP(K30,'Summary Calculations (hide)'!$D$15:$L$67,9,0))*IF(Summary!$C$8="Patients",'Summary Calculations (hide)'!$I$9,1)</f>
        <v>384.33620689655174</v>
      </c>
      <c r="AA30" s="68">
        <f ca="1">IF(Summary!$C$8="Patients", 'Parameters calculator (hide)'!$H$63,'Parameters calculator (hide)'!$H$62)</f>
        <v>42.562452931683694</v>
      </c>
      <c r="AB30" s="68">
        <f ca="1">IF(Summary!$C$8="Patients", 'Parameters calculator (hide)'!$I$63,'Parameters calculator (hide)'!$I$62)</f>
        <v>47.04271113501882</v>
      </c>
      <c r="AC30" s="68">
        <f t="shared" ca="1" si="2"/>
        <v>4.4802582033351257</v>
      </c>
    </row>
    <row r="31" spans="1:29" x14ac:dyDescent="0.2">
      <c r="A31" s="3"/>
      <c r="B31" s="3"/>
      <c r="C31" s="3"/>
      <c r="H31" s="303">
        <f ca="1">'Summary Calculations (hide)'!A33</f>
        <v>43710</v>
      </c>
      <c r="I31" t="str">
        <f ca="1">'Summary Calculations (hide)'!B33</f>
        <v/>
      </c>
      <c r="J31" t="str">
        <f ca="1">'Summary Calculations (hide)'!C33</f>
        <v>Sep</v>
      </c>
      <c r="K31">
        <f ca="1">'Summary Calculations (hide)'!D33</f>
        <v>36</v>
      </c>
      <c r="L31" s="68">
        <f ca="1">VLOOKUP($K31,'SPC background (hide)'!$AG$2:$AS$54,3,0)</f>
        <v>1</v>
      </c>
      <c r="M31" s="68">
        <f t="shared" ca="1" si="0"/>
        <v>473.16322591093115</v>
      </c>
      <c r="N31" s="68">
        <f t="shared" ca="1" si="1"/>
        <v>135.42360344166701</v>
      </c>
      <c r="O31" s="68"/>
      <c r="P31" s="68"/>
      <c r="Q31" s="68"/>
      <c r="R31" s="5">
        <f ca="1">(VLOOKUP(K31,'Summary Calculations (hide)'!$D$15:$L$67,8,0)+VLOOKUP(K31,'Summary Calculations (hide)'!$D$15:$L$67,9,0))*IF(Summary!$C$8="Patients",'Summary Calculations (hide)'!$I$9,1)</f>
        <v>384.33620689655174</v>
      </c>
      <c r="AA31" s="68">
        <f ca="1">IF(Summary!$C$8="Patients", 'Parameters calculator (hide)'!$H$63,'Parameters calculator (hide)'!$H$62)</f>
        <v>42.562452931683694</v>
      </c>
      <c r="AB31" s="68">
        <f ca="1">IF(Summary!$C$8="Patients", 'Parameters calculator (hide)'!$I$63,'Parameters calculator (hide)'!$I$62)</f>
        <v>47.04271113501882</v>
      </c>
      <c r="AC31" s="68">
        <f t="shared" ca="1" si="2"/>
        <v>4.4802582033351257</v>
      </c>
    </row>
    <row r="32" spans="1:29" x14ac:dyDescent="0.2">
      <c r="A32" s="3"/>
      <c r="B32" s="3"/>
      <c r="C32" s="3"/>
      <c r="H32" s="303">
        <f ca="1">'Summary Calculations (hide)'!A34</f>
        <v>43717</v>
      </c>
      <c r="I32" t="str">
        <f ca="1">'Summary Calculations (hide)'!B34</f>
        <v/>
      </c>
      <c r="J32" t="str">
        <f ca="1">'Summary Calculations (hide)'!C34</f>
        <v/>
      </c>
      <c r="K32">
        <f ca="1">'Summary Calculations (hide)'!D34</f>
        <v>37</v>
      </c>
      <c r="L32" s="68">
        <f ca="1">VLOOKUP($K32,'SPC background (hide)'!$AG$2:$AS$54,3,0)</f>
        <v>1</v>
      </c>
      <c r="M32" s="68">
        <f t="shared" ca="1" si="0"/>
        <v>473.16322591093115</v>
      </c>
      <c r="N32" s="68">
        <f t="shared" ca="1" si="1"/>
        <v>135.42360344166701</v>
      </c>
      <c r="O32" s="68"/>
      <c r="P32" s="68"/>
      <c r="Q32" s="68"/>
      <c r="R32" s="5">
        <f ca="1">(VLOOKUP(K32,'Summary Calculations (hide)'!$D$15:$L$67,8,0)+VLOOKUP(K32,'Summary Calculations (hide)'!$D$15:$L$67,9,0))*IF(Summary!$C$8="Patients",'Summary Calculations (hide)'!$I$9,1)</f>
        <v>384.33620689655174</v>
      </c>
      <c r="AA32" s="68">
        <f ca="1">IF(Summary!$C$8="Patients", 'Parameters calculator (hide)'!$H$63,'Parameters calculator (hide)'!$H$62)</f>
        <v>42.562452931683694</v>
      </c>
      <c r="AB32" s="68">
        <f ca="1">IF(Summary!$C$8="Patients", 'Parameters calculator (hide)'!$I$63,'Parameters calculator (hide)'!$I$62)</f>
        <v>47.04271113501882</v>
      </c>
      <c r="AC32" s="68">
        <f t="shared" ca="1" si="2"/>
        <v>4.4802582033351257</v>
      </c>
    </row>
    <row r="33" spans="1:29" x14ac:dyDescent="0.2">
      <c r="B33" t="s">
        <v>1159</v>
      </c>
      <c r="H33" s="303">
        <f ca="1">'Summary Calculations (hide)'!A35</f>
        <v>43724</v>
      </c>
      <c r="I33" t="str">
        <f ca="1">'Summary Calculations (hide)'!B35</f>
        <v/>
      </c>
      <c r="J33" t="str">
        <f ca="1">'Summary Calculations (hide)'!C35</f>
        <v/>
      </c>
      <c r="K33">
        <f ca="1">'Summary Calculations (hide)'!D35</f>
        <v>38</v>
      </c>
      <c r="L33" s="68">
        <f ca="1">VLOOKUP($K33,'SPC background (hide)'!$AG$2:$AS$54,3,0)</f>
        <v>1</v>
      </c>
      <c r="M33" s="68">
        <f t="shared" ca="1" si="0"/>
        <v>473.16322591093115</v>
      </c>
      <c r="N33" s="68">
        <f t="shared" ca="1" si="1"/>
        <v>135.42360344166701</v>
      </c>
      <c r="O33" s="68"/>
      <c r="P33" s="68"/>
      <c r="Q33" s="68"/>
      <c r="R33" s="5">
        <f ca="1">(VLOOKUP(K33,'Summary Calculations (hide)'!$D$15:$L$67,8,0)+VLOOKUP(K33,'Summary Calculations (hide)'!$D$15:$L$67,9,0))*IF(Summary!$C$8="Patients",'Summary Calculations (hide)'!$I$9,1)</f>
        <v>384.33620689655174</v>
      </c>
      <c r="AA33" s="68">
        <f ca="1">IF(Summary!$C$8="Patients", 'Parameters calculator (hide)'!$H$63,'Parameters calculator (hide)'!$H$62)</f>
        <v>42.562452931683694</v>
      </c>
      <c r="AB33" s="68">
        <f ca="1">IF(Summary!$C$8="Patients", 'Parameters calculator (hide)'!$I$63,'Parameters calculator (hide)'!$I$62)</f>
        <v>47.04271113501882</v>
      </c>
      <c r="AC33" s="68">
        <f t="shared" ca="1" si="2"/>
        <v>4.4802582033351257</v>
      </c>
    </row>
    <row r="34" spans="1:29" x14ac:dyDescent="0.2">
      <c r="A34" t="s">
        <v>1131</v>
      </c>
      <c r="B34" s="5">
        <f ca="1">'Parameters calculator (hide)'!C79</f>
        <v>2100</v>
      </c>
      <c r="H34" s="303">
        <f ca="1">'Summary Calculations (hide)'!A36</f>
        <v>43731</v>
      </c>
      <c r="I34" t="str">
        <f ca="1">'Summary Calculations (hide)'!B36</f>
        <v/>
      </c>
      <c r="J34" t="str">
        <f ca="1">'Summary Calculations (hide)'!C36</f>
        <v/>
      </c>
      <c r="K34">
        <f ca="1">'Summary Calculations (hide)'!D36</f>
        <v>39</v>
      </c>
      <c r="L34" s="68">
        <f ca="1">VLOOKUP($K34,'SPC background (hide)'!$AG$2:$AS$54,3,0)</f>
        <v>1</v>
      </c>
      <c r="M34" s="68">
        <f t="shared" ca="1" si="0"/>
        <v>473.16322591093115</v>
      </c>
      <c r="N34" s="68">
        <f t="shared" ca="1" si="1"/>
        <v>135.42360344166701</v>
      </c>
      <c r="O34" s="68"/>
      <c r="P34" s="68"/>
      <c r="Q34" s="68"/>
      <c r="R34" s="5">
        <f ca="1">(VLOOKUP(K34,'Summary Calculations (hide)'!$D$15:$L$67,8,0)+VLOOKUP(K34,'Summary Calculations (hide)'!$D$15:$L$67,9,0))*IF(Summary!$C$8="Patients",'Summary Calculations (hide)'!$I$9,1)</f>
        <v>384.33620689655174</v>
      </c>
      <c r="AA34" s="68">
        <f ca="1">IF(Summary!$C$8="Patients", 'Parameters calculator (hide)'!$H$63,'Parameters calculator (hide)'!$H$62)</f>
        <v>42.562452931683694</v>
      </c>
      <c r="AB34" s="68">
        <f ca="1">IF(Summary!$C$8="Patients", 'Parameters calculator (hide)'!$I$63,'Parameters calculator (hide)'!$I$62)</f>
        <v>47.04271113501882</v>
      </c>
      <c r="AC34" s="68">
        <f t="shared" ca="1" si="2"/>
        <v>4.4802582033351257</v>
      </c>
    </row>
    <row r="35" spans="1:29" x14ac:dyDescent="0.2">
      <c r="H35" s="303">
        <f ca="1">'Summary Calculations (hide)'!A37</f>
        <v>43738</v>
      </c>
      <c r="I35" t="str">
        <f ca="1">'Summary Calculations (hide)'!B37</f>
        <v/>
      </c>
      <c r="J35" t="str">
        <f ca="1">'Summary Calculations (hide)'!C37</f>
        <v/>
      </c>
      <c r="K35">
        <f ca="1">'Summary Calculations (hide)'!D37</f>
        <v>40</v>
      </c>
      <c r="L35" s="68">
        <f ca="1">VLOOKUP($K35,'SPC background (hide)'!$AG$2:$AS$54,3,0)</f>
        <v>1</v>
      </c>
      <c r="M35" s="68">
        <f t="shared" ca="1" si="0"/>
        <v>473.16322591093115</v>
      </c>
      <c r="N35" s="68">
        <f t="shared" ca="1" si="1"/>
        <v>135.42360344166701</v>
      </c>
      <c r="O35" s="68"/>
      <c r="P35" s="68"/>
      <c r="Q35" s="68"/>
      <c r="R35" s="5">
        <f ca="1">(VLOOKUP(K35,'Summary Calculations (hide)'!$D$15:$L$67,8,0)+VLOOKUP(K35,'Summary Calculations (hide)'!$D$15:$L$67,9,0))*IF(Summary!$C$8="Patients",'Summary Calculations (hide)'!$I$9,1)</f>
        <v>384.33620689655174</v>
      </c>
      <c r="AA35" s="68">
        <f ca="1">IF(Summary!$C$8="Patients", 'Parameters calculator (hide)'!$H$63,'Parameters calculator (hide)'!$H$62)</f>
        <v>42.562452931683694</v>
      </c>
      <c r="AB35" s="68">
        <f ca="1">IF(Summary!$C$8="Patients", 'Parameters calculator (hide)'!$I$63,'Parameters calculator (hide)'!$I$62)</f>
        <v>47.04271113501882</v>
      </c>
      <c r="AC35" s="68">
        <f t="shared" ca="1" si="2"/>
        <v>4.4802582033351257</v>
      </c>
    </row>
    <row r="36" spans="1:29" x14ac:dyDescent="0.2">
      <c r="H36" s="303">
        <f ca="1">'Summary Calculations (hide)'!A38</f>
        <v>43745</v>
      </c>
      <c r="I36" t="str">
        <f ca="1">'Summary Calculations (hide)'!B38</f>
        <v/>
      </c>
      <c r="J36" t="str">
        <f ca="1">'Summary Calculations (hide)'!C38</f>
        <v>Oct</v>
      </c>
      <c r="K36">
        <f ca="1">'Summary Calculations (hide)'!D38</f>
        <v>41</v>
      </c>
      <c r="L36" s="68">
        <f ca="1">VLOOKUP($K36,'SPC background (hide)'!$AG$2:$AS$54,3,0)</f>
        <v>1</v>
      </c>
      <c r="M36" s="68">
        <f t="shared" ca="1" si="0"/>
        <v>473.16322591093115</v>
      </c>
      <c r="N36" s="68">
        <f t="shared" ca="1" si="1"/>
        <v>135.42360344166701</v>
      </c>
      <c r="O36" s="68"/>
      <c r="P36" s="68"/>
      <c r="Q36" s="68"/>
      <c r="R36" s="5">
        <f ca="1">(VLOOKUP(K36,'Summary Calculations (hide)'!$D$15:$L$67,8,0)+VLOOKUP(K36,'Summary Calculations (hide)'!$D$15:$L$67,9,0))*IF(Summary!$C$8="Patients",'Summary Calculations (hide)'!$I$9,1)</f>
        <v>384.33620689655174</v>
      </c>
      <c r="AA36" s="68">
        <f ca="1">IF(Summary!$C$8="Patients", 'Parameters calculator (hide)'!$H$63,'Parameters calculator (hide)'!$H$62)</f>
        <v>42.562452931683694</v>
      </c>
      <c r="AB36" s="68">
        <f ca="1">IF(Summary!$C$8="Patients", 'Parameters calculator (hide)'!$I$63,'Parameters calculator (hide)'!$I$62)</f>
        <v>47.04271113501882</v>
      </c>
      <c r="AC36" s="68">
        <f t="shared" ca="1" si="2"/>
        <v>4.4802582033351257</v>
      </c>
    </row>
    <row r="37" spans="1:29" x14ac:dyDescent="0.2">
      <c r="H37" s="303">
        <f ca="1">'Summary Calculations (hide)'!A39</f>
        <v>43752</v>
      </c>
      <c r="I37" t="str">
        <f ca="1">'Summary Calculations (hide)'!B39</f>
        <v/>
      </c>
      <c r="J37" t="str">
        <f ca="1">'Summary Calculations (hide)'!C39</f>
        <v/>
      </c>
      <c r="K37">
        <f ca="1">'Summary Calculations (hide)'!D39</f>
        <v>42</v>
      </c>
      <c r="L37" s="68">
        <f ca="1">VLOOKUP($K37,'SPC background (hide)'!$AG$2:$AS$54,3,0)</f>
        <v>1</v>
      </c>
      <c r="M37" s="68">
        <f t="shared" ca="1" si="0"/>
        <v>473.16322591093115</v>
      </c>
      <c r="N37" s="68">
        <f t="shared" ca="1" si="1"/>
        <v>135.42360344166701</v>
      </c>
      <c r="O37" s="68"/>
      <c r="P37" s="68"/>
      <c r="Q37" s="68"/>
      <c r="R37" s="5">
        <f ca="1">(VLOOKUP(K37,'Summary Calculations (hide)'!$D$15:$L$67,8,0)+VLOOKUP(K37,'Summary Calculations (hide)'!$D$15:$L$67,9,0))*IF(Summary!$C$8="Patients",'Summary Calculations (hide)'!$I$9,1)</f>
        <v>384.33620689655174</v>
      </c>
      <c r="AA37" s="68">
        <f ca="1">IF(Summary!$C$8="Patients", 'Parameters calculator (hide)'!$H$63,'Parameters calculator (hide)'!$H$62)</f>
        <v>42.562452931683694</v>
      </c>
      <c r="AB37" s="68">
        <f ca="1">IF(Summary!$C$8="Patients", 'Parameters calculator (hide)'!$I$63,'Parameters calculator (hide)'!$I$62)</f>
        <v>47.04271113501882</v>
      </c>
      <c r="AC37" s="68">
        <f t="shared" ca="1" si="2"/>
        <v>4.4802582033351257</v>
      </c>
    </row>
    <row r="38" spans="1:29" x14ac:dyDescent="0.2">
      <c r="H38" s="303">
        <f ca="1">'Summary Calculations (hide)'!A40</f>
        <v>43759</v>
      </c>
      <c r="I38" t="str">
        <f ca="1">'Summary Calculations (hide)'!B40</f>
        <v/>
      </c>
      <c r="J38" t="str">
        <f ca="1">'Summary Calculations (hide)'!C40</f>
        <v/>
      </c>
      <c r="K38">
        <f ca="1">'Summary Calculations (hide)'!D40</f>
        <v>43</v>
      </c>
      <c r="L38" s="68">
        <f ca="1">VLOOKUP($K38,'SPC background (hide)'!$AG$2:$AS$54,3,0)</f>
        <v>1</v>
      </c>
      <c r="M38" s="68">
        <f t="shared" ca="1" si="0"/>
        <v>473.16322591093115</v>
      </c>
      <c r="N38" s="68">
        <f t="shared" ca="1" si="1"/>
        <v>135.42360344166701</v>
      </c>
      <c r="O38" s="68"/>
      <c r="P38" s="68"/>
      <c r="Q38" s="68"/>
      <c r="R38" s="5">
        <f ca="1">(VLOOKUP(K38,'Summary Calculations (hide)'!$D$15:$L$67,8,0)+VLOOKUP(K38,'Summary Calculations (hide)'!$D$15:$L$67,9,0))*IF(Summary!$C$8="Patients",'Summary Calculations (hide)'!$I$9,1)</f>
        <v>520.8879310344829</v>
      </c>
      <c r="AA38" s="68">
        <f ca="1">IF(Summary!$C$8="Patients", 'Parameters calculator (hide)'!$H$63,'Parameters calculator (hide)'!$H$62)</f>
        <v>42.562452931683694</v>
      </c>
      <c r="AB38" s="68">
        <f ca="1">IF(Summary!$C$8="Patients", 'Parameters calculator (hide)'!$I$63,'Parameters calculator (hide)'!$I$62)</f>
        <v>47.04271113501882</v>
      </c>
      <c r="AC38" s="68">
        <f t="shared" ca="1" si="2"/>
        <v>4.4802582033351257</v>
      </c>
    </row>
    <row r="39" spans="1:29" x14ac:dyDescent="0.2">
      <c r="H39" s="303">
        <f ca="1">'Summary Calculations (hide)'!A41</f>
        <v>43766</v>
      </c>
      <c r="I39" t="str">
        <f ca="1">'Summary Calculations (hide)'!B41</f>
        <v/>
      </c>
      <c r="J39" t="str">
        <f ca="1">'Summary Calculations (hide)'!C41</f>
        <v/>
      </c>
      <c r="K39">
        <f ca="1">'Summary Calculations (hide)'!D41</f>
        <v>44</v>
      </c>
      <c r="L39" s="68">
        <f ca="1">VLOOKUP($K39,'SPC background (hide)'!$AG$2:$AS$54,3,0)</f>
        <v>1</v>
      </c>
      <c r="M39" s="68">
        <f t="shared" ca="1" si="0"/>
        <v>473.16322591093115</v>
      </c>
      <c r="N39" s="68">
        <f t="shared" ca="1" si="1"/>
        <v>135.42360344166701</v>
      </c>
      <c r="O39" s="68"/>
      <c r="P39" s="68"/>
      <c r="Q39" s="68"/>
      <c r="R39" s="5">
        <f ca="1">(VLOOKUP(K39,'Summary Calculations (hide)'!$D$15:$L$67,8,0)+VLOOKUP(K39,'Summary Calculations (hide)'!$D$15:$L$67,9,0))*IF(Summary!$C$8="Patients",'Summary Calculations (hide)'!$I$9,1)</f>
        <v>520.8879310344829</v>
      </c>
      <c r="AA39" s="68">
        <f ca="1">IF(Summary!$C$8="Patients", 'Parameters calculator (hide)'!$H$63,'Parameters calculator (hide)'!$H$62)</f>
        <v>42.562452931683694</v>
      </c>
      <c r="AB39" s="68">
        <f ca="1">IF(Summary!$C$8="Patients", 'Parameters calculator (hide)'!$I$63,'Parameters calculator (hide)'!$I$62)</f>
        <v>47.04271113501882</v>
      </c>
      <c r="AC39" s="68">
        <f t="shared" ca="1" si="2"/>
        <v>4.4802582033351257</v>
      </c>
    </row>
    <row r="40" spans="1:29" x14ac:dyDescent="0.2">
      <c r="H40" s="303">
        <f ca="1">'Summary Calculations (hide)'!A42</f>
        <v>43773</v>
      </c>
      <c r="I40" t="str">
        <f ca="1">'Summary Calculations (hide)'!B42</f>
        <v/>
      </c>
      <c r="J40" t="str">
        <f ca="1">'Summary Calculations (hide)'!C42</f>
        <v>Nov</v>
      </c>
      <c r="K40">
        <f ca="1">'Summary Calculations (hide)'!D42</f>
        <v>45</v>
      </c>
      <c r="L40" s="68">
        <f ca="1">VLOOKUP($K40,'SPC background (hide)'!$AG$2:$AS$54,3,0)</f>
        <v>1</v>
      </c>
      <c r="M40" s="68">
        <f t="shared" ca="1" si="0"/>
        <v>473.16322591093115</v>
      </c>
      <c r="N40" s="68">
        <f t="shared" ca="1" si="1"/>
        <v>135.42360344166701</v>
      </c>
      <c r="O40" s="68"/>
      <c r="P40" s="68"/>
      <c r="Q40" s="68"/>
      <c r="R40" s="5">
        <f ca="1">(VLOOKUP(K40,'Summary Calculations (hide)'!$D$15:$L$67,8,0)+VLOOKUP(K40,'Summary Calculations (hide)'!$D$15:$L$67,9,0))*IF(Summary!$C$8="Patients",'Summary Calculations (hide)'!$I$9,1)</f>
        <v>668.81896551724151</v>
      </c>
      <c r="AA40" s="68">
        <f ca="1">IF(Summary!$C$8="Patients", 'Parameters calculator (hide)'!$H$63,'Parameters calculator (hide)'!$H$62)</f>
        <v>42.562452931683694</v>
      </c>
      <c r="AB40" s="68">
        <f ca="1">IF(Summary!$C$8="Patients", 'Parameters calculator (hide)'!$I$63,'Parameters calculator (hide)'!$I$62)</f>
        <v>47.04271113501882</v>
      </c>
      <c r="AC40" s="68">
        <f t="shared" ca="1" si="2"/>
        <v>4.4802582033351257</v>
      </c>
    </row>
    <row r="41" spans="1:29" x14ac:dyDescent="0.2">
      <c r="H41" s="303">
        <f ca="1">'Summary Calculations (hide)'!A43</f>
        <v>43780</v>
      </c>
      <c r="I41" t="str">
        <f ca="1">'Summary Calculations (hide)'!B43</f>
        <v/>
      </c>
      <c r="J41" t="str">
        <f ca="1">'Summary Calculations (hide)'!C43</f>
        <v/>
      </c>
      <c r="K41">
        <f ca="1">'Summary Calculations (hide)'!D43</f>
        <v>46</v>
      </c>
      <c r="L41" s="68">
        <f ca="1">VLOOKUP($K41,'SPC background (hide)'!$AG$2:$AS$54,3,0)</f>
        <v>1</v>
      </c>
      <c r="M41" s="68">
        <f t="shared" ca="1" si="0"/>
        <v>473.16322591093115</v>
      </c>
      <c r="N41" s="68">
        <f t="shared" ca="1" si="1"/>
        <v>135.42360344166701</v>
      </c>
      <c r="O41" s="68"/>
      <c r="P41" s="68"/>
      <c r="Q41" s="68"/>
      <c r="R41" s="5">
        <f ca="1">(VLOOKUP(K41,'Summary Calculations (hide)'!$D$15:$L$67,8,0)+VLOOKUP(K41,'Summary Calculations (hide)'!$D$15:$L$67,9,0))*IF(Summary!$C$8="Patients",'Summary Calculations (hide)'!$I$9,1)</f>
        <v>668.81896551724151</v>
      </c>
      <c r="AA41" s="68">
        <f ca="1">IF(Summary!$C$8="Patients", 'Parameters calculator (hide)'!$H$63,'Parameters calculator (hide)'!$H$62)</f>
        <v>42.562452931683694</v>
      </c>
      <c r="AB41" s="68">
        <f ca="1">IF(Summary!$C$8="Patients", 'Parameters calculator (hide)'!$I$63,'Parameters calculator (hide)'!$I$62)</f>
        <v>47.04271113501882</v>
      </c>
      <c r="AC41" s="68">
        <f t="shared" ca="1" si="2"/>
        <v>4.4802582033351257</v>
      </c>
    </row>
    <row r="42" spans="1:29" x14ac:dyDescent="0.2">
      <c r="H42" s="303">
        <f ca="1">'Summary Calculations (hide)'!A44</f>
        <v>43787</v>
      </c>
      <c r="I42" t="str">
        <f ca="1">'Summary Calculations (hide)'!B44</f>
        <v/>
      </c>
      <c r="J42" t="str">
        <f ca="1">'Summary Calculations (hide)'!C44</f>
        <v/>
      </c>
      <c r="K42">
        <f ca="1">'Summary Calculations (hide)'!D44</f>
        <v>47</v>
      </c>
      <c r="L42" s="68">
        <f ca="1">VLOOKUP($K42,'SPC background (hide)'!$AG$2:$AS$54,3,0)</f>
        <v>1</v>
      </c>
      <c r="M42" s="68">
        <f t="shared" ca="1" si="0"/>
        <v>473.16322591093115</v>
      </c>
      <c r="N42" s="68">
        <f t="shared" ca="1" si="1"/>
        <v>135.42360344166701</v>
      </c>
      <c r="O42" s="68"/>
      <c r="P42" s="68"/>
      <c r="Q42" s="68"/>
      <c r="R42" s="5">
        <f ca="1">(VLOOKUP(K42,'Summary Calculations (hide)'!$D$15:$L$67,8,0)+VLOOKUP(K42,'Summary Calculations (hide)'!$D$15:$L$67,9,0))*IF(Summary!$C$8="Patients",'Summary Calculations (hide)'!$I$9,1)</f>
        <v>520.8879310344829</v>
      </c>
      <c r="AA42" s="68">
        <f ca="1">IF(Summary!$C$8="Patients", 'Parameters calculator (hide)'!$H$63,'Parameters calculator (hide)'!$H$62)</f>
        <v>42.562452931683694</v>
      </c>
      <c r="AB42" s="68">
        <f ca="1">IF(Summary!$C$8="Patients", 'Parameters calculator (hide)'!$I$63,'Parameters calculator (hide)'!$I$62)</f>
        <v>47.04271113501882</v>
      </c>
      <c r="AC42" s="68">
        <f t="shared" ca="1" si="2"/>
        <v>4.4802582033351257</v>
      </c>
    </row>
    <row r="43" spans="1:29" x14ac:dyDescent="0.2">
      <c r="H43" s="303">
        <f ca="1">'Summary Calculations (hide)'!A45</f>
        <v>43794</v>
      </c>
      <c r="I43" t="str">
        <f ca="1">'Summary Calculations (hide)'!B45</f>
        <v/>
      </c>
      <c r="J43" t="str">
        <f ca="1">'Summary Calculations (hide)'!C45</f>
        <v/>
      </c>
      <c r="K43">
        <f ca="1">'Summary Calculations (hide)'!D45</f>
        <v>48</v>
      </c>
      <c r="L43" s="68">
        <f ca="1">VLOOKUP($K43,'SPC background (hide)'!$AG$2:$AS$54,3,0)</f>
        <v>1</v>
      </c>
      <c r="M43" s="68">
        <f t="shared" ca="1" si="0"/>
        <v>473.16322591093115</v>
      </c>
      <c r="N43" s="68">
        <f t="shared" ca="1" si="1"/>
        <v>135.42360344166701</v>
      </c>
      <c r="O43" s="68"/>
      <c r="P43" s="68"/>
      <c r="Q43" s="68"/>
      <c r="R43" s="5">
        <f ca="1">(VLOOKUP(K43,'Summary Calculations (hide)'!$D$15:$L$67,8,0)+VLOOKUP(K43,'Summary Calculations (hide)'!$D$15:$L$67,9,0))*IF(Summary!$C$8="Patients",'Summary Calculations (hide)'!$I$9,1)</f>
        <v>520.8879310344829</v>
      </c>
      <c r="AA43" s="68">
        <f ca="1">IF(Summary!$C$8="Patients", 'Parameters calculator (hide)'!$H$63,'Parameters calculator (hide)'!$H$62)</f>
        <v>42.562452931683694</v>
      </c>
      <c r="AB43" s="68">
        <f ca="1">IF(Summary!$C$8="Patients", 'Parameters calculator (hide)'!$I$63,'Parameters calculator (hide)'!$I$62)</f>
        <v>47.04271113501882</v>
      </c>
      <c r="AC43" s="68">
        <f t="shared" ca="1" si="2"/>
        <v>4.4802582033351257</v>
      </c>
    </row>
    <row r="44" spans="1:29" x14ac:dyDescent="0.2">
      <c r="H44" s="303">
        <f ca="1">'Summary Calculations (hide)'!A46</f>
        <v>43801</v>
      </c>
      <c r="I44" t="str">
        <f ca="1">'Summary Calculations (hide)'!B46</f>
        <v/>
      </c>
      <c r="J44" t="str">
        <f ca="1">'Summary Calculations (hide)'!C46</f>
        <v>Dec</v>
      </c>
      <c r="K44">
        <f ca="1">'Summary Calculations (hide)'!D46</f>
        <v>49</v>
      </c>
      <c r="L44" s="68">
        <f ca="1">VLOOKUP($K44,'SPC background (hide)'!$AG$2:$AS$54,3,0)</f>
        <v>1</v>
      </c>
      <c r="M44" s="68">
        <f t="shared" ca="1" si="0"/>
        <v>473.16322591093115</v>
      </c>
      <c r="N44" s="68">
        <f t="shared" ca="1" si="1"/>
        <v>135.42360344166701</v>
      </c>
      <c r="O44" s="68"/>
      <c r="P44" s="68"/>
      <c r="Q44" s="68"/>
      <c r="R44" s="5">
        <f ca="1">(VLOOKUP(K44,'Summary Calculations (hide)'!$D$15:$L$67,8,0)+VLOOKUP(K44,'Summary Calculations (hide)'!$D$15:$L$67,9,0))*IF(Summary!$C$8="Patients",'Summary Calculations (hide)'!$I$9,1)</f>
        <v>520.8879310344829</v>
      </c>
      <c r="AA44" s="68">
        <f ca="1">IF(Summary!$C$8="Patients", 'Parameters calculator (hide)'!$H$63,'Parameters calculator (hide)'!$H$62)</f>
        <v>42.562452931683694</v>
      </c>
      <c r="AB44" s="68">
        <f ca="1">IF(Summary!$C$8="Patients", 'Parameters calculator (hide)'!$I$63,'Parameters calculator (hide)'!$I$62)</f>
        <v>47.04271113501882</v>
      </c>
      <c r="AC44" s="68">
        <f t="shared" ca="1" si="2"/>
        <v>4.4802582033351257</v>
      </c>
    </row>
    <row r="45" spans="1:29" x14ac:dyDescent="0.2">
      <c r="H45" s="303">
        <f ca="1">'Summary Calculations (hide)'!A47</f>
        <v>43808</v>
      </c>
      <c r="I45" t="str">
        <f ca="1">'Summary Calculations (hide)'!B47</f>
        <v/>
      </c>
      <c r="J45" t="str">
        <f ca="1">'Summary Calculations (hide)'!C47</f>
        <v/>
      </c>
      <c r="K45">
        <f ca="1">'Summary Calculations (hide)'!D47</f>
        <v>50</v>
      </c>
      <c r="L45" s="68">
        <f ca="1">VLOOKUP($K45,'SPC background (hide)'!$AG$2:$AS$54,3,0)</f>
        <v>1</v>
      </c>
      <c r="M45" s="68">
        <f t="shared" ca="1" si="0"/>
        <v>473.16322591093115</v>
      </c>
      <c r="N45" s="68">
        <f t="shared" ca="1" si="1"/>
        <v>135.42360344166701</v>
      </c>
      <c r="O45" s="68"/>
      <c r="P45" s="68"/>
      <c r="Q45" s="68"/>
      <c r="R45" s="5">
        <f ca="1">(VLOOKUP(K45,'Summary Calculations (hide)'!$D$15:$L$67,8,0)+VLOOKUP(K45,'Summary Calculations (hide)'!$D$15:$L$67,9,0))*IF(Summary!$C$8="Patients",'Summary Calculations (hide)'!$I$9,1)</f>
        <v>520.8879310344829</v>
      </c>
      <c r="AA45" s="68">
        <f ca="1">IF(Summary!$C$8="Patients", 'Parameters calculator (hide)'!$H$63,'Parameters calculator (hide)'!$H$62)</f>
        <v>42.562452931683694</v>
      </c>
      <c r="AB45" s="68">
        <f ca="1">IF(Summary!$C$8="Patients", 'Parameters calculator (hide)'!$I$63,'Parameters calculator (hide)'!$I$62)</f>
        <v>47.04271113501882</v>
      </c>
      <c r="AC45" s="68">
        <f t="shared" ca="1" si="2"/>
        <v>4.4802582033351257</v>
      </c>
    </row>
    <row r="46" spans="1:29" x14ac:dyDescent="0.2">
      <c r="H46" s="303">
        <f ca="1">'Summary Calculations (hide)'!A48</f>
        <v>43815</v>
      </c>
      <c r="I46" t="str">
        <f ca="1">'Summary Calculations (hide)'!B48</f>
        <v/>
      </c>
      <c r="J46" t="str">
        <f ca="1">'Summary Calculations (hide)'!C48</f>
        <v/>
      </c>
      <c r="K46">
        <f ca="1">'Summary Calculations (hide)'!D48</f>
        <v>51</v>
      </c>
      <c r="L46" s="68">
        <f ca="1">VLOOKUP($K46,'SPC background (hide)'!$AG$2:$AS$54,3,0)</f>
        <v>1</v>
      </c>
      <c r="M46" s="68">
        <f t="shared" ca="1" si="0"/>
        <v>473.16322591093115</v>
      </c>
      <c r="N46" s="68">
        <f t="shared" ca="1" si="1"/>
        <v>135.42360344166701</v>
      </c>
      <c r="O46" s="68"/>
      <c r="P46" s="68"/>
      <c r="Q46" s="68"/>
      <c r="R46" s="5">
        <f ca="1">(VLOOKUP(K46,'Summary Calculations (hide)'!$D$15:$L$67,8,0)+VLOOKUP(K46,'Summary Calculations (hide)'!$D$15:$L$67,9,0))*IF(Summary!$C$8="Patients",'Summary Calculations (hide)'!$I$9,1)</f>
        <v>520.8879310344829</v>
      </c>
      <c r="AA46" s="68">
        <f ca="1">IF(Summary!$C$8="Patients", 'Parameters calculator (hide)'!$H$63,'Parameters calculator (hide)'!$H$62)</f>
        <v>42.562452931683694</v>
      </c>
      <c r="AB46" s="68">
        <f ca="1">IF(Summary!$C$8="Patients", 'Parameters calculator (hide)'!$I$63,'Parameters calculator (hide)'!$I$62)</f>
        <v>47.04271113501882</v>
      </c>
      <c r="AC46" s="68">
        <f t="shared" ca="1" si="2"/>
        <v>4.4802582033351257</v>
      </c>
    </row>
    <row r="47" spans="1:29" x14ac:dyDescent="0.2">
      <c r="H47" s="303">
        <f ca="1">'Summary Calculations (hide)'!A49</f>
        <v>43822</v>
      </c>
      <c r="I47" t="str">
        <f ca="1">'Summary Calculations (hide)'!B49</f>
        <v/>
      </c>
      <c r="J47" t="str">
        <f ca="1">'Summary Calculations (hide)'!C49</f>
        <v/>
      </c>
      <c r="K47">
        <f ca="1">'Summary Calculations (hide)'!D49</f>
        <v>52</v>
      </c>
      <c r="L47" s="68">
        <f ca="1">VLOOKUP($K47,'SPC background (hide)'!$AG$2:$AS$54,3,0)</f>
        <v>1</v>
      </c>
      <c r="M47" s="68">
        <f t="shared" ca="1" si="0"/>
        <v>473.16322591093115</v>
      </c>
      <c r="N47" s="68">
        <f t="shared" ca="1" si="1"/>
        <v>135.42360344166701</v>
      </c>
      <c r="O47" s="68"/>
      <c r="P47" s="68"/>
      <c r="Q47" s="68"/>
      <c r="R47" s="5">
        <f ca="1">(VLOOKUP(K47,'Summary Calculations (hide)'!$D$15:$L$67,8,0)+VLOOKUP(K47,'Summary Calculations (hide)'!$D$15:$L$67,9,0))*IF(Summary!$C$8="Patients",'Summary Calculations (hide)'!$I$9,1)</f>
        <v>520.8879310344829</v>
      </c>
      <c r="AA47" s="68">
        <f ca="1">IF(Summary!$C$8="Patients", 'Parameters calculator (hide)'!$H$63,'Parameters calculator (hide)'!$H$62)</f>
        <v>42.562452931683694</v>
      </c>
      <c r="AB47" s="68">
        <f ca="1">IF(Summary!$C$8="Patients", 'Parameters calculator (hide)'!$I$63,'Parameters calculator (hide)'!$I$62)</f>
        <v>47.04271113501882</v>
      </c>
      <c r="AC47" s="68">
        <f t="shared" ca="1" si="2"/>
        <v>4.4802582033351257</v>
      </c>
    </row>
    <row r="48" spans="1:29" x14ac:dyDescent="0.2">
      <c r="H48" s="303">
        <f ca="1">'Summary Calculations (hide)'!A50</f>
        <v>43829</v>
      </c>
      <c r="I48" t="str">
        <f ca="1">'Summary Calculations (hide)'!B50</f>
        <v/>
      </c>
      <c r="J48" t="str">
        <f ca="1">'Summary Calculations (hide)'!C50</f>
        <v/>
      </c>
      <c r="K48">
        <f ca="1">'Summary Calculations (hide)'!D50</f>
        <v>1</v>
      </c>
      <c r="L48" s="68">
        <f ca="1">VLOOKUP($K48,'SPC background (hide)'!$AG$2:$AS$54,3,0)</f>
        <v>1</v>
      </c>
      <c r="M48" s="68">
        <f t="shared" ca="1" si="0"/>
        <v>473.16322591093115</v>
      </c>
      <c r="N48" s="68">
        <f t="shared" ca="1" si="1"/>
        <v>135.42360344166701</v>
      </c>
      <c r="O48" s="68"/>
      <c r="P48" s="68"/>
      <c r="Q48" s="68"/>
      <c r="R48" s="5">
        <f ca="1">(VLOOKUP(K48,'Summary Calculations (hide)'!$D$15:$L$67,8,0)+VLOOKUP(K48,'Summary Calculations (hide)'!$D$15:$L$67,9,0))*IF(Summary!$C$8="Patients",'Summary Calculations (hide)'!$I$9,1)</f>
        <v>384.33620689655174</v>
      </c>
      <c r="AA48" s="68">
        <f ca="1">IF(Summary!$C$8="Patients", 'Parameters calculator (hide)'!$H$63,'Parameters calculator (hide)'!$H$62)</f>
        <v>42.562452931683694</v>
      </c>
      <c r="AB48" s="68">
        <f ca="1">IF(Summary!$C$8="Patients", 'Parameters calculator (hide)'!$I$63,'Parameters calculator (hide)'!$I$62)</f>
        <v>47.04271113501882</v>
      </c>
      <c r="AC48" s="68">
        <f t="shared" ca="1" si="2"/>
        <v>4.4802582033351257</v>
      </c>
    </row>
    <row r="49" spans="8:29" x14ac:dyDescent="0.2">
      <c r="H49" s="303">
        <f ca="1">'Summary Calculations (hide)'!A51</f>
        <v>43836</v>
      </c>
      <c r="I49">
        <f ca="1">'Summary Calculations (hide)'!B51</f>
        <v>2020</v>
      </c>
      <c r="J49" t="str">
        <f ca="1">'Summary Calculations (hide)'!C51</f>
        <v>Jan</v>
      </c>
      <c r="K49">
        <f ca="1">'Summary Calculations (hide)'!D51</f>
        <v>2</v>
      </c>
      <c r="L49" s="68">
        <f ca="1">VLOOKUP($K49,'SPC background (hide)'!$AG$2:$AS$54,3,0)</f>
        <v>1</v>
      </c>
      <c r="M49" s="68">
        <f t="shared" ca="1" si="0"/>
        <v>473.16322591093115</v>
      </c>
      <c r="N49" s="68">
        <f t="shared" ca="1" si="1"/>
        <v>135.42360344166701</v>
      </c>
      <c r="O49" s="68"/>
      <c r="P49" s="68"/>
      <c r="Q49" s="68"/>
      <c r="R49" s="5">
        <f ca="1">(VLOOKUP(K49,'Summary Calculations (hide)'!$D$15:$L$67,8,0)+VLOOKUP(K49,'Summary Calculations (hide)'!$D$15:$L$67,9,0))*IF(Summary!$C$8="Patients",'Summary Calculations (hide)'!$I$9,1)</f>
        <v>532.26724137931035</v>
      </c>
      <c r="AA49" s="68">
        <f ca="1">IF(Summary!$C$8="Patients", 'Parameters calculator (hide)'!$H$63,'Parameters calculator (hide)'!$H$62)</f>
        <v>42.562452931683694</v>
      </c>
      <c r="AB49" s="68">
        <f ca="1">IF(Summary!$C$8="Patients", 'Parameters calculator (hide)'!$I$63,'Parameters calculator (hide)'!$I$62)</f>
        <v>47.04271113501882</v>
      </c>
      <c r="AC49" s="68">
        <f t="shared" ca="1" si="2"/>
        <v>4.4802582033351257</v>
      </c>
    </row>
    <row r="50" spans="8:29" x14ac:dyDescent="0.2">
      <c r="H50" s="303">
        <f ca="1">'Summary Calculations (hide)'!A52</f>
        <v>43843</v>
      </c>
      <c r="I50" t="str">
        <f ca="1">'Summary Calculations (hide)'!B52</f>
        <v/>
      </c>
      <c r="J50" t="str">
        <f ca="1">'Summary Calculations (hide)'!C52</f>
        <v/>
      </c>
      <c r="K50">
        <f ca="1">'Summary Calculations (hide)'!D52</f>
        <v>3</v>
      </c>
      <c r="L50" s="68">
        <f ca="1">VLOOKUP($K50,'SPC background (hide)'!$AG$2:$AS$54,3,0)</f>
        <v>1</v>
      </c>
      <c r="M50" s="68">
        <f t="shared" ca="1" si="0"/>
        <v>473.16322591093115</v>
      </c>
      <c r="N50" s="68">
        <f t="shared" ca="1" si="1"/>
        <v>135.42360344166701</v>
      </c>
      <c r="O50" s="68"/>
      <c r="P50" s="68"/>
      <c r="Q50" s="68"/>
      <c r="R50" s="5">
        <f ca="1">(VLOOKUP(K50,'Summary Calculations (hide)'!$D$15:$L$67,8,0)+VLOOKUP(K50,'Summary Calculations (hide)'!$D$15:$L$67,9,0))*IF(Summary!$C$8="Patients",'Summary Calculations (hide)'!$I$9,1)</f>
        <v>384.33620689655174</v>
      </c>
      <c r="AA50" s="68">
        <f ca="1">IF(Summary!$C$8="Patients", 'Parameters calculator (hide)'!$H$63,'Parameters calculator (hide)'!$H$62)</f>
        <v>42.562452931683694</v>
      </c>
      <c r="AB50" s="68">
        <f ca="1">IF(Summary!$C$8="Patients", 'Parameters calculator (hide)'!$I$63,'Parameters calculator (hide)'!$I$62)</f>
        <v>47.04271113501882</v>
      </c>
      <c r="AC50" s="68">
        <f t="shared" ca="1" si="2"/>
        <v>4.4802582033351257</v>
      </c>
    </row>
    <row r="51" spans="8:29" x14ac:dyDescent="0.2">
      <c r="H51" s="303">
        <f ca="1">'Summary Calculations (hide)'!A53</f>
        <v>43850</v>
      </c>
      <c r="I51" t="str">
        <f ca="1">'Summary Calculations (hide)'!B53</f>
        <v/>
      </c>
      <c r="J51" t="str">
        <f ca="1">'Summary Calculations (hide)'!C53</f>
        <v/>
      </c>
      <c r="K51">
        <f ca="1">'Summary Calculations (hide)'!D53</f>
        <v>4</v>
      </c>
      <c r="L51" s="68">
        <f ca="1">VLOOKUP($K51,'SPC background (hide)'!$AG$2:$AS$54,3,0)</f>
        <v>1</v>
      </c>
      <c r="M51" s="68">
        <f t="shared" ca="1" si="0"/>
        <v>473.16322591093115</v>
      </c>
      <c r="N51" s="68">
        <f t="shared" ca="1" si="1"/>
        <v>135.42360344166701</v>
      </c>
      <c r="O51" s="68"/>
      <c r="P51" s="68"/>
      <c r="Q51" s="68"/>
      <c r="R51" s="5">
        <f ca="1">(VLOOKUP(K51,'Summary Calculations (hide)'!$D$15:$L$67,8,0)+VLOOKUP(K51,'Summary Calculations (hide)'!$D$15:$L$67,9,0))*IF(Summary!$C$8="Patients",'Summary Calculations (hide)'!$I$9,1)</f>
        <v>384.33620689655174</v>
      </c>
      <c r="AA51" s="68">
        <f ca="1">IF(Summary!$C$8="Patients", 'Parameters calculator (hide)'!$H$63,'Parameters calculator (hide)'!$H$62)</f>
        <v>42.562452931683694</v>
      </c>
      <c r="AB51" s="68">
        <f ca="1">IF(Summary!$C$8="Patients", 'Parameters calculator (hide)'!$I$63,'Parameters calculator (hide)'!$I$62)</f>
        <v>47.04271113501882</v>
      </c>
      <c r="AC51" s="68">
        <f t="shared" ca="1" si="2"/>
        <v>4.4802582033351257</v>
      </c>
    </row>
    <row r="52" spans="8:29" x14ac:dyDescent="0.2">
      <c r="H52" s="303">
        <f ca="1">'Summary Calculations (hide)'!A54</f>
        <v>43857</v>
      </c>
      <c r="I52" t="str">
        <f ca="1">'Summary Calculations (hide)'!B54</f>
        <v/>
      </c>
      <c r="J52" t="str">
        <f ca="1">'Summary Calculations (hide)'!C54</f>
        <v/>
      </c>
      <c r="K52">
        <f ca="1">'Summary Calculations (hide)'!D54</f>
        <v>5</v>
      </c>
      <c r="L52" s="68">
        <f ca="1">VLOOKUP($K52,'SPC background (hide)'!$AG$2:$AS$54,3,0)</f>
        <v>1</v>
      </c>
      <c r="M52" s="68">
        <f t="shared" ca="1" si="0"/>
        <v>473.16322591093115</v>
      </c>
      <c r="N52" s="68">
        <f t="shared" ca="1" si="1"/>
        <v>135.42360344166701</v>
      </c>
      <c r="O52" s="68"/>
      <c r="P52" s="68"/>
      <c r="Q52" s="68"/>
      <c r="R52" s="5">
        <f ca="1">(VLOOKUP(K52,'Summary Calculations (hide)'!$D$15:$L$67,8,0)+VLOOKUP(K52,'Summary Calculations (hide)'!$D$15:$L$67,9,0))*IF(Summary!$C$8="Patients",'Summary Calculations (hide)'!$I$9,1)</f>
        <v>384.33620689655174</v>
      </c>
      <c r="AA52" s="68">
        <f ca="1">IF(Summary!$C$8="Patients", 'Parameters calculator (hide)'!$H$63,'Parameters calculator (hide)'!$H$62)</f>
        <v>42.562452931683694</v>
      </c>
      <c r="AB52" s="68">
        <f ca="1">IF(Summary!$C$8="Patients", 'Parameters calculator (hide)'!$I$63,'Parameters calculator (hide)'!$I$62)</f>
        <v>47.04271113501882</v>
      </c>
      <c r="AC52" s="68">
        <f t="shared" ca="1" si="2"/>
        <v>4.4802582033351257</v>
      </c>
    </row>
    <row r="53" spans="8:29" x14ac:dyDescent="0.2">
      <c r="H53" s="303">
        <f ca="1">'Summary Calculations (hide)'!A55</f>
        <v>43864</v>
      </c>
      <c r="I53" t="str">
        <f ca="1">'Summary Calculations (hide)'!B55</f>
        <v/>
      </c>
      <c r="J53" t="str">
        <f ca="1">'Summary Calculations (hide)'!C55</f>
        <v>Feb</v>
      </c>
      <c r="K53">
        <f ca="1">'Summary Calculations (hide)'!D55</f>
        <v>6</v>
      </c>
      <c r="L53" s="68">
        <f ca="1">VLOOKUP($K53,'SPC background (hide)'!$AG$2:$AS$54,3,0)</f>
        <v>5</v>
      </c>
      <c r="M53" s="68">
        <f t="shared" ca="1" si="0"/>
        <v>473.16322591093115</v>
      </c>
      <c r="N53" s="68">
        <f t="shared" ca="1" si="1"/>
        <v>135.42360344166701</v>
      </c>
      <c r="O53" s="68"/>
      <c r="P53" s="68"/>
      <c r="Q53" s="68"/>
      <c r="R53" s="5">
        <f ca="1">(VLOOKUP(K53,'Summary Calculations (hide)'!$D$15:$L$67,8,0)+VLOOKUP(K53,'Summary Calculations (hide)'!$D$15:$L$67,9,0))*IF(Summary!$C$8="Patients",'Summary Calculations (hide)'!$I$9,1)</f>
        <v>384.33620689655174</v>
      </c>
      <c r="AA53" s="68">
        <f ca="1">IF(Summary!$C$8="Patients", 'Parameters calculator (hide)'!$H$63,'Parameters calculator (hide)'!$H$62)</f>
        <v>42.562452931683694</v>
      </c>
      <c r="AB53" s="68">
        <f ca="1">IF(Summary!$C$8="Patients", 'Parameters calculator (hide)'!$I$63,'Parameters calculator (hide)'!$I$62)</f>
        <v>47.04271113501882</v>
      </c>
      <c r="AC53" s="68">
        <f t="shared" ca="1" si="2"/>
        <v>4.4802582033351257</v>
      </c>
    </row>
    <row r="54" spans="8:29" x14ac:dyDescent="0.2">
      <c r="H54" s="303">
        <f ca="1">'Summary Calculations (hide)'!A56</f>
        <v>43871</v>
      </c>
      <c r="I54" t="str">
        <f ca="1">'Summary Calculations (hide)'!B56</f>
        <v/>
      </c>
      <c r="J54" t="str">
        <f ca="1">'Summary Calculations (hide)'!C56</f>
        <v/>
      </c>
      <c r="K54">
        <f ca="1">'Summary Calculations (hide)'!D56</f>
        <v>7</v>
      </c>
      <c r="L54" s="68">
        <f ca="1">VLOOKUP($K54,'SPC background (hide)'!$AG$2:$AS$54,3,0)</f>
        <v>1</v>
      </c>
      <c r="M54" s="68">
        <f t="shared" ca="1" si="0"/>
        <v>473.16322591093115</v>
      </c>
      <c r="N54" s="68">
        <f t="shared" ca="1" si="1"/>
        <v>135.42360344166701</v>
      </c>
      <c r="O54" s="68"/>
      <c r="P54" s="68"/>
      <c r="Q54" s="68"/>
      <c r="R54" s="5">
        <f ca="1">(VLOOKUP(K54,'Summary Calculations (hide)'!$D$15:$L$67,8,0)+VLOOKUP(K54,'Summary Calculations (hide)'!$D$15:$L$67,9,0))*IF(Summary!$C$8="Patients",'Summary Calculations (hide)'!$I$9,1)</f>
        <v>384.33620689655174</v>
      </c>
      <c r="AA54" s="68">
        <f ca="1">IF(Summary!$C$8="Patients", 'Parameters calculator (hide)'!$H$63,'Parameters calculator (hide)'!$H$62)</f>
        <v>42.562452931683694</v>
      </c>
      <c r="AB54" s="68">
        <f ca="1">IF(Summary!$C$8="Patients", 'Parameters calculator (hide)'!$I$63,'Parameters calculator (hide)'!$I$62)</f>
        <v>47.04271113501882</v>
      </c>
      <c r="AC54" s="68">
        <f t="shared" ca="1" si="2"/>
        <v>4.4802582033351257</v>
      </c>
    </row>
    <row r="55" spans="8:29" x14ac:dyDescent="0.2">
      <c r="H55" s="303">
        <f ca="1">'Summary Calculations (hide)'!A57</f>
        <v>43878</v>
      </c>
      <c r="I55" t="str">
        <f ca="1">'Summary Calculations (hide)'!B57</f>
        <v/>
      </c>
      <c r="J55" t="str">
        <f ca="1">'Summary Calculations (hide)'!C57</f>
        <v/>
      </c>
      <c r="K55">
        <f ca="1">'Summary Calculations (hide)'!D57</f>
        <v>8</v>
      </c>
      <c r="L55" s="68">
        <f ca="1">VLOOKUP($K55,'SPC background (hide)'!$AG$2:$AS$54,3,0)</f>
        <v>1</v>
      </c>
      <c r="M55" s="68">
        <f t="shared" ca="1" si="0"/>
        <v>473.16322591093115</v>
      </c>
      <c r="N55" s="68">
        <f t="shared" ca="1" si="1"/>
        <v>135.42360344166701</v>
      </c>
      <c r="O55" s="68"/>
      <c r="P55" s="68"/>
      <c r="Q55" s="68"/>
      <c r="R55" s="5">
        <f ca="1">(VLOOKUP(K55,'Summary Calculations (hide)'!$D$15:$L$67,8,0)+VLOOKUP(K55,'Summary Calculations (hide)'!$D$15:$L$67,9,0))*IF(Summary!$C$8="Patients",'Summary Calculations (hide)'!$I$9,1)</f>
        <v>384.33620689655174</v>
      </c>
      <c r="AA55" s="68">
        <f ca="1">IF(Summary!$C$8="Patients", 'Parameters calculator (hide)'!$H$63,'Parameters calculator (hide)'!$H$62)</f>
        <v>42.562452931683694</v>
      </c>
      <c r="AB55" s="68">
        <f ca="1">IF(Summary!$C$8="Patients", 'Parameters calculator (hide)'!$I$63,'Parameters calculator (hide)'!$I$62)</f>
        <v>47.04271113501882</v>
      </c>
      <c r="AC55" s="68">
        <f t="shared" ca="1" si="2"/>
        <v>4.4802582033351257</v>
      </c>
    </row>
    <row r="56" spans="8:29" x14ac:dyDescent="0.2">
      <c r="H56" s="303">
        <f ca="1">'Summary Calculations (hide)'!A58</f>
        <v>43885</v>
      </c>
      <c r="I56" t="str">
        <f ca="1">'Summary Calculations (hide)'!B58</f>
        <v/>
      </c>
      <c r="J56" t="str">
        <f ca="1">'Summary Calculations (hide)'!C58</f>
        <v/>
      </c>
      <c r="K56">
        <f ca="1">'Summary Calculations (hide)'!D58</f>
        <v>9</v>
      </c>
      <c r="L56" s="68">
        <f ca="1">VLOOKUP($K56,'SPC background (hide)'!$AG$2:$AS$54,3,0)</f>
        <v>1</v>
      </c>
      <c r="M56" s="68">
        <f t="shared" ca="1" si="0"/>
        <v>473.16322591093115</v>
      </c>
      <c r="N56" s="68">
        <f t="shared" ca="1" si="1"/>
        <v>135.42360344166701</v>
      </c>
      <c r="O56" s="68"/>
      <c r="P56" s="68"/>
      <c r="Q56" s="68"/>
      <c r="R56" s="5">
        <f ca="1">(VLOOKUP(K56,'Summary Calculations (hide)'!$D$15:$L$67,8,0)+VLOOKUP(K56,'Summary Calculations (hide)'!$D$15:$L$67,9,0))*IF(Summary!$C$8="Patients",'Summary Calculations (hide)'!$I$9,1)</f>
        <v>384.33620689655174</v>
      </c>
      <c r="AA56" s="68">
        <f ca="1">IF(Summary!$C$8="Patients", 'Parameters calculator (hide)'!$H$63,'Parameters calculator (hide)'!$H$62)</f>
        <v>42.562452931683694</v>
      </c>
      <c r="AB56" s="68">
        <f ca="1">IF(Summary!$C$8="Patients", 'Parameters calculator (hide)'!$I$63,'Parameters calculator (hide)'!$I$62)</f>
        <v>47.04271113501882</v>
      </c>
      <c r="AC56" s="68">
        <f t="shared" ca="1" si="2"/>
        <v>4.4802582033351257</v>
      </c>
    </row>
    <row r="57" spans="8:29" x14ac:dyDescent="0.2">
      <c r="H57" s="303">
        <f ca="1">'Summary Calculations (hide)'!A59</f>
        <v>43892</v>
      </c>
      <c r="I57" t="str">
        <f ca="1">'Summary Calculations (hide)'!B59</f>
        <v/>
      </c>
      <c r="J57" t="str">
        <f ca="1">'Summary Calculations (hide)'!C59</f>
        <v>Mar</v>
      </c>
      <c r="K57">
        <f ca="1">'Summary Calculations (hide)'!D59</f>
        <v>10</v>
      </c>
      <c r="L57" s="68">
        <f ca="1">VLOOKUP($K57,'SPC background (hide)'!$AG$2:$AS$54,3,0)</f>
        <v>1</v>
      </c>
      <c r="M57" s="68">
        <f t="shared" ca="1" si="0"/>
        <v>473.16322591093115</v>
      </c>
      <c r="N57" s="68">
        <f t="shared" ca="1" si="1"/>
        <v>135.42360344166701</v>
      </c>
      <c r="O57" s="68"/>
      <c r="P57" s="68"/>
      <c r="Q57" s="68"/>
      <c r="R57" s="5">
        <f ca="1">(VLOOKUP(K57,'Summary Calculations (hide)'!$D$15:$L$67,8,0)+VLOOKUP(K57,'Summary Calculations (hide)'!$D$15:$L$67,9,0))*IF(Summary!$C$8="Patients",'Summary Calculations (hide)'!$I$9,1)</f>
        <v>384.33620689655174</v>
      </c>
      <c r="AA57" s="68">
        <f ca="1">IF(Summary!$C$8="Patients", 'Parameters calculator (hide)'!$H$63,'Parameters calculator (hide)'!$H$62)</f>
        <v>42.562452931683694</v>
      </c>
      <c r="AB57" s="68">
        <f ca="1">IF(Summary!$C$8="Patients", 'Parameters calculator (hide)'!$I$63,'Parameters calculator (hide)'!$I$62)</f>
        <v>47.04271113501882</v>
      </c>
      <c r="AC57" s="68">
        <f t="shared" ca="1" si="2"/>
        <v>4.4802582033351257</v>
      </c>
    </row>
    <row r="58" spans="8:29" x14ac:dyDescent="0.2">
      <c r="H58" s="303">
        <f ca="1">'Summary Calculations (hide)'!A60</f>
        <v>43899</v>
      </c>
      <c r="I58" t="str">
        <f ca="1">'Summary Calculations (hide)'!B60</f>
        <v/>
      </c>
      <c r="J58" t="str">
        <f ca="1">'Summary Calculations (hide)'!C60</f>
        <v/>
      </c>
      <c r="K58">
        <f ca="1">'Summary Calculations (hide)'!D60</f>
        <v>11</v>
      </c>
      <c r="L58" s="68">
        <f ca="1">VLOOKUP($K58,'SPC background (hide)'!$AG$2:$AS$54,3,0)</f>
        <v>1</v>
      </c>
      <c r="M58" s="68">
        <f t="shared" ca="1" si="0"/>
        <v>473.16322591093115</v>
      </c>
      <c r="N58" s="68">
        <f t="shared" ca="1" si="1"/>
        <v>135.42360344166701</v>
      </c>
      <c r="O58" s="68"/>
      <c r="P58" s="68"/>
      <c r="Q58" s="68"/>
      <c r="R58" s="5">
        <f ca="1">(VLOOKUP(K58,'Summary Calculations (hide)'!$D$15:$L$67,8,0)+VLOOKUP(K58,'Summary Calculations (hide)'!$D$15:$L$67,9,0))*IF(Summary!$C$8="Patients",'Summary Calculations (hide)'!$I$9,1)</f>
        <v>384.33620689655174</v>
      </c>
      <c r="AA58" s="68">
        <f ca="1">IF(Summary!$C$8="Patients", 'Parameters calculator (hide)'!$H$63,'Parameters calculator (hide)'!$H$62)</f>
        <v>42.562452931683694</v>
      </c>
      <c r="AB58" s="68">
        <f ca="1">IF(Summary!$C$8="Patients", 'Parameters calculator (hide)'!$I$63,'Parameters calculator (hide)'!$I$62)</f>
        <v>47.04271113501882</v>
      </c>
      <c r="AC58" s="68">
        <f t="shared" ca="1" si="2"/>
        <v>4.4802582033351257</v>
      </c>
    </row>
    <row r="59" spans="8:29" x14ac:dyDescent="0.2">
      <c r="H59" s="303">
        <f ca="1">'Summary Calculations (hide)'!A61</f>
        <v>43906</v>
      </c>
      <c r="I59" t="str">
        <f ca="1">'Summary Calculations (hide)'!B61</f>
        <v/>
      </c>
      <c r="J59" t="str">
        <f ca="1">'Summary Calculations (hide)'!C61</f>
        <v/>
      </c>
      <c r="K59">
        <f ca="1">'Summary Calculations (hide)'!D61</f>
        <v>12</v>
      </c>
      <c r="L59" s="68">
        <f ca="1">VLOOKUP($K59,'SPC background (hide)'!$AG$2:$AS$54,3,0)</f>
        <v>1</v>
      </c>
      <c r="M59" s="68">
        <f t="shared" ca="1" si="0"/>
        <v>473.16322591093115</v>
      </c>
      <c r="N59" s="68">
        <f t="shared" ca="1" si="1"/>
        <v>135.42360344166701</v>
      </c>
      <c r="O59" s="68"/>
      <c r="P59" s="68"/>
      <c r="Q59" s="68"/>
      <c r="R59" s="5">
        <f ca="1">(VLOOKUP(K59,'Summary Calculations (hide)'!$D$15:$L$67,8,0)+VLOOKUP(K59,'Summary Calculations (hide)'!$D$15:$L$67,9,0))*IF(Summary!$C$8="Patients",'Summary Calculations (hide)'!$I$9,1)</f>
        <v>384.33620689655174</v>
      </c>
      <c r="AA59" s="68">
        <f ca="1">IF(Summary!$C$8="Patients", 'Parameters calculator (hide)'!$H$63,'Parameters calculator (hide)'!$H$62)</f>
        <v>42.562452931683694</v>
      </c>
      <c r="AB59" s="68">
        <f ca="1">IF(Summary!$C$8="Patients", 'Parameters calculator (hide)'!$I$63,'Parameters calculator (hide)'!$I$62)</f>
        <v>47.04271113501882</v>
      </c>
      <c r="AC59" s="68">
        <f t="shared" ca="1" si="2"/>
        <v>4.4802582033351257</v>
      </c>
    </row>
    <row r="60" spans="8:29" x14ac:dyDescent="0.2">
      <c r="H60" s="303">
        <f ca="1">'Summary Calculations (hide)'!A62</f>
        <v>43913</v>
      </c>
      <c r="I60" t="str">
        <f ca="1">'Summary Calculations (hide)'!B62</f>
        <v/>
      </c>
      <c r="J60" t="str">
        <f ca="1">'Summary Calculations (hide)'!C62</f>
        <v/>
      </c>
      <c r="K60">
        <f ca="1">'Summary Calculations (hide)'!D62</f>
        <v>13</v>
      </c>
      <c r="L60" s="68">
        <f ca="1">VLOOKUP($K60,'SPC background (hide)'!$AG$2:$AS$54,3,0)</f>
        <v>1</v>
      </c>
      <c r="M60" s="68">
        <f t="shared" ca="1" si="0"/>
        <v>473.16322591093115</v>
      </c>
      <c r="N60" s="68">
        <f t="shared" ca="1" si="1"/>
        <v>135.42360344166701</v>
      </c>
      <c r="O60" s="68"/>
      <c r="P60" s="68"/>
      <c r="Q60" s="68"/>
      <c r="R60" s="5">
        <f ca="1">(VLOOKUP(K60,'Summary Calculations (hide)'!$D$15:$L$67,8,0)+VLOOKUP(K60,'Summary Calculations (hide)'!$D$15:$L$67,9,0))*IF(Summary!$C$8="Patients",'Summary Calculations (hide)'!$I$9,1)</f>
        <v>384.33620689655174</v>
      </c>
      <c r="AA60" s="68">
        <f ca="1">IF(Summary!$C$8="Patients", 'Parameters calculator (hide)'!$H$63,'Parameters calculator (hide)'!$H$62)</f>
        <v>42.562452931683694</v>
      </c>
      <c r="AB60" s="68">
        <f ca="1">IF(Summary!$C$8="Patients", 'Parameters calculator (hide)'!$I$63,'Parameters calculator (hide)'!$I$62)</f>
        <v>47.04271113501882</v>
      </c>
      <c r="AC60" s="68">
        <f t="shared" ca="1" si="2"/>
        <v>4.4802582033351257</v>
      </c>
    </row>
    <row r="61" spans="8:29" x14ac:dyDescent="0.2">
      <c r="H61" s="303">
        <f ca="1">'Summary Calculations (hide)'!A63</f>
        <v>43920</v>
      </c>
      <c r="I61" t="str">
        <f ca="1">'Summary Calculations (hide)'!B63</f>
        <v/>
      </c>
      <c r="J61" t="str">
        <f ca="1">'Summary Calculations (hide)'!C63</f>
        <v/>
      </c>
      <c r="K61">
        <f ca="1">'Summary Calculations (hide)'!D63</f>
        <v>14</v>
      </c>
      <c r="L61" s="68">
        <f ca="1">VLOOKUP($K61,'SPC background (hide)'!$AG$2:$AS$54,3,0)</f>
        <v>1</v>
      </c>
      <c r="M61" s="68">
        <f t="shared" ca="1" si="0"/>
        <v>473.16322591093115</v>
      </c>
      <c r="N61" s="68">
        <f t="shared" ca="1" si="1"/>
        <v>135.42360344166701</v>
      </c>
      <c r="O61" s="68"/>
      <c r="P61" s="68"/>
      <c r="Q61" s="68"/>
      <c r="R61" s="5">
        <f ca="1">(VLOOKUP(K61,'Summary Calculations (hide)'!$D$15:$L$67,8,0)+VLOOKUP(K61,'Summary Calculations (hide)'!$D$15:$L$67,9,0))*IF(Summary!$C$8="Patients",'Summary Calculations (hide)'!$I$9,1)</f>
        <v>384.33620689655174</v>
      </c>
      <c r="AA61" s="68">
        <f ca="1">IF(Summary!$C$8="Patients", 'Parameters calculator (hide)'!$H$63,'Parameters calculator (hide)'!$H$62)</f>
        <v>42.562452931683694</v>
      </c>
      <c r="AB61" s="68">
        <f ca="1">IF(Summary!$C$8="Patients", 'Parameters calculator (hide)'!$I$63,'Parameters calculator (hide)'!$I$62)</f>
        <v>47.04271113501882</v>
      </c>
      <c r="AC61" s="68">
        <f t="shared" ca="1" si="2"/>
        <v>4.4802582033351257</v>
      </c>
    </row>
    <row r="62" spans="8:29" x14ac:dyDescent="0.2">
      <c r="H62" s="303">
        <f ca="1">'Summary Calculations (hide)'!A64</f>
        <v>43927</v>
      </c>
      <c r="I62" t="str">
        <f ca="1">'Summary Calculations (hide)'!B64</f>
        <v/>
      </c>
      <c r="J62" t="str">
        <f ca="1">'Summary Calculations (hide)'!C64</f>
        <v>Apr</v>
      </c>
      <c r="K62">
        <f ca="1">'Summary Calculations (hide)'!D64</f>
        <v>15</v>
      </c>
      <c r="L62" s="68">
        <f ca="1">VLOOKUP($K62,'SPC background (hide)'!$AG$2:$AS$54,3,0)</f>
        <v>1</v>
      </c>
      <c r="M62" s="68">
        <f t="shared" ca="1" si="0"/>
        <v>473.16322591093115</v>
      </c>
      <c r="N62" s="68">
        <f t="shared" ca="1" si="1"/>
        <v>135.42360344166701</v>
      </c>
      <c r="O62" s="68"/>
      <c r="P62" s="68"/>
      <c r="Q62" s="68"/>
      <c r="R62" s="5">
        <f ca="1">(VLOOKUP(K62,'Summary Calculations (hide)'!$D$15:$L$67,8,0)+VLOOKUP(K62,'Summary Calculations (hide)'!$D$15:$L$67,9,0))*IF(Summary!$C$8="Patients",'Summary Calculations (hide)'!$I$9,1)</f>
        <v>384.33620689655174</v>
      </c>
      <c r="AA62" s="68">
        <f ca="1">IF(Summary!$C$8="Patients", 'Parameters calculator (hide)'!$H$63,'Parameters calculator (hide)'!$H$62)</f>
        <v>42.562452931683694</v>
      </c>
      <c r="AB62" s="68">
        <f ca="1">IF(Summary!$C$8="Patients", 'Parameters calculator (hide)'!$I$63,'Parameters calculator (hide)'!$I$62)</f>
        <v>47.04271113501882</v>
      </c>
      <c r="AC62" s="68">
        <f t="shared" ca="1" si="2"/>
        <v>4.4802582033351257</v>
      </c>
    </row>
    <row r="63" spans="8:29" x14ac:dyDescent="0.2">
      <c r="H63" s="303">
        <f ca="1">'Summary Calculations (hide)'!A65</f>
        <v>43934</v>
      </c>
      <c r="I63" t="str">
        <f ca="1">'Summary Calculations (hide)'!B65</f>
        <v/>
      </c>
      <c r="J63" t="str">
        <f ca="1">'Summary Calculations (hide)'!C65</f>
        <v/>
      </c>
      <c r="K63">
        <f ca="1">'Summary Calculations (hide)'!D65</f>
        <v>16</v>
      </c>
      <c r="L63" s="68">
        <f ca="1">VLOOKUP($K63,'SPC background (hide)'!$AG$2:$AS$54,3,0)</f>
        <v>1</v>
      </c>
      <c r="M63" s="68">
        <f t="shared" ca="1" si="0"/>
        <v>473.16322591093115</v>
      </c>
      <c r="N63" s="68">
        <f t="shared" ca="1" si="1"/>
        <v>135.42360344166701</v>
      </c>
      <c r="O63" s="68"/>
      <c r="P63" s="68"/>
      <c r="Q63" s="68"/>
      <c r="R63" s="5">
        <f ca="1">(VLOOKUP(K63,'Summary Calculations (hide)'!$D$15:$L$67,8,0)+VLOOKUP(K63,'Summary Calculations (hide)'!$D$15:$L$67,9,0))*IF(Summary!$C$8="Patients",'Summary Calculations (hide)'!$I$9,1)</f>
        <v>384.33620689655174</v>
      </c>
      <c r="AA63" s="68">
        <f ca="1">IF(Summary!$C$8="Patients", 'Parameters calculator (hide)'!$H$63,'Parameters calculator (hide)'!$H$62)</f>
        <v>42.562452931683694</v>
      </c>
      <c r="AB63" s="68">
        <f ca="1">IF(Summary!$C$8="Patients", 'Parameters calculator (hide)'!$I$63,'Parameters calculator (hide)'!$I$62)</f>
        <v>47.04271113501882</v>
      </c>
      <c r="AC63" s="68">
        <f t="shared" ca="1" si="2"/>
        <v>4.4802582033351257</v>
      </c>
    </row>
    <row r="64" spans="8:29" x14ac:dyDescent="0.2">
      <c r="H64" s="303">
        <f ca="1">'Summary Calculations (hide)'!A66</f>
        <v>43941</v>
      </c>
      <c r="I64" t="str">
        <f ca="1">'Summary Calculations (hide)'!B66</f>
        <v/>
      </c>
      <c r="J64" t="str">
        <f ca="1">'Summary Calculations (hide)'!C66</f>
        <v/>
      </c>
      <c r="K64">
        <f ca="1">'Summary Calculations (hide)'!D66</f>
        <v>17</v>
      </c>
      <c r="L64" s="68">
        <f ca="1">VLOOKUP($K64,'SPC background (hide)'!$AG$2:$AS$54,3,0)</f>
        <v>1</v>
      </c>
      <c r="M64" s="68">
        <f t="shared" ca="1" si="0"/>
        <v>473.16322591093115</v>
      </c>
      <c r="N64" s="68">
        <f t="shared" ca="1" si="1"/>
        <v>135.42360344166701</v>
      </c>
      <c r="O64" s="68"/>
      <c r="P64" s="68"/>
      <c r="Q64" s="68"/>
      <c r="R64" s="5">
        <f ca="1">(VLOOKUP(K64,'Summary Calculations (hide)'!$D$15:$L$67,8,0)+VLOOKUP(K64,'Summary Calculations (hide)'!$D$15:$L$67,9,0))*IF(Summary!$C$8="Patients",'Summary Calculations (hide)'!$I$9,1)</f>
        <v>384.33620689655174</v>
      </c>
      <c r="AA64" s="68">
        <f ca="1">IF(Summary!$C$8="Patients", 'Parameters calculator (hide)'!$H$63,'Parameters calculator (hide)'!$H$62)</f>
        <v>42.562452931683694</v>
      </c>
      <c r="AB64" s="68">
        <f ca="1">IF(Summary!$C$8="Patients", 'Parameters calculator (hide)'!$I$63,'Parameters calculator (hide)'!$I$62)</f>
        <v>47.04271113501882</v>
      </c>
      <c r="AC64" s="68">
        <f t="shared" ca="1" si="2"/>
        <v>4.4802582033351257</v>
      </c>
    </row>
    <row r="65" spans="1:114" x14ac:dyDescent="0.2">
      <c r="H65" s="8"/>
      <c r="I65" s="3"/>
      <c r="J65" s="3"/>
      <c r="K65" s="3"/>
      <c r="L65" s="3"/>
      <c r="M65" s="3"/>
      <c r="N65" s="3"/>
      <c r="O65" s="3"/>
      <c r="P65" s="3"/>
      <c r="Q65" s="3"/>
      <c r="R65" s="68"/>
    </row>
    <row r="67" spans="1:114" ht="15" x14ac:dyDescent="0.25">
      <c r="A67" s="2"/>
    </row>
    <row r="68" spans="1:114" ht="15" x14ac:dyDescent="0.25">
      <c r="A68" s="2"/>
    </row>
    <row r="70" spans="1:114" ht="15" x14ac:dyDescent="0.25">
      <c r="BJ70" s="2"/>
    </row>
    <row r="71" spans="1:114" ht="15" x14ac:dyDescent="0.25">
      <c r="A71" s="2"/>
      <c r="B71" s="2"/>
      <c r="C71" s="2"/>
      <c r="D71" s="2"/>
      <c r="E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row>
    <row r="72" spans="1:114" ht="15" x14ac:dyDescent="0.25">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K72" s="68"/>
      <c r="BL72" s="68"/>
      <c r="BM72" s="68"/>
      <c r="BN72" s="68"/>
      <c r="BO72" s="68"/>
      <c r="BP72" s="68"/>
      <c r="BQ72" s="68"/>
      <c r="BR72" s="68"/>
      <c r="BS72" s="68"/>
      <c r="BT72" s="68"/>
      <c r="BU72" s="68"/>
      <c r="BV72" s="68"/>
      <c r="BW72" s="68"/>
      <c r="BX72" s="68"/>
      <c r="BY72" s="68"/>
      <c r="BZ72" s="68"/>
      <c r="CA72" s="68"/>
      <c r="CB72" s="68"/>
      <c r="CC72" s="68"/>
      <c r="CD72" s="68"/>
      <c r="CE72" s="68"/>
      <c r="CF72" s="68"/>
      <c r="CG72" s="68"/>
      <c r="CH72" s="68"/>
      <c r="CI72" s="68"/>
      <c r="CJ72" s="68"/>
      <c r="CK72" s="68"/>
      <c r="CL72" s="68"/>
      <c r="CM72" s="68"/>
      <c r="CN72" s="68"/>
      <c r="CO72" s="68"/>
      <c r="CP72" s="68"/>
      <c r="CQ72" s="68"/>
      <c r="CR72" s="68"/>
      <c r="CS72" s="68"/>
      <c r="CT72" s="68"/>
      <c r="CU72" s="68"/>
      <c r="CV72" s="68"/>
      <c r="CW72" s="68"/>
      <c r="CX72" s="68"/>
      <c r="CY72" s="68"/>
      <c r="CZ72" s="68"/>
      <c r="DA72" s="68"/>
      <c r="DB72" s="68"/>
      <c r="DC72" s="68"/>
      <c r="DD72" s="68"/>
      <c r="DE72" s="68"/>
      <c r="DF72" s="68"/>
      <c r="DG72" s="68"/>
      <c r="DH72" s="68"/>
      <c r="DI72" s="68"/>
    </row>
    <row r="73" spans="1:114" x14ac:dyDescent="0.2">
      <c r="H73" s="68"/>
      <c r="I73" s="68"/>
      <c r="J73" s="68"/>
      <c r="K73" s="68"/>
      <c r="L73" s="68"/>
      <c r="M73" s="68"/>
      <c r="N73" s="68"/>
      <c r="O73" s="68"/>
      <c r="P73" s="68"/>
      <c r="Q73" s="68"/>
      <c r="R73" s="68"/>
      <c r="S73" s="68"/>
      <c r="T73" s="68"/>
      <c r="U73" s="68"/>
      <c r="V73" s="68"/>
      <c r="W73" s="68"/>
      <c r="X73" s="68"/>
      <c r="Y73" s="68"/>
      <c r="Z73" s="68"/>
      <c r="AA73" s="68"/>
      <c r="AB73" s="68"/>
      <c r="AC73" s="68"/>
      <c r="AD73" s="68"/>
      <c r="AE73" s="68"/>
      <c r="AF73" s="68"/>
      <c r="AG73" s="68"/>
      <c r="AH73" s="68"/>
      <c r="AI73" s="68"/>
      <c r="AJ73" s="68"/>
      <c r="AK73" s="68"/>
      <c r="AL73" s="68"/>
      <c r="AM73" s="68"/>
      <c r="AN73" s="68"/>
      <c r="AO73" s="68"/>
      <c r="AP73" s="68"/>
      <c r="AQ73" s="68"/>
      <c r="AR73" s="68"/>
      <c r="AS73" s="68"/>
      <c r="AT73" s="68"/>
      <c r="AU73" s="68"/>
      <c r="AV73" s="68"/>
      <c r="AW73" s="68"/>
      <c r="AX73" s="68"/>
      <c r="AY73" s="68"/>
      <c r="AZ73" s="68"/>
      <c r="BA73" s="68"/>
      <c r="BB73" s="68"/>
      <c r="BC73" s="68"/>
      <c r="BD73" s="68"/>
      <c r="BE73" s="68"/>
      <c r="BF73" s="68"/>
      <c r="BG73" s="68"/>
      <c r="BH73" s="71"/>
      <c r="BK73" s="68"/>
      <c r="BL73" s="68"/>
      <c r="BM73" s="68"/>
      <c r="BN73" s="68"/>
      <c r="BO73" s="68"/>
      <c r="BP73" s="68"/>
      <c r="BQ73" s="68"/>
      <c r="BR73" s="68"/>
      <c r="BS73" s="68"/>
      <c r="BT73" s="68"/>
      <c r="BU73" s="68"/>
      <c r="BV73" s="68"/>
      <c r="BW73" s="68"/>
      <c r="BX73" s="68"/>
      <c r="BY73" s="68"/>
      <c r="BZ73" s="68"/>
      <c r="CA73" s="68"/>
      <c r="CB73" s="68"/>
      <c r="CC73" s="68"/>
      <c r="CD73" s="68"/>
      <c r="CE73" s="68"/>
      <c r="CF73" s="68"/>
      <c r="CG73" s="68"/>
      <c r="CH73" s="68"/>
      <c r="CI73" s="68"/>
      <c r="CJ73" s="68"/>
      <c r="CK73" s="68"/>
      <c r="CL73" s="68"/>
      <c r="CM73" s="68"/>
      <c r="CN73" s="68"/>
      <c r="CO73" s="68"/>
      <c r="CP73" s="68"/>
      <c r="CQ73" s="68"/>
      <c r="CR73" s="68"/>
      <c r="CS73" s="68"/>
      <c r="CT73" s="68"/>
      <c r="CU73" s="68"/>
      <c r="CV73" s="68"/>
      <c r="CW73" s="68"/>
      <c r="CX73" s="68"/>
      <c r="CY73" s="68"/>
      <c r="CZ73" s="68"/>
      <c r="DA73" s="68"/>
      <c r="DB73" s="68"/>
      <c r="DC73" s="68"/>
      <c r="DD73" s="68"/>
      <c r="DE73" s="68"/>
      <c r="DF73" s="68"/>
      <c r="DG73" s="68"/>
      <c r="DH73" s="68"/>
      <c r="DI73" s="68"/>
      <c r="DJ73" s="68"/>
    </row>
    <row r="74" spans="1:114" x14ac:dyDescent="0.2">
      <c r="E74" s="68"/>
      <c r="G74" s="68"/>
      <c r="H74" s="68"/>
      <c r="I74" s="68"/>
      <c r="J74" s="68"/>
      <c r="K74" s="68"/>
      <c r="L74" s="68"/>
      <c r="M74" s="68"/>
      <c r="N74" s="68"/>
      <c r="O74" s="68"/>
      <c r="P74" s="68"/>
      <c r="Q74" s="68"/>
      <c r="R74" s="68"/>
      <c r="S74" s="68"/>
      <c r="T74" s="68"/>
      <c r="U74" s="68"/>
      <c r="V74" s="68"/>
      <c r="W74" s="68"/>
      <c r="X74" s="68"/>
      <c r="Y74" s="68"/>
      <c r="Z74" s="68"/>
      <c r="AA74" s="68"/>
      <c r="AB74" s="68"/>
      <c r="AC74" s="68"/>
      <c r="AD74" s="68"/>
      <c r="AE74" s="68"/>
      <c r="AF74" s="68"/>
      <c r="AG74" s="68"/>
      <c r="AH74" s="68"/>
      <c r="AI74" s="68"/>
      <c r="AJ74" s="68"/>
      <c r="AK74" s="68"/>
      <c r="AL74" s="68"/>
      <c r="AM74" s="68"/>
      <c r="AN74" s="68"/>
      <c r="AO74" s="68"/>
      <c r="AP74" s="68"/>
      <c r="AQ74" s="68"/>
      <c r="AR74" s="68"/>
      <c r="AS74" s="68"/>
      <c r="AT74" s="68"/>
      <c r="AU74" s="68"/>
      <c r="AV74" s="68"/>
      <c r="AW74" s="68"/>
      <c r="AX74" s="68"/>
      <c r="AY74" s="68"/>
      <c r="AZ74" s="68"/>
      <c r="BA74" s="68"/>
      <c r="BB74" s="68"/>
      <c r="BC74" s="68"/>
      <c r="BD74" s="68"/>
      <c r="BE74" s="68"/>
      <c r="BF74" s="68"/>
      <c r="BG74" s="68"/>
      <c r="BH74" s="71"/>
      <c r="BJ74" s="68"/>
      <c r="BK74" s="68"/>
      <c r="BL74" s="68"/>
      <c r="BM74" s="68"/>
      <c r="BN74" s="68"/>
      <c r="BO74" s="68"/>
      <c r="BP74" s="68"/>
      <c r="BQ74" s="68"/>
      <c r="BR74" s="68"/>
      <c r="BS74" s="68"/>
      <c r="BT74" s="68"/>
      <c r="BU74" s="68"/>
      <c r="BV74" s="68"/>
      <c r="BW74" s="68"/>
      <c r="BX74" s="68"/>
      <c r="BY74" s="68"/>
      <c r="BZ74" s="68"/>
      <c r="CA74" s="68"/>
      <c r="CB74" s="68"/>
      <c r="CC74" s="68"/>
      <c r="CD74" s="68"/>
      <c r="CE74" s="68"/>
      <c r="CF74" s="68"/>
      <c r="CG74" s="68"/>
      <c r="CH74" s="68"/>
      <c r="CI74" s="68"/>
      <c r="CJ74" s="68"/>
      <c r="CK74" s="68"/>
      <c r="CL74" s="68"/>
      <c r="CM74" s="68"/>
      <c r="CN74" s="68"/>
      <c r="CO74" s="68"/>
      <c r="CP74" s="68"/>
      <c r="CQ74" s="68"/>
      <c r="CR74" s="68"/>
      <c r="CS74" s="68"/>
      <c r="CT74" s="68"/>
      <c r="CU74" s="68"/>
      <c r="CV74" s="68"/>
      <c r="CW74" s="68"/>
      <c r="CX74" s="68"/>
      <c r="CY74" s="68"/>
      <c r="CZ74" s="68"/>
      <c r="DA74" s="68"/>
      <c r="DB74" s="68"/>
      <c r="DC74" s="68"/>
      <c r="DD74" s="68"/>
      <c r="DE74" s="68"/>
      <c r="DF74" s="68"/>
      <c r="DG74" s="68"/>
      <c r="DH74" s="68"/>
      <c r="DI74" s="68"/>
      <c r="DJ74" s="68"/>
    </row>
    <row r="75" spans="1:114" x14ac:dyDescent="0.2">
      <c r="E75" s="68"/>
      <c r="G75" s="68"/>
      <c r="H75" s="68"/>
      <c r="I75" s="68"/>
      <c r="J75" s="68"/>
      <c r="K75" s="68"/>
      <c r="L75" s="68"/>
      <c r="M75" s="68"/>
      <c r="N75" s="68"/>
      <c r="O75" s="68"/>
      <c r="P75" s="68"/>
      <c r="Q75" s="68"/>
      <c r="R75" s="68"/>
      <c r="S75" s="68"/>
      <c r="T75" s="68"/>
      <c r="U75" s="68"/>
      <c r="V75" s="68"/>
      <c r="W75" s="68"/>
      <c r="X75" s="68"/>
      <c r="Y75" s="68"/>
      <c r="Z75" s="68"/>
      <c r="AA75" s="68"/>
      <c r="AB75" s="68"/>
      <c r="AC75" s="68"/>
      <c r="AD75" s="68"/>
      <c r="AE75" s="68"/>
      <c r="AF75" s="68"/>
      <c r="AG75" s="68"/>
      <c r="AH75" s="68"/>
      <c r="AI75" s="68"/>
      <c r="AJ75" s="68"/>
      <c r="AK75" s="68"/>
      <c r="AL75" s="68"/>
      <c r="AM75" s="68"/>
      <c r="AN75" s="68"/>
      <c r="AO75" s="68"/>
      <c r="AP75" s="68"/>
      <c r="AQ75" s="68"/>
      <c r="AR75" s="68"/>
      <c r="AS75" s="68"/>
      <c r="AT75" s="68"/>
      <c r="AU75" s="68"/>
      <c r="AV75" s="68"/>
      <c r="AW75" s="68"/>
      <c r="AX75" s="68"/>
      <c r="AY75" s="68"/>
      <c r="AZ75" s="68"/>
      <c r="BA75" s="68"/>
      <c r="BB75" s="68"/>
      <c r="BC75" s="68"/>
      <c r="BD75" s="68"/>
      <c r="BE75" s="68"/>
      <c r="BF75" s="68"/>
      <c r="BG75" s="68"/>
      <c r="BH75" s="71"/>
      <c r="BJ75" s="68"/>
      <c r="BK75" s="68"/>
      <c r="BL75" s="68"/>
      <c r="BM75" s="68"/>
      <c r="BN75" s="68"/>
      <c r="BO75" s="68"/>
      <c r="BP75" s="68"/>
      <c r="BQ75" s="68"/>
      <c r="BR75" s="68"/>
      <c r="BS75" s="68"/>
      <c r="BT75" s="68"/>
      <c r="BU75" s="68"/>
      <c r="BV75" s="68"/>
      <c r="BW75" s="68"/>
      <c r="BX75" s="68"/>
      <c r="BY75" s="68"/>
      <c r="BZ75" s="68"/>
      <c r="CA75" s="68"/>
      <c r="CB75" s="68"/>
      <c r="CC75" s="68"/>
      <c r="CD75" s="68"/>
      <c r="CE75" s="68"/>
      <c r="CF75" s="68"/>
      <c r="CG75" s="68"/>
      <c r="CH75" s="68"/>
      <c r="CI75" s="68"/>
      <c r="CJ75" s="68"/>
      <c r="CK75" s="68"/>
      <c r="CL75" s="68"/>
      <c r="CM75" s="68"/>
      <c r="CN75" s="68"/>
      <c r="CO75" s="68"/>
      <c r="CP75" s="68"/>
      <c r="CQ75" s="68"/>
      <c r="CR75" s="68"/>
      <c r="CS75" s="68"/>
      <c r="CT75" s="68"/>
      <c r="CU75" s="68"/>
      <c r="CV75" s="68"/>
      <c r="CW75" s="68"/>
      <c r="CX75" s="68"/>
      <c r="CY75" s="68"/>
      <c r="CZ75" s="68"/>
      <c r="DA75" s="68"/>
      <c r="DB75" s="68"/>
      <c r="DC75" s="68"/>
      <c r="DD75" s="68"/>
      <c r="DE75" s="68"/>
      <c r="DF75" s="68"/>
      <c r="DG75" s="68"/>
      <c r="DH75" s="68"/>
      <c r="DI75" s="68"/>
      <c r="DJ75" s="68"/>
    </row>
    <row r="76" spans="1:114" x14ac:dyDescent="0.2">
      <c r="E76" s="68"/>
      <c r="G76" s="68"/>
      <c r="H76" s="68"/>
      <c r="I76" s="68"/>
      <c r="J76" s="68"/>
      <c r="K76" s="68"/>
      <c r="L76" s="68"/>
      <c r="M76" s="68"/>
      <c r="N76" s="68"/>
      <c r="O76" s="68"/>
      <c r="P76" s="68"/>
      <c r="Q76" s="68"/>
      <c r="R76" s="68"/>
      <c r="S76" s="68"/>
      <c r="T76" s="68"/>
      <c r="U76" s="68"/>
      <c r="V76" s="68"/>
      <c r="W76" s="68"/>
      <c r="X76" s="68"/>
      <c r="Y76" s="68"/>
      <c r="Z76" s="68"/>
      <c r="AA76" s="68"/>
      <c r="AB76" s="68"/>
      <c r="AC76" s="68"/>
      <c r="AD76" s="68"/>
      <c r="AE76" s="68"/>
      <c r="AF76" s="68"/>
      <c r="AG76" s="68"/>
      <c r="AH76" s="68"/>
      <c r="AI76" s="68"/>
      <c r="AJ76" s="68"/>
      <c r="AK76" s="68"/>
      <c r="AL76" s="68"/>
      <c r="AM76" s="68"/>
      <c r="AN76" s="68"/>
      <c r="AO76" s="68"/>
      <c r="AP76" s="68"/>
      <c r="AQ76" s="68"/>
      <c r="AR76" s="68"/>
      <c r="AS76" s="68"/>
      <c r="AT76" s="68"/>
      <c r="AU76" s="68"/>
      <c r="AV76" s="68"/>
      <c r="AW76" s="68"/>
      <c r="AX76" s="68"/>
      <c r="AY76" s="68"/>
      <c r="AZ76" s="68"/>
      <c r="BA76" s="68"/>
      <c r="BB76" s="68"/>
      <c r="BC76" s="68"/>
      <c r="BD76" s="68"/>
      <c r="BE76" s="68"/>
      <c r="BF76" s="68"/>
      <c r="BG76" s="68"/>
      <c r="BH76" s="71"/>
      <c r="BJ76" s="68"/>
      <c r="BK76" s="68"/>
      <c r="BL76" s="68"/>
      <c r="BM76" s="68"/>
      <c r="BN76" s="68"/>
      <c r="BO76" s="68"/>
      <c r="BP76" s="68"/>
      <c r="BQ76" s="68"/>
      <c r="BR76" s="68"/>
      <c r="BS76" s="68"/>
      <c r="BT76" s="68"/>
      <c r="BU76" s="68"/>
      <c r="BV76" s="68"/>
      <c r="BW76" s="68"/>
      <c r="BX76" s="68"/>
      <c r="BY76" s="68"/>
      <c r="BZ76" s="68"/>
      <c r="CA76" s="68"/>
      <c r="CB76" s="68"/>
      <c r="CC76" s="68"/>
      <c r="CD76" s="68"/>
      <c r="CE76" s="68"/>
      <c r="CF76" s="68"/>
      <c r="CG76" s="68"/>
      <c r="CH76" s="68"/>
      <c r="CI76" s="68"/>
      <c r="CJ76" s="68"/>
      <c r="CK76" s="68"/>
      <c r="CL76" s="68"/>
      <c r="CM76" s="68"/>
      <c r="CN76" s="68"/>
      <c r="CO76" s="68"/>
      <c r="CP76" s="68"/>
      <c r="CQ76" s="68"/>
      <c r="CR76" s="68"/>
      <c r="CS76" s="68"/>
      <c r="CT76" s="68"/>
      <c r="CU76" s="68"/>
      <c r="CV76" s="68"/>
      <c r="CW76" s="68"/>
      <c r="CX76" s="68"/>
      <c r="CY76" s="68"/>
      <c r="CZ76" s="68"/>
      <c r="DA76" s="68"/>
      <c r="DB76" s="68"/>
      <c r="DC76" s="68"/>
      <c r="DD76" s="68"/>
      <c r="DE76" s="68"/>
      <c r="DF76" s="68"/>
      <c r="DG76" s="68"/>
      <c r="DH76" s="68"/>
      <c r="DI76" s="68"/>
      <c r="DJ76" s="68"/>
    </row>
    <row r="77" spans="1:114" x14ac:dyDescent="0.2">
      <c r="E77" s="68"/>
      <c r="G77" s="68"/>
      <c r="H77" s="68"/>
      <c r="I77" s="68"/>
      <c r="J77" s="68"/>
      <c r="K77" s="68"/>
      <c r="L77" s="68"/>
      <c r="M77" s="68"/>
      <c r="N77" s="68"/>
      <c r="O77" s="68"/>
      <c r="P77" s="68"/>
      <c r="Q77" s="68"/>
      <c r="R77" s="68"/>
      <c r="S77" s="68"/>
      <c r="T77" s="68"/>
      <c r="U77" s="68"/>
      <c r="V77" s="68"/>
      <c r="W77" s="68"/>
      <c r="X77" s="68"/>
      <c r="Y77" s="68"/>
      <c r="Z77" s="68"/>
      <c r="AA77" s="68"/>
      <c r="AB77" s="68"/>
      <c r="AC77" s="68"/>
      <c r="AD77" s="68"/>
      <c r="AE77" s="68"/>
      <c r="AF77" s="68"/>
      <c r="AG77" s="68"/>
      <c r="AH77" s="68"/>
      <c r="AI77" s="68"/>
      <c r="AJ77" s="68"/>
      <c r="AK77" s="68"/>
      <c r="AL77" s="68"/>
      <c r="AM77" s="68"/>
      <c r="AN77" s="68"/>
      <c r="AO77" s="68"/>
      <c r="AP77" s="68"/>
      <c r="AQ77" s="68"/>
      <c r="AR77" s="68"/>
      <c r="AS77" s="68"/>
      <c r="AT77" s="68"/>
      <c r="AU77" s="68"/>
      <c r="AV77" s="68"/>
      <c r="AW77" s="68"/>
      <c r="AX77" s="68"/>
      <c r="AY77" s="68"/>
      <c r="AZ77" s="68"/>
      <c r="BA77" s="68"/>
      <c r="BB77" s="68"/>
      <c r="BC77" s="68"/>
      <c r="BD77" s="68"/>
      <c r="BE77" s="68"/>
      <c r="BF77" s="68"/>
      <c r="BG77" s="68"/>
      <c r="BH77" s="71"/>
      <c r="BJ77" s="68"/>
      <c r="BK77" s="68"/>
      <c r="BL77" s="68"/>
      <c r="BM77" s="68"/>
      <c r="BN77" s="68"/>
      <c r="BO77" s="68"/>
      <c r="BP77" s="68"/>
      <c r="BQ77" s="68"/>
      <c r="BR77" s="68"/>
      <c r="BS77" s="68"/>
      <c r="BT77" s="68"/>
      <c r="BU77" s="68"/>
      <c r="BV77" s="68"/>
      <c r="BW77" s="68"/>
      <c r="BX77" s="68"/>
      <c r="BY77" s="68"/>
      <c r="BZ77" s="68"/>
      <c r="CA77" s="68"/>
      <c r="CB77" s="68"/>
      <c r="CC77" s="68"/>
      <c r="CD77" s="68"/>
      <c r="CE77" s="68"/>
      <c r="CF77" s="68"/>
      <c r="CG77" s="68"/>
      <c r="CH77" s="68"/>
      <c r="CI77" s="68"/>
      <c r="CJ77" s="68"/>
      <c r="CK77" s="68"/>
      <c r="CL77" s="68"/>
      <c r="CM77" s="68"/>
      <c r="CN77" s="68"/>
      <c r="CO77" s="68"/>
      <c r="CP77" s="68"/>
      <c r="CQ77" s="68"/>
      <c r="CR77" s="68"/>
      <c r="CS77" s="68"/>
      <c r="CT77" s="68"/>
      <c r="CU77" s="68"/>
      <c r="CV77" s="68"/>
      <c r="CW77" s="68"/>
      <c r="CX77" s="68"/>
      <c r="CY77" s="68"/>
      <c r="CZ77" s="68"/>
      <c r="DA77" s="68"/>
      <c r="DB77" s="68"/>
      <c r="DC77" s="68"/>
      <c r="DD77" s="68"/>
      <c r="DE77" s="68"/>
      <c r="DF77" s="68"/>
      <c r="DG77" s="68"/>
      <c r="DH77" s="68"/>
      <c r="DI77" s="68"/>
      <c r="DJ77" s="68"/>
    </row>
    <row r="78" spans="1:114" x14ac:dyDescent="0.2">
      <c r="E78" s="68"/>
      <c r="G78" s="68"/>
      <c r="H78" s="68"/>
      <c r="I78" s="68"/>
      <c r="J78" s="68"/>
      <c r="K78" s="68"/>
      <c r="L78" s="68"/>
      <c r="M78" s="68"/>
      <c r="N78" s="68"/>
      <c r="O78" s="68"/>
      <c r="P78" s="68"/>
      <c r="Q78" s="68"/>
      <c r="R78" s="68"/>
      <c r="S78" s="68"/>
      <c r="T78" s="68"/>
      <c r="U78" s="68"/>
      <c r="V78" s="68"/>
      <c r="W78" s="68"/>
      <c r="X78" s="68"/>
      <c r="Y78" s="68"/>
      <c r="Z78" s="68"/>
      <c r="AA78" s="68"/>
      <c r="AB78" s="68"/>
      <c r="AC78" s="68"/>
      <c r="AD78" s="68"/>
      <c r="AE78" s="68"/>
      <c r="AF78" s="68"/>
      <c r="AG78" s="68"/>
      <c r="AH78" s="68"/>
      <c r="AI78" s="68"/>
      <c r="AJ78" s="68"/>
      <c r="AK78" s="68"/>
      <c r="AL78" s="68"/>
      <c r="AM78" s="68"/>
      <c r="AN78" s="68"/>
      <c r="AO78" s="68"/>
      <c r="AP78" s="68"/>
      <c r="AQ78" s="68"/>
      <c r="AR78" s="68"/>
      <c r="AS78" s="68"/>
      <c r="AT78" s="68"/>
      <c r="AU78" s="68"/>
      <c r="AV78" s="68"/>
      <c r="AW78" s="68"/>
      <c r="AX78" s="68"/>
      <c r="AY78" s="68"/>
      <c r="AZ78" s="68"/>
      <c r="BA78" s="68"/>
      <c r="BB78" s="68"/>
      <c r="BC78" s="68"/>
      <c r="BD78" s="68"/>
      <c r="BE78" s="68"/>
      <c r="BF78" s="68"/>
      <c r="BG78" s="68"/>
      <c r="BH78" s="71"/>
      <c r="BJ78" s="68"/>
      <c r="BK78" s="68"/>
      <c r="BL78" s="68"/>
      <c r="BM78" s="68"/>
      <c r="BN78" s="68"/>
      <c r="BO78" s="68"/>
      <c r="BP78" s="68"/>
      <c r="BQ78" s="68"/>
      <c r="BR78" s="68"/>
      <c r="BS78" s="68"/>
      <c r="BT78" s="68"/>
      <c r="BU78" s="68"/>
      <c r="BV78" s="68"/>
      <c r="BW78" s="68"/>
      <c r="BX78" s="68"/>
      <c r="BY78" s="68"/>
      <c r="BZ78" s="68"/>
      <c r="CA78" s="68"/>
      <c r="CB78" s="68"/>
      <c r="CC78" s="68"/>
      <c r="CD78" s="68"/>
      <c r="CE78" s="68"/>
      <c r="CF78" s="68"/>
      <c r="CG78" s="68"/>
      <c r="CH78" s="68"/>
      <c r="CI78" s="68"/>
      <c r="CJ78" s="68"/>
      <c r="CK78" s="68"/>
      <c r="CL78" s="68"/>
      <c r="CM78" s="68"/>
      <c r="CN78" s="68"/>
      <c r="CO78" s="68"/>
      <c r="CP78" s="68"/>
      <c r="CQ78" s="68"/>
      <c r="CR78" s="68"/>
      <c r="CS78" s="68"/>
      <c r="CT78" s="68"/>
      <c r="CU78" s="68"/>
      <c r="CV78" s="68"/>
      <c r="CW78" s="68"/>
      <c r="CX78" s="68"/>
      <c r="CY78" s="68"/>
      <c r="CZ78" s="68"/>
      <c r="DA78" s="68"/>
      <c r="DB78" s="68"/>
      <c r="DC78" s="68"/>
      <c r="DD78" s="68"/>
      <c r="DE78" s="68"/>
      <c r="DF78" s="68"/>
      <c r="DG78" s="68"/>
      <c r="DH78" s="68"/>
      <c r="DI78" s="68"/>
      <c r="DJ78" s="68"/>
    </row>
    <row r="79" spans="1:114" x14ac:dyDescent="0.2">
      <c r="E79" s="68"/>
      <c r="G79" s="68"/>
      <c r="H79" s="68"/>
      <c r="I79" s="68"/>
      <c r="J79" s="68"/>
      <c r="K79" s="68"/>
      <c r="L79" s="68"/>
      <c r="M79" s="68"/>
      <c r="N79" s="68"/>
      <c r="O79" s="68"/>
      <c r="P79" s="68"/>
      <c r="Q79" s="68"/>
      <c r="R79" s="68"/>
      <c r="S79" s="68"/>
      <c r="T79" s="68"/>
      <c r="U79" s="68"/>
      <c r="V79" s="68"/>
      <c r="W79" s="68"/>
      <c r="X79" s="68"/>
      <c r="Y79" s="68"/>
      <c r="Z79" s="68"/>
      <c r="AA79" s="68"/>
      <c r="AB79" s="68"/>
      <c r="AC79" s="68"/>
      <c r="AD79" s="68"/>
      <c r="AE79" s="68"/>
      <c r="AF79" s="68"/>
      <c r="AG79" s="68"/>
      <c r="AH79" s="68"/>
      <c r="AI79" s="68"/>
      <c r="AJ79" s="68"/>
      <c r="AK79" s="68"/>
      <c r="AL79" s="68"/>
      <c r="AM79" s="68"/>
      <c r="AN79" s="68"/>
      <c r="AO79" s="68"/>
      <c r="AP79" s="68"/>
      <c r="AQ79" s="68"/>
      <c r="AR79" s="68"/>
      <c r="AS79" s="68"/>
      <c r="AT79" s="68"/>
      <c r="AU79" s="68"/>
      <c r="AV79" s="68"/>
      <c r="AW79" s="68"/>
      <c r="AX79" s="68"/>
      <c r="AY79" s="68"/>
      <c r="AZ79" s="68"/>
      <c r="BA79" s="68"/>
      <c r="BB79" s="68"/>
      <c r="BC79" s="68"/>
      <c r="BD79" s="68"/>
      <c r="BE79" s="68"/>
      <c r="BF79" s="68"/>
      <c r="BG79" s="68"/>
      <c r="BH79" s="71"/>
      <c r="BJ79" s="68"/>
      <c r="BK79" s="68"/>
      <c r="BL79" s="68"/>
      <c r="BM79" s="68"/>
      <c r="BN79" s="68"/>
      <c r="BO79" s="68"/>
      <c r="BP79" s="68"/>
      <c r="BQ79" s="68"/>
      <c r="BR79" s="68"/>
      <c r="BS79" s="68"/>
      <c r="BT79" s="68"/>
      <c r="BU79" s="68"/>
      <c r="BV79" s="68"/>
      <c r="BW79" s="68"/>
      <c r="BX79" s="68"/>
      <c r="BY79" s="68"/>
      <c r="BZ79" s="68"/>
      <c r="CA79" s="68"/>
      <c r="CB79" s="68"/>
      <c r="CC79" s="68"/>
      <c r="CD79" s="68"/>
      <c r="CE79" s="68"/>
      <c r="CF79" s="68"/>
      <c r="CG79" s="68"/>
      <c r="CH79" s="68"/>
      <c r="CI79" s="68"/>
      <c r="CJ79" s="68"/>
      <c r="CK79" s="68"/>
      <c r="CL79" s="68"/>
      <c r="CM79" s="68"/>
      <c r="CN79" s="68"/>
      <c r="CO79" s="68"/>
      <c r="CP79" s="68"/>
      <c r="CQ79" s="68"/>
      <c r="CR79" s="68"/>
      <c r="CS79" s="68"/>
      <c r="CT79" s="68"/>
      <c r="CU79" s="68"/>
      <c r="CV79" s="68"/>
      <c r="CW79" s="68"/>
      <c r="CX79" s="68"/>
      <c r="CY79" s="68"/>
      <c r="CZ79" s="68"/>
      <c r="DA79" s="68"/>
      <c r="DB79" s="68"/>
      <c r="DC79" s="68"/>
      <c r="DD79" s="68"/>
      <c r="DE79" s="68"/>
      <c r="DF79" s="68"/>
      <c r="DG79" s="68"/>
      <c r="DH79" s="68"/>
      <c r="DI79" s="68"/>
      <c r="DJ79" s="68"/>
    </row>
    <row r="80" spans="1:114" x14ac:dyDescent="0.2">
      <c r="E80" s="68"/>
      <c r="G80" s="68"/>
      <c r="H80" s="68"/>
      <c r="I80" s="68"/>
      <c r="J80" s="68"/>
      <c r="K80" s="68"/>
      <c r="L80" s="68"/>
      <c r="M80" s="68"/>
      <c r="N80" s="68"/>
      <c r="O80" s="68"/>
      <c r="P80" s="68"/>
      <c r="Q80" s="68"/>
      <c r="R80" s="68"/>
      <c r="S80" s="68"/>
      <c r="T80" s="68"/>
      <c r="U80" s="68"/>
      <c r="V80" s="68"/>
      <c r="W80" s="68"/>
      <c r="X80" s="68"/>
      <c r="Y80" s="68"/>
      <c r="Z80" s="68"/>
      <c r="AA80" s="68"/>
      <c r="AB80" s="68"/>
      <c r="AC80" s="68"/>
      <c r="AD80" s="68"/>
      <c r="AE80" s="68"/>
      <c r="AF80" s="68"/>
      <c r="AG80" s="68"/>
      <c r="AH80" s="68"/>
      <c r="AI80" s="68"/>
      <c r="AJ80" s="68"/>
      <c r="AK80" s="68"/>
      <c r="AL80" s="68"/>
      <c r="AM80" s="68"/>
      <c r="AN80" s="68"/>
      <c r="AO80" s="68"/>
      <c r="AP80" s="68"/>
      <c r="AQ80" s="68"/>
      <c r="AR80" s="68"/>
      <c r="AS80" s="68"/>
      <c r="AT80" s="68"/>
      <c r="AU80" s="68"/>
      <c r="AV80" s="68"/>
      <c r="AW80" s="68"/>
      <c r="AX80" s="68"/>
      <c r="AY80" s="68"/>
      <c r="AZ80" s="68"/>
      <c r="BA80" s="68"/>
      <c r="BB80" s="68"/>
      <c r="BC80" s="68"/>
      <c r="BD80" s="68"/>
      <c r="BE80" s="68"/>
      <c r="BF80" s="68"/>
      <c r="BG80" s="68"/>
      <c r="BH80" s="71"/>
      <c r="BJ80" s="68"/>
      <c r="BK80" s="68"/>
      <c r="BL80" s="68"/>
      <c r="BM80" s="68"/>
      <c r="BN80" s="68"/>
      <c r="BO80" s="68"/>
      <c r="BP80" s="68"/>
      <c r="BQ80" s="68"/>
      <c r="BR80" s="68"/>
      <c r="BS80" s="68"/>
      <c r="BT80" s="68"/>
      <c r="BU80" s="68"/>
      <c r="BV80" s="68"/>
      <c r="BW80" s="68"/>
      <c r="BX80" s="68"/>
      <c r="BY80" s="68"/>
      <c r="BZ80" s="68"/>
      <c r="CA80" s="68"/>
      <c r="CB80" s="68"/>
      <c r="CC80" s="68"/>
      <c r="CD80" s="68"/>
      <c r="CE80" s="68"/>
      <c r="CF80" s="68"/>
      <c r="CG80" s="68"/>
      <c r="CH80" s="68"/>
      <c r="CI80" s="68"/>
      <c r="CJ80" s="68"/>
      <c r="CK80" s="68"/>
      <c r="CL80" s="68"/>
      <c r="CM80" s="68"/>
      <c r="CN80" s="68"/>
      <c r="CO80" s="68"/>
      <c r="CP80" s="68"/>
      <c r="CQ80" s="68"/>
      <c r="CR80" s="68"/>
      <c r="CS80" s="68"/>
      <c r="CT80" s="68"/>
      <c r="CU80" s="68"/>
      <c r="CV80" s="68"/>
      <c r="CW80" s="68"/>
      <c r="CX80" s="68"/>
      <c r="CY80" s="68"/>
      <c r="CZ80" s="68"/>
      <c r="DA80" s="68"/>
      <c r="DB80" s="68"/>
      <c r="DC80" s="68"/>
      <c r="DD80" s="68"/>
      <c r="DE80" s="68"/>
      <c r="DF80" s="68"/>
      <c r="DG80" s="68"/>
      <c r="DH80" s="68"/>
      <c r="DI80" s="68"/>
      <c r="DJ80" s="68"/>
    </row>
    <row r="81" spans="5:114" x14ac:dyDescent="0.2">
      <c r="E81" s="68"/>
      <c r="G81" s="68"/>
      <c r="H81" s="68"/>
      <c r="I81" s="68"/>
      <c r="J81" s="68"/>
      <c r="K81" s="68"/>
      <c r="L81" s="68"/>
      <c r="M81" s="68"/>
      <c r="N81" s="68"/>
      <c r="O81" s="68"/>
      <c r="P81" s="68"/>
      <c r="Q81" s="68"/>
      <c r="R81" s="68"/>
      <c r="S81" s="68"/>
      <c r="T81" s="68"/>
      <c r="U81" s="68"/>
      <c r="V81" s="68"/>
      <c r="W81" s="68"/>
      <c r="X81" s="68"/>
      <c r="Y81" s="68"/>
      <c r="Z81" s="68"/>
      <c r="AA81" s="68"/>
      <c r="AB81" s="68"/>
      <c r="AC81" s="68"/>
      <c r="AD81" s="68"/>
      <c r="AE81" s="68"/>
      <c r="AF81" s="68"/>
      <c r="AG81" s="68"/>
      <c r="AH81" s="68"/>
      <c r="AI81" s="68"/>
      <c r="AJ81" s="68"/>
      <c r="AK81" s="68"/>
      <c r="AL81" s="68"/>
      <c r="AM81" s="68"/>
      <c r="AN81" s="68"/>
      <c r="AO81" s="68"/>
      <c r="AP81" s="68"/>
      <c r="AQ81" s="68"/>
      <c r="AR81" s="68"/>
      <c r="AS81" s="68"/>
      <c r="AT81" s="68"/>
      <c r="AU81" s="68"/>
      <c r="AV81" s="68"/>
      <c r="AW81" s="68"/>
      <c r="AX81" s="68"/>
      <c r="AY81" s="68"/>
      <c r="AZ81" s="68"/>
      <c r="BA81" s="68"/>
      <c r="BB81" s="68"/>
      <c r="BC81" s="68"/>
      <c r="BD81" s="68"/>
      <c r="BE81" s="68"/>
      <c r="BF81" s="68"/>
      <c r="BG81" s="68"/>
      <c r="BH81" s="71"/>
      <c r="BJ81" s="68"/>
      <c r="BK81" s="68"/>
      <c r="BL81" s="68"/>
      <c r="BM81" s="68"/>
      <c r="BN81" s="68"/>
      <c r="BO81" s="68"/>
      <c r="BP81" s="68"/>
      <c r="BQ81" s="68"/>
      <c r="BR81" s="68"/>
      <c r="BS81" s="68"/>
      <c r="BT81" s="68"/>
      <c r="BU81" s="68"/>
      <c r="BV81" s="68"/>
      <c r="BW81" s="68"/>
      <c r="BX81" s="68"/>
      <c r="BY81" s="68"/>
      <c r="BZ81" s="68"/>
      <c r="CA81" s="68"/>
      <c r="CB81" s="68"/>
      <c r="CC81" s="68"/>
      <c r="CD81" s="68"/>
      <c r="CE81" s="68"/>
      <c r="CF81" s="68"/>
      <c r="CG81" s="68"/>
      <c r="CH81" s="68"/>
      <c r="CI81" s="68"/>
      <c r="CJ81" s="68"/>
      <c r="CK81" s="68"/>
      <c r="CL81" s="68"/>
      <c r="CM81" s="68"/>
      <c r="CN81" s="68"/>
      <c r="CO81" s="68"/>
      <c r="CP81" s="68"/>
      <c r="CQ81" s="68"/>
      <c r="CR81" s="68"/>
      <c r="CS81" s="68"/>
      <c r="CT81" s="68"/>
      <c r="CU81" s="68"/>
      <c r="CV81" s="68"/>
      <c r="CW81" s="68"/>
      <c r="CX81" s="68"/>
      <c r="CY81" s="68"/>
      <c r="CZ81" s="68"/>
      <c r="DA81" s="68"/>
      <c r="DB81" s="68"/>
      <c r="DC81" s="68"/>
      <c r="DD81" s="68"/>
      <c r="DE81" s="68"/>
      <c r="DF81" s="68"/>
      <c r="DG81" s="68"/>
      <c r="DH81" s="68"/>
      <c r="DI81" s="68"/>
      <c r="DJ81" s="68"/>
    </row>
    <row r="82" spans="5:114" x14ac:dyDescent="0.2">
      <c r="E82" s="68"/>
      <c r="G82" s="68"/>
      <c r="H82" s="68"/>
      <c r="I82" s="68"/>
      <c r="J82" s="68"/>
      <c r="K82" s="68"/>
      <c r="L82" s="68"/>
      <c r="M82" s="68"/>
      <c r="N82" s="68"/>
      <c r="O82" s="68"/>
      <c r="P82" s="68"/>
      <c r="Q82" s="68"/>
      <c r="R82" s="68"/>
      <c r="S82" s="68"/>
      <c r="T82" s="68"/>
      <c r="U82" s="68"/>
      <c r="V82" s="68"/>
      <c r="W82" s="68"/>
      <c r="X82" s="68"/>
      <c r="Y82" s="68"/>
      <c r="Z82" s="68"/>
      <c r="AA82" s="68"/>
      <c r="AB82" s="68"/>
      <c r="AC82" s="68"/>
      <c r="AD82" s="68"/>
      <c r="AE82" s="68"/>
      <c r="AF82" s="68"/>
      <c r="AG82" s="68"/>
      <c r="AH82" s="68"/>
      <c r="AI82" s="68"/>
      <c r="AJ82" s="68"/>
      <c r="AK82" s="68"/>
      <c r="AL82" s="68"/>
      <c r="AM82" s="68"/>
      <c r="AN82" s="68"/>
      <c r="AO82" s="68"/>
      <c r="AP82" s="68"/>
      <c r="AQ82" s="68"/>
      <c r="AR82" s="68"/>
      <c r="AS82" s="68"/>
      <c r="AT82" s="68"/>
      <c r="AU82" s="68"/>
      <c r="AV82" s="68"/>
      <c r="AW82" s="68"/>
      <c r="AX82" s="68"/>
      <c r="AY82" s="68"/>
      <c r="AZ82" s="68"/>
      <c r="BA82" s="68"/>
      <c r="BB82" s="68"/>
      <c r="BC82" s="68"/>
      <c r="BD82" s="68"/>
      <c r="BE82" s="68"/>
      <c r="BF82" s="68"/>
      <c r="BG82" s="68"/>
      <c r="BH82" s="71"/>
      <c r="BJ82" s="68"/>
      <c r="BK82" s="68"/>
      <c r="BL82" s="68"/>
      <c r="BM82" s="68"/>
      <c r="BN82" s="68"/>
      <c r="BO82" s="68"/>
      <c r="BP82" s="68"/>
      <c r="BQ82" s="68"/>
      <c r="BR82" s="68"/>
      <c r="BS82" s="68"/>
      <c r="BT82" s="68"/>
      <c r="BU82" s="68"/>
      <c r="BV82" s="68"/>
      <c r="BW82" s="68"/>
      <c r="BX82" s="68"/>
      <c r="BY82" s="68"/>
      <c r="BZ82" s="68"/>
      <c r="CA82" s="68"/>
      <c r="CB82" s="68"/>
      <c r="CC82" s="68"/>
      <c r="CD82" s="68"/>
      <c r="CE82" s="68"/>
      <c r="CF82" s="68"/>
      <c r="CG82" s="68"/>
      <c r="CH82" s="68"/>
      <c r="CI82" s="68"/>
      <c r="CJ82" s="68"/>
      <c r="CK82" s="68"/>
      <c r="CL82" s="68"/>
      <c r="CM82" s="68"/>
      <c r="CN82" s="68"/>
      <c r="CO82" s="68"/>
      <c r="CP82" s="68"/>
      <c r="CQ82" s="68"/>
      <c r="CR82" s="68"/>
      <c r="CS82" s="68"/>
      <c r="CT82" s="68"/>
      <c r="CU82" s="68"/>
      <c r="CV82" s="68"/>
      <c r="CW82" s="68"/>
      <c r="CX82" s="68"/>
      <c r="CY82" s="68"/>
      <c r="CZ82" s="68"/>
      <c r="DA82" s="68"/>
      <c r="DB82" s="68"/>
      <c r="DC82" s="68"/>
      <c r="DD82" s="68"/>
      <c r="DE82" s="68"/>
      <c r="DF82" s="68"/>
      <c r="DG82" s="68"/>
      <c r="DH82" s="68"/>
      <c r="DI82" s="68"/>
      <c r="DJ82" s="68"/>
    </row>
    <row r="83" spans="5:114" x14ac:dyDescent="0.2">
      <c r="E83" s="68"/>
      <c r="G83" s="68"/>
      <c r="H83" s="68"/>
      <c r="I83" s="68"/>
      <c r="J83" s="68"/>
      <c r="K83" s="68"/>
      <c r="L83" s="68"/>
      <c r="M83" s="68"/>
      <c r="N83" s="68"/>
      <c r="O83" s="68"/>
      <c r="P83" s="68"/>
      <c r="Q83" s="68"/>
      <c r="R83" s="68"/>
      <c r="S83" s="68"/>
      <c r="T83" s="68"/>
      <c r="U83" s="68"/>
      <c r="V83" s="68"/>
      <c r="W83" s="68"/>
      <c r="X83" s="68"/>
      <c r="Y83" s="68"/>
      <c r="Z83" s="68"/>
      <c r="AA83" s="68"/>
      <c r="AB83" s="68"/>
      <c r="AC83" s="68"/>
      <c r="AD83" s="68"/>
      <c r="AE83" s="68"/>
      <c r="AF83" s="68"/>
      <c r="AG83" s="68"/>
      <c r="AH83" s="68"/>
      <c r="AI83" s="68"/>
      <c r="AJ83" s="68"/>
      <c r="AK83" s="68"/>
      <c r="AL83" s="68"/>
      <c r="AM83" s="68"/>
      <c r="AN83" s="68"/>
      <c r="AO83" s="68"/>
      <c r="AP83" s="68"/>
      <c r="AQ83" s="68"/>
      <c r="AR83" s="68"/>
      <c r="AS83" s="68"/>
      <c r="AT83" s="68"/>
      <c r="AU83" s="68"/>
      <c r="AV83" s="68"/>
      <c r="AW83" s="68"/>
      <c r="AX83" s="68"/>
      <c r="AY83" s="68"/>
      <c r="AZ83" s="68"/>
      <c r="BA83" s="68"/>
      <c r="BB83" s="68"/>
      <c r="BC83" s="68"/>
      <c r="BD83" s="68"/>
      <c r="BE83" s="68"/>
      <c r="BF83" s="68"/>
      <c r="BG83" s="68"/>
      <c r="BH83" s="71"/>
      <c r="BJ83" s="68"/>
      <c r="BK83" s="68"/>
      <c r="BL83" s="68"/>
      <c r="BM83" s="68"/>
      <c r="BN83" s="68"/>
      <c r="BO83" s="68"/>
      <c r="BP83" s="68"/>
      <c r="BQ83" s="68"/>
      <c r="BR83" s="68"/>
      <c r="BS83" s="68"/>
      <c r="BT83" s="68"/>
      <c r="BU83" s="68"/>
      <c r="BV83" s="68"/>
      <c r="BW83" s="68"/>
      <c r="BX83" s="68"/>
      <c r="BY83" s="68"/>
      <c r="BZ83" s="68"/>
      <c r="CA83" s="68"/>
      <c r="CB83" s="68"/>
      <c r="CC83" s="68"/>
      <c r="CD83" s="68"/>
      <c r="CE83" s="68"/>
      <c r="CF83" s="68"/>
      <c r="CG83" s="68"/>
      <c r="CH83" s="68"/>
      <c r="CI83" s="68"/>
      <c r="CJ83" s="68"/>
      <c r="CK83" s="68"/>
      <c r="CL83" s="68"/>
      <c r="CM83" s="68"/>
      <c r="CN83" s="68"/>
      <c r="CO83" s="68"/>
      <c r="CP83" s="68"/>
      <c r="CQ83" s="68"/>
      <c r="CR83" s="68"/>
      <c r="CS83" s="68"/>
      <c r="CT83" s="68"/>
      <c r="CU83" s="68"/>
      <c r="CV83" s="68"/>
      <c r="CW83" s="68"/>
      <c r="CX83" s="68"/>
      <c r="CY83" s="68"/>
      <c r="CZ83" s="68"/>
      <c r="DA83" s="68"/>
      <c r="DB83" s="68"/>
      <c r="DC83" s="68"/>
      <c r="DD83" s="68"/>
      <c r="DE83" s="68"/>
      <c r="DF83" s="68"/>
      <c r="DG83" s="68"/>
      <c r="DH83" s="68"/>
      <c r="DI83" s="68"/>
      <c r="DJ83" s="68"/>
    </row>
    <row r="84" spans="5:114" x14ac:dyDescent="0.2">
      <c r="E84" s="68"/>
      <c r="G84" s="68"/>
      <c r="H84" s="68"/>
      <c r="I84" s="68"/>
      <c r="J84" s="68"/>
      <c r="K84" s="68"/>
      <c r="L84" s="68"/>
      <c r="M84" s="68"/>
      <c r="N84" s="68"/>
      <c r="O84" s="68"/>
      <c r="P84" s="68"/>
      <c r="Q84" s="68"/>
      <c r="R84" s="68"/>
      <c r="S84" s="68"/>
      <c r="T84" s="68"/>
      <c r="U84" s="68"/>
      <c r="V84" s="68"/>
      <c r="W84" s="68"/>
      <c r="X84" s="68"/>
      <c r="Y84" s="68"/>
      <c r="Z84" s="68"/>
      <c r="AA84" s="68"/>
      <c r="AB84" s="68"/>
      <c r="AC84" s="68"/>
      <c r="AD84" s="68"/>
      <c r="AE84" s="68"/>
      <c r="AF84" s="68"/>
      <c r="AG84" s="68"/>
      <c r="AH84" s="68"/>
      <c r="AI84" s="68"/>
      <c r="AJ84" s="68"/>
      <c r="AK84" s="68"/>
      <c r="AL84" s="68"/>
      <c r="AM84" s="68"/>
      <c r="AN84" s="68"/>
      <c r="AO84" s="68"/>
      <c r="AP84" s="68"/>
      <c r="AQ84" s="68"/>
      <c r="AR84" s="68"/>
      <c r="AS84" s="68"/>
      <c r="AT84" s="68"/>
      <c r="AU84" s="68"/>
      <c r="AV84" s="68"/>
      <c r="AW84" s="68"/>
      <c r="AX84" s="68"/>
      <c r="AY84" s="68"/>
      <c r="AZ84" s="68"/>
      <c r="BA84" s="68"/>
      <c r="BB84" s="68"/>
      <c r="BC84" s="68"/>
      <c r="BD84" s="68"/>
      <c r="BE84" s="68"/>
      <c r="BF84" s="68"/>
      <c r="BG84" s="68"/>
      <c r="BH84" s="71"/>
      <c r="BJ84" s="68"/>
      <c r="BK84" s="68"/>
      <c r="BL84" s="68"/>
      <c r="BM84" s="68"/>
      <c r="BN84" s="68"/>
      <c r="BO84" s="68"/>
      <c r="BP84" s="68"/>
      <c r="BQ84" s="68"/>
      <c r="BR84" s="68"/>
      <c r="BS84" s="68"/>
      <c r="BT84" s="68"/>
      <c r="BU84" s="68"/>
      <c r="BV84" s="68"/>
      <c r="BW84" s="68"/>
      <c r="BX84" s="68"/>
      <c r="BY84" s="68"/>
      <c r="BZ84" s="68"/>
      <c r="CA84" s="68"/>
      <c r="CB84" s="68"/>
      <c r="CC84" s="68"/>
      <c r="CD84" s="68"/>
      <c r="CE84" s="68"/>
      <c r="CF84" s="68"/>
      <c r="CG84" s="68"/>
      <c r="CH84" s="68"/>
      <c r="CI84" s="68"/>
      <c r="CJ84" s="68"/>
      <c r="CK84" s="68"/>
      <c r="CL84" s="68"/>
      <c r="CM84" s="68"/>
      <c r="CN84" s="68"/>
      <c r="CO84" s="68"/>
      <c r="CP84" s="68"/>
      <c r="CQ84" s="68"/>
      <c r="CR84" s="68"/>
      <c r="CS84" s="68"/>
      <c r="CT84" s="68"/>
      <c r="CU84" s="68"/>
      <c r="CV84" s="68"/>
      <c r="CW84" s="68"/>
      <c r="CX84" s="68"/>
      <c r="CY84" s="68"/>
      <c r="CZ84" s="68"/>
      <c r="DA84" s="68"/>
      <c r="DB84" s="68"/>
      <c r="DC84" s="68"/>
      <c r="DD84" s="68"/>
      <c r="DE84" s="68"/>
      <c r="DF84" s="68"/>
      <c r="DG84" s="68"/>
      <c r="DH84" s="68"/>
      <c r="DI84" s="68"/>
      <c r="DJ84" s="68"/>
    </row>
    <row r="85" spans="5:114" x14ac:dyDescent="0.2">
      <c r="E85" s="68"/>
      <c r="G85" s="68"/>
      <c r="H85" s="68"/>
      <c r="I85" s="68"/>
      <c r="J85" s="68"/>
      <c r="K85" s="68"/>
      <c r="L85" s="68"/>
      <c r="M85" s="68"/>
      <c r="N85" s="68"/>
      <c r="O85" s="68"/>
      <c r="P85" s="68"/>
      <c r="Q85" s="68"/>
      <c r="R85" s="68"/>
      <c r="S85" s="68"/>
      <c r="T85" s="68"/>
      <c r="U85" s="68"/>
      <c r="V85" s="68"/>
      <c r="W85" s="68"/>
      <c r="X85" s="68"/>
      <c r="Y85" s="68"/>
      <c r="Z85" s="68"/>
      <c r="AA85" s="68"/>
      <c r="AB85" s="68"/>
      <c r="AC85" s="68"/>
      <c r="AD85" s="68"/>
      <c r="AE85" s="68"/>
      <c r="AF85" s="68"/>
      <c r="AG85" s="68"/>
      <c r="AH85" s="68"/>
      <c r="AI85" s="68"/>
      <c r="AJ85" s="68"/>
      <c r="AK85" s="68"/>
      <c r="AL85" s="68"/>
      <c r="AM85" s="68"/>
      <c r="AN85" s="68"/>
      <c r="AO85" s="68"/>
      <c r="AP85" s="68"/>
      <c r="AQ85" s="68"/>
      <c r="AR85" s="68"/>
      <c r="AS85" s="68"/>
      <c r="AT85" s="68"/>
      <c r="AU85" s="68"/>
      <c r="AV85" s="68"/>
      <c r="AW85" s="68"/>
      <c r="AX85" s="68"/>
      <c r="AY85" s="68"/>
      <c r="AZ85" s="68"/>
      <c r="BA85" s="68"/>
      <c r="BB85" s="68"/>
      <c r="BC85" s="68"/>
      <c r="BD85" s="68"/>
      <c r="BE85" s="68"/>
      <c r="BF85" s="68"/>
      <c r="BG85" s="68"/>
      <c r="BH85" s="71"/>
      <c r="BJ85" s="68"/>
      <c r="BK85" s="68"/>
      <c r="BL85" s="68"/>
      <c r="BM85" s="68"/>
      <c r="BN85" s="68"/>
      <c r="BO85" s="68"/>
      <c r="BP85" s="68"/>
      <c r="BQ85" s="68"/>
      <c r="BR85" s="68"/>
      <c r="BS85" s="68"/>
      <c r="BT85" s="68"/>
      <c r="BU85" s="68"/>
      <c r="BV85" s="68"/>
      <c r="BW85" s="68"/>
      <c r="BX85" s="68"/>
      <c r="BY85" s="68"/>
      <c r="BZ85" s="68"/>
      <c r="CA85" s="68"/>
      <c r="CB85" s="68"/>
      <c r="CC85" s="68"/>
      <c r="CD85" s="68"/>
      <c r="CE85" s="68"/>
      <c r="CF85" s="68"/>
      <c r="CG85" s="68"/>
      <c r="CH85" s="68"/>
      <c r="CI85" s="68"/>
      <c r="CJ85" s="68"/>
      <c r="CK85" s="68"/>
      <c r="CL85" s="68"/>
      <c r="CM85" s="68"/>
      <c r="CN85" s="68"/>
      <c r="CO85" s="68"/>
      <c r="CP85" s="68"/>
      <c r="CQ85" s="68"/>
      <c r="CR85" s="68"/>
      <c r="CS85" s="68"/>
      <c r="CT85" s="68"/>
      <c r="CU85" s="68"/>
      <c r="CV85" s="68"/>
      <c r="CW85" s="68"/>
      <c r="CX85" s="68"/>
      <c r="CY85" s="68"/>
      <c r="CZ85" s="68"/>
      <c r="DA85" s="68"/>
      <c r="DB85" s="68"/>
      <c r="DC85" s="68"/>
      <c r="DD85" s="68"/>
      <c r="DE85" s="68"/>
      <c r="DF85" s="68"/>
      <c r="DG85" s="68"/>
      <c r="DH85" s="68"/>
      <c r="DI85" s="68"/>
      <c r="DJ85" s="68"/>
    </row>
    <row r="86" spans="5:114" x14ac:dyDescent="0.2">
      <c r="E86" s="68"/>
      <c r="G86" s="68"/>
      <c r="H86" s="68"/>
      <c r="I86" s="68"/>
      <c r="J86" s="68"/>
      <c r="K86" s="68"/>
      <c r="L86" s="68"/>
      <c r="M86" s="68"/>
      <c r="N86" s="68"/>
      <c r="O86" s="68"/>
      <c r="P86" s="68"/>
      <c r="Q86" s="68"/>
      <c r="R86" s="68"/>
      <c r="S86" s="68"/>
      <c r="T86" s="68"/>
      <c r="U86" s="68"/>
      <c r="V86" s="68"/>
      <c r="W86" s="68"/>
      <c r="X86" s="68"/>
      <c r="Y86" s="68"/>
      <c r="Z86" s="68"/>
      <c r="AA86" s="68"/>
      <c r="AB86" s="68"/>
      <c r="AC86" s="68"/>
      <c r="AD86" s="68"/>
      <c r="AE86" s="68"/>
      <c r="AF86" s="68"/>
      <c r="AG86" s="68"/>
      <c r="AH86" s="68"/>
      <c r="AI86" s="68"/>
      <c r="AJ86" s="68"/>
      <c r="AK86" s="68"/>
      <c r="AL86" s="68"/>
      <c r="AM86" s="68"/>
      <c r="AN86" s="68"/>
      <c r="AO86" s="68"/>
      <c r="AP86" s="68"/>
      <c r="AQ86" s="68"/>
      <c r="AR86" s="68"/>
      <c r="AS86" s="68"/>
      <c r="AT86" s="68"/>
      <c r="AU86" s="68"/>
      <c r="AV86" s="68"/>
      <c r="AW86" s="68"/>
      <c r="AX86" s="68"/>
      <c r="AY86" s="68"/>
      <c r="AZ86" s="68"/>
      <c r="BA86" s="68"/>
      <c r="BB86" s="68"/>
      <c r="BC86" s="68"/>
      <c r="BD86" s="68"/>
      <c r="BE86" s="68"/>
      <c r="BF86" s="68"/>
      <c r="BG86" s="68"/>
      <c r="BH86" s="71"/>
      <c r="BJ86" s="68"/>
      <c r="BK86" s="68"/>
      <c r="BL86" s="68"/>
      <c r="BM86" s="68"/>
      <c r="BN86" s="68"/>
      <c r="BO86" s="68"/>
      <c r="BP86" s="68"/>
      <c r="BQ86" s="68"/>
      <c r="BR86" s="68"/>
      <c r="BS86" s="68"/>
      <c r="BT86" s="68"/>
      <c r="BU86" s="68"/>
      <c r="BV86" s="68"/>
      <c r="BW86" s="68"/>
      <c r="BX86" s="68"/>
      <c r="BY86" s="68"/>
      <c r="BZ86" s="68"/>
      <c r="CA86" s="68"/>
      <c r="CB86" s="68"/>
      <c r="CC86" s="68"/>
      <c r="CD86" s="68"/>
      <c r="CE86" s="68"/>
      <c r="CF86" s="68"/>
      <c r="CG86" s="68"/>
      <c r="CH86" s="68"/>
      <c r="CI86" s="68"/>
      <c r="CJ86" s="68"/>
      <c r="CK86" s="68"/>
      <c r="CL86" s="68"/>
      <c r="CM86" s="68"/>
      <c r="CN86" s="68"/>
      <c r="CO86" s="68"/>
      <c r="CP86" s="68"/>
      <c r="CQ86" s="68"/>
      <c r="CR86" s="68"/>
      <c r="CS86" s="68"/>
      <c r="CT86" s="68"/>
      <c r="CU86" s="68"/>
      <c r="CV86" s="68"/>
      <c r="CW86" s="68"/>
      <c r="CX86" s="68"/>
      <c r="CY86" s="68"/>
      <c r="CZ86" s="68"/>
      <c r="DA86" s="68"/>
      <c r="DB86" s="68"/>
      <c r="DC86" s="68"/>
      <c r="DD86" s="68"/>
      <c r="DE86" s="68"/>
      <c r="DF86" s="68"/>
      <c r="DG86" s="68"/>
      <c r="DH86" s="68"/>
      <c r="DI86" s="68"/>
      <c r="DJ86" s="68"/>
    </row>
    <row r="87" spans="5:114" x14ac:dyDescent="0.2">
      <c r="E87" s="68"/>
      <c r="G87" s="68"/>
      <c r="H87" s="68"/>
      <c r="I87" s="68"/>
      <c r="J87" s="68"/>
      <c r="K87" s="68"/>
      <c r="L87" s="68"/>
      <c r="M87" s="68"/>
      <c r="N87" s="68"/>
      <c r="O87" s="68"/>
      <c r="P87" s="68"/>
      <c r="Q87" s="68"/>
      <c r="R87" s="68"/>
      <c r="S87" s="68"/>
      <c r="T87" s="68"/>
      <c r="U87" s="68"/>
      <c r="V87" s="68"/>
      <c r="W87" s="68"/>
      <c r="X87" s="68"/>
      <c r="Y87" s="68"/>
      <c r="Z87" s="68"/>
      <c r="AA87" s="68"/>
      <c r="AB87" s="68"/>
      <c r="AC87" s="68"/>
      <c r="AD87" s="68"/>
      <c r="AE87" s="68"/>
      <c r="AF87" s="68"/>
      <c r="AG87" s="68"/>
      <c r="AH87" s="68"/>
      <c r="AI87" s="68"/>
      <c r="AJ87" s="68"/>
      <c r="AK87" s="68"/>
      <c r="AL87" s="68"/>
      <c r="AM87" s="68"/>
      <c r="AN87" s="68"/>
      <c r="AO87" s="68"/>
      <c r="AP87" s="68"/>
      <c r="AQ87" s="68"/>
      <c r="AR87" s="68"/>
      <c r="AS87" s="68"/>
      <c r="AT87" s="68"/>
      <c r="AU87" s="68"/>
      <c r="AV87" s="68"/>
      <c r="AW87" s="68"/>
      <c r="AX87" s="68"/>
      <c r="AY87" s="68"/>
      <c r="AZ87" s="68"/>
      <c r="BA87" s="68"/>
      <c r="BB87" s="68"/>
      <c r="BC87" s="68"/>
      <c r="BD87" s="68"/>
      <c r="BE87" s="68"/>
      <c r="BF87" s="68"/>
      <c r="BG87" s="68"/>
      <c r="BH87" s="71"/>
      <c r="BJ87" s="68"/>
      <c r="BK87" s="68"/>
      <c r="BL87" s="68"/>
      <c r="BM87" s="68"/>
      <c r="BN87" s="68"/>
      <c r="BO87" s="68"/>
      <c r="BP87" s="68"/>
      <c r="BQ87" s="68"/>
      <c r="BR87" s="68"/>
      <c r="BS87" s="68"/>
      <c r="BT87" s="68"/>
      <c r="BU87" s="68"/>
      <c r="BV87" s="68"/>
      <c r="BW87" s="68"/>
      <c r="BX87" s="68"/>
      <c r="BY87" s="68"/>
      <c r="BZ87" s="68"/>
      <c r="CA87" s="68"/>
      <c r="CB87" s="68"/>
      <c r="CC87" s="68"/>
      <c r="CD87" s="68"/>
      <c r="CE87" s="68"/>
      <c r="CF87" s="68"/>
      <c r="CG87" s="68"/>
      <c r="CH87" s="68"/>
      <c r="CI87" s="68"/>
      <c r="CJ87" s="68"/>
      <c r="CK87" s="68"/>
      <c r="CL87" s="68"/>
      <c r="CM87" s="68"/>
      <c r="CN87" s="68"/>
      <c r="CO87" s="68"/>
      <c r="CP87" s="68"/>
      <c r="CQ87" s="68"/>
      <c r="CR87" s="68"/>
      <c r="CS87" s="68"/>
      <c r="CT87" s="68"/>
      <c r="CU87" s="68"/>
      <c r="CV87" s="68"/>
      <c r="CW87" s="68"/>
      <c r="CX87" s="68"/>
      <c r="CY87" s="68"/>
      <c r="CZ87" s="68"/>
      <c r="DA87" s="68"/>
      <c r="DB87" s="68"/>
      <c r="DC87" s="68"/>
      <c r="DD87" s="68"/>
      <c r="DE87" s="68"/>
      <c r="DF87" s="68"/>
      <c r="DG87" s="68"/>
      <c r="DH87" s="68"/>
      <c r="DI87" s="68"/>
      <c r="DJ87" s="68"/>
    </row>
    <row r="88" spans="5:114" x14ac:dyDescent="0.2">
      <c r="E88" s="68"/>
      <c r="G88" s="68"/>
      <c r="H88" s="68"/>
      <c r="I88" s="68"/>
      <c r="J88" s="68"/>
      <c r="K88" s="68"/>
      <c r="L88" s="68"/>
      <c r="M88" s="68"/>
      <c r="N88" s="68"/>
      <c r="O88" s="68"/>
      <c r="P88" s="68"/>
      <c r="Q88" s="68"/>
      <c r="R88" s="68"/>
      <c r="S88" s="68"/>
      <c r="T88" s="68"/>
      <c r="U88" s="68"/>
      <c r="V88" s="68"/>
      <c r="W88" s="68"/>
      <c r="X88" s="68"/>
      <c r="Y88" s="68"/>
      <c r="Z88" s="68"/>
      <c r="AA88" s="68"/>
      <c r="AB88" s="68"/>
      <c r="AC88" s="68"/>
      <c r="AD88" s="68"/>
      <c r="AE88" s="68"/>
      <c r="AF88" s="68"/>
      <c r="AG88" s="68"/>
      <c r="AH88" s="68"/>
      <c r="AI88" s="68"/>
      <c r="AJ88" s="68"/>
      <c r="AK88" s="68"/>
      <c r="AL88" s="68"/>
      <c r="AM88" s="68"/>
      <c r="AN88" s="68"/>
      <c r="AO88" s="68"/>
      <c r="AP88" s="68"/>
      <c r="AQ88" s="68"/>
      <c r="AR88" s="68"/>
      <c r="AS88" s="68"/>
      <c r="AT88" s="68"/>
      <c r="AU88" s="68"/>
      <c r="AV88" s="68"/>
      <c r="AW88" s="68"/>
      <c r="AX88" s="68"/>
      <c r="AY88" s="68"/>
      <c r="AZ88" s="68"/>
      <c r="BA88" s="68"/>
      <c r="BB88" s="68"/>
      <c r="BC88" s="68"/>
      <c r="BD88" s="68"/>
      <c r="BE88" s="68"/>
      <c r="BF88" s="68"/>
      <c r="BG88" s="68"/>
      <c r="BH88" s="71"/>
      <c r="BJ88" s="68"/>
      <c r="BK88" s="68"/>
      <c r="BL88" s="68"/>
      <c r="BM88" s="68"/>
      <c r="BN88" s="68"/>
      <c r="BO88" s="68"/>
      <c r="BP88" s="68"/>
      <c r="BQ88" s="68"/>
      <c r="BR88" s="68"/>
      <c r="BS88" s="68"/>
      <c r="BT88" s="68"/>
      <c r="BU88" s="68"/>
      <c r="BV88" s="68"/>
      <c r="BW88" s="68"/>
      <c r="BX88" s="68"/>
      <c r="BY88" s="68"/>
      <c r="BZ88" s="68"/>
      <c r="CA88" s="68"/>
      <c r="CB88" s="68"/>
      <c r="CC88" s="68"/>
      <c r="CD88" s="68"/>
      <c r="CE88" s="68"/>
      <c r="CF88" s="68"/>
      <c r="CG88" s="68"/>
      <c r="CH88" s="68"/>
      <c r="CI88" s="68"/>
      <c r="CJ88" s="68"/>
      <c r="CK88" s="68"/>
      <c r="CL88" s="68"/>
      <c r="CM88" s="68"/>
      <c r="CN88" s="68"/>
      <c r="CO88" s="68"/>
      <c r="CP88" s="68"/>
      <c r="CQ88" s="68"/>
      <c r="CR88" s="68"/>
      <c r="CS88" s="68"/>
      <c r="CT88" s="68"/>
      <c r="CU88" s="68"/>
      <c r="CV88" s="68"/>
      <c r="CW88" s="68"/>
      <c r="CX88" s="68"/>
      <c r="CY88" s="68"/>
      <c r="CZ88" s="68"/>
      <c r="DA88" s="68"/>
      <c r="DB88" s="68"/>
      <c r="DC88" s="68"/>
      <c r="DD88" s="68"/>
      <c r="DE88" s="68"/>
      <c r="DF88" s="68"/>
      <c r="DG88" s="68"/>
      <c r="DH88" s="68"/>
      <c r="DI88" s="68"/>
      <c r="DJ88" s="68"/>
    </row>
    <row r="89" spans="5:114" x14ac:dyDescent="0.2">
      <c r="E89" s="68"/>
      <c r="G89" s="68"/>
      <c r="H89" s="68"/>
      <c r="I89" s="68"/>
      <c r="J89" s="68"/>
      <c r="K89" s="68"/>
      <c r="L89" s="68"/>
      <c r="M89" s="68"/>
      <c r="N89" s="68"/>
      <c r="O89" s="68"/>
      <c r="P89" s="68"/>
      <c r="Q89" s="68"/>
      <c r="R89" s="68"/>
      <c r="S89" s="68"/>
      <c r="T89" s="68"/>
      <c r="U89" s="68"/>
      <c r="V89" s="68"/>
      <c r="W89" s="68"/>
      <c r="X89" s="68"/>
      <c r="Y89" s="68"/>
      <c r="Z89" s="68"/>
      <c r="AA89" s="68"/>
      <c r="AB89" s="68"/>
      <c r="AC89" s="68"/>
      <c r="AD89" s="68"/>
      <c r="AE89" s="68"/>
      <c r="AF89" s="68"/>
      <c r="AG89" s="68"/>
      <c r="AH89" s="68"/>
      <c r="AI89" s="68"/>
      <c r="AJ89" s="68"/>
      <c r="AK89" s="68"/>
      <c r="AL89" s="68"/>
      <c r="AM89" s="68"/>
      <c r="AN89" s="68"/>
      <c r="AO89" s="68"/>
      <c r="AP89" s="68"/>
      <c r="AQ89" s="68"/>
      <c r="AR89" s="68"/>
      <c r="AS89" s="68"/>
      <c r="AT89" s="68"/>
      <c r="AU89" s="68"/>
      <c r="AV89" s="68"/>
      <c r="AW89" s="68"/>
      <c r="AX89" s="68"/>
      <c r="AY89" s="68"/>
      <c r="AZ89" s="68"/>
      <c r="BA89" s="68"/>
      <c r="BB89" s="68"/>
      <c r="BC89" s="68"/>
      <c r="BD89" s="68"/>
      <c r="BE89" s="68"/>
      <c r="BF89" s="68"/>
      <c r="BG89" s="68"/>
      <c r="BH89" s="71"/>
      <c r="BJ89" s="68"/>
      <c r="BK89" s="68"/>
      <c r="BL89" s="68"/>
      <c r="BM89" s="68"/>
      <c r="BN89" s="68"/>
      <c r="BO89" s="68"/>
      <c r="BP89" s="68"/>
      <c r="BQ89" s="68"/>
      <c r="BR89" s="68"/>
      <c r="BS89" s="68"/>
      <c r="BT89" s="68"/>
      <c r="BU89" s="68"/>
      <c r="BV89" s="68"/>
      <c r="BW89" s="68"/>
      <c r="BX89" s="68"/>
      <c r="BY89" s="68"/>
      <c r="BZ89" s="68"/>
      <c r="CA89" s="68"/>
      <c r="CB89" s="68"/>
      <c r="CC89" s="68"/>
      <c r="CD89" s="68"/>
      <c r="CE89" s="68"/>
      <c r="CF89" s="68"/>
      <c r="CG89" s="68"/>
      <c r="CH89" s="68"/>
      <c r="CI89" s="68"/>
      <c r="CJ89" s="68"/>
      <c r="CK89" s="68"/>
      <c r="CL89" s="68"/>
      <c r="CM89" s="68"/>
      <c r="CN89" s="68"/>
      <c r="CO89" s="68"/>
      <c r="CP89" s="68"/>
      <c r="CQ89" s="68"/>
      <c r="CR89" s="68"/>
      <c r="CS89" s="68"/>
      <c r="CT89" s="68"/>
      <c r="CU89" s="68"/>
      <c r="CV89" s="68"/>
      <c r="CW89" s="68"/>
      <c r="CX89" s="68"/>
      <c r="CY89" s="68"/>
      <c r="CZ89" s="68"/>
      <c r="DA89" s="68"/>
      <c r="DB89" s="68"/>
      <c r="DC89" s="68"/>
      <c r="DD89" s="68"/>
      <c r="DE89" s="68"/>
      <c r="DF89" s="68"/>
      <c r="DG89" s="68"/>
      <c r="DH89" s="68"/>
      <c r="DI89" s="68"/>
      <c r="DJ89" s="68"/>
    </row>
    <row r="90" spans="5:114" x14ac:dyDescent="0.2">
      <c r="E90" s="68"/>
      <c r="G90" s="68"/>
      <c r="H90" s="68"/>
      <c r="I90" s="68"/>
      <c r="J90" s="68"/>
      <c r="K90" s="68"/>
      <c r="L90" s="68"/>
      <c r="M90" s="68"/>
      <c r="N90" s="68"/>
      <c r="O90" s="68"/>
      <c r="P90" s="68"/>
      <c r="Q90" s="68"/>
      <c r="R90" s="68"/>
      <c r="S90" s="68"/>
      <c r="T90" s="68"/>
      <c r="U90" s="68"/>
      <c r="V90" s="68"/>
      <c r="W90" s="68"/>
      <c r="X90" s="68"/>
      <c r="Y90" s="68"/>
      <c r="Z90" s="68"/>
      <c r="AA90" s="68"/>
      <c r="AB90" s="68"/>
      <c r="AC90" s="68"/>
      <c r="AD90" s="68"/>
      <c r="AE90" s="68"/>
      <c r="AF90" s="68"/>
      <c r="AG90" s="68"/>
      <c r="AH90" s="68"/>
      <c r="AI90" s="68"/>
      <c r="AJ90" s="68"/>
      <c r="AK90" s="68"/>
      <c r="AL90" s="68"/>
      <c r="AM90" s="68"/>
      <c r="AN90" s="68"/>
      <c r="AO90" s="68"/>
      <c r="AP90" s="68"/>
      <c r="AQ90" s="68"/>
      <c r="AR90" s="68"/>
      <c r="AS90" s="68"/>
      <c r="AT90" s="68"/>
      <c r="AU90" s="68"/>
      <c r="AV90" s="68"/>
      <c r="AW90" s="68"/>
      <c r="AX90" s="68"/>
      <c r="AY90" s="68"/>
      <c r="AZ90" s="68"/>
      <c r="BA90" s="68"/>
      <c r="BB90" s="68"/>
      <c r="BC90" s="68"/>
      <c r="BD90" s="68"/>
      <c r="BE90" s="68"/>
      <c r="BF90" s="68"/>
      <c r="BG90" s="68"/>
      <c r="BH90" s="71"/>
      <c r="BJ90" s="68"/>
      <c r="BK90" s="68"/>
      <c r="BL90" s="68"/>
      <c r="BM90" s="68"/>
      <c r="BN90" s="68"/>
      <c r="BO90" s="68"/>
      <c r="BP90" s="68"/>
      <c r="BQ90" s="68"/>
      <c r="BR90" s="68"/>
      <c r="BS90" s="68"/>
      <c r="BT90" s="68"/>
      <c r="BU90" s="68"/>
      <c r="BV90" s="68"/>
      <c r="BW90" s="68"/>
      <c r="BX90" s="68"/>
      <c r="BY90" s="68"/>
      <c r="BZ90" s="68"/>
      <c r="CA90" s="68"/>
      <c r="CB90" s="68"/>
      <c r="CC90" s="68"/>
      <c r="CD90" s="68"/>
      <c r="CE90" s="68"/>
      <c r="CF90" s="68"/>
      <c r="CG90" s="68"/>
      <c r="CH90" s="68"/>
      <c r="CI90" s="68"/>
      <c r="CJ90" s="68"/>
      <c r="CK90" s="68"/>
      <c r="CL90" s="68"/>
      <c r="CM90" s="68"/>
      <c r="CN90" s="68"/>
      <c r="CO90" s="68"/>
      <c r="CP90" s="68"/>
      <c r="CQ90" s="68"/>
      <c r="CR90" s="68"/>
      <c r="CS90" s="68"/>
      <c r="CT90" s="68"/>
      <c r="CU90" s="68"/>
      <c r="CV90" s="68"/>
      <c r="CW90" s="68"/>
      <c r="CX90" s="68"/>
      <c r="CY90" s="68"/>
      <c r="CZ90" s="68"/>
      <c r="DA90" s="68"/>
      <c r="DB90" s="68"/>
      <c r="DC90" s="68"/>
      <c r="DD90" s="68"/>
      <c r="DE90" s="68"/>
      <c r="DF90" s="68"/>
      <c r="DG90" s="68"/>
      <c r="DH90" s="68"/>
      <c r="DI90" s="68"/>
      <c r="DJ90" s="68"/>
    </row>
    <row r="91" spans="5:114" x14ac:dyDescent="0.2">
      <c r="E91" s="68"/>
      <c r="G91" s="68"/>
      <c r="H91" s="68"/>
      <c r="I91" s="68"/>
      <c r="J91" s="68"/>
      <c r="K91" s="68"/>
      <c r="L91" s="68"/>
      <c r="M91" s="68"/>
      <c r="N91" s="68"/>
      <c r="O91" s="68"/>
      <c r="P91" s="68"/>
      <c r="Q91" s="68"/>
      <c r="R91" s="68"/>
      <c r="S91" s="68"/>
      <c r="T91" s="68"/>
      <c r="U91" s="68"/>
      <c r="V91" s="68"/>
      <c r="W91" s="68"/>
      <c r="X91" s="68"/>
      <c r="Y91" s="68"/>
      <c r="Z91" s="68"/>
      <c r="AA91" s="68"/>
      <c r="AB91" s="68"/>
      <c r="AC91" s="68"/>
      <c r="AD91" s="68"/>
      <c r="AE91" s="68"/>
      <c r="AF91" s="68"/>
      <c r="AG91" s="68"/>
      <c r="AH91" s="68"/>
      <c r="AI91" s="68"/>
      <c r="AJ91" s="68"/>
      <c r="AK91" s="68"/>
      <c r="AL91" s="68"/>
      <c r="AM91" s="68"/>
      <c r="AN91" s="68"/>
      <c r="AO91" s="68"/>
      <c r="AP91" s="68"/>
      <c r="AQ91" s="68"/>
      <c r="AR91" s="68"/>
      <c r="AS91" s="68"/>
      <c r="AT91" s="68"/>
      <c r="AU91" s="68"/>
      <c r="AV91" s="68"/>
      <c r="AW91" s="68"/>
      <c r="AX91" s="68"/>
      <c r="AY91" s="68"/>
      <c r="AZ91" s="68"/>
      <c r="BA91" s="68"/>
      <c r="BB91" s="68"/>
      <c r="BC91" s="68"/>
      <c r="BD91" s="68"/>
      <c r="BE91" s="68"/>
      <c r="BF91" s="68"/>
      <c r="BG91" s="68"/>
      <c r="BH91" s="71"/>
      <c r="BJ91" s="68"/>
      <c r="BK91" s="68"/>
      <c r="BL91" s="68"/>
      <c r="BM91" s="68"/>
      <c r="BN91" s="68"/>
      <c r="BO91" s="68"/>
      <c r="BP91" s="68"/>
      <c r="BQ91" s="68"/>
      <c r="BR91" s="68"/>
      <c r="BS91" s="68"/>
      <c r="BT91" s="68"/>
      <c r="BU91" s="68"/>
      <c r="BV91" s="68"/>
      <c r="BW91" s="68"/>
      <c r="BX91" s="68"/>
      <c r="BY91" s="68"/>
      <c r="BZ91" s="68"/>
      <c r="CA91" s="68"/>
      <c r="CB91" s="68"/>
      <c r="CC91" s="68"/>
      <c r="CD91" s="68"/>
      <c r="CE91" s="68"/>
      <c r="CF91" s="68"/>
      <c r="CG91" s="68"/>
      <c r="CH91" s="68"/>
      <c r="CI91" s="68"/>
      <c r="CJ91" s="68"/>
      <c r="CK91" s="68"/>
      <c r="CL91" s="68"/>
      <c r="CM91" s="68"/>
      <c r="CN91" s="68"/>
      <c r="CO91" s="68"/>
      <c r="CP91" s="68"/>
      <c r="CQ91" s="68"/>
      <c r="CR91" s="68"/>
      <c r="CS91" s="68"/>
      <c r="CT91" s="68"/>
      <c r="CU91" s="68"/>
      <c r="CV91" s="68"/>
      <c r="CW91" s="68"/>
      <c r="CX91" s="68"/>
      <c r="CY91" s="68"/>
      <c r="CZ91" s="68"/>
      <c r="DA91" s="68"/>
      <c r="DB91" s="68"/>
      <c r="DC91" s="68"/>
      <c r="DD91" s="68"/>
      <c r="DE91" s="68"/>
      <c r="DF91" s="68"/>
      <c r="DG91" s="68"/>
      <c r="DH91" s="68"/>
      <c r="DI91" s="68"/>
      <c r="DJ91" s="68"/>
    </row>
    <row r="92" spans="5:114" x14ac:dyDescent="0.2">
      <c r="E92" s="68"/>
      <c r="G92" s="68"/>
      <c r="H92" s="68"/>
      <c r="I92" s="68"/>
      <c r="J92" s="68"/>
      <c r="K92" s="68"/>
      <c r="L92" s="68"/>
      <c r="M92" s="68"/>
      <c r="N92" s="68"/>
      <c r="O92" s="68"/>
      <c r="P92" s="68"/>
      <c r="Q92" s="68"/>
      <c r="R92" s="68"/>
      <c r="S92" s="68"/>
      <c r="T92" s="68"/>
      <c r="U92" s="68"/>
      <c r="V92" s="68"/>
      <c r="W92" s="68"/>
      <c r="X92" s="68"/>
      <c r="Y92" s="68"/>
      <c r="Z92" s="68"/>
      <c r="AA92" s="68"/>
      <c r="AB92" s="68"/>
      <c r="AC92" s="68"/>
      <c r="AD92" s="68"/>
      <c r="AE92" s="68"/>
      <c r="AF92" s="68"/>
      <c r="AG92" s="68"/>
      <c r="AH92" s="68"/>
      <c r="AI92" s="68"/>
      <c r="AJ92" s="68"/>
      <c r="AK92" s="68"/>
      <c r="AL92" s="68"/>
      <c r="AM92" s="68"/>
      <c r="AN92" s="68"/>
      <c r="AO92" s="68"/>
      <c r="AP92" s="68"/>
      <c r="AQ92" s="68"/>
      <c r="AR92" s="68"/>
      <c r="AS92" s="68"/>
      <c r="AT92" s="68"/>
      <c r="AU92" s="68"/>
      <c r="AV92" s="68"/>
      <c r="AW92" s="68"/>
      <c r="AX92" s="68"/>
      <c r="AY92" s="68"/>
      <c r="AZ92" s="68"/>
      <c r="BA92" s="68"/>
      <c r="BB92" s="68"/>
      <c r="BC92" s="68"/>
      <c r="BD92" s="68"/>
      <c r="BE92" s="68"/>
      <c r="BF92" s="68"/>
      <c r="BG92" s="68"/>
      <c r="BH92" s="71"/>
      <c r="BJ92" s="68"/>
      <c r="BK92" s="68"/>
      <c r="BL92" s="68"/>
      <c r="BM92" s="68"/>
      <c r="BN92" s="68"/>
      <c r="BO92" s="68"/>
      <c r="BP92" s="68"/>
      <c r="BQ92" s="68"/>
      <c r="BR92" s="68"/>
      <c r="BS92" s="68"/>
      <c r="BT92" s="68"/>
      <c r="BU92" s="68"/>
      <c r="BV92" s="68"/>
      <c r="BW92" s="68"/>
      <c r="BX92" s="68"/>
      <c r="BY92" s="68"/>
      <c r="BZ92" s="68"/>
      <c r="CA92" s="68"/>
      <c r="CB92" s="68"/>
      <c r="CC92" s="68"/>
      <c r="CD92" s="68"/>
      <c r="CE92" s="68"/>
      <c r="CF92" s="68"/>
      <c r="CG92" s="68"/>
      <c r="CH92" s="68"/>
      <c r="CI92" s="68"/>
      <c r="CJ92" s="68"/>
      <c r="CK92" s="68"/>
      <c r="CL92" s="68"/>
      <c r="CM92" s="68"/>
      <c r="CN92" s="68"/>
      <c r="CO92" s="68"/>
      <c r="CP92" s="68"/>
      <c r="CQ92" s="68"/>
      <c r="CR92" s="68"/>
      <c r="CS92" s="68"/>
      <c r="CT92" s="68"/>
      <c r="CU92" s="68"/>
      <c r="CV92" s="68"/>
      <c r="CW92" s="68"/>
      <c r="CX92" s="68"/>
      <c r="CY92" s="68"/>
      <c r="CZ92" s="68"/>
      <c r="DA92" s="68"/>
      <c r="DB92" s="68"/>
      <c r="DC92" s="68"/>
      <c r="DD92" s="68"/>
      <c r="DE92" s="68"/>
      <c r="DF92" s="68"/>
      <c r="DG92" s="68"/>
      <c r="DH92" s="68"/>
      <c r="DI92" s="68"/>
      <c r="DJ92" s="68"/>
    </row>
    <row r="93" spans="5:114" x14ac:dyDescent="0.2">
      <c r="E93" s="68"/>
      <c r="G93" s="68"/>
      <c r="H93" s="68"/>
      <c r="I93" s="68"/>
      <c r="J93" s="68"/>
      <c r="K93" s="68"/>
      <c r="L93" s="68"/>
      <c r="M93" s="68"/>
      <c r="N93" s="68"/>
      <c r="O93" s="68"/>
      <c r="P93" s="68"/>
      <c r="Q93" s="68"/>
      <c r="R93" s="68"/>
      <c r="S93" s="68"/>
      <c r="T93" s="68"/>
      <c r="U93" s="68"/>
      <c r="V93" s="68"/>
      <c r="W93" s="68"/>
      <c r="X93" s="68"/>
      <c r="Y93" s="68"/>
      <c r="Z93" s="68"/>
      <c r="AA93" s="68"/>
      <c r="AB93" s="68"/>
      <c r="AC93" s="68"/>
      <c r="AD93" s="68"/>
      <c r="AE93" s="68"/>
      <c r="AF93" s="68"/>
      <c r="AG93" s="68"/>
      <c r="AH93" s="68"/>
      <c r="AI93" s="68"/>
      <c r="AJ93" s="68"/>
      <c r="AK93" s="68"/>
      <c r="AL93" s="68"/>
      <c r="AM93" s="68"/>
      <c r="AN93" s="68"/>
      <c r="AO93" s="68"/>
      <c r="AP93" s="68"/>
      <c r="AQ93" s="68"/>
      <c r="AR93" s="68"/>
      <c r="AS93" s="68"/>
      <c r="AT93" s="68"/>
      <c r="AU93" s="68"/>
      <c r="AV93" s="68"/>
      <c r="AW93" s="68"/>
      <c r="AX93" s="68"/>
      <c r="AY93" s="68"/>
      <c r="AZ93" s="68"/>
      <c r="BA93" s="68"/>
      <c r="BB93" s="68"/>
      <c r="BC93" s="68"/>
      <c r="BD93" s="68"/>
      <c r="BE93" s="68"/>
      <c r="BF93" s="68"/>
      <c r="BG93" s="68"/>
      <c r="BH93" s="71"/>
      <c r="BJ93" s="68"/>
      <c r="BK93" s="68"/>
      <c r="BL93" s="68"/>
      <c r="BM93" s="68"/>
      <c r="BN93" s="68"/>
      <c r="BO93" s="68"/>
      <c r="BP93" s="68"/>
      <c r="BQ93" s="68"/>
      <c r="BR93" s="68"/>
      <c r="BS93" s="68"/>
      <c r="BT93" s="68"/>
      <c r="BU93" s="68"/>
      <c r="BV93" s="68"/>
      <c r="BW93" s="68"/>
      <c r="BX93" s="68"/>
      <c r="BY93" s="68"/>
      <c r="BZ93" s="68"/>
      <c r="CA93" s="68"/>
      <c r="CB93" s="68"/>
      <c r="CC93" s="68"/>
      <c r="CD93" s="68"/>
      <c r="CE93" s="68"/>
      <c r="CF93" s="68"/>
      <c r="CG93" s="68"/>
      <c r="CH93" s="68"/>
      <c r="CI93" s="68"/>
      <c r="CJ93" s="68"/>
      <c r="CK93" s="68"/>
      <c r="CL93" s="68"/>
      <c r="CM93" s="68"/>
      <c r="CN93" s="68"/>
      <c r="CO93" s="68"/>
      <c r="CP93" s="68"/>
      <c r="CQ93" s="68"/>
      <c r="CR93" s="68"/>
      <c r="CS93" s="68"/>
      <c r="CT93" s="68"/>
      <c r="CU93" s="68"/>
      <c r="CV93" s="68"/>
      <c r="CW93" s="68"/>
      <c r="CX93" s="68"/>
      <c r="CY93" s="68"/>
      <c r="CZ93" s="68"/>
      <c r="DA93" s="68"/>
      <c r="DB93" s="68"/>
      <c r="DC93" s="68"/>
      <c r="DD93" s="68"/>
      <c r="DE93" s="68"/>
      <c r="DF93" s="68"/>
      <c r="DG93" s="68"/>
      <c r="DH93" s="68"/>
      <c r="DI93" s="68"/>
      <c r="DJ93" s="68"/>
    </row>
    <row r="94" spans="5:114" x14ac:dyDescent="0.2">
      <c r="E94" s="68"/>
      <c r="G94" s="68"/>
      <c r="H94" s="68"/>
      <c r="I94" s="68"/>
      <c r="J94" s="68"/>
      <c r="K94" s="68"/>
      <c r="L94" s="68"/>
      <c r="M94" s="68"/>
      <c r="N94" s="68"/>
      <c r="O94" s="68"/>
      <c r="P94" s="68"/>
      <c r="Q94" s="68"/>
      <c r="R94" s="68"/>
      <c r="S94" s="68"/>
      <c r="T94" s="68"/>
      <c r="U94" s="68"/>
      <c r="V94" s="68"/>
      <c r="W94" s="68"/>
      <c r="X94" s="68"/>
      <c r="Y94" s="68"/>
      <c r="Z94" s="68"/>
      <c r="AA94" s="68"/>
      <c r="AB94" s="68"/>
      <c r="AC94" s="68"/>
      <c r="AD94" s="68"/>
      <c r="AE94" s="68"/>
      <c r="AF94" s="68"/>
      <c r="AG94" s="68"/>
      <c r="AH94" s="68"/>
      <c r="AI94" s="68"/>
      <c r="AJ94" s="68"/>
      <c r="AK94" s="68"/>
      <c r="AL94" s="68"/>
      <c r="AM94" s="68"/>
      <c r="AN94" s="68"/>
      <c r="AO94" s="68"/>
      <c r="AP94" s="68"/>
      <c r="AQ94" s="68"/>
      <c r="AR94" s="68"/>
      <c r="AS94" s="68"/>
      <c r="AT94" s="68"/>
      <c r="AU94" s="68"/>
      <c r="AV94" s="68"/>
      <c r="AW94" s="68"/>
      <c r="AX94" s="68"/>
      <c r="AY94" s="68"/>
      <c r="AZ94" s="68"/>
      <c r="BA94" s="68"/>
      <c r="BB94" s="68"/>
      <c r="BC94" s="68"/>
      <c r="BD94" s="68"/>
      <c r="BE94" s="68"/>
      <c r="BF94" s="68"/>
      <c r="BG94" s="68"/>
      <c r="BH94" s="71"/>
      <c r="BJ94" s="68"/>
      <c r="BK94" s="68"/>
      <c r="BL94" s="68"/>
      <c r="BM94" s="68"/>
      <c r="BN94" s="68"/>
      <c r="BO94" s="68"/>
      <c r="BP94" s="68"/>
      <c r="BQ94" s="68"/>
      <c r="BR94" s="68"/>
      <c r="BS94" s="68"/>
      <c r="BT94" s="68"/>
      <c r="BU94" s="68"/>
      <c r="BV94" s="68"/>
      <c r="BW94" s="68"/>
      <c r="BX94" s="68"/>
      <c r="BY94" s="68"/>
      <c r="BZ94" s="68"/>
      <c r="CA94" s="68"/>
      <c r="CB94" s="68"/>
      <c r="CC94" s="68"/>
      <c r="CD94" s="68"/>
      <c r="CE94" s="68"/>
      <c r="CF94" s="68"/>
      <c r="CG94" s="68"/>
      <c r="CH94" s="68"/>
      <c r="CI94" s="68"/>
      <c r="CJ94" s="68"/>
      <c r="CK94" s="68"/>
      <c r="CL94" s="68"/>
      <c r="CM94" s="68"/>
      <c r="CN94" s="68"/>
      <c r="CO94" s="68"/>
      <c r="CP94" s="68"/>
      <c r="CQ94" s="68"/>
      <c r="CR94" s="68"/>
      <c r="CS94" s="68"/>
      <c r="CT94" s="68"/>
      <c r="CU94" s="68"/>
      <c r="CV94" s="68"/>
      <c r="CW94" s="68"/>
      <c r="CX94" s="68"/>
      <c r="CY94" s="68"/>
      <c r="CZ94" s="68"/>
      <c r="DA94" s="68"/>
      <c r="DB94" s="68"/>
      <c r="DC94" s="68"/>
      <c r="DD94" s="68"/>
      <c r="DE94" s="68"/>
      <c r="DF94" s="68"/>
      <c r="DG94" s="68"/>
      <c r="DH94" s="68"/>
      <c r="DI94" s="68"/>
      <c r="DJ94" s="68"/>
    </row>
    <row r="95" spans="5:114" x14ac:dyDescent="0.2">
      <c r="E95" s="68"/>
      <c r="G95" s="68"/>
      <c r="H95" s="68"/>
      <c r="I95" s="68"/>
      <c r="J95" s="68"/>
      <c r="K95" s="68"/>
      <c r="L95" s="68"/>
      <c r="M95" s="68"/>
      <c r="N95" s="68"/>
      <c r="O95" s="68"/>
      <c r="P95" s="68"/>
      <c r="Q95" s="68"/>
      <c r="R95" s="68"/>
      <c r="S95" s="68"/>
      <c r="T95" s="68"/>
      <c r="U95" s="68"/>
      <c r="V95" s="68"/>
      <c r="W95" s="68"/>
      <c r="X95" s="68"/>
      <c r="Y95" s="68"/>
      <c r="Z95" s="68"/>
      <c r="AA95" s="68"/>
      <c r="AB95" s="68"/>
      <c r="AC95" s="68"/>
      <c r="AD95" s="68"/>
      <c r="AE95" s="68"/>
      <c r="AF95" s="68"/>
      <c r="AG95" s="68"/>
      <c r="AH95" s="68"/>
      <c r="AI95" s="68"/>
      <c r="AJ95" s="68"/>
      <c r="AK95" s="68"/>
      <c r="AL95" s="68"/>
      <c r="AM95" s="68"/>
      <c r="AN95" s="68"/>
      <c r="AO95" s="68"/>
      <c r="AP95" s="68"/>
      <c r="AQ95" s="68"/>
      <c r="AR95" s="68"/>
      <c r="AS95" s="68"/>
      <c r="AT95" s="68"/>
      <c r="AU95" s="68"/>
      <c r="AV95" s="68"/>
      <c r="AW95" s="68"/>
      <c r="AX95" s="68"/>
      <c r="AY95" s="68"/>
      <c r="AZ95" s="68"/>
      <c r="BA95" s="68"/>
      <c r="BB95" s="68"/>
      <c r="BC95" s="68"/>
      <c r="BD95" s="68"/>
      <c r="BE95" s="68"/>
      <c r="BF95" s="68"/>
      <c r="BG95" s="68"/>
      <c r="BH95" s="71"/>
      <c r="BJ95" s="68"/>
      <c r="BK95" s="68"/>
      <c r="BL95" s="68"/>
      <c r="BM95" s="68"/>
      <c r="BN95" s="68"/>
      <c r="BO95" s="68"/>
      <c r="BP95" s="68"/>
      <c r="BQ95" s="68"/>
      <c r="BR95" s="68"/>
      <c r="BS95" s="68"/>
      <c r="BT95" s="68"/>
      <c r="BU95" s="68"/>
      <c r="BV95" s="68"/>
      <c r="BW95" s="68"/>
      <c r="BX95" s="68"/>
      <c r="BY95" s="68"/>
      <c r="BZ95" s="68"/>
      <c r="CA95" s="68"/>
      <c r="CB95" s="68"/>
      <c r="CC95" s="68"/>
      <c r="CD95" s="68"/>
      <c r="CE95" s="68"/>
      <c r="CF95" s="68"/>
      <c r="CG95" s="68"/>
      <c r="CH95" s="68"/>
      <c r="CI95" s="68"/>
      <c r="CJ95" s="68"/>
      <c r="CK95" s="68"/>
      <c r="CL95" s="68"/>
      <c r="CM95" s="68"/>
      <c r="CN95" s="68"/>
      <c r="CO95" s="68"/>
      <c r="CP95" s="68"/>
      <c r="CQ95" s="68"/>
      <c r="CR95" s="68"/>
      <c r="CS95" s="68"/>
      <c r="CT95" s="68"/>
      <c r="CU95" s="68"/>
      <c r="CV95" s="68"/>
      <c r="CW95" s="68"/>
      <c r="CX95" s="68"/>
      <c r="CY95" s="68"/>
      <c r="CZ95" s="68"/>
      <c r="DA95" s="68"/>
      <c r="DB95" s="68"/>
      <c r="DC95" s="68"/>
      <c r="DD95" s="68"/>
      <c r="DE95" s="68"/>
      <c r="DF95" s="68"/>
      <c r="DG95" s="68"/>
      <c r="DH95" s="68"/>
      <c r="DI95" s="68"/>
      <c r="DJ95" s="68"/>
    </row>
    <row r="96" spans="5:114" x14ac:dyDescent="0.2">
      <c r="E96" s="68"/>
      <c r="G96" s="68"/>
      <c r="H96" s="68"/>
      <c r="I96" s="68"/>
      <c r="J96" s="68"/>
      <c r="K96" s="68"/>
      <c r="L96" s="68"/>
      <c r="M96" s="68"/>
      <c r="N96" s="68"/>
      <c r="O96" s="68"/>
      <c r="P96" s="68"/>
      <c r="Q96" s="68"/>
      <c r="R96" s="68"/>
      <c r="S96" s="68"/>
      <c r="T96" s="68"/>
      <c r="U96" s="68"/>
      <c r="V96" s="68"/>
      <c r="W96" s="68"/>
      <c r="X96" s="68"/>
      <c r="Y96" s="68"/>
      <c r="Z96" s="68"/>
      <c r="AA96" s="68"/>
      <c r="AB96" s="68"/>
      <c r="AC96" s="68"/>
      <c r="AD96" s="68"/>
      <c r="AE96" s="68"/>
      <c r="AF96" s="68"/>
      <c r="AG96" s="68"/>
      <c r="AH96" s="68"/>
      <c r="AI96" s="68"/>
      <c r="AJ96" s="68"/>
      <c r="AK96" s="68"/>
      <c r="AL96" s="68"/>
      <c r="AM96" s="68"/>
      <c r="AN96" s="68"/>
      <c r="AO96" s="68"/>
      <c r="AP96" s="68"/>
      <c r="AQ96" s="68"/>
      <c r="AR96" s="68"/>
      <c r="AS96" s="68"/>
      <c r="AT96" s="68"/>
      <c r="AU96" s="68"/>
      <c r="AV96" s="68"/>
      <c r="AW96" s="68"/>
      <c r="AX96" s="68"/>
      <c r="AY96" s="68"/>
      <c r="AZ96" s="68"/>
      <c r="BA96" s="68"/>
      <c r="BB96" s="68"/>
      <c r="BC96" s="68"/>
      <c r="BD96" s="68"/>
      <c r="BE96" s="68"/>
      <c r="BF96" s="68"/>
      <c r="BG96" s="68"/>
      <c r="BH96" s="71"/>
      <c r="BJ96" s="68"/>
      <c r="BK96" s="68"/>
      <c r="BL96" s="68"/>
      <c r="BM96" s="68"/>
      <c r="BN96" s="68"/>
      <c r="BO96" s="68"/>
      <c r="BP96" s="68"/>
      <c r="BQ96" s="68"/>
      <c r="BR96" s="68"/>
      <c r="BS96" s="68"/>
      <c r="BT96" s="68"/>
      <c r="BU96" s="68"/>
      <c r="BV96" s="68"/>
      <c r="BW96" s="68"/>
      <c r="BX96" s="68"/>
      <c r="BY96" s="68"/>
      <c r="BZ96" s="68"/>
      <c r="CA96" s="68"/>
      <c r="CB96" s="68"/>
      <c r="CC96" s="68"/>
      <c r="CD96" s="68"/>
      <c r="CE96" s="68"/>
      <c r="CF96" s="68"/>
      <c r="CG96" s="68"/>
      <c r="CH96" s="68"/>
      <c r="CI96" s="68"/>
      <c r="CJ96" s="68"/>
      <c r="CK96" s="68"/>
      <c r="CL96" s="68"/>
      <c r="CM96" s="68"/>
      <c r="CN96" s="68"/>
      <c r="CO96" s="68"/>
      <c r="CP96" s="68"/>
      <c r="CQ96" s="68"/>
      <c r="CR96" s="68"/>
      <c r="CS96" s="68"/>
      <c r="CT96" s="68"/>
      <c r="CU96" s="68"/>
      <c r="CV96" s="68"/>
      <c r="CW96" s="68"/>
      <c r="CX96" s="68"/>
      <c r="CY96" s="68"/>
      <c r="CZ96" s="68"/>
      <c r="DA96" s="68"/>
      <c r="DB96" s="68"/>
      <c r="DC96" s="68"/>
      <c r="DD96" s="68"/>
      <c r="DE96" s="68"/>
      <c r="DF96" s="68"/>
      <c r="DG96" s="68"/>
      <c r="DH96" s="68"/>
      <c r="DI96" s="68"/>
      <c r="DJ96" s="68"/>
    </row>
    <row r="97" spans="5:114" x14ac:dyDescent="0.2">
      <c r="E97" s="68"/>
      <c r="G97" s="68"/>
      <c r="H97" s="68"/>
      <c r="I97" s="68"/>
      <c r="J97" s="68"/>
      <c r="K97" s="68"/>
      <c r="L97" s="68"/>
      <c r="M97" s="68"/>
      <c r="N97" s="68"/>
      <c r="O97" s="68"/>
      <c r="P97" s="68"/>
      <c r="Q97" s="68"/>
      <c r="R97" s="68"/>
      <c r="S97" s="68"/>
      <c r="T97" s="68"/>
      <c r="U97" s="68"/>
      <c r="V97" s="68"/>
      <c r="W97" s="68"/>
      <c r="X97" s="68"/>
      <c r="Y97" s="68"/>
      <c r="Z97" s="68"/>
      <c r="AA97" s="68"/>
      <c r="AB97" s="68"/>
      <c r="AC97" s="68"/>
      <c r="AD97" s="68"/>
      <c r="AE97" s="68"/>
      <c r="AF97" s="68"/>
      <c r="AG97" s="68"/>
      <c r="AH97" s="68"/>
      <c r="AI97" s="68"/>
      <c r="AJ97" s="68"/>
      <c r="AK97" s="68"/>
      <c r="AL97" s="68"/>
      <c r="AM97" s="68"/>
      <c r="AN97" s="68"/>
      <c r="AO97" s="68"/>
      <c r="AP97" s="68"/>
      <c r="AQ97" s="68"/>
      <c r="AR97" s="68"/>
      <c r="AS97" s="68"/>
      <c r="AT97" s="68"/>
      <c r="AU97" s="68"/>
      <c r="AV97" s="68"/>
      <c r="AW97" s="68"/>
      <c r="AX97" s="68"/>
      <c r="AY97" s="68"/>
      <c r="AZ97" s="68"/>
      <c r="BA97" s="68"/>
      <c r="BB97" s="68"/>
      <c r="BC97" s="68"/>
      <c r="BD97" s="68"/>
      <c r="BE97" s="68"/>
      <c r="BF97" s="68"/>
      <c r="BG97" s="68"/>
      <c r="BH97" s="71"/>
      <c r="BJ97" s="68"/>
      <c r="BK97" s="68"/>
      <c r="BL97" s="68"/>
      <c r="BM97" s="68"/>
      <c r="BN97" s="68"/>
      <c r="BO97" s="68"/>
      <c r="BP97" s="68"/>
      <c r="BQ97" s="68"/>
      <c r="BR97" s="68"/>
      <c r="BS97" s="68"/>
      <c r="BT97" s="68"/>
      <c r="BU97" s="68"/>
      <c r="BV97" s="68"/>
      <c r="BW97" s="68"/>
      <c r="BX97" s="68"/>
      <c r="BY97" s="68"/>
      <c r="BZ97" s="68"/>
      <c r="CA97" s="68"/>
      <c r="CB97" s="68"/>
      <c r="CC97" s="68"/>
      <c r="CD97" s="68"/>
      <c r="CE97" s="68"/>
      <c r="CF97" s="68"/>
      <c r="CG97" s="68"/>
      <c r="CH97" s="68"/>
      <c r="CI97" s="68"/>
      <c r="CJ97" s="68"/>
      <c r="CK97" s="68"/>
      <c r="CL97" s="68"/>
      <c r="CM97" s="68"/>
      <c r="CN97" s="68"/>
      <c r="CO97" s="68"/>
      <c r="CP97" s="68"/>
      <c r="CQ97" s="68"/>
      <c r="CR97" s="68"/>
      <c r="CS97" s="68"/>
      <c r="CT97" s="68"/>
      <c r="CU97" s="68"/>
      <c r="CV97" s="68"/>
      <c r="CW97" s="68"/>
      <c r="CX97" s="68"/>
      <c r="CY97" s="68"/>
      <c r="CZ97" s="68"/>
      <c r="DA97" s="68"/>
      <c r="DB97" s="68"/>
      <c r="DC97" s="68"/>
      <c r="DD97" s="68"/>
      <c r="DE97" s="68"/>
      <c r="DF97" s="68"/>
      <c r="DG97" s="68"/>
      <c r="DH97" s="68"/>
      <c r="DI97" s="68"/>
      <c r="DJ97" s="68"/>
    </row>
    <row r="98" spans="5:114" x14ac:dyDescent="0.2">
      <c r="E98" s="68"/>
      <c r="G98" s="68"/>
      <c r="H98" s="68"/>
      <c r="I98" s="68"/>
      <c r="J98" s="68"/>
      <c r="K98" s="68"/>
      <c r="L98" s="68"/>
      <c r="M98" s="68"/>
      <c r="N98" s="68"/>
      <c r="O98" s="68"/>
      <c r="P98" s="68"/>
      <c r="Q98" s="68"/>
      <c r="R98" s="68"/>
      <c r="S98" s="68"/>
      <c r="T98" s="68"/>
      <c r="U98" s="68"/>
      <c r="V98" s="68"/>
      <c r="W98" s="68"/>
      <c r="X98" s="68"/>
      <c r="Y98" s="68"/>
      <c r="Z98" s="68"/>
      <c r="AA98" s="68"/>
      <c r="AB98" s="68"/>
      <c r="AC98" s="68"/>
      <c r="AD98" s="68"/>
      <c r="AE98" s="68"/>
      <c r="AF98" s="68"/>
      <c r="AG98" s="68"/>
      <c r="AH98" s="68"/>
      <c r="AI98" s="68"/>
      <c r="AJ98" s="68"/>
      <c r="AK98" s="68"/>
      <c r="AL98" s="68"/>
      <c r="AM98" s="68"/>
      <c r="AN98" s="68"/>
      <c r="AO98" s="68"/>
      <c r="AP98" s="68"/>
      <c r="AQ98" s="68"/>
      <c r="AR98" s="68"/>
      <c r="AS98" s="68"/>
      <c r="AT98" s="68"/>
      <c r="AU98" s="68"/>
      <c r="AV98" s="68"/>
      <c r="AW98" s="68"/>
      <c r="AX98" s="68"/>
      <c r="AY98" s="68"/>
      <c r="AZ98" s="68"/>
      <c r="BA98" s="68"/>
      <c r="BB98" s="68"/>
      <c r="BC98" s="68"/>
      <c r="BD98" s="68"/>
      <c r="BE98" s="68"/>
      <c r="BF98" s="68"/>
      <c r="BG98" s="68"/>
      <c r="BH98" s="71"/>
      <c r="BJ98" s="68"/>
      <c r="BK98" s="68"/>
      <c r="BL98" s="68"/>
      <c r="BM98" s="68"/>
      <c r="BN98" s="68"/>
      <c r="BO98" s="68"/>
      <c r="BP98" s="68"/>
      <c r="BQ98" s="68"/>
      <c r="BR98" s="68"/>
      <c r="BS98" s="68"/>
      <c r="BT98" s="68"/>
      <c r="BU98" s="68"/>
      <c r="BV98" s="68"/>
      <c r="BW98" s="68"/>
      <c r="BX98" s="68"/>
      <c r="BY98" s="68"/>
      <c r="BZ98" s="68"/>
      <c r="CA98" s="68"/>
      <c r="CB98" s="68"/>
      <c r="CC98" s="68"/>
      <c r="CD98" s="68"/>
      <c r="CE98" s="68"/>
      <c r="CF98" s="68"/>
      <c r="CG98" s="68"/>
      <c r="CH98" s="68"/>
      <c r="CI98" s="68"/>
      <c r="CJ98" s="68"/>
      <c r="CK98" s="68"/>
      <c r="CL98" s="68"/>
      <c r="CM98" s="68"/>
      <c r="CN98" s="68"/>
      <c r="CO98" s="68"/>
      <c r="CP98" s="68"/>
      <c r="CQ98" s="68"/>
      <c r="CR98" s="68"/>
      <c r="CS98" s="68"/>
      <c r="CT98" s="68"/>
      <c r="CU98" s="68"/>
      <c r="CV98" s="68"/>
      <c r="CW98" s="68"/>
      <c r="CX98" s="68"/>
      <c r="CY98" s="68"/>
      <c r="CZ98" s="68"/>
      <c r="DA98" s="68"/>
      <c r="DB98" s="68"/>
      <c r="DC98" s="68"/>
      <c r="DD98" s="68"/>
      <c r="DE98" s="68"/>
      <c r="DF98" s="68"/>
      <c r="DG98" s="68"/>
      <c r="DH98" s="68"/>
      <c r="DI98" s="68"/>
      <c r="DJ98" s="68"/>
    </row>
    <row r="99" spans="5:114" x14ac:dyDescent="0.2">
      <c r="E99" s="68"/>
      <c r="G99" s="68"/>
      <c r="H99" s="68"/>
      <c r="I99" s="68"/>
      <c r="J99" s="68"/>
      <c r="K99" s="68"/>
      <c r="L99" s="68"/>
      <c r="M99" s="68"/>
      <c r="N99" s="68"/>
      <c r="O99" s="68"/>
      <c r="P99" s="68"/>
      <c r="Q99" s="68"/>
      <c r="R99" s="68"/>
      <c r="S99" s="68"/>
      <c r="T99" s="68"/>
      <c r="U99" s="68"/>
      <c r="V99" s="68"/>
      <c r="W99" s="68"/>
      <c r="X99" s="68"/>
      <c r="Y99" s="68"/>
      <c r="Z99" s="68"/>
      <c r="AA99" s="68"/>
      <c r="AB99" s="68"/>
      <c r="AC99" s="68"/>
      <c r="AD99" s="68"/>
      <c r="AE99" s="68"/>
      <c r="AF99" s="68"/>
      <c r="AG99" s="68"/>
      <c r="AH99" s="68"/>
      <c r="AI99" s="68"/>
      <c r="AJ99" s="68"/>
      <c r="AK99" s="68"/>
      <c r="AL99" s="68"/>
      <c r="AM99" s="68"/>
      <c r="AN99" s="68"/>
      <c r="AO99" s="68"/>
      <c r="AP99" s="68"/>
      <c r="AQ99" s="68"/>
      <c r="AR99" s="68"/>
      <c r="AS99" s="68"/>
      <c r="AT99" s="68"/>
      <c r="AU99" s="68"/>
      <c r="AV99" s="68"/>
      <c r="AW99" s="68"/>
      <c r="AX99" s="68"/>
      <c r="AY99" s="68"/>
      <c r="AZ99" s="68"/>
      <c r="BA99" s="68"/>
      <c r="BB99" s="68"/>
      <c r="BC99" s="68"/>
      <c r="BD99" s="68"/>
      <c r="BE99" s="68"/>
      <c r="BF99" s="68"/>
      <c r="BG99" s="68"/>
      <c r="BH99" s="71"/>
      <c r="BJ99" s="68"/>
      <c r="BK99" s="68"/>
      <c r="BL99" s="68"/>
      <c r="BM99" s="68"/>
      <c r="BN99" s="68"/>
      <c r="BO99" s="68"/>
      <c r="BP99" s="68"/>
      <c r="BQ99" s="68"/>
      <c r="BR99" s="68"/>
      <c r="BS99" s="68"/>
      <c r="BT99" s="68"/>
      <c r="BU99" s="68"/>
      <c r="BV99" s="68"/>
      <c r="BW99" s="68"/>
      <c r="BX99" s="68"/>
      <c r="BY99" s="68"/>
      <c r="BZ99" s="68"/>
      <c r="CA99" s="68"/>
      <c r="CB99" s="68"/>
      <c r="CC99" s="68"/>
      <c r="CD99" s="68"/>
      <c r="CE99" s="68"/>
      <c r="CF99" s="68"/>
      <c r="CG99" s="68"/>
      <c r="CH99" s="68"/>
      <c r="CI99" s="68"/>
      <c r="CJ99" s="68"/>
      <c r="CK99" s="68"/>
      <c r="CL99" s="68"/>
      <c r="CM99" s="68"/>
      <c r="CN99" s="68"/>
      <c r="CO99" s="68"/>
      <c r="CP99" s="68"/>
      <c r="CQ99" s="68"/>
      <c r="CR99" s="68"/>
      <c r="CS99" s="68"/>
      <c r="CT99" s="68"/>
      <c r="CU99" s="68"/>
      <c r="CV99" s="68"/>
      <c r="CW99" s="68"/>
      <c r="CX99" s="68"/>
      <c r="CY99" s="68"/>
      <c r="CZ99" s="68"/>
      <c r="DA99" s="68"/>
      <c r="DB99" s="68"/>
      <c r="DC99" s="68"/>
      <c r="DD99" s="68"/>
      <c r="DE99" s="68"/>
      <c r="DF99" s="68"/>
      <c r="DG99" s="68"/>
      <c r="DH99" s="68"/>
      <c r="DI99" s="68"/>
      <c r="DJ99" s="68"/>
    </row>
    <row r="100" spans="5:114" x14ac:dyDescent="0.2">
      <c r="E100" s="68"/>
      <c r="G100" s="68"/>
      <c r="H100" s="68"/>
      <c r="I100" s="68"/>
      <c r="J100" s="68"/>
      <c r="K100" s="68"/>
      <c r="L100" s="68"/>
      <c r="M100" s="68"/>
      <c r="N100" s="68"/>
      <c r="O100" s="68"/>
      <c r="P100" s="68"/>
      <c r="Q100" s="68"/>
      <c r="R100" s="68"/>
      <c r="S100" s="68"/>
      <c r="T100" s="68"/>
      <c r="U100" s="68"/>
      <c r="V100" s="68"/>
      <c r="W100" s="68"/>
      <c r="X100" s="68"/>
      <c r="Y100" s="68"/>
      <c r="Z100" s="68"/>
      <c r="AA100" s="68"/>
      <c r="AB100" s="68"/>
      <c r="AC100" s="68"/>
      <c r="AD100" s="68"/>
      <c r="AE100" s="68"/>
      <c r="AF100" s="68"/>
      <c r="AG100" s="68"/>
      <c r="AH100" s="68"/>
      <c r="AI100" s="68"/>
      <c r="AJ100" s="68"/>
      <c r="AK100" s="68"/>
      <c r="AL100" s="68"/>
      <c r="AM100" s="68"/>
      <c r="AN100" s="68"/>
      <c r="AO100" s="68"/>
      <c r="AP100" s="68"/>
      <c r="AQ100" s="68"/>
      <c r="AR100" s="68"/>
      <c r="AS100" s="68"/>
      <c r="AT100" s="68"/>
      <c r="AU100" s="68"/>
      <c r="AV100" s="68"/>
      <c r="AW100" s="68"/>
      <c r="AX100" s="68"/>
      <c r="AY100" s="68"/>
      <c r="AZ100" s="68"/>
      <c r="BA100" s="68"/>
      <c r="BB100" s="68"/>
      <c r="BC100" s="68"/>
      <c r="BD100" s="68"/>
      <c r="BE100" s="68"/>
      <c r="BF100" s="68"/>
      <c r="BG100" s="68"/>
      <c r="BH100" s="71"/>
      <c r="BJ100" s="68"/>
      <c r="BK100" s="68"/>
      <c r="BL100" s="68"/>
      <c r="BM100" s="68"/>
      <c r="BN100" s="68"/>
      <c r="BO100" s="68"/>
      <c r="BP100" s="68"/>
      <c r="BQ100" s="68"/>
      <c r="BR100" s="68"/>
      <c r="BS100" s="68"/>
      <c r="BT100" s="68"/>
      <c r="BU100" s="68"/>
      <c r="BV100" s="68"/>
      <c r="BW100" s="68"/>
      <c r="BX100" s="68"/>
      <c r="BY100" s="68"/>
      <c r="BZ100" s="68"/>
      <c r="CA100" s="68"/>
      <c r="CB100" s="68"/>
      <c r="CC100" s="68"/>
      <c r="CD100" s="68"/>
      <c r="CE100" s="68"/>
      <c r="CF100" s="68"/>
      <c r="CG100" s="68"/>
      <c r="CH100" s="68"/>
      <c r="CI100" s="68"/>
      <c r="CJ100" s="68"/>
      <c r="CK100" s="68"/>
      <c r="CL100" s="68"/>
      <c r="CM100" s="68"/>
      <c r="CN100" s="68"/>
      <c r="CO100" s="68"/>
      <c r="CP100" s="68"/>
      <c r="CQ100" s="68"/>
      <c r="CR100" s="68"/>
      <c r="CS100" s="68"/>
      <c r="CT100" s="68"/>
      <c r="CU100" s="68"/>
      <c r="CV100" s="68"/>
      <c r="CW100" s="68"/>
      <c r="CX100" s="68"/>
      <c r="CY100" s="68"/>
      <c r="CZ100" s="68"/>
      <c r="DA100" s="68"/>
      <c r="DB100" s="68"/>
      <c r="DC100" s="68"/>
      <c r="DD100" s="68"/>
      <c r="DE100" s="68"/>
      <c r="DF100" s="68"/>
      <c r="DG100" s="68"/>
      <c r="DH100" s="68"/>
      <c r="DI100" s="68"/>
      <c r="DJ100" s="68"/>
    </row>
    <row r="101" spans="5:114" x14ac:dyDescent="0.2">
      <c r="E101" s="68"/>
      <c r="G101" s="68"/>
      <c r="H101" s="68"/>
      <c r="I101" s="68"/>
      <c r="J101" s="68"/>
      <c r="K101" s="68"/>
      <c r="L101" s="68"/>
      <c r="M101" s="68"/>
      <c r="N101" s="68"/>
      <c r="O101" s="68"/>
      <c r="P101" s="68"/>
      <c r="Q101" s="68"/>
      <c r="R101" s="68"/>
      <c r="S101" s="68"/>
      <c r="T101" s="68"/>
      <c r="U101" s="68"/>
      <c r="V101" s="68"/>
      <c r="W101" s="68"/>
      <c r="X101" s="68"/>
      <c r="Y101" s="68"/>
      <c r="Z101" s="68"/>
      <c r="AA101" s="68"/>
      <c r="AB101" s="68"/>
      <c r="AC101" s="68"/>
      <c r="AD101" s="68"/>
      <c r="AE101" s="68"/>
      <c r="AF101" s="68"/>
      <c r="AG101" s="68"/>
      <c r="AH101" s="68"/>
      <c r="AI101" s="68"/>
      <c r="AJ101" s="68"/>
      <c r="AK101" s="68"/>
      <c r="AL101" s="68"/>
      <c r="AM101" s="68"/>
      <c r="AN101" s="68"/>
      <c r="AO101" s="68"/>
      <c r="AP101" s="68"/>
      <c r="AQ101" s="68"/>
      <c r="AR101" s="68"/>
      <c r="AS101" s="68"/>
      <c r="AT101" s="68"/>
      <c r="AU101" s="68"/>
      <c r="AV101" s="68"/>
      <c r="AW101" s="68"/>
      <c r="AX101" s="68"/>
      <c r="AY101" s="68"/>
      <c r="AZ101" s="68"/>
      <c r="BA101" s="68"/>
      <c r="BB101" s="68"/>
      <c r="BC101" s="68"/>
      <c r="BD101" s="68"/>
      <c r="BE101" s="68"/>
      <c r="BF101" s="68"/>
      <c r="BG101" s="68"/>
      <c r="BH101" s="71"/>
      <c r="BJ101" s="68"/>
      <c r="BK101" s="68"/>
      <c r="BL101" s="68"/>
      <c r="BM101" s="68"/>
      <c r="BN101" s="68"/>
      <c r="BO101" s="68"/>
      <c r="BP101" s="68"/>
      <c r="BQ101" s="68"/>
      <c r="BR101" s="68"/>
      <c r="BS101" s="68"/>
      <c r="BT101" s="68"/>
      <c r="BU101" s="68"/>
      <c r="BV101" s="68"/>
      <c r="BW101" s="68"/>
      <c r="BX101" s="68"/>
      <c r="BY101" s="68"/>
      <c r="BZ101" s="68"/>
      <c r="CA101" s="68"/>
      <c r="CB101" s="68"/>
      <c r="CC101" s="68"/>
      <c r="CD101" s="68"/>
      <c r="CE101" s="68"/>
      <c r="CF101" s="68"/>
      <c r="CG101" s="68"/>
      <c r="CH101" s="68"/>
      <c r="CI101" s="68"/>
      <c r="CJ101" s="68"/>
      <c r="CK101" s="68"/>
      <c r="CL101" s="68"/>
      <c r="CM101" s="68"/>
      <c r="CN101" s="68"/>
      <c r="CO101" s="68"/>
      <c r="CP101" s="68"/>
      <c r="CQ101" s="68"/>
      <c r="CR101" s="68"/>
      <c r="CS101" s="68"/>
      <c r="CT101" s="68"/>
      <c r="CU101" s="68"/>
      <c r="CV101" s="68"/>
      <c r="CW101" s="68"/>
      <c r="CX101" s="68"/>
      <c r="CY101" s="68"/>
      <c r="CZ101" s="68"/>
      <c r="DA101" s="68"/>
      <c r="DB101" s="68"/>
      <c r="DC101" s="68"/>
      <c r="DD101" s="68"/>
      <c r="DE101" s="68"/>
      <c r="DF101" s="68"/>
      <c r="DG101" s="68"/>
      <c r="DH101" s="68"/>
      <c r="DI101" s="68"/>
      <c r="DJ101" s="68"/>
    </row>
    <row r="102" spans="5:114" x14ac:dyDescent="0.2">
      <c r="E102" s="68"/>
      <c r="G102" s="68"/>
      <c r="H102" s="68"/>
      <c r="I102" s="68"/>
      <c r="J102" s="68"/>
      <c r="K102" s="68"/>
      <c r="L102" s="68"/>
      <c r="M102" s="68"/>
      <c r="N102" s="68"/>
      <c r="O102" s="68"/>
      <c r="P102" s="68"/>
      <c r="Q102" s="68"/>
      <c r="R102" s="68"/>
      <c r="S102" s="68"/>
      <c r="T102" s="68"/>
      <c r="U102" s="68"/>
      <c r="V102" s="68"/>
      <c r="W102" s="68"/>
      <c r="X102" s="68"/>
      <c r="Y102" s="68"/>
      <c r="Z102" s="68"/>
      <c r="AA102" s="68"/>
      <c r="AB102" s="68"/>
      <c r="AC102" s="68"/>
      <c r="AD102" s="68"/>
      <c r="AE102" s="68"/>
      <c r="AF102" s="68"/>
      <c r="AG102" s="68"/>
      <c r="AH102" s="68"/>
      <c r="AI102" s="68"/>
      <c r="AJ102" s="68"/>
      <c r="AK102" s="68"/>
      <c r="AL102" s="68"/>
      <c r="AM102" s="68"/>
      <c r="AN102" s="68"/>
      <c r="AO102" s="68"/>
      <c r="AP102" s="68"/>
      <c r="AQ102" s="68"/>
      <c r="AR102" s="68"/>
      <c r="AS102" s="68"/>
      <c r="AT102" s="68"/>
      <c r="AU102" s="68"/>
      <c r="AV102" s="68"/>
      <c r="AW102" s="68"/>
      <c r="AX102" s="68"/>
      <c r="AY102" s="68"/>
      <c r="AZ102" s="68"/>
      <c r="BA102" s="68"/>
      <c r="BB102" s="68"/>
      <c r="BC102" s="68"/>
      <c r="BD102" s="68"/>
      <c r="BE102" s="68"/>
      <c r="BF102" s="68"/>
      <c r="BG102" s="68"/>
      <c r="BH102" s="71"/>
      <c r="BJ102" s="68"/>
      <c r="BK102" s="68"/>
      <c r="BL102" s="68"/>
      <c r="BM102" s="68"/>
      <c r="BN102" s="68"/>
      <c r="BO102" s="68"/>
      <c r="BP102" s="68"/>
      <c r="BQ102" s="68"/>
      <c r="BR102" s="68"/>
      <c r="BS102" s="68"/>
      <c r="BT102" s="68"/>
      <c r="BU102" s="68"/>
      <c r="BV102" s="68"/>
      <c r="BW102" s="68"/>
      <c r="BX102" s="68"/>
      <c r="BY102" s="68"/>
      <c r="BZ102" s="68"/>
      <c r="CA102" s="68"/>
      <c r="CB102" s="68"/>
      <c r="CC102" s="68"/>
      <c r="CD102" s="68"/>
      <c r="CE102" s="68"/>
      <c r="CF102" s="68"/>
      <c r="CG102" s="68"/>
      <c r="CH102" s="68"/>
      <c r="CI102" s="68"/>
      <c r="CJ102" s="68"/>
      <c r="CK102" s="68"/>
      <c r="CL102" s="68"/>
      <c r="CM102" s="68"/>
      <c r="CN102" s="68"/>
      <c r="CO102" s="68"/>
      <c r="CP102" s="68"/>
      <c r="CQ102" s="68"/>
      <c r="CR102" s="68"/>
      <c r="CS102" s="68"/>
      <c r="CT102" s="68"/>
      <c r="CU102" s="68"/>
      <c r="CV102" s="68"/>
      <c r="CW102" s="68"/>
      <c r="CX102" s="68"/>
      <c r="CY102" s="68"/>
      <c r="CZ102" s="68"/>
      <c r="DA102" s="68"/>
      <c r="DB102" s="68"/>
      <c r="DC102" s="68"/>
      <c r="DD102" s="68"/>
      <c r="DE102" s="68"/>
      <c r="DF102" s="68"/>
      <c r="DG102" s="68"/>
      <c r="DH102" s="68"/>
      <c r="DI102" s="68"/>
      <c r="DJ102" s="68"/>
    </row>
    <row r="103" spans="5:114" x14ac:dyDescent="0.2">
      <c r="E103" s="68"/>
      <c r="G103" s="68"/>
      <c r="H103" s="68"/>
      <c r="I103" s="68"/>
      <c r="J103" s="68"/>
      <c r="K103" s="68"/>
      <c r="L103" s="68"/>
      <c r="M103" s="68"/>
      <c r="N103" s="68"/>
      <c r="O103" s="68"/>
      <c r="P103" s="68"/>
      <c r="Q103" s="68"/>
      <c r="R103" s="68"/>
      <c r="S103" s="68"/>
      <c r="T103" s="68"/>
      <c r="U103" s="68"/>
      <c r="V103" s="68"/>
      <c r="W103" s="68"/>
      <c r="X103" s="68"/>
      <c r="Y103" s="68"/>
      <c r="Z103" s="68"/>
      <c r="AA103" s="68"/>
      <c r="AB103" s="68"/>
      <c r="AC103" s="68"/>
      <c r="AD103" s="68"/>
      <c r="AE103" s="68"/>
      <c r="AF103" s="68"/>
      <c r="AG103" s="68"/>
      <c r="AH103" s="68"/>
      <c r="AI103" s="68"/>
      <c r="AJ103" s="68"/>
      <c r="AK103" s="68"/>
      <c r="AL103" s="68"/>
      <c r="AM103" s="68"/>
      <c r="AN103" s="68"/>
      <c r="AO103" s="68"/>
      <c r="AP103" s="68"/>
      <c r="AQ103" s="68"/>
      <c r="AR103" s="68"/>
      <c r="AS103" s="68"/>
      <c r="AT103" s="68"/>
      <c r="AU103" s="68"/>
      <c r="AV103" s="68"/>
      <c r="AW103" s="68"/>
      <c r="AX103" s="68"/>
      <c r="AY103" s="68"/>
      <c r="AZ103" s="68"/>
      <c r="BA103" s="68"/>
      <c r="BB103" s="68"/>
      <c r="BC103" s="68"/>
      <c r="BD103" s="68"/>
      <c r="BE103" s="68"/>
      <c r="BF103" s="68"/>
      <c r="BG103" s="68"/>
      <c r="BH103" s="71"/>
      <c r="BJ103" s="68"/>
      <c r="BK103" s="68"/>
      <c r="BL103" s="68"/>
      <c r="BM103" s="68"/>
      <c r="BN103" s="68"/>
      <c r="BO103" s="68"/>
      <c r="BP103" s="68"/>
      <c r="BQ103" s="68"/>
      <c r="BR103" s="68"/>
      <c r="BS103" s="68"/>
      <c r="BT103" s="68"/>
      <c r="BU103" s="68"/>
      <c r="BV103" s="68"/>
      <c r="BW103" s="68"/>
      <c r="BX103" s="68"/>
      <c r="BY103" s="68"/>
      <c r="BZ103" s="68"/>
      <c r="CA103" s="68"/>
      <c r="CB103" s="68"/>
      <c r="CC103" s="68"/>
      <c r="CD103" s="68"/>
      <c r="CE103" s="68"/>
      <c r="CF103" s="68"/>
      <c r="CG103" s="68"/>
      <c r="CH103" s="68"/>
      <c r="CI103" s="68"/>
      <c r="CJ103" s="68"/>
      <c r="CK103" s="68"/>
      <c r="CL103" s="68"/>
      <c r="CM103" s="68"/>
      <c r="CN103" s="68"/>
      <c r="CO103" s="68"/>
      <c r="CP103" s="68"/>
      <c r="CQ103" s="68"/>
      <c r="CR103" s="68"/>
      <c r="CS103" s="68"/>
      <c r="CT103" s="68"/>
      <c r="CU103" s="68"/>
      <c r="CV103" s="68"/>
      <c r="CW103" s="68"/>
      <c r="CX103" s="68"/>
      <c r="CY103" s="68"/>
      <c r="CZ103" s="68"/>
      <c r="DA103" s="68"/>
      <c r="DB103" s="68"/>
      <c r="DC103" s="68"/>
      <c r="DD103" s="68"/>
      <c r="DE103" s="68"/>
      <c r="DF103" s="68"/>
      <c r="DG103" s="68"/>
      <c r="DH103" s="68"/>
      <c r="DI103" s="68"/>
      <c r="DJ103" s="68"/>
    </row>
    <row r="104" spans="5:114" x14ac:dyDescent="0.2">
      <c r="E104" s="68"/>
      <c r="G104" s="68"/>
      <c r="H104" s="68"/>
      <c r="I104" s="68"/>
      <c r="J104" s="68"/>
      <c r="K104" s="68"/>
      <c r="L104" s="68"/>
      <c r="M104" s="68"/>
      <c r="N104" s="68"/>
      <c r="O104" s="68"/>
      <c r="P104" s="68"/>
      <c r="Q104" s="68"/>
      <c r="R104" s="68"/>
      <c r="S104" s="68"/>
      <c r="T104" s="68"/>
      <c r="U104" s="68"/>
      <c r="V104" s="68"/>
      <c r="W104" s="68"/>
      <c r="X104" s="68"/>
      <c r="Y104" s="68"/>
      <c r="Z104" s="68"/>
      <c r="AA104" s="68"/>
      <c r="AB104" s="68"/>
      <c r="AC104" s="68"/>
      <c r="AD104" s="68"/>
      <c r="AE104" s="68"/>
      <c r="AF104" s="68"/>
      <c r="AG104" s="68"/>
      <c r="AH104" s="68"/>
      <c r="AI104" s="68"/>
      <c r="AJ104" s="68"/>
      <c r="AK104" s="68"/>
      <c r="AL104" s="68"/>
      <c r="AM104" s="68"/>
      <c r="AN104" s="68"/>
      <c r="AO104" s="68"/>
      <c r="AP104" s="68"/>
      <c r="AQ104" s="68"/>
      <c r="AR104" s="68"/>
      <c r="AS104" s="68"/>
      <c r="AT104" s="68"/>
      <c r="AU104" s="68"/>
      <c r="AV104" s="68"/>
      <c r="AW104" s="68"/>
      <c r="AX104" s="68"/>
      <c r="AY104" s="68"/>
      <c r="AZ104" s="68"/>
      <c r="BA104" s="68"/>
      <c r="BB104" s="68"/>
      <c r="BC104" s="68"/>
      <c r="BD104" s="68"/>
      <c r="BE104" s="68"/>
      <c r="BF104" s="68"/>
      <c r="BG104" s="68"/>
      <c r="BH104" s="71"/>
      <c r="BJ104" s="68"/>
      <c r="BK104" s="68"/>
      <c r="BL104" s="68"/>
      <c r="BM104" s="68"/>
      <c r="BN104" s="68"/>
      <c r="BO104" s="68"/>
      <c r="BP104" s="68"/>
      <c r="BQ104" s="68"/>
      <c r="BR104" s="68"/>
      <c r="BS104" s="68"/>
      <c r="BT104" s="68"/>
      <c r="BU104" s="68"/>
      <c r="BV104" s="68"/>
      <c r="BW104" s="68"/>
      <c r="BX104" s="68"/>
      <c r="BY104" s="68"/>
      <c r="BZ104" s="68"/>
      <c r="CA104" s="68"/>
      <c r="CB104" s="68"/>
      <c r="CC104" s="68"/>
      <c r="CD104" s="68"/>
      <c r="CE104" s="68"/>
      <c r="CF104" s="68"/>
      <c r="CG104" s="68"/>
      <c r="CH104" s="68"/>
      <c r="CI104" s="68"/>
      <c r="CJ104" s="68"/>
      <c r="CK104" s="68"/>
      <c r="CL104" s="68"/>
      <c r="CM104" s="68"/>
      <c r="CN104" s="68"/>
      <c r="CO104" s="68"/>
      <c r="CP104" s="68"/>
      <c r="CQ104" s="68"/>
      <c r="CR104" s="68"/>
      <c r="CS104" s="68"/>
      <c r="CT104" s="68"/>
      <c r="CU104" s="68"/>
      <c r="CV104" s="68"/>
      <c r="CW104" s="68"/>
      <c r="CX104" s="68"/>
      <c r="CY104" s="68"/>
      <c r="CZ104" s="68"/>
      <c r="DA104" s="68"/>
      <c r="DB104" s="68"/>
      <c r="DC104" s="68"/>
      <c r="DD104" s="68"/>
      <c r="DE104" s="68"/>
      <c r="DF104" s="68"/>
      <c r="DG104" s="68"/>
      <c r="DH104" s="68"/>
      <c r="DI104" s="68"/>
      <c r="DJ104" s="68"/>
    </row>
    <row r="105" spans="5:114" x14ac:dyDescent="0.2">
      <c r="E105" s="68"/>
      <c r="G105" s="68"/>
      <c r="H105" s="68"/>
      <c r="I105" s="68"/>
      <c r="J105" s="68"/>
      <c r="K105" s="68"/>
      <c r="L105" s="68"/>
      <c r="M105" s="68"/>
      <c r="N105" s="68"/>
      <c r="O105" s="68"/>
      <c r="P105" s="68"/>
      <c r="Q105" s="68"/>
      <c r="R105" s="68"/>
      <c r="S105" s="68"/>
      <c r="T105" s="68"/>
      <c r="U105" s="68"/>
      <c r="V105" s="68"/>
      <c r="W105" s="68"/>
      <c r="X105" s="68"/>
      <c r="Y105" s="68"/>
      <c r="Z105" s="68"/>
      <c r="AA105" s="68"/>
      <c r="AB105" s="68"/>
      <c r="AC105" s="68"/>
      <c r="AD105" s="68"/>
      <c r="AE105" s="68"/>
      <c r="AF105" s="68"/>
      <c r="AG105" s="68"/>
      <c r="AH105" s="68"/>
      <c r="AI105" s="68"/>
      <c r="AJ105" s="68"/>
      <c r="AK105" s="68"/>
      <c r="AL105" s="68"/>
      <c r="AM105" s="68"/>
      <c r="AN105" s="68"/>
      <c r="AO105" s="68"/>
      <c r="AP105" s="68"/>
      <c r="AQ105" s="68"/>
      <c r="AR105" s="68"/>
      <c r="AS105" s="68"/>
      <c r="AT105" s="68"/>
      <c r="AU105" s="68"/>
      <c r="AV105" s="68"/>
      <c r="AW105" s="68"/>
      <c r="AX105" s="68"/>
      <c r="AY105" s="68"/>
      <c r="AZ105" s="68"/>
      <c r="BA105" s="68"/>
      <c r="BB105" s="68"/>
      <c r="BC105" s="68"/>
      <c r="BD105" s="68"/>
      <c r="BE105" s="68"/>
      <c r="BF105" s="68"/>
      <c r="BG105" s="68"/>
      <c r="BH105" s="71"/>
      <c r="BJ105" s="68"/>
      <c r="BK105" s="68"/>
      <c r="BL105" s="68"/>
      <c r="BM105" s="68"/>
      <c r="BN105" s="68"/>
      <c r="BO105" s="68"/>
      <c r="BP105" s="68"/>
      <c r="BQ105" s="68"/>
      <c r="BR105" s="68"/>
      <c r="BS105" s="68"/>
      <c r="BT105" s="68"/>
      <c r="BU105" s="68"/>
      <c r="BV105" s="68"/>
      <c r="BW105" s="68"/>
      <c r="BX105" s="68"/>
      <c r="BY105" s="68"/>
      <c r="BZ105" s="68"/>
      <c r="CA105" s="68"/>
      <c r="CB105" s="68"/>
      <c r="CC105" s="68"/>
      <c r="CD105" s="68"/>
      <c r="CE105" s="68"/>
      <c r="CF105" s="68"/>
      <c r="CG105" s="68"/>
      <c r="CH105" s="68"/>
      <c r="CI105" s="68"/>
      <c r="CJ105" s="68"/>
      <c r="CK105" s="68"/>
      <c r="CL105" s="68"/>
      <c r="CM105" s="68"/>
      <c r="CN105" s="68"/>
      <c r="CO105" s="68"/>
      <c r="CP105" s="68"/>
      <c r="CQ105" s="68"/>
      <c r="CR105" s="68"/>
      <c r="CS105" s="68"/>
      <c r="CT105" s="68"/>
      <c r="CU105" s="68"/>
      <c r="CV105" s="68"/>
      <c r="CW105" s="68"/>
      <c r="CX105" s="68"/>
      <c r="CY105" s="68"/>
      <c r="CZ105" s="68"/>
      <c r="DA105" s="68"/>
      <c r="DB105" s="68"/>
      <c r="DC105" s="68"/>
      <c r="DD105" s="68"/>
      <c r="DE105" s="68"/>
      <c r="DF105" s="68"/>
      <c r="DG105" s="68"/>
      <c r="DH105" s="68"/>
      <c r="DI105" s="68"/>
      <c r="DJ105" s="68"/>
    </row>
    <row r="106" spans="5:114" x14ac:dyDescent="0.2">
      <c r="E106" s="68"/>
      <c r="G106" s="68"/>
      <c r="H106" s="68"/>
      <c r="I106" s="68"/>
      <c r="J106" s="68"/>
      <c r="K106" s="68"/>
      <c r="L106" s="68"/>
      <c r="M106" s="68"/>
      <c r="N106" s="68"/>
      <c r="O106" s="68"/>
      <c r="P106" s="68"/>
      <c r="Q106" s="68"/>
      <c r="R106" s="68"/>
      <c r="S106" s="68"/>
      <c r="T106" s="68"/>
      <c r="U106" s="68"/>
      <c r="V106" s="68"/>
      <c r="W106" s="68"/>
      <c r="X106" s="68"/>
      <c r="Y106" s="68"/>
      <c r="Z106" s="68"/>
      <c r="AA106" s="68"/>
      <c r="AB106" s="68"/>
      <c r="AC106" s="68"/>
      <c r="AD106" s="68"/>
      <c r="AE106" s="68"/>
      <c r="AF106" s="68"/>
      <c r="AG106" s="68"/>
      <c r="AH106" s="68"/>
      <c r="AI106" s="68"/>
      <c r="AJ106" s="68"/>
      <c r="AK106" s="68"/>
      <c r="AL106" s="68"/>
      <c r="AM106" s="68"/>
      <c r="AN106" s="68"/>
      <c r="AO106" s="68"/>
      <c r="AP106" s="68"/>
      <c r="AQ106" s="68"/>
      <c r="AR106" s="68"/>
      <c r="AS106" s="68"/>
      <c r="AT106" s="68"/>
      <c r="AU106" s="68"/>
      <c r="AV106" s="68"/>
      <c r="AW106" s="68"/>
      <c r="AX106" s="68"/>
      <c r="AY106" s="68"/>
      <c r="AZ106" s="68"/>
      <c r="BA106" s="68"/>
      <c r="BB106" s="68"/>
      <c r="BC106" s="68"/>
      <c r="BD106" s="68"/>
      <c r="BE106" s="68"/>
      <c r="BF106" s="68"/>
      <c r="BG106" s="68"/>
      <c r="BH106" s="71"/>
      <c r="BJ106" s="68"/>
      <c r="BK106" s="68"/>
      <c r="BL106" s="68"/>
      <c r="BM106" s="68"/>
      <c r="BN106" s="68"/>
      <c r="BO106" s="68"/>
      <c r="BP106" s="68"/>
      <c r="BQ106" s="68"/>
      <c r="BR106" s="68"/>
      <c r="BS106" s="68"/>
      <c r="BT106" s="68"/>
      <c r="BU106" s="68"/>
      <c r="BV106" s="68"/>
      <c r="BW106" s="68"/>
      <c r="BX106" s="68"/>
      <c r="BY106" s="68"/>
      <c r="BZ106" s="68"/>
      <c r="CA106" s="68"/>
      <c r="CB106" s="68"/>
      <c r="CC106" s="68"/>
      <c r="CD106" s="68"/>
      <c r="CE106" s="68"/>
      <c r="CF106" s="68"/>
      <c r="CG106" s="68"/>
      <c r="CH106" s="68"/>
      <c r="CI106" s="68"/>
      <c r="CJ106" s="68"/>
      <c r="CK106" s="68"/>
      <c r="CL106" s="68"/>
      <c r="CM106" s="68"/>
      <c r="CN106" s="68"/>
      <c r="CO106" s="68"/>
      <c r="CP106" s="68"/>
      <c r="CQ106" s="68"/>
      <c r="CR106" s="68"/>
      <c r="CS106" s="68"/>
      <c r="CT106" s="68"/>
      <c r="CU106" s="68"/>
      <c r="CV106" s="68"/>
      <c r="CW106" s="68"/>
      <c r="CX106" s="68"/>
      <c r="CY106" s="68"/>
      <c r="CZ106" s="68"/>
      <c r="DA106" s="68"/>
      <c r="DB106" s="68"/>
      <c r="DC106" s="68"/>
      <c r="DD106" s="68"/>
      <c r="DE106" s="68"/>
      <c r="DF106" s="68"/>
      <c r="DG106" s="68"/>
      <c r="DH106" s="68"/>
      <c r="DI106" s="68"/>
      <c r="DJ106" s="68"/>
    </row>
    <row r="107" spans="5:114" x14ac:dyDescent="0.2">
      <c r="E107" s="68"/>
      <c r="G107" s="68"/>
      <c r="H107" s="68"/>
      <c r="I107" s="68"/>
      <c r="J107" s="68"/>
      <c r="K107" s="68"/>
      <c r="L107" s="68"/>
      <c r="M107" s="68"/>
      <c r="N107" s="68"/>
      <c r="O107" s="68"/>
      <c r="P107" s="68"/>
      <c r="Q107" s="68"/>
      <c r="R107" s="68"/>
      <c r="S107" s="68"/>
      <c r="T107" s="68"/>
      <c r="U107" s="68"/>
      <c r="V107" s="68"/>
      <c r="W107" s="68"/>
      <c r="X107" s="68"/>
      <c r="Y107" s="68"/>
      <c r="Z107" s="68"/>
      <c r="AA107" s="68"/>
      <c r="AB107" s="68"/>
      <c r="AC107" s="68"/>
      <c r="AD107" s="68"/>
      <c r="AE107" s="68"/>
      <c r="AF107" s="68"/>
      <c r="AG107" s="68"/>
      <c r="AH107" s="68"/>
      <c r="AI107" s="68"/>
      <c r="AJ107" s="68"/>
      <c r="AK107" s="68"/>
      <c r="AL107" s="68"/>
      <c r="AM107" s="68"/>
      <c r="AN107" s="68"/>
      <c r="AO107" s="68"/>
      <c r="AP107" s="68"/>
      <c r="AQ107" s="68"/>
      <c r="AR107" s="68"/>
      <c r="AS107" s="68"/>
      <c r="AT107" s="68"/>
      <c r="AU107" s="68"/>
      <c r="AV107" s="68"/>
      <c r="AW107" s="68"/>
      <c r="AX107" s="68"/>
      <c r="AY107" s="68"/>
      <c r="AZ107" s="68"/>
      <c r="BA107" s="68"/>
      <c r="BB107" s="68"/>
      <c r="BC107" s="68"/>
      <c r="BD107" s="68"/>
      <c r="BE107" s="68"/>
      <c r="BF107" s="68"/>
      <c r="BG107" s="68"/>
      <c r="BH107" s="71"/>
      <c r="BJ107" s="68"/>
      <c r="BK107" s="68"/>
      <c r="BL107" s="68"/>
      <c r="BM107" s="68"/>
      <c r="BN107" s="68"/>
      <c r="BO107" s="68"/>
      <c r="BP107" s="68"/>
      <c r="BQ107" s="68"/>
      <c r="BR107" s="68"/>
      <c r="BS107" s="68"/>
      <c r="BT107" s="68"/>
      <c r="BU107" s="68"/>
      <c r="BV107" s="68"/>
      <c r="BW107" s="68"/>
      <c r="BX107" s="68"/>
      <c r="BY107" s="68"/>
      <c r="BZ107" s="68"/>
      <c r="CA107" s="68"/>
      <c r="CB107" s="68"/>
      <c r="CC107" s="68"/>
      <c r="CD107" s="68"/>
      <c r="CE107" s="68"/>
      <c r="CF107" s="68"/>
      <c r="CG107" s="68"/>
      <c r="CH107" s="68"/>
      <c r="CI107" s="68"/>
      <c r="CJ107" s="68"/>
      <c r="CK107" s="68"/>
      <c r="CL107" s="68"/>
      <c r="CM107" s="68"/>
      <c r="CN107" s="68"/>
      <c r="CO107" s="68"/>
      <c r="CP107" s="68"/>
      <c r="CQ107" s="68"/>
      <c r="CR107" s="68"/>
      <c r="CS107" s="68"/>
      <c r="CT107" s="68"/>
      <c r="CU107" s="68"/>
      <c r="CV107" s="68"/>
      <c r="CW107" s="68"/>
      <c r="CX107" s="68"/>
      <c r="CY107" s="68"/>
      <c r="CZ107" s="68"/>
      <c r="DA107" s="68"/>
      <c r="DB107" s="68"/>
      <c r="DC107" s="68"/>
      <c r="DD107" s="68"/>
      <c r="DE107" s="68"/>
      <c r="DF107" s="68"/>
      <c r="DG107" s="68"/>
      <c r="DH107" s="68"/>
      <c r="DI107" s="68"/>
      <c r="DJ107" s="68"/>
    </row>
    <row r="108" spans="5:114" x14ac:dyDescent="0.2">
      <c r="E108" s="68"/>
      <c r="G108" s="68"/>
      <c r="H108" s="68"/>
      <c r="I108" s="68"/>
      <c r="J108" s="68"/>
      <c r="K108" s="68"/>
      <c r="L108" s="68"/>
      <c r="M108" s="68"/>
      <c r="N108" s="68"/>
      <c r="O108" s="68"/>
      <c r="P108" s="68"/>
      <c r="Q108" s="68"/>
      <c r="R108" s="68"/>
      <c r="S108" s="68"/>
      <c r="T108" s="68"/>
      <c r="U108" s="68"/>
      <c r="V108" s="68"/>
      <c r="W108" s="68"/>
      <c r="X108" s="68"/>
      <c r="Y108" s="68"/>
      <c r="Z108" s="68"/>
      <c r="AA108" s="68"/>
      <c r="AB108" s="68"/>
      <c r="AC108" s="68"/>
      <c r="AD108" s="68"/>
      <c r="AE108" s="68"/>
      <c r="AF108" s="68"/>
      <c r="AG108" s="68"/>
      <c r="AH108" s="68"/>
      <c r="AI108" s="68"/>
      <c r="AJ108" s="68"/>
      <c r="AK108" s="68"/>
      <c r="AL108" s="68"/>
      <c r="AM108" s="68"/>
      <c r="AN108" s="68"/>
      <c r="AO108" s="68"/>
      <c r="AP108" s="68"/>
      <c r="AQ108" s="68"/>
      <c r="AR108" s="68"/>
      <c r="AS108" s="68"/>
      <c r="AT108" s="68"/>
      <c r="AU108" s="68"/>
      <c r="AV108" s="68"/>
      <c r="AW108" s="68"/>
      <c r="AX108" s="68"/>
      <c r="AY108" s="68"/>
      <c r="AZ108" s="68"/>
      <c r="BA108" s="68"/>
      <c r="BB108" s="68"/>
      <c r="BC108" s="68"/>
      <c r="BD108" s="68"/>
      <c r="BE108" s="68"/>
      <c r="BF108" s="68"/>
      <c r="BG108" s="68"/>
      <c r="BH108" s="71"/>
      <c r="BJ108" s="68"/>
      <c r="BK108" s="68"/>
      <c r="BL108" s="68"/>
      <c r="BM108" s="68"/>
      <c r="BN108" s="68"/>
      <c r="BO108" s="68"/>
      <c r="BP108" s="68"/>
      <c r="BQ108" s="68"/>
      <c r="BR108" s="68"/>
      <c r="BS108" s="68"/>
      <c r="BT108" s="68"/>
      <c r="BU108" s="68"/>
      <c r="BV108" s="68"/>
      <c r="BW108" s="68"/>
      <c r="BX108" s="68"/>
      <c r="BY108" s="68"/>
      <c r="BZ108" s="68"/>
      <c r="CA108" s="68"/>
      <c r="CB108" s="68"/>
      <c r="CC108" s="68"/>
      <c r="CD108" s="68"/>
      <c r="CE108" s="68"/>
      <c r="CF108" s="68"/>
      <c r="CG108" s="68"/>
      <c r="CH108" s="68"/>
      <c r="CI108" s="68"/>
      <c r="CJ108" s="68"/>
      <c r="CK108" s="68"/>
      <c r="CL108" s="68"/>
      <c r="CM108" s="68"/>
      <c r="CN108" s="68"/>
      <c r="CO108" s="68"/>
      <c r="CP108" s="68"/>
      <c r="CQ108" s="68"/>
      <c r="CR108" s="68"/>
      <c r="CS108" s="68"/>
      <c r="CT108" s="68"/>
      <c r="CU108" s="68"/>
      <c r="CV108" s="68"/>
      <c r="CW108" s="68"/>
      <c r="CX108" s="68"/>
      <c r="CY108" s="68"/>
      <c r="CZ108" s="68"/>
      <c r="DA108" s="68"/>
      <c r="DB108" s="68"/>
      <c r="DC108" s="68"/>
      <c r="DD108" s="68"/>
      <c r="DE108" s="68"/>
      <c r="DF108" s="68"/>
      <c r="DG108" s="68"/>
      <c r="DH108" s="68"/>
      <c r="DI108" s="68"/>
      <c r="DJ108" s="68"/>
    </row>
    <row r="109" spans="5:114" x14ac:dyDescent="0.2">
      <c r="E109" s="68"/>
      <c r="G109" s="68"/>
      <c r="H109" s="68"/>
      <c r="I109" s="68"/>
      <c r="J109" s="68"/>
      <c r="K109" s="68"/>
      <c r="L109" s="68"/>
      <c r="M109" s="68"/>
      <c r="N109" s="68"/>
      <c r="O109" s="68"/>
      <c r="P109" s="68"/>
      <c r="Q109" s="68"/>
      <c r="R109" s="68"/>
      <c r="S109" s="68"/>
      <c r="T109" s="68"/>
      <c r="U109" s="68"/>
      <c r="V109" s="68"/>
      <c r="W109" s="68"/>
      <c r="X109" s="68"/>
      <c r="Y109" s="68"/>
      <c r="Z109" s="68"/>
      <c r="AA109" s="68"/>
      <c r="AB109" s="68"/>
      <c r="AC109" s="68"/>
      <c r="AD109" s="68"/>
      <c r="AE109" s="68"/>
      <c r="AF109" s="68"/>
      <c r="AG109" s="68"/>
      <c r="AH109" s="68"/>
      <c r="AI109" s="68"/>
      <c r="AJ109" s="68"/>
      <c r="AK109" s="68"/>
      <c r="AL109" s="68"/>
      <c r="AM109" s="68"/>
      <c r="AN109" s="68"/>
      <c r="AO109" s="68"/>
      <c r="AP109" s="68"/>
      <c r="AQ109" s="68"/>
      <c r="AR109" s="68"/>
      <c r="AS109" s="68"/>
      <c r="AT109" s="68"/>
      <c r="AU109" s="68"/>
      <c r="AV109" s="68"/>
      <c r="AW109" s="68"/>
      <c r="AX109" s="68"/>
      <c r="AY109" s="68"/>
      <c r="AZ109" s="68"/>
      <c r="BA109" s="68"/>
      <c r="BB109" s="68"/>
      <c r="BC109" s="68"/>
      <c r="BD109" s="68"/>
      <c r="BE109" s="68"/>
      <c r="BF109" s="68"/>
      <c r="BG109" s="68"/>
      <c r="BH109" s="71"/>
      <c r="BJ109" s="68"/>
      <c r="BK109" s="68"/>
      <c r="BL109" s="68"/>
      <c r="BM109" s="68"/>
      <c r="BN109" s="68"/>
      <c r="BO109" s="68"/>
      <c r="BP109" s="68"/>
      <c r="BQ109" s="68"/>
      <c r="BR109" s="68"/>
      <c r="BS109" s="68"/>
      <c r="BT109" s="68"/>
      <c r="BU109" s="68"/>
      <c r="BV109" s="68"/>
      <c r="BW109" s="68"/>
      <c r="BX109" s="68"/>
      <c r="BY109" s="68"/>
      <c r="BZ109" s="68"/>
      <c r="CA109" s="68"/>
      <c r="CB109" s="68"/>
      <c r="CC109" s="68"/>
      <c r="CD109" s="68"/>
      <c r="CE109" s="68"/>
      <c r="CF109" s="68"/>
      <c r="CG109" s="68"/>
      <c r="CH109" s="68"/>
      <c r="CI109" s="68"/>
      <c r="CJ109" s="68"/>
      <c r="CK109" s="68"/>
      <c r="CL109" s="68"/>
      <c r="CM109" s="68"/>
      <c r="CN109" s="68"/>
      <c r="CO109" s="68"/>
      <c r="CP109" s="68"/>
      <c r="CQ109" s="68"/>
      <c r="CR109" s="68"/>
      <c r="CS109" s="68"/>
      <c r="CT109" s="68"/>
      <c r="CU109" s="68"/>
      <c r="CV109" s="68"/>
      <c r="CW109" s="68"/>
      <c r="CX109" s="68"/>
      <c r="CY109" s="68"/>
      <c r="CZ109" s="68"/>
      <c r="DA109" s="68"/>
      <c r="DB109" s="68"/>
      <c r="DC109" s="68"/>
      <c r="DD109" s="68"/>
      <c r="DE109" s="68"/>
      <c r="DF109" s="68"/>
      <c r="DG109" s="68"/>
      <c r="DH109" s="68"/>
      <c r="DI109" s="68"/>
      <c r="DJ109" s="68"/>
    </row>
    <row r="110" spans="5:114" x14ac:dyDescent="0.2">
      <c r="E110" s="68"/>
      <c r="G110" s="68"/>
      <c r="H110" s="68"/>
      <c r="I110" s="68"/>
      <c r="J110" s="68"/>
      <c r="K110" s="68"/>
      <c r="L110" s="68"/>
      <c r="M110" s="68"/>
      <c r="N110" s="68"/>
      <c r="O110" s="68"/>
      <c r="P110" s="68"/>
      <c r="Q110" s="68"/>
      <c r="R110" s="68"/>
      <c r="S110" s="68"/>
      <c r="T110" s="68"/>
      <c r="U110" s="68"/>
      <c r="V110" s="68"/>
      <c r="W110" s="68"/>
      <c r="X110" s="68"/>
      <c r="Y110" s="68"/>
      <c r="Z110" s="68"/>
      <c r="AA110" s="68"/>
      <c r="AB110" s="68"/>
      <c r="AC110" s="68"/>
      <c r="AD110" s="68"/>
      <c r="AE110" s="68"/>
      <c r="AF110" s="68"/>
      <c r="AG110" s="68"/>
      <c r="AH110" s="68"/>
      <c r="AI110" s="68"/>
      <c r="AJ110" s="68"/>
      <c r="AK110" s="68"/>
      <c r="AL110" s="68"/>
      <c r="AM110" s="68"/>
      <c r="AN110" s="68"/>
      <c r="AO110" s="68"/>
      <c r="AP110" s="68"/>
      <c r="AQ110" s="68"/>
      <c r="AR110" s="68"/>
      <c r="AS110" s="68"/>
      <c r="AT110" s="68"/>
      <c r="AU110" s="68"/>
      <c r="AV110" s="68"/>
      <c r="AW110" s="68"/>
      <c r="AX110" s="68"/>
      <c r="AY110" s="68"/>
      <c r="AZ110" s="68"/>
      <c r="BA110" s="68"/>
      <c r="BB110" s="68"/>
      <c r="BC110" s="68"/>
      <c r="BD110" s="68"/>
      <c r="BE110" s="68"/>
      <c r="BF110" s="68"/>
      <c r="BG110" s="68"/>
      <c r="BH110" s="71"/>
      <c r="BJ110" s="68"/>
      <c r="BK110" s="68"/>
      <c r="BL110" s="68"/>
      <c r="BM110" s="68"/>
      <c r="BN110" s="68"/>
      <c r="BO110" s="68"/>
      <c r="BP110" s="68"/>
      <c r="BQ110" s="68"/>
      <c r="BR110" s="68"/>
      <c r="BS110" s="68"/>
      <c r="BT110" s="68"/>
      <c r="BU110" s="68"/>
      <c r="BV110" s="68"/>
      <c r="BW110" s="68"/>
      <c r="BX110" s="68"/>
      <c r="BY110" s="68"/>
      <c r="BZ110" s="68"/>
      <c r="CA110" s="68"/>
      <c r="CB110" s="68"/>
      <c r="CC110" s="68"/>
      <c r="CD110" s="68"/>
      <c r="CE110" s="68"/>
      <c r="CF110" s="68"/>
      <c r="CG110" s="68"/>
      <c r="CH110" s="68"/>
      <c r="CI110" s="68"/>
      <c r="CJ110" s="68"/>
      <c r="CK110" s="68"/>
      <c r="CL110" s="68"/>
      <c r="CM110" s="68"/>
      <c r="CN110" s="68"/>
      <c r="CO110" s="68"/>
      <c r="CP110" s="68"/>
      <c r="CQ110" s="68"/>
      <c r="CR110" s="68"/>
      <c r="CS110" s="68"/>
      <c r="CT110" s="68"/>
      <c r="CU110" s="68"/>
      <c r="CV110" s="68"/>
      <c r="CW110" s="68"/>
      <c r="CX110" s="68"/>
      <c r="CY110" s="68"/>
      <c r="CZ110" s="68"/>
      <c r="DA110" s="68"/>
      <c r="DB110" s="68"/>
      <c r="DC110" s="68"/>
      <c r="DD110" s="68"/>
      <c r="DE110" s="68"/>
      <c r="DF110" s="68"/>
      <c r="DG110" s="68"/>
      <c r="DH110" s="68"/>
      <c r="DI110" s="68"/>
      <c r="DJ110" s="68"/>
    </row>
    <row r="111" spans="5:114" x14ac:dyDescent="0.2">
      <c r="E111" s="68"/>
      <c r="G111" s="68"/>
      <c r="H111" s="68"/>
      <c r="I111" s="68"/>
      <c r="J111" s="68"/>
      <c r="K111" s="68"/>
      <c r="L111" s="68"/>
      <c r="M111" s="68"/>
      <c r="N111" s="68"/>
      <c r="O111" s="68"/>
      <c r="P111" s="68"/>
      <c r="Q111" s="68"/>
      <c r="R111" s="68"/>
      <c r="S111" s="68"/>
      <c r="T111" s="68"/>
      <c r="U111" s="68"/>
      <c r="V111" s="68"/>
      <c r="W111" s="68"/>
      <c r="X111" s="68"/>
      <c r="Y111" s="68"/>
      <c r="Z111" s="68"/>
      <c r="AA111" s="68"/>
      <c r="AB111" s="68"/>
      <c r="AC111" s="68"/>
      <c r="AD111" s="68"/>
      <c r="AE111" s="68"/>
      <c r="AF111" s="68"/>
      <c r="AG111" s="68"/>
      <c r="AH111" s="68"/>
      <c r="AI111" s="68"/>
      <c r="AJ111" s="68"/>
      <c r="AK111" s="68"/>
      <c r="AL111" s="68"/>
      <c r="AM111" s="68"/>
      <c r="AN111" s="68"/>
      <c r="AO111" s="68"/>
      <c r="AP111" s="68"/>
      <c r="AQ111" s="68"/>
      <c r="AR111" s="68"/>
      <c r="AS111" s="68"/>
      <c r="AT111" s="68"/>
      <c r="AU111" s="68"/>
      <c r="AV111" s="68"/>
      <c r="AW111" s="68"/>
      <c r="AX111" s="68"/>
      <c r="AY111" s="68"/>
      <c r="AZ111" s="68"/>
      <c r="BA111" s="68"/>
      <c r="BB111" s="68"/>
      <c r="BC111" s="68"/>
      <c r="BD111" s="68"/>
      <c r="BE111" s="68"/>
      <c r="BF111" s="68"/>
      <c r="BG111" s="68"/>
      <c r="BH111" s="71"/>
      <c r="BJ111" s="68"/>
      <c r="BK111" s="68"/>
      <c r="BL111" s="68"/>
      <c r="BM111" s="68"/>
      <c r="BN111" s="68"/>
      <c r="BO111" s="68"/>
      <c r="BP111" s="68"/>
      <c r="BQ111" s="68"/>
      <c r="BR111" s="68"/>
      <c r="BS111" s="68"/>
      <c r="BT111" s="68"/>
      <c r="BU111" s="68"/>
      <c r="BV111" s="68"/>
      <c r="BW111" s="68"/>
      <c r="BX111" s="68"/>
      <c r="BY111" s="68"/>
      <c r="BZ111" s="68"/>
      <c r="CA111" s="68"/>
      <c r="CB111" s="68"/>
      <c r="CC111" s="68"/>
      <c r="CD111" s="68"/>
      <c r="CE111" s="68"/>
      <c r="CF111" s="68"/>
      <c r="CG111" s="68"/>
      <c r="CH111" s="68"/>
      <c r="CI111" s="68"/>
      <c r="CJ111" s="68"/>
      <c r="CK111" s="68"/>
      <c r="CL111" s="68"/>
      <c r="CM111" s="68"/>
      <c r="CN111" s="68"/>
      <c r="CO111" s="68"/>
      <c r="CP111" s="68"/>
      <c r="CQ111" s="68"/>
      <c r="CR111" s="68"/>
      <c r="CS111" s="68"/>
      <c r="CT111" s="68"/>
      <c r="CU111" s="68"/>
      <c r="CV111" s="68"/>
      <c r="CW111" s="68"/>
      <c r="CX111" s="68"/>
      <c r="CY111" s="68"/>
      <c r="CZ111" s="68"/>
      <c r="DA111" s="68"/>
      <c r="DB111" s="68"/>
      <c r="DC111" s="68"/>
      <c r="DD111" s="68"/>
      <c r="DE111" s="68"/>
      <c r="DF111" s="68"/>
      <c r="DG111" s="68"/>
      <c r="DH111" s="68"/>
      <c r="DI111" s="68"/>
      <c r="DJ111" s="68"/>
    </row>
    <row r="112" spans="5:114" x14ac:dyDescent="0.2">
      <c r="E112" s="68"/>
      <c r="G112" s="68"/>
      <c r="H112" s="68"/>
      <c r="I112" s="68"/>
      <c r="J112" s="68"/>
      <c r="K112" s="68"/>
      <c r="L112" s="68"/>
      <c r="M112" s="68"/>
      <c r="N112" s="68"/>
      <c r="O112" s="68"/>
      <c r="P112" s="68"/>
      <c r="Q112" s="68"/>
      <c r="R112" s="68"/>
      <c r="S112" s="68"/>
      <c r="T112" s="68"/>
      <c r="U112" s="68"/>
      <c r="V112" s="68"/>
      <c r="W112" s="68"/>
      <c r="X112" s="68"/>
      <c r="Y112" s="68"/>
      <c r="Z112" s="68"/>
      <c r="AA112" s="68"/>
      <c r="AB112" s="68"/>
      <c r="AC112" s="68"/>
      <c r="AD112" s="68"/>
      <c r="AE112" s="68"/>
      <c r="AF112" s="68"/>
      <c r="AG112" s="68"/>
      <c r="AH112" s="68"/>
      <c r="AI112" s="68"/>
      <c r="AJ112" s="68"/>
      <c r="AK112" s="68"/>
      <c r="AL112" s="68"/>
      <c r="AM112" s="68"/>
      <c r="AN112" s="68"/>
      <c r="AO112" s="68"/>
      <c r="AP112" s="68"/>
      <c r="AQ112" s="68"/>
      <c r="AR112" s="68"/>
      <c r="AS112" s="68"/>
      <c r="AT112" s="68"/>
      <c r="AU112" s="68"/>
      <c r="AV112" s="68"/>
      <c r="AW112" s="68"/>
      <c r="AX112" s="68"/>
      <c r="AY112" s="68"/>
      <c r="AZ112" s="68"/>
      <c r="BA112" s="68"/>
      <c r="BB112" s="68"/>
      <c r="BC112" s="68"/>
      <c r="BD112" s="68"/>
      <c r="BE112" s="68"/>
      <c r="BF112" s="68"/>
      <c r="BG112" s="68"/>
      <c r="BH112" s="71"/>
      <c r="BJ112" s="68"/>
      <c r="BK112" s="68"/>
      <c r="BL112" s="68"/>
      <c r="BM112" s="68"/>
      <c r="BN112" s="68"/>
      <c r="BO112" s="68"/>
      <c r="BP112" s="68"/>
      <c r="BQ112" s="68"/>
      <c r="BR112" s="68"/>
      <c r="BS112" s="68"/>
      <c r="BT112" s="68"/>
      <c r="BU112" s="68"/>
      <c r="BV112" s="68"/>
      <c r="BW112" s="68"/>
      <c r="BX112" s="68"/>
      <c r="BY112" s="68"/>
      <c r="BZ112" s="68"/>
      <c r="CA112" s="68"/>
      <c r="CB112" s="68"/>
      <c r="CC112" s="68"/>
      <c r="CD112" s="68"/>
      <c r="CE112" s="68"/>
      <c r="CF112" s="68"/>
      <c r="CG112" s="68"/>
      <c r="CH112" s="68"/>
      <c r="CI112" s="68"/>
      <c r="CJ112" s="68"/>
      <c r="CK112" s="68"/>
      <c r="CL112" s="68"/>
      <c r="CM112" s="68"/>
      <c r="CN112" s="68"/>
      <c r="CO112" s="68"/>
      <c r="CP112" s="68"/>
      <c r="CQ112" s="68"/>
      <c r="CR112" s="68"/>
      <c r="CS112" s="68"/>
      <c r="CT112" s="68"/>
      <c r="CU112" s="68"/>
      <c r="CV112" s="68"/>
      <c r="CW112" s="68"/>
      <c r="CX112" s="68"/>
      <c r="CY112" s="68"/>
      <c r="CZ112" s="68"/>
      <c r="DA112" s="68"/>
      <c r="DB112" s="68"/>
      <c r="DC112" s="68"/>
      <c r="DD112" s="68"/>
      <c r="DE112" s="68"/>
      <c r="DF112" s="68"/>
      <c r="DG112" s="68"/>
      <c r="DH112" s="68"/>
      <c r="DI112" s="68"/>
      <c r="DJ112" s="68"/>
    </row>
    <row r="113" spans="5:114" x14ac:dyDescent="0.2">
      <c r="E113" s="68"/>
      <c r="G113" s="68"/>
      <c r="H113" s="68"/>
      <c r="I113" s="68"/>
      <c r="J113" s="68"/>
      <c r="K113" s="68"/>
      <c r="L113" s="68"/>
      <c r="M113" s="68"/>
      <c r="N113" s="68"/>
      <c r="O113" s="68"/>
      <c r="P113" s="68"/>
      <c r="Q113" s="68"/>
      <c r="R113" s="68"/>
      <c r="S113" s="68"/>
      <c r="T113" s="68"/>
      <c r="U113" s="68"/>
      <c r="V113" s="68"/>
      <c r="W113" s="68"/>
      <c r="X113" s="68"/>
      <c r="Y113" s="68"/>
      <c r="Z113" s="68"/>
      <c r="AA113" s="68"/>
      <c r="AB113" s="68"/>
      <c r="AC113" s="68"/>
      <c r="AD113" s="68"/>
      <c r="AE113" s="68"/>
      <c r="AF113" s="68"/>
      <c r="AG113" s="68"/>
      <c r="AH113" s="68"/>
      <c r="AI113" s="68"/>
      <c r="AJ113" s="68"/>
      <c r="AK113" s="68"/>
      <c r="AL113" s="68"/>
      <c r="AM113" s="68"/>
      <c r="AN113" s="68"/>
      <c r="AO113" s="68"/>
      <c r="AP113" s="68"/>
      <c r="AQ113" s="68"/>
      <c r="AR113" s="68"/>
      <c r="AS113" s="68"/>
      <c r="AT113" s="68"/>
      <c r="AU113" s="68"/>
      <c r="AV113" s="68"/>
      <c r="AW113" s="68"/>
      <c r="AX113" s="68"/>
      <c r="AY113" s="68"/>
      <c r="AZ113" s="68"/>
      <c r="BA113" s="68"/>
      <c r="BB113" s="68"/>
      <c r="BC113" s="68"/>
      <c r="BD113" s="68"/>
      <c r="BE113" s="68"/>
      <c r="BF113" s="68"/>
      <c r="BG113" s="68"/>
      <c r="BH113" s="71"/>
      <c r="BJ113" s="68"/>
      <c r="BK113" s="68"/>
      <c r="BL113" s="68"/>
      <c r="BM113" s="68"/>
      <c r="BN113" s="68"/>
      <c r="BO113" s="68"/>
      <c r="BP113" s="68"/>
      <c r="BQ113" s="68"/>
      <c r="BR113" s="68"/>
      <c r="BS113" s="68"/>
      <c r="BT113" s="68"/>
      <c r="BU113" s="68"/>
      <c r="BV113" s="68"/>
      <c r="BW113" s="68"/>
      <c r="BX113" s="68"/>
      <c r="BY113" s="68"/>
      <c r="BZ113" s="68"/>
      <c r="CA113" s="68"/>
      <c r="CB113" s="68"/>
      <c r="CC113" s="68"/>
      <c r="CD113" s="68"/>
      <c r="CE113" s="68"/>
      <c r="CF113" s="68"/>
      <c r="CG113" s="68"/>
      <c r="CH113" s="68"/>
      <c r="CI113" s="68"/>
      <c r="CJ113" s="68"/>
      <c r="CK113" s="68"/>
      <c r="CL113" s="68"/>
      <c r="CM113" s="68"/>
      <c r="CN113" s="68"/>
      <c r="CO113" s="68"/>
      <c r="CP113" s="68"/>
      <c r="CQ113" s="68"/>
      <c r="CR113" s="68"/>
      <c r="CS113" s="68"/>
      <c r="CT113" s="68"/>
      <c r="CU113" s="68"/>
      <c r="CV113" s="68"/>
      <c r="CW113" s="68"/>
      <c r="CX113" s="68"/>
      <c r="CY113" s="68"/>
      <c r="CZ113" s="68"/>
      <c r="DA113" s="68"/>
      <c r="DB113" s="68"/>
      <c r="DC113" s="68"/>
      <c r="DD113" s="68"/>
      <c r="DE113" s="68"/>
      <c r="DF113" s="68"/>
      <c r="DG113" s="68"/>
      <c r="DH113" s="68"/>
      <c r="DI113" s="68"/>
      <c r="DJ113" s="68"/>
    </row>
    <row r="114" spans="5:114" x14ac:dyDescent="0.2">
      <c r="E114" s="68"/>
      <c r="G114" s="68"/>
      <c r="H114" s="68"/>
      <c r="I114" s="68"/>
      <c r="J114" s="68"/>
      <c r="K114" s="68"/>
      <c r="L114" s="68"/>
      <c r="M114" s="68"/>
      <c r="N114" s="68"/>
      <c r="O114" s="68"/>
      <c r="P114" s="68"/>
      <c r="Q114" s="68"/>
      <c r="R114" s="68"/>
      <c r="S114" s="68"/>
      <c r="T114" s="68"/>
      <c r="U114" s="68"/>
      <c r="V114" s="68"/>
      <c r="W114" s="68"/>
      <c r="X114" s="68"/>
      <c r="Y114" s="68"/>
      <c r="Z114" s="68"/>
      <c r="AA114" s="68"/>
      <c r="AB114" s="68"/>
      <c r="AC114" s="68"/>
      <c r="AD114" s="68"/>
      <c r="AE114" s="68"/>
      <c r="AF114" s="68"/>
      <c r="AG114" s="68"/>
      <c r="AH114" s="68"/>
      <c r="AI114" s="68"/>
      <c r="AJ114" s="68"/>
      <c r="AK114" s="68"/>
      <c r="AL114" s="68"/>
      <c r="AM114" s="68"/>
      <c r="AN114" s="68"/>
      <c r="AO114" s="68"/>
      <c r="AP114" s="68"/>
      <c r="AQ114" s="68"/>
      <c r="AR114" s="68"/>
      <c r="AS114" s="68"/>
      <c r="AT114" s="68"/>
      <c r="AU114" s="68"/>
      <c r="AV114" s="68"/>
      <c r="AW114" s="68"/>
      <c r="AX114" s="68"/>
      <c r="AY114" s="68"/>
      <c r="AZ114" s="68"/>
      <c r="BA114" s="68"/>
      <c r="BB114" s="68"/>
      <c r="BC114" s="68"/>
      <c r="BD114" s="68"/>
      <c r="BE114" s="68"/>
      <c r="BF114" s="68"/>
      <c r="BG114" s="68"/>
      <c r="BH114" s="71"/>
      <c r="BJ114" s="68"/>
      <c r="BK114" s="68"/>
      <c r="BL114" s="68"/>
      <c r="BM114" s="68"/>
      <c r="BN114" s="68"/>
      <c r="BO114" s="68"/>
      <c r="BP114" s="68"/>
      <c r="BQ114" s="68"/>
      <c r="BR114" s="68"/>
      <c r="BS114" s="68"/>
      <c r="BT114" s="68"/>
      <c r="BU114" s="68"/>
      <c r="BV114" s="68"/>
      <c r="BW114" s="68"/>
      <c r="BX114" s="68"/>
      <c r="BY114" s="68"/>
      <c r="BZ114" s="68"/>
      <c r="CA114" s="68"/>
      <c r="CB114" s="68"/>
      <c r="CC114" s="68"/>
      <c r="CD114" s="68"/>
      <c r="CE114" s="68"/>
      <c r="CF114" s="68"/>
      <c r="CG114" s="68"/>
      <c r="CH114" s="68"/>
      <c r="CI114" s="68"/>
      <c r="CJ114" s="68"/>
      <c r="CK114" s="68"/>
      <c r="CL114" s="68"/>
      <c r="CM114" s="68"/>
      <c r="CN114" s="68"/>
      <c r="CO114" s="68"/>
      <c r="CP114" s="68"/>
      <c r="CQ114" s="68"/>
      <c r="CR114" s="68"/>
      <c r="CS114" s="68"/>
      <c r="CT114" s="68"/>
      <c r="CU114" s="68"/>
      <c r="CV114" s="68"/>
      <c r="CW114" s="68"/>
      <c r="CX114" s="68"/>
      <c r="CY114" s="68"/>
      <c r="CZ114" s="68"/>
      <c r="DA114" s="68"/>
      <c r="DB114" s="68"/>
      <c r="DC114" s="68"/>
      <c r="DD114" s="68"/>
      <c r="DE114" s="68"/>
      <c r="DF114" s="68"/>
      <c r="DG114" s="68"/>
      <c r="DH114" s="68"/>
      <c r="DI114" s="68"/>
      <c r="DJ114" s="68"/>
    </row>
    <row r="115" spans="5:114" x14ac:dyDescent="0.2">
      <c r="E115" s="68"/>
      <c r="G115" s="68"/>
      <c r="H115" s="68"/>
      <c r="I115" s="68"/>
      <c r="J115" s="68"/>
      <c r="K115" s="68"/>
      <c r="L115" s="68"/>
      <c r="M115" s="68"/>
      <c r="N115" s="68"/>
      <c r="O115" s="68"/>
      <c r="P115" s="68"/>
      <c r="Q115" s="68"/>
      <c r="R115" s="68"/>
      <c r="S115" s="68"/>
      <c r="T115" s="68"/>
      <c r="U115" s="68"/>
      <c r="V115" s="68"/>
      <c r="W115" s="68"/>
      <c r="X115" s="68"/>
      <c r="Y115" s="68"/>
      <c r="Z115" s="68"/>
      <c r="AA115" s="68"/>
      <c r="AB115" s="68"/>
      <c r="AC115" s="68"/>
      <c r="AD115" s="68"/>
      <c r="AE115" s="68"/>
      <c r="AF115" s="68"/>
      <c r="AG115" s="68"/>
      <c r="AH115" s="68"/>
      <c r="AI115" s="68"/>
      <c r="AJ115" s="68"/>
      <c r="AK115" s="68"/>
      <c r="AL115" s="68"/>
      <c r="AM115" s="68"/>
      <c r="AN115" s="68"/>
      <c r="AO115" s="68"/>
      <c r="AP115" s="68"/>
      <c r="AQ115" s="68"/>
      <c r="AR115" s="68"/>
      <c r="AS115" s="68"/>
      <c r="AT115" s="68"/>
      <c r="AU115" s="68"/>
      <c r="AV115" s="68"/>
      <c r="AW115" s="68"/>
      <c r="AX115" s="68"/>
      <c r="AY115" s="68"/>
      <c r="AZ115" s="68"/>
      <c r="BA115" s="68"/>
      <c r="BB115" s="68"/>
      <c r="BC115" s="68"/>
      <c r="BD115" s="68"/>
      <c r="BE115" s="68"/>
      <c r="BF115" s="68"/>
      <c r="BG115" s="68"/>
      <c r="BH115" s="71"/>
      <c r="BJ115" s="68"/>
      <c r="BK115" s="68"/>
      <c r="BL115" s="68"/>
      <c r="BM115" s="68"/>
      <c r="BN115" s="68"/>
      <c r="BO115" s="68"/>
      <c r="BP115" s="68"/>
      <c r="BQ115" s="68"/>
      <c r="BR115" s="68"/>
      <c r="BS115" s="68"/>
      <c r="BT115" s="68"/>
      <c r="BU115" s="68"/>
      <c r="BV115" s="68"/>
      <c r="BW115" s="68"/>
      <c r="BX115" s="68"/>
      <c r="BY115" s="68"/>
      <c r="BZ115" s="68"/>
      <c r="CA115" s="68"/>
      <c r="CB115" s="68"/>
      <c r="CC115" s="68"/>
      <c r="CD115" s="68"/>
      <c r="CE115" s="68"/>
      <c r="CF115" s="68"/>
      <c r="CG115" s="68"/>
      <c r="CH115" s="68"/>
      <c r="CI115" s="68"/>
      <c r="CJ115" s="68"/>
      <c r="CK115" s="68"/>
      <c r="CL115" s="68"/>
      <c r="CM115" s="68"/>
      <c r="CN115" s="68"/>
      <c r="CO115" s="68"/>
      <c r="CP115" s="68"/>
      <c r="CQ115" s="68"/>
      <c r="CR115" s="68"/>
      <c r="CS115" s="68"/>
      <c r="CT115" s="68"/>
      <c r="CU115" s="68"/>
      <c r="CV115" s="68"/>
      <c r="CW115" s="68"/>
      <c r="CX115" s="68"/>
      <c r="CY115" s="68"/>
      <c r="CZ115" s="68"/>
      <c r="DA115" s="68"/>
      <c r="DB115" s="68"/>
      <c r="DC115" s="68"/>
      <c r="DD115" s="68"/>
      <c r="DE115" s="68"/>
      <c r="DF115" s="68"/>
      <c r="DG115" s="68"/>
      <c r="DH115" s="68"/>
      <c r="DI115" s="68"/>
      <c r="DJ115" s="68"/>
    </row>
    <row r="116" spans="5:114" x14ac:dyDescent="0.2">
      <c r="E116" s="68"/>
      <c r="G116" s="68"/>
      <c r="H116" s="68"/>
      <c r="I116" s="68"/>
      <c r="J116" s="68"/>
      <c r="K116" s="68"/>
      <c r="L116" s="68"/>
      <c r="M116" s="68"/>
      <c r="N116" s="68"/>
      <c r="O116" s="68"/>
      <c r="P116" s="68"/>
      <c r="Q116" s="68"/>
      <c r="R116" s="68"/>
      <c r="S116" s="68"/>
      <c r="T116" s="68"/>
      <c r="U116" s="68"/>
      <c r="V116" s="68"/>
      <c r="W116" s="68"/>
      <c r="X116" s="68"/>
      <c r="Y116" s="68"/>
      <c r="Z116" s="68"/>
      <c r="AA116" s="68"/>
      <c r="AB116" s="68"/>
      <c r="AC116" s="68"/>
      <c r="AD116" s="68"/>
      <c r="AE116" s="68"/>
      <c r="AF116" s="68"/>
      <c r="AG116" s="68"/>
      <c r="AH116" s="68"/>
      <c r="AI116" s="68"/>
      <c r="AJ116" s="68"/>
      <c r="AK116" s="68"/>
      <c r="AL116" s="68"/>
      <c r="AM116" s="68"/>
      <c r="AN116" s="68"/>
      <c r="AO116" s="68"/>
      <c r="AP116" s="68"/>
      <c r="AQ116" s="68"/>
      <c r="AR116" s="68"/>
      <c r="AS116" s="68"/>
      <c r="AT116" s="68"/>
      <c r="AU116" s="68"/>
      <c r="AV116" s="68"/>
      <c r="AW116" s="68"/>
      <c r="AX116" s="68"/>
      <c r="AY116" s="68"/>
      <c r="AZ116" s="68"/>
      <c r="BA116" s="68"/>
      <c r="BB116" s="68"/>
      <c r="BC116" s="68"/>
      <c r="BD116" s="68"/>
      <c r="BE116" s="68"/>
      <c r="BF116" s="68"/>
      <c r="BG116" s="68"/>
      <c r="BH116" s="71"/>
      <c r="BJ116" s="68"/>
      <c r="BK116" s="68"/>
      <c r="BL116" s="68"/>
      <c r="BM116" s="68"/>
      <c r="BN116" s="68"/>
      <c r="BO116" s="68"/>
      <c r="BP116" s="68"/>
      <c r="BQ116" s="68"/>
      <c r="BR116" s="68"/>
      <c r="BS116" s="68"/>
      <c r="BT116" s="68"/>
      <c r="BU116" s="68"/>
      <c r="BV116" s="68"/>
      <c r="BW116" s="68"/>
      <c r="BX116" s="68"/>
      <c r="BY116" s="68"/>
      <c r="BZ116" s="68"/>
      <c r="CA116" s="68"/>
      <c r="CB116" s="68"/>
      <c r="CC116" s="68"/>
      <c r="CD116" s="68"/>
      <c r="CE116" s="68"/>
      <c r="CF116" s="68"/>
      <c r="CG116" s="68"/>
      <c r="CH116" s="68"/>
      <c r="CI116" s="68"/>
      <c r="CJ116" s="68"/>
      <c r="CK116" s="68"/>
      <c r="CL116" s="68"/>
      <c r="CM116" s="68"/>
      <c r="CN116" s="68"/>
      <c r="CO116" s="68"/>
      <c r="CP116" s="68"/>
      <c r="CQ116" s="68"/>
      <c r="CR116" s="68"/>
      <c r="CS116" s="68"/>
      <c r="CT116" s="68"/>
      <c r="CU116" s="68"/>
      <c r="CV116" s="68"/>
      <c r="CW116" s="68"/>
      <c r="CX116" s="68"/>
      <c r="CY116" s="68"/>
      <c r="CZ116" s="68"/>
      <c r="DA116" s="68"/>
      <c r="DB116" s="68"/>
      <c r="DC116" s="68"/>
      <c r="DD116" s="68"/>
      <c r="DE116" s="68"/>
      <c r="DF116" s="68"/>
      <c r="DG116" s="68"/>
      <c r="DH116" s="68"/>
      <c r="DI116" s="68"/>
      <c r="DJ116" s="68"/>
    </row>
    <row r="117" spans="5:114" x14ac:dyDescent="0.2">
      <c r="E117" s="68"/>
      <c r="G117" s="68"/>
      <c r="H117" s="68"/>
      <c r="I117" s="68"/>
      <c r="J117" s="68"/>
      <c r="K117" s="68"/>
      <c r="L117" s="68"/>
      <c r="M117" s="68"/>
      <c r="N117" s="68"/>
      <c r="O117" s="68"/>
      <c r="P117" s="68"/>
      <c r="Q117" s="68"/>
      <c r="R117" s="68"/>
      <c r="S117" s="68"/>
      <c r="T117" s="68"/>
      <c r="U117" s="68"/>
      <c r="V117" s="68"/>
      <c r="W117" s="68"/>
      <c r="X117" s="68"/>
      <c r="Y117" s="68"/>
      <c r="Z117" s="68"/>
      <c r="AA117" s="68"/>
      <c r="AB117" s="68"/>
      <c r="AC117" s="68"/>
      <c r="AD117" s="68"/>
      <c r="AE117" s="68"/>
      <c r="AF117" s="68"/>
      <c r="AG117" s="68"/>
      <c r="AH117" s="68"/>
      <c r="AI117" s="68"/>
      <c r="AJ117" s="68"/>
      <c r="AK117" s="68"/>
      <c r="AL117" s="68"/>
      <c r="AM117" s="68"/>
      <c r="AN117" s="68"/>
      <c r="AO117" s="68"/>
      <c r="AP117" s="68"/>
      <c r="AQ117" s="68"/>
      <c r="AR117" s="68"/>
      <c r="AS117" s="68"/>
      <c r="AT117" s="68"/>
      <c r="AU117" s="68"/>
      <c r="AV117" s="68"/>
      <c r="AW117" s="68"/>
      <c r="AX117" s="68"/>
      <c r="AY117" s="68"/>
      <c r="AZ117" s="68"/>
      <c r="BA117" s="68"/>
      <c r="BB117" s="68"/>
      <c r="BC117" s="68"/>
      <c r="BD117" s="68"/>
      <c r="BE117" s="68"/>
      <c r="BF117" s="68"/>
      <c r="BG117" s="68"/>
      <c r="BH117" s="71"/>
      <c r="BJ117" s="68"/>
      <c r="BK117" s="68"/>
      <c r="BL117" s="68"/>
      <c r="BM117" s="68"/>
      <c r="BN117" s="68"/>
      <c r="BO117" s="68"/>
      <c r="BP117" s="68"/>
      <c r="BQ117" s="68"/>
      <c r="BR117" s="68"/>
      <c r="BS117" s="68"/>
      <c r="BT117" s="68"/>
      <c r="BU117" s="68"/>
      <c r="BV117" s="68"/>
      <c r="BW117" s="68"/>
      <c r="BX117" s="68"/>
      <c r="BY117" s="68"/>
      <c r="BZ117" s="68"/>
      <c r="CA117" s="68"/>
      <c r="CB117" s="68"/>
      <c r="CC117" s="68"/>
      <c r="CD117" s="68"/>
      <c r="CE117" s="68"/>
      <c r="CF117" s="68"/>
      <c r="CG117" s="68"/>
      <c r="CH117" s="68"/>
      <c r="CI117" s="68"/>
      <c r="CJ117" s="68"/>
      <c r="CK117" s="68"/>
      <c r="CL117" s="68"/>
      <c r="CM117" s="68"/>
      <c r="CN117" s="68"/>
      <c r="CO117" s="68"/>
      <c r="CP117" s="68"/>
      <c r="CQ117" s="68"/>
      <c r="CR117" s="68"/>
      <c r="CS117" s="68"/>
      <c r="CT117" s="68"/>
      <c r="CU117" s="68"/>
      <c r="CV117" s="68"/>
      <c r="CW117" s="68"/>
      <c r="CX117" s="68"/>
      <c r="CY117" s="68"/>
      <c r="CZ117" s="68"/>
      <c r="DA117" s="68"/>
      <c r="DB117" s="68"/>
      <c r="DC117" s="68"/>
      <c r="DD117" s="68"/>
      <c r="DE117" s="68"/>
      <c r="DF117" s="68"/>
      <c r="DG117" s="68"/>
      <c r="DH117" s="68"/>
      <c r="DI117" s="68"/>
      <c r="DJ117" s="68"/>
    </row>
    <row r="118" spans="5:114" x14ac:dyDescent="0.2">
      <c r="E118" s="68"/>
      <c r="G118" s="68"/>
      <c r="H118" s="68"/>
      <c r="I118" s="68"/>
      <c r="J118" s="68"/>
      <c r="K118" s="68"/>
      <c r="L118" s="68"/>
      <c r="M118" s="68"/>
      <c r="N118" s="68"/>
      <c r="O118" s="68"/>
      <c r="P118" s="68"/>
      <c r="Q118" s="68"/>
      <c r="R118" s="68"/>
      <c r="S118" s="68"/>
      <c r="T118" s="68"/>
      <c r="U118" s="68"/>
      <c r="V118" s="68"/>
      <c r="W118" s="68"/>
      <c r="X118" s="68"/>
      <c r="Y118" s="68"/>
      <c r="Z118" s="68"/>
      <c r="AA118" s="68"/>
      <c r="AB118" s="68"/>
      <c r="AC118" s="68"/>
      <c r="AD118" s="68"/>
      <c r="AE118" s="68"/>
      <c r="AF118" s="68"/>
      <c r="AG118" s="68"/>
      <c r="AH118" s="68"/>
      <c r="AI118" s="68"/>
      <c r="AJ118" s="68"/>
      <c r="AK118" s="68"/>
      <c r="AL118" s="68"/>
      <c r="AM118" s="68"/>
      <c r="AN118" s="68"/>
      <c r="AO118" s="68"/>
      <c r="AP118" s="68"/>
      <c r="AQ118" s="68"/>
      <c r="AR118" s="68"/>
      <c r="AS118" s="68"/>
      <c r="AT118" s="68"/>
      <c r="AU118" s="68"/>
      <c r="AV118" s="68"/>
      <c r="AW118" s="68"/>
      <c r="AX118" s="68"/>
      <c r="AY118" s="68"/>
      <c r="AZ118" s="68"/>
      <c r="BA118" s="68"/>
      <c r="BB118" s="68"/>
      <c r="BC118" s="68"/>
      <c r="BD118" s="68"/>
      <c r="BE118" s="68"/>
      <c r="BF118" s="68"/>
      <c r="BG118" s="68"/>
      <c r="BH118" s="71"/>
      <c r="BJ118" s="68"/>
      <c r="BK118" s="68"/>
      <c r="BL118" s="68"/>
      <c r="BM118" s="68"/>
      <c r="BN118" s="68"/>
      <c r="BO118" s="68"/>
      <c r="BP118" s="68"/>
      <c r="BQ118" s="68"/>
      <c r="BR118" s="68"/>
      <c r="BS118" s="68"/>
      <c r="BT118" s="68"/>
      <c r="BU118" s="68"/>
      <c r="BV118" s="68"/>
      <c r="BW118" s="68"/>
      <c r="BX118" s="68"/>
      <c r="BY118" s="68"/>
      <c r="BZ118" s="68"/>
      <c r="CA118" s="68"/>
      <c r="CB118" s="68"/>
      <c r="CC118" s="68"/>
      <c r="CD118" s="68"/>
      <c r="CE118" s="68"/>
      <c r="CF118" s="68"/>
      <c r="CG118" s="68"/>
      <c r="CH118" s="68"/>
      <c r="CI118" s="68"/>
      <c r="CJ118" s="68"/>
      <c r="CK118" s="68"/>
      <c r="CL118" s="68"/>
      <c r="CM118" s="68"/>
      <c r="CN118" s="68"/>
      <c r="CO118" s="68"/>
      <c r="CP118" s="68"/>
      <c r="CQ118" s="68"/>
      <c r="CR118" s="68"/>
      <c r="CS118" s="68"/>
      <c r="CT118" s="68"/>
      <c r="CU118" s="68"/>
      <c r="CV118" s="68"/>
      <c r="CW118" s="68"/>
      <c r="CX118" s="68"/>
      <c r="CY118" s="68"/>
      <c r="CZ118" s="68"/>
      <c r="DA118" s="68"/>
      <c r="DB118" s="68"/>
      <c r="DC118" s="68"/>
      <c r="DD118" s="68"/>
      <c r="DE118" s="68"/>
      <c r="DF118" s="68"/>
      <c r="DG118" s="68"/>
      <c r="DH118" s="68"/>
      <c r="DI118" s="68"/>
      <c r="DJ118" s="68"/>
    </row>
    <row r="119" spans="5:114" x14ac:dyDescent="0.2">
      <c r="E119" s="68"/>
      <c r="G119" s="68"/>
      <c r="H119" s="68"/>
      <c r="I119" s="68"/>
      <c r="J119" s="68"/>
      <c r="K119" s="68"/>
      <c r="L119" s="68"/>
      <c r="M119" s="68"/>
      <c r="N119" s="68"/>
      <c r="O119" s="68"/>
      <c r="P119" s="68"/>
      <c r="Q119" s="68"/>
      <c r="R119" s="68"/>
      <c r="S119" s="68"/>
      <c r="T119" s="68"/>
      <c r="U119" s="68"/>
      <c r="V119" s="68"/>
      <c r="W119" s="68"/>
      <c r="X119" s="68"/>
      <c r="Y119" s="68"/>
      <c r="Z119" s="68"/>
      <c r="AA119" s="68"/>
      <c r="AB119" s="68"/>
      <c r="AC119" s="68"/>
      <c r="AD119" s="68"/>
      <c r="AE119" s="68"/>
      <c r="AF119" s="68"/>
      <c r="AG119" s="68"/>
      <c r="AH119" s="68"/>
      <c r="AI119" s="68"/>
      <c r="AJ119" s="68"/>
      <c r="AK119" s="68"/>
      <c r="AL119" s="68"/>
      <c r="AM119" s="68"/>
      <c r="AN119" s="68"/>
      <c r="AO119" s="68"/>
      <c r="AP119" s="68"/>
      <c r="AQ119" s="68"/>
      <c r="AR119" s="68"/>
      <c r="AS119" s="68"/>
      <c r="AT119" s="68"/>
      <c r="AU119" s="68"/>
      <c r="AV119" s="68"/>
      <c r="AW119" s="68"/>
      <c r="AX119" s="68"/>
      <c r="AY119" s="68"/>
      <c r="AZ119" s="68"/>
      <c r="BA119" s="68"/>
      <c r="BB119" s="68"/>
      <c r="BC119" s="68"/>
      <c r="BD119" s="68"/>
      <c r="BE119" s="68"/>
      <c r="BF119" s="68"/>
      <c r="BG119" s="68"/>
      <c r="BH119" s="71"/>
      <c r="BJ119" s="68"/>
      <c r="BK119" s="68"/>
      <c r="BL119" s="68"/>
      <c r="BM119" s="68"/>
      <c r="BN119" s="68"/>
      <c r="BO119" s="68"/>
      <c r="BP119" s="68"/>
      <c r="BQ119" s="68"/>
      <c r="BR119" s="68"/>
      <c r="BS119" s="68"/>
      <c r="BT119" s="68"/>
      <c r="BU119" s="68"/>
      <c r="BV119" s="68"/>
      <c r="BW119" s="68"/>
      <c r="BX119" s="68"/>
      <c r="BY119" s="68"/>
      <c r="BZ119" s="68"/>
      <c r="CA119" s="68"/>
      <c r="CB119" s="68"/>
      <c r="CC119" s="68"/>
      <c r="CD119" s="68"/>
      <c r="CE119" s="68"/>
      <c r="CF119" s="68"/>
      <c r="CG119" s="68"/>
      <c r="CH119" s="68"/>
      <c r="CI119" s="68"/>
      <c r="CJ119" s="68"/>
      <c r="CK119" s="68"/>
      <c r="CL119" s="68"/>
      <c r="CM119" s="68"/>
      <c r="CN119" s="68"/>
      <c r="CO119" s="68"/>
      <c r="CP119" s="68"/>
      <c r="CQ119" s="68"/>
      <c r="CR119" s="68"/>
      <c r="CS119" s="68"/>
      <c r="CT119" s="68"/>
      <c r="CU119" s="68"/>
      <c r="CV119" s="68"/>
      <c r="CW119" s="68"/>
      <c r="CX119" s="68"/>
      <c r="CY119" s="68"/>
      <c r="CZ119" s="68"/>
      <c r="DA119" s="68"/>
      <c r="DB119" s="68"/>
      <c r="DC119" s="68"/>
      <c r="DD119" s="68"/>
      <c r="DE119" s="68"/>
      <c r="DF119" s="68"/>
      <c r="DG119" s="68"/>
      <c r="DH119" s="68"/>
      <c r="DI119" s="68"/>
      <c r="DJ119" s="68"/>
    </row>
    <row r="120" spans="5:114" x14ac:dyDescent="0.2">
      <c r="E120" s="68"/>
      <c r="G120" s="68"/>
      <c r="H120" s="68"/>
      <c r="I120" s="68"/>
      <c r="J120" s="68"/>
      <c r="K120" s="68"/>
      <c r="L120" s="68"/>
      <c r="M120" s="68"/>
      <c r="N120" s="68"/>
      <c r="O120" s="68"/>
      <c r="P120" s="68"/>
      <c r="Q120" s="68"/>
      <c r="R120" s="68"/>
      <c r="S120" s="68"/>
      <c r="T120" s="68"/>
      <c r="U120" s="68"/>
      <c r="V120" s="68"/>
      <c r="W120" s="68"/>
      <c r="X120" s="68"/>
      <c r="Y120" s="68"/>
      <c r="Z120" s="68"/>
      <c r="AA120" s="68"/>
      <c r="AB120" s="68"/>
      <c r="AC120" s="68"/>
      <c r="AD120" s="68"/>
      <c r="AE120" s="68"/>
      <c r="AF120" s="68"/>
      <c r="AG120" s="68"/>
      <c r="AH120" s="68"/>
      <c r="AI120" s="68"/>
      <c r="AJ120" s="68"/>
      <c r="AK120" s="68"/>
      <c r="AL120" s="68"/>
      <c r="AM120" s="68"/>
      <c r="AN120" s="68"/>
      <c r="AO120" s="68"/>
      <c r="AP120" s="68"/>
      <c r="AQ120" s="68"/>
      <c r="AR120" s="68"/>
      <c r="AS120" s="68"/>
      <c r="AT120" s="68"/>
      <c r="AU120" s="68"/>
      <c r="AV120" s="68"/>
      <c r="AW120" s="68"/>
      <c r="AX120" s="68"/>
      <c r="AY120" s="68"/>
      <c r="AZ120" s="68"/>
      <c r="BA120" s="68"/>
      <c r="BB120" s="68"/>
      <c r="BC120" s="68"/>
      <c r="BD120" s="68"/>
      <c r="BE120" s="68"/>
      <c r="BF120" s="68"/>
      <c r="BG120" s="68"/>
      <c r="BH120" s="71"/>
      <c r="BJ120" s="68"/>
      <c r="BK120" s="68"/>
      <c r="BL120" s="68"/>
      <c r="BM120" s="68"/>
      <c r="BN120" s="68"/>
      <c r="BO120" s="68"/>
      <c r="BP120" s="68"/>
      <c r="BQ120" s="68"/>
      <c r="BR120" s="68"/>
      <c r="BS120" s="68"/>
      <c r="BT120" s="68"/>
      <c r="BU120" s="68"/>
      <c r="BV120" s="68"/>
      <c r="BW120" s="68"/>
      <c r="BX120" s="68"/>
      <c r="BY120" s="68"/>
      <c r="BZ120" s="68"/>
      <c r="CA120" s="68"/>
      <c r="CB120" s="68"/>
      <c r="CC120" s="68"/>
      <c r="CD120" s="68"/>
      <c r="CE120" s="68"/>
      <c r="CF120" s="68"/>
      <c r="CG120" s="68"/>
      <c r="CH120" s="68"/>
      <c r="CI120" s="68"/>
      <c r="CJ120" s="68"/>
      <c r="CK120" s="68"/>
      <c r="CL120" s="68"/>
      <c r="CM120" s="68"/>
      <c r="CN120" s="68"/>
      <c r="CO120" s="68"/>
      <c r="CP120" s="68"/>
      <c r="CQ120" s="68"/>
      <c r="CR120" s="68"/>
      <c r="CS120" s="68"/>
      <c r="CT120" s="68"/>
      <c r="CU120" s="68"/>
      <c r="CV120" s="68"/>
      <c r="CW120" s="68"/>
      <c r="CX120" s="68"/>
      <c r="CY120" s="68"/>
      <c r="CZ120" s="68"/>
      <c r="DA120" s="68"/>
      <c r="DB120" s="68"/>
      <c r="DC120" s="68"/>
      <c r="DD120" s="68"/>
      <c r="DE120" s="68"/>
      <c r="DF120" s="68"/>
      <c r="DG120" s="68"/>
      <c r="DH120" s="68"/>
      <c r="DI120" s="68"/>
      <c r="DJ120" s="68"/>
    </row>
    <row r="121" spans="5:114" x14ac:dyDescent="0.2">
      <c r="E121" s="68"/>
      <c r="G121" s="68"/>
      <c r="H121" s="68"/>
      <c r="I121" s="68"/>
      <c r="J121" s="68"/>
      <c r="K121" s="68"/>
      <c r="L121" s="68"/>
      <c r="M121" s="68"/>
      <c r="N121" s="68"/>
      <c r="O121" s="68"/>
      <c r="P121" s="68"/>
      <c r="Q121" s="68"/>
      <c r="R121" s="68"/>
      <c r="S121" s="68"/>
      <c r="T121" s="68"/>
      <c r="U121" s="68"/>
      <c r="V121" s="68"/>
      <c r="W121" s="68"/>
      <c r="X121" s="68"/>
      <c r="Y121" s="68"/>
      <c r="Z121" s="68"/>
      <c r="AA121" s="68"/>
      <c r="AB121" s="68"/>
      <c r="AC121" s="68"/>
      <c r="AD121" s="68"/>
      <c r="AE121" s="68"/>
      <c r="AF121" s="68"/>
      <c r="AG121" s="68"/>
      <c r="AH121" s="68"/>
      <c r="AI121" s="68"/>
      <c r="AJ121" s="68"/>
      <c r="AK121" s="68"/>
      <c r="AL121" s="68"/>
      <c r="AM121" s="68"/>
      <c r="AN121" s="68"/>
      <c r="AO121" s="68"/>
      <c r="AP121" s="68"/>
      <c r="AQ121" s="68"/>
      <c r="AR121" s="68"/>
      <c r="AS121" s="68"/>
      <c r="AT121" s="68"/>
      <c r="AU121" s="68"/>
      <c r="AV121" s="68"/>
      <c r="AW121" s="68"/>
      <c r="AX121" s="68"/>
      <c r="AY121" s="68"/>
      <c r="AZ121" s="68"/>
      <c r="BA121" s="68"/>
      <c r="BB121" s="68"/>
      <c r="BC121" s="68"/>
      <c r="BD121" s="68"/>
      <c r="BE121" s="68"/>
      <c r="BF121" s="68"/>
      <c r="BG121" s="68"/>
      <c r="BH121" s="71"/>
      <c r="BJ121" s="68"/>
      <c r="BK121" s="68"/>
      <c r="BL121" s="68"/>
      <c r="BM121" s="68"/>
      <c r="BN121" s="68"/>
      <c r="BO121" s="68"/>
      <c r="BP121" s="68"/>
      <c r="BQ121" s="68"/>
      <c r="BR121" s="68"/>
      <c r="BS121" s="68"/>
      <c r="BT121" s="68"/>
      <c r="BU121" s="68"/>
      <c r="BV121" s="68"/>
      <c r="BW121" s="68"/>
      <c r="BX121" s="68"/>
      <c r="BY121" s="68"/>
      <c r="BZ121" s="68"/>
      <c r="CA121" s="68"/>
      <c r="CB121" s="68"/>
      <c r="CC121" s="68"/>
      <c r="CD121" s="68"/>
      <c r="CE121" s="68"/>
      <c r="CF121" s="68"/>
      <c r="CG121" s="68"/>
      <c r="CH121" s="68"/>
      <c r="CI121" s="68"/>
      <c r="CJ121" s="68"/>
      <c r="CK121" s="68"/>
      <c r="CL121" s="68"/>
      <c r="CM121" s="68"/>
      <c r="CN121" s="68"/>
      <c r="CO121" s="68"/>
      <c r="CP121" s="68"/>
      <c r="CQ121" s="68"/>
      <c r="CR121" s="68"/>
      <c r="CS121" s="68"/>
      <c r="CT121" s="68"/>
      <c r="CU121" s="68"/>
      <c r="CV121" s="68"/>
      <c r="CW121" s="68"/>
      <c r="CX121" s="68"/>
      <c r="CY121" s="68"/>
      <c r="CZ121" s="68"/>
      <c r="DA121" s="68"/>
      <c r="DB121" s="68"/>
      <c r="DC121" s="68"/>
      <c r="DD121" s="68"/>
      <c r="DE121" s="68"/>
      <c r="DF121" s="68"/>
      <c r="DG121" s="68"/>
      <c r="DH121" s="68"/>
      <c r="DI121" s="68"/>
      <c r="DJ121" s="68"/>
    </row>
    <row r="122" spans="5:114" x14ac:dyDescent="0.2">
      <c r="E122" s="68"/>
      <c r="G122" s="68"/>
      <c r="H122" s="68"/>
      <c r="I122" s="68"/>
      <c r="J122" s="68"/>
      <c r="K122" s="68"/>
      <c r="L122" s="68"/>
      <c r="M122" s="68"/>
      <c r="N122" s="68"/>
      <c r="O122" s="68"/>
      <c r="P122" s="68"/>
      <c r="Q122" s="68"/>
      <c r="R122" s="68"/>
      <c r="S122" s="68"/>
      <c r="T122" s="68"/>
      <c r="U122" s="68"/>
      <c r="V122" s="68"/>
      <c r="W122" s="68"/>
      <c r="X122" s="68"/>
      <c r="Y122" s="68"/>
      <c r="Z122" s="68"/>
      <c r="AA122" s="68"/>
      <c r="AB122" s="68"/>
      <c r="AC122" s="68"/>
      <c r="AD122" s="68"/>
      <c r="AE122" s="68"/>
      <c r="AF122" s="68"/>
      <c r="AG122" s="68"/>
      <c r="AH122" s="68"/>
      <c r="AI122" s="68"/>
      <c r="AJ122" s="68"/>
      <c r="AK122" s="68"/>
      <c r="AL122" s="68"/>
      <c r="AM122" s="68"/>
      <c r="AN122" s="68"/>
      <c r="AO122" s="68"/>
      <c r="AP122" s="68"/>
      <c r="AQ122" s="68"/>
      <c r="AR122" s="68"/>
      <c r="AS122" s="68"/>
      <c r="AT122" s="68"/>
      <c r="AU122" s="68"/>
      <c r="AV122" s="68"/>
      <c r="AW122" s="68"/>
      <c r="AX122" s="68"/>
      <c r="AY122" s="68"/>
      <c r="AZ122" s="68"/>
      <c r="BA122" s="68"/>
      <c r="BB122" s="68"/>
      <c r="BC122" s="68"/>
      <c r="BD122" s="68"/>
      <c r="BE122" s="68"/>
      <c r="BF122" s="68"/>
      <c r="BG122" s="68"/>
      <c r="BH122" s="71"/>
      <c r="BJ122" s="68"/>
      <c r="BK122" s="68"/>
      <c r="BL122" s="68"/>
      <c r="BM122" s="68"/>
      <c r="BN122" s="68"/>
      <c r="BO122" s="68"/>
      <c r="BP122" s="68"/>
      <c r="BQ122" s="68"/>
      <c r="BR122" s="68"/>
      <c r="BS122" s="68"/>
      <c r="BT122" s="68"/>
      <c r="BU122" s="68"/>
      <c r="BV122" s="68"/>
      <c r="BW122" s="68"/>
      <c r="BX122" s="68"/>
      <c r="BY122" s="68"/>
      <c r="BZ122" s="68"/>
      <c r="CA122" s="68"/>
      <c r="CB122" s="68"/>
      <c r="CC122" s="68"/>
      <c r="CD122" s="68"/>
      <c r="CE122" s="68"/>
      <c r="CF122" s="68"/>
      <c r="CG122" s="68"/>
      <c r="CH122" s="68"/>
      <c r="CI122" s="68"/>
      <c r="CJ122" s="68"/>
      <c r="CK122" s="68"/>
      <c r="CL122" s="68"/>
      <c r="CM122" s="68"/>
      <c r="CN122" s="68"/>
      <c r="CO122" s="68"/>
      <c r="CP122" s="68"/>
      <c r="CQ122" s="68"/>
      <c r="CR122" s="68"/>
      <c r="CS122" s="68"/>
      <c r="CT122" s="68"/>
      <c r="CU122" s="68"/>
      <c r="CV122" s="68"/>
      <c r="CW122" s="68"/>
      <c r="CX122" s="68"/>
      <c r="CY122" s="68"/>
      <c r="CZ122" s="68"/>
      <c r="DA122" s="68"/>
      <c r="DB122" s="68"/>
      <c r="DC122" s="68"/>
      <c r="DD122" s="68"/>
      <c r="DE122" s="68"/>
      <c r="DF122" s="68"/>
      <c r="DG122" s="68"/>
      <c r="DH122" s="68"/>
      <c r="DI122" s="68"/>
      <c r="DJ122" s="68"/>
    </row>
    <row r="123" spans="5:114" x14ac:dyDescent="0.2">
      <c r="E123" s="68"/>
      <c r="G123" s="68"/>
      <c r="H123" s="68"/>
      <c r="I123" s="68"/>
      <c r="J123" s="68"/>
      <c r="K123" s="68"/>
      <c r="L123" s="68"/>
      <c r="M123" s="68"/>
      <c r="N123" s="68"/>
      <c r="O123" s="68"/>
      <c r="P123" s="68"/>
      <c r="Q123" s="68"/>
      <c r="R123" s="68"/>
      <c r="S123" s="68"/>
      <c r="T123" s="68"/>
      <c r="U123" s="68"/>
      <c r="V123" s="68"/>
      <c r="W123" s="68"/>
      <c r="X123" s="68"/>
      <c r="Y123" s="68"/>
      <c r="Z123" s="68"/>
      <c r="AA123" s="68"/>
      <c r="AB123" s="68"/>
      <c r="AC123" s="68"/>
      <c r="AD123" s="68"/>
      <c r="AE123" s="68"/>
      <c r="AF123" s="68"/>
      <c r="AG123" s="68"/>
      <c r="AH123" s="68"/>
      <c r="AI123" s="68"/>
      <c r="AJ123" s="68"/>
      <c r="AK123" s="68"/>
      <c r="AL123" s="68"/>
      <c r="AM123" s="68"/>
      <c r="AN123" s="68"/>
      <c r="AO123" s="68"/>
      <c r="AP123" s="68"/>
      <c r="AQ123" s="68"/>
      <c r="AR123" s="68"/>
      <c r="AS123" s="68"/>
      <c r="AT123" s="68"/>
      <c r="AU123" s="68"/>
      <c r="AV123" s="68"/>
      <c r="AW123" s="68"/>
      <c r="AX123" s="68"/>
      <c r="AY123" s="68"/>
      <c r="AZ123" s="68"/>
      <c r="BA123" s="68"/>
      <c r="BB123" s="68"/>
      <c r="BC123" s="68"/>
      <c r="BD123" s="68"/>
      <c r="BE123" s="68"/>
      <c r="BF123" s="68"/>
      <c r="BG123" s="68"/>
      <c r="BH123" s="71"/>
      <c r="BJ123" s="68"/>
      <c r="BK123" s="68"/>
      <c r="BL123" s="68"/>
      <c r="BM123" s="68"/>
      <c r="BN123" s="68"/>
      <c r="BO123" s="68"/>
      <c r="BP123" s="68"/>
      <c r="BQ123" s="68"/>
      <c r="BR123" s="68"/>
      <c r="BS123" s="68"/>
      <c r="BT123" s="68"/>
      <c r="BU123" s="68"/>
      <c r="BV123" s="68"/>
      <c r="BW123" s="68"/>
      <c r="BX123" s="68"/>
      <c r="BY123" s="68"/>
      <c r="BZ123" s="68"/>
      <c r="CA123" s="68"/>
      <c r="CB123" s="68"/>
      <c r="CC123" s="68"/>
      <c r="CD123" s="68"/>
      <c r="CE123" s="68"/>
      <c r="CF123" s="68"/>
      <c r="CG123" s="68"/>
      <c r="CH123" s="68"/>
      <c r="CI123" s="68"/>
      <c r="CJ123" s="68"/>
      <c r="CK123" s="68"/>
      <c r="CL123" s="68"/>
      <c r="CM123" s="68"/>
      <c r="CN123" s="68"/>
      <c r="CO123" s="68"/>
      <c r="CP123" s="68"/>
      <c r="CQ123" s="68"/>
      <c r="CR123" s="68"/>
      <c r="CS123" s="68"/>
      <c r="CT123" s="68"/>
      <c r="CU123" s="68"/>
      <c r="CV123" s="68"/>
      <c r="CW123" s="68"/>
      <c r="CX123" s="68"/>
      <c r="CY123" s="68"/>
      <c r="CZ123" s="68"/>
      <c r="DA123" s="68"/>
      <c r="DB123" s="68"/>
      <c r="DC123" s="68"/>
      <c r="DD123" s="68"/>
      <c r="DE123" s="68"/>
      <c r="DF123" s="68"/>
      <c r="DG123" s="68"/>
      <c r="DH123" s="68"/>
      <c r="DI123" s="68"/>
      <c r="DJ123" s="68"/>
    </row>
    <row r="124" spans="5:114" x14ac:dyDescent="0.2">
      <c r="E124" s="68"/>
      <c r="G124" s="68"/>
      <c r="H124" s="68"/>
      <c r="I124" s="68"/>
      <c r="J124" s="68"/>
      <c r="K124" s="68"/>
      <c r="L124" s="68"/>
      <c r="M124" s="68"/>
      <c r="N124" s="68"/>
      <c r="O124" s="68"/>
      <c r="P124" s="68"/>
      <c r="Q124" s="68"/>
      <c r="R124" s="68"/>
      <c r="S124" s="68"/>
      <c r="T124" s="68"/>
      <c r="U124" s="68"/>
      <c r="V124" s="68"/>
      <c r="W124" s="68"/>
      <c r="X124" s="68"/>
      <c r="Y124" s="68"/>
      <c r="Z124" s="68"/>
      <c r="AA124" s="68"/>
      <c r="AB124" s="68"/>
      <c r="AC124" s="68"/>
      <c r="AD124" s="68"/>
      <c r="AE124" s="68"/>
      <c r="AF124" s="68"/>
      <c r="AG124" s="68"/>
      <c r="AH124" s="68"/>
      <c r="AI124" s="68"/>
      <c r="AJ124" s="68"/>
      <c r="AK124" s="68"/>
      <c r="AL124" s="68"/>
      <c r="AM124" s="68"/>
      <c r="AN124" s="68"/>
      <c r="AO124" s="68"/>
      <c r="AP124" s="68"/>
      <c r="AQ124" s="68"/>
      <c r="AR124" s="68"/>
      <c r="AS124" s="68"/>
      <c r="AT124" s="68"/>
      <c r="AU124" s="68"/>
      <c r="AV124" s="68"/>
      <c r="AW124" s="68"/>
      <c r="AX124" s="68"/>
      <c r="AY124" s="68"/>
      <c r="AZ124" s="68"/>
      <c r="BA124" s="68"/>
      <c r="BB124" s="68"/>
      <c r="BC124" s="68"/>
      <c r="BD124" s="68"/>
      <c r="BE124" s="68"/>
      <c r="BF124" s="68"/>
      <c r="BG124" s="68"/>
      <c r="BH124" s="71"/>
      <c r="BJ124" s="68"/>
      <c r="BK124" s="68"/>
      <c r="BL124" s="68"/>
      <c r="BM124" s="68"/>
      <c r="BN124" s="68"/>
      <c r="BO124" s="68"/>
      <c r="BP124" s="68"/>
      <c r="BQ124" s="68"/>
      <c r="BR124" s="68"/>
      <c r="BS124" s="68"/>
      <c r="BT124" s="68"/>
      <c r="BU124" s="68"/>
      <c r="BV124" s="68"/>
      <c r="BW124" s="68"/>
      <c r="BX124" s="68"/>
      <c r="BY124" s="68"/>
      <c r="BZ124" s="68"/>
      <c r="CA124" s="68"/>
      <c r="CB124" s="68"/>
      <c r="CC124" s="68"/>
      <c r="CD124" s="68"/>
      <c r="CE124" s="68"/>
      <c r="CF124" s="68"/>
      <c r="CG124" s="68"/>
      <c r="CH124" s="68"/>
      <c r="CI124" s="68"/>
      <c r="CJ124" s="68"/>
      <c r="CK124" s="68"/>
      <c r="CL124" s="68"/>
      <c r="CM124" s="68"/>
      <c r="CN124" s="68"/>
      <c r="CO124" s="68"/>
      <c r="CP124" s="68"/>
      <c r="CQ124" s="68"/>
      <c r="CR124" s="68"/>
      <c r="CS124" s="68"/>
      <c r="CT124" s="68"/>
      <c r="CU124" s="68"/>
      <c r="CV124" s="68"/>
      <c r="CW124" s="68"/>
      <c r="CX124" s="68"/>
      <c r="CY124" s="68"/>
      <c r="CZ124" s="68"/>
      <c r="DA124" s="68"/>
      <c r="DB124" s="68"/>
      <c r="DC124" s="68"/>
      <c r="DD124" s="68"/>
      <c r="DE124" s="68"/>
      <c r="DF124" s="68"/>
      <c r="DG124" s="68"/>
      <c r="DH124" s="68"/>
      <c r="DI124" s="68"/>
      <c r="DJ124" s="68"/>
    </row>
    <row r="125" spans="5:114" x14ac:dyDescent="0.2">
      <c r="E125" s="68"/>
      <c r="G125" s="68"/>
      <c r="H125" s="68"/>
      <c r="I125" s="68"/>
      <c r="J125" s="68"/>
      <c r="K125" s="68"/>
      <c r="L125" s="68"/>
      <c r="M125" s="68"/>
      <c r="N125" s="68"/>
      <c r="O125" s="68"/>
      <c r="P125" s="68"/>
      <c r="Q125" s="68"/>
      <c r="R125" s="68"/>
      <c r="S125" s="68"/>
      <c r="T125" s="68"/>
      <c r="U125" s="68"/>
      <c r="V125" s="68"/>
      <c r="W125" s="68"/>
      <c r="X125" s="68"/>
      <c r="Y125" s="68"/>
      <c r="Z125" s="68"/>
      <c r="AA125" s="68"/>
      <c r="AB125" s="68"/>
      <c r="AC125" s="68"/>
      <c r="AD125" s="68"/>
      <c r="AE125" s="68"/>
      <c r="AF125" s="68"/>
      <c r="AG125" s="68"/>
      <c r="AH125" s="68"/>
      <c r="AI125" s="68"/>
      <c r="AJ125" s="68"/>
      <c r="AK125" s="68"/>
      <c r="AL125" s="68"/>
      <c r="AM125" s="68"/>
      <c r="AN125" s="68"/>
      <c r="AO125" s="68"/>
      <c r="AP125" s="68"/>
      <c r="AQ125" s="68"/>
      <c r="AR125" s="68"/>
      <c r="AS125" s="68"/>
      <c r="AT125" s="68"/>
      <c r="AU125" s="68"/>
      <c r="AV125" s="68"/>
      <c r="AW125" s="68"/>
      <c r="AX125" s="68"/>
      <c r="AY125" s="68"/>
      <c r="AZ125" s="68"/>
      <c r="BA125" s="68"/>
      <c r="BB125" s="68"/>
      <c r="BC125" s="68"/>
      <c r="BD125" s="68"/>
      <c r="BE125" s="68"/>
      <c r="BF125" s="68"/>
      <c r="BG125" s="68"/>
      <c r="BH125" s="71"/>
      <c r="BJ125" s="68"/>
      <c r="BK125" s="68"/>
      <c r="BL125" s="68"/>
      <c r="BM125" s="68"/>
      <c r="BN125" s="68"/>
      <c r="BO125" s="68"/>
      <c r="BP125" s="68"/>
      <c r="BQ125" s="68"/>
      <c r="BR125" s="68"/>
      <c r="BS125" s="68"/>
      <c r="BT125" s="68"/>
      <c r="BU125" s="68"/>
      <c r="BV125" s="68"/>
      <c r="BW125" s="68"/>
      <c r="BX125" s="68"/>
      <c r="BY125" s="68"/>
      <c r="BZ125" s="68"/>
      <c r="CA125" s="68"/>
      <c r="CB125" s="68"/>
      <c r="CC125" s="68"/>
      <c r="CD125" s="68"/>
      <c r="CE125" s="68"/>
      <c r="CF125" s="68"/>
      <c r="CG125" s="68"/>
      <c r="CH125" s="68"/>
      <c r="CI125" s="68"/>
      <c r="CJ125" s="68"/>
      <c r="CK125" s="68"/>
      <c r="CL125" s="68"/>
      <c r="CM125" s="68"/>
      <c r="CN125" s="68"/>
      <c r="CO125" s="68"/>
      <c r="CP125" s="68"/>
      <c r="CQ125" s="68"/>
      <c r="CR125" s="68"/>
      <c r="CS125" s="68"/>
      <c r="CT125" s="68"/>
      <c r="CU125" s="68"/>
      <c r="CV125" s="68"/>
      <c r="CW125" s="68"/>
      <c r="CX125" s="68"/>
      <c r="CY125" s="68"/>
      <c r="CZ125" s="68"/>
      <c r="DA125" s="68"/>
      <c r="DB125" s="68"/>
      <c r="DC125" s="68"/>
      <c r="DD125" s="68"/>
      <c r="DE125" s="68"/>
      <c r="DF125" s="68"/>
      <c r="DG125" s="68"/>
      <c r="DH125" s="68"/>
      <c r="DI125" s="68"/>
      <c r="DJ125" s="68"/>
    </row>
    <row r="126" spans="5:114" x14ac:dyDescent="0.2">
      <c r="E126" s="68"/>
      <c r="G126" s="68"/>
      <c r="H126" s="68"/>
      <c r="I126" s="68"/>
      <c r="J126" s="68"/>
      <c r="K126" s="68"/>
      <c r="L126" s="68"/>
      <c r="M126" s="68"/>
      <c r="N126" s="68"/>
      <c r="O126" s="68"/>
      <c r="P126" s="68"/>
      <c r="Q126" s="68"/>
      <c r="R126" s="68"/>
      <c r="S126" s="68"/>
      <c r="T126" s="68"/>
      <c r="U126" s="68"/>
      <c r="V126" s="68"/>
      <c r="W126" s="68"/>
      <c r="X126" s="68"/>
      <c r="Y126" s="68"/>
      <c r="Z126" s="68"/>
      <c r="AA126" s="68"/>
      <c r="AB126" s="68"/>
      <c r="AC126" s="68"/>
      <c r="AD126" s="68"/>
      <c r="AE126" s="68"/>
      <c r="AF126" s="68"/>
      <c r="AG126" s="68"/>
      <c r="AH126" s="68"/>
      <c r="AI126" s="68"/>
      <c r="AJ126" s="68"/>
      <c r="AK126" s="68"/>
      <c r="AL126" s="68"/>
      <c r="AM126" s="68"/>
      <c r="AN126" s="68"/>
      <c r="AO126" s="68"/>
      <c r="AP126" s="68"/>
      <c r="AQ126" s="68"/>
      <c r="AR126" s="68"/>
      <c r="AS126" s="68"/>
      <c r="AT126" s="68"/>
      <c r="AU126" s="68"/>
      <c r="AV126" s="68"/>
      <c r="AW126" s="68"/>
      <c r="AX126" s="68"/>
      <c r="AY126" s="68"/>
      <c r="AZ126" s="68"/>
      <c r="BA126" s="68"/>
      <c r="BB126" s="68"/>
      <c r="BC126" s="68"/>
      <c r="BD126" s="68"/>
      <c r="BE126" s="68"/>
      <c r="BF126" s="68"/>
      <c r="BG126" s="68"/>
      <c r="BH126" s="71"/>
      <c r="BJ126" s="68"/>
      <c r="BK126" s="68"/>
      <c r="BL126" s="68"/>
      <c r="BM126" s="68"/>
      <c r="BN126" s="68"/>
      <c r="BO126" s="68"/>
      <c r="BP126" s="68"/>
      <c r="BQ126" s="68"/>
      <c r="BR126" s="68"/>
      <c r="BS126" s="68"/>
      <c r="BT126" s="68"/>
      <c r="BU126" s="68"/>
      <c r="BV126" s="68"/>
      <c r="BW126" s="68"/>
      <c r="BX126" s="68"/>
      <c r="BY126" s="68"/>
      <c r="BZ126" s="68"/>
      <c r="CA126" s="68"/>
      <c r="CB126" s="68"/>
      <c r="CC126" s="68"/>
      <c r="CD126" s="68"/>
      <c r="CE126" s="68"/>
      <c r="CF126" s="68"/>
      <c r="CG126" s="68"/>
      <c r="CH126" s="68"/>
      <c r="CI126" s="68"/>
      <c r="CJ126" s="68"/>
      <c r="CK126" s="68"/>
      <c r="CL126" s="68"/>
      <c r="CM126" s="68"/>
      <c r="CN126" s="68"/>
      <c r="CO126" s="68"/>
      <c r="CP126" s="68"/>
      <c r="CQ126" s="68"/>
      <c r="CR126" s="68"/>
      <c r="CS126" s="68"/>
      <c r="CT126" s="68"/>
      <c r="CU126" s="68"/>
      <c r="CV126" s="68"/>
      <c r="CW126" s="68"/>
      <c r="CX126" s="68"/>
      <c r="CY126" s="68"/>
      <c r="CZ126" s="68"/>
      <c r="DA126" s="68"/>
      <c r="DB126" s="68"/>
      <c r="DC126" s="68"/>
      <c r="DD126" s="68"/>
      <c r="DE126" s="68"/>
      <c r="DF126" s="68"/>
      <c r="DG126" s="68"/>
      <c r="DH126" s="68"/>
      <c r="DI126" s="68"/>
      <c r="DJ126" s="68"/>
    </row>
    <row r="127" spans="5:114" x14ac:dyDescent="0.2">
      <c r="E127" s="68"/>
      <c r="G127" s="68"/>
      <c r="H127" s="68"/>
      <c r="I127" s="68"/>
      <c r="J127" s="68"/>
      <c r="K127" s="68"/>
      <c r="L127" s="68"/>
      <c r="M127" s="68"/>
      <c r="N127" s="68"/>
      <c r="O127" s="68"/>
      <c r="P127" s="68"/>
      <c r="Q127" s="68"/>
      <c r="R127" s="68"/>
      <c r="S127" s="68"/>
      <c r="T127" s="68"/>
      <c r="U127" s="68"/>
      <c r="V127" s="68"/>
      <c r="W127" s="68"/>
      <c r="X127" s="68"/>
      <c r="Y127" s="68"/>
      <c r="Z127" s="68"/>
      <c r="AA127" s="68"/>
      <c r="AB127" s="68"/>
      <c r="AC127" s="68"/>
      <c r="AD127" s="68"/>
      <c r="AE127" s="68"/>
      <c r="AF127" s="68"/>
      <c r="AG127" s="68"/>
      <c r="AH127" s="68"/>
      <c r="AI127" s="68"/>
      <c r="AJ127" s="68"/>
      <c r="AK127" s="68"/>
      <c r="AL127" s="68"/>
      <c r="AM127" s="68"/>
      <c r="AN127" s="68"/>
      <c r="AO127" s="68"/>
      <c r="AP127" s="68"/>
      <c r="AQ127" s="68"/>
      <c r="AR127" s="68"/>
      <c r="AS127" s="68"/>
      <c r="AT127" s="68"/>
      <c r="AU127" s="68"/>
      <c r="AV127" s="68"/>
      <c r="AW127" s="68"/>
      <c r="AX127" s="68"/>
      <c r="AY127" s="68"/>
      <c r="AZ127" s="68"/>
      <c r="BA127" s="68"/>
      <c r="BB127" s="68"/>
      <c r="BC127" s="68"/>
      <c r="BD127" s="68"/>
      <c r="BE127" s="68"/>
      <c r="BF127" s="68"/>
      <c r="BG127" s="68"/>
      <c r="BH127" s="71"/>
      <c r="BJ127" s="68"/>
      <c r="BK127" s="68"/>
      <c r="BL127" s="68"/>
      <c r="BM127" s="68"/>
      <c r="BN127" s="68"/>
      <c r="BO127" s="68"/>
      <c r="BP127" s="68"/>
      <c r="BQ127" s="68"/>
      <c r="BR127" s="68"/>
      <c r="BS127" s="68"/>
      <c r="BT127" s="68"/>
      <c r="BU127" s="68"/>
      <c r="BV127" s="68"/>
      <c r="BW127" s="68"/>
      <c r="BX127" s="68"/>
      <c r="BY127" s="68"/>
      <c r="BZ127" s="68"/>
      <c r="CA127" s="68"/>
      <c r="CB127" s="68"/>
      <c r="CC127" s="68"/>
      <c r="CD127" s="68"/>
      <c r="CE127" s="68"/>
      <c r="CF127" s="68"/>
      <c r="CG127" s="68"/>
      <c r="CH127" s="68"/>
      <c r="CI127" s="68"/>
      <c r="CJ127" s="68"/>
      <c r="CK127" s="68"/>
      <c r="CL127" s="68"/>
      <c r="CM127" s="68"/>
      <c r="CN127" s="68"/>
      <c r="CO127" s="68"/>
      <c r="CP127" s="68"/>
      <c r="CQ127" s="68"/>
      <c r="CR127" s="68"/>
      <c r="CS127" s="68"/>
      <c r="CT127" s="68"/>
      <c r="CU127" s="68"/>
      <c r="CV127" s="68"/>
      <c r="CW127" s="68"/>
      <c r="CX127" s="68"/>
      <c r="CY127" s="68"/>
      <c r="CZ127" s="68"/>
      <c r="DA127" s="68"/>
      <c r="DB127" s="68"/>
      <c r="DC127" s="68"/>
      <c r="DD127" s="68"/>
      <c r="DE127" s="68"/>
      <c r="DF127" s="68"/>
      <c r="DG127" s="68"/>
      <c r="DH127" s="68"/>
      <c r="DI127" s="68"/>
      <c r="DJ127" s="68"/>
    </row>
    <row r="128" spans="5:114" x14ac:dyDescent="0.2">
      <c r="E128" s="68"/>
      <c r="G128" s="68"/>
      <c r="H128" s="68"/>
      <c r="I128" s="68"/>
      <c r="J128" s="68"/>
      <c r="K128" s="68"/>
      <c r="L128" s="68"/>
      <c r="M128" s="68"/>
      <c r="N128" s="68"/>
      <c r="O128" s="68"/>
      <c r="P128" s="68"/>
      <c r="Q128" s="68"/>
      <c r="R128" s="68"/>
      <c r="S128" s="68"/>
      <c r="T128" s="68"/>
      <c r="U128" s="68"/>
      <c r="V128" s="68"/>
      <c r="W128" s="68"/>
      <c r="X128" s="68"/>
      <c r="Y128" s="68"/>
      <c r="Z128" s="68"/>
      <c r="AA128" s="68"/>
      <c r="AB128" s="68"/>
      <c r="AC128" s="68"/>
      <c r="AD128" s="68"/>
      <c r="AE128" s="68"/>
      <c r="AF128" s="68"/>
      <c r="AG128" s="68"/>
      <c r="AH128" s="68"/>
      <c r="AI128" s="68"/>
      <c r="AJ128" s="68"/>
      <c r="AK128" s="68"/>
      <c r="AL128" s="68"/>
      <c r="AM128" s="68"/>
      <c r="AN128" s="68"/>
      <c r="AO128" s="68"/>
      <c r="AP128" s="68"/>
      <c r="AQ128" s="68"/>
      <c r="AR128" s="68"/>
      <c r="AS128" s="68"/>
      <c r="AT128" s="68"/>
      <c r="AU128" s="68"/>
      <c r="AV128" s="68"/>
      <c r="AW128" s="68"/>
      <c r="AX128" s="68"/>
      <c r="AY128" s="68"/>
      <c r="AZ128" s="68"/>
      <c r="BA128" s="68"/>
      <c r="BB128" s="68"/>
      <c r="BC128" s="68"/>
      <c r="BD128" s="68"/>
      <c r="BE128" s="68"/>
      <c r="BF128" s="68"/>
      <c r="BG128" s="68"/>
      <c r="BH128" s="71"/>
      <c r="BJ128" s="68"/>
      <c r="BK128" s="68"/>
      <c r="BL128" s="68"/>
      <c r="BM128" s="68"/>
      <c r="BN128" s="68"/>
      <c r="BO128" s="68"/>
      <c r="BP128" s="68"/>
      <c r="BQ128" s="68"/>
      <c r="BR128" s="68"/>
      <c r="BS128" s="68"/>
      <c r="BT128" s="68"/>
      <c r="BU128" s="68"/>
      <c r="BV128" s="68"/>
      <c r="BW128" s="68"/>
      <c r="BX128" s="68"/>
      <c r="BY128" s="68"/>
      <c r="BZ128" s="68"/>
      <c r="CA128" s="68"/>
      <c r="CB128" s="68"/>
      <c r="CC128" s="68"/>
      <c r="CD128" s="68"/>
      <c r="CE128" s="68"/>
      <c r="CF128" s="68"/>
      <c r="CG128" s="68"/>
      <c r="CH128" s="68"/>
      <c r="CI128" s="68"/>
      <c r="CJ128" s="68"/>
      <c r="CK128" s="68"/>
      <c r="CL128" s="68"/>
      <c r="CM128" s="68"/>
      <c r="CN128" s="68"/>
      <c r="CO128" s="68"/>
      <c r="CP128" s="68"/>
      <c r="CQ128" s="68"/>
      <c r="CR128" s="68"/>
      <c r="CS128" s="68"/>
      <c r="CT128" s="68"/>
      <c r="CU128" s="68"/>
      <c r="CV128" s="68"/>
      <c r="CW128" s="68"/>
      <c r="CX128" s="68"/>
      <c r="CY128" s="68"/>
      <c r="CZ128" s="68"/>
      <c r="DA128" s="68"/>
      <c r="DB128" s="68"/>
      <c r="DC128" s="68"/>
      <c r="DD128" s="68"/>
      <c r="DE128" s="68"/>
      <c r="DF128" s="68"/>
      <c r="DG128" s="68"/>
      <c r="DH128" s="68"/>
      <c r="DI128" s="68"/>
      <c r="DJ128" s="68"/>
    </row>
    <row r="129" spans="5:114" x14ac:dyDescent="0.2">
      <c r="E129" s="68"/>
      <c r="G129" s="68"/>
      <c r="H129" s="68"/>
      <c r="I129" s="68"/>
      <c r="J129" s="68"/>
      <c r="K129" s="68"/>
      <c r="L129" s="68"/>
      <c r="M129" s="68"/>
      <c r="N129" s="68"/>
      <c r="O129" s="68"/>
      <c r="P129" s="68"/>
      <c r="Q129" s="68"/>
      <c r="R129" s="68"/>
      <c r="S129" s="68"/>
      <c r="T129" s="68"/>
      <c r="U129" s="68"/>
      <c r="V129" s="68"/>
      <c r="W129" s="68"/>
      <c r="X129" s="68"/>
      <c r="Y129" s="68"/>
      <c r="Z129" s="68"/>
      <c r="AA129" s="68"/>
      <c r="AB129" s="68"/>
      <c r="AC129" s="68"/>
      <c r="AD129" s="68"/>
      <c r="AE129" s="68"/>
      <c r="AF129" s="68"/>
      <c r="AG129" s="68"/>
      <c r="AH129" s="68"/>
      <c r="AI129" s="68"/>
      <c r="AJ129" s="68"/>
      <c r="AK129" s="68"/>
      <c r="AL129" s="68"/>
      <c r="AM129" s="68"/>
      <c r="AN129" s="68"/>
      <c r="AO129" s="68"/>
      <c r="AP129" s="68"/>
      <c r="AQ129" s="68"/>
      <c r="AR129" s="68"/>
      <c r="AS129" s="68"/>
      <c r="AT129" s="68"/>
      <c r="AU129" s="68"/>
      <c r="AV129" s="68"/>
      <c r="AW129" s="68"/>
      <c r="AX129" s="68"/>
      <c r="AY129" s="68"/>
      <c r="AZ129" s="68"/>
      <c r="BA129" s="68"/>
      <c r="BB129" s="68"/>
      <c r="BC129" s="68"/>
      <c r="BD129" s="68"/>
      <c r="BE129" s="68"/>
      <c r="BF129" s="68"/>
      <c r="BG129" s="68"/>
      <c r="BH129" s="71"/>
      <c r="BJ129" s="68"/>
      <c r="BK129" s="68"/>
      <c r="BL129" s="68"/>
      <c r="BM129" s="68"/>
      <c r="BN129" s="68"/>
      <c r="BO129" s="68"/>
      <c r="BP129" s="68"/>
      <c r="BQ129" s="68"/>
      <c r="BR129" s="68"/>
      <c r="BS129" s="68"/>
      <c r="BT129" s="68"/>
      <c r="BU129" s="68"/>
      <c r="BV129" s="68"/>
      <c r="BW129" s="68"/>
      <c r="BX129" s="68"/>
      <c r="BY129" s="68"/>
      <c r="BZ129" s="68"/>
      <c r="CA129" s="68"/>
      <c r="CB129" s="68"/>
      <c r="CC129" s="68"/>
      <c r="CD129" s="68"/>
      <c r="CE129" s="68"/>
      <c r="CF129" s="68"/>
      <c r="CG129" s="68"/>
      <c r="CH129" s="68"/>
      <c r="CI129" s="68"/>
      <c r="CJ129" s="68"/>
      <c r="CK129" s="68"/>
      <c r="CL129" s="68"/>
      <c r="CM129" s="68"/>
      <c r="CN129" s="68"/>
      <c r="CO129" s="68"/>
      <c r="CP129" s="68"/>
      <c r="CQ129" s="68"/>
      <c r="CR129" s="68"/>
      <c r="CS129" s="68"/>
      <c r="CT129" s="68"/>
      <c r="CU129" s="68"/>
      <c r="CV129" s="68"/>
      <c r="CW129" s="68"/>
      <c r="CX129" s="68"/>
      <c r="CY129" s="68"/>
      <c r="CZ129" s="68"/>
      <c r="DA129" s="68"/>
      <c r="DB129" s="68"/>
      <c r="DC129" s="68"/>
      <c r="DD129" s="68"/>
      <c r="DE129" s="68"/>
      <c r="DF129" s="68"/>
      <c r="DG129" s="68"/>
      <c r="DH129" s="68"/>
      <c r="DI129" s="68"/>
      <c r="DJ129" s="68"/>
    </row>
    <row r="130" spans="5:114" x14ac:dyDescent="0.2">
      <c r="E130" s="68"/>
      <c r="G130" s="68"/>
      <c r="H130" s="68"/>
      <c r="I130" s="68"/>
      <c r="J130" s="68"/>
      <c r="K130" s="68"/>
      <c r="L130" s="68"/>
      <c r="M130" s="68"/>
      <c r="N130" s="68"/>
      <c r="O130" s="68"/>
      <c r="P130" s="68"/>
      <c r="Q130" s="68"/>
      <c r="R130" s="68"/>
      <c r="S130" s="68"/>
      <c r="T130" s="68"/>
      <c r="U130" s="68"/>
      <c r="V130" s="68"/>
      <c r="W130" s="68"/>
      <c r="X130" s="68"/>
      <c r="Y130" s="68"/>
      <c r="Z130" s="68"/>
      <c r="AA130" s="68"/>
      <c r="AB130" s="68"/>
      <c r="AC130" s="68"/>
      <c r="AD130" s="68"/>
      <c r="AE130" s="68"/>
      <c r="AF130" s="68"/>
      <c r="AG130" s="68"/>
      <c r="AH130" s="68"/>
      <c r="AI130" s="68"/>
      <c r="AJ130" s="68"/>
      <c r="AK130" s="68"/>
      <c r="AL130" s="68"/>
      <c r="AM130" s="68"/>
      <c r="AN130" s="68"/>
      <c r="AO130" s="68"/>
      <c r="AP130" s="68"/>
      <c r="AQ130" s="68"/>
      <c r="AR130" s="68"/>
      <c r="AS130" s="68"/>
      <c r="AT130" s="68"/>
      <c r="AU130" s="68"/>
      <c r="AV130" s="68"/>
      <c r="AW130" s="68"/>
      <c r="AX130" s="68"/>
      <c r="AY130" s="68"/>
      <c r="AZ130" s="68"/>
      <c r="BA130" s="68"/>
      <c r="BB130" s="68"/>
      <c r="BC130" s="68"/>
      <c r="BD130" s="68"/>
      <c r="BE130" s="68"/>
      <c r="BF130" s="68"/>
      <c r="BG130" s="68"/>
      <c r="BH130" s="71"/>
      <c r="BJ130" s="68"/>
      <c r="BK130" s="68"/>
      <c r="BL130" s="68"/>
      <c r="BM130" s="68"/>
      <c r="BN130" s="68"/>
      <c r="BO130" s="68"/>
      <c r="BP130" s="68"/>
      <c r="BQ130" s="68"/>
      <c r="BR130" s="68"/>
      <c r="BS130" s="68"/>
      <c r="BT130" s="68"/>
      <c r="BU130" s="68"/>
      <c r="BV130" s="68"/>
      <c r="BW130" s="68"/>
      <c r="BX130" s="68"/>
      <c r="BY130" s="68"/>
      <c r="BZ130" s="68"/>
      <c r="CA130" s="68"/>
      <c r="CB130" s="68"/>
      <c r="CC130" s="68"/>
      <c r="CD130" s="68"/>
      <c r="CE130" s="68"/>
      <c r="CF130" s="68"/>
      <c r="CG130" s="68"/>
      <c r="CH130" s="68"/>
      <c r="CI130" s="68"/>
      <c r="CJ130" s="68"/>
      <c r="CK130" s="68"/>
      <c r="CL130" s="68"/>
      <c r="CM130" s="68"/>
      <c r="CN130" s="68"/>
      <c r="CO130" s="68"/>
      <c r="CP130" s="68"/>
      <c r="CQ130" s="68"/>
      <c r="CR130" s="68"/>
      <c r="CS130" s="68"/>
      <c r="CT130" s="68"/>
      <c r="CU130" s="68"/>
      <c r="CV130" s="68"/>
      <c r="CW130" s="68"/>
      <c r="CX130" s="68"/>
      <c r="CY130" s="68"/>
      <c r="CZ130" s="68"/>
      <c r="DA130" s="68"/>
      <c r="DB130" s="68"/>
      <c r="DC130" s="68"/>
      <c r="DD130" s="68"/>
      <c r="DE130" s="68"/>
      <c r="DF130" s="68"/>
      <c r="DG130" s="68"/>
      <c r="DH130" s="68"/>
      <c r="DI130" s="68"/>
      <c r="DJ130" s="68"/>
    </row>
    <row r="131" spans="5:114" x14ac:dyDescent="0.2">
      <c r="E131" s="68"/>
      <c r="G131" s="68"/>
      <c r="H131" s="68"/>
      <c r="I131" s="68"/>
      <c r="J131" s="68"/>
      <c r="K131" s="68"/>
      <c r="L131" s="68"/>
      <c r="M131" s="68"/>
      <c r="N131" s="68"/>
      <c r="O131" s="68"/>
      <c r="P131" s="68"/>
      <c r="Q131" s="68"/>
      <c r="R131" s="68"/>
      <c r="S131" s="68"/>
      <c r="T131" s="68"/>
      <c r="U131" s="68"/>
      <c r="V131" s="68"/>
      <c r="W131" s="68"/>
      <c r="X131" s="68"/>
      <c r="Y131" s="68"/>
      <c r="Z131" s="68"/>
      <c r="AA131" s="68"/>
      <c r="AB131" s="68"/>
      <c r="AC131" s="68"/>
      <c r="AD131" s="68"/>
      <c r="AE131" s="68"/>
      <c r="AF131" s="68"/>
      <c r="AG131" s="68"/>
      <c r="AH131" s="68"/>
      <c r="AI131" s="68"/>
      <c r="AJ131" s="68"/>
      <c r="AK131" s="68"/>
      <c r="AL131" s="68"/>
      <c r="AM131" s="68"/>
      <c r="AN131" s="68"/>
      <c r="AO131" s="68"/>
      <c r="AP131" s="68"/>
      <c r="AQ131" s="68"/>
      <c r="AR131" s="68"/>
      <c r="AS131" s="68"/>
      <c r="AT131" s="68"/>
      <c r="AU131" s="68"/>
      <c r="AV131" s="68"/>
      <c r="AW131" s="68"/>
      <c r="AX131" s="68"/>
      <c r="AY131" s="68"/>
      <c r="AZ131" s="68"/>
      <c r="BA131" s="68"/>
      <c r="BB131" s="68"/>
      <c r="BC131" s="68"/>
      <c r="BD131" s="68"/>
      <c r="BE131" s="68"/>
      <c r="BF131" s="68"/>
      <c r="BG131" s="68"/>
      <c r="BH131" s="71"/>
      <c r="BJ131" s="68"/>
      <c r="BK131" s="68"/>
      <c r="BL131" s="68"/>
      <c r="BM131" s="68"/>
      <c r="BN131" s="68"/>
      <c r="BO131" s="68"/>
      <c r="BP131" s="68"/>
      <c r="BQ131" s="68"/>
      <c r="BR131" s="68"/>
      <c r="BS131" s="68"/>
      <c r="BT131" s="68"/>
      <c r="BU131" s="68"/>
      <c r="BV131" s="68"/>
      <c r="BW131" s="68"/>
      <c r="BX131" s="68"/>
      <c r="BY131" s="68"/>
      <c r="BZ131" s="68"/>
      <c r="CA131" s="68"/>
      <c r="CB131" s="68"/>
      <c r="CC131" s="68"/>
      <c r="CD131" s="68"/>
      <c r="CE131" s="68"/>
      <c r="CF131" s="68"/>
      <c r="CG131" s="68"/>
      <c r="CH131" s="68"/>
      <c r="CI131" s="68"/>
      <c r="CJ131" s="68"/>
      <c r="CK131" s="68"/>
      <c r="CL131" s="68"/>
      <c r="CM131" s="68"/>
      <c r="CN131" s="68"/>
      <c r="CO131" s="68"/>
      <c r="CP131" s="68"/>
      <c r="CQ131" s="68"/>
      <c r="CR131" s="68"/>
      <c r="CS131" s="68"/>
      <c r="CT131" s="68"/>
      <c r="CU131" s="68"/>
      <c r="CV131" s="68"/>
      <c r="CW131" s="68"/>
      <c r="CX131" s="68"/>
      <c r="CY131" s="68"/>
      <c r="CZ131" s="68"/>
      <c r="DA131" s="68"/>
      <c r="DB131" s="68"/>
      <c r="DC131" s="68"/>
      <c r="DD131" s="68"/>
      <c r="DE131" s="68"/>
      <c r="DF131" s="68"/>
      <c r="DG131" s="68"/>
      <c r="DH131" s="68"/>
      <c r="DI131" s="68"/>
      <c r="DJ131" s="68"/>
    </row>
    <row r="132" spans="5:114" x14ac:dyDescent="0.2">
      <c r="E132" s="68"/>
      <c r="G132" s="68"/>
      <c r="H132" s="68"/>
      <c r="I132" s="68"/>
      <c r="J132" s="68"/>
      <c r="K132" s="68"/>
      <c r="L132" s="68"/>
      <c r="M132" s="68"/>
      <c r="N132" s="68"/>
      <c r="O132" s="68"/>
      <c r="P132" s="68"/>
      <c r="Q132" s="68"/>
      <c r="R132" s="68"/>
      <c r="S132" s="68"/>
      <c r="T132" s="68"/>
      <c r="U132" s="68"/>
      <c r="V132" s="68"/>
      <c r="W132" s="68"/>
      <c r="X132" s="68"/>
      <c r="Y132" s="68"/>
      <c r="Z132" s="68"/>
      <c r="AA132" s="68"/>
      <c r="AB132" s="68"/>
      <c r="AC132" s="68"/>
      <c r="AD132" s="68"/>
      <c r="AE132" s="68"/>
      <c r="AF132" s="68"/>
      <c r="AG132" s="68"/>
      <c r="AH132" s="68"/>
      <c r="AI132" s="68"/>
      <c r="AJ132" s="68"/>
      <c r="AK132" s="68"/>
      <c r="AL132" s="68"/>
      <c r="AM132" s="68"/>
      <c r="AN132" s="68"/>
      <c r="AO132" s="68"/>
      <c r="AP132" s="68"/>
      <c r="AQ132" s="68"/>
      <c r="AR132" s="68"/>
      <c r="AS132" s="68"/>
      <c r="AT132" s="68"/>
      <c r="AU132" s="68"/>
      <c r="AV132" s="68"/>
      <c r="AW132" s="68"/>
      <c r="AX132" s="68"/>
      <c r="AY132" s="68"/>
      <c r="AZ132" s="68"/>
      <c r="BA132" s="68"/>
      <c r="BB132" s="68"/>
      <c r="BC132" s="68"/>
      <c r="BD132" s="68"/>
      <c r="BE132" s="68"/>
      <c r="BF132" s="68"/>
      <c r="BG132" s="68"/>
      <c r="BH132" s="71"/>
      <c r="BJ132" s="68"/>
      <c r="BK132" s="68"/>
      <c r="BL132" s="68"/>
      <c r="BM132" s="68"/>
      <c r="BN132" s="68"/>
      <c r="BO132" s="68"/>
      <c r="BP132" s="68"/>
      <c r="BQ132" s="68"/>
      <c r="BR132" s="68"/>
      <c r="BS132" s="68"/>
      <c r="BT132" s="68"/>
      <c r="BU132" s="68"/>
      <c r="BV132" s="68"/>
      <c r="BW132" s="68"/>
      <c r="BX132" s="68"/>
      <c r="BY132" s="68"/>
      <c r="BZ132" s="68"/>
      <c r="CA132" s="68"/>
      <c r="CB132" s="68"/>
      <c r="CC132" s="68"/>
      <c r="CD132" s="68"/>
      <c r="CE132" s="68"/>
      <c r="CF132" s="68"/>
      <c r="CG132" s="68"/>
      <c r="CH132" s="68"/>
      <c r="CI132" s="68"/>
      <c r="CJ132" s="68"/>
      <c r="CK132" s="68"/>
      <c r="CL132" s="68"/>
      <c r="CM132" s="68"/>
      <c r="CN132" s="68"/>
      <c r="CO132" s="68"/>
      <c r="CP132" s="68"/>
      <c r="CQ132" s="68"/>
      <c r="CR132" s="68"/>
      <c r="CS132" s="68"/>
      <c r="CT132" s="68"/>
      <c r="CU132" s="68"/>
      <c r="CV132" s="68"/>
      <c r="CW132" s="68"/>
      <c r="CX132" s="68"/>
      <c r="CY132" s="68"/>
      <c r="CZ132" s="68"/>
      <c r="DA132" s="68"/>
      <c r="DB132" s="68"/>
      <c r="DC132" s="68"/>
      <c r="DD132" s="68"/>
      <c r="DE132" s="68"/>
      <c r="DF132" s="68"/>
      <c r="DG132" s="68"/>
      <c r="DH132" s="68"/>
      <c r="DI132" s="68"/>
      <c r="DJ132" s="68"/>
    </row>
    <row r="133" spans="5:114" x14ac:dyDescent="0.2">
      <c r="E133" s="68"/>
      <c r="G133" s="68"/>
      <c r="H133" s="68"/>
      <c r="I133" s="68"/>
      <c r="J133" s="68"/>
      <c r="K133" s="68"/>
      <c r="L133" s="68"/>
      <c r="M133" s="68"/>
      <c r="N133" s="68"/>
      <c r="O133" s="68"/>
      <c r="P133" s="68"/>
      <c r="Q133" s="68"/>
      <c r="R133" s="68"/>
      <c r="S133" s="68"/>
      <c r="T133" s="68"/>
      <c r="U133" s="68"/>
      <c r="V133" s="68"/>
      <c r="W133" s="68"/>
      <c r="X133" s="68"/>
      <c r="Y133" s="68"/>
      <c r="Z133" s="68"/>
      <c r="AA133" s="68"/>
      <c r="AB133" s="68"/>
      <c r="AC133" s="68"/>
      <c r="AD133" s="68"/>
      <c r="AE133" s="68"/>
      <c r="AF133" s="68"/>
      <c r="AG133" s="68"/>
      <c r="AH133" s="68"/>
      <c r="AI133" s="68"/>
      <c r="AJ133" s="68"/>
      <c r="AK133" s="68"/>
      <c r="AL133" s="68"/>
      <c r="AM133" s="68"/>
      <c r="AN133" s="68"/>
      <c r="AO133" s="68"/>
      <c r="AP133" s="68"/>
      <c r="AQ133" s="68"/>
      <c r="AR133" s="68"/>
      <c r="AS133" s="68"/>
      <c r="AT133" s="68"/>
      <c r="AU133" s="68"/>
      <c r="AV133" s="68"/>
      <c r="AW133" s="68"/>
      <c r="AX133" s="68"/>
      <c r="AY133" s="68"/>
      <c r="AZ133" s="68"/>
      <c r="BA133" s="68"/>
      <c r="BB133" s="68"/>
      <c r="BC133" s="68"/>
      <c r="BD133" s="68"/>
      <c r="BE133" s="68"/>
      <c r="BF133" s="68"/>
      <c r="BG133" s="68"/>
      <c r="BH133" s="71"/>
      <c r="BJ133" s="68"/>
      <c r="BK133" s="68"/>
      <c r="BL133" s="68"/>
      <c r="BM133" s="68"/>
      <c r="BN133" s="68"/>
      <c r="BO133" s="68"/>
      <c r="BP133" s="68"/>
      <c r="BQ133" s="68"/>
      <c r="BR133" s="68"/>
      <c r="BS133" s="68"/>
      <c r="BT133" s="68"/>
      <c r="BU133" s="68"/>
      <c r="BV133" s="68"/>
      <c r="BW133" s="68"/>
      <c r="BX133" s="68"/>
      <c r="BY133" s="68"/>
      <c r="BZ133" s="68"/>
      <c r="CA133" s="68"/>
      <c r="CB133" s="68"/>
      <c r="CC133" s="68"/>
      <c r="CD133" s="68"/>
      <c r="CE133" s="68"/>
      <c r="CF133" s="68"/>
      <c r="CG133" s="68"/>
      <c r="CH133" s="68"/>
      <c r="CI133" s="68"/>
      <c r="CJ133" s="68"/>
      <c r="CK133" s="68"/>
      <c r="CL133" s="68"/>
      <c r="CM133" s="68"/>
      <c r="CN133" s="68"/>
      <c r="CO133" s="68"/>
      <c r="CP133" s="68"/>
      <c r="CQ133" s="68"/>
      <c r="CR133" s="68"/>
      <c r="CS133" s="68"/>
      <c r="CT133" s="68"/>
      <c r="CU133" s="68"/>
      <c r="CV133" s="68"/>
      <c r="CW133" s="68"/>
      <c r="CX133" s="68"/>
      <c r="CY133" s="68"/>
      <c r="CZ133" s="68"/>
      <c r="DA133" s="68"/>
      <c r="DB133" s="68"/>
      <c r="DC133" s="68"/>
      <c r="DD133" s="68"/>
      <c r="DE133" s="68"/>
      <c r="DF133" s="68"/>
      <c r="DG133" s="68"/>
      <c r="DH133" s="68"/>
      <c r="DI133" s="68"/>
      <c r="DJ133" s="68"/>
    </row>
    <row r="134" spans="5:114" x14ac:dyDescent="0.2">
      <c r="E134" s="68"/>
      <c r="G134" s="68"/>
      <c r="H134" s="68"/>
      <c r="I134" s="68"/>
      <c r="J134" s="68"/>
      <c r="K134" s="68"/>
      <c r="L134" s="68"/>
      <c r="M134" s="68"/>
      <c r="N134" s="68"/>
      <c r="O134" s="68"/>
      <c r="P134" s="68"/>
      <c r="Q134" s="68"/>
      <c r="R134" s="68"/>
      <c r="S134" s="68"/>
      <c r="T134" s="68"/>
      <c r="U134" s="68"/>
      <c r="V134" s="68"/>
      <c r="W134" s="68"/>
      <c r="X134" s="68"/>
      <c r="Y134" s="68"/>
      <c r="Z134" s="68"/>
      <c r="AA134" s="68"/>
      <c r="AB134" s="68"/>
      <c r="AC134" s="68"/>
      <c r="AD134" s="68"/>
      <c r="AE134" s="68"/>
      <c r="AF134" s="68"/>
      <c r="AG134" s="68"/>
      <c r="AH134" s="68"/>
      <c r="AI134" s="68"/>
      <c r="AJ134" s="68"/>
      <c r="AK134" s="68"/>
      <c r="AL134" s="68"/>
      <c r="AM134" s="68"/>
      <c r="AN134" s="68"/>
      <c r="AO134" s="68"/>
      <c r="AP134" s="68"/>
      <c r="AQ134" s="68"/>
      <c r="AR134" s="68"/>
      <c r="AS134" s="68"/>
      <c r="AT134" s="68"/>
      <c r="AU134" s="68"/>
      <c r="AV134" s="68"/>
      <c r="AW134" s="68"/>
      <c r="AX134" s="68"/>
      <c r="AY134" s="68"/>
      <c r="AZ134" s="68"/>
      <c r="BA134" s="68"/>
      <c r="BB134" s="68"/>
      <c r="BC134" s="68"/>
      <c r="BD134" s="68"/>
      <c r="BE134" s="68"/>
      <c r="BF134" s="68"/>
      <c r="BG134" s="68"/>
      <c r="BH134" s="71"/>
      <c r="BJ134" s="68"/>
      <c r="BK134" s="68"/>
      <c r="BL134" s="68"/>
      <c r="BM134" s="68"/>
      <c r="BN134" s="68"/>
      <c r="BO134" s="68"/>
      <c r="BP134" s="68"/>
      <c r="BQ134" s="68"/>
      <c r="BR134" s="68"/>
      <c r="BS134" s="68"/>
      <c r="BT134" s="68"/>
      <c r="BU134" s="68"/>
      <c r="BV134" s="68"/>
      <c r="BW134" s="68"/>
      <c r="BX134" s="68"/>
      <c r="BY134" s="68"/>
      <c r="BZ134" s="68"/>
      <c r="CA134" s="68"/>
      <c r="CB134" s="68"/>
      <c r="CC134" s="68"/>
      <c r="CD134" s="68"/>
      <c r="CE134" s="68"/>
      <c r="CF134" s="68"/>
      <c r="CG134" s="68"/>
      <c r="CH134" s="68"/>
      <c r="CI134" s="68"/>
      <c r="CJ134" s="68"/>
      <c r="CK134" s="68"/>
      <c r="CL134" s="68"/>
      <c r="CM134" s="68"/>
      <c r="CN134" s="68"/>
      <c r="CO134" s="68"/>
      <c r="CP134" s="68"/>
      <c r="CQ134" s="68"/>
      <c r="CR134" s="68"/>
      <c r="CS134" s="68"/>
      <c r="CT134" s="68"/>
      <c r="CU134" s="68"/>
      <c r="CV134" s="68"/>
      <c r="CW134" s="68"/>
      <c r="CX134" s="68"/>
      <c r="CY134" s="68"/>
      <c r="CZ134" s="68"/>
      <c r="DA134" s="68"/>
      <c r="DB134" s="68"/>
      <c r="DC134" s="68"/>
      <c r="DD134" s="68"/>
      <c r="DE134" s="68"/>
      <c r="DF134" s="68"/>
      <c r="DG134" s="68"/>
      <c r="DH134" s="68"/>
      <c r="DI134" s="68"/>
      <c r="DJ134" s="68"/>
    </row>
    <row r="135" spans="5:114" x14ac:dyDescent="0.2">
      <c r="E135" s="68"/>
      <c r="G135" s="68"/>
      <c r="H135" s="68"/>
      <c r="I135" s="68"/>
      <c r="J135" s="68"/>
      <c r="K135" s="68"/>
      <c r="L135" s="68"/>
      <c r="M135" s="68"/>
      <c r="N135" s="68"/>
      <c r="O135" s="68"/>
      <c r="P135" s="68"/>
      <c r="Q135" s="68"/>
      <c r="R135" s="68"/>
      <c r="S135" s="68"/>
      <c r="T135" s="68"/>
      <c r="U135" s="68"/>
      <c r="V135" s="68"/>
      <c r="W135" s="68"/>
      <c r="X135" s="68"/>
      <c r="Y135" s="68"/>
      <c r="Z135" s="68"/>
      <c r="AA135" s="68"/>
      <c r="AB135" s="68"/>
      <c r="AC135" s="68"/>
      <c r="AD135" s="68"/>
      <c r="AE135" s="68"/>
      <c r="AF135" s="68"/>
      <c r="AG135" s="68"/>
      <c r="AH135" s="68"/>
      <c r="AI135" s="68"/>
      <c r="AJ135" s="68"/>
      <c r="AK135" s="68"/>
      <c r="AL135" s="68"/>
      <c r="AM135" s="68"/>
      <c r="AN135" s="68"/>
      <c r="AO135" s="68"/>
      <c r="AP135" s="68"/>
      <c r="AQ135" s="68"/>
      <c r="AR135" s="68"/>
      <c r="AS135" s="68"/>
      <c r="AT135" s="68"/>
      <c r="AU135" s="68"/>
      <c r="AV135" s="68"/>
      <c r="AW135" s="68"/>
      <c r="AX135" s="68"/>
      <c r="AY135" s="68"/>
      <c r="AZ135" s="68"/>
      <c r="BA135" s="68"/>
      <c r="BB135" s="68"/>
      <c r="BC135" s="68"/>
      <c r="BD135" s="68"/>
      <c r="BE135" s="68"/>
      <c r="BF135" s="68"/>
      <c r="BG135" s="68"/>
      <c r="BH135" s="71"/>
      <c r="BJ135" s="68"/>
      <c r="BK135" s="68"/>
      <c r="BL135" s="68"/>
      <c r="BM135" s="68"/>
      <c r="BN135" s="68"/>
      <c r="BO135" s="68"/>
      <c r="BP135" s="68"/>
      <c r="BQ135" s="68"/>
      <c r="BR135" s="68"/>
      <c r="BS135" s="68"/>
      <c r="BT135" s="68"/>
      <c r="BU135" s="68"/>
      <c r="BV135" s="68"/>
      <c r="BW135" s="68"/>
      <c r="BX135" s="68"/>
      <c r="BY135" s="68"/>
      <c r="BZ135" s="68"/>
      <c r="CA135" s="68"/>
      <c r="CB135" s="68"/>
      <c r="CC135" s="68"/>
      <c r="CD135" s="68"/>
      <c r="CE135" s="68"/>
      <c r="CF135" s="68"/>
      <c r="CG135" s="68"/>
      <c r="CH135" s="68"/>
      <c r="CI135" s="68"/>
      <c r="CJ135" s="68"/>
      <c r="CK135" s="68"/>
      <c r="CL135" s="68"/>
      <c r="CM135" s="68"/>
      <c r="CN135" s="68"/>
      <c r="CO135" s="68"/>
      <c r="CP135" s="68"/>
      <c r="CQ135" s="68"/>
      <c r="CR135" s="68"/>
      <c r="CS135" s="68"/>
      <c r="CT135" s="68"/>
      <c r="CU135" s="68"/>
      <c r="CV135" s="68"/>
      <c r="CW135" s="68"/>
      <c r="CX135" s="68"/>
      <c r="CY135" s="68"/>
      <c r="CZ135" s="68"/>
      <c r="DA135" s="68"/>
      <c r="DB135" s="68"/>
      <c r="DC135" s="68"/>
      <c r="DD135" s="68"/>
      <c r="DE135" s="68"/>
      <c r="DF135" s="68"/>
      <c r="DG135" s="68"/>
      <c r="DH135" s="68"/>
      <c r="DI135" s="68"/>
      <c r="DJ135" s="68"/>
    </row>
    <row r="136" spans="5:114" x14ac:dyDescent="0.2">
      <c r="E136" s="68"/>
      <c r="G136" s="68"/>
      <c r="H136" s="68"/>
      <c r="I136" s="68"/>
      <c r="J136" s="68"/>
      <c r="K136" s="68"/>
      <c r="L136" s="68"/>
      <c r="M136" s="68"/>
      <c r="N136" s="68"/>
      <c r="O136" s="68"/>
      <c r="P136" s="68"/>
      <c r="Q136" s="68"/>
      <c r="R136" s="68"/>
      <c r="S136" s="68"/>
      <c r="T136" s="68"/>
      <c r="U136" s="68"/>
      <c r="V136" s="68"/>
      <c r="W136" s="68"/>
      <c r="X136" s="68"/>
      <c r="Y136" s="68"/>
      <c r="Z136" s="68"/>
      <c r="AA136" s="68"/>
      <c r="AB136" s="68"/>
      <c r="AC136" s="68"/>
      <c r="AD136" s="68"/>
      <c r="AE136" s="68"/>
      <c r="AF136" s="68"/>
      <c r="AG136" s="68"/>
      <c r="AH136" s="68"/>
      <c r="AI136" s="68"/>
      <c r="AJ136" s="68"/>
      <c r="AK136" s="68"/>
      <c r="AL136" s="68"/>
      <c r="AM136" s="68"/>
      <c r="AN136" s="68"/>
      <c r="AO136" s="68"/>
      <c r="AP136" s="68"/>
      <c r="AQ136" s="68"/>
      <c r="AR136" s="68"/>
      <c r="AS136" s="68"/>
      <c r="AT136" s="68"/>
      <c r="AU136" s="68"/>
      <c r="AV136" s="68"/>
      <c r="AW136" s="68"/>
      <c r="AX136" s="68"/>
      <c r="AY136" s="68"/>
      <c r="AZ136" s="68"/>
      <c r="BA136" s="68"/>
      <c r="BB136" s="68"/>
      <c r="BC136" s="68"/>
      <c r="BD136" s="68"/>
      <c r="BE136" s="68"/>
      <c r="BF136" s="68"/>
      <c r="BG136" s="68"/>
      <c r="BH136" s="71"/>
      <c r="BJ136" s="68"/>
      <c r="BK136" s="68"/>
      <c r="BL136" s="68"/>
      <c r="BM136" s="68"/>
      <c r="BN136" s="68"/>
      <c r="BO136" s="68"/>
      <c r="BP136" s="68"/>
      <c r="BQ136" s="68"/>
      <c r="BR136" s="68"/>
      <c r="BS136" s="68"/>
      <c r="BT136" s="68"/>
      <c r="BU136" s="68"/>
      <c r="BV136" s="68"/>
      <c r="BW136" s="68"/>
      <c r="BX136" s="68"/>
      <c r="BY136" s="68"/>
      <c r="BZ136" s="68"/>
      <c r="CA136" s="68"/>
      <c r="CB136" s="68"/>
      <c r="CC136" s="68"/>
      <c r="CD136" s="68"/>
      <c r="CE136" s="68"/>
      <c r="CF136" s="68"/>
      <c r="CG136" s="68"/>
      <c r="CH136" s="68"/>
      <c r="CI136" s="68"/>
      <c r="CJ136" s="68"/>
      <c r="CK136" s="68"/>
      <c r="CL136" s="68"/>
      <c r="CM136" s="68"/>
      <c r="CN136" s="68"/>
      <c r="CO136" s="68"/>
      <c r="CP136" s="68"/>
      <c r="CQ136" s="68"/>
      <c r="CR136" s="68"/>
      <c r="CS136" s="68"/>
      <c r="CT136" s="68"/>
      <c r="CU136" s="68"/>
      <c r="CV136" s="68"/>
      <c r="CW136" s="68"/>
      <c r="CX136" s="68"/>
      <c r="CY136" s="68"/>
      <c r="CZ136" s="68"/>
      <c r="DA136" s="68"/>
      <c r="DB136" s="68"/>
      <c r="DC136" s="68"/>
      <c r="DD136" s="68"/>
      <c r="DE136" s="68"/>
      <c r="DF136" s="68"/>
      <c r="DG136" s="68"/>
      <c r="DH136" s="68"/>
      <c r="DI136" s="68"/>
      <c r="DJ136" s="68"/>
    </row>
    <row r="137" spans="5:114" x14ac:dyDescent="0.2">
      <c r="E137" s="68"/>
      <c r="G137" s="68"/>
      <c r="H137" s="68"/>
      <c r="I137" s="68"/>
      <c r="J137" s="68"/>
      <c r="K137" s="68"/>
      <c r="L137" s="68"/>
      <c r="M137" s="68"/>
      <c r="N137" s="68"/>
      <c r="O137" s="68"/>
      <c r="P137" s="68"/>
      <c r="Q137" s="68"/>
      <c r="R137" s="68"/>
      <c r="S137" s="68"/>
      <c r="T137" s="68"/>
      <c r="U137" s="68"/>
      <c r="V137" s="68"/>
      <c r="W137" s="68"/>
      <c r="X137" s="68"/>
      <c r="Y137" s="68"/>
      <c r="Z137" s="68"/>
      <c r="AA137" s="68"/>
      <c r="AB137" s="68"/>
      <c r="AC137" s="68"/>
      <c r="AD137" s="68"/>
      <c r="AE137" s="68"/>
      <c r="AF137" s="68"/>
      <c r="AG137" s="68"/>
      <c r="AH137" s="68"/>
      <c r="AI137" s="68"/>
      <c r="AJ137" s="68"/>
      <c r="AK137" s="68"/>
      <c r="AL137" s="68"/>
      <c r="AM137" s="68"/>
      <c r="AN137" s="68"/>
      <c r="AO137" s="68"/>
      <c r="AP137" s="68"/>
      <c r="AQ137" s="68"/>
      <c r="AR137" s="68"/>
      <c r="AS137" s="68"/>
      <c r="AT137" s="68"/>
      <c r="AU137" s="68"/>
      <c r="AV137" s="68"/>
      <c r="AW137" s="68"/>
      <c r="AX137" s="68"/>
      <c r="AY137" s="68"/>
      <c r="AZ137" s="68"/>
      <c r="BA137" s="68"/>
      <c r="BB137" s="68"/>
      <c r="BC137" s="68"/>
      <c r="BD137" s="68"/>
      <c r="BE137" s="68"/>
      <c r="BF137" s="68"/>
      <c r="BG137" s="68"/>
      <c r="BH137" s="71"/>
      <c r="BJ137" s="68"/>
      <c r="BK137" s="68"/>
      <c r="BL137" s="68"/>
      <c r="BM137" s="68"/>
      <c r="BN137" s="68"/>
      <c r="BO137" s="68"/>
      <c r="BP137" s="68"/>
      <c r="BQ137" s="68"/>
      <c r="BR137" s="68"/>
      <c r="BS137" s="68"/>
      <c r="BT137" s="68"/>
      <c r="BU137" s="68"/>
      <c r="BV137" s="68"/>
      <c r="BW137" s="68"/>
      <c r="BX137" s="68"/>
      <c r="BY137" s="68"/>
      <c r="BZ137" s="68"/>
      <c r="CA137" s="68"/>
      <c r="CB137" s="68"/>
      <c r="CC137" s="68"/>
      <c r="CD137" s="68"/>
      <c r="CE137" s="68"/>
      <c r="CF137" s="68"/>
      <c r="CG137" s="68"/>
      <c r="CH137" s="68"/>
      <c r="CI137" s="68"/>
      <c r="CJ137" s="68"/>
      <c r="CK137" s="68"/>
      <c r="CL137" s="68"/>
      <c r="CM137" s="68"/>
      <c r="CN137" s="68"/>
      <c r="CO137" s="68"/>
      <c r="CP137" s="68"/>
      <c r="CQ137" s="68"/>
      <c r="CR137" s="68"/>
      <c r="CS137" s="68"/>
      <c r="CT137" s="68"/>
      <c r="CU137" s="68"/>
      <c r="CV137" s="68"/>
      <c r="CW137" s="68"/>
      <c r="CX137" s="68"/>
      <c r="CY137" s="68"/>
      <c r="CZ137" s="68"/>
      <c r="DA137" s="68"/>
      <c r="DB137" s="68"/>
      <c r="DC137" s="68"/>
      <c r="DD137" s="68"/>
      <c r="DE137" s="68"/>
      <c r="DF137" s="68"/>
      <c r="DG137" s="68"/>
      <c r="DH137" s="68"/>
      <c r="DI137" s="68"/>
      <c r="DJ137" s="68"/>
    </row>
    <row r="138" spans="5:114" x14ac:dyDescent="0.2">
      <c r="E138" s="68"/>
      <c r="G138" s="68"/>
      <c r="H138" s="68"/>
      <c r="I138" s="68"/>
      <c r="J138" s="68"/>
      <c r="K138" s="68"/>
      <c r="L138" s="68"/>
      <c r="M138" s="68"/>
      <c r="N138" s="68"/>
      <c r="O138" s="68"/>
      <c r="P138" s="68"/>
      <c r="Q138" s="68"/>
      <c r="R138" s="68"/>
      <c r="S138" s="68"/>
      <c r="T138" s="68"/>
      <c r="U138" s="68"/>
      <c r="V138" s="68"/>
      <c r="W138" s="68"/>
      <c r="X138" s="68"/>
      <c r="Y138" s="68"/>
      <c r="Z138" s="68"/>
      <c r="AA138" s="68"/>
      <c r="AB138" s="68"/>
      <c r="AC138" s="68"/>
      <c r="AD138" s="68"/>
      <c r="AE138" s="68"/>
      <c r="AF138" s="68"/>
      <c r="AG138" s="68"/>
      <c r="AH138" s="68"/>
      <c r="AI138" s="68"/>
      <c r="AJ138" s="68"/>
      <c r="AK138" s="68"/>
      <c r="AL138" s="68"/>
      <c r="AM138" s="68"/>
      <c r="AN138" s="68"/>
      <c r="AO138" s="68"/>
      <c r="AP138" s="68"/>
      <c r="AQ138" s="68"/>
      <c r="AR138" s="68"/>
      <c r="AS138" s="68"/>
      <c r="AT138" s="68"/>
      <c r="AU138" s="68"/>
      <c r="AV138" s="68"/>
      <c r="AW138" s="68"/>
      <c r="AX138" s="68"/>
      <c r="AY138" s="68"/>
      <c r="AZ138" s="68"/>
      <c r="BA138" s="68"/>
      <c r="BB138" s="68"/>
      <c r="BC138" s="68"/>
      <c r="BD138" s="68"/>
      <c r="BE138" s="68"/>
      <c r="BF138" s="68"/>
      <c r="BG138" s="68"/>
      <c r="BH138" s="71"/>
      <c r="BJ138" s="68"/>
      <c r="BK138" s="68"/>
      <c r="BL138" s="68"/>
      <c r="BM138" s="68"/>
      <c r="BN138" s="68"/>
      <c r="BO138" s="68"/>
      <c r="BP138" s="68"/>
      <c r="BQ138" s="68"/>
      <c r="BR138" s="68"/>
      <c r="BS138" s="68"/>
      <c r="BT138" s="68"/>
      <c r="BU138" s="68"/>
      <c r="BV138" s="68"/>
      <c r="BW138" s="68"/>
      <c r="BX138" s="68"/>
      <c r="BY138" s="68"/>
      <c r="BZ138" s="68"/>
      <c r="CA138" s="68"/>
      <c r="CB138" s="68"/>
      <c r="CC138" s="68"/>
      <c r="CD138" s="68"/>
      <c r="CE138" s="68"/>
      <c r="CF138" s="68"/>
      <c r="CG138" s="68"/>
      <c r="CH138" s="68"/>
      <c r="CI138" s="68"/>
      <c r="CJ138" s="68"/>
      <c r="CK138" s="68"/>
      <c r="CL138" s="68"/>
      <c r="CM138" s="68"/>
      <c r="CN138" s="68"/>
      <c r="CO138" s="68"/>
      <c r="CP138" s="68"/>
      <c r="CQ138" s="68"/>
      <c r="CR138" s="68"/>
      <c r="CS138" s="68"/>
      <c r="CT138" s="68"/>
      <c r="CU138" s="68"/>
      <c r="CV138" s="68"/>
      <c r="CW138" s="68"/>
      <c r="CX138" s="68"/>
      <c r="CY138" s="68"/>
      <c r="CZ138" s="68"/>
      <c r="DA138" s="68"/>
      <c r="DB138" s="68"/>
      <c r="DC138" s="68"/>
      <c r="DD138" s="68"/>
      <c r="DE138" s="68"/>
      <c r="DF138" s="68"/>
      <c r="DG138" s="68"/>
      <c r="DH138" s="68"/>
      <c r="DI138" s="68"/>
      <c r="DJ138" s="68"/>
    </row>
    <row r="139" spans="5:114" x14ac:dyDescent="0.2">
      <c r="E139" s="68"/>
      <c r="G139" s="68"/>
      <c r="H139" s="68"/>
      <c r="I139" s="68"/>
      <c r="J139" s="68"/>
      <c r="K139" s="68"/>
      <c r="L139" s="68"/>
      <c r="M139" s="68"/>
      <c r="N139" s="68"/>
      <c r="O139" s="68"/>
      <c r="P139" s="68"/>
      <c r="Q139" s="68"/>
      <c r="R139" s="68"/>
      <c r="S139" s="68"/>
      <c r="T139" s="68"/>
      <c r="U139" s="68"/>
      <c r="V139" s="68"/>
      <c r="W139" s="68"/>
      <c r="X139" s="68"/>
      <c r="Y139" s="68"/>
      <c r="Z139" s="68"/>
      <c r="AA139" s="68"/>
      <c r="AB139" s="68"/>
      <c r="AC139" s="68"/>
      <c r="AD139" s="68"/>
      <c r="AE139" s="68"/>
      <c r="AF139" s="68"/>
      <c r="AG139" s="68"/>
      <c r="AH139" s="68"/>
      <c r="AI139" s="68"/>
      <c r="AJ139" s="68"/>
      <c r="AK139" s="68"/>
      <c r="AL139" s="68"/>
      <c r="AM139" s="68"/>
      <c r="AN139" s="68"/>
      <c r="AO139" s="68"/>
      <c r="AP139" s="68"/>
      <c r="AQ139" s="68"/>
      <c r="AR139" s="68"/>
      <c r="AS139" s="68"/>
      <c r="AT139" s="68"/>
      <c r="AU139" s="68"/>
      <c r="AV139" s="68"/>
      <c r="AW139" s="68"/>
      <c r="AX139" s="68"/>
      <c r="AY139" s="68"/>
      <c r="AZ139" s="68"/>
      <c r="BA139" s="68"/>
      <c r="BB139" s="68"/>
      <c r="BC139" s="68"/>
      <c r="BD139" s="68"/>
      <c r="BE139" s="68"/>
      <c r="BF139" s="68"/>
      <c r="BG139" s="68"/>
      <c r="BH139" s="71"/>
      <c r="BJ139" s="68"/>
      <c r="BK139" s="68"/>
      <c r="BL139" s="68"/>
      <c r="BM139" s="68"/>
      <c r="BN139" s="68"/>
      <c r="BO139" s="68"/>
      <c r="BP139" s="68"/>
      <c r="BQ139" s="68"/>
      <c r="BR139" s="68"/>
      <c r="BS139" s="68"/>
      <c r="BT139" s="68"/>
      <c r="BU139" s="68"/>
      <c r="BV139" s="68"/>
      <c r="BW139" s="68"/>
      <c r="BX139" s="68"/>
      <c r="BY139" s="68"/>
      <c r="BZ139" s="68"/>
      <c r="CA139" s="68"/>
      <c r="CB139" s="68"/>
      <c r="CC139" s="68"/>
      <c r="CD139" s="68"/>
      <c r="CE139" s="68"/>
      <c r="CF139" s="68"/>
      <c r="CG139" s="68"/>
      <c r="CH139" s="68"/>
      <c r="CI139" s="68"/>
      <c r="CJ139" s="68"/>
      <c r="CK139" s="68"/>
      <c r="CL139" s="68"/>
      <c r="CM139" s="68"/>
      <c r="CN139" s="68"/>
      <c r="CO139" s="68"/>
      <c r="CP139" s="68"/>
      <c r="CQ139" s="68"/>
      <c r="CR139" s="68"/>
      <c r="CS139" s="68"/>
      <c r="CT139" s="68"/>
      <c r="CU139" s="68"/>
      <c r="CV139" s="68"/>
      <c r="CW139" s="68"/>
      <c r="CX139" s="68"/>
      <c r="CY139" s="68"/>
      <c r="CZ139" s="68"/>
      <c r="DA139" s="68"/>
      <c r="DB139" s="68"/>
      <c r="DC139" s="68"/>
      <c r="DD139" s="68"/>
      <c r="DE139" s="68"/>
      <c r="DF139" s="68"/>
      <c r="DG139" s="68"/>
      <c r="DH139" s="68"/>
      <c r="DI139" s="68"/>
      <c r="DJ139" s="68"/>
    </row>
    <row r="140" spans="5:114" x14ac:dyDescent="0.2">
      <c r="E140" s="68"/>
      <c r="G140" s="68"/>
      <c r="H140" s="68"/>
      <c r="I140" s="68"/>
      <c r="J140" s="68"/>
      <c r="K140" s="68"/>
      <c r="L140" s="68"/>
      <c r="M140" s="68"/>
      <c r="N140" s="68"/>
      <c r="O140" s="68"/>
      <c r="P140" s="68"/>
      <c r="Q140" s="68"/>
      <c r="R140" s="68"/>
      <c r="S140" s="68"/>
      <c r="T140" s="68"/>
      <c r="U140" s="68"/>
      <c r="V140" s="68"/>
      <c r="W140" s="68"/>
      <c r="X140" s="68"/>
      <c r="Y140" s="68"/>
      <c r="Z140" s="68"/>
      <c r="AA140" s="68"/>
      <c r="AB140" s="68"/>
      <c r="AC140" s="68"/>
      <c r="AD140" s="68"/>
      <c r="AE140" s="68"/>
      <c r="AF140" s="68"/>
      <c r="AG140" s="68"/>
      <c r="AH140" s="68"/>
      <c r="AI140" s="68"/>
      <c r="AJ140" s="68"/>
      <c r="AK140" s="68"/>
      <c r="AL140" s="68"/>
      <c r="AM140" s="68"/>
      <c r="AN140" s="68"/>
      <c r="AO140" s="68"/>
      <c r="AP140" s="68"/>
      <c r="AQ140" s="68"/>
      <c r="AR140" s="68"/>
      <c r="AS140" s="68"/>
      <c r="AT140" s="68"/>
      <c r="AU140" s="68"/>
      <c r="AV140" s="68"/>
      <c r="AW140" s="68"/>
      <c r="AX140" s="68"/>
      <c r="AY140" s="68"/>
      <c r="AZ140" s="68"/>
      <c r="BA140" s="68"/>
      <c r="BB140" s="68"/>
      <c r="BC140" s="68"/>
      <c r="BD140" s="68"/>
      <c r="BE140" s="68"/>
      <c r="BF140" s="68"/>
      <c r="BG140" s="68"/>
      <c r="BH140" s="71"/>
      <c r="BJ140" s="68"/>
      <c r="BK140" s="68"/>
      <c r="BL140" s="68"/>
      <c r="BM140" s="68"/>
      <c r="BN140" s="68"/>
      <c r="BO140" s="68"/>
      <c r="BP140" s="68"/>
      <c r="BQ140" s="68"/>
      <c r="BR140" s="68"/>
      <c r="BS140" s="68"/>
      <c r="BT140" s="68"/>
      <c r="BU140" s="68"/>
      <c r="BV140" s="68"/>
      <c r="BW140" s="68"/>
      <c r="BX140" s="68"/>
      <c r="BY140" s="68"/>
      <c r="BZ140" s="68"/>
      <c r="CA140" s="68"/>
      <c r="CB140" s="68"/>
      <c r="CC140" s="68"/>
      <c r="CD140" s="68"/>
      <c r="CE140" s="68"/>
      <c r="CF140" s="68"/>
      <c r="CG140" s="68"/>
      <c r="CH140" s="68"/>
      <c r="CI140" s="68"/>
      <c r="CJ140" s="68"/>
      <c r="CK140" s="68"/>
      <c r="CL140" s="68"/>
      <c r="CM140" s="68"/>
      <c r="CN140" s="68"/>
      <c r="CO140" s="68"/>
      <c r="CP140" s="68"/>
      <c r="CQ140" s="68"/>
      <c r="CR140" s="68"/>
      <c r="CS140" s="68"/>
      <c r="CT140" s="68"/>
      <c r="CU140" s="68"/>
      <c r="CV140" s="68"/>
      <c r="CW140" s="68"/>
      <c r="CX140" s="68"/>
      <c r="CY140" s="68"/>
      <c r="CZ140" s="68"/>
      <c r="DA140" s="68"/>
      <c r="DB140" s="68"/>
      <c r="DC140" s="68"/>
      <c r="DD140" s="68"/>
      <c r="DE140" s="68"/>
      <c r="DF140" s="68"/>
      <c r="DG140" s="68"/>
      <c r="DH140" s="68"/>
      <c r="DI140" s="68"/>
      <c r="DJ140" s="68"/>
    </row>
    <row r="141" spans="5:114" x14ac:dyDescent="0.2">
      <c r="E141" s="68"/>
      <c r="G141" s="68"/>
      <c r="H141" s="68"/>
      <c r="I141" s="68"/>
      <c r="J141" s="68"/>
      <c r="K141" s="68"/>
      <c r="L141" s="68"/>
      <c r="M141" s="68"/>
      <c r="N141" s="68"/>
      <c r="O141" s="68"/>
      <c r="P141" s="68"/>
      <c r="Q141" s="68"/>
      <c r="R141" s="68"/>
      <c r="S141" s="68"/>
      <c r="T141" s="68"/>
      <c r="U141" s="68"/>
      <c r="V141" s="68"/>
      <c r="W141" s="68"/>
      <c r="X141" s="68"/>
      <c r="Y141" s="68"/>
      <c r="Z141" s="68"/>
      <c r="AA141" s="68"/>
      <c r="AB141" s="68"/>
      <c r="AC141" s="68"/>
      <c r="AD141" s="68"/>
      <c r="AE141" s="68"/>
      <c r="AF141" s="68"/>
      <c r="AG141" s="68"/>
      <c r="AH141" s="68"/>
      <c r="AI141" s="68"/>
      <c r="AJ141" s="68"/>
      <c r="AK141" s="68"/>
      <c r="AL141" s="68"/>
      <c r="AM141" s="68"/>
      <c r="AN141" s="68"/>
      <c r="AO141" s="68"/>
      <c r="AP141" s="68"/>
      <c r="AQ141" s="68"/>
      <c r="AR141" s="68"/>
      <c r="AS141" s="68"/>
      <c r="AT141" s="68"/>
      <c r="AU141" s="68"/>
      <c r="AV141" s="68"/>
      <c r="AW141" s="68"/>
      <c r="AX141" s="68"/>
      <c r="AY141" s="68"/>
      <c r="AZ141" s="68"/>
      <c r="BA141" s="68"/>
      <c r="BB141" s="68"/>
      <c r="BC141" s="68"/>
      <c r="BD141" s="68"/>
      <c r="BE141" s="68"/>
      <c r="BF141" s="68"/>
      <c r="BG141" s="68"/>
      <c r="BH141" s="71"/>
      <c r="BJ141" s="68"/>
      <c r="BK141" s="68"/>
      <c r="BL141" s="68"/>
      <c r="BM141" s="68"/>
      <c r="BN141" s="68"/>
      <c r="BO141" s="68"/>
      <c r="BP141" s="68"/>
      <c r="BQ141" s="68"/>
      <c r="BR141" s="68"/>
      <c r="BS141" s="68"/>
      <c r="BT141" s="68"/>
      <c r="BU141" s="68"/>
      <c r="BV141" s="68"/>
      <c r="BW141" s="68"/>
      <c r="BX141" s="68"/>
      <c r="BY141" s="68"/>
      <c r="BZ141" s="68"/>
      <c r="CA141" s="68"/>
      <c r="CB141" s="68"/>
      <c r="CC141" s="68"/>
      <c r="CD141" s="68"/>
      <c r="CE141" s="68"/>
      <c r="CF141" s="68"/>
      <c r="CG141" s="68"/>
      <c r="CH141" s="68"/>
      <c r="CI141" s="68"/>
      <c r="CJ141" s="68"/>
      <c r="CK141" s="68"/>
      <c r="CL141" s="68"/>
      <c r="CM141" s="68"/>
      <c r="CN141" s="68"/>
      <c r="CO141" s="68"/>
      <c r="CP141" s="68"/>
      <c r="CQ141" s="68"/>
      <c r="CR141" s="68"/>
      <c r="CS141" s="68"/>
      <c r="CT141" s="68"/>
      <c r="CU141" s="68"/>
      <c r="CV141" s="68"/>
      <c r="CW141" s="68"/>
      <c r="CX141" s="68"/>
      <c r="CY141" s="68"/>
      <c r="CZ141" s="68"/>
      <c r="DA141" s="68"/>
      <c r="DB141" s="68"/>
      <c r="DC141" s="68"/>
      <c r="DD141" s="68"/>
      <c r="DE141" s="68"/>
      <c r="DF141" s="68"/>
      <c r="DG141" s="68"/>
      <c r="DH141" s="68"/>
      <c r="DI141" s="68"/>
      <c r="DJ141" s="68"/>
    </row>
    <row r="142" spans="5:114" x14ac:dyDescent="0.2">
      <c r="E142" s="68"/>
      <c r="G142" s="68"/>
      <c r="H142" s="68"/>
      <c r="I142" s="68"/>
      <c r="J142" s="68"/>
      <c r="K142" s="68"/>
      <c r="L142" s="68"/>
      <c r="M142" s="68"/>
      <c r="N142" s="68"/>
      <c r="O142" s="68"/>
      <c r="P142" s="68"/>
      <c r="Q142" s="68"/>
      <c r="R142" s="68"/>
      <c r="S142" s="68"/>
      <c r="T142" s="68"/>
      <c r="U142" s="68"/>
      <c r="V142" s="68"/>
      <c r="W142" s="68"/>
      <c r="X142" s="68"/>
      <c r="Y142" s="68"/>
      <c r="Z142" s="68"/>
      <c r="AA142" s="68"/>
      <c r="AB142" s="68"/>
      <c r="AC142" s="68"/>
      <c r="AD142" s="68"/>
      <c r="AE142" s="68"/>
      <c r="AF142" s="68"/>
      <c r="AG142" s="68"/>
      <c r="AH142" s="68"/>
      <c r="AI142" s="68"/>
      <c r="AJ142" s="68"/>
      <c r="AK142" s="68"/>
      <c r="AL142" s="68"/>
      <c r="AM142" s="68"/>
      <c r="AN142" s="68"/>
      <c r="AO142" s="68"/>
      <c r="AP142" s="68"/>
      <c r="AQ142" s="68"/>
      <c r="AR142" s="68"/>
      <c r="AS142" s="68"/>
      <c r="AT142" s="68"/>
      <c r="AU142" s="68"/>
      <c r="AV142" s="68"/>
      <c r="AW142" s="68"/>
      <c r="AX142" s="68"/>
      <c r="AY142" s="68"/>
      <c r="AZ142" s="68"/>
      <c r="BA142" s="68"/>
      <c r="BB142" s="68"/>
      <c r="BC142" s="68"/>
      <c r="BD142" s="68"/>
      <c r="BE142" s="68"/>
      <c r="BF142" s="68"/>
      <c r="BG142" s="68"/>
      <c r="BH142" s="71"/>
      <c r="BJ142" s="68"/>
      <c r="BK142" s="68"/>
      <c r="BL142" s="68"/>
      <c r="BM142" s="68"/>
      <c r="BN142" s="68"/>
      <c r="BO142" s="68"/>
      <c r="BP142" s="68"/>
      <c r="BQ142" s="68"/>
      <c r="BR142" s="68"/>
      <c r="BS142" s="68"/>
      <c r="BT142" s="68"/>
      <c r="BU142" s="68"/>
      <c r="BV142" s="68"/>
      <c r="BW142" s="68"/>
      <c r="BX142" s="68"/>
      <c r="BY142" s="68"/>
      <c r="BZ142" s="68"/>
      <c r="CA142" s="68"/>
      <c r="CB142" s="68"/>
      <c r="CC142" s="68"/>
      <c r="CD142" s="68"/>
      <c r="CE142" s="68"/>
      <c r="CF142" s="68"/>
      <c r="CG142" s="68"/>
      <c r="CH142" s="68"/>
      <c r="CI142" s="68"/>
      <c r="CJ142" s="68"/>
      <c r="CK142" s="68"/>
      <c r="CL142" s="68"/>
      <c r="CM142" s="68"/>
      <c r="CN142" s="68"/>
      <c r="CO142" s="68"/>
      <c r="CP142" s="68"/>
      <c r="CQ142" s="68"/>
      <c r="CR142" s="68"/>
      <c r="CS142" s="68"/>
      <c r="CT142" s="68"/>
      <c r="CU142" s="68"/>
      <c r="CV142" s="68"/>
      <c r="CW142" s="68"/>
      <c r="CX142" s="68"/>
      <c r="CY142" s="68"/>
      <c r="CZ142" s="68"/>
      <c r="DA142" s="68"/>
      <c r="DB142" s="68"/>
      <c r="DC142" s="68"/>
      <c r="DD142" s="68"/>
      <c r="DE142" s="68"/>
      <c r="DF142" s="68"/>
      <c r="DG142" s="68"/>
      <c r="DH142" s="68"/>
      <c r="DI142" s="68"/>
      <c r="DJ142" s="68"/>
    </row>
    <row r="143" spans="5:114" x14ac:dyDescent="0.2">
      <c r="E143" s="68"/>
      <c r="G143" s="68"/>
      <c r="H143" s="68"/>
      <c r="I143" s="68"/>
      <c r="J143" s="68"/>
      <c r="K143" s="68"/>
      <c r="L143" s="68"/>
      <c r="M143" s="68"/>
      <c r="N143" s="68"/>
      <c r="O143" s="68"/>
      <c r="P143" s="68"/>
      <c r="Q143" s="68"/>
      <c r="R143" s="68"/>
      <c r="S143" s="68"/>
      <c r="T143" s="68"/>
      <c r="U143" s="68"/>
      <c r="V143" s="68"/>
      <c r="W143" s="68"/>
      <c r="X143" s="68"/>
      <c r="Y143" s="68"/>
      <c r="Z143" s="68"/>
      <c r="AA143" s="68"/>
      <c r="AB143" s="68"/>
      <c r="AC143" s="68"/>
      <c r="AD143" s="68"/>
      <c r="AE143" s="68"/>
      <c r="AF143" s="68"/>
      <c r="AG143" s="68"/>
      <c r="AH143" s="68"/>
      <c r="AI143" s="68"/>
      <c r="AJ143" s="68"/>
      <c r="AK143" s="68"/>
      <c r="AL143" s="68"/>
      <c r="AM143" s="68"/>
      <c r="AN143" s="68"/>
      <c r="AO143" s="68"/>
      <c r="AP143" s="68"/>
      <c r="AQ143" s="68"/>
      <c r="AR143" s="68"/>
      <c r="AS143" s="68"/>
      <c r="AT143" s="68"/>
      <c r="AU143" s="68"/>
      <c r="AV143" s="68"/>
      <c r="AW143" s="68"/>
      <c r="AX143" s="68"/>
      <c r="AY143" s="68"/>
      <c r="AZ143" s="68"/>
      <c r="BA143" s="68"/>
      <c r="BB143" s="68"/>
      <c r="BC143" s="68"/>
      <c r="BD143" s="68"/>
      <c r="BE143" s="68"/>
      <c r="BF143" s="68"/>
      <c r="BG143" s="68"/>
      <c r="BH143" s="71"/>
      <c r="BJ143" s="68"/>
      <c r="BK143" s="68"/>
      <c r="BL143" s="68"/>
      <c r="BM143" s="68"/>
      <c r="BN143" s="68"/>
      <c r="BO143" s="68"/>
      <c r="BP143" s="68"/>
      <c r="BQ143" s="68"/>
      <c r="BR143" s="68"/>
      <c r="BS143" s="68"/>
      <c r="BT143" s="68"/>
      <c r="BU143" s="68"/>
      <c r="BV143" s="68"/>
      <c r="BW143" s="68"/>
      <c r="BX143" s="68"/>
      <c r="BY143" s="68"/>
      <c r="BZ143" s="68"/>
      <c r="CA143" s="68"/>
      <c r="CB143" s="68"/>
      <c r="CC143" s="68"/>
      <c r="CD143" s="68"/>
      <c r="CE143" s="68"/>
      <c r="CF143" s="68"/>
      <c r="CG143" s="68"/>
      <c r="CH143" s="68"/>
      <c r="CI143" s="68"/>
      <c r="CJ143" s="68"/>
      <c r="CK143" s="68"/>
      <c r="CL143" s="68"/>
      <c r="CM143" s="68"/>
      <c r="CN143" s="68"/>
      <c r="CO143" s="68"/>
      <c r="CP143" s="68"/>
      <c r="CQ143" s="68"/>
      <c r="CR143" s="68"/>
      <c r="CS143" s="68"/>
      <c r="CT143" s="68"/>
      <c r="CU143" s="68"/>
      <c r="CV143" s="68"/>
      <c r="CW143" s="68"/>
      <c r="CX143" s="68"/>
      <c r="CY143" s="68"/>
      <c r="CZ143" s="68"/>
      <c r="DA143" s="68"/>
      <c r="DB143" s="68"/>
      <c r="DC143" s="68"/>
      <c r="DD143" s="68"/>
      <c r="DE143" s="68"/>
      <c r="DF143" s="68"/>
      <c r="DG143" s="68"/>
      <c r="DH143" s="68"/>
      <c r="DI143" s="68"/>
      <c r="DJ143" s="68"/>
    </row>
    <row r="144" spans="5:114" x14ac:dyDescent="0.2">
      <c r="E144" s="68"/>
      <c r="G144" s="68"/>
      <c r="H144" s="68"/>
      <c r="I144" s="68"/>
      <c r="J144" s="68"/>
      <c r="K144" s="68"/>
      <c r="L144" s="68"/>
      <c r="M144" s="68"/>
      <c r="N144" s="68"/>
      <c r="O144" s="68"/>
      <c r="P144" s="68"/>
      <c r="Q144" s="68"/>
      <c r="R144" s="68"/>
      <c r="S144" s="68"/>
      <c r="T144" s="68"/>
      <c r="U144" s="68"/>
      <c r="V144" s="68"/>
      <c r="W144" s="68"/>
      <c r="X144" s="68"/>
      <c r="Y144" s="68"/>
      <c r="Z144" s="68"/>
      <c r="AA144" s="68"/>
      <c r="AB144" s="68"/>
      <c r="AC144" s="68"/>
      <c r="AD144" s="68"/>
      <c r="AE144" s="68"/>
      <c r="AF144" s="68"/>
      <c r="AG144" s="68"/>
      <c r="AH144" s="68"/>
      <c r="AI144" s="68"/>
      <c r="AJ144" s="68"/>
      <c r="AK144" s="68"/>
      <c r="AL144" s="68"/>
      <c r="AM144" s="68"/>
      <c r="AN144" s="68"/>
      <c r="AO144" s="68"/>
      <c r="AP144" s="68"/>
      <c r="AQ144" s="68"/>
      <c r="AR144" s="68"/>
      <c r="AS144" s="68"/>
      <c r="AT144" s="68"/>
      <c r="AU144" s="68"/>
      <c r="AV144" s="68"/>
      <c r="AW144" s="68"/>
      <c r="AX144" s="68"/>
      <c r="AY144" s="68"/>
      <c r="AZ144" s="68"/>
      <c r="BA144" s="68"/>
      <c r="BB144" s="68"/>
      <c r="BC144" s="68"/>
      <c r="BD144" s="68"/>
      <c r="BE144" s="68"/>
      <c r="BF144" s="68"/>
      <c r="BG144" s="68"/>
      <c r="BH144" s="71"/>
      <c r="BJ144" s="68"/>
      <c r="BK144" s="68"/>
      <c r="BL144" s="68"/>
      <c r="BM144" s="68"/>
      <c r="BN144" s="68"/>
      <c r="BO144" s="68"/>
      <c r="BP144" s="68"/>
      <c r="BQ144" s="68"/>
      <c r="BR144" s="68"/>
      <c r="BS144" s="68"/>
      <c r="BT144" s="68"/>
      <c r="BU144" s="68"/>
      <c r="BV144" s="68"/>
      <c r="BW144" s="68"/>
      <c r="BX144" s="68"/>
      <c r="BY144" s="68"/>
      <c r="BZ144" s="68"/>
      <c r="CA144" s="68"/>
      <c r="CB144" s="68"/>
      <c r="CC144" s="68"/>
      <c r="CD144" s="68"/>
      <c r="CE144" s="68"/>
      <c r="CF144" s="68"/>
      <c r="CG144" s="68"/>
      <c r="CH144" s="68"/>
      <c r="CI144" s="68"/>
      <c r="CJ144" s="68"/>
      <c r="CK144" s="68"/>
      <c r="CL144" s="68"/>
      <c r="CM144" s="68"/>
      <c r="CN144" s="68"/>
      <c r="CO144" s="68"/>
      <c r="CP144" s="68"/>
      <c r="CQ144" s="68"/>
      <c r="CR144" s="68"/>
      <c r="CS144" s="68"/>
      <c r="CT144" s="68"/>
      <c r="CU144" s="68"/>
      <c r="CV144" s="68"/>
      <c r="CW144" s="68"/>
      <c r="CX144" s="68"/>
      <c r="CY144" s="68"/>
      <c r="CZ144" s="68"/>
      <c r="DA144" s="68"/>
      <c r="DB144" s="68"/>
      <c r="DC144" s="68"/>
      <c r="DD144" s="68"/>
      <c r="DE144" s="68"/>
      <c r="DF144" s="68"/>
      <c r="DG144" s="68"/>
      <c r="DH144" s="68"/>
      <c r="DI144" s="68"/>
      <c r="DJ144" s="68"/>
    </row>
    <row r="145" spans="5:114" x14ac:dyDescent="0.2">
      <c r="E145" s="68"/>
      <c r="G145" s="68"/>
      <c r="H145" s="68"/>
      <c r="I145" s="68"/>
      <c r="J145" s="68"/>
      <c r="K145" s="68"/>
      <c r="L145" s="68"/>
      <c r="M145" s="68"/>
      <c r="N145" s="68"/>
      <c r="O145" s="68"/>
      <c r="P145" s="68"/>
      <c r="Q145" s="68"/>
      <c r="R145" s="68"/>
      <c r="S145" s="68"/>
      <c r="T145" s="68"/>
      <c r="U145" s="68"/>
      <c r="V145" s="68"/>
      <c r="W145" s="68"/>
      <c r="X145" s="68"/>
      <c r="Y145" s="68"/>
      <c r="Z145" s="68"/>
      <c r="AA145" s="68"/>
      <c r="AB145" s="68"/>
      <c r="AC145" s="68"/>
      <c r="AD145" s="68"/>
      <c r="AE145" s="68"/>
      <c r="AF145" s="68"/>
      <c r="AG145" s="68"/>
      <c r="AH145" s="68"/>
      <c r="AI145" s="68"/>
      <c r="AJ145" s="68"/>
      <c r="AK145" s="68"/>
      <c r="AL145" s="68"/>
      <c r="AM145" s="68"/>
      <c r="AN145" s="68"/>
      <c r="AO145" s="68"/>
      <c r="AP145" s="68"/>
      <c r="AQ145" s="68"/>
      <c r="AR145" s="68"/>
      <c r="AS145" s="68"/>
      <c r="AT145" s="68"/>
      <c r="AU145" s="68"/>
      <c r="AV145" s="68"/>
      <c r="AW145" s="68"/>
      <c r="AX145" s="68"/>
      <c r="AY145" s="68"/>
      <c r="AZ145" s="68"/>
      <c r="BA145" s="68"/>
      <c r="BB145" s="68"/>
      <c r="BC145" s="68"/>
      <c r="BD145" s="68"/>
      <c r="BE145" s="68"/>
      <c r="BF145" s="68"/>
      <c r="BG145" s="68"/>
      <c r="BH145" s="71"/>
      <c r="BJ145" s="68"/>
      <c r="BK145" s="68"/>
      <c r="BL145" s="68"/>
      <c r="BM145" s="68"/>
      <c r="BN145" s="68"/>
      <c r="BO145" s="68"/>
      <c r="BP145" s="68"/>
      <c r="BQ145" s="68"/>
      <c r="BR145" s="68"/>
      <c r="BS145" s="68"/>
      <c r="BT145" s="68"/>
      <c r="BU145" s="68"/>
      <c r="BV145" s="68"/>
      <c r="BW145" s="68"/>
      <c r="BX145" s="68"/>
      <c r="BY145" s="68"/>
      <c r="BZ145" s="68"/>
      <c r="CA145" s="68"/>
      <c r="CB145" s="68"/>
      <c r="CC145" s="68"/>
      <c r="CD145" s="68"/>
      <c r="CE145" s="68"/>
      <c r="CF145" s="68"/>
      <c r="CG145" s="68"/>
      <c r="CH145" s="68"/>
      <c r="CI145" s="68"/>
      <c r="CJ145" s="68"/>
      <c r="CK145" s="68"/>
      <c r="CL145" s="68"/>
      <c r="CM145" s="68"/>
      <c r="CN145" s="68"/>
      <c r="CO145" s="68"/>
      <c r="CP145" s="68"/>
      <c r="CQ145" s="68"/>
      <c r="CR145" s="68"/>
      <c r="CS145" s="68"/>
      <c r="CT145" s="68"/>
      <c r="CU145" s="68"/>
      <c r="CV145" s="68"/>
      <c r="CW145" s="68"/>
      <c r="CX145" s="68"/>
      <c r="CY145" s="68"/>
      <c r="CZ145" s="68"/>
      <c r="DA145" s="68"/>
      <c r="DB145" s="68"/>
      <c r="DC145" s="68"/>
      <c r="DD145" s="68"/>
      <c r="DE145" s="68"/>
      <c r="DF145" s="68"/>
      <c r="DG145" s="68"/>
      <c r="DH145" s="68"/>
      <c r="DI145" s="68"/>
      <c r="DJ145" s="68"/>
    </row>
    <row r="146" spans="5:114" x14ac:dyDescent="0.2">
      <c r="E146" s="68"/>
      <c r="G146" s="68"/>
      <c r="H146" s="68"/>
      <c r="I146" s="68"/>
      <c r="J146" s="68"/>
      <c r="K146" s="68"/>
      <c r="L146" s="68"/>
      <c r="M146" s="68"/>
      <c r="N146" s="68"/>
      <c r="O146" s="68"/>
      <c r="P146" s="68"/>
      <c r="Q146" s="68"/>
      <c r="R146" s="68"/>
      <c r="S146" s="68"/>
      <c r="T146" s="68"/>
      <c r="U146" s="68"/>
      <c r="V146" s="68"/>
      <c r="W146" s="68"/>
      <c r="X146" s="68"/>
      <c r="Y146" s="68"/>
      <c r="Z146" s="68"/>
      <c r="AA146" s="68"/>
      <c r="AB146" s="68"/>
      <c r="AC146" s="68"/>
      <c r="AD146" s="68"/>
      <c r="AE146" s="68"/>
      <c r="AF146" s="68"/>
      <c r="AG146" s="68"/>
      <c r="AH146" s="68"/>
      <c r="AI146" s="68"/>
      <c r="AJ146" s="68"/>
      <c r="AK146" s="68"/>
      <c r="AL146" s="68"/>
      <c r="AM146" s="68"/>
      <c r="AN146" s="68"/>
      <c r="AO146" s="68"/>
      <c r="AP146" s="68"/>
      <c r="AQ146" s="68"/>
      <c r="AR146" s="68"/>
      <c r="AS146" s="68"/>
      <c r="AT146" s="68"/>
      <c r="AU146" s="68"/>
      <c r="AV146" s="68"/>
      <c r="AW146" s="68"/>
      <c r="AX146" s="68"/>
      <c r="AY146" s="68"/>
      <c r="AZ146" s="68"/>
      <c r="BA146" s="68"/>
      <c r="BB146" s="68"/>
      <c r="BC146" s="68"/>
      <c r="BD146" s="68"/>
      <c r="BE146" s="68"/>
      <c r="BF146" s="68"/>
      <c r="BG146" s="68"/>
      <c r="BH146" s="71"/>
      <c r="BJ146" s="68"/>
      <c r="BK146" s="68"/>
      <c r="BL146" s="68"/>
      <c r="BM146" s="68"/>
      <c r="BN146" s="68"/>
      <c r="BO146" s="68"/>
      <c r="BP146" s="68"/>
      <c r="BQ146" s="68"/>
      <c r="BR146" s="68"/>
      <c r="BS146" s="68"/>
      <c r="BT146" s="68"/>
      <c r="BU146" s="68"/>
      <c r="BV146" s="68"/>
      <c r="BW146" s="68"/>
      <c r="BX146" s="68"/>
      <c r="BY146" s="68"/>
      <c r="BZ146" s="68"/>
      <c r="CA146" s="68"/>
      <c r="CB146" s="68"/>
      <c r="CC146" s="68"/>
      <c r="CD146" s="68"/>
      <c r="CE146" s="68"/>
      <c r="CF146" s="68"/>
      <c r="CG146" s="68"/>
      <c r="CH146" s="68"/>
      <c r="CI146" s="68"/>
      <c r="CJ146" s="68"/>
      <c r="CK146" s="68"/>
      <c r="CL146" s="68"/>
      <c r="CM146" s="68"/>
      <c r="CN146" s="68"/>
      <c r="CO146" s="68"/>
      <c r="CP146" s="68"/>
      <c r="CQ146" s="68"/>
      <c r="CR146" s="68"/>
      <c r="CS146" s="68"/>
      <c r="CT146" s="68"/>
      <c r="CU146" s="68"/>
      <c r="CV146" s="68"/>
      <c r="CW146" s="68"/>
      <c r="CX146" s="68"/>
      <c r="CY146" s="68"/>
      <c r="CZ146" s="68"/>
      <c r="DA146" s="68"/>
      <c r="DB146" s="68"/>
      <c r="DC146" s="68"/>
      <c r="DD146" s="68"/>
      <c r="DE146" s="68"/>
      <c r="DF146" s="68"/>
      <c r="DG146" s="68"/>
      <c r="DH146" s="68"/>
      <c r="DI146" s="68"/>
      <c r="DJ146" s="68"/>
    </row>
    <row r="147" spans="5:114" x14ac:dyDescent="0.2">
      <c r="E147" s="68"/>
      <c r="G147" s="68"/>
      <c r="H147" s="68"/>
      <c r="I147" s="68"/>
      <c r="J147" s="68"/>
      <c r="K147" s="68"/>
      <c r="L147" s="68"/>
      <c r="M147" s="68"/>
      <c r="N147" s="68"/>
      <c r="O147" s="68"/>
      <c r="P147" s="68"/>
      <c r="Q147" s="68"/>
      <c r="R147" s="68"/>
      <c r="S147" s="68"/>
      <c r="T147" s="68"/>
      <c r="U147" s="68"/>
      <c r="V147" s="68"/>
      <c r="W147" s="68"/>
      <c r="X147" s="68"/>
      <c r="Y147" s="68"/>
      <c r="Z147" s="68"/>
      <c r="AA147" s="68"/>
      <c r="AB147" s="68"/>
      <c r="AC147" s="68"/>
      <c r="AD147" s="68"/>
      <c r="AE147" s="68"/>
      <c r="AF147" s="68"/>
      <c r="AG147" s="68"/>
      <c r="AH147" s="68"/>
      <c r="AI147" s="68"/>
      <c r="AJ147" s="68"/>
      <c r="AK147" s="68"/>
      <c r="AL147" s="68"/>
      <c r="AM147" s="68"/>
      <c r="AN147" s="68"/>
      <c r="AO147" s="68"/>
      <c r="AP147" s="68"/>
      <c r="AQ147" s="68"/>
      <c r="AR147" s="68"/>
      <c r="AS147" s="68"/>
      <c r="AT147" s="68"/>
      <c r="AU147" s="68"/>
      <c r="AV147" s="68"/>
      <c r="AW147" s="68"/>
      <c r="AX147" s="68"/>
      <c r="AY147" s="68"/>
      <c r="AZ147" s="68"/>
      <c r="BA147" s="68"/>
      <c r="BB147" s="68"/>
      <c r="BC147" s="68"/>
      <c r="BD147" s="68"/>
      <c r="BE147" s="68"/>
      <c r="BF147" s="68"/>
      <c r="BG147" s="68"/>
      <c r="BH147" s="71"/>
      <c r="BJ147" s="68"/>
      <c r="BK147" s="68"/>
      <c r="BL147" s="68"/>
      <c r="BM147" s="68"/>
      <c r="BN147" s="68"/>
      <c r="BO147" s="68"/>
      <c r="BP147" s="68"/>
      <c r="BQ147" s="68"/>
      <c r="BR147" s="68"/>
      <c r="BS147" s="68"/>
      <c r="BT147" s="68"/>
      <c r="BU147" s="68"/>
      <c r="BV147" s="68"/>
      <c r="BW147" s="68"/>
      <c r="BX147" s="68"/>
      <c r="BY147" s="68"/>
      <c r="BZ147" s="68"/>
      <c r="CA147" s="68"/>
      <c r="CB147" s="68"/>
      <c r="CC147" s="68"/>
      <c r="CD147" s="68"/>
      <c r="CE147" s="68"/>
      <c r="CF147" s="68"/>
      <c r="CG147" s="68"/>
      <c r="CH147" s="68"/>
      <c r="CI147" s="68"/>
      <c r="CJ147" s="68"/>
      <c r="CK147" s="68"/>
      <c r="CL147" s="68"/>
      <c r="CM147" s="68"/>
      <c r="CN147" s="68"/>
      <c r="CO147" s="68"/>
      <c r="CP147" s="68"/>
      <c r="CQ147" s="68"/>
      <c r="CR147" s="68"/>
      <c r="CS147" s="68"/>
      <c r="CT147" s="68"/>
      <c r="CU147" s="68"/>
      <c r="CV147" s="68"/>
      <c r="CW147" s="68"/>
      <c r="CX147" s="68"/>
      <c r="CY147" s="68"/>
      <c r="CZ147" s="68"/>
      <c r="DA147" s="68"/>
      <c r="DB147" s="68"/>
      <c r="DC147" s="68"/>
      <c r="DD147" s="68"/>
      <c r="DE147" s="68"/>
      <c r="DF147" s="68"/>
      <c r="DG147" s="68"/>
      <c r="DH147" s="68"/>
      <c r="DI147" s="68"/>
      <c r="DJ147" s="68"/>
    </row>
    <row r="148" spans="5:114" x14ac:dyDescent="0.2">
      <c r="E148" s="68"/>
      <c r="G148" s="68"/>
      <c r="H148" s="68"/>
      <c r="I148" s="68"/>
      <c r="J148" s="68"/>
      <c r="K148" s="68"/>
      <c r="L148" s="68"/>
      <c r="M148" s="68"/>
      <c r="N148" s="68"/>
      <c r="O148" s="68"/>
      <c r="P148" s="68"/>
      <c r="Q148" s="68"/>
      <c r="R148" s="68"/>
      <c r="S148" s="68"/>
      <c r="T148" s="68"/>
      <c r="U148" s="68"/>
      <c r="V148" s="68"/>
      <c r="W148" s="68"/>
      <c r="X148" s="68"/>
      <c r="Y148" s="68"/>
      <c r="Z148" s="68"/>
      <c r="AA148" s="68"/>
      <c r="AB148" s="68"/>
      <c r="AC148" s="68"/>
      <c r="AD148" s="68"/>
      <c r="AE148" s="68"/>
      <c r="AF148" s="68"/>
      <c r="AG148" s="68"/>
      <c r="AH148" s="68"/>
      <c r="AI148" s="68"/>
      <c r="AJ148" s="68"/>
      <c r="AK148" s="68"/>
      <c r="AL148" s="68"/>
      <c r="AM148" s="68"/>
      <c r="AN148" s="68"/>
      <c r="AO148" s="68"/>
      <c r="AP148" s="68"/>
      <c r="AQ148" s="68"/>
      <c r="AR148" s="68"/>
      <c r="AS148" s="68"/>
      <c r="AT148" s="68"/>
      <c r="AU148" s="68"/>
      <c r="AV148" s="68"/>
      <c r="AW148" s="68"/>
      <c r="AX148" s="68"/>
      <c r="AY148" s="68"/>
      <c r="AZ148" s="68"/>
      <c r="BA148" s="68"/>
      <c r="BB148" s="68"/>
      <c r="BC148" s="68"/>
      <c r="BD148" s="68"/>
      <c r="BE148" s="68"/>
      <c r="BF148" s="68"/>
      <c r="BG148" s="68"/>
      <c r="BH148" s="71"/>
      <c r="BJ148" s="68"/>
      <c r="BK148" s="68"/>
      <c r="BL148" s="68"/>
      <c r="BM148" s="68"/>
      <c r="BN148" s="68"/>
      <c r="BO148" s="68"/>
      <c r="BP148" s="68"/>
      <c r="BQ148" s="68"/>
      <c r="BR148" s="68"/>
      <c r="BS148" s="68"/>
      <c r="BT148" s="68"/>
      <c r="BU148" s="68"/>
      <c r="BV148" s="68"/>
      <c r="BW148" s="68"/>
      <c r="BX148" s="68"/>
      <c r="BY148" s="68"/>
      <c r="BZ148" s="68"/>
      <c r="CA148" s="68"/>
      <c r="CB148" s="68"/>
      <c r="CC148" s="68"/>
      <c r="CD148" s="68"/>
      <c r="CE148" s="68"/>
      <c r="CF148" s="68"/>
      <c r="CG148" s="68"/>
      <c r="CH148" s="68"/>
      <c r="CI148" s="68"/>
      <c r="CJ148" s="68"/>
      <c r="CK148" s="68"/>
      <c r="CL148" s="68"/>
      <c r="CM148" s="68"/>
      <c r="CN148" s="68"/>
      <c r="CO148" s="68"/>
      <c r="CP148" s="68"/>
      <c r="CQ148" s="68"/>
      <c r="CR148" s="68"/>
      <c r="CS148" s="68"/>
      <c r="CT148" s="68"/>
      <c r="CU148" s="68"/>
      <c r="CV148" s="68"/>
      <c r="CW148" s="68"/>
      <c r="CX148" s="68"/>
      <c r="CY148" s="68"/>
      <c r="CZ148" s="68"/>
      <c r="DA148" s="68"/>
      <c r="DB148" s="68"/>
      <c r="DC148" s="68"/>
      <c r="DD148" s="68"/>
      <c r="DE148" s="68"/>
      <c r="DF148" s="68"/>
      <c r="DG148" s="68"/>
      <c r="DH148" s="68"/>
      <c r="DI148" s="68"/>
      <c r="DJ148" s="68"/>
    </row>
    <row r="149" spans="5:114" x14ac:dyDescent="0.2">
      <c r="E149" s="68"/>
      <c r="G149" s="68"/>
      <c r="H149" s="68"/>
      <c r="I149" s="68"/>
      <c r="J149" s="68"/>
      <c r="K149" s="68"/>
      <c r="L149" s="68"/>
      <c r="M149" s="68"/>
      <c r="N149" s="68"/>
      <c r="O149" s="68"/>
      <c r="P149" s="68"/>
      <c r="Q149" s="68"/>
      <c r="R149" s="68"/>
      <c r="S149" s="68"/>
      <c r="T149" s="68"/>
      <c r="U149" s="68"/>
      <c r="V149" s="68"/>
      <c r="W149" s="68"/>
      <c r="X149" s="68"/>
      <c r="Y149" s="68"/>
      <c r="Z149" s="68"/>
      <c r="AA149" s="68"/>
      <c r="AB149" s="68"/>
      <c r="AC149" s="68"/>
      <c r="AD149" s="68"/>
      <c r="AE149" s="68"/>
      <c r="AF149" s="68"/>
      <c r="AG149" s="68"/>
      <c r="AH149" s="68"/>
      <c r="AI149" s="68"/>
      <c r="AJ149" s="68"/>
      <c r="AK149" s="68"/>
      <c r="AL149" s="68"/>
      <c r="AM149" s="68"/>
      <c r="AN149" s="68"/>
      <c r="AO149" s="68"/>
      <c r="AP149" s="68"/>
      <c r="AQ149" s="68"/>
      <c r="AR149" s="68"/>
      <c r="AS149" s="68"/>
      <c r="AT149" s="68"/>
      <c r="AU149" s="68"/>
      <c r="AV149" s="68"/>
      <c r="AW149" s="68"/>
      <c r="AX149" s="68"/>
      <c r="AY149" s="68"/>
      <c r="AZ149" s="68"/>
      <c r="BA149" s="68"/>
      <c r="BB149" s="68"/>
      <c r="BC149" s="68"/>
      <c r="BD149" s="68"/>
      <c r="BE149" s="68"/>
      <c r="BF149" s="68"/>
      <c r="BG149" s="68"/>
      <c r="BH149" s="71"/>
      <c r="BJ149" s="68"/>
      <c r="BK149" s="68"/>
      <c r="BL149" s="68"/>
      <c r="BM149" s="68"/>
      <c r="BN149" s="68"/>
      <c r="BO149" s="68"/>
      <c r="BP149" s="68"/>
      <c r="BQ149" s="68"/>
      <c r="BR149" s="68"/>
      <c r="BS149" s="68"/>
      <c r="BT149" s="68"/>
      <c r="BU149" s="68"/>
      <c r="BV149" s="68"/>
      <c r="BW149" s="68"/>
      <c r="BX149" s="68"/>
      <c r="BY149" s="68"/>
      <c r="BZ149" s="68"/>
      <c r="CA149" s="68"/>
      <c r="CB149" s="68"/>
      <c r="CC149" s="68"/>
      <c r="CD149" s="68"/>
      <c r="CE149" s="68"/>
      <c r="CF149" s="68"/>
      <c r="CG149" s="68"/>
      <c r="CH149" s="68"/>
      <c r="CI149" s="68"/>
      <c r="CJ149" s="68"/>
      <c r="CK149" s="68"/>
      <c r="CL149" s="68"/>
      <c r="CM149" s="68"/>
      <c r="CN149" s="68"/>
      <c r="CO149" s="68"/>
      <c r="CP149" s="68"/>
      <c r="CQ149" s="68"/>
      <c r="CR149" s="68"/>
      <c r="CS149" s="68"/>
      <c r="CT149" s="68"/>
      <c r="CU149" s="68"/>
      <c r="CV149" s="68"/>
      <c r="CW149" s="68"/>
      <c r="CX149" s="68"/>
      <c r="CY149" s="68"/>
      <c r="CZ149" s="68"/>
      <c r="DA149" s="68"/>
      <c r="DB149" s="68"/>
      <c r="DC149" s="68"/>
      <c r="DD149" s="68"/>
      <c r="DE149" s="68"/>
      <c r="DF149" s="68"/>
      <c r="DG149" s="68"/>
      <c r="DH149" s="68"/>
      <c r="DI149" s="68"/>
      <c r="DJ149" s="68"/>
    </row>
    <row r="150" spans="5:114" x14ac:dyDescent="0.2">
      <c r="E150" s="68"/>
      <c r="G150" s="68"/>
      <c r="H150" s="68"/>
      <c r="I150" s="68"/>
      <c r="J150" s="68"/>
      <c r="K150" s="68"/>
      <c r="L150" s="68"/>
      <c r="M150" s="68"/>
      <c r="N150" s="68"/>
      <c r="O150" s="68"/>
      <c r="P150" s="68"/>
      <c r="Q150" s="68"/>
      <c r="R150" s="68"/>
      <c r="S150" s="68"/>
      <c r="T150" s="68"/>
      <c r="U150" s="68"/>
      <c r="V150" s="68"/>
      <c r="W150" s="68"/>
      <c r="X150" s="68"/>
      <c r="Y150" s="68"/>
      <c r="Z150" s="68"/>
      <c r="AA150" s="68"/>
      <c r="AB150" s="68"/>
      <c r="AC150" s="68"/>
      <c r="AD150" s="68"/>
      <c r="AE150" s="68"/>
      <c r="AF150" s="68"/>
      <c r="AG150" s="68"/>
      <c r="AH150" s="68"/>
      <c r="AI150" s="68"/>
      <c r="AJ150" s="68"/>
      <c r="AK150" s="68"/>
      <c r="AL150" s="68"/>
      <c r="AM150" s="68"/>
      <c r="AN150" s="68"/>
      <c r="AO150" s="68"/>
      <c r="AP150" s="68"/>
      <c r="AQ150" s="68"/>
      <c r="AR150" s="68"/>
      <c r="AS150" s="68"/>
      <c r="AT150" s="68"/>
      <c r="AU150" s="68"/>
      <c r="AV150" s="68"/>
      <c r="AW150" s="68"/>
      <c r="AX150" s="68"/>
      <c r="AY150" s="68"/>
      <c r="AZ150" s="68"/>
      <c r="BA150" s="68"/>
      <c r="BB150" s="68"/>
      <c r="BC150" s="68"/>
      <c r="BD150" s="68"/>
      <c r="BE150" s="68"/>
      <c r="BF150" s="68"/>
      <c r="BG150" s="68"/>
      <c r="BH150" s="71"/>
      <c r="BJ150" s="68"/>
      <c r="BK150" s="68"/>
      <c r="BL150" s="68"/>
      <c r="BM150" s="68"/>
      <c r="BN150" s="68"/>
      <c r="BO150" s="68"/>
      <c r="BP150" s="68"/>
      <c r="BQ150" s="68"/>
      <c r="BR150" s="68"/>
      <c r="BS150" s="68"/>
      <c r="BT150" s="68"/>
      <c r="BU150" s="68"/>
      <c r="BV150" s="68"/>
      <c r="BW150" s="68"/>
      <c r="BX150" s="68"/>
      <c r="BY150" s="68"/>
      <c r="BZ150" s="68"/>
      <c r="CA150" s="68"/>
      <c r="CB150" s="68"/>
      <c r="CC150" s="68"/>
      <c r="CD150" s="68"/>
      <c r="CE150" s="68"/>
      <c r="CF150" s="68"/>
      <c r="CG150" s="68"/>
      <c r="CH150" s="68"/>
      <c r="CI150" s="68"/>
      <c r="CJ150" s="68"/>
      <c r="CK150" s="68"/>
      <c r="CL150" s="68"/>
      <c r="CM150" s="68"/>
      <c r="CN150" s="68"/>
      <c r="CO150" s="68"/>
      <c r="CP150" s="68"/>
      <c r="CQ150" s="68"/>
      <c r="CR150" s="68"/>
      <c r="CS150" s="68"/>
      <c r="CT150" s="68"/>
      <c r="CU150" s="68"/>
      <c r="CV150" s="68"/>
      <c r="CW150" s="68"/>
      <c r="CX150" s="68"/>
      <c r="CY150" s="68"/>
      <c r="CZ150" s="68"/>
      <c r="DA150" s="68"/>
      <c r="DB150" s="68"/>
      <c r="DC150" s="68"/>
      <c r="DD150" s="68"/>
      <c r="DE150" s="68"/>
      <c r="DF150" s="68"/>
      <c r="DG150" s="68"/>
      <c r="DH150" s="68"/>
      <c r="DI150" s="68"/>
      <c r="DJ150" s="68"/>
    </row>
    <row r="151" spans="5:114" x14ac:dyDescent="0.2">
      <c r="E151" s="68"/>
      <c r="G151" s="68"/>
      <c r="H151" s="68"/>
      <c r="I151" s="68"/>
      <c r="J151" s="68"/>
      <c r="K151" s="68"/>
      <c r="L151" s="68"/>
      <c r="M151" s="68"/>
      <c r="N151" s="68"/>
      <c r="O151" s="68"/>
      <c r="P151" s="68"/>
      <c r="Q151" s="68"/>
      <c r="R151" s="68"/>
      <c r="S151" s="68"/>
      <c r="T151" s="68"/>
      <c r="U151" s="68"/>
      <c r="V151" s="68"/>
      <c r="W151" s="68"/>
      <c r="X151" s="68"/>
      <c r="Y151" s="68"/>
      <c r="Z151" s="68"/>
      <c r="AA151" s="68"/>
      <c r="AB151" s="68"/>
      <c r="AC151" s="68"/>
      <c r="AD151" s="68"/>
      <c r="AE151" s="68"/>
      <c r="AF151" s="68"/>
      <c r="AG151" s="68"/>
      <c r="AH151" s="68"/>
      <c r="AI151" s="68"/>
      <c r="AJ151" s="68"/>
      <c r="AK151" s="68"/>
      <c r="AL151" s="68"/>
      <c r="AM151" s="68"/>
      <c r="AN151" s="68"/>
      <c r="AO151" s="68"/>
      <c r="AP151" s="68"/>
      <c r="AQ151" s="68"/>
      <c r="AR151" s="68"/>
      <c r="AS151" s="68"/>
      <c r="AT151" s="68"/>
      <c r="AU151" s="68"/>
      <c r="AV151" s="68"/>
      <c r="AW151" s="68"/>
      <c r="AX151" s="68"/>
      <c r="AY151" s="68"/>
      <c r="AZ151" s="68"/>
      <c r="BA151" s="68"/>
      <c r="BB151" s="68"/>
      <c r="BC151" s="68"/>
      <c r="BD151" s="68"/>
      <c r="BE151" s="68"/>
      <c r="BF151" s="68"/>
      <c r="BG151" s="68"/>
      <c r="BH151" s="71"/>
      <c r="BJ151" s="68"/>
      <c r="BK151" s="68"/>
      <c r="BL151" s="68"/>
      <c r="BM151" s="68"/>
      <c r="BN151" s="68"/>
      <c r="BO151" s="68"/>
      <c r="BP151" s="68"/>
      <c r="BQ151" s="68"/>
      <c r="BR151" s="68"/>
      <c r="BS151" s="68"/>
      <c r="BT151" s="68"/>
      <c r="BU151" s="68"/>
      <c r="BV151" s="68"/>
      <c r="BW151" s="68"/>
      <c r="BX151" s="68"/>
      <c r="BY151" s="68"/>
      <c r="BZ151" s="68"/>
      <c r="CA151" s="68"/>
      <c r="CB151" s="68"/>
      <c r="CC151" s="68"/>
      <c r="CD151" s="68"/>
      <c r="CE151" s="68"/>
      <c r="CF151" s="68"/>
      <c r="CG151" s="68"/>
      <c r="CH151" s="68"/>
      <c r="CI151" s="68"/>
      <c r="CJ151" s="68"/>
      <c r="CK151" s="68"/>
      <c r="CL151" s="68"/>
      <c r="CM151" s="68"/>
      <c r="CN151" s="68"/>
      <c r="CO151" s="68"/>
      <c r="CP151" s="68"/>
      <c r="CQ151" s="68"/>
      <c r="CR151" s="68"/>
      <c r="CS151" s="68"/>
      <c r="CT151" s="68"/>
      <c r="CU151" s="68"/>
      <c r="CV151" s="68"/>
      <c r="CW151" s="68"/>
      <c r="CX151" s="68"/>
      <c r="CY151" s="68"/>
      <c r="CZ151" s="68"/>
      <c r="DA151" s="68"/>
      <c r="DB151" s="68"/>
      <c r="DC151" s="68"/>
      <c r="DD151" s="68"/>
      <c r="DE151" s="68"/>
      <c r="DF151" s="68"/>
      <c r="DG151" s="68"/>
      <c r="DH151" s="68"/>
      <c r="DI151" s="68"/>
      <c r="DJ151" s="68"/>
    </row>
    <row r="152" spans="5:114" x14ac:dyDescent="0.2">
      <c r="E152" s="68"/>
      <c r="G152" s="68"/>
      <c r="H152" s="68"/>
      <c r="I152" s="68"/>
      <c r="J152" s="68"/>
      <c r="K152" s="68"/>
      <c r="L152" s="68"/>
      <c r="M152" s="68"/>
      <c r="N152" s="68"/>
      <c r="O152" s="68"/>
      <c r="P152" s="68"/>
      <c r="Q152" s="68"/>
      <c r="R152" s="68"/>
      <c r="S152" s="68"/>
      <c r="T152" s="68"/>
      <c r="U152" s="68"/>
      <c r="V152" s="68"/>
      <c r="W152" s="68"/>
      <c r="X152" s="68"/>
      <c r="Y152" s="68"/>
      <c r="Z152" s="68"/>
      <c r="AA152" s="68"/>
      <c r="AB152" s="68"/>
      <c r="AC152" s="68"/>
      <c r="AD152" s="68"/>
      <c r="AE152" s="68"/>
      <c r="AF152" s="68"/>
      <c r="AG152" s="68"/>
      <c r="AH152" s="68"/>
      <c r="AI152" s="68"/>
      <c r="AJ152" s="68"/>
      <c r="AK152" s="68"/>
      <c r="AL152" s="68"/>
      <c r="AM152" s="68"/>
      <c r="AN152" s="68"/>
      <c r="AO152" s="68"/>
      <c r="AP152" s="68"/>
      <c r="AQ152" s="68"/>
      <c r="AR152" s="68"/>
      <c r="AS152" s="68"/>
      <c r="AT152" s="68"/>
      <c r="AU152" s="68"/>
      <c r="AV152" s="68"/>
      <c r="AW152" s="68"/>
      <c r="AX152" s="68"/>
      <c r="AY152" s="68"/>
      <c r="AZ152" s="68"/>
      <c r="BA152" s="68"/>
      <c r="BB152" s="68"/>
      <c r="BC152" s="68"/>
      <c r="BD152" s="68"/>
      <c r="BE152" s="68"/>
      <c r="BF152" s="68"/>
      <c r="BG152" s="68"/>
      <c r="BH152" s="71"/>
      <c r="BJ152" s="68"/>
      <c r="BK152" s="68"/>
      <c r="BL152" s="68"/>
      <c r="BM152" s="68"/>
      <c r="BN152" s="68"/>
      <c r="BO152" s="68"/>
      <c r="BP152" s="68"/>
      <c r="BQ152" s="68"/>
      <c r="BR152" s="68"/>
      <c r="BS152" s="68"/>
      <c r="BT152" s="68"/>
      <c r="BU152" s="68"/>
      <c r="BV152" s="68"/>
      <c r="BW152" s="68"/>
      <c r="BX152" s="68"/>
      <c r="BY152" s="68"/>
      <c r="BZ152" s="68"/>
      <c r="CA152" s="68"/>
      <c r="CB152" s="68"/>
      <c r="CC152" s="68"/>
      <c r="CD152" s="68"/>
      <c r="CE152" s="68"/>
      <c r="CF152" s="68"/>
      <c r="CG152" s="68"/>
      <c r="CH152" s="68"/>
      <c r="CI152" s="68"/>
      <c r="CJ152" s="68"/>
      <c r="CK152" s="68"/>
      <c r="CL152" s="68"/>
      <c r="CM152" s="68"/>
      <c r="CN152" s="68"/>
      <c r="CO152" s="68"/>
      <c r="CP152" s="68"/>
      <c r="CQ152" s="68"/>
      <c r="CR152" s="68"/>
      <c r="CS152" s="68"/>
      <c r="CT152" s="68"/>
      <c r="CU152" s="68"/>
      <c r="CV152" s="68"/>
      <c r="CW152" s="68"/>
      <c r="CX152" s="68"/>
      <c r="CY152" s="68"/>
      <c r="CZ152" s="68"/>
      <c r="DA152" s="68"/>
      <c r="DB152" s="68"/>
      <c r="DC152" s="68"/>
      <c r="DD152" s="68"/>
      <c r="DE152" s="68"/>
      <c r="DF152" s="68"/>
      <c r="DG152" s="68"/>
      <c r="DH152" s="68"/>
      <c r="DI152" s="68"/>
      <c r="DJ152" s="68"/>
    </row>
    <row r="153" spans="5:114" x14ac:dyDescent="0.2">
      <c r="E153" s="68"/>
      <c r="G153" s="68"/>
      <c r="H153" s="68"/>
      <c r="I153" s="68"/>
      <c r="J153" s="68"/>
      <c r="K153" s="68"/>
      <c r="L153" s="68"/>
      <c r="M153" s="68"/>
      <c r="N153" s="68"/>
      <c r="O153" s="68"/>
      <c r="P153" s="68"/>
      <c r="Q153" s="68"/>
      <c r="R153" s="68"/>
      <c r="S153" s="68"/>
      <c r="T153" s="68"/>
      <c r="U153" s="68"/>
      <c r="V153" s="68"/>
      <c r="W153" s="68"/>
      <c r="X153" s="68"/>
      <c r="Y153" s="68"/>
      <c r="Z153" s="68"/>
      <c r="AA153" s="68"/>
      <c r="AB153" s="68"/>
      <c r="AC153" s="68"/>
      <c r="AD153" s="68"/>
      <c r="AE153" s="68"/>
      <c r="AF153" s="68"/>
      <c r="AG153" s="68"/>
      <c r="AH153" s="68"/>
      <c r="AI153" s="68"/>
      <c r="AJ153" s="68"/>
      <c r="AK153" s="68"/>
      <c r="AL153" s="68"/>
      <c r="AM153" s="68"/>
      <c r="AN153" s="68"/>
      <c r="AO153" s="68"/>
      <c r="AP153" s="68"/>
      <c r="AQ153" s="68"/>
      <c r="AR153" s="68"/>
      <c r="AS153" s="68"/>
      <c r="AT153" s="68"/>
      <c r="AU153" s="68"/>
      <c r="AV153" s="68"/>
      <c r="AW153" s="68"/>
      <c r="AX153" s="68"/>
      <c r="AY153" s="68"/>
      <c r="AZ153" s="68"/>
      <c r="BA153" s="68"/>
      <c r="BB153" s="68"/>
      <c r="BC153" s="68"/>
      <c r="BD153" s="68"/>
      <c r="BE153" s="68"/>
      <c r="BF153" s="68"/>
      <c r="BG153" s="68"/>
      <c r="BH153" s="71"/>
      <c r="BJ153" s="68"/>
      <c r="BK153" s="68"/>
      <c r="BL153" s="68"/>
      <c r="BM153" s="68"/>
      <c r="BN153" s="68"/>
      <c r="BO153" s="68"/>
      <c r="BP153" s="68"/>
      <c r="BQ153" s="68"/>
      <c r="BR153" s="68"/>
      <c r="BS153" s="68"/>
      <c r="BT153" s="68"/>
      <c r="BU153" s="68"/>
      <c r="BV153" s="68"/>
      <c r="BW153" s="68"/>
      <c r="BX153" s="68"/>
      <c r="BY153" s="68"/>
      <c r="BZ153" s="68"/>
      <c r="CA153" s="68"/>
      <c r="CB153" s="68"/>
      <c r="CC153" s="68"/>
      <c r="CD153" s="68"/>
      <c r="CE153" s="68"/>
      <c r="CF153" s="68"/>
      <c r="CG153" s="68"/>
      <c r="CH153" s="68"/>
      <c r="CI153" s="68"/>
      <c r="CJ153" s="68"/>
      <c r="CK153" s="68"/>
      <c r="CL153" s="68"/>
      <c r="CM153" s="68"/>
      <c r="CN153" s="68"/>
      <c r="CO153" s="68"/>
      <c r="CP153" s="68"/>
      <c r="CQ153" s="68"/>
      <c r="CR153" s="68"/>
      <c r="CS153" s="68"/>
      <c r="CT153" s="68"/>
      <c r="CU153" s="68"/>
      <c r="CV153" s="68"/>
      <c r="CW153" s="68"/>
      <c r="CX153" s="68"/>
      <c r="CY153" s="68"/>
      <c r="CZ153" s="68"/>
      <c r="DA153" s="68"/>
      <c r="DB153" s="68"/>
      <c r="DC153" s="68"/>
      <c r="DD153" s="68"/>
      <c r="DE153" s="68"/>
      <c r="DF153" s="68"/>
      <c r="DG153" s="68"/>
      <c r="DH153" s="68"/>
      <c r="DI153" s="68"/>
      <c r="DJ153" s="68"/>
    </row>
    <row r="154" spans="5:114" x14ac:dyDescent="0.2">
      <c r="E154" s="68"/>
      <c r="G154" s="68"/>
      <c r="H154" s="68"/>
      <c r="I154" s="68"/>
      <c r="J154" s="68"/>
      <c r="K154" s="68"/>
      <c r="L154" s="68"/>
      <c r="M154" s="68"/>
      <c r="N154" s="68"/>
      <c r="O154" s="68"/>
      <c r="P154" s="68"/>
      <c r="Q154" s="68"/>
      <c r="R154" s="68"/>
      <c r="S154" s="68"/>
      <c r="T154" s="68"/>
      <c r="U154" s="68"/>
      <c r="V154" s="68"/>
      <c r="W154" s="68"/>
      <c r="X154" s="68"/>
      <c r="Y154" s="68"/>
      <c r="Z154" s="68"/>
      <c r="AA154" s="68"/>
      <c r="AB154" s="68"/>
      <c r="AC154" s="68"/>
      <c r="AD154" s="68"/>
      <c r="AE154" s="68"/>
      <c r="AF154" s="68"/>
      <c r="AG154" s="68"/>
      <c r="AH154" s="68"/>
      <c r="AI154" s="68"/>
      <c r="AJ154" s="68"/>
      <c r="AK154" s="68"/>
      <c r="AL154" s="68"/>
      <c r="AM154" s="68"/>
      <c r="AN154" s="68"/>
      <c r="AO154" s="68"/>
      <c r="AP154" s="68"/>
      <c r="AQ154" s="68"/>
      <c r="AR154" s="68"/>
      <c r="AS154" s="68"/>
      <c r="AT154" s="68"/>
      <c r="AU154" s="68"/>
      <c r="AV154" s="68"/>
      <c r="AW154" s="68"/>
      <c r="AX154" s="68"/>
      <c r="AY154" s="68"/>
      <c r="AZ154" s="68"/>
      <c r="BA154" s="68"/>
      <c r="BB154" s="68"/>
      <c r="BC154" s="68"/>
      <c r="BD154" s="68"/>
      <c r="BE154" s="68"/>
      <c r="BF154" s="68"/>
      <c r="BG154" s="68"/>
      <c r="BH154" s="71"/>
      <c r="BJ154" s="68"/>
      <c r="BK154" s="68"/>
      <c r="BL154" s="68"/>
      <c r="BM154" s="68"/>
      <c r="BN154" s="68"/>
      <c r="BO154" s="68"/>
      <c r="BP154" s="68"/>
      <c r="BQ154" s="68"/>
      <c r="BR154" s="68"/>
      <c r="BS154" s="68"/>
      <c r="BT154" s="68"/>
      <c r="BU154" s="68"/>
      <c r="BV154" s="68"/>
      <c r="BW154" s="68"/>
      <c r="BX154" s="68"/>
      <c r="BY154" s="68"/>
      <c r="BZ154" s="68"/>
      <c r="CA154" s="68"/>
      <c r="CB154" s="68"/>
      <c r="CC154" s="68"/>
      <c r="CD154" s="68"/>
      <c r="CE154" s="68"/>
      <c r="CF154" s="68"/>
      <c r="CG154" s="68"/>
      <c r="CH154" s="68"/>
      <c r="CI154" s="68"/>
      <c r="CJ154" s="68"/>
      <c r="CK154" s="68"/>
      <c r="CL154" s="68"/>
      <c r="CM154" s="68"/>
      <c r="CN154" s="68"/>
      <c r="CO154" s="68"/>
      <c r="CP154" s="68"/>
      <c r="CQ154" s="68"/>
      <c r="CR154" s="68"/>
      <c r="CS154" s="68"/>
      <c r="CT154" s="68"/>
      <c r="CU154" s="68"/>
      <c r="CV154" s="68"/>
      <c r="CW154" s="68"/>
      <c r="CX154" s="68"/>
      <c r="CY154" s="68"/>
      <c r="CZ154" s="68"/>
      <c r="DA154" s="68"/>
      <c r="DB154" s="68"/>
      <c r="DC154" s="68"/>
      <c r="DD154" s="68"/>
      <c r="DE154" s="68"/>
      <c r="DF154" s="68"/>
      <c r="DG154" s="68"/>
      <c r="DH154" s="68"/>
      <c r="DI154" s="68"/>
      <c r="DJ154" s="68"/>
    </row>
    <row r="155" spans="5:114" x14ac:dyDescent="0.2">
      <c r="E155" s="68"/>
      <c r="G155" s="68"/>
      <c r="H155" s="68"/>
      <c r="I155" s="68"/>
      <c r="J155" s="68"/>
      <c r="K155" s="68"/>
      <c r="L155" s="68"/>
      <c r="M155" s="68"/>
      <c r="N155" s="68"/>
      <c r="O155" s="68"/>
      <c r="P155" s="68"/>
      <c r="Q155" s="68"/>
      <c r="R155" s="68"/>
      <c r="S155" s="68"/>
      <c r="T155" s="68"/>
      <c r="U155" s="68"/>
      <c r="V155" s="68"/>
      <c r="W155" s="68"/>
      <c r="X155" s="68"/>
      <c r="Y155" s="68"/>
      <c r="Z155" s="68"/>
      <c r="AA155" s="68"/>
      <c r="AB155" s="68"/>
      <c r="AC155" s="68"/>
      <c r="AD155" s="68"/>
      <c r="AE155" s="68"/>
      <c r="AF155" s="68"/>
      <c r="AG155" s="68"/>
      <c r="AH155" s="68"/>
      <c r="AI155" s="68"/>
      <c r="AJ155" s="68"/>
      <c r="AK155" s="68"/>
      <c r="AL155" s="68"/>
      <c r="AM155" s="68"/>
      <c r="AN155" s="68"/>
      <c r="AO155" s="68"/>
      <c r="AP155" s="68"/>
      <c r="AQ155" s="68"/>
      <c r="AR155" s="68"/>
      <c r="AS155" s="68"/>
      <c r="AT155" s="68"/>
      <c r="AU155" s="68"/>
      <c r="AV155" s="68"/>
      <c r="AW155" s="68"/>
      <c r="AX155" s="68"/>
      <c r="AY155" s="68"/>
      <c r="AZ155" s="68"/>
      <c r="BA155" s="68"/>
      <c r="BB155" s="68"/>
      <c r="BC155" s="68"/>
      <c r="BD155" s="68"/>
      <c r="BE155" s="68"/>
      <c r="BF155" s="68"/>
      <c r="BG155" s="68"/>
      <c r="BH155" s="71"/>
      <c r="BJ155" s="68"/>
      <c r="BK155" s="68"/>
      <c r="BL155" s="68"/>
      <c r="BM155" s="68"/>
      <c r="BN155" s="68"/>
      <c r="BO155" s="68"/>
      <c r="BP155" s="68"/>
      <c r="BQ155" s="68"/>
      <c r="BR155" s="68"/>
      <c r="BS155" s="68"/>
      <c r="BT155" s="68"/>
      <c r="BU155" s="68"/>
      <c r="BV155" s="68"/>
      <c r="BW155" s="68"/>
      <c r="BX155" s="68"/>
      <c r="BY155" s="68"/>
      <c r="BZ155" s="68"/>
      <c r="CA155" s="68"/>
      <c r="CB155" s="68"/>
      <c r="CC155" s="68"/>
      <c r="CD155" s="68"/>
      <c r="CE155" s="68"/>
      <c r="CF155" s="68"/>
      <c r="CG155" s="68"/>
      <c r="CH155" s="68"/>
      <c r="CI155" s="68"/>
      <c r="CJ155" s="68"/>
      <c r="CK155" s="68"/>
      <c r="CL155" s="68"/>
      <c r="CM155" s="68"/>
      <c r="CN155" s="68"/>
      <c r="CO155" s="68"/>
      <c r="CP155" s="68"/>
      <c r="CQ155" s="68"/>
      <c r="CR155" s="68"/>
      <c r="CS155" s="68"/>
      <c r="CT155" s="68"/>
      <c r="CU155" s="68"/>
      <c r="CV155" s="68"/>
      <c r="CW155" s="68"/>
      <c r="CX155" s="68"/>
      <c r="CY155" s="68"/>
      <c r="CZ155" s="68"/>
      <c r="DA155" s="68"/>
      <c r="DB155" s="68"/>
      <c r="DC155" s="68"/>
      <c r="DD155" s="68"/>
      <c r="DE155" s="68"/>
      <c r="DF155" s="68"/>
      <c r="DG155" s="68"/>
      <c r="DH155" s="68"/>
      <c r="DI155" s="68"/>
      <c r="DJ155" s="68"/>
    </row>
    <row r="156" spans="5:114" x14ac:dyDescent="0.2">
      <c r="E156" s="68"/>
      <c r="G156" s="68"/>
      <c r="H156" s="68"/>
      <c r="I156" s="68"/>
      <c r="J156" s="68"/>
      <c r="K156" s="68"/>
      <c r="L156" s="68"/>
      <c r="M156" s="68"/>
      <c r="N156" s="68"/>
      <c r="O156" s="68"/>
      <c r="P156" s="68"/>
      <c r="Q156" s="68"/>
      <c r="R156" s="68"/>
      <c r="S156" s="68"/>
      <c r="T156" s="68"/>
      <c r="U156" s="68"/>
      <c r="V156" s="68"/>
      <c r="W156" s="68"/>
      <c r="X156" s="68"/>
      <c r="Y156" s="68"/>
      <c r="Z156" s="68"/>
      <c r="AA156" s="68"/>
      <c r="AB156" s="68"/>
      <c r="AC156" s="68"/>
      <c r="AD156" s="68"/>
      <c r="AE156" s="68"/>
      <c r="AF156" s="68"/>
      <c r="AG156" s="68"/>
      <c r="AH156" s="68"/>
      <c r="AI156" s="68"/>
      <c r="AJ156" s="68"/>
      <c r="AK156" s="68"/>
      <c r="AL156" s="68"/>
      <c r="AM156" s="68"/>
      <c r="AN156" s="68"/>
      <c r="AO156" s="68"/>
      <c r="AP156" s="68"/>
      <c r="AQ156" s="68"/>
      <c r="AR156" s="68"/>
      <c r="AS156" s="68"/>
      <c r="AT156" s="68"/>
      <c r="AU156" s="68"/>
      <c r="AV156" s="68"/>
      <c r="AW156" s="68"/>
      <c r="AX156" s="68"/>
      <c r="AY156" s="68"/>
      <c r="AZ156" s="68"/>
      <c r="BA156" s="68"/>
      <c r="BB156" s="68"/>
      <c r="BC156" s="68"/>
      <c r="BD156" s="68"/>
      <c r="BE156" s="68"/>
      <c r="BF156" s="68"/>
      <c r="BG156" s="68"/>
      <c r="BH156" s="71"/>
      <c r="BJ156" s="68"/>
      <c r="BK156" s="68"/>
      <c r="BL156" s="68"/>
      <c r="BM156" s="68"/>
      <c r="BN156" s="68"/>
      <c r="BO156" s="68"/>
      <c r="BP156" s="68"/>
      <c r="BQ156" s="68"/>
      <c r="BR156" s="68"/>
      <c r="BS156" s="68"/>
      <c r="BT156" s="68"/>
      <c r="BU156" s="68"/>
      <c r="BV156" s="68"/>
      <c r="BW156" s="68"/>
      <c r="BX156" s="68"/>
      <c r="BY156" s="68"/>
      <c r="BZ156" s="68"/>
      <c r="CA156" s="68"/>
      <c r="CB156" s="68"/>
      <c r="CC156" s="68"/>
      <c r="CD156" s="68"/>
      <c r="CE156" s="68"/>
      <c r="CF156" s="68"/>
      <c r="CG156" s="68"/>
      <c r="CH156" s="68"/>
      <c r="CI156" s="68"/>
      <c r="CJ156" s="68"/>
      <c r="CK156" s="68"/>
      <c r="CL156" s="68"/>
      <c r="CM156" s="68"/>
      <c r="CN156" s="68"/>
      <c r="CO156" s="68"/>
      <c r="CP156" s="68"/>
      <c r="CQ156" s="68"/>
      <c r="CR156" s="68"/>
      <c r="CS156" s="68"/>
      <c r="CT156" s="68"/>
      <c r="CU156" s="68"/>
      <c r="CV156" s="68"/>
      <c r="CW156" s="68"/>
      <c r="CX156" s="68"/>
      <c r="CY156" s="68"/>
      <c r="CZ156" s="68"/>
      <c r="DA156" s="68"/>
      <c r="DB156" s="68"/>
      <c r="DC156" s="68"/>
      <c r="DD156" s="68"/>
      <c r="DE156" s="68"/>
      <c r="DF156" s="68"/>
      <c r="DG156" s="68"/>
      <c r="DH156" s="68"/>
      <c r="DI156" s="68"/>
      <c r="DJ156" s="68"/>
    </row>
    <row r="157" spans="5:114" x14ac:dyDescent="0.2">
      <c r="E157" s="68"/>
      <c r="G157" s="68"/>
      <c r="H157" s="68"/>
      <c r="I157" s="68"/>
      <c r="J157" s="68"/>
      <c r="K157" s="68"/>
      <c r="L157" s="68"/>
      <c r="M157" s="68"/>
      <c r="N157" s="68"/>
      <c r="O157" s="68"/>
      <c r="P157" s="68"/>
      <c r="Q157" s="68"/>
      <c r="R157" s="68"/>
      <c r="S157" s="68"/>
      <c r="T157" s="68"/>
      <c r="U157" s="68"/>
      <c r="V157" s="68"/>
      <c r="W157" s="68"/>
      <c r="X157" s="68"/>
      <c r="Y157" s="68"/>
      <c r="Z157" s="68"/>
      <c r="AA157" s="68"/>
      <c r="AB157" s="68"/>
      <c r="AC157" s="68"/>
      <c r="AD157" s="68"/>
      <c r="AE157" s="68"/>
      <c r="AF157" s="68"/>
      <c r="AG157" s="68"/>
      <c r="AH157" s="68"/>
      <c r="AI157" s="68"/>
      <c r="AJ157" s="68"/>
      <c r="AK157" s="68"/>
      <c r="AL157" s="68"/>
      <c r="AM157" s="68"/>
      <c r="AN157" s="68"/>
      <c r="AO157" s="68"/>
      <c r="AP157" s="68"/>
      <c r="AQ157" s="68"/>
      <c r="AR157" s="68"/>
      <c r="AS157" s="68"/>
      <c r="AT157" s="68"/>
      <c r="AU157" s="68"/>
      <c r="AV157" s="68"/>
      <c r="AW157" s="68"/>
      <c r="AX157" s="68"/>
      <c r="AY157" s="68"/>
      <c r="AZ157" s="68"/>
      <c r="BA157" s="68"/>
      <c r="BB157" s="68"/>
      <c r="BC157" s="68"/>
      <c r="BD157" s="68"/>
      <c r="BE157" s="68"/>
      <c r="BF157" s="68"/>
      <c r="BG157" s="68"/>
      <c r="BH157" s="71"/>
      <c r="BJ157" s="68"/>
      <c r="BK157" s="68"/>
      <c r="BL157" s="68"/>
      <c r="BM157" s="68"/>
      <c r="BN157" s="68"/>
      <c r="BO157" s="68"/>
      <c r="BP157" s="68"/>
      <c r="BQ157" s="68"/>
      <c r="BR157" s="68"/>
      <c r="BS157" s="68"/>
      <c r="BT157" s="68"/>
      <c r="BU157" s="68"/>
      <c r="BV157" s="68"/>
      <c r="BW157" s="68"/>
      <c r="BX157" s="68"/>
      <c r="BY157" s="68"/>
      <c r="BZ157" s="68"/>
      <c r="CA157" s="68"/>
      <c r="CB157" s="68"/>
      <c r="CC157" s="68"/>
      <c r="CD157" s="68"/>
      <c r="CE157" s="68"/>
      <c r="CF157" s="68"/>
      <c r="CG157" s="68"/>
      <c r="CH157" s="68"/>
      <c r="CI157" s="68"/>
      <c r="CJ157" s="68"/>
      <c r="CK157" s="68"/>
      <c r="CL157" s="68"/>
      <c r="CM157" s="68"/>
      <c r="CN157" s="68"/>
      <c r="CO157" s="68"/>
      <c r="CP157" s="68"/>
      <c r="CQ157" s="68"/>
      <c r="CR157" s="68"/>
      <c r="CS157" s="68"/>
      <c r="CT157" s="68"/>
      <c r="CU157" s="68"/>
      <c r="CV157" s="68"/>
      <c r="CW157" s="68"/>
      <c r="CX157" s="68"/>
      <c r="CY157" s="68"/>
      <c r="CZ157" s="68"/>
      <c r="DA157" s="68"/>
      <c r="DB157" s="68"/>
      <c r="DC157" s="68"/>
      <c r="DD157" s="68"/>
      <c r="DE157" s="68"/>
      <c r="DF157" s="68"/>
      <c r="DG157" s="68"/>
      <c r="DH157" s="68"/>
      <c r="DI157" s="68"/>
      <c r="DJ157" s="68"/>
    </row>
    <row r="158" spans="5:114" x14ac:dyDescent="0.2">
      <c r="E158" s="68"/>
      <c r="G158" s="68"/>
      <c r="H158" s="68"/>
      <c r="I158" s="68"/>
      <c r="J158" s="68"/>
      <c r="K158" s="68"/>
      <c r="L158" s="68"/>
      <c r="M158" s="68"/>
      <c r="N158" s="68"/>
      <c r="O158" s="68"/>
      <c r="P158" s="68"/>
      <c r="Q158" s="68"/>
      <c r="R158" s="68"/>
      <c r="S158" s="68"/>
      <c r="T158" s="68"/>
      <c r="U158" s="68"/>
      <c r="V158" s="68"/>
      <c r="W158" s="68"/>
      <c r="X158" s="68"/>
      <c r="Y158" s="68"/>
      <c r="Z158" s="68"/>
      <c r="AA158" s="68"/>
      <c r="AB158" s="68"/>
      <c r="AC158" s="68"/>
      <c r="AD158" s="68"/>
      <c r="AE158" s="68"/>
      <c r="AF158" s="68"/>
      <c r="AG158" s="68"/>
      <c r="AH158" s="68"/>
      <c r="AI158" s="68"/>
      <c r="AJ158" s="68"/>
      <c r="AK158" s="68"/>
      <c r="AL158" s="68"/>
      <c r="AM158" s="68"/>
      <c r="AN158" s="68"/>
      <c r="AO158" s="68"/>
      <c r="AP158" s="68"/>
      <c r="AQ158" s="68"/>
      <c r="AR158" s="68"/>
      <c r="AS158" s="68"/>
      <c r="AT158" s="68"/>
      <c r="AU158" s="68"/>
      <c r="AV158" s="68"/>
      <c r="AW158" s="68"/>
      <c r="AX158" s="68"/>
      <c r="AY158" s="68"/>
      <c r="AZ158" s="68"/>
      <c r="BA158" s="68"/>
      <c r="BB158" s="68"/>
      <c r="BC158" s="68"/>
      <c r="BD158" s="68"/>
      <c r="BE158" s="68"/>
      <c r="BF158" s="68"/>
      <c r="BG158" s="68"/>
      <c r="BH158" s="71"/>
      <c r="BJ158" s="68"/>
      <c r="BK158" s="68"/>
      <c r="BL158" s="68"/>
      <c r="BM158" s="68"/>
      <c r="BN158" s="68"/>
      <c r="BO158" s="68"/>
      <c r="BP158" s="68"/>
      <c r="BQ158" s="68"/>
      <c r="BR158" s="68"/>
      <c r="BS158" s="68"/>
      <c r="BT158" s="68"/>
      <c r="BU158" s="68"/>
      <c r="BV158" s="68"/>
      <c r="BW158" s="68"/>
      <c r="BX158" s="68"/>
      <c r="BY158" s="68"/>
      <c r="BZ158" s="68"/>
      <c r="CA158" s="68"/>
      <c r="CB158" s="68"/>
      <c r="CC158" s="68"/>
      <c r="CD158" s="68"/>
      <c r="CE158" s="68"/>
      <c r="CF158" s="68"/>
      <c r="CG158" s="68"/>
      <c r="CH158" s="68"/>
      <c r="CI158" s="68"/>
      <c r="CJ158" s="68"/>
      <c r="CK158" s="68"/>
      <c r="CL158" s="68"/>
      <c r="CM158" s="68"/>
      <c r="CN158" s="68"/>
      <c r="CO158" s="68"/>
      <c r="CP158" s="68"/>
      <c r="CQ158" s="68"/>
      <c r="CR158" s="68"/>
      <c r="CS158" s="68"/>
      <c r="CT158" s="68"/>
      <c r="CU158" s="68"/>
      <c r="CV158" s="68"/>
      <c r="CW158" s="68"/>
      <c r="CX158" s="68"/>
      <c r="CY158" s="68"/>
      <c r="CZ158" s="68"/>
      <c r="DA158" s="68"/>
      <c r="DB158" s="68"/>
      <c r="DC158" s="68"/>
      <c r="DD158" s="68"/>
      <c r="DE158" s="68"/>
      <c r="DF158" s="68"/>
      <c r="DG158" s="68"/>
      <c r="DH158" s="68"/>
      <c r="DI158" s="68"/>
      <c r="DJ158" s="68"/>
    </row>
    <row r="159" spans="5:114" x14ac:dyDescent="0.2">
      <c r="E159" s="68"/>
      <c r="G159" s="68"/>
      <c r="H159" s="68"/>
      <c r="I159" s="68"/>
      <c r="J159" s="68"/>
      <c r="K159" s="68"/>
      <c r="L159" s="68"/>
      <c r="M159" s="68"/>
      <c r="N159" s="68"/>
      <c r="O159" s="68"/>
      <c r="P159" s="68"/>
      <c r="Q159" s="68"/>
      <c r="R159" s="68"/>
      <c r="S159" s="68"/>
      <c r="T159" s="68"/>
      <c r="U159" s="68"/>
      <c r="V159" s="68"/>
      <c r="W159" s="68"/>
      <c r="X159" s="68"/>
      <c r="Y159" s="68"/>
      <c r="Z159" s="68"/>
      <c r="AA159" s="68"/>
      <c r="AB159" s="68"/>
      <c r="AC159" s="68"/>
      <c r="AD159" s="68"/>
      <c r="AE159" s="68"/>
      <c r="AF159" s="68"/>
      <c r="AG159" s="68"/>
      <c r="AH159" s="68"/>
      <c r="AI159" s="68"/>
      <c r="AJ159" s="68"/>
      <c r="AK159" s="68"/>
      <c r="AL159" s="68"/>
      <c r="AM159" s="68"/>
      <c r="AN159" s="68"/>
      <c r="AO159" s="68"/>
      <c r="AP159" s="68"/>
      <c r="AQ159" s="68"/>
      <c r="AR159" s="68"/>
      <c r="AS159" s="68"/>
      <c r="AT159" s="68"/>
      <c r="AU159" s="68"/>
      <c r="AV159" s="68"/>
      <c r="AW159" s="68"/>
      <c r="AX159" s="68"/>
      <c r="AY159" s="68"/>
      <c r="AZ159" s="68"/>
      <c r="BA159" s="68"/>
      <c r="BB159" s="68"/>
      <c r="BC159" s="68"/>
      <c r="BD159" s="68"/>
      <c r="BE159" s="68"/>
      <c r="BF159" s="68"/>
      <c r="BG159" s="68"/>
      <c r="BH159" s="71"/>
      <c r="BJ159" s="68"/>
      <c r="BK159" s="68"/>
      <c r="BL159" s="68"/>
      <c r="BM159" s="68"/>
      <c r="BN159" s="68"/>
      <c r="BO159" s="68"/>
      <c r="BP159" s="68"/>
      <c r="BQ159" s="68"/>
      <c r="BR159" s="68"/>
      <c r="BS159" s="68"/>
      <c r="BT159" s="68"/>
      <c r="BU159" s="68"/>
      <c r="BV159" s="68"/>
      <c r="BW159" s="68"/>
      <c r="BX159" s="68"/>
      <c r="BY159" s="68"/>
      <c r="BZ159" s="68"/>
      <c r="CA159" s="68"/>
      <c r="CB159" s="68"/>
      <c r="CC159" s="68"/>
      <c r="CD159" s="68"/>
      <c r="CE159" s="68"/>
      <c r="CF159" s="68"/>
      <c r="CG159" s="68"/>
      <c r="CH159" s="68"/>
      <c r="CI159" s="68"/>
      <c r="CJ159" s="68"/>
      <c r="CK159" s="68"/>
      <c r="CL159" s="68"/>
      <c r="CM159" s="68"/>
      <c r="CN159" s="68"/>
      <c r="CO159" s="68"/>
      <c r="CP159" s="68"/>
      <c r="CQ159" s="68"/>
      <c r="CR159" s="68"/>
      <c r="CS159" s="68"/>
      <c r="CT159" s="68"/>
      <c r="CU159" s="68"/>
      <c r="CV159" s="68"/>
      <c r="CW159" s="68"/>
      <c r="CX159" s="68"/>
      <c r="CY159" s="68"/>
      <c r="CZ159" s="68"/>
      <c r="DA159" s="68"/>
      <c r="DB159" s="68"/>
      <c r="DC159" s="68"/>
      <c r="DD159" s="68"/>
      <c r="DE159" s="68"/>
      <c r="DF159" s="68"/>
      <c r="DG159" s="68"/>
      <c r="DH159" s="68"/>
      <c r="DI159" s="68"/>
      <c r="DJ159" s="68"/>
    </row>
    <row r="160" spans="5:114" x14ac:dyDescent="0.2">
      <c r="E160" s="68"/>
      <c r="G160" s="68"/>
      <c r="H160" s="68"/>
      <c r="I160" s="68"/>
      <c r="J160" s="68"/>
      <c r="K160" s="68"/>
      <c r="L160" s="68"/>
      <c r="M160" s="68"/>
      <c r="N160" s="68"/>
      <c r="O160" s="68"/>
      <c r="P160" s="68"/>
      <c r="Q160" s="68"/>
      <c r="R160" s="68"/>
      <c r="S160" s="68"/>
      <c r="T160" s="68"/>
      <c r="U160" s="68"/>
      <c r="V160" s="68"/>
      <c r="W160" s="68"/>
      <c r="X160" s="68"/>
      <c r="Y160" s="68"/>
      <c r="Z160" s="68"/>
      <c r="AA160" s="68"/>
      <c r="AB160" s="68"/>
      <c r="AC160" s="68"/>
      <c r="AD160" s="68"/>
      <c r="AE160" s="68"/>
      <c r="AF160" s="68"/>
      <c r="AG160" s="68"/>
      <c r="AH160" s="68"/>
      <c r="AI160" s="68"/>
      <c r="AJ160" s="68"/>
      <c r="AK160" s="68"/>
      <c r="AL160" s="68"/>
      <c r="AM160" s="68"/>
      <c r="AN160" s="68"/>
      <c r="AO160" s="68"/>
      <c r="AP160" s="68"/>
      <c r="AQ160" s="68"/>
      <c r="AR160" s="68"/>
      <c r="AS160" s="68"/>
      <c r="AT160" s="68"/>
      <c r="AU160" s="68"/>
      <c r="AV160" s="68"/>
      <c r="AW160" s="68"/>
      <c r="AX160" s="68"/>
      <c r="AY160" s="68"/>
      <c r="AZ160" s="68"/>
      <c r="BA160" s="68"/>
      <c r="BB160" s="68"/>
      <c r="BC160" s="68"/>
      <c r="BD160" s="68"/>
      <c r="BE160" s="68"/>
      <c r="BF160" s="68"/>
      <c r="BG160" s="68"/>
      <c r="BH160" s="71"/>
      <c r="BJ160" s="68"/>
      <c r="BK160" s="68"/>
      <c r="BL160" s="68"/>
      <c r="BM160" s="68"/>
      <c r="BN160" s="68"/>
      <c r="BO160" s="68"/>
      <c r="BP160" s="68"/>
      <c r="BQ160" s="68"/>
      <c r="BR160" s="68"/>
      <c r="BS160" s="68"/>
      <c r="BT160" s="68"/>
      <c r="BU160" s="68"/>
      <c r="BV160" s="68"/>
      <c r="BW160" s="68"/>
      <c r="BX160" s="68"/>
      <c r="BY160" s="68"/>
      <c r="BZ160" s="68"/>
      <c r="CA160" s="68"/>
      <c r="CB160" s="68"/>
      <c r="CC160" s="68"/>
      <c r="CD160" s="68"/>
      <c r="CE160" s="68"/>
      <c r="CF160" s="68"/>
      <c r="CG160" s="68"/>
      <c r="CH160" s="68"/>
      <c r="CI160" s="68"/>
      <c r="CJ160" s="68"/>
      <c r="CK160" s="68"/>
      <c r="CL160" s="68"/>
      <c r="CM160" s="68"/>
      <c r="CN160" s="68"/>
      <c r="CO160" s="68"/>
      <c r="CP160" s="68"/>
      <c r="CQ160" s="68"/>
      <c r="CR160" s="68"/>
      <c r="CS160" s="68"/>
      <c r="CT160" s="68"/>
      <c r="CU160" s="68"/>
      <c r="CV160" s="68"/>
      <c r="CW160" s="68"/>
      <c r="CX160" s="68"/>
      <c r="CY160" s="68"/>
      <c r="CZ160" s="68"/>
      <c r="DA160" s="68"/>
      <c r="DB160" s="68"/>
      <c r="DC160" s="68"/>
      <c r="DD160" s="68"/>
      <c r="DE160" s="68"/>
      <c r="DF160" s="68"/>
      <c r="DG160" s="68"/>
      <c r="DH160" s="68"/>
      <c r="DI160" s="68"/>
      <c r="DJ160" s="68"/>
    </row>
    <row r="161" spans="5:114" x14ac:dyDescent="0.2">
      <c r="E161" s="68"/>
      <c r="G161" s="68"/>
      <c r="H161" s="68"/>
      <c r="I161" s="68"/>
      <c r="J161" s="68"/>
      <c r="K161" s="68"/>
      <c r="L161" s="68"/>
      <c r="M161" s="68"/>
      <c r="N161" s="68"/>
      <c r="O161" s="68"/>
      <c r="P161" s="68"/>
      <c r="Q161" s="68"/>
      <c r="R161" s="68"/>
      <c r="S161" s="68"/>
      <c r="T161" s="68"/>
      <c r="U161" s="68"/>
      <c r="V161" s="68"/>
      <c r="W161" s="68"/>
      <c r="X161" s="68"/>
      <c r="Y161" s="68"/>
      <c r="Z161" s="68"/>
      <c r="AA161" s="68"/>
      <c r="AB161" s="68"/>
      <c r="AC161" s="68"/>
      <c r="AD161" s="68"/>
      <c r="AE161" s="68"/>
      <c r="AF161" s="68"/>
      <c r="AG161" s="68"/>
      <c r="AH161" s="68"/>
      <c r="AI161" s="68"/>
      <c r="AJ161" s="68"/>
      <c r="AK161" s="68"/>
      <c r="AL161" s="68"/>
      <c r="AM161" s="68"/>
      <c r="AN161" s="68"/>
      <c r="AO161" s="68"/>
      <c r="AP161" s="68"/>
      <c r="AQ161" s="68"/>
      <c r="AR161" s="68"/>
      <c r="AS161" s="68"/>
      <c r="AT161" s="68"/>
      <c r="AU161" s="68"/>
      <c r="AV161" s="68"/>
      <c r="AW161" s="68"/>
      <c r="AX161" s="68"/>
      <c r="AY161" s="68"/>
      <c r="AZ161" s="68"/>
      <c r="BA161" s="68"/>
      <c r="BB161" s="68"/>
      <c r="BC161" s="68"/>
      <c r="BD161" s="68"/>
      <c r="BE161" s="68"/>
      <c r="BF161" s="68"/>
      <c r="BG161" s="68"/>
      <c r="BH161" s="71"/>
      <c r="BJ161" s="68"/>
      <c r="BK161" s="68"/>
      <c r="BL161" s="68"/>
      <c r="BM161" s="68"/>
      <c r="BN161" s="68"/>
      <c r="BO161" s="68"/>
      <c r="BP161" s="68"/>
      <c r="BQ161" s="68"/>
      <c r="BR161" s="68"/>
      <c r="BS161" s="68"/>
      <c r="BT161" s="68"/>
      <c r="BU161" s="68"/>
      <c r="BV161" s="68"/>
      <c r="BW161" s="68"/>
      <c r="BX161" s="68"/>
      <c r="BY161" s="68"/>
      <c r="BZ161" s="68"/>
      <c r="CA161" s="68"/>
      <c r="CB161" s="68"/>
      <c r="CC161" s="68"/>
      <c r="CD161" s="68"/>
      <c r="CE161" s="68"/>
      <c r="CF161" s="68"/>
      <c r="CG161" s="68"/>
      <c r="CH161" s="68"/>
      <c r="CI161" s="68"/>
      <c r="CJ161" s="68"/>
      <c r="CK161" s="68"/>
      <c r="CL161" s="68"/>
      <c r="CM161" s="68"/>
      <c r="CN161" s="68"/>
      <c r="CO161" s="68"/>
      <c r="CP161" s="68"/>
      <c r="CQ161" s="68"/>
      <c r="CR161" s="68"/>
      <c r="CS161" s="68"/>
      <c r="CT161" s="68"/>
      <c r="CU161" s="68"/>
      <c r="CV161" s="68"/>
      <c r="CW161" s="68"/>
      <c r="CX161" s="68"/>
      <c r="CY161" s="68"/>
      <c r="CZ161" s="68"/>
      <c r="DA161" s="68"/>
      <c r="DB161" s="68"/>
      <c r="DC161" s="68"/>
      <c r="DD161" s="68"/>
      <c r="DE161" s="68"/>
      <c r="DF161" s="68"/>
      <c r="DG161" s="68"/>
      <c r="DH161" s="68"/>
      <c r="DI161" s="68"/>
      <c r="DJ161" s="68"/>
    </row>
    <row r="162" spans="5:114" x14ac:dyDescent="0.2">
      <c r="E162" s="68"/>
      <c r="G162" s="68"/>
      <c r="H162" s="68"/>
      <c r="I162" s="68"/>
      <c r="J162" s="68"/>
      <c r="K162" s="68"/>
      <c r="L162" s="68"/>
      <c r="M162" s="68"/>
      <c r="N162" s="68"/>
      <c r="O162" s="68"/>
      <c r="P162" s="68"/>
      <c r="Q162" s="68"/>
      <c r="R162" s="68"/>
      <c r="S162" s="68"/>
      <c r="T162" s="68"/>
      <c r="U162" s="68"/>
      <c r="V162" s="68"/>
      <c r="W162" s="68"/>
      <c r="X162" s="68"/>
      <c r="Y162" s="68"/>
      <c r="Z162" s="68"/>
      <c r="AA162" s="68"/>
      <c r="AB162" s="68"/>
      <c r="AC162" s="68"/>
      <c r="AD162" s="68"/>
      <c r="AE162" s="68"/>
      <c r="AF162" s="68"/>
      <c r="AG162" s="68"/>
      <c r="AH162" s="68"/>
      <c r="AI162" s="68"/>
      <c r="AJ162" s="68"/>
      <c r="AK162" s="68"/>
      <c r="AL162" s="68"/>
      <c r="AM162" s="68"/>
      <c r="AN162" s="68"/>
      <c r="AO162" s="68"/>
      <c r="AP162" s="68"/>
      <c r="AQ162" s="68"/>
      <c r="AR162" s="68"/>
      <c r="AS162" s="68"/>
      <c r="AT162" s="68"/>
      <c r="AU162" s="68"/>
      <c r="AV162" s="68"/>
      <c r="AW162" s="68"/>
      <c r="AX162" s="68"/>
      <c r="AY162" s="68"/>
      <c r="AZ162" s="68"/>
      <c r="BA162" s="68"/>
      <c r="BB162" s="68"/>
      <c r="BC162" s="68"/>
      <c r="BD162" s="68"/>
      <c r="BE162" s="68"/>
      <c r="BF162" s="68"/>
      <c r="BG162" s="68"/>
      <c r="BH162" s="71"/>
      <c r="BJ162" s="68"/>
      <c r="BK162" s="68"/>
      <c r="BL162" s="68"/>
      <c r="BM162" s="68"/>
      <c r="BN162" s="68"/>
      <c r="BO162" s="68"/>
      <c r="BP162" s="68"/>
      <c r="BQ162" s="68"/>
      <c r="BR162" s="68"/>
      <c r="BS162" s="68"/>
      <c r="BT162" s="68"/>
      <c r="BU162" s="68"/>
      <c r="BV162" s="68"/>
      <c r="BW162" s="68"/>
      <c r="BX162" s="68"/>
      <c r="BY162" s="68"/>
      <c r="BZ162" s="68"/>
      <c r="CA162" s="68"/>
      <c r="CB162" s="68"/>
      <c r="CC162" s="68"/>
      <c r="CD162" s="68"/>
      <c r="CE162" s="68"/>
      <c r="CF162" s="68"/>
      <c r="CG162" s="68"/>
      <c r="CH162" s="68"/>
      <c r="CI162" s="68"/>
      <c r="CJ162" s="68"/>
      <c r="CK162" s="68"/>
      <c r="CL162" s="68"/>
      <c r="CM162" s="68"/>
      <c r="CN162" s="68"/>
      <c r="CO162" s="68"/>
      <c r="CP162" s="68"/>
      <c r="CQ162" s="68"/>
      <c r="CR162" s="68"/>
      <c r="CS162" s="68"/>
      <c r="CT162" s="68"/>
      <c r="CU162" s="68"/>
      <c r="CV162" s="68"/>
      <c r="CW162" s="68"/>
      <c r="CX162" s="68"/>
      <c r="CY162" s="68"/>
      <c r="CZ162" s="68"/>
      <c r="DA162" s="68"/>
      <c r="DB162" s="68"/>
      <c r="DC162" s="68"/>
      <c r="DD162" s="68"/>
      <c r="DE162" s="68"/>
      <c r="DF162" s="68"/>
      <c r="DG162" s="68"/>
      <c r="DH162" s="68"/>
      <c r="DI162" s="68"/>
      <c r="DJ162" s="68"/>
    </row>
    <row r="163" spans="5:114" x14ac:dyDescent="0.2">
      <c r="E163" s="68"/>
      <c r="G163" s="68"/>
      <c r="H163" s="68"/>
      <c r="I163" s="68"/>
      <c r="J163" s="68"/>
      <c r="K163" s="68"/>
      <c r="L163" s="68"/>
      <c r="M163" s="68"/>
      <c r="N163" s="68"/>
      <c r="O163" s="68"/>
      <c r="P163" s="68"/>
      <c r="Q163" s="68"/>
      <c r="R163" s="68"/>
      <c r="S163" s="68"/>
      <c r="T163" s="68"/>
      <c r="U163" s="68"/>
      <c r="V163" s="68"/>
      <c r="W163" s="68"/>
      <c r="X163" s="68"/>
      <c r="Y163" s="68"/>
      <c r="Z163" s="68"/>
      <c r="AA163" s="68"/>
      <c r="AB163" s="68"/>
      <c r="AC163" s="68"/>
      <c r="AD163" s="68"/>
      <c r="AE163" s="68"/>
      <c r="AF163" s="68"/>
      <c r="AG163" s="68"/>
      <c r="AH163" s="68"/>
      <c r="AI163" s="68"/>
      <c r="AJ163" s="68"/>
      <c r="AK163" s="68"/>
      <c r="AL163" s="68"/>
      <c r="AM163" s="68"/>
      <c r="AN163" s="68"/>
      <c r="AO163" s="68"/>
      <c r="AP163" s="68"/>
      <c r="AQ163" s="68"/>
      <c r="AR163" s="68"/>
      <c r="AS163" s="68"/>
      <c r="AT163" s="68"/>
      <c r="AU163" s="68"/>
      <c r="AV163" s="68"/>
      <c r="AW163" s="68"/>
      <c r="AX163" s="68"/>
      <c r="AY163" s="68"/>
      <c r="AZ163" s="68"/>
      <c r="BA163" s="68"/>
      <c r="BB163" s="68"/>
      <c r="BC163" s="68"/>
      <c r="BD163" s="68"/>
      <c r="BE163" s="68"/>
      <c r="BF163" s="68"/>
      <c r="BG163" s="68"/>
      <c r="BH163" s="71"/>
      <c r="BJ163" s="68"/>
      <c r="BK163" s="68"/>
      <c r="BL163" s="68"/>
      <c r="BM163" s="68"/>
      <c r="BN163" s="68"/>
      <c r="BO163" s="68"/>
      <c r="BP163" s="68"/>
      <c r="BQ163" s="68"/>
      <c r="BR163" s="68"/>
      <c r="BS163" s="68"/>
      <c r="BT163" s="68"/>
      <c r="BU163" s="68"/>
      <c r="BV163" s="68"/>
      <c r="BW163" s="68"/>
      <c r="BX163" s="68"/>
      <c r="BY163" s="68"/>
      <c r="BZ163" s="68"/>
      <c r="CA163" s="68"/>
      <c r="CB163" s="68"/>
      <c r="CC163" s="68"/>
      <c r="CD163" s="68"/>
      <c r="CE163" s="68"/>
      <c r="CF163" s="68"/>
      <c r="CG163" s="68"/>
      <c r="CH163" s="68"/>
      <c r="CI163" s="68"/>
      <c r="CJ163" s="68"/>
      <c r="CK163" s="68"/>
      <c r="CL163" s="68"/>
      <c r="CM163" s="68"/>
      <c r="CN163" s="68"/>
      <c r="CO163" s="68"/>
      <c r="CP163" s="68"/>
      <c r="CQ163" s="68"/>
      <c r="CR163" s="68"/>
      <c r="CS163" s="68"/>
      <c r="CT163" s="68"/>
      <c r="CU163" s="68"/>
      <c r="CV163" s="68"/>
      <c r="CW163" s="68"/>
      <c r="CX163" s="68"/>
      <c r="CY163" s="68"/>
      <c r="CZ163" s="68"/>
      <c r="DA163" s="68"/>
      <c r="DB163" s="68"/>
      <c r="DC163" s="68"/>
      <c r="DD163" s="68"/>
      <c r="DE163" s="68"/>
      <c r="DF163" s="68"/>
      <c r="DG163" s="68"/>
      <c r="DH163" s="68"/>
      <c r="DI163" s="68"/>
      <c r="DJ163" s="68"/>
    </row>
    <row r="164" spans="5:114" x14ac:dyDescent="0.2">
      <c r="E164" s="68"/>
      <c r="G164" s="68"/>
      <c r="H164" s="68"/>
      <c r="I164" s="68"/>
      <c r="J164" s="68"/>
      <c r="K164" s="68"/>
      <c r="L164" s="68"/>
      <c r="M164" s="68"/>
      <c r="N164" s="68"/>
      <c r="O164" s="68"/>
      <c r="P164" s="68"/>
      <c r="Q164" s="68"/>
      <c r="R164" s="68"/>
      <c r="S164" s="68"/>
      <c r="T164" s="68"/>
      <c r="U164" s="68"/>
      <c r="V164" s="68"/>
      <c r="W164" s="68"/>
      <c r="X164" s="68"/>
      <c r="Y164" s="68"/>
      <c r="Z164" s="68"/>
      <c r="AA164" s="68"/>
      <c r="AB164" s="68"/>
      <c r="AC164" s="68"/>
      <c r="AD164" s="68"/>
      <c r="AE164" s="68"/>
      <c r="AF164" s="68"/>
      <c r="AG164" s="68"/>
      <c r="AH164" s="68"/>
      <c r="AI164" s="68"/>
      <c r="AJ164" s="68"/>
      <c r="AK164" s="68"/>
      <c r="AL164" s="68"/>
      <c r="AM164" s="68"/>
      <c r="AN164" s="68"/>
      <c r="AO164" s="68"/>
      <c r="AP164" s="68"/>
      <c r="AQ164" s="68"/>
      <c r="AR164" s="68"/>
      <c r="AS164" s="68"/>
      <c r="AT164" s="68"/>
      <c r="AU164" s="68"/>
      <c r="AV164" s="68"/>
      <c r="AW164" s="68"/>
      <c r="AX164" s="68"/>
      <c r="AY164" s="68"/>
      <c r="AZ164" s="68"/>
      <c r="BA164" s="68"/>
      <c r="BB164" s="68"/>
      <c r="BC164" s="68"/>
      <c r="BD164" s="68"/>
      <c r="BE164" s="68"/>
      <c r="BF164" s="68"/>
      <c r="BG164" s="68"/>
      <c r="BH164" s="71"/>
      <c r="BJ164" s="68"/>
      <c r="BK164" s="68"/>
      <c r="BL164" s="68"/>
      <c r="BM164" s="68"/>
      <c r="BN164" s="68"/>
      <c r="BO164" s="68"/>
      <c r="BP164" s="68"/>
      <c r="BQ164" s="68"/>
      <c r="BR164" s="68"/>
      <c r="BS164" s="68"/>
      <c r="BT164" s="68"/>
      <c r="BU164" s="68"/>
      <c r="BV164" s="68"/>
      <c r="BW164" s="68"/>
      <c r="BX164" s="68"/>
      <c r="BY164" s="68"/>
      <c r="BZ164" s="68"/>
      <c r="CA164" s="68"/>
      <c r="CB164" s="68"/>
      <c r="CC164" s="68"/>
      <c r="CD164" s="68"/>
      <c r="CE164" s="68"/>
      <c r="CF164" s="68"/>
      <c r="CG164" s="68"/>
      <c r="CH164" s="68"/>
      <c r="CI164" s="68"/>
      <c r="CJ164" s="68"/>
      <c r="CK164" s="68"/>
      <c r="CL164" s="68"/>
      <c r="CM164" s="68"/>
      <c r="CN164" s="68"/>
      <c r="CO164" s="68"/>
      <c r="CP164" s="68"/>
      <c r="CQ164" s="68"/>
      <c r="CR164" s="68"/>
      <c r="CS164" s="68"/>
      <c r="CT164" s="68"/>
      <c r="CU164" s="68"/>
      <c r="CV164" s="68"/>
      <c r="CW164" s="68"/>
      <c r="CX164" s="68"/>
      <c r="CY164" s="68"/>
      <c r="CZ164" s="68"/>
      <c r="DA164" s="68"/>
      <c r="DB164" s="68"/>
      <c r="DC164" s="68"/>
      <c r="DD164" s="68"/>
      <c r="DE164" s="68"/>
      <c r="DF164" s="68"/>
      <c r="DG164" s="68"/>
      <c r="DH164" s="68"/>
      <c r="DI164" s="68"/>
      <c r="DJ164" s="68"/>
    </row>
    <row r="165" spans="5:114" x14ac:dyDescent="0.2">
      <c r="E165" s="68"/>
      <c r="G165" s="68"/>
      <c r="H165" s="68"/>
      <c r="I165" s="68"/>
      <c r="J165" s="68"/>
      <c r="K165" s="68"/>
      <c r="L165" s="68"/>
      <c r="M165" s="68"/>
      <c r="N165" s="68"/>
      <c r="O165" s="68"/>
      <c r="P165" s="68"/>
      <c r="Q165" s="68"/>
      <c r="R165" s="68"/>
      <c r="S165" s="68"/>
      <c r="T165" s="68"/>
      <c r="U165" s="68"/>
      <c r="V165" s="68"/>
      <c r="W165" s="68"/>
      <c r="X165" s="68"/>
      <c r="Y165" s="68"/>
      <c r="Z165" s="68"/>
      <c r="AA165" s="68"/>
      <c r="AB165" s="68"/>
      <c r="AC165" s="68"/>
      <c r="AD165" s="68"/>
      <c r="AE165" s="68"/>
      <c r="AF165" s="68"/>
      <c r="AG165" s="68"/>
      <c r="AH165" s="68"/>
      <c r="AI165" s="68"/>
      <c r="AJ165" s="68"/>
      <c r="AK165" s="68"/>
      <c r="AL165" s="68"/>
      <c r="AM165" s="68"/>
      <c r="AN165" s="68"/>
      <c r="AO165" s="68"/>
      <c r="AP165" s="68"/>
      <c r="AQ165" s="68"/>
      <c r="AR165" s="68"/>
      <c r="AS165" s="68"/>
      <c r="AT165" s="68"/>
      <c r="AU165" s="68"/>
      <c r="AV165" s="68"/>
      <c r="AW165" s="68"/>
      <c r="AX165" s="68"/>
      <c r="AY165" s="68"/>
      <c r="AZ165" s="68"/>
      <c r="BA165" s="68"/>
      <c r="BB165" s="68"/>
      <c r="BC165" s="68"/>
      <c r="BD165" s="68"/>
      <c r="BE165" s="68"/>
      <c r="BF165" s="68"/>
      <c r="BG165" s="68"/>
      <c r="BH165" s="71"/>
      <c r="BJ165" s="68"/>
      <c r="BK165" s="68"/>
      <c r="BL165" s="68"/>
      <c r="BM165" s="68"/>
      <c r="BN165" s="68"/>
      <c r="BO165" s="68"/>
      <c r="BP165" s="68"/>
      <c r="BQ165" s="68"/>
      <c r="BR165" s="68"/>
      <c r="BS165" s="68"/>
      <c r="BT165" s="68"/>
      <c r="BU165" s="68"/>
      <c r="BV165" s="68"/>
      <c r="BW165" s="68"/>
      <c r="BX165" s="68"/>
      <c r="BY165" s="68"/>
      <c r="BZ165" s="68"/>
      <c r="CA165" s="68"/>
      <c r="CB165" s="68"/>
      <c r="CC165" s="68"/>
      <c r="CD165" s="68"/>
      <c r="CE165" s="68"/>
      <c r="CF165" s="68"/>
      <c r="CG165" s="68"/>
      <c r="CH165" s="68"/>
      <c r="CI165" s="68"/>
      <c r="CJ165" s="68"/>
      <c r="CK165" s="68"/>
      <c r="CL165" s="68"/>
      <c r="CM165" s="68"/>
      <c r="CN165" s="68"/>
      <c r="CO165" s="68"/>
      <c r="CP165" s="68"/>
      <c r="CQ165" s="68"/>
      <c r="CR165" s="68"/>
      <c r="CS165" s="68"/>
      <c r="CT165" s="68"/>
      <c r="CU165" s="68"/>
      <c r="CV165" s="68"/>
      <c r="CW165" s="68"/>
      <c r="CX165" s="68"/>
      <c r="CY165" s="68"/>
      <c r="CZ165" s="68"/>
      <c r="DA165" s="68"/>
      <c r="DB165" s="68"/>
      <c r="DC165" s="68"/>
      <c r="DD165" s="68"/>
      <c r="DE165" s="68"/>
      <c r="DF165" s="68"/>
      <c r="DG165" s="68"/>
      <c r="DH165" s="68"/>
      <c r="DI165" s="68"/>
      <c r="DJ165" s="68"/>
    </row>
    <row r="166" spans="5:114" x14ac:dyDescent="0.2">
      <c r="E166" s="68"/>
      <c r="G166" s="68"/>
      <c r="H166" s="68"/>
      <c r="I166" s="68"/>
      <c r="J166" s="68"/>
      <c r="K166" s="68"/>
      <c r="L166" s="68"/>
      <c r="M166" s="68"/>
      <c r="N166" s="68"/>
      <c r="O166" s="68"/>
      <c r="P166" s="68"/>
      <c r="Q166" s="68"/>
      <c r="R166" s="68"/>
      <c r="S166" s="68"/>
      <c r="T166" s="68"/>
      <c r="U166" s="68"/>
      <c r="V166" s="68"/>
      <c r="W166" s="68"/>
      <c r="X166" s="68"/>
      <c r="Y166" s="68"/>
      <c r="Z166" s="68"/>
      <c r="AA166" s="68"/>
      <c r="AB166" s="68"/>
      <c r="AC166" s="68"/>
      <c r="AD166" s="68"/>
      <c r="AE166" s="68"/>
      <c r="AF166" s="68"/>
      <c r="AG166" s="68"/>
      <c r="AH166" s="68"/>
      <c r="AI166" s="68"/>
      <c r="AJ166" s="68"/>
      <c r="AK166" s="68"/>
      <c r="AL166" s="68"/>
      <c r="AM166" s="68"/>
      <c r="AN166" s="68"/>
      <c r="AO166" s="68"/>
      <c r="AP166" s="68"/>
      <c r="AQ166" s="68"/>
      <c r="AR166" s="68"/>
      <c r="AS166" s="68"/>
      <c r="AT166" s="68"/>
      <c r="AU166" s="68"/>
      <c r="AV166" s="68"/>
      <c r="AW166" s="68"/>
      <c r="AX166" s="68"/>
      <c r="AY166" s="68"/>
      <c r="AZ166" s="68"/>
      <c r="BA166" s="68"/>
      <c r="BB166" s="68"/>
      <c r="BC166" s="68"/>
      <c r="BD166" s="68"/>
      <c r="BE166" s="68"/>
      <c r="BF166" s="68"/>
      <c r="BG166" s="68"/>
      <c r="BH166" s="71"/>
      <c r="BJ166" s="68"/>
      <c r="BK166" s="68"/>
      <c r="BL166" s="68"/>
      <c r="BM166" s="68"/>
      <c r="BN166" s="68"/>
      <c r="BO166" s="68"/>
      <c r="BP166" s="68"/>
      <c r="BQ166" s="68"/>
      <c r="BR166" s="68"/>
      <c r="BS166" s="68"/>
      <c r="BT166" s="68"/>
      <c r="BU166" s="68"/>
      <c r="BV166" s="68"/>
      <c r="BW166" s="68"/>
      <c r="BX166" s="68"/>
      <c r="BY166" s="68"/>
      <c r="BZ166" s="68"/>
      <c r="CA166" s="68"/>
      <c r="CB166" s="68"/>
      <c r="CC166" s="68"/>
      <c r="CD166" s="68"/>
      <c r="CE166" s="68"/>
      <c r="CF166" s="68"/>
      <c r="CG166" s="68"/>
      <c r="CH166" s="68"/>
      <c r="CI166" s="68"/>
      <c r="CJ166" s="68"/>
      <c r="CK166" s="68"/>
      <c r="CL166" s="68"/>
      <c r="CM166" s="68"/>
      <c r="CN166" s="68"/>
      <c r="CO166" s="68"/>
      <c r="CP166" s="68"/>
      <c r="CQ166" s="68"/>
      <c r="CR166" s="68"/>
      <c r="CS166" s="68"/>
      <c r="CT166" s="68"/>
      <c r="CU166" s="68"/>
      <c r="CV166" s="68"/>
      <c r="CW166" s="68"/>
      <c r="CX166" s="68"/>
      <c r="CY166" s="68"/>
      <c r="CZ166" s="68"/>
      <c r="DA166" s="68"/>
      <c r="DB166" s="68"/>
      <c r="DC166" s="68"/>
      <c r="DD166" s="68"/>
      <c r="DE166" s="68"/>
      <c r="DF166" s="68"/>
      <c r="DG166" s="68"/>
      <c r="DH166" s="68"/>
      <c r="DI166" s="68"/>
      <c r="DJ166" s="68"/>
    </row>
    <row r="167" spans="5:114" x14ac:dyDescent="0.2">
      <c r="E167" s="68"/>
      <c r="G167" s="68"/>
      <c r="H167" s="68"/>
      <c r="I167" s="68"/>
      <c r="J167" s="68"/>
      <c r="K167" s="68"/>
      <c r="L167" s="68"/>
      <c r="M167" s="68"/>
      <c r="N167" s="68"/>
      <c r="O167" s="68"/>
      <c r="P167" s="68"/>
      <c r="Q167" s="68"/>
      <c r="R167" s="68"/>
      <c r="S167" s="68"/>
      <c r="T167" s="68"/>
      <c r="U167" s="68"/>
      <c r="V167" s="68"/>
      <c r="W167" s="68"/>
      <c r="X167" s="68"/>
      <c r="Y167" s="68"/>
      <c r="Z167" s="68"/>
      <c r="AA167" s="68"/>
      <c r="AB167" s="68"/>
      <c r="AC167" s="68"/>
      <c r="AD167" s="68"/>
      <c r="AE167" s="68"/>
      <c r="AF167" s="68"/>
      <c r="AG167" s="68"/>
      <c r="AH167" s="68"/>
      <c r="AI167" s="68"/>
      <c r="AJ167" s="68"/>
      <c r="AK167" s="68"/>
      <c r="AL167" s="68"/>
      <c r="AM167" s="68"/>
      <c r="AN167" s="68"/>
      <c r="AO167" s="68"/>
      <c r="AP167" s="68"/>
      <c r="AQ167" s="68"/>
      <c r="AR167" s="68"/>
      <c r="AS167" s="68"/>
      <c r="AT167" s="68"/>
      <c r="AU167" s="68"/>
      <c r="AV167" s="68"/>
      <c r="AW167" s="68"/>
      <c r="AX167" s="68"/>
      <c r="AY167" s="68"/>
      <c r="AZ167" s="68"/>
      <c r="BA167" s="68"/>
      <c r="BB167" s="68"/>
      <c r="BC167" s="68"/>
      <c r="BD167" s="68"/>
      <c r="BE167" s="68"/>
      <c r="BF167" s="68"/>
      <c r="BG167" s="68"/>
      <c r="BH167" s="71"/>
      <c r="BJ167" s="68"/>
      <c r="BK167" s="68"/>
      <c r="BL167" s="68"/>
      <c r="BM167" s="68"/>
      <c r="BN167" s="68"/>
      <c r="BO167" s="68"/>
      <c r="BP167" s="68"/>
      <c r="BQ167" s="68"/>
      <c r="BR167" s="68"/>
      <c r="BS167" s="68"/>
      <c r="BT167" s="68"/>
      <c r="BU167" s="68"/>
      <c r="BV167" s="68"/>
      <c r="BW167" s="68"/>
      <c r="BX167" s="68"/>
      <c r="BY167" s="68"/>
      <c r="BZ167" s="68"/>
      <c r="CA167" s="68"/>
      <c r="CB167" s="68"/>
      <c r="CC167" s="68"/>
      <c r="CD167" s="68"/>
      <c r="CE167" s="68"/>
      <c r="CF167" s="68"/>
      <c r="CG167" s="68"/>
      <c r="CH167" s="68"/>
      <c r="CI167" s="68"/>
      <c r="CJ167" s="68"/>
      <c r="CK167" s="68"/>
      <c r="CL167" s="68"/>
      <c r="CM167" s="68"/>
      <c r="CN167" s="68"/>
      <c r="CO167" s="68"/>
      <c r="CP167" s="68"/>
      <c r="CQ167" s="68"/>
      <c r="CR167" s="68"/>
      <c r="CS167" s="68"/>
      <c r="CT167" s="68"/>
      <c r="CU167" s="68"/>
      <c r="CV167" s="68"/>
      <c r="CW167" s="68"/>
      <c r="CX167" s="68"/>
      <c r="CY167" s="68"/>
      <c r="CZ167" s="68"/>
      <c r="DA167" s="68"/>
      <c r="DB167" s="68"/>
      <c r="DC167" s="68"/>
      <c r="DD167" s="68"/>
      <c r="DE167" s="68"/>
      <c r="DF167" s="68"/>
      <c r="DG167" s="68"/>
      <c r="DH167" s="68"/>
      <c r="DI167" s="68"/>
      <c r="DJ167" s="68"/>
    </row>
    <row r="168" spans="5:114" x14ac:dyDescent="0.2">
      <c r="E168" s="68"/>
      <c r="G168" s="68"/>
      <c r="H168" s="68"/>
      <c r="I168" s="68"/>
      <c r="J168" s="68"/>
      <c r="K168" s="68"/>
      <c r="L168" s="68"/>
      <c r="M168" s="68"/>
      <c r="N168" s="68"/>
      <c r="O168" s="68"/>
      <c r="P168" s="68"/>
      <c r="Q168" s="68"/>
      <c r="R168" s="68"/>
      <c r="S168" s="68"/>
      <c r="T168" s="68"/>
      <c r="U168" s="68"/>
      <c r="V168" s="68"/>
      <c r="W168" s="68"/>
      <c r="X168" s="68"/>
      <c r="Y168" s="68"/>
      <c r="Z168" s="68"/>
      <c r="AA168" s="68"/>
      <c r="AB168" s="68"/>
      <c r="AC168" s="68"/>
      <c r="AD168" s="68"/>
      <c r="AE168" s="68"/>
      <c r="AF168" s="68"/>
      <c r="AG168" s="68"/>
      <c r="AH168" s="68"/>
      <c r="AI168" s="68"/>
      <c r="AJ168" s="68"/>
      <c r="AK168" s="68"/>
      <c r="AL168" s="68"/>
      <c r="AM168" s="68"/>
      <c r="AN168" s="68"/>
      <c r="AO168" s="68"/>
      <c r="AP168" s="68"/>
      <c r="AQ168" s="68"/>
      <c r="AR168" s="68"/>
      <c r="AS168" s="68"/>
      <c r="AT168" s="68"/>
      <c r="AU168" s="68"/>
      <c r="AV168" s="68"/>
      <c r="AW168" s="68"/>
      <c r="AX168" s="68"/>
      <c r="AY168" s="68"/>
      <c r="AZ168" s="68"/>
      <c r="BA168" s="68"/>
      <c r="BB168" s="68"/>
      <c r="BC168" s="68"/>
      <c r="BD168" s="68"/>
      <c r="BE168" s="68"/>
      <c r="BF168" s="68"/>
      <c r="BG168" s="68"/>
      <c r="BH168" s="71"/>
      <c r="BJ168" s="68"/>
      <c r="BK168" s="68"/>
      <c r="BL168" s="68"/>
      <c r="BM168" s="68"/>
      <c r="BN168" s="68"/>
      <c r="BO168" s="68"/>
      <c r="BP168" s="68"/>
      <c r="BQ168" s="68"/>
      <c r="BR168" s="68"/>
      <c r="BS168" s="68"/>
      <c r="BT168" s="68"/>
      <c r="BU168" s="68"/>
      <c r="BV168" s="68"/>
      <c r="BW168" s="68"/>
      <c r="BX168" s="68"/>
      <c r="BY168" s="68"/>
      <c r="BZ168" s="68"/>
      <c r="CA168" s="68"/>
      <c r="CB168" s="68"/>
      <c r="CC168" s="68"/>
      <c r="CD168" s="68"/>
      <c r="CE168" s="68"/>
      <c r="CF168" s="68"/>
      <c r="CG168" s="68"/>
      <c r="CH168" s="68"/>
      <c r="CI168" s="68"/>
      <c r="CJ168" s="68"/>
      <c r="CK168" s="68"/>
      <c r="CL168" s="68"/>
      <c r="CM168" s="68"/>
      <c r="CN168" s="68"/>
      <c r="CO168" s="68"/>
      <c r="CP168" s="68"/>
      <c r="CQ168" s="68"/>
      <c r="CR168" s="68"/>
      <c r="CS168" s="68"/>
      <c r="CT168" s="68"/>
      <c r="CU168" s="68"/>
      <c r="CV168" s="68"/>
      <c r="CW168" s="68"/>
      <c r="CX168" s="68"/>
      <c r="CY168" s="68"/>
      <c r="CZ168" s="68"/>
      <c r="DA168" s="68"/>
      <c r="DB168" s="68"/>
      <c r="DC168" s="68"/>
      <c r="DD168" s="68"/>
      <c r="DE168" s="68"/>
      <c r="DF168" s="68"/>
      <c r="DG168" s="68"/>
      <c r="DH168" s="68"/>
      <c r="DI168" s="68"/>
      <c r="DJ168" s="68"/>
    </row>
    <row r="169" spans="5:114" x14ac:dyDescent="0.2">
      <c r="E169" s="68"/>
      <c r="G169" s="68"/>
      <c r="H169" s="68"/>
      <c r="I169" s="68"/>
      <c r="J169" s="68"/>
      <c r="K169" s="68"/>
      <c r="L169" s="68"/>
      <c r="M169" s="68"/>
      <c r="N169" s="68"/>
      <c r="O169" s="68"/>
      <c r="P169" s="68"/>
      <c r="Q169" s="68"/>
      <c r="R169" s="68"/>
      <c r="S169" s="68"/>
      <c r="T169" s="68"/>
      <c r="U169" s="68"/>
      <c r="V169" s="68"/>
      <c r="W169" s="68"/>
      <c r="X169" s="68"/>
      <c r="Y169" s="68"/>
      <c r="Z169" s="68"/>
      <c r="AA169" s="68"/>
      <c r="AB169" s="68"/>
      <c r="AC169" s="68"/>
      <c r="AD169" s="68"/>
      <c r="AE169" s="68"/>
      <c r="AF169" s="68"/>
      <c r="AG169" s="68"/>
      <c r="AH169" s="68"/>
      <c r="AI169" s="68"/>
      <c r="AJ169" s="68"/>
      <c r="AK169" s="68"/>
      <c r="AL169" s="68"/>
      <c r="AM169" s="68"/>
      <c r="AN169" s="68"/>
      <c r="AO169" s="68"/>
      <c r="AP169" s="68"/>
      <c r="AQ169" s="68"/>
      <c r="AR169" s="68"/>
      <c r="AS169" s="68"/>
      <c r="AT169" s="68"/>
      <c r="AU169" s="68"/>
      <c r="AV169" s="68"/>
      <c r="AW169" s="68"/>
      <c r="AX169" s="68"/>
      <c r="AY169" s="68"/>
      <c r="AZ169" s="68"/>
      <c r="BA169" s="68"/>
      <c r="BB169" s="68"/>
      <c r="BC169" s="68"/>
      <c r="BD169" s="68"/>
      <c r="BE169" s="68"/>
      <c r="BF169" s="68"/>
      <c r="BG169" s="68"/>
      <c r="BH169" s="71"/>
      <c r="BJ169" s="68"/>
      <c r="BK169" s="68"/>
      <c r="BL169" s="68"/>
      <c r="BM169" s="68"/>
      <c r="BN169" s="68"/>
      <c r="BO169" s="68"/>
      <c r="BP169" s="68"/>
      <c r="BQ169" s="68"/>
      <c r="BR169" s="68"/>
      <c r="BS169" s="68"/>
      <c r="BT169" s="68"/>
      <c r="BU169" s="68"/>
      <c r="BV169" s="68"/>
      <c r="BW169" s="68"/>
      <c r="BX169" s="68"/>
      <c r="BY169" s="68"/>
      <c r="BZ169" s="68"/>
      <c r="CA169" s="68"/>
      <c r="CB169" s="68"/>
      <c r="CC169" s="68"/>
      <c r="CD169" s="68"/>
      <c r="CE169" s="68"/>
      <c r="CF169" s="68"/>
      <c r="CG169" s="68"/>
      <c r="CH169" s="68"/>
      <c r="CI169" s="68"/>
      <c r="CJ169" s="68"/>
      <c r="CK169" s="68"/>
      <c r="CL169" s="68"/>
      <c r="CM169" s="68"/>
      <c r="CN169" s="68"/>
      <c r="CO169" s="68"/>
      <c r="CP169" s="68"/>
      <c r="CQ169" s="68"/>
      <c r="CR169" s="68"/>
      <c r="CS169" s="68"/>
      <c r="CT169" s="68"/>
      <c r="CU169" s="68"/>
      <c r="CV169" s="68"/>
      <c r="CW169" s="68"/>
      <c r="CX169" s="68"/>
      <c r="CY169" s="68"/>
      <c r="CZ169" s="68"/>
      <c r="DA169" s="68"/>
      <c r="DB169" s="68"/>
      <c r="DC169" s="68"/>
      <c r="DD169" s="68"/>
      <c r="DE169" s="68"/>
      <c r="DF169" s="68"/>
      <c r="DG169" s="68"/>
      <c r="DH169" s="68"/>
      <c r="DI169" s="68"/>
      <c r="DJ169" s="68"/>
    </row>
    <row r="170" spans="5:114" x14ac:dyDescent="0.2">
      <c r="E170" s="68"/>
      <c r="G170" s="68"/>
      <c r="H170" s="68"/>
      <c r="I170" s="68"/>
      <c r="J170" s="68"/>
      <c r="K170" s="68"/>
      <c r="L170" s="68"/>
      <c r="M170" s="68"/>
      <c r="N170" s="68"/>
      <c r="O170" s="68"/>
      <c r="P170" s="68"/>
      <c r="Q170" s="68"/>
      <c r="R170" s="68"/>
      <c r="S170" s="68"/>
      <c r="T170" s="68"/>
      <c r="U170" s="68"/>
      <c r="V170" s="68"/>
      <c r="W170" s="68"/>
      <c r="X170" s="68"/>
      <c r="Y170" s="68"/>
      <c r="Z170" s="68"/>
      <c r="AA170" s="68"/>
      <c r="AB170" s="68"/>
      <c r="AC170" s="68"/>
      <c r="AD170" s="68"/>
      <c r="AE170" s="68"/>
      <c r="AF170" s="68"/>
      <c r="AG170" s="68"/>
      <c r="AH170" s="68"/>
      <c r="AI170" s="68"/>
      <c r="AJ170" s="68"/>
      <c r="AK170" s="68"/>
      <c r="AL170" s="68"/>
      <c r="AM170" s="68"/>
      <c r="AN170" s="68"/>
      <c r="AO170" s="68"/>
      <c r="AP170" s="68"/>
      <c r="AQ170" s="68"/>
      <c r="AR170" s="68"/>
      <c r="AS170" s="68"/>
      <c r="AT170" s="68"/>
      <c r="AU170" s="68"/>
      <c r="AV170" s="68"/>
      <c r="AW170" s="68"/>
      <c r="AX170" s="68"/>
      <c r="AY170" s="68"/>
      <c r="AZ170" s="68"/>
      <c r="BA170" s="68"/>
      <c r="BB170" s="68"/>
      <c r="BC170" s="68"/>
      <c r="BD170" s="68"/>
      <c r="BE170" s="68"/>
      <c r="BF170" s="68"/>
      <c r="BG170" s="68"/>
      <c r="BH170" s="71"/>
      <c r="BJ170" s="68"/>
      <c r="BK170" s="68"/>
      <c r="BL170" s="68"/>
      <c r="BM170" s="68"/>
      <c r="BN170" s="68"/>
      <c r="BO170" s="68"/>
      <c r="BP170" s="68"/>
      <c r="BQ170" s="68"/>
      <c r="BR170" s="68"/>
      <c r="BS170" s="68"/>
      <c r="BT170" s="68"/>
      <c r="BU170" s="68"/>
      <c r="BV170" s="68"/>
      <c r="BW170" s="68"/>
      <c r="BX170" s="68"/>
      <c r="BY170" s="68"/>
      <c r="BZ170" s="68"/>
      <c r="CA170" s="68"/>
      <c r="CB170" s="68"/>
      <c r="CC170" s="68"/>
      <c r="CD170" s="68"/>
      <c r="CE170" s="68"/>
      <c r="CF170" s="68"/>
      <c r="CG170" s="68"/>
      <c r="CH170" s="68"/>
      <c r="CI170" s="68"/>
      <c r="CJ170" s="68"/>
      <c r="CK170" s="68"/>
      <c r="CL170" s="68"/>
      <c r="CM170" s="68"/>
      <c r="CN170" s="68"/>
      <c r="CO170" s="68"/>
      <c r="CP170" s="68"/>
      <c r="CQ170" s="68"/>
      <c r="CR170" s="68"/>
      <c r="CS170" s="68"/>
      <c r="CT170" s="68"/>
      <c r="CU170" s="68"/>
      <c r="CV170" s="68"/>
      <c r="CW170" s="68"/>
      <c r="CX170" s="68"/>
      <c r="CY170" s="68"/>
      <c r="CZ170" s="68"/>
      <c r="DA170" s="68"/>
      <c r="DB170" s="68"/>
      <c r="DC170" s="68"/>
      <c r="DD170" s="68"/>
      <c r="DE170" s="68"/>
      <c r="DF170" s="68"/>
      <c r="DG170" s="68"/>
      <c r="DH170" s="68"/>
      <c r="DI170" s="68"/>
      <c r="DJ170" s="68"/>
    </row>
    <row r="171" spans="5:114" x14ac:dyDescent="0.2">
      <c r="E171" s="68"/>
      <c r="G171" s="68"/>
      <c r="H171" s="68"/>
      <c r="I171" s="68"/>
      <c r="J171" s="68"/>
      <c r="K171" s="68"/>
      <c r="L171" s="68"/>
      <c r="M171" s="68"/>
      <c r="N171" s="68"/>
      <c r="O171" s="68"/>
      <c r="P171" s="68"/>
      <c r="Q171" s="68"/>
      <c r="R171" s="68"/>
      <c r="S171" s="68"/>
      <c r="T171" s="68"/>
      <c r="U171" s="68"/>
      <c r="V171" s="68"/>
      <c r="W171" s="68"/>
      <c r="X171" s="68"/>
      <c r="Y171" s="68"/>
      <c r="Z171" s="68"/>
      <c r="AA171" s="68"/>
      <c r="AB171" s="68"/>
      <c r="AC171" s="68"/>
      <c r="AD171" s="68"/>
      <c r="AE171" s="68"/>
      <c r="AF171" s="68"/>
      <c r="AG171" s="68"/>
      <c r="AH171" s="68"/>
      <c r="AI171" s="68"/>
      <c r="AJ171" s="68"/>
      <c r="AK171" s="68"/>
      <c r="AL171" s="68"/>
      <c r="AM171" s="68"/>
      <c r="AN171" s="68"/>
      <c r="AO171" s="68"/>
      <c r="AP171" s="68"/>
      <c r="AQ171" s="68"/>
      <c r="AR171" s="68"/>
      <c r="AS171" s="68"/>
      <c r="AT171" s="68"/>
      <c r="AU171" s="68"/>
      <c r="AV171" s="68"/>
      <c r="AW171" s="68"/>
      <c r="AX171" s="68"/>
      <c r="AY171" s="68"/>
      <c r="AZ171" s="68"/>
      <c r="BA171" s="68"/>
      <c r="BB171" s="68"/>
      <c r="BC171" s="68"/>
      <c r="BD171" s="68"/>
      <c r="BE171" s="68"/>
      <c r="BF171" s="68"/>
      <c r="BG171" s="68"/>
      <c r="BH171" s="71"/>
      <c r="BJ171" s="68"/>
      <c r="BK171" s="68"/>
      <c r="BL171" s="68"/>
      <c r="BM171" s="68"/>
      <c r="BN171" s="68"/>
      <c r="BO171" s="68"/>
      <c r="BP171" s="68"/>
      <c r="BQ171" s="68"/>
      <c r="BR171" s="68"/>
      <c r="BS171" s="68"/>
      <c r="BT171" s="68"/>
      <c r="BU171" s="68"/>
      <c r="BV171" s="68"/>
      <c r="BW171" s="68"/>
      <c r="BX171" s="68"/>
      <c r="BY171" s="68"/>
      <c r="BZ171" s="68"/>
      <c r="CA171" s="68"/>
      <c r="CB171" s="68"/>
      <c r="CC171" s="68"/>
      <c r="CD171" s="68"/>
      <c r="CE171" s="68"/>
      <c r="CF171" s="68"/>
      <c r="CG171" s="68"/>
      <c r="CH171" s="68"/>
      <c r="CI171" s="68"/>
      <c r="CJ171" s="68"/>
      <c r="CK171" s="68"/>
      <c r="CL171" s="68"/>
      <c r="CM171" s="68"/>
      <c r="CN171" s="68"/>
      <c r="CO171" s="68"/>
      <c r="CP171" s="68"/>
      <c r="CQ171" s="68"/>
      <c r="CR171" s="68"/>
      <c r="CS171" s="68"/>
      <c r="CT171" s="68"/>
      <c r="CU171" s="68"/>
      <c r="CV171" s="68"/>
      <c r="CW171" s="68"/>
      <c r="CX171" s="68"/>
      <c r="CY171" s="68"/>
      <c r="CZ171" s="68"/>
      <c r="DA171" s="68"/>
      <c r="DB171" s="68"/>
      <c r="DC171" s="68"/>
      <c r="DD171" s="68"/>
      <c r="DE171" s="68"/>
      <c r="DF171" s="68"/>
      <c r="DG171" s="68"/>
      <c r="DH171" s="68"/>
      <c r="DI171" s="68"/>
      <c r="DJ171" s="68"/>
    </row>
    <row r="172" spans="5:114" x14ac:dyDescent="0.2">
      <c r="E172" s="68"/>
      <c r="G172" s="68"/>
      <c r="H172" s="68"/>
      <c r="I172" s="68"/>
      <c r="J172" s="68"/>
      <c r="K172" s="68"/>
      <c r="L172" s="68"/>
      <c r="M172" s="68"/>
      <c r="N172" s="68"/>
      <c r="O172" s="68"/>
      <c r="P172" s="68"/>
      <c r="Q172" s="68"/>
      <c r="R172" s="68"/>
      <c r="S172" s="68"/>
      <c r="T172" s="68"/>
      <c r="U172" s="68"/>
      <c r="V172" s="68"/>
      <c r="W172" s="68"/>
      <c r="X172" s="68"/>
      <c r="Y172" s="68"/>
      <c r="Z172" s="68"/>
      <c r="AA172" s="68"/>
      <c r="AB172" s="68"/>
      <c r="AC172" s="68"/>
      <c r="AD172" s="68"/>
      <c r="AE172" s="68"/>
      <c r="AF172" s="68"/>
      <c r="AG172" s="68"/>
      <c r="AH172" s="68"/>
      <c r="AI172" s="68"/>
      <c r="AJ172" s="68"/>
      <c r="AK172" s="68"/>
      <c r="AL172" s="68"/>
      <c r="AM172" s="68"/>
      <c r="AN172" s="68"/>
      <c r="AO172" s="68"/>
      <c r="AP172" s="68"/>
      <c r="AQ172" s="68"/>
      <c r="AR172" s="68"/>
      <c r="AS172" s="68"/>
      <c r="AT172" s="68"/>
      <c r="AU172" s="68"/>
      <c r="AV172" s="68"/>
      <c r="AW172" s="68"/>
      <c r="AX172" s="68"/>
      <c r="AY172" s="68"/>
      <c r="AZ172" s="68"/>
      <c r="BA172" s="68"/>
      <c r="BB172" s="68"/>
      <c r="BC172" s="68"/>
      <c r="BD172" s="68"/>
      <c r="BE172" s="68"/>
      <c r="BF172" s="68"/>
      <c r="BG172" s="68"/>
      <c r="BH172" s="71"/>
      <c r="BJ172" s="68"/>
      <c r="BK172" s="68"/>
      <c r="BL172" s="68"/>
      <c r="BM172" s="68"/>
      <c r="BN172" s="68"/>
      <c r="BO172" s="68"/>
      <c r="BP172" s="68"/>
      <c r="BQ172" s="68"/>
      <c r="BR172" s="68"/>
      <c r="BS172" s="68"/>
      <c r="BT172" s="68"/>
      <c r="BU172" s="68"/>
      <c r="BV172" s="68"/>
      <c r="BW172" s="68"/>
      <c r="BX172" s="68"/>
      <c r="BY172" s="68"/>
      <c r="BZ172" s="68"/>
      <c r="CA172" s="68"/>
      <c r="CB172" s="68"/>
      <c r="CC172" s="68"/>
      <c r="CD172" s="68"/>
      <c r="CE172" s="68"/>
      <c r="CF172" s="68"/>
      <c r="CG172" s="68"/>
      <c r="CH172" s="68"/>
      <c r="CI172" s="68"/>
      <c r="CJ172" s="68"/>
      <c r="CK172" s="68"/>
      <c r="CL172" s="68"/>
      <c r="CM172" s="68"/>
      <c r="CN172" s="68"/>
      <c r="CO172" s="68"/>
      <c r="CP172" s="68"/>
      <c r="CQ172" s="68"/>
      <c r="CR172" s="68"/>
      <c r="CS172" s="68"/>
      <c r="CT172" s="68"/>
      <c r="CU172" s="68"/>
      <c r="CV172" s="68"/>
      <c r="CW172" s="68"/>
      <c r="CX172" s="68"/>
      <c r="CY172" s="68"/>
      <c r="CZ172" s="68"/>
      <c r="DA172" s="68"/>
      <c r="DB172" s="68"/>
      <c r="DC172" s="68"/>
      <c r="DD172" s="68"/>
      <c r="DE172" s="68"/>
      <c r="DF172" s="68"/>
      <c r="DG172" s="68"/>
      <c r="DH172" s="68"/>
      <c r="DI172" s="68"/>
      <c r="DJ172" s="68"/>
    </row>
  </sheetData>
  <pageMargins left="0.7" right="0.7" top="0.75" bottom="0.75" header="0.3" footer="0.3"/>
  <pageSetup paperSize="9" orientation="portrait" verticalDpi="0"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dimension ref="B2:BJ234"/>
  <sheetViews>
    <sheetView showGridLines="0" showRowColHeaders="0" zoomScaleNormal="100" workbookViewId="0"/>
  </sheetViews>
  <sheetFormatPr defaultColWidth="9" defaultRowHeight="14.25" x14ac:dyDescent="0.2"/>
  <cols>
    <col min="1" max="1" width="0.875" style="68" customWidth="1"/>
    <col min="2" max="2" width="19.625" style="68" customWidth="1"/>
    <col min="3" max="4" width="10.125" style="68" customWidth="1"/>
    <col min="5" max="5" width="5.125" style="68" customWidth="1"/>
    <col min="6" max="18" width="2.25" style="68" customWidth="1"/>
    <col min="19" max="19" width="2" style="68" customWidth="1"/>
    <col min="20" max="43" width="2.25" style="68" customWidth="1"/>
    <col min="44" max="44" width="2" style="68" customWidth="1"/>
    <col min="45" max="57" width="2.25" style="68" customWidth="1"/>
    <col min="58" max="64" width="9" style="68" customWidth="1"/>
    <col min="65" max="16384" width="9" style="68"/>
  </cols>
  <sheetData>
    <row r="2" spans="2:62" ht="15" x14ac:dyDescent="0.25">
      <c r="B2" s="2" t="s">
        <v>513</v>
      </c>
    </row>
    <row r="3" spans="2:62" x14ac:dyDescent="0.2">
      <c r="C3" s="46"/>
      <c r="D3" s="46"/>
    </row>
    <row r="4" spans="2:62" x14ac:dyDescent="0.2">
      <c r="B4" s="68" t="s">
        <v>493</v>
      </c>
      <c r="C4" s="164" t="s">
        <v>19</v>
      </c>
      <c r="D4" s="46"/>
    </row>
    <row r="5" spans="2:62" x14ac:dyDescent="0.2">
      <c r="F5" s="80"/>
      <c r="G5" s="80"/>
      <c r="H5" s="80"/>
      <c r="I5" s="80"/>
      <c r="J5" s="80"/>
      <c r="K5" s="80"/>
      <c r="L5" s="80"/>
      <c r="M5" s="80"/>
      <c r="N5" s="80"/>
      <c r="O5" s="80"/>
      <c r="P5" s="80"/>
      <c r="Q5" s="80"/>
      <c r="R5" s="80"/>
      <c r="S5" s="80"/>
      <c r="T5" s="80"/>
      <c r="U5" s="80"/>
      <c r="V5" s="80"/>
      <c r="W5" s="80"/>
    </row>
    <row r="6" spans="2:62" ht="14.25" customHeight="1" x14ac:dyDescent="0.2">
      <c r="B6" s="68" t="s">
        <v>519</v>
      </c>
      <c r="C6" s="169">
        <v>43586</v>
      </c>
      <c r="D6" s="129"/>
      <c r="E6" s="66"/>
      <c r="F6" s="127"/>
      <c r="G6" s="127"/>
      <c r="H6" s="127"/>
      <c r="I6" s="127"/>
      <c r="J6" s="127"/>
      <c r="K6" s="127"/>
      <c r="L6" s="127"/>
      <c r="M6" s="127"/>
      <c r="N6" s="127"/>
      <c r="O6" s="127"/>
      <c r="P6" s="127"/>
      <c r="Q6" s="127"/>
      <c r="R6" s="127"/>
      <c r="S6" s="127"/>
      <c r="T6" s="127"/>
      <c r="U6" s="127"/>
      <c r="V6" s="127"/>
      <c r="W6" s="127"/>
      <c r="X6" s="127"/>
      <c r="Y6" s="127"/>
      <c r="Z6" s="127"/>
      <c r="AA6" s="127"/>
      <c r="AB6" s="127"/>
      <c r="AC6" s="127"/>
      <c r="AD6" s="127"/>
      <c r="AE6" s="127"/>
      <c r="AF6" s="127"/>
      <c r="AG6" s="127"/>
      <c r="AH6" s="127"/>
      <c r="AI6" s="127"/>
      <c r="AJ6" s="127"/>
      <c r="AK6" s="127"/>
      <c r="AL6" s="127"/>
      <c r="AM6" s="127"/>
      <c r="AN6" s="127"/>
      <c r="AO6" s="127"/>
      <c r="AP6" s="127"/>
      <c r="AQ6" s="127"/>
      <c r="AR6" s="127"/>
      <c r="AS6" s="127"/>
      <c r="AT6" s="127"/>
      <c r="AU6" s="127"/>
      <c r="AV6" s="127"/>
      <c r="AW6" s="127"/>
      <c r="AX6" s="127"/>
      <c r="AY6" s="127"/>
      <c r="AZ6" s="127"/>
      <c r="BA6" s="127"/>
      <c r="BB6" s="127"/>
      <c r="BC6" s="127"/>
      <c r="BD6" s="127"/>
      <c r="BE6" s="127"/>
      <c r="BF6" s="127"/>
      <c r="BG6" s="127"/>
      <c r="BH6" s="127"/>
    </row>
    <row r="7" spans="2:62" x14ac:dyDescent="0.2">
      <c r="D7" s="129"/>
      <c r="E7" s="66"/>
      <c r="F7" s="127"/>
      <c r="G7" s="127"/>
      <c r="H7" s="127"/>
      <c r="I7" s="127"/>
      <c r="J7" s="127"/>
      <c r="K7" s="127"/>
      <c r="L7" s="127"/>
      <c r="M7" s="127"/>
      <c r="N7" s="127"/>
      <c r="O7" s="127"/>
      <c r="P7" s="127"/>
      <c r="Q7" s="127"/>
      <c r="R7" s="127"/>
      <c r="S7" s="127"/>
      <c r="T7" s="127"/>
      <c r="U7" s="127"/>
      <c r="V7" s="127"/>
      <c r="W7" s="127"/>
      <c r="X7" s="127"/>
      <c r="Y7" s="127"/>
      <c r="Z7" s="127"/>
      <c r="AA7" s="127"/>
      <c r="AB7" s="127"/>
      <c r="AC7" s="127"/>
      <c r="AD7" s="127"/>
      <c r="AE7" s="127"/>
      <c r="AF7" s="127"/>
      <c r="AG7" s="127"/>
      <c r="AH7" s="127"/>
      <c r="AI7" s="127"/>
      <c r="AJ7" s="127"/>
      <c r="AK7" s="127"/>
      <c r="AL7" s="127"/>
      <c r="AM7" s="127"/>
      <c r="AN7" s="127"/>
      <c r="AO7" s="127"/>
      <c r="AP7" s="127"/>
      <c r="AQ7" s="127"/>
      <c r="AR7" s="127"/>
      <c r="AS7" s="127"/>
      <c r="AT7" s="127"/>
      <c r="AU7" s="127"/>
      <c r="AV7" s="127"/>
      <c r="AW7" s="127"/>
      <c r="AX7" s="127"/>
      <c r="AY7" s="127"/>
      <c r="AZ7" s="127"/>
      <c r="BA7" s="127"/>
      <c r="BB7" s="127"/>
      <c r="BC7" s="127"/>
      <c r="BD7" s="127"/>
      <c r="BE7" s="127"/>
      <c r="BF7" s="127"/>
      <c r="BG7" s="127"/>
      <c r="BH7" s="127"/>
      <c r="BI7" s="127"/>
      <c r="BJ7" s="127"/>
    </row>
    <row r="8" spans="2:62" ht="15" x14ac:dyDescent="0.25">
      <c r="B8" s="311" t="s">
        <v>1167</v>
      </c>
      <c r="C8" s="316" t="s">
        <v>22</v>
      </c>
      <c r="D8" s="66"/>
      <c r="E8" s="66"/>
      <c r="F8" s="127"/>
      <c r="G8" s="127"/>
      <c r="H8" s="127"/>
      <c r="I8" s="127"/>
      <c r="J8" s="127"/>
      <c r="K8" s="127"/>
      <c r="L8" s="127"/>
      <c r="M8" s="127"/>
      <c r="N8" s="127"/>
      <c r="O8" s="127"/>
      <c r="P8" s="127"/>
      <c r="Q8" s="127"/>
      <c r="R8" s="127"/>
      <c r="S8" s="127"/>
      <c r="T8" s="127"/>
      <c r="U8" s="127"/>
      <c r="V8" s="127"/>
      <c r="W8" s="127"/>
      <c r="X8" s="127"/>
      <c r="Y8" s="127"/>
      <c r="Z8" s="127"/>
      <c r="AA8" s="127"/>
      <c r="AB8" s="127"/>
      <c r="AC8" s="127"/>
      <c r="AD8" s="127"/>
      <c r="AE8" s="127"/>
      <c r="AF8" s="127"/>
      <c r="AG8" s="127"/>
      <c r="AH8" s="127"/>
      <c r="AI8" s="127"/>
      <c r="AJ8" s="127"/>
      <c r="AK8" s="127"/>
      <c r="AL8" s="127"/>
      <c r="AM8" s="127"/>
      <c r="AN8" s="127"/>
      <c r="AO8" s="127"/>
      <c r="AP8" s="127"/>
      <c r="AQ8" s="127"/>
      <c r="AR8" s="127"/>
      <c r="AS8" s="127"/>
      <c r="AT8" s="127"/>
      <c r="AU8" s="127"/>
      <c r="AV8" s="127"/>
      <c r="AW8" s="127"/>
      <c r="AX8" s="127"/>
      <c r="AY8" s="127"/>
      <c r="AZ8" s="127"/>
      <c r="BA8" s="127"/>
      <c r="BB8" s="127"/>
      <c r="BC8" s="127"/>
      <c r="BD8" s="127"/>
      <c r="BE8" s="127"/>
      <c r="BF8" s="127"/>
      <c r="BG8" s="127"/>
      <c r="BH8" s="127"/>
      <c r="BI8" s="127"/>
      <c r="BJ8" s="127"/>
    </row>
    <row r="9" spans="2:62" x14ac:dyDescent="0.2">
      <c r="F9" s="127"/>
      <c r="G9" s="127"/>
      <c r="H9" s="127"/>
      <c r="I9" s="127"/>
      <c r="J9" s="127"/>
      <c r="K9" s="127"/>
      <c r="L9" s="127"/>
      <c r="M9" s="127"/>
      <c r="N9" s="127"/>
      <c r="O9" s="127"/>
      <c r="P9" s="127"/>
      <c r="Q9" s="127"/>
      <c r="R9" s="127"/>
      <c r="S9" s="127"/>
      <c r="T9" s="127"/>
      <c r="U9" s="127"/>
      <c r="V9" s="127"/>
      <c r="W9" s="127"/>
      <c r="X9" s="127"/>
      <c r="Y9" s="127"/>
      <c r="Z9" s="127"/>
      <c r="AA9" s="127"/>
      <c r="AB9" s="127"/>
      <c r="AC9" s="127"/>
      <c r="AD9" s="127"/>
      <c r="AE9" s="127"/>
      <c r="AF9" s="127"/>
      <c r="AG9" s="127"/>
      <c r="AH9" s="127"/>
      <c r="AI9" s="127"/>
      <c r="AJ9" s="127"/>
      <c r="AK9" s="127"/>
      <c r="AL9" s="127"/>
      <c r="AM9" s="127"/>
      <c r="AN9" s="127"/>
      <c r="AO9" s="127"/>
      <c r="AP9" s="127"/>
      <c r="AQ9" s="127"/>
      <c r="AR9" s="127"/>
      <c r="AS9" s="127"/>
      <c r="AT9" s="127"/>
      <c r="AU9" s="127"/>
      <c r="AV9" s="127"/>
      <c r="AW9" s="127"/>
      <c r="AX9" s="127"/>
      <c r="AY9" s="127"/>
      <c r="AZ9" s="127"/>
      <c r="BA9" s="127"/>
      <c r="BB9" s="127"/>
      <c r="BC9" s="127"/>
      <c r="BD9" s="127"/>
      <c r="BE9" s="127"/>
      <c r="BF9" s="127"/>
      <c r="BG9" s="127"/>
      <c r="BH9" s="127"/>
      <c r="BI9" s="127"/>
      <c r="BJ9" s="127"/>
    </row>
    <row r="10" spans="2:62" x14ac:dyDescent="0.2">
      <c r="D10" s="313" t="s">
        <v>1165</v>
      </c>
      <c r="F10" s="127"/>
      <c r="G10" s="127"/>
      <c r="H10" s="127"/>
      <c r="I10" s="127"/>
      <c r="J10" s="127"/>
      <c r="K10" s="127"/>
      <c r="L10" s="127"/>
      <c r="M10" s="127"/>
      <c r="N10" s="127"/>
      <c r="O10" s="127"/>
      <c r="P10" s="127"/>
      <c r="Q10" s="127"/>
      <c r="R10" s="127"/>
      <c r="S10" s="127"/>
      <c r="T10" s="127"/>
      <c r="U10" s="127"/>
      <c r="V10" s="127"/>
      <c r="W10" s="127"/>
      <c r="X10" s="127"/>
      <c r="Y10" s="127"/>
      <c r="Z10" s="127"/>
      <c r="AA10" s="127"/>
      <c r="AB10" s="127"/>
      <c r="AC10" s="127"/>
      <c r="AD10" s="127"/>
      <c r="AE10" s="127"/>
      <c r="AF10" s="127"/>
      <c r="AG10" s="127"/>
      <c r="AH10" s="127"/>
      <c r="AI10" s="127"/>
      <c r="AJ10" s="127"/>
      <c r="AK10" s="127"/>
      <c r="AL10" s="127"/>
      <c r="AM10" s="127"/>
      <c r="AN10" s="127"/>
      <c r="AO10" s="127"/>
      <c r="AP10" s="127"/>
      <c r="AQ10" s="127"/>
      <c r="AR10" s="127"/>
      <c r="AS10" s="127"/>
      <c r="AT10" s="127"/>
      <c r="AU10" s="127"/>
      <c r="AV10" s="127"/>
      <c r="AW10" s="127"/>
      <c r="AX10" s="127"/>
      <c r="AY10" s="127"/>
      <c r="AZ10" s="127"/>
      <c r="BA10" s="127"/>
      <c r="BB10" s="127"/>
      <c r="BC10" s="127"/>
      <c r="BD10" s="127"/>
      <c r="BE10" s="127"/>
      <c r="BF10" s="127"/>
      <c r="BG10" s="127"/>
      <c r="BH10" s="127"/>
      <c r="BI10" s="127"/>
      <c r="BJ10" s="127"/>
    </row>
    <row r="11" spans="2:62" ht="28.5" x14ac:dyDescent="0.2">
      <c r="B11" s="1" t="s">
        <v>1169</v>
      </c>
      <c r="C11" s="320"/>
      <c r="D11" s="315">
        <f ca="1">'Summary Calculations (hide)'!X70</f>
        <v>12.794157157498374</v>
      </c>
      <c r="E11" s="128"/>
      <c r="F11" s="127"/>
      <c r="G11" s="127"/>
      <c r="H11" s="127"/>
      <c r="I11" s="127"/>
      <c r="J11" s="127"/>
      <c r="K11" s="127"/>
      <c r="L11" s="127"/>
      <c r="M11" s="127"/>
      <c r="N11" s="127"/>
      <c r="O11" s="127"/>
      <c r="P11" s="127"/>
      <c r="Q11" s="127"/>
      <c r="R11" s="127"/>
      <c r="S11" s="127"/>
      <c r="T11" s="127"/>
      <c r="U11" s="127"/>
      <c r="V11" s="127"/>
      <c r="W11" s="127"/>
      <c r="X11" s="127"/>
      <c r="Y11" s="127"/>
      <c r="Z11" s="127"/>
      <c r="AA11" s="127"/>
      <c r="AB11" s="127"/>
      <c r="AC11" s="127"/>
      <c r="AD11" s="127"/>
      <c r="AE11" s="127"/>
      <c r="AF11" s="127"/>
      <c r="AG11" s="127"/>
      <c r="AH11" s="127"/>
      <c r="AI11" s="127"/>
      <c r="AJ11" s="127"/>
      <c r="AK11" s="127"/>
      <c r="AL11" s="127"/>
      <c r="AM11" s="127"/>
      <c r="AN11" s="127"/>
      <c r="AO11" s="127"/>
      <c r="AP11" s="127"/>
      <c r="AQ11" s="127"/>
      <c r="AR11" s="127"/>
      <c r="AS11" s="127"/>
      <c r="AT11" s="127"/>
      <c r="AU11" s="127"/>
      <c r="AV11" s="127"/>
      <c r="AW11" s="127"/>
      <c r="AX11" s="127"/>
      <c r="AY11" s="127"/>
      <c r="AZ11" s="127"/>
      <c r="BA11" s="127"/>
      <c r="BB11" s="127"/>
      <c r="BC11" s="127"/>
      <c r="BD11" s="127"/>
      <c r="BE11" s="127"/>
      <c r="BF11" s="127"/>
      <c r="BG11" s="127"/>
      <c r="BH11" s="127"/>
      <c r="BI11" s="127"/>
      <c r="BJ11" s="127"/>
    </row>
    <row r="12" spans="2:62" x14ac:dyDescent="0.2">
      <c r="B12" s="82"/>
      <c r="D12" s="315" t="str">
        <f>IF(OR(C11="",C11=1),"",D11*(1+C11))</f>
        <v/>
      </c>
      <c r="F12" s="127"/>
      <c r="G12" s="127"/>
      <c r="H12" s="127"/>
      <c r="I12" s="127"/>
      <c r="J12" s="127"/>
      <c r="K12" s="127"/>
      <c r="L12" s="127"/>
      <c r="M12" s="127"/>
      <c r="N12" s="127"/>
      <c r="O12" s="127"/>
      <c r="P12" s="127"/>
      <c r="Q12" s="127"/>
      <c r="R12" s="127"/>
      <c r="S12" s="127"/>
      <c r="T12" s="127"/>
      <c r="U12" s="127"/>
      <c r="V12" s="127"/>
      <c r="W12" s="127"/>
      <c r="X12" s="127"/>
      <c r="Y12" s="127"/>
      <c r="Z12" s="127"/>
      <c r="AA12" s="127"/>
      <c r="AB12" s="127"/>
      <c r="AC12" s="127"/>
      <c r="AD12" s="127"/>
      <c r="AE12" s="127"/>
      <c r="AF12" s="127"/>
      <c r="AG12" s="127"/>
      <c r="AH12" s="127"/>
      <c r="AI12" s="127"/>
      <c r="AJ12" s="127"/>
      <c r="AK12" s="127"/>
      <c r="AL12" s="127"/>
      <c r="AM12" s="127"/>
      <c r="AN12" s="127"/>
      <c r="AO12" s="127"/>
      <c r="AP12" s="127"/>
      <c r="AQ12" s="127"/>
      <c r="AR12" s="127"/>
      <c r="AS12" s="127"/>
      <c r="AT12" s="127"/>
      <c r="AU12" s="127"/>
      <c r="AV12" s="127"/>
      <c r="AW12" s="127"/>
      <c r="AX12" s="127"/>
      <c r="AY12" s="127"/>
      <c r="AZ12" s="127"/>
      <c r="BA12" s="127"/>
      <c r="BB12" s="127"/>
      <c r="BC12" s="127"/>
      <c r="BD12" s="127"/>
      <c r="BE12" s="127"/>
      <c r="BF12" s="127"/>
      <c r="BG12" s="127"/>
      <c r="BH12" s="127"/>
      <c r="BI12" s="127"/>
      <c r="BJ12" s="127"/>
    </row>
    <row r="13" spans="2:62" x14ac:dyDescent="0.2">
      <c r="F13" s="127"/>
      <c r="G13" s="127"/>
      <c r="H13" s="127"/>
      <c r="I13" s="127"/>
      <c r="J13" s="127"/>
      <c r="K13" s="127"/>
      <c r="L13" s="127"/>
      <c r="M13" s="127"/>
      <c r="N13" s="127"/>
      <c r="O13" s="127"/>
      <c r="P13" s="127"/>
      <c r="Q13" s="127"/>
      <c r="R13" s="127"/>
      <c r="S13" s="127"/>
      <c r="T13" s="127"/>
      <c r="U13" s="127"/>
      <c r="V13" s="127"/>
      <c r="W13" s="127"/>
      <c r="X13" s="127"/>
      <c r="Y13" s="127"/>
      <c r="Z13" s="127"/>
      <c r="AA13" s="127"/>
      <c r="AB13" s="127"/>
      <c r="AC13" s="127"/>
      <c r="AD13" s="127"/>
      <c r="AE13" s="127"/>
      <c r="AF13" s="127"/>
      <c r="AG13" s="127"/>
      <c r="AH13" s="127"/>
      <c r="AI13" s="127"/>
      <c r="AJ13" s="127"/>
      <c r="AK13" s="127"/>
      <c r="AL13" s="127"/>
      <c r="AM13" s="127"/>
      <c r="AN13" s="127"/>
      <c r="AO13" s="127"/>
      <c r="AP13" s="127"/>
      <c r="AQ13" s="127"/>
      <c r="AR13" s="127"/>
      <c r="AS13" s="127"/>
      <c r="AT13" s="127"/>
      <c r="AU13" s="127"/>
      <c r="AV13" s="127"/>
      <c r="AW13" s="127"/>
      <c r="AX13" s="127"/>
      <c r="AY13" s="127"/>
      <c r="AZ13" s="127"/>
      <c r="BA13" s="127"/>
      <c r="BB13" s="127"/>
      <c r="BC13" s="127"/>
      <c r="BD13" s="127"/>
      <c r="BE13" s="127"/>
      <c r="BF13" s="127"/>
      <c r="BG13" s="127"/>
      <c r="BH13" s="127"/>
      <c r="BI13" s="127"/>
      <c r="BJ13" s="127"/>
    </row>
    <row r="14" spans="2:62" x14ac:dyDescent="0.2">
      <c r="B14" s="68" t="s">
        <v>1164</v>
      </c>
      <c r="C14" s="154"/>
      <c r="F14" s="127"/>
      <c r="G14" s="127"/>
      <c r="H14" s="127"/>
      <c r="I14" s="127"/>
      <c r="J14" s="127"/>
      <c r="K14" s="127"/>
      <c r="L14" s="127"/>
      <c r="M14" s="127"/>
      <c r="N14" s="127"/>
      <c r="O14" s="127"/>
      <c r="P14" s="127"/>
      <c r="Q14" s="127"/>
      <c r="R14" s="127"/>
      <c r="S14" s="127"/>
      <c r="T14" s="127"/>
      <c r="U14" s="127"/>
      <c r="V14" s="127"/>
      <c r="W14" s="127"/>
      <c r="X14" s="127"/>
      <c r="Y14" s="127"/>
      <c r="Z14" s="127"/>
      <c r="AA14" s="127"/>
      <c r="AB14" s="127"/>
      <c r="AC14" s="127"/>
      <c r="AD14" s="127"/>
      <c r="AE14" s="127"/>
      <c r="AF14" s="127"/>
      <c r="AG14" s="127"/>
      <c r="AH14" s="127"/>
      <c r="AI14" s="127"/>
      <c r="AJ14" s="127"/>
      <c r="AK14" s="127"/>
      <c r="AL14" s="127"/>
      <c r="AM14" s="127"/>
      <c r="AN14" s="127"/>
      <c r="AO14" s="127"/>
      <c r="AP14" s="127"/>
      <c r="AQ14" s="127"/>
      <c r="AR14" s="127"/>
      <c r="AS14" s="127"/>
      <c r="AT14" s="127"/>
      <c r="AU14" s="127"/>
      <c r="AV14" s="127"/>
      <c r="AW14" s="127"/>
      <c r="AX14" s="127"/>
      <c r="AY14" s="127"/>
      <c r="AZ14" s="127"/>
      <c r="BA14" s="127"/>
      <c r="BB14" s="127"/>
      <c r="BC14" s="127"/>
      <c r="BD14" s="127"/>
      <c r="BE14" s="127"/>
      <c r="BF14" s="127"/>
      <c r="BG14" s="127"/>
      <c r="BH14" s="127"/>
      <c r="BI14" s="127"/>
      <c r="BJ14" s="127"/>
    </row>
    <row r="15" spans="2:62" x14ac:dyDescent="0.2">
      <c r="B15" s="68" t="s">
        <v>1160</v>
      </c>
      <c r="C15" s="320"/>
      <c r="D15" s="314">
        <f ca="1">'Parameters calculator (hide)'!B43</f>
        <v>1.0999999999999999E-2</v>
      </c>
      <c r="F15" s="127"/>
      <c r="G15" s="127"/>
      <c r="H15" s="127"/>
      <c r="I15" s="127"/>
      <c r="J15" s="127"/>
      <c r="K15" s="127"/>
      <c r="L15" s="127"/>
      <c r="M15" s="127"/>
      <c r="N15" s="127"/>
      <c r="O15" s="127"/>
      <c r="P15" s="127"/>
      <c r="Q15" s="127"/>
      <c r="R15" s="127"/>
      <c r="S15" s="127"/>
      <c r="T15" s="127"/>
      <c r="U15" s="127"/>
      <c r="V15" s="127"/>
      <c r="W15" s="127"/>
      <c r="X15" s="127"/>
      <c r="Y15" s="127"/>
      <c r="Z15" s="127"/>
      <c r="AA15" s="127"/>
      <c r="AB15" s="127"/>
      <c r="AC15" s="127"/>
      <c r="AD15" s="127"/>
      <c r="AE15" s="127"/>
      <c r="AF15" s="127"/>
      <c r="AG15" s="127"/>
      <c r="AH15" s="127"/>
      <c r="AI15" s="127"/>
      <c r="AJ15" s="127"/>
      <c r="AK15" s="127"/>
      <c r="AL15" s="127"/>
      <c r="AM15" s="127"/>
      <c r="AN15" s="127"/>
      <c r="AO15" s="127"/>
      <c r="AP15" s="127"/>
      <c r="AQ15" s="127"/>
      <c r="AR15" s="127"/>
      <c r="AS15" s="127"/>
      <c r="AT15" s="127"/>
      <c r="AU15" s="127"/>
      <c r="AV15" s="127"/>
      <c r="AW15" s="127"/>
      <c r="AX15" s="127"/>
      <c r="AY15" s="127"/>
      <c r="AZ15" s="127"/>
      <c r="BA15" s="127"/>
      <c r="BB15" s="127"/>
      <c r="BC15" s="127"/>
      <c r="BD15" s="127"/>
      <c r="BE15" s="127"/>
      <c r="BF15" s="127"/>
      <c r="BG15" s="127"/>
      <c r="BH15" s="127"/>
      <c r="BI15" s="127"/>
      <c r="BJ15" s="127"/>
    </row>
    <row r="16" spans="2:62" x14ac:dyDescent="0.2">
      <c r="B16" s="68" t="s">
        <v>1161</v>
      </c>
      <c r="C16" s="320"/>
      <c r="D16" s="314">
        <f ca="1">'Parameters calculator (hide)'!B44</f>
        <v>0.1134830082198503</v>
      </c>
      <c r="F16" s="127"/>
      <c r="G16" s="127"/>
      <c r="H16" s="127"/>
      <c r="I16" s="127"/>
      <c r="J16" s="127"/>
      <c r="K16" s="127"/>
      <c r="L16" s="127"/>
      <c r="M16" s="127"/>
      <c r="N16" s="127"/>
      <c r="O16" s="127"/>
      <c r="P16" s="127"/>
      <c r="Q16" s="127"/>
      <c r="R16" s="127"/>
      <c r="S16" s="127"/>
      <c r="T16" s="127"/>
      <c r="U16" s="127"/>
      <c r="V16" s="127"/>
      <c r="W16" s="127"/>
      <c r="X16" s="127"/>
      <c r="Y16" s="127"/>
      <c r="Z16" s="127"/>
      <c r="AA16" s="127"/>
      <c r="AB16" s="127"/>
      <c r="AC16" s="127"/>
      <c r="AD16" s="127"/>
      <c r="AE16" s="127"/>
      <c r="AF16" s="127"/>
      <c r="AG16" s="127"/>
      <c r="AH16" s="127"/>
      <c r="AI16" s="127"/>
      <c r="AJ16" s="127"/>
      <c r="AK16" s="127"/>
      <c r="AL16" s="127"/>
      <c r="AM16" s="127"/>
      <c r="AN16" s="127"/>
      <c r="AO16" s="127"/>
      <c r="AP16" s="127"/>
      <c r="AQ16" s="127"/>
      <c r="AR16" s="127"/>
      <c r="AS16" s="127"/>
      <c r="AT16" s="127"/>
      <c r="AU16" s="127"/>
      <c r="AV16" s="127"/>
      <c r="AW16" s="127"/>
      <c r="AX16" s="127"/>
      <c r="AY16" s="127"/>
      <c r="AZ16" s="127"/>
      <c r="BA16" s="127"/>
      <c r="BB16" s="127"/>
      <c r="BC16" s="127"/>
      <c r="BD16" s="127"/>
      <c r="BE16" s="127"/>
      <c r="BF16" s="127"/>
      <c r="BG16" s="127"/>
      <c r="BH16" s="127"/>
      <c r="BI16" s="127"/>
      <c r="BJ16" s="127"/>
    </row>
    <row r="17" spans="2:62" x14ac:dyDescent="0.2">
      <c r="B17" s="68" t="s">
        <v>1162</v>
      </c>
      <c r="C17" s="320"/>
      <c r="D17" s="314">
        <f ca="1">'Parameters calculator (hide)'!B45</f>
        <v>9.9999999999999992E-2</v>
      </c>
      <c r="F17" s="127"/>
      <c r="G17" s="127"/>
      <c r="H17" s="127"/>
      <c r="I17" s="127"/>
      <c r="J17" s="127"/>
      <c r="K17" s="127"/>
      <c r="L17" s="127"/>
      <c r="M17" s="127"/>
      <c r="N17" s="127"/>
      <c r="O17" s="127"/>
      <c r="P17" s="127"/>
      <c r="Q17" s="127"/>
      <c r="R17" s="127"/>
      <c r="S17" s="127"/>
      <c r="T17" s="127"/>
      <c r="U17" s="127"/>
      <c r="V17" s="127"/>
      <c r="W17" s="127"/>
      <c r="X17" s="127"/>
      <c r="Y17" s="127"/>
      <c r="Z17" s="127"/>
      <c r="AA17" s="127"/>
      <c r="AB17" s="127"/>
      <c r="AC17" s="127"/>
      <c r="AD17" s="127"/>
      <c r="AE17" s="127"/>
      <c r="AF17" s="127"/>
      <c r="AG17" s="127"/>
      <c r="AH17" s="127"/>
      <c r="AI17" s="127"/>
      <c r="AJ17" s="127"/>
      <c r="AK17" s="127"/>
      <c r="AL17" s="127"/>
      <c r="AM17" s="127"/>
      <c r="AN17" s="127"/>
      <c r="AO17" s="127"/>
      <c r="AP17" s="127"/>
      <c r="AQ17" s="127"/>
      <c r="AR17" s="127"/>
      <c r="AS17" s="127"/>
      <c r="AT17" s="127"/>
      <c r="AU17" s="127"/>
      <c r="AV17" s="127"/>
      <c r="AW17" s="127"/>
      <c r="AX17" s="127"/>
      <c r="AY17" s="127"/>
      <c r="AZ17" s="127"/>
      <c r="BA17" s="127"/>
      <c r="BB17" s="127"/>
      <c r="BC17" s="127"/>
      <c r="BD17" s="127"/>
      <c r="BE17" s="127"/>
      <c r="BF17" s="127"/>
      <c r="BG17" s="127"/>
      <c r="BH17" s="127"/>
      <c r="BI17" s="127"/>
      <c r="BJ17" s="127"/>
    </row>
    <row r="18" spans="2:62" x14ac:dyDescent="0.2">
      <c r="B18" s="68" t="s">
        <v>1163</v>
      </c>
      <c r="C18" s="320"/>
      <c r="D18" s="314">
        <f ca="1">'Parameters calculator (hide)'!B46</f>
        <v>0.2</v>
      </c>
      <c r="F18" s="127"/>
      <c r="G18" s="127"/>
      <c r="H18" s="127"/>
      <c r="I18" s="127"/>
      <c r="J18" s="127"/>
      <c r="K18" s="127"/>
      <c r="L18" s="127"/>
      <c r="M18" s="127"/>
      <c r="N18" s="127"/>
      <c r="O18" s="127"/>
      <c r="P18" s="127"/>
      <c r="Q18" s="127"/>
      <c r="R18" s="127"/>
      <c r="S18" s="127"/>
      <c r="T18" s="127"/>
      <c r="U18" s="127"/>
      <c r="V18" s="127"/>
      <c r="W18" s="127"/>
      <c r="X18" s="127"/>
      <c r="Y18" s="127"/>
      <c r="Z18" s="127"/>
      <c r="AA18" s="127"/>
      <c r="AB18" s="127"/>
      <c r="AC18" s="127"/>
      <c r="AD18" s="127"/>
      <c r="AE18" s="127"/>
      <c r="AF18" s="127"/>
      <c r="AG18" s="127"/>
      <c r="AH18" s="127"/>
      <c r="AI18" s="127"/>
      <c r="AJ18" s="127"/>
      <c r="AK18" s="127"/>
      <c r="AL18" s="127"/>
      <c r="AM18" s="127"/>
      <c r="AN18" s="127"/>
      <c r="AO18" s="127"/>
      <c r="AP18" s="127"/>
      <c r="AQ18" s="127"/>
      <c r="AR18" s="127"/>
      <c r="AS18" s="127"/>
      <c r="AT18" s="127"/>
      <c r="AU18" s="127"/>
      <c r="AV18" s="127"/>
      <c r="AW18" s="127"/>
      <c r="AX18" s="127"/>
      <c r="AY18" s="127"/>
      <c r="AZ18" s="127"/>
      <c r="BA18" s="127"/>
      <c r="BB18" s="127"/>
      <c r="BC18" s="127"/>
      <c r="BD18" s="127"/>
      <c r="BE18" s="127"/>
      <c r="BF18" s="127"/>
      <c r="BG18" s="127"/>
      <c r="BH18" s="127"/>
      <c r="BI18" s="127"/>
      <c r="BJ18" s="127"/>
    </row>
    <row r="19" spans="2:62" x14ac:dyDescent="0.2">
      <c r="F19" s="127"/>
      <c r="G19" s="127"/>
      <c r="H19" s="127"/>
      <c r="I19" s="127"/>
      <c r="J19" s="127"/>
      <c r="K19" s="127"/>
      <c r="L19" s="127"/>
      <c r="M19" s="127"/>
      <c r="N19" s="127"/>
      <c r="O19" s="127"/>
      <c r="P19" s="127"/>
      <c r="Q19" s="127"/>
      <c r="R19" s="127"/>
      <c r="S19" s="127"/>
      <c r="T19" s="127"/>
      <c r="U19" s="127"/>
      <c r="V19" s="127"/>
      <c r="W19" s="127"/>
      <c r="X19" s="127"/>
      <c r="Y19" s="127"/>
      <c r="Z19" s="127"/>
      <c r="AA19" s="127"/>
      <c r="AB19" s="127"/>
      <c r="AC19" s="127"/>
      <c r="AD19" s="127"/>
      <c r="AE19" s="127"/>
      <c r="AF19" s="127"/>
      <c r="AG19" s="127"/>
      <c r="AH19" s="127"/>
      <c r="AI19" s="127"/>
      <c r="AJ19" s="127"/>
      <c r="AK19" s="127"/>
      <c r="AL19" s="127"/>
      <c r="AM19" s="127"/>
      <c r="AN19" s="127"/>
      <c r="AO19" s="127"/>
      <c r="AP19" s="127"/>
      <c r="AQ19" s="127"/>
      <c r="AR19" s="127"/>
      <c r="AS19" s="127"/>
      <c r="AT19" s="127"/>
      <c r="AU19" s="127"/>
      <c r="AV19" s="127"/>
      <c r="AW19" s="127"/>
      <c r="AX19" s="127"/>
      <c r="AY19" s="127"/>
      <c r="AZ19" s="127"/>
      <c r="BA19" s="127"/>
      <c r="BB19" s="127"/>
      <c r="BC19" s="127"/>
      <c r="BD19" s="127"/>
      <c r="BE19" s="127"/>
      <c r="BF19" s="127"/>
      <c r="BG19" s="127"/>
      <c r="BH19" s="127"/>
      <c r="BI19" s="127"/>
      <c r="BJ19" s="127"/>
    </row>
    <row r="20" spans="2:62" x14ac:dyDescent="0.2">
      <c r="B20" s="82" t="s">
        <v>518</v>
      </c>
      <c r="C20" s="155" t="s">
        <v>22</v>
      </c>
      <c r="F20" s="127"/>
      <c r="G20" s="127"/>
      <c r="H20" s="127"/>
      <c r="I20" s="127"/>
      <c r="J20" s="127"/>
      <c r="K20" s="127"/>
      <c r="L20" s="127"/>
      <c r="M20" s="127"/>
      <c r="N20" s="127"/>
      <c r="O20" s="127"/>
      <c r="P20" s="127"/>
      <c r="Q20" s="127"/>
      <c r="R20" s="127"/>
      <c r="S20" s="127"/>
      <c r="T20" s="127"/>
      <c r="U20" s="127"/>
      <c r="V20" s="127"/>
      <c r="W20" s="127"/>
      <c r="X20" s="127"/>
      <c r="Y20" s="127"/>
      <c r="Z20" s="127"/>
      <c r="AA20" s="127"/>
      <c r="AB20" s="127"/>
      <c r="AC20" s="127"/>
      <c r="AD20" s="127"/>
      <c r="AE20" s="127"/>
      <c r="AF20" s="127"/>
      <c r="AG20" s="127"/>
      <c r="AH20" s="127"/>
      <c r="AI20" s="127"/>
      <c r="AJ20" s="127"/>
      <c r="AK20" s="127"/>
      <c r="AL20" s="127"/>
      <c r="AM20" s="127"/>
      <c r="AN20" s="127"/>
      <c r="AO20" s="127"/>
      <c r="AP20" s="127"/>
      <c r="AQ20" s="127"/>
      <c r="AR20" s="127"/>
      <c r="AS20" s="127"/>
      <c r="AT20" s="127"/>
      <c r="AU20" s="127"/>
      <c r="AV20" s="127"/>
      <c r="AW20" s="127"/>
      <c r="AX20" s="127"/>
      <c r="AY20" s="127"/>
      <c r="AZ20" s="127"/>
      <c r="BA20" s="127"/>
      <c r="BB20" s="127"/>
      <c r="BC20" s="127"/>
      <c r="BD20" s="127"/>
      <c r="BE20" s="127"/>
      <c r="BF20" s="127"/>
      <c r="BG20" s="127"/>
      <c r="BH20" s="127"/>
      <c r="BI20" s="127"/>
      <c r="BJ20" s="127"/>
    </row>
    <row r="21" spans="2:62" x14ac:dyDescent="0.2">
      <c r="F21" s="127"/>
      <c r="G21" s="127"/>
      <c r="H21" s="127"/>
      <c r="I21" s="127"/>
      <c r="J21" s="127"/>
      <c r="K21" s="127"/>
      <c r="L21" s="127"/>
      <c r="M21" s="127"/>
      <c r="N21" s="127"/>
      <c r="O21" s="127"/>
      <c r="P21" s="127"/>
      <c r="Q21" s="127"/>
      <c r="R21" s="127"/>
      <c r="S21" s="127"/>
      <c r="T21" s="127"/>
      <c r="U21" s="127"/>
      <c r="V21" s="127"/>
      <c r="W21" s="127"/>
      <c r="X21" s="127"/>
      <c r="Y21" s="127"/>
      <c r="Z21" s="127"/>
      <c r="AA21" s="127"/>
      <c r="AB21" s="127"/>
      <c r="AC21" s="127"/>
      <c r="AD21" s="127"/>
      <c r="AE21" s="127"/>
      <c r="AF21" s="127"/>
      <c r="AG21" s="127"/>
      <c r="AH21" s="127"/>
      <c r="AI21" s="127"/>
      <c r="AJ21" s="127"/>
      <c r="AK21" s="127"/>
      <c r="AL21" s="127"/>
      <c r="AM21" s="127"/>
      <c r="AN21" s="127"/>
      <c r="AO21" s="127"/>
      <c r="AP21" s="127"/>
      <c r="AQ21" s="127"/>
      <c r="AR21" s="127"/>
      <c r="AS21" s="127"/>
      <c r="AT21" s="127"/>
      <c r="AU21" s="127"/>
      <c r="AV21" s="127"/>
      <c r="AW21" s="127"/>
      <c r="AX21" s="127"/>
      <c r="AY21" s="127"/>
      <c r="AZ21" s="127"/>
      <c r="BA21" s="127"/>
      <c r="BB21" s="127"/>
      <c r="BC21" s="127"/>
      <c r="BD21" s="127"/>
      <c r="BE21" s="127"/>
      <c r="BF21" s="127"/>
      <c r="BG21" s="127"/>
      <c r="BH21" s="127"/>
      <c r="BI21" s="127"/>
      <c r="BJ21" s="127"/>
    </row>
    <row r="22" spans="2:62" ht="14.25" hidden="1" customHeight="1" x14ac:dyDescent="0.2">
      <c r="B22" s="364" t="s">
        <v>515</v>
      </c>
      <c r="C22" s="365" t="s">
        <v>514</v>
      </c>
      <c r="D22" s="365"/>
      <c r="F22" s="127"/>
      <c r="G22" s="127"/>
      <c r="H22" s="127"/>
      <c r="I22" s="127"/>
      <c r="J22" s="127"/>
      <c r="K22" s="127"/>
      <c r="L22" s="127"/>
      <c r="M22" s="127"/>
      <c r="N22" s="127"/>
      <c r="O22" s="127"/>
      <c r="P22" s="127"/>
      <c r="Q22" s="127"/>
      <c r="R22" s="127"/>
      <c r="S22" s="127"/>
      <c r="T22" s="127"/>
      <c r="U22" s="127"/>
      <c r="V22" s="127"/>
      <c r="W22" s="127"/>
      <c r="X22" s="127"/>
      <c r="Y22" s="127"/>
      <c r="Z22" s="127"/>
      <c r="AA22" s="127"/>
      <c r="AB22" s="127"/>
      <c r="AC22" s="127"/>
      <c r="AD22" s="127"/>
      <c r="AE22" s="127"/>
      <c r="AF22" s="127"/>
      <c r="AG22" s="127"/>
      <c r="AH22" s="127"/>
      <c r="AI22" s="127"/>
      <c r="AJ22" s="127"/>
      <c r="AK22" s="127"/>
      <c r="AL22" s="127"/>
      <c r="AM22" s="127"/>
      <c r="AN22" s="127"/>
      <c r="AO22" s="127"/>
      <c r="AP22" s="127"/>
      <c r="AQ22" s="127"/>
      <c r="AR22" s="127"/>
      <c r="AS22" s="127"/>
      <c r="AT22" s="127"/>
      <c r="AU22" s="127"/>
      <c r="AV22" s="127"/>
      <c r="AW22" s="127"/>
      <c r="AX22" s="127"/>
      <c r="AY22" s="127"/>
      <c r="AZ22" s="127"/>
      <c r="BA22" s="127"/>
      <c r="BB22" s="127"/>
      <c r="BC22" s="127"/>
      <c r="BD22" s="127"/>
      <c r="BE22" s="127"/>
      <c r="BF22" s="127"/>
      <c r="BG22" s="127"/>
      <c r="BH22" s="127"/>
      <c r="BI22" s="127"/>
      <c r="BJ22" s="127"/>
    </row>
    <row r="23" spans="2:62" hidden="1" x14ac:dyDescent="0.2">
      <c r="B23" s="366"/>
      <c r="C23" s="367"/>
      <c r="D23" s="367"/>
      <c r="F23" s="127"/>
      <c r="G23" s="127"/>
      <c r="H23" s="127"/>
      <c r="I23" s="127"/>
      <c r="J23" s="127"/>
      <c r="K23" s="127"/>
      <c r="L23" s="127"/>
      <c r="M23" s="127"/>
      <c r="N23" s="127"/>
      <c r="O23" s="127"/>
      <c r="P23" s="127"/>
      <c r="Q23" s="127"/>
      <c r="R23" s="127"/>
      <c r="S23" s="127"/>
      <c r="T23" s="127"/>
      <c r="U23" s="127"/>
      <c r="V23" s="127"/>
      <c r="W23" s="127"/>
      <c r="X23" s="127"/>
      <c r="Y23" s="127"/>
      <c r="Z23" s="127"/>
      <c r="AA23" s="127"/>
      <c r="AB23" s="127"/>
      <c r="AC23" s="127"/>
      <c r="AD23" s="127"/>
      <c r="AE23" s="127"/>
      <c r="AF23" s="127"/>
      <c r="AG23" s="127"/>
      <c r="AH23" s="127"/>
      <c r="AI23" s="127"/>
      <c r="AJ23" s="127"/>
      <c r="AK23" s="127"/>
      <c r="AL23" s="127"/>
      <c r="AM23" s="127"/>
      <c r="AN23" s="127"/>
      <c r="AO23" s="127"/>
      <c r="AP23" s="127"/>
      <c r="AQ23" s="127"/>
      <c r="AR23" s="127"/>
      <c r="AS23" s="127"/>
      <c r="AT23" s="127"/>
      <c r="AU23" s="127"/>
      <c r="AV23" s="127"/>
      <c r="AW23" s="127"/>
      <c r="AX23" s="127"/>
      <c r="AY23" s="127"/>
      <c r="AZ23" s="127"/>
      <c r="BA23" s="127"/>
      <c r="BB23" s="127"/>
      <c r="BC23" s="127"/>
      <c r="BD23" s="127"/>
      <c r="BE23" s="127"/>
      <c r="BF23" s="127"/>
      <c r="BG23" s="127"/>
      <c r="BH23" s="127"/>
      <c r="BI23" s="127"/>
      <c r="BJ23" s="127"/>
    </row>
    <row r="24" spans="2:62" ht="28.5" hidden="1" x14ac:dyDescent="0.2">
      <c r="B24" s="418"/>
      <c r="C24" s="145" t="s">
        <v>487</v>
      </c>
      <c r="D24" s="145" t="s">
        <v>488</v>
      </c>
      <c r="F24" s="137"/>
      <c r="G24" s="137"/>
      <c r="H24" s="137"/>
      <c r="I24" s="137"/>
      <c r="J24" s="137"/>
      <c r="K24" s="137"/>
      <c r="L24" s="137"/>
      <c r="M24" s="137"/>
      <c r="N24" s="137"/>
      <c r="O24" s="137"/>
      <c r="P24" s="137"/>
      <c r="Q24" s="137"/>
      <c r="R24" s="137"/>
      <c r="S24" s="137"/>
      <c r="T24" s="137"/>
      <c r="U24" s="137"/>
      <c r="V24" s="137"/>
      <c r="W24" s="137"/>
      <c r="X24" s="137"/>
      <c r="Y24" s="137"/>
      <c r="Z24" s="137"/>
      <c r="AA24" s="137"/>
      <c r="AB24" s="137"/>
      <c r="AC24" s="137"/>
      <c r="AD24" s="137"/>
      <c r="AE24" s="137"/>
      <c r="AF24" s="137"/>
      <c r="AG24" s="137"/>
      <c r="AH24" s="137"/>
      <c r="AI24" s="137"/>
      <c r="AJ24" s="137"/>
      <c r="AK24" s="137"/>
      <c r="AL24" s="137"/>
      <c r="AM24" s="137"/>
      <c r="AN24" s="137"/>
      <c r="AO24" s="137"/>
      <c r="AP24" s="137"/>
      <c r="AQ24" s="137"/>
      <c r="AR24" s="137"/>
      <c r="AS24" s="137"/>
      <c r="AT24" s="137"/>
      <c r="AU24" s="137"/>
      <c r="AV24" s="137"/>
      <c r="AW24" s="137"/>
      <c r="AX24" s="137"/>
      <c r="AY24" s="137"/>
      <c r="AZ24" s="137"/>
      <c r="BA24" s="137"/>
      <c r="BB24" s="137"/>
      <c r="BC24" s="137"/>
      <c r="BD24" s="137"/>
      <c r="BE24" s="137"/>
      <c r="BF24" s="127"/>
      <c r="BG24" s="127"/>
      <c r="BH24" s="127"/>
      <c r="BI24" s="127"/>
      <c r="BJ24" s="127"/>
    </row>
    <row r="25" spans="2:62" hidden="1" x14ac:dyDescent="0.2">
      <c r="B25" s="247" t="s">
        <v>524</v>
      </c>
      <c r="C25" s="248">
        <f>IF(B25="","",COUNTIF(F25:BE25,"X"))</f>
        <v>0</v>
      </c>
      <c r="D25" s="248" t="s">
        <v>525</v>
      </c>
      <c r="F25" s="158"/>
      <c r="G25" s="157"/>
      <c r="H25" s="157"/>
      <c r="I25" s="157"/>
      <c r="J25" s="157"/>
      <c r="K25" s="157"/>
      <c r="L25" s="157"/>
      <c r="M25" s="157"/>
      <c r="N25" s="157"/>
      <c r="O25" s="157"/>
      <c r="P25" s="157"/>
      <c r="Q25" s="157"/>
      <c r="R25" s="157"/>
      <c r="S25" s="157"/>
      <c r="T25" s="157"/>
      <c r="U25" s="157"/>
      <c r="V25" s="157"/>
      <c r="W25" s="157"/>
      <c r="X25" s="157"/>
      <c r="Y25" s="157"/>
      <c r="Z25" s="157"/>
      <c r="AA25" s="157"/>
      <c r="AB25" s="157"/>
      <c r="AC25" s="157"/>
      <c r="AD25" s="157"/>
      <c r="AE25" s="157"/>
      <c r="AF25" s="157"/>
      <c r="AG25" s="157"/>
      <c r="AH25" s="157"/>
      <c r="AI25" s="157"/>
      <c r="AJ25" s="157"/>
      <c r="AK25" s="157"/>
      <c r="AL25" s="157"/>
      <c r="AM25" s="157"/>
      <c r="AN25" s="157"/>
      <c r="AO25" s="157"/>
      <c r="AP25" s="157"/>
      <c r="AQ25" s="157"/>
      <c r="AR25" s="157"/>
      <c r="AS25" s="157"/>
      <c r="AT25" s="157"/>
      <c r="AU25" s="157"/>
      <c r="AV25" s="157"/>
      <c r="AW25" s="157"/>
      <c r="AX25" s="157"/>
      <c r="AY25" s="157"/>
      <c r="AZ25" s="157"/>
      <c r="BA25" s="157"/>
      <c r="BB25" s="157"/>
      <c r="BC25" s="157"/>
      <c r="BD25" s="157"/>
      <c r="BE25" s="159"/>
      <c r="BF25" s="127"/>
      <c r="BG25" s="127"/>
    </row>
    <row r="26" spans="2:62" hidden="1" x14ac:dyDescent="0.2">
      <c r="B26" s="165" t="s">
        <v>1121</v>
      </c>
      <c r="C26" s="223">
        <f t="shared" ref="C26:C89" si="0">IF(B26="","",COUNTIF(F26:BE26,"X"))</f>
        <v>5</v>
      </c>
      <c r="D26" s="166">
        <v>85</v>
      </c>
      <c r="F26" s="157"/>
      <c r="G26" s="157"/>
      <c r="H26" s="157"/>
      <c r="I26" s="157"/>
      <c r="J26" s="157"/>
      <c r="K26" s="157"/>
      <c r="L26" s="157"/>
      <c r="M26" s="157"/>
      <c r="N26" s="157"/>
      <c r="O26" s="157" t="s">
        <v>485</v>
      </c>
      <c r="P26" s="157"/>
      <c r="Q26" s="157"/>
      <c r="R26" s="157"/>
      <c r="S26" s="157"/>
      <c r="T26" s="157"/>
      <c r="U26" s="157" t="s">
        <v>1197</v>
      </c>
      <c r="V26" s="157" t="s">
        <v>1197</v>
      </c>
      <c r="W26" s="157" t="s">
        <v>1197</v>
      </c>
      <c r="X26" s="157" t="s">
        <v>1197</v>
      </c>
      <c r="Y26" s="157"/>
      <c r="Z26" s="157"/>
      <c r="AA26" s="157"/>
      <c r="AB26" s="157"/>
      <c r="AC26" s="157"/>
      <c r="AD26" s="157"/>
      <c r="AE26" s="157"/>
      <c r="AF26" s="157"/>
      <c r="AG26" s="157"/>
      <c r="AH26" s="157"/>
      <c r="AI26" s="157"/>
      <c r="AJ26" s="157"/>
      <c r="AK26" s="157"/>
      <c r="AL26" s="157"/>
      <c r="AM26" s="157"/>
      <c r="AN26" s="157"/>
      <c r="AO26" s="157"/>
      <c r="AP26" s="157"/>
      <c r="AQ26" s="157"/>
      <c r="AR26" s="157"/>
      <c r="AS26" s="157"/>
      <c r="AT26" s="157"/>
      <c r="AU26" s="157"/>
      <c r="AV26" s="157"/>
      <c r="AW26" s="157"/>
      <c r="AX26" s="157"/>
      <c r="AY26" s="157"/>
      <c r="AZ26" s="157"/>
      <c r="BA26" s="157"/>
      <c r="BB26" s="157"/>
      <c r="BC26" s="157"/>
      <c r="BD26" s="157"/>
      <c r="BE26" s="157"/>
      <c r="BF26" s="131"/>
      <c r="BG26" s="127"/>
    </row>
    <row r="27" spans="2:62" hidden="1" x14ac:dyDescent="0.2">
      <c r="B27" s="165" t="s">
        <v>1122</v>
      </c>
      <c r="C27" s="223">
        <f t="shared" si="0"/>
        <v>7</v>
      </c>
      <c r="D27" s="166">
        <v>102</v>
      </c>
      <c r="F27" s="157"/>
      <c r="G27" s="157"/>
      <c r="H27" s="157"/>
      <c r="I27" s="157"/>
      <c r="J27" s="157"/>
      <c r="K27" s="157"/>
      <c r="L27" s="157" t="s">
        <v>485</v>
      </c>
      <c r="M27" s="157"/>
      <c r="N27" s="157" t="s">
        <v>485</v>
      </c>
      <c r="O27" s="157"/>
      <c r="P27" s="157"/>
      <c r="Q27" s="157"/>
      <c r="R27" s="157" t="s">
        <v>485</v>
      </c>
      <c r="S27" s="157"/>
      <c r="T27" s="157"/>
      <c r="U27" s="157"/>
      <c r="V27" s="157"/>
      <c r="W27" s="157"/>
      <c r="X27" s="157"/>
      <c r="Y27" s="157"/>
      <c r="Z27" s="157" t="s">
        <v>485</v>
      </c>
      <c r="AA27" s="157" t="s">
        <v>485</v>
      </c>
      <c r="AB27" s="160"/>
      <c r="AC27" s="160"/>
      <c r="AD27" s="160"/>
      <c r="AE27" s="160"/>
      <c r="AF27" s="160"/>
      <c r="AG27" s="160"/>
      <c r="AH27" s="160"/>
      <c r="AI27" s="160"/>
      <c r="AJ27" s="160"/>
      <c r="AK27" s="160"/>
      <c r="AL27" s="160"/>
      <c r="AM27" s="160"/>
      <c r="AN27" s="160"/>
      <c r="AO27" s="160"/>
      <c r="AP27" s="160"/>
      <c r="AQ27" s="160"/>
      <c r="AR27" s="160"/>
      <c r="AS27" s="160"/>
      <c r="AT27" s="160"/>
      <c r="AU27" s="160"/>
      <c r="AV27" s="160"/>
      <c r="AW27" s="160"/>
      <c r="AX27" s="160" t="s">
        <v>1197</v>
      </c>
      <c r="AY27" s="160" t="s">
        <v>1197</v>
      </c>
      <c r="AZ27" s="160"/>
      <c r="BA27" s="160"/>
      <c r="BB27" s="160"/>
      <c r="BC27" s="160"/>
      <c r="BD27" s="160"/>
      <c r="BE27" s="160"/>
    </row>
    <row r="28" spans="2:62" hidden="1" x14ac:dyDescent="0.2">
      <c r="B28" s="165"/>
      <c r="C28" s="223" t="str">
        <f t="shared" si="0"/>
        <v/>
      </c>
      <c r="D28" s="166"/>
      <c r="F28" s="157"/>
      <c r="G28" s="157"/>
      <c r="H28" s="157"/>
      <c r="I28" s="157"/>
      <c r="J28" s="157"/>
      <c r="K28" s="157"/>
      <c r="L28" s="157"/>
      <c r="M28" s="157"/>
      <c r="N28" s="157"/>
      <c r="O28" s="157"/>
      <c r="P28" s="157"/>
      <c r="Q28" s="157"/>
      <c r="R28" s="157"/>
      <c r="S28" s="157"/>
      <c r="T28" s="157"/>
      <c r="U28" s="157"/>
      <c r="V28" s="157"/>
      <c r="W28" s="157"/>
      <c r="X28" s="157"/>
      <c r="Y28" s="157"/>
      <c r="Z28" s="157"/>
      <c r="AA28" s="157"/>
      <c r="AB28" s="160"/>
      <c r="AC28" s="160"/>
      <c r="AD28" s="160"/>
      <c r="AE28" s="160"/>
      <c r="AF28" s="160"/>
      <c r="AG28" s="160"/>
      <c r="AH28" s="160"/>
      <c r="AI28" s="160"/>
      <c r="AJ28" s="160"/>
      <c r="AK28" s="160"/>
      <c r="AL28" s="160"/>
      <c r="AM28" s="160"/>
      <c r="AN28" s="160"/>
      <c r="AO28" s="160"/>
      <c r="AP28" s="160"/>
      <c r="AQ28" s="160"/>
      <c r="AR28" s="160"/>
      <c r="AS28" s="160"/>
      <c r="AT28" s="160"/>
      <c r="AU28" s="160"/>
      <c r="AV28" s="160"/>
      <c r="AW28" s="160"/>
      <c r="AX28" s="160"/>
      <c r="AY28" s="160"/>
      <c r="AZ28" s="160"/>
      <c r="BA28" s="160"/>
      <c r="BB28" s="160"/>
      <c r="BC28" s="160"/>
      <c r="BD28" s="160"/>
      <c r="BE28" s="160"/>
    </row>
    <row r="29" spans="2:62" hidden="1" x14ac:dyDescent="0.2">
      <c r="B29" s="165"/>
      <c r="C29" s="223" t="str">
        <f t="shared" si="0"/>
        <v/>
      </c>
      <c r="D29" s="166"/>
      <c r="F29" s="157"/>
      <c r="G29" s="157"/>
      <c r="H29" s="157"/>
      <c r="I29" s="157"/>
      <c r="J29" s="157"/>
      <c r="K29" s="157"/>
      <c r="L29" s="157"/>
      <c r="M29" s="157"/>
      <c r="N29" s="157"/>
      <c r="O29" s="157"/>
      <c r="P29" s="157"/>
      <c r="Q29" s="157"/>
      <c r="R29" s="157"/>
      <c r="S29" s="157"/>
      <c r="T29" s="157"/>
      <c r="U29" s="157"/>
      <c r="V29" s="157"/>
      <c r="W29" s="157"/>
      <c r="X29" s="157"/>
      <c r="Y29" s="157"/>
      <c r="Z29" s="157"/>
      <c r="AA29" s="157"/>
      <c r="AB29" s="160"/>
      <c r="AC29" s="160"/>
      <c r="AD29" s="160"/>
      <c r="AE29" s="160"/>
      <c r="AF29" s="160"/>
      <c r="AG29" s="160"/>
      <c r="AH29" s="160"/>
      <c r="AI29" s="160"/>
      <c r="AJ29" s="160"/>
      <c r="AK29" s="160"/>
      <c r="AL29" s="160"/>
      <c r="AM29" s="160"/>
      <c r="AN29" s="160"/>
      <c r="AO29" s="160"/>
      <c r="AP29" s="160"/>
      <c r="AQ29" s="160"/>
      <c r="AR29" s="160"/>
      <c r="AS29" s="160"/>
      <c r="AT29" s="160"/>
      <c r="AU29" s="160"/>
      <c r="AV29" s="160"/>
      <c r="AW29" s="160"/>
      <c r="AX29" s="160"/>
      <c r="AY29" s="160"/>
      <c r="AZ29" s="160"/>
      <c r="BA29" s="160"/>
      <c r="BB29" s="160"/>
      <c r="BC29" s="160"/>
      <c r="BD29" s="160"/>
      <c r="BE29" s="160"/>
    </row>
    <row r="30" spans="2:62" hidden="1" x14ac:dyDescent="0.2">
      <c r="B30" s="165"/>
      <c r="C30" s="223" t="str">
        <f t="shared" si="0"/>
        <v/>
      </c>
      <c r="D30" s="166"/>
      <c r="F30" s="157"/>
      <c r="G30" s="157"/>
      <c r="H30" s="157"/>
      <c r="I30" s="157"/>
      <c r="J30" s="157"/>
      <c r="K30" s="157"/>
      <c r="L30" s="157"/>
      <c r="M30" s="157"/>
      <c r="N30" s="157"/>
      <c r="O30" s="157"/>
      <c r="P30" s="157"/>
      <c r="Q30" s="157"/>
      <c r="R30" s="157"/>
      <c r="S30" s="157"/>
      <c r="T30" s="157"/>
      <c r="U30" s="157"/>
      <c r="V30" s="157"/>
      <c r="W30" s="157"/>
      <c r="X30" s="157"/>
      <c r="Y30" s="157"/>
      <c r="Z30" s="157"/>
      <c r="AA30" s="157"/>
      <c r="AB30" s="160"/>
      <c r="AC30" s="160"/>
      <c r="AD30" s="160"/>
      <c r="AE30" s="160"/>
      <c r="AF30" s="160"/>
      <c r="AG30" s="160"/>
      <c r="AH30" s="160"/>
      <c r="AI30" s="160"/>
      <c r="AJ30" s="160"/>
      <c r="AK30" s="160"/>
      <c r="AL30" s="160"/>
      <c r="AM30" s="160"/>
      <c r="AN30" s="160"/>
      <c r="AO30" s="160"/>
      <c r="AP30" s="160"/>
      <c r="AQ30" s="160"/>
      <c r="AR30" s="160"/>
      <c r="AS30" s="160"/>
      <c r="AT30" s="160"/>
      <c r="AU30" s="160"/>
      <c r="AV30" s="160"/>
      <c r="AW30" s="160"/>
      <c r="AX30" s="160"/>
      <c r="AY30" s="160"/>
      <c r="AZ30" s="160"/>
      <c r="BA30" s="160"/>
      <c r="BB30" s="160"/>
      <c r="BC30" s="160"/>
      <c r="BD30" s="160"/>
      <c r="BE30" s="160"/>
    </row>
    <row r="31" spans="2:62" hidden="1" x14ac:dyDescent="0.2">
      <c r="B31" s="165"/>
      <c r="C31" s="223" t="str">
        <f t="shared" si="0"/>
        <v/>
      </c>
      <c r="D31" s="166"/>
      <c r="F31" s="157"/>
      <c r="G31" s="157"/>
      <c r="H31" s="157"/>
      <c r="I31" s="157"/>
      <c r="J31" s="157"/>
      <c r="K31" s="157"/>
      <c r="L31" s="157"/>
      <c r="M31" s="157"/>
      <c r="N31" s="157"/>
      <c r="O31" s="157"/>
      <c r="P31" s="157"/>
      <c r="Q31" s="157"/>
      <c r="R31" s="157"/>
      <c r="S31" s="157"/>
      <c r="T31" s="157"/>
      <c r="U31" s="157"/>
      <c r="V31" s="157"/>
      <c r="W31" s="157"/>
      <c r="X31" s="157"/>
      <c r="Y31" s="157"/>
      <c r="Z31" s="157"/>
      <c r="AA31" s="157"/>
      <c r="AB31" s="160"/>
      <c r="AC31" s="160"/>
      <c r="AD31" s="160"/>
      <c r="AE31" s="160"/>
      <c r="AF31" s="160"/>
      <c r="AG31" s="160"/>
      <c r="AH31" s="160"/>
      <c r="AI31" s="160"/>
      <c r="AJ31" s="160"/>
      <c r="AK31" s="160"/>
      <c r="AL31" s="160"/>
      <c r="AM31" s="160"/>
      <c r="AN31" s="160"/>
      <c r="AO31" s="160"/>
      <c r="AP31" s="160"/>
      <c r="AQ31" s="160"/>
      <c r="AR31" s="160"/>
      <c r="AS31" s="160"/>
      <c r="AT31" s="160"/>
      <c r="AU31" s="160"/>
      <c r="AV31" s="160"/>
      <c r="AW31" s="160"/>
      <c r="AX31" s="160"/>
      <c r="AY31" s="160"/>
      <c r="AZ31" s="160"/>
      <c r="BA31" s="160"/>
      <c r="BB31" s="160"/>
      <c r="BC31" s="160"/>
      <c r="BD31" s="160"/>
      <c r="BE31" s="160"/>
    </row>
    <row r="32" spans="2:62" hidden="1" x14ac:dyDescent="0.2">
      <c r="B32" s="165"/>
      <c r="C32" s="223" t="str">
        <f t="shared" si="0"/>
        <v/>
      </c>
      <c r="D32" s="166"/>
      <c r="F32" s="157"/>
      <c r="G32" s="157"/>
      <c r="H32" s="157"/>
      <c r="I32" s="157"/>
      <c r="J32" s="157"/>
      <c r="K32" s="157"/>
      <c r="L32" s="157"/>
      <c r="M32" s="157"/>
      <c r="N32" s="157"/>
      <c r="O32" s="157"/>
      <c r="P32" s="157"/>
      <c r="Q32" s="157"/>
      <c r="R32" s="157"/>
      <c r="S32" s="157"/>
      <c r="T32" s="157"/>
      <c r="U32" s="157"/>
      <c r="V32" s="157"/>
      <c r="W32" s="157"/>
      <c r="X32" s="157"/>
      <c r="Y32" s="157"/>
      <c r="Z32" s="157"/>
      <c r="AA32" s="157"/>
      <c r="AB32" s="160"/>
      <c r="AC32" s="160"/>
      <c r="AD32" s="160"/>
      <c r="AE32" s="160"/>
      <c r="AF32" s="160"/>
      <c r="AG32" s="160"/>
      <c r="AH32" s="160"/>
      <c r="AI32" s="160"/>
      <c r="AJ32" s="160"/>
      <c r="AK32" s="160"/>
      <c r="AL32" s="160"/>
      <c r="AM32" s="160"/>
      <c r="AN32" s="160"/>
      <c r="AO32" s="160"/>
      <c r="AP32" s="160"/>
      <c r="AQ32" s="160"/>
      <c r="AR32" s="160"/>
      <c r="AS32" s="160"/>
      <c r="AT32" s="160"/>
      <c r="AU32" s="160"/>
      <c r="AV32" s="160"/>
      <c r="AW32" s="160"/>
      <c r="AX32" s="160"/>
      <c r="AY32" s="160"/>
      <c r="AZ32" s="160"/>
      <c r="BA32" s="160"/>
      <c r="BB32" s="160"/>
      <c r="BC32" s="160"/>
      <c r="BD32" s="160"/>
      <c r="BE32" s="160"/>
    </row>
    <row r="33" spans="2:57" hidden="1" x14ac:dyDescent="0.2">
      <c r="B33" s="165"/>
      <c r="C33" s="223" t="str">
        <f t="shared" si="0"/>
        <v/>
      </c>
      <c r="D33" s="166"/>
      <c r="F33" s="157"/>
      <c r="G33" s="157"/>
      <c r="H33" s="157"/>
      <c r="I33" s="157"/>
      <c r="J33" s="157"/>
      <c r="K33" s="157"/>
      <c r="L33" s="157"/>
      <c r="M33" s="157"/>
      <c r="N33" s="157"/>
      <c r="O33" s="157"/>
      <c r="P33" s="157"/>
      <c r="Q33" s="157"/>
      <c r="R33" s="157"/>
      <c r="S33" s="157"/>
      <c r="T33" s="157"/>
      <c r="U33" s="157"/>
      <c r="V33" s="157"/>
      <c r="W33" s="157"/>
      <c r="X33" s="157"/>
      <c r="Y33" s="157"/>
      <c r="Z33" s="157"/>
      <c r="AA33" s="157"/>
      <c r="AB33" s="160"/>
      <c r="AC33" s="160"/>
      <c r="AD33" s="160"/>
      <c r="AE33" s="160"/>
      <c r="AF33" s="160"/>
      <c r="AG33" s="160"/>
      <c r="AH33" s="160"/>
      <c r="AI33" s="160"/>
      <c r="AJ33" s="160"/>
      <c r="AK33" s="160"/>
      <c r="AL33" s="160"/>
      <c r="AM33" s="160"/>
      <c r="AN33" s="160"/>
      <c r="AO33" s="160"/>
      <c r="AP33" s="160"/>
      <c r="AQ33" s="160"/>
      <c r="AR33" s="160"/>
      <c r="AS33" s="160"/>
      <c r="AT33" s="160"/>
      <c r="AU33" s="160"/>
      <c r="AV33" s="160"/>
      <c r="AW33" s="160"/>
      <c r="AX33" s="160"/>
      <c r="AY33" s="160"/>
      <c r="AZ33" s="160"/>
      <c r="BA33" s="160"/>
      <c r="BB33" s="160"/>
      <c r="BC33" s="160"/>
      <c r="BD33" s="160"/>
      <c r="BE33" s="160"/>
    </row>
    <row r="34" spans="2:57" hidden="1" x14ac:dyDescent="0.2">
      <c r="B34" s="165"/>
      <c r="C34" s="223" t="str">
        <f t="shared" si="0"/>
        <v/>
      </c>
      <c r="D34" s="166"/>
      <c r="F34" s="160"/>
      <c r="G34" s="160"/>
      <c r="H34" s="161"/>
      <c r="I34" s="161"/>
      <c r="J34" s="161"/>
      <c r="K34" s="161"/>
      <c r="L34" s="161"/>
      <c r="M34" s="161"/>
      <c r="N34" s="161"/>
      <c r="O34" s="161"/>
      <c r="P34" s="161"/>
      <c r="Q34" s="161"/>
      <c r="R34" s="161"/>
      <c r="S34" s="161"/>
      <c r="T34" s="161"/>
      <c r="U34" s="161"/>
      <c r="V34" s="161"/>
      <c r="W34" s="161"/>
      <c r="X34" s="161"/>
      <c r="Y34" s="161"/>
      <c r="Z34" s="161"/>
      <c r="AA34" s="161"/>
      <c r="AB34" s="161"/>
      <c r="AC34" s="161"/>
      <c r="AD34" s="161"/>
      <c r="AE34" s="161"/>
      <c r="AF34" s="161"/>
      <c r="AG34" s="161"/>
      <c r="AH34" s="161"/>
      <c r="AI34" s="161"/>
      <c r="AJ34" s="161"/>
      <c r="AK34" s="161"/>
      <c r="AL34" s="161"/>
      <c r="AM34" s="161"/>
      <c r="AN34" s="161"/>
      <c r="AO34" s="161"/>
      <c r="AP34" s="161"/>
      <c r="AQ34" s="161"/>
      <c r="AR34" s="161"/>
      <c r="AS34" s="161"/>
      <c r="AT34" s="161"/>
      <c r="AU34" s="161"/>
      <c r="AV34" s="161"/>
      <c r="AW34" s="161"/>
      <c r="AX34" s="161"/>
      <c r="AY34" s="161"/>
      <c r="AZ34" s="161"/>
      <c r="BA34" s="161"/>
      <c r="BB34" s="161"/>
      <c r="BC34" s="161"/>
      <c r="BD34" s="161"/>
      <c r="BE34" s="160"/>
    </row>
    <row r="35" spans="2:57" hidden="1" x14ac:dyDescent="0.2">
      <c r="B35" s="165"/>
      <c r="C35" s="223" t="str">
        <f t="shared" si="0"/>
        <v/>
      </c>
      <c r="D35" s="166"/>
      <c r="F35" s="157"/>
      <c r="G35" s="157"/>
      <c r="H35" s="157"/>
      <c r="I35" s="157"/>
      <c r="J35" s="157"/>
      <c r="K35" s="157"/>
      <c r="L35" s="157"/>
      <c r="M35" s="157"/>
      <c r="N35" s="157"/>
      <c r="O35" s="157"/>
      <c r="P35" s="157"/>
      <c r="Q35" s="157"/>
      <c r="R35" s="157"/>
      <c r="S35" s="157"/>
      <c r="T35" s="157"/>
      <c r="U35" s="157"/>
      <c r="V35" s="157"/>
      <c r="W35" s="157"/>
      <c r="X35" s="157"/>
      <c r="Y35" s="157"/>
      <c r="Z35" s="157"/>
      <c r="AA35" s="157"/>
      <c r="AB35" s="157"/>
      <c r="AC35" s="157"/>
      <c r="AD35" s="157"/>
      <c r="AE35" s="157"/>
      <c r="AF35" s="157"/>
      <c r="AG35" s="157"/>
      <c r="AH35" s="157"/>
      <c r="AI35" s="157"/>
      <c r="AJ35" s="157"/>
      <c r="AK35" s="157"/>
      <c r="AL35" s="157"/>
      <c r="AM35" s="157"/>
      <c r="AN35" s="157"/>
      <c r="AO35" s="157"/>
      <c r="AP35" s="157"/>
      <c r="AQ35" s="157"/>
      <c r="AR35" s="157"/>
      <c r="AS35" s="157"/>
      <c r="AT35" s="157"/>
      <c r="AU35" s="157"/>
      <c r="AV35" s="157"/>
      <c r="AW35" s="157"/>
      <c r="AX35" s="157"/>
      <c r="AY35" s="157"/>
      <c r="AZ35" s="157"/>
      <c r="BA35" s="157"/>
      <c r="BB35" s="157"/>
      <c r="BC35" s="157"/>
      <c r="BD35" s="157"/>
      <c r="BE35" s="157"/>
    </row>
    <row r="36" spans="2:57" hidden="1" x14ac:dyDescent="0.2">
      <c r="B36" s="165"/>
      <c r="C36" s="223" t="str">
        <f t="shared" si="0"/>
        <v/>
      </c>
      <c r="D36" s="166"/>
      <c r="F36" s="157"/>
      <c r="G36" s="157"/>
      <c r="H36" s="157"/>
      <c r="I36" s="157"/>
      <c r="J36" s="157"/>
      <c r="K36" s="157"/>
      <c r="L36" s="157"/>
      <c r="M36" s="157"/>
      <c r="N36" s="157"/>
      <c r="O36" s="157"/>
      <c r="P36" s="157"/>
      <c r="Q36" s="157"/>
      <c r="R36" s="157"/>
      <c r="S36" s="157"/>
      <c r="T36" s="157"/>
      <c r="U36" s="157"/>
      <c r="V36" s="157"/>
      <c r="W36" s="157"/>
      <c r="X36" s="157"/>
      <c r="Y36" s="157"/>
      <c r="Z36" s="157"/>
      <c r="AA36" s="157"/>
      <c r="AB36" s="157"/>
      <c r="AC36" s="157"/>
      <c r="AD36" s="157"/>
      <c r="AE36" s="157"/>
      <c r="AF36" s="157"/>
      <c r="AG36" s="157"/>
      <c r="AH36" s="157"/>
      <c r="AI36" s="157"/>
      <c r="AJ36" s="157"/>
      <c r="AK36" s="157"/>
      <c r="AL36" s="157"/>
      <c r="AM36" s="157"/>
      <c r="AN36" s="157"/>
      <c r="AO36" s="157"/>
      <c r="AP36" s="157"/>
      <c r="AQ36" s="157"/>
      <c r="AR36" s="157"/>
      <c r="AS36" s="157"/>
      <c r="AT36" s="157"/>
      <c r="AU36" s="157"/>
      <c r="AV36" s="157"/>
      <c r="AW36" s="157"/>
      <c r="AX36" s="157"/>
      <c r="AY36" s="157"/>
      <c r="AZ36" s="157"/>
      <c r="BA36" s="157"/>
      <c r="BB36" s="157"/>
      <c r="BC36" s="157"/>
      <c r="BD36" s="157"/>
      <c r="BE36" s="157"/>
    </row>
    <row r="37" spans="2:57" hidden="1" x14ac:dyDescent="0.2">
      <c r="B37" s="165"/>
      <c r="C37" s="223" t="str">
        <f t="shared" si="0"/>
        <v/>
      </c>
      <c r="D37" s="166"/>
      <c r="F37" s="160"/>
      <c r="G37" s="160"/>
      <c r="H37" s="160"/>
      <c r="I37" s="160"/>
      <c r="J37" s="160"/>
      <c r="K37" s="160"/>
      <c r="L37" s="160"/>
      <c r="M37" s="160"/>
      <c r="N37" s="160"/>
      <c r="O37" s="160"/>
      <c r="P37" s="160"/>
      <c r="Q37" s="160"/>
      <c r="R37" s="160"/>
      <c r="S37" s="160"/>
      <c r="T37" s="160"/>
      <c r="U37" s="160"/>
      <c r="V37" s="160"/>
      <c r="W37" s="160"/>
      <c r="X37" s="160"/>
      <c r="Y37" s="160"/>
      <c r="Z37" s="160"/>
      <c r="AA37" s="160"/>
      <c r="AB37" s="160"/>
      <c r="AC37" s="160"/>
      <c r="AD37" s="160"/>
      <c r="AE37" s="160"/>
      <c r="AF37" s="160"/>
      <c r="AG37" s="160"/>
      <c r="AH37" s="160"/>
      <c r="AI37" s="160"/>
      <c r="AJ37" s="160"/>
      <c r="AK37" s="160"/>
      <c r="AL37" s="160"/>
      <c r="AM37" s="160"/>
      <c r="AN37" s="160"/>
      <c r="AO37" s="160"/>
      <c r="AP37" s="160"/>
      <c r="AQ37" s="160"/>
      <c r="AR37" s="160"/>
      <c r="AS37" s="160"/>
      <c r="AT37" s="160"/>
      <c r="AU37" s="160"/>
      <c r="AV37" s="160"/>
      <c r="AW37" s="160"/>
      <c r="AX37" s="160"/>
      <c r="AY37" s="160"/>
      <c r="AZ37" s="160"/>
      <c r="BA37" s="160"/>
      <c r="BB37" s="160"/>
      <c r="BC37" s="160"/>
      <c r="BD37" s="160"/>
      <c r="BE37" s="160"/>
    </row>
    <row r="38" spans="2:57" hidden="1" x14ac:dyDescent="0.2">
      <c r="B38" s="165"/>
      <c r="C38" s="223" t="str">
        <f t="shared" si="0"/>
        <v/>
      </c>
      <c r="D38" s="166"/>
      <c r="F38" s="160"/>
      <c r="G38" s="160"/>
      <c r="H38" s="160"/>
      <c r="I38" s="160"/>
      <c r="J38" s="160"/>
      <c r="K38" s="160"/>
      <c r="L38" s="160"/>
      <c r="M38" s="160"/>
      <c r="N38" s="160"/>
      <c r="O38" s="160"/>
      <c r="P38" s="160"/>
      <c r="Q38" s="160"/>
      <c r="R38" s="160"/>
      <c r="S38" s="160"/>
      <c r="T38" s="160"/>
      <c r="U38" s="160"/>
      <c r="V38" s="160"/>
      <c r="W38" s="160"/>
      <c r="X38" s="160"/>
      <c r="Y38" s="160"/>
      <c r="Z38" s="160"/>
      <c r="AA38" s="160"/>
      <c r="AB38" s="160"/>
      <c r="AC38" s="160"/>
      <c r="AD38" s="160"/>
      <c r="AE38" s="160"/>
      <c r="AF38" s="160"/>
      <c r="AG38" s="160"/>
      <c r="AH38" s="160"/>
      <c r="AI38" s="160"/>
      <c r="AJ38" s="160"/>
      <c r="AK38" s="160"/>
      <c r="AL38" s="160"/>
      <c r="AM38" s="160"/>
      <c r="AN38" s="160"/>
      <c r="AO38" s="160"/>
      <c r="AP38" s="160"/>
      <c r="AQ38" s="160"/>
      <c r="AR38" s="160"/>
      <c r="AS38" s="160"/>
      <c r="AT38" s="160"/>
      <c r="AU38" s="160"/>
      <c r="AV38" s="160"/>
      <c r="AW38" s="160"/>
      <c r="AX38" s="160"/>
      <c r="AY38" s="160"/>
      <c r="AZ38" s="160"/>
      <c r="BA38" s="160"/>
      <c r="BB38" s="160"/>
      <c r="BC38" s="160"/>
      <c r="BD38" s="160"/>
      <c r="BE38" s="160"/>
    </row>
    <row r="39" spans="2:57" hidden="1" x14ac:dyDescent="0.2">
      <c r="B39" s="165"/>
      <c r="C39" s="223" t="str">
        <f t="shared" si="0"/>
        <v/>
      </c>
      <c r="D39" s="166"/>
      <c r="F39" s="160"/>
      <c r="G39" s="160"/>
      <c r="H39" s="160"/>
      <c r="I39" s="160"/>
      <c r="J39" s="160"/>
      <c r="K39" s="160"/>
      <c r="L39" s="160"/>
      <c r="M39" s="160"/>
      <c r="N39" s="160"/>
      <c r="O39" s="160"/>
      <c r="P39" s="160"/>
      <c r="Q39" s="160"/>
      <c r="R39" s="160"/>
      <c r="S39" s="160"/>
      <c r="T39" s="160"/>
      <c r="U39" s="160"/>
      <c r="V39" s="160"/>
      <c r="W39" s="160"/>
      <c r="X39" s="160"/>
      <c r="Y39" s="160"/>
      <c r="Z39" s="160"/>
      <c r="AA39" s="160"/>
      <c r="AB39" s="160"/>
      <c r="AC39" s="160"/>
      <c r="AD39" s="160"/>
      <c r="AE39" s="160"/>
      <c r="AF39" s="160"/>
      <c r="AG39" s="160"/>
      <c r="AH39" s="160"/>
      <c r="AI39" s="160"/>
      <c r="AJ39" s="160"/>
      <c r="AK39" s="160"/>
      <c r="AL39" s="160"/>
      <c r="AM39" s="160"/>
      <c r="AN39" s="160"/>
      <c r="AO39" s="160"/>
      <c r="AP39" s="160"/>
      <c r="AQ39" s="160"/>
      <c r="AR39" s="160"/>
      <c r="AS39" s="160"/>
      <c r="AT39" s="160"/>
      <c r="AU39" s="160"/>
      <c r="AV39" s="160"/>
      <c r="AW39" s="160"/>
      <c r="AX39" s="160"/>
      <c r="AY39" s="160"/>
      <c r="AZ39" s="160"/>
      <c r="BA39" s="160"/>
      <c r="BB39" s="160"/>
      <c r="BC39" s="160"/>
      <c r="BD39" s="160"/>
      <c r="BE39" s="160"/>
    </row>
    <row r="40" spans="2:57" hidden="1" x14ac:dyDescent="0.2">
      <c r="B40" s="165"/>
      <c r="C40" s="223" t="str">
        <f t="shared" si="0"/>
        <v/>
      </c>
      <c r="D40" s="166"/>
      <c r="F40" s="160"/>
      <c r="G40" s="160"/>
      <c r="H40" s="160"/>
      <c r="I40" s="160"/>
      <c r="J40" s="160"/>
      <c r="K40" s="160"/>
      <c r="L40" s="160"/>
      <c r="M40" s="160"/>
      <c r="N40" s="160"/>
      <c r="O40" s="160"/>
      <c r="P40" s="160"/>
      <c r="Q40" s="160"/>
      <c r="R40" s="160"/>
      <c r="S40" s="160"/>
      <c r="T40" s="160"/>
      <c r="U40" s="160"/>
      <c r="V40" s="160"/>
      <c r="W40" s="160"/>
      <c r="X40" s="160"/>
      <c r="Y40" s="160"/>
      <c r="Z40" s="160"/>
      <c r="AA40" s="160"/>
      <c r="AB40" s="160"/>
      <c r="AC40" s="160"/>
      <c r="AD40" s="160"/>
      <c r="AE40" s="160"/>
      <c r="AF40" s="160"/>
      <c r="AG40" s="160"/>
      <c r="AH40" s="160"/>
      <c r="AI40" s="160"/>
      <c r="AJ40" s="160"/>
      <c r="AK40" s="160"/>
      <c r="AL40" s="160"/>
      <c r="AM40" s="160"/>
      <c r="AN40" s="160"/>
      <c r="AO40" s="160"/>
      <c r="AP40" s="160"/>
      <c r="AQ40" s="160"/>
      <c r="AR40" s="160"/>
      <c r="AS40" s="160"/>
      <c r="AT40" s="160"/>
      <c r="AU40" s="160"/>
      <c r="AV40" s="160"/>
      <c r="AW40" s="160"/>
      <c r="AX40" s="160"/>
      <c r="AY40" s="160"/>
      <c r="AZ40" s="160"/>
      <c r="BA40" s="160"/>
      <c r="BB40" s="160"/>
      <c r="BC40" s="160"/>
      <c r="BD40" s="160"/>
      <c r="BE40" s="160"/>
    </row>
    <row r="41" spans="2:57" hidden="1" x14ac:dyDescent="0.2">
      <c r="B41" s="165"/>
      <c r="C41" s="223" t="str">
        <f t="shared" si="0"/>
        <v/>
      </c>
      <c r="D41" s="166"/>
      <c r="F41" s="160"/>
      <c r="G41" s="160"/>
      <c r="H41" s="160"/>
      <c r="I41" s="160"/>
      <c r="J41" s="160"/>
      <c r="K41" s="160"/>
      <c r="L41" s="160"/>
      <c r="M41" s="160"/>
      <c r="N41" s="160"/>
      <c r="O41" s="160"/>
      <c r="P41" s="160"/>
      <c r="Q41" s="160"/>
      <c r="R41" s="160"/>
      <c r="S41" s="160"/>
      <c r="T41" s="160"/>
      <c r="U41" s="160"/>
      <c r="V41" s="160"/>
      <c r="W41" s="160"/>
      <c r="X41" s="160"/>
      <c r="Y41" s="160"/>
      <c r="Z41" s="160"/>
      <c r="AA41" s="160"/>
      <c r="AB41" s="160"/>
      <c r="AC41" s="160"/>
      <c r="AD41" s="160"/>
      <c r="AE41" s="160"/>
      <c r="AF41" s="160"/>
      <c r="AG41" s="160"/>
      <c r="AH41" s="160"/>
      <c r="AI41" s="160"/>
      <c r="AJ41" s="160"/>
      <c r="AK41" s="160"/>
      <c r="AL41" s="160"/>
      <c r="AM41" s="160"/>
      <c r="AN41" s="160"/>
      <c r="AO41" s="160"/>
      <c r="AP41" s="160"/>
      <c r="AQ41" s="160"/>
      <c r="AR41" s="160"/>
      <c r="AS41" s="160"/>
      <c r="AT41" s="160"/>
      <c r="AU41" s="160"/>
      <c r="AV41" s="160"/>
      <c r="AW41" s="160"/>
      <c r="AX41" s="160"/>
      <c r="AY41" s="160"/>
      <c r="AZ41" s="160"/>
      <c r="BA41" s="160"/>
      <c r="BB41" s="160"/>
      <c r="BC41" s="160"/>
      <c r="BD41" s="160"/>
      <c r="BE41" s="160"/>
    </row>
    <row r="42" spans="2:57" hidden="1" x14ac:dyDescent="0.2">
      <c r="B42" s="165"/>
      <c r="C42" s="223" t="str">
        <f t="shared" si="0"/>
        <v/>
      </c>
      <c r="D42" s="166"/>
      <c r="F42" s="160"/>
      <c r="G42" s="160"/>
      <c r="H42" s="160"/>
      <c r="I42" s="160"/>
      <c r="J42" s="160"/>
      <c r="K42" s="160"/>
      <c r="L42" s="160"/>
      <c r="M42" s="160"/>
      <c r="N42" s="160"/>
      <c r="O42" s="160"/>
      <c r="P42" s="160"/>
      <c r="Q42" s="160"/>
      <c r="R42" s="160"/>
      <c r="S42" s="160"/>
      <c r="T42" s="160"/>
      <c r="U42" s="160"/>
      <c r="V42" s="160"/>
      <c r="W42" s="160"/>
      <c r="X42" s="160"/>
      <c r="Y42" s="160"/>
      <c r="Z42" s="160"/>
      <c r="AA42" s="160"/>
      <c r="AB42" s="160"/>
      <c r="AC42" s="160"/>
      <c r="AD42" s="160"/>
      <c r="AE42" s="160"/>
      <c r="AF42" s="160"/>
      <c r="AG42" s="160"/>
      <c r="AH42" s="160"/>
      <c r="AI42" s="160"/>
      <c r="AJ42" s="160"/>
      <c r="AK42" s="160"/>
      <c r="AL42" s="160"/>
      <c r="AM42" s="160"/>
      <c r="AN42" s="160"/>
      <c r="AO42" s="160"/>
      <c r="AP42" s="160"/>
      <c r="AQ42" s="160"/>
      <c r="AR42" s="160"/>
      <c r="AS42" s="160"/>
      <c r="AT42" s="160"/>
      <c r="AU42" s="160"/>
      <c r="AV42" s="160"/>
      <c r="AW42" s="160"/>
      <c r="AX42" s="160"/>
      <c r="AY42" s="160"/>
      <c r="AZ42" s="160"/>
      <c r="BA42" s="160"/>
      <c r="BB42" s="160"/>
      <c r="BC42" s="160"/>
      <c r="BD42" s="160"/>
      <c r="BE42" s="160"/>
    </row>
    <row r="43" spans="2:57" hidden="1" x14ac:dyDescent="0.2">
      <c r="B43" s="165"/>
      <c r="C43" s="223" t="str">
        <f t="shared" si="0"/>
        <v/>
      </c>
      <c r="D43" s="166"/>
      <c r="F43" s="160"/>
      <c r="G43" s="160"/>
      <c r="H43" s="160"/>
      <c r="I43" s="160"/>
      <c r="J43" s="160"/>
      <c r="K43" s="160"/>
      <c r="L43" s="160"/>
      <c r="M43" s="160"/>
      <c r="N43" s="160"/>
      <c r="O43" s="160"/>
      <c r="P43" s="160"/>
      <c r="Q43" s="160"/>
      <c r="R43" s="160"/>
      <c r="S43" s="160"/>
      <c r="T43" s="160"/>
      <c r="U43" s="160"/>
      <c r="V43" s="160"/>
      <c r="W43" s="160"/>
      <c r="X43" s="160"/>
      <c r="Y43" s="160"/>
      <c r="Z43" s="160"/>
      <c r="AA43" s="160"/>
      <c r="AB43" s="160"/>
      <c r="AC43" s="160"/>
      <c r="AD43" s="160"/>
      <c r="AE43" s="160"/>
      <c r="AF43" s="160"/>
      <c r="AG43" s="160"/>
      <c r="AH43" s="160"/>
      <c r="AI43" s="160"/>
      <c r="AJ43" s="160"/>
      <c r="AK43" s="160"/>
      <c r="AL43" s="160"/>
      <c r="AM43" s="160"/>
      <c r="AN43" s="160"/>
      <c r="AO43" s="160"/>
      <c r="AP43" s="160"/>
      <c r="AQ43" s="160"/>
      <c r="AR43" s="160"/>
      <c r="AS43" s="160"/>
      <c r="AT43" s="160"/>
      <c r="AU43" s="160"/>
      <c r="AV43" s="160"/>
      <c r="AW43" s="160"/>
      <c r="AX43" s="160"/>
      <c r="AY43" s="160"/>
      <c r="AZ43" s="160"/>
      <c r="BA43" s="160"/>
      <c r="BB43" s="160"/>
      <c r="BC43" s="160"/>
      <c r="BD43" s="160"/>
      <c r="BE43" s="160"/>
    </row>
    <row r="44" spans="2:57" hidden="1" x14ac:dyDescent="0.2">
      <c r="B44" s="165"/>
      <c r="C44" s="223" t="str">
        <f t="shared" si="0"/>
        <v/>
      </c>
      <c r="D44" s="166"/>
      <c r="F44" s="160"/>
      <c r="G44" s="160"/>
      <c r="H44" s="160"/>
      <c r="I44" s="160"/>
      <c r="J44" s="160"/>
      <c r="K44" s="160"/>
      <c r="L44" s="160"/>
      <c r="M44" s="160"/>
      <c r="N44" s="160"/>
      <c r="O44" s="160"/>
      <c r="P44" s="160"/>
      <c r="Q44" s="160"/>
      <c r="R44" s="160"/>
      <c r="S44" s="160"/>
      <c r="T44" s="160"/>
      <c r="U44" s="160"/>
      <c r="V44" s="160"/>
      <c r="W44" s="160"/>
      <c r="X44" s="160"/>
      <c r="Y44" s="160"/>
      <c r="Z44" s="160"/>
      <c r="AA44" s="160"/>
      <c r="AB44" s="160"/>
      <c r="AC44" s="160"/>
      <c r="AD44" s="160"/>
      <c r="AE44" s="160"/>
      <c r="AF44" s="160"/>
      <c r="AG44" s="160"/>
      <c r="AH44" s="160"/>
      <c r="AI44" s="160"/>
      <c r="AJ44" s="160"/>
      <c r="AK44" s="160"/>
      <c r="AL44" s="160"/>
      <c r="AM44" s="160"/>
      <c r="AN44" s="160"/>
      <c r="AO44" s="160"/>
      <c r="AP44" s="160"/>
      <c r="AQ44" s="160"/>
      <c r="AR44" s="160"/>
      <c r="AS44" s="160"/>
      <c r="AT44" s="160"/>
      <c r="AU44" s="160"/>
      <c r="AV44" s="160"/>
      <c r="AW44" s="160"/>
      <c r="AX44" s="160"/>
      <c r="AY44" s="160"/>
      <c r="AZ44" s="160"/>
      <c r="BA44" s="160"/>
      <c r="BB44" s="160"/>
      <c r="BC44" s="160"/>
      <c r="BD44" s="160"/>
      <c r="BE44" s="160"/>
    </row>
    <row r="45" spans="2:57" hidden="1" x14ac:dyDescent="0.2">
      <c r="B45" s="165"/>
      <c r="C45" s="223" t="str">
        <f t="shared" si="0"/>
        <v/>
      </c>
      <c r="D45" s="166"/>
      <c r="F45" s="160"/>
      <c r="G45" s="160"/>
      <c r="H45" s="160"/>
      <c r="I45" s="160"/>
      <c r="J45" s="160"/>
      <c r="K45" s="160"/>
      <c r="L45" s="160"/>
      <c r="M45" s="160"/>
      <c r="N45" s="160"/>
      <c r="O45" s="160"/>
      <c r="P45" s="160"/>
      <c r="Q45" s="160"/>
      <c r="R45" s="160"/>
      <c r="S45" s="160"/>
      <c r="T45" s="160"/>
      <c r="U45" s="160"/>
      <c r="V45" s="160"/>
      <c r="W45" s="160"/>
      <c r="X45" s="160"/>
      <c r="Y45" s="160"/>
      <c r="Z45" s="160"/>
      <c r="AA45" s="160"/>
      <c r="AB45" s="160"/>
      <c r="AC45" s="160"/>
      <c r="AD45" s="160"/>
      <c r="AE45" s="160"/>
      <c r="AF45" s="160"/>
      <c r="AG45" s="160"/>
      <c r="AH45" s="160"/>
      <c r="AI45" s="160"/>
      <c r="AJ45" s="160"/>
      <c r="AK45" s="160"/>
      <c r="AL45" s="160"/>
      <c r="AM45" s="160"/>
      <c r="AN45" s="160"/>
      <c r="AO45" s="160"/>
      <c r="AP45" s="160"/>
      <c r="AQ45" s="160"/>
      <c r="AR45" s="160"/>
      <c r="AS45" s="160"/>
      <c r="AT45" s="160"/>
      <c r="AU45" s="160"/>
      <c r="AV45" s="160"/>
      <c r="AW45" s="160"/>
      <c r="AX45" s="160"/>
      <c r="AY45" s="160"/>
      <c r="AZ45" s="160"/>
      <c r="BA45" s="160"/>
      <c r="BB45" s="160"/>
      <c r="BC45" s="160"/>
      <c r="BD45" s="160"/>
      <c r="BE45" s="160"/>
    </row>
    <row r="46" spans="2:57" x14ac:dyDescent="0.2">
      <c r="B46" s="127"/>
      <c r="C46" s="131" t="str">
        <f t="shared" si="0"/>
        <v/>
      </c>
      <c r="D46" s="131" t="str">
        <f>IF(B46="","",Capacity!R39)</f>
        <v/>
      </c>
      <c r="F46" s="46"/>
      <c r="G46" s="46"/>
      <c r="H46" s="46"/>
      <c r="I46" s="46"/>
      <c r="J46" s="46"/>
      <c r="K46" s="46"/>
      <c r="L46" s="46"/>
      <c r="M46" s="46"/>
      <c r="N46" s="46"/>
      <c r="O46" s="46"/>
      <c r="P46" s="46"/>
      <c r="Q46" s="46"/>
      <c r="R46" s="46"/>
      <c r="S46" s="46"/>
      <c r="T46" s="46"/>
      <c r="U46" s="46"/>
      <c r="V46" s="46"/>
      <c r="W46" s="46"/>
      <c r="X46" s="46"/>
      <c r="Y46" s="46"/>
      <c r="Z46" s="46"/>
      <c r="AA46" s="46"/>
      <c r="AB46" s="46"/>
      <c r="AC46" s="46"/>
      <c r="AD46" s="46"/>
      <c r="AE46" s="46"/>
      <c r="AF46" s="46"/>
      <c r="AG46" s="46"/>
      <c r="AH46" s="46"/>
      <c r="AI46" s="46"/>
      <c r="AJ46" s="46"/>
      <c r="AK46" s="46"/>
      <c r="AL46" s="46"/>
      <c r="AM46" s="46"/>
      <c r="AN46" s="46"/>
      <c r="AO46" s="46"/>
      <c r="AP46" s="46"/>
      <c r="AQ46" s="46"/>
      <c r="AR46" s="46"/>
      <c r="AS46" s="46"/>
      <c r="AT46" s="46"/>
      <c r="AU46" s="46"/>
      <c r="AV46" s="46"/>
      <c r="AW46" s="46"/>
      <c r="AX46" s="46"/>
      <c r="AY46" s="46"/>
      <c r="AZ46" s="46"/>
      <c r="BA46" s="46"/>
      <c r="BB46" s="46"/>
      <c r="BC46" s="46"/>
      <c r="BD46" s="46"/>
      <c r="BE46" s="46"/>
    </row>
    <row r="47" spans="2:57" x14ac:dyDescent="0.2">
      <c r="B47" s="127" t="str">
        <f>IF(Capacity!N40="","",Capacity!N40)</f>
        <v/>
      </c>
      <c r="C47" s="131" t="str">
        <f t="shared" si="0"/>
        <v/>
      </c>
      <c r="D47" s="131" t="str">
        <f>IF(B47="","",Capacity!R40)</f>
        <v/>
      </c>
      <c r="F47" s="46"/>
      <c r="G47" s="46"/>
      <c r="H47" s="46"/>
      <c r="I47" s="46"/>
      <c r="J47" s="46"/>
      <c r="K47" s="46"/>
      <c r="L47" s="46"/>
      <c r="M47" s="46"/>
      <c r="N47" s="46"/>
      <c r="O47" s="46"/>
      <c r="P47" s="46"/>
      <c r="Q47" s="46"/>
      <c r="R47" s="46"/>
      <c r="S47" s="46"/>
      <c r="T47" s="46"/>
      <c r="U47" s="46"/>
      <c r="V47" s="46"/>
      <c r="W47" s="46"/>
      <c r="X47" s="46"/>
      <c r="Y47" s="46"/>
      <c r="Z47" s="46"/>
      <c r="AA47" s="46"/>
      <c r="AB47" s="46"/>
      <c r="AC47" s="46"/>
      <c r="AD47" s="46"/>
      <c r="AE47" s="46"/>
      <c r="AF47" s="46"/>
      <c r="AG47" s="46"/>
      <c r="AH47" s="46"/>
      <c r="AI47" s="46"/>
      <c r="AJ47" s="46"/>
      <c r="AK47" s="46"/>
      <c r="AL47" s="46"/>
      <c r="AM47" s="46"/>
      <c r="AN47" s="46"/>
      <c r="AO47" s="46"/>
      <c r="AP47" s="46"/>
      <c r="AQ47" s="46"/>
      <c r="AR47" s="46"/>
      <c r="AS47" s="46"/>
      <c r="AT47" s="46"/>
      <c r="AU47" s="46"/>
      <c r="AV47" s="46"/>
      <c r="AW47" s="46"/>
      <c r="AX47" s="46"/>
      <c r="AY47" s="46"/>
      <c r="AZ47" s="46"/>
      <c r="BA47" s="46"/>
      <c r="BB47" s="46"/>
      <c r="BC47" s="46"/>
      <c r="BD47" s="46"/>
      <c r="BE47" s="46"/>
    </row>
    <row r="48" spans="2:57" x14ac:dyDescent="0.2">
      <c r="B48" s="127" t="str">
        <f>IF(Capacity!N41="","",Capacity!N41)</f>
        <v/>
      </c>
      <c r="C48" s="131" t="str">
        <f t="shared" si="0"/>
        <v/>
      </c>
      <c r="D48" s="131" t="str">
        <f>IF(B48="","",Capacity!R41)</f>
        <v/>
      </c>
      <c r="F48" s="46"/>
      <c r="G48" s="46"/>
      <c r="H48" s="46"/>
      <c r="I48" s="46"/>
      <c r="J48" s="46"/>
      <c r="K48" s="46"/>
      <c r="L48" s="46"/>
      <c r="M48" s="46"/>
      <c r="N48" s="46"/>
      <c r="O48" s="46"/>
      <c r="P48" s="46"/>
      <c r="Q48" s="46"/>
      <c r="R48" s="46"/>
      <c r="S48" s="46"/>
      <c r="T48" s="46"/>
      <c r="U48" s="46"/>
      <c r="V48" s="46"/>
      <c r="W48" s="46"/>
      <c r="X48" s="46"/>
      <c r="Y48" s="46"/>
      <c r="Z48" s="46"/>
      <c r="AA48" s="46"/>
      <c r="AB48" s="46"/>
      <c r="AC48" s="46"/>
      <c r="AD48" s="46"/>
      <c r="AE48" s="46"/>
      <c r="AF48" s="46"/>
      <c r="AG48" s="46"/>
      <c r="AH48" s="46"/>
      <c r="AI48" s="46"/>
      <c r="AJ48" s="46"/>
      <c r="AK48" s="46"/>
      <c r="AL48" s="46"/>
      <c r="AM48" s="46"/>
      <c r="AN48" s="46"/>
      <c r="AO48" s="46"/>
      <c r="AP48" s="46"/>
      <c r="AQ48" s="46"/>
      <c r="AR48" s="46"/>
      <c r="AS48" s="46"/>
      <c r="AT48" s="46"/>
      <c r="AU48" s="46"/>
      <c r="AV48" s="46"/>
      <c r="AW48" s="46"/>
      <c r="AX48" s="46"/>
      <c r="AY48" s="46"/>
      <c r="AZ48" s="46"/>
      <c r="BA48" s="46"/>
      <c r="BB48" s="46"/>
      <c r="BC48" s="46"/>
      <c r="BD48" s="46"/>
      <c r="BE48" s="46"/>
    </row>
    <row r="49" spans="2:57" x14ac:dyDescent="0.2">
      <c r="B49" s="127" t="str">
        <f>IF(Capacity!N42="","",Capacity!N42)</f>
        <v/>
      </c>
      <c r="C49" s="131" t="str">
        <f t="shared" si="0"/>
        <v/>
      </c>
      <c r="D49" s="131" t="str">
        <f>IF(B49="","",Capacity!R42)</f>
        <v/>
      </c>
      <c r="F49" s="46"/>
      <c r="G49" s="46"/>
      <c r="H49" s="46"/>
      <c r="I49" s="46"/>
      <c r="J49" s="46"/>
      <c r="K49" s="46"/>
      <c r="L49" s="46"/>
      <c r="M49" s="46"/>
      <c r="N49" s="46"/>
      <c r="O49" s="46"/>
      <c r="P49" s="46"/>
      <c r="Q49" s="46"/>
      <c r="R49" s="46"/>
      <c r="S49" s="46"/>
      <c r="T49" s="46"/>
      <c r="U49" s="46"/>
      <c r="V49" s="46"/>
      <c r="W49" s="46"/>
      <c r="X49" s="46"/>
      <c r="Y49" s="46"/>
      <c r="Z49" s="46"/>
      <c r="AA49" s="46"/>
      <c r="AB49" s="46"/>
      <c r="AC49" s="46"/>
      <c r="AD49" s="46"/>
      <c r="AE49" s="46"/>
      <c r="AF49" s="46"/>
      <c r="AG49" s="46"/>
      <c r="AH49" s="46"/>
      <c r="AI49" s="46"/>
      <c r="AJ49" s="46"/>
      <c r="AK49" s="46"/>
      <c r="AL49" s="46"/>
      <c r="AM49" s="46"/>
      <c r="AN49" s="46"/>
      <c r="AO49" s="46"/>
      <c r="AP49" s="46"/>
      <c r="AQ49" s="46"/>
      <c r="AR49" s="46"/>
      <c r="AS49" s="46"/>
      <c r="AT49" s="46"/>
      <c r="AU49" s="46"/>
      <c r="AV49" s="46"/>
      <c r="AW49" s="46"/>
      <c r="AX49" s="46"/>
      <c r="AY49" s="46"/>
      <c r="AZ49" s="46"/>
      <c r="BA49" s="46"/>
      <c r="BB49" s="46"/>
      <c r="BC49" s="46"/>
      <c r="BD49" s="46"/>
      <c r="BE49" s="46"/>
    </row>
    <row r="50" spans="2:57" x14ac:dyDescent="0.2">
      <c r="B50" s="127" t="str">
        <f>IF(Capacity!N43="","",Capacity!N43)</f>
        <v/>
      </c>
      <c r="C50" s="131" t="str">
        <f t="shared" si="0"/>
        <v/>
      </c>
      <c r="D50" s="131" t="str">
        <f>IF(B50="","",Capacity!R43)</f>
        <v/>
      </c>
      <c r="F50" s="46"/>
      <c r="G50" s="46"/>
      <c r="H50" s="46"/>
      <c r="I50" s="46"/>
      <c r="J50" s="46"/>
      <c r="K50" s="46"/>
      <c r="L50" s="46"/>
      <c r="M50" s="46"/>
      <c r="N50" s="46"/>
      <c r="O50" s="46"/>
      <c r="P50" s="46"/>
      <c r="Q50" s="46"/>
      <c r="R50" s="46"/>
      <c r="S50" s="46"/>
      <c r="T50" s="46"/>
      <c r="U50" s="46"/>
      <c r="V50" s="46"/>
      <c r="W50" s="46"/>
      <c r="X50" s="46"/>
      <c r="Y50" s="46"/>
      <c r="Z50" s="46"/>
      <c r="AA50" s="46"/>
      <c r="AB50" s="46"/>
      <c r="AC50" s="46"/>
      <c r="AD50" s="46"/>
      <c r="AE50" s="46"/>
      <c r="AF50" s="46"/>
      <c r="AG50" s="46"/>
      <c r="AH50" s="46"/>
      <c r="AI50" s="46"/>
      <c r="AJ50" s="46"/>
      <c r="AK50" s="46"/>
      <c r="AL50" s="46"/>
      <c r="AM50" s="46"/>
      <c r="AN50" s="46"/>
      <c r="AO50" s="46"/>
      <c r="AP50" s="46"/>
      <c r="AQ50" s="46"/>
      <c r="AR50" s="46"/>
      <c r="AS50" s="46"/>
      <c r="AT50" s="46"/>
      <c r="AU50" s="46"/>
      <c r="AV50" s="46"/>
      <c r="AW50" s="46"/>
      <c r="AX50" s="46"/>
      <c r="AY50" s="46"/>
      <c r="AZ50" s="46"/>
      <c r="BA50" s="46"/>
      <c r="BB50" s="46"/>
      <c r="BC50" s="46"/>
      <c r="BD50" s="46"/>
      <c r="BE50" s="46"/>
    </row>
    <row r="51" spans="2:57" x14ac:dyDescent="0.2">
      <c r="B51" s="127" t="str">
        <f>IF(Capacity!N44="","",Capacity!N44)</f>
        <v/>
      </c>
      <c r="C51" s="131" t="str">
        <f t="shared" si="0"/>
        <v/>
      </c>
      <c r="D51" s="131" t="str">
        <f>IF(B51="","",Capacity!R44)</f>
        <v/>
      </c>
      <c r="F51" s="46"/>
      <c r="G51" s="46"/>
      <c r="H51" s="46"/>
      <c r="I51" s="46"/>
      <c r="J51" s="46"/>
      <c r="K51" s="46"/>
      <c r="L51" s="46"/>
      <c r="M51" s="46"/>
      <c r="N51" s="46"/>
      <c r="O51" s="46"/>
      <c r="P51" s="46"/>
      <c r="Q51" s="46"/>
      <c r="R51" s="46"/>
      <c r="S51" s="46"/>
      <c r="T51" s="46"/>
      <c r="U51" s="46"/>
      <c r="V51" s="46"/>
      <c r="W51" s="46"/>
      <c r="X51" s="46"/>
      <c r="Y51" s="46"/>
      <c r="Z51" s="46"/>
      <c r="AA51" s="46"/>
      <c r="AB51" s="46"/>
      <c r="AC51" s="46"/>
      <c r="AD51" s="46"/>
      <c r="AE51" s="46"/>
      <c r="AF51" s="46"/>
      <c r="AG51" s="46"/>
      <c r="AH51" s="46"/>
      <c r="AI51" s="46"/>
      <c r="AJ51" s="46"/>
      <c r="AK51" s="46"/>
      <c r="AL51" s="46"/>
      <c r="AM51" s="46"/>
      <c r="AN51" s="46"/>
      <c r="AO51" s="46"/>
      <c r="AP51" s="46"/>
      <c r="AQ51" s="46"/>
      <c r="AR51" s="46"/>
      <c r="AS51" s="46"/>
      <c r="AT51" s="46"/>
      <c r="AU51" s="46"/>
      <c r="AV51" s="46"/>
      <c r="AW51" s="46"/>
      <c r="AX51" s="46"/>
      <c r="AY51" s="46"/>
      <c r="AZ51" s="46"/>
      <c r="BA51" s="46"/>
      <c r="BB51" s="46"/>
      <c r="BC51" s="46"/>
      <c r="BD51" s="46"/>
      <c r="BE51" s="46"/>
    </row>
    <row r="52" spans="2:57" x14ac:dyDescent="0.2">
      <c r="B52" s="127" t="str">
        <f>IF(Capacity!N45="","",Capacity!N45)</f>
        <v/>
      </c>
      <c r="C52" s="131" t="str">
        <f t="shared" si="0"/>
        <v/>
      </c>
      <c r="D52" s="131" t="str">
        <f>IF(B52="","",Capacity!R45)</f>
        <v/>
      </c>
      <c r="F52" s="46"/>
      <c r="G52" s="46"/>
      <c r="H52" s="46"/>
      <c r="I52" s="46"/>
      <c r="J52" s="46"/>
      <c r="K52" s="46"/>
      <c r="L52" s="46"/>
      <c r="M52" s="46"/>
      <c r="N52" s="46"/>
      <c r="O52" s="46"/>
      <c r="P52" s="46"/>
      <c r="Q52" s="46"/>
      <c r="R52" s="46"/>
      <c r="S52" s="46"/>
      <c r="T52" s="46"/>
      <c r="U52" s="46"/>
      <c r="V52" s="46"/>
      <c r="W52" s="46"/>
      <c r="X52" s="46"/>
      <c r="Y52" s="46"/>
      <c r="Z52" s="46"/>
      <c r="AA52" s="46"/>
      <c r="AB52" s="46"/>
      <c r="AC52" s="46"/>
      <c r="AD52" s="46"/>
      <c r="AE52" s="46"/>
      <c r="AF52" s="46"/>
      <c r="AG52" s="46"/>
      <c r="AH52" s="46"/>
      <c r="AI52" s="46"/>
      <c r="AJ52" s="46"/>
      <c r="AK52" s="46"/>
      <c r="AL52" s="46"/>
      <c r="AM52" s="46"/>
      <c r="AN52" s="46"/>
      <c r="AO52" s="46"/>
      <c r="AP52" s="46"/>
      <c r="AQ52" s="46"/>
      <c r="AR52" s="46"/>
      <c r="AS52" s="46"/>
      <c r="AT52" s="46"/>
      <c r="AU52" s="46"/>
      <c r="AV52" s="46"/>
      <c r="AW52" s="46"/>
      <c r="AX52" s="46"/>
      <c r="AY52" s="46"/>
      <c r="AZ52" s="46"/>
      <c r="BA52" s="46"/>
      <c r="BB52" s="46"/>
      <c r="BC52" s="46"/>
      <c r="BD52" s="46"/>
      <c r="BE52" s="46"/>
    </row>
    <row r="53" spans="2:57" x14ac:dyDescent="0.2">
      <c r="B53" s="127" t="str">
        <f>IF(Capacity!N46="","",Capacity!N46)</f>
        <v/>
      </c>
      <c r="C53" s="131" t="str">
        <f t="shared" si="0"/>
        <v/>
      </c>
      <c r="D53" s="131" t="str">
        <f>IF(B53="","",Capacity!R46)</f>
        <v/>
      </c>
      <c r="F53" s="46"/>
      <c r="G53" s="46"/>
      <c r="H53" s="46"/>
      <c r="I53" s="46"/>
      <c r="J53" s="46"/>
      <c r="K53" s="46"/>
      <c r="L53" s="46"/>
      <c r="M53" s="46"/>
      <c r="N53" s="46"/>
      <c r="O53" s="46"/>
      <c r="P53" s="46"/>
      <c r="Q53" s="46"/>
      <c r="R53" s="46"/>
      <c r="S53" s="46"/>
      <c r="T53" s="46"/>
      <c r="U53" s="46"/>
      <c r="V53" s="46"/>
      <c r="W53" s="46"/>
      <c r="X53" s="46"/>
      <c r="Y53" s="46"/>
      <c r="Z53" s="46"/>
      <c r="AA53" s="46"/>
      <c r="AB53" s="46"/>
      <c r="AC53" s="46"/>
      <c r="AD53" s="46"/>
      <c r="AE53" s="46"/>
      <c r="AF53" s="46"/>
      <c r="AG53" s="46"/>
      <c r="AH53" s="46"/>
      <c r="AI53" s="46"/>
      <c r="AJ53" s="46"/>
      <c r="AK53" s="46"/>
      <c r="AL53" s="46"/>
      <c r="AM53" s="46"/>
      <c r="AN53" s="46"/>
      <c r="AO53" s="46"/>
      <c r="AP53" s="46"/>
      <c r="AQ53" s="46"/>
      <c r="AR53" s="46"/>
      <c r="AS53" s="46"/>
      <c r="AT53" s="46"/>
      <c r="AU53" s="46"/>
      <c r="AV53" s="46"/>
      <c r="AW53" s="46"/>
      <c r="AX53" s="46"/>
      <c r="AY53" s="46"/>
      <c r="AZ53" s="46"/>
      <c r="BA53" s="46"/>
      <c r="BB53" s="46"/>
      <c r="BC53" s="46"/>
      <c r="BD53" s="46"/>
      <c r="BE53" s="46"/>
    </row>
    <row r="54" spans="2:57" x14ac:dyDescent="0.2">
      <c r="B54" s="127" t="str">
        <f>IF(Capacity!N47="","",Capacity!N47)</f>
        <v/>
      </c>
      <c r="C54" s="131" t="str">
        <f t="shared" si="0"/>
        <v/>
      </c>
      <c r="D54" s="131" t="str">
        <f>IF(B54="","",Capacity!R47)</f>
        <v/>
      </c>
      <c r="F54" s="46"/>
      <c r="G54" s="46"/>
      <c r="H54" s="46"/>
      <c r="I54" s="46"/>
      <c r="J54" s="46"/>
      <c r="K54" s="46"/>
      <c r="L54" s="46"/>
      <c r="M54" s="46"/>
      <c r="N54" s="46"/>
      <c r="O54" s="46"/>
      <c r="P54" s="46"/>
      <c r="Q54" s="46"/>
      <c r="R54" s="46"/>
      <c r="S54" s="46"/>
      <c r="T54" s="46"/>
      <c r="U54" s="46"/>
      <c r="V54" s="46"/>
      <c r="W54" s="46"/>
      <c r="X54" s="46"/>
      <c r="Y54" s="46"/>
      <c r="Z54" s="46"/>
      <c r="AA54" s="46"/>
      <c r="AB54" s="46"/>
      <c r="AC54" s="46"/>
      <c r="AD54" s="46"/>
      <c r="AE54" s="46"/>
      <c r="AF54" s="46"/>
      <c r="AG54" s="46"/>
      <c r="AH54" s="46"/>
      <c r="AI54" s="46"/>
      <c r="AJ54" s="46"/>
      <c r="AK54" s="46"/>
      <c r="AL54" s="46"/>
      <c r="AM54" s="46"/>
      <c r="AN54" s="46"/>
      <c r="AO54" s="46"/>
      <c r="AP54" s="46"/>
      <c r="AQ54" s="46"/>
      <c r="AR54" s="46"/>
      <c r="AS54" s="46"/>
      <c r="AT54" s="46"/>
      <c r="AU54" s="46"/>
      <c r="AV54" s="46"/>
      <c r="AW54" s="46"/>
      <c r="AX54" s="46"/>
      <c r="AY54" s="46"/>
      <c r="AZ54" s="46"/>
      <c r="BA54" s="46"/>
      <c r="BB54" s="46"/>
      <c r="BC54" s="46"/>
      <c r="BD54" s="46"/>
      <c r="BE54" s="46"/>
    </row>
    <row r="55" spans="2:57" x14ac:dyDescent="0.2">
      <c r="B55" s="127" t="str">
        <f>IF(Capacity!N48="","",Capacity!N48)</f>
        <v/>
      </c>
      <c r="C55" s="131" t="str">
        <f t="shared" si="0"/>
        <v/>
      </c>
      <c r="D55" s="131" t="str">
        <f>IF(B55="","",Capacity!R48)</f>
        <v/>
      </c>
      <c r="F55" s="46"/>
      <c r="G55" s="46"/>
      <c r="H55" s="46"/>
      <c r="I55" s="46"/>
      <c r="J55" s="46"/>
      <c r="K55" s="46"/>
      <c r="L55" s="46"/>
      <c r="M55" s="46"/>
      <c r="N55" s="46"/>
      <c r="O55" s="46"/>
      <c r="P55" s="46"/>
      <c r="Q55" s="46"/>
      <c r="R55" s="46"/>
      <c r="S55" s="46"/>
      <c r="T55" s="46"/>
      <c r="U55" s="46"/>
      <c r="V55" s="46"/>
      <c r="W55" s="46"/>
      <c r="X55" s="46"/>
      <c r="Y55" s="46"/>
      <c r="Z55" s="46"/>
      <c r="AA55" s="46"/>
      <c r="AB55" s="46"/>
      <c r="AC55" s="46"/>
      <c r="AD55" s="46"/>
      <c r="AE55" s="46"/>
      <c r="AF55" s="46"/>
      <c r="AG55" s="46"/>
      <c r="AH55" s="46"/>
      <c r="AI55" s="46"/>
      <c r="AJ55" s="46"/>
      <c r="AK55" s="46"/>
      <c r="AL55" s="46"/>
      <c r="AM55" s="46"/>
      <c r="AN55" s="46"/>
      <c r="AO55" s="46"/>
      <c r="AP55" s="46"/>
      <c r="AQ55" s="46"/>
      <c r="AR55" s="46"/>
      <c r="AS55" s="46"/>
      <c r="AT55" s="46"/>
      <c r="AU55" s="46"/>
      <c r="AV55" s="46"/>
      <c r="AW55" s="46"/>
      <c r="AX55" s="46"/>
      <c r="AY55" s="46"/>
      <c r="AZ55" s="46"/>
      <c r="BA55" s="46"/>
      <c r="BB55" s="46"/>
      <c r="BC55" s="46"/>
      <c r="BD55" s="46"/>
      <c r="BE55" s="46"/>
    </row>
    <row r="56" spans="2:57" x14ac:dyDescent="0.2">
      <c r="B56" s="127" t="str">
        <f>IF(Capacity!N49="","",Capacity!N49)</f>
        <v/>
      </c>
      <c r="C56" s="131" t="str">
        <f t="shared" si="0"/>
        <v/>
      </c>
      <c r="D56" s="131" t="str">
        <f>IF(B56="","",Capacity!R49)</f>
        <v/>
      </c>
      <c r="F56" s="46"/>
      <c r="G56" s="46"/>
      <c r="H56" s="46"/>
      <c r="I56" s="46"/>
      <c r="J56" s="46"/>
      <c r="K56" s="46"/>
      <c r="L56" s="46"/>
      <c r="M56" s="46"/>
      <c r="N56" s="46"/>
      <c r="O56" s="46"/>
      <c r="P56" s="46"/>
      <c r="Q56" s="46"/>
      <c r="R56" s="46"/>
      <c r="S56" s="46"/>
      <c r="T56" s="46"/>
      <c r="U56" s="46"/>
      <c r="V56" s="46"/>
      <c r="W56" s="46"/>
      <c r="X56" s="46"/>
      <c r="Y56" s="46"/>
      <c r="Z56" s="46"/>
      <c r="AA56" s="46"/>
      <c r="AB56" s="46"/>
      <c r="AC56" s="46"/>
      <c r="AD56" s="46"/>
      <c r="AE56" s="46"/>
      <c r="AF56" s="46"/>
      <c r="AG56" s="46"/>
      <c r="AH56" s="46"/>
      <c r="AI56" s="46"/>
      <c r="AJ56" s="46"/>
      <c r="AK56" s="46"/>
      <c r="AL56" s="46"/>
      <c r="AM56" s="46"/>
      <c r="AN56" s="46"/>
      <c r="AO56" s="46"/>
      <c r="AP56" s="46"/>
      <c r="AQ56" s="46"/>
      <c r="AR56" s="46"/>
      <c r="AS56" s="46"/>
      <c r="AT56" s="46"/>
      <c r="AU56" s="46"/>
      <c r="AV56" s="46"/>
      <c r="AW56" s="46"/>
      <c r="AX56" s="46"/>
      <c r="AY56" s="46"/>
      <c r="AZ56" s="46"/>
      <c r="BA56" s="46"/>
      <c r="BB56" s="46"/>
      <c r="BC56" s="46"/>
      <c r="BD56" s="46"/>
      <c r="BE56" s="46"/>
    </row>
    <row r="57" spans="2:57" x14ac:dyDescent="0.2">
      <c r="B57" s="127" t="str">
        <f>IF(Capacity!N50="","",Capacity!N50)</f>
        <v/>
      </c>
      <c r="C57" s="131" t="str">
        <f t="shared" si="0"/>
        <v/>
      </c>
      <c r="D57" s="131" t="str">
        <f>IF(B57="","",Capacity!R50)</f>
        <v/>
      </c>
      <c r="F57" s="46"/>
      <c r="G57" s="46"/>
      <c r="H57" s="46"/>
      <c r="I57" s="46"/>
      <c r="J57" s="46"/>
      <c r="K57" s="46"/>
      <c r="L57" s="46"/>
      <c r="M57" s="46"/>
      <c r="N57" s="46"/>
      <c r="O57" s="46"/>
      <c r="P57" s="46"/>
      <c r="Q57" s="46"/>
      <c r="R57" s="46"/>
      <c r="S57" s="46"/>
      <c r="T57" s="46"/>
      <c r="U57" s="46"/>
      <c r="V57" s="46"/>
      <c r="W57" s="46"/>
      <c r="X57" s="46"/>
      <c r="Y57" s="46"/>
      <c r="Z57" s="46"/>
      <c r="AA57" s="46"/>
      <c r="AB57" s="46"/>
      <c r="AC57" s="46"/>
      <c r="AD57" s="46"/>
      <c r="AE57" s="46"/>
      <c r="AF57" s="46"/>
      <c r="AG57" s="46"/>
      <c r="AH57" s="46"/>
      <c r="AI57" s="46"/>
      <c r="AJ57" s="46"/>
      <c r="AK57" s="46"/>
      <c r="AL57" s="46"/>
      <c r="AM57" s="46"/>
      <c r="AN57" s="46"/>
      <c r="AO57" s="46"/>
      <c r="AP57" s="46"/>
      <c r="AQ57" s="46"/>
      <c r="AR57" s="46"/>
      <c r="AS57" s="46"/>
      <c r="AT57" s="46"/>
      <c r="AU57" s="46"/>
      <c r="AV57" s="46"/>
      <c r="AW57" s="46"/>
      <c r="AX57" s="46"/>
      <c r="AY57" s="46"/>
      <c r="AZ57" s="46"/>
      <c r="BA57" s="46"/>
      <c r="BB57" s="46"/>
      <c r="BC57" s="46"/>
      <c r="BD57" s="46"/>
      <c r="BE57" s="46"/>
    </row>
    <row r="58" spans="2:57" x14ac:dyDescent="0.2">
      <c r="B58" s="127" t="str">
        <f>IF(Capacity!N51="","",Capacity!N51)</f>
        <v/>
      </c>
      <c r="C58" s="131" t="str">
        <f t="shared" si="0"/>
        <v/>
      </c>
      <c r="D58" s="131" t="str">
        <f>IF(B58="","",Capacity!R51)</f>
        <v/>
      </c>
      <c r="F58" s="46"/>
      <c r="G58" s="46"/>
      <c r="H58" s="46"/>
      <c r="I58" s="46"/>
      <c r="J58" s="46"/>
      <c r="K58" s="46"/>
      <c r="L58" s="46"/>
      <c r="M58" s="46"/>
      <c r="N58" s="46"/>
      <c r="O58" s="46"/>
      <c r="P58" s="46"/>
      <c r="Q58" s="46"/>
      <c r="R58" s="46"/>
      <c r="S58" s="46"/>
      <c r="T58" s="46"/>
      <c r="U58" s="46"/>
      <c r="V58" s="46"/>
      <c r="W58" s="46"/>
      <c r="X58" s="46"/>
      <c r="Y58" s="46"/>
      <c r="Z58" s="46"/>
      <c r="AA58" s="46"/>
      <c r="AB58" s="46"/>
      <c r="AC58" s="46"/>
      <c r="AD58" s="46"/>
      <c r="AE58" s="46"/>
      <c r="AF58" s="46"/>
      <c r="AG58" s="46"/>
      <c r="AH58" s="46"/>
      <c r="AI58" s="46"/>
      <c r="AJ58" s="46"/>
      <c r="AK58" s="46"/>
      <c r="AL58" s="46"/>
      <c r="AM58" s="46"/>
      <c r="AN58" s="46"/>
      <c r="AO58" s="46"/>
      <c r="AP58" s="46"/>
      <c r="AQ58" s="46"/>
      <c r="AR58" s="46"/>
      <c r="AS58" s="46"/>
      <c r="AT58" s="46"/>
      <c r="AU58" s="46"/>
      <c r="AV58" s="46"/>
      <c r="AW58" s="46"/>
      <c r="AX58" s="46"/>
      <c r="AY58" s="46"/>
      <c r="AZ58" s="46"/>
      <c r="BA58" s="46"/>
      <c r="BB58" s="46"/>
      <c r="BC58" s="46"/>
      <c r="BD58" s="46"/>
      <c r="BE58" s="46"/>
    </row>
    <row r="59" spans="2:57" x14ac:dyDescent="0.2">
      <c r="B59" s="127" t="str">
        <f>IF(Capacity!N52="","",Capacity!N52)</f>
        <v/>
      </c>
      <c r="C59" s="131" t="str">
        <f t="shared" si="0"/>
        <v/>
      </c>
      <c r="D59" s="131" t="str">
        <f>IF(B59="","",Capacity!R52)</f>
        <v/>
      </c>
      <c r="F59" s="46"/>
      <c r="G59" s="46"/>
      <c r="H59" s="46"/>
      <c r="I59" s="46"/>
      <c r="J59" s="46"/>
      <c r="K59" s="46"/>
      <c r="L59" s="46"/>
      <c r="M59" s="46"/>
      <c r="N59" s="46"/>
      <c r="O59" s="46"/>
      <c r="P59" s="46"/>
      <c r="Q59" s="46"/>
      <c r="R59" s="46"/>
      <c r="S59" s="46"/>
      <c r="T59" s="46"/>
      <c r="U59" s="46"/>
      <c r="V59" s="46"/>
      <c r="W59" s="46"/>
      <c r="X59" s="46"/>
      <c r="Y59" s="46"/>
      <c r="Z59" s="46"/>
      <c r="AA59" s="46"/>
      <c r="AB59" s="46"/>
      <c r="AC59" s="46"/>
      <c r="AD59" s="46"/>
      <c r="AE59" s="46"/>
      <c r="AF59" s="46"/>
      <c r="AG59" s="46"/>
      <c r="AH59" s="46"/>
      <c r="AI59" s="46"/>
      <c r="AJ59" s="46"/>
      <c r="AK59" s="46"/>
      <c r="AL59" s="46"/>
      <c r="AM59" s="46"/>
      <c r="AN59" s="46"/>
      <c r="AO59" s="46"/>
      <c r="AP59" s="46"/>
      <c r="AQ59" s="46"/>
      <c r="AR59" s="46"/>
      <c r="AS59" s="46"/>
      <c r="AT59" s="46"/>
      <c r="AU59" s="46"/>
      <c r="AV59" s="46"/>
      <c r="AW59" s="46"/>
      <c r="AX59" s="46"/>
      <c r="AY59" s="46"/>
      <c r="AZ59" s="46"/>
      <c r="BA59" s="46"/>
      <c r="BB59" s="46"/>
      <c r="BC59" s="46"/>
      <c r="BD59" s="46"/>
      <c r="BE59" s="46"/>
    </row>
    <row r="60" spans="2:57" x14ac:dyDescent="0.2">
      <c r="B60" s="127" t="str">
        <f>IF(Capacity!N53="","",Capacity!N53)</f>
        <v/>
      </c>
      <c r="C60" s="131" t="str">
        <f t="shared" si="0"/>
        <v/>
      </c>
      <c r="D60" s="131" t="str">
        <f>IF(B60="","",Capacity!R53)</f>
        <v/>
      </c>
      <c r="F60" s="46"/>
      <c r="G60" s="46"/>
      <c r="H60" s="46"/>
      <c r="I60" s="46"/>
      <c r="J60" s="46"/>
      <c r="K60" s="46"/>
      <c r="L60" s="46"/>
      <c r="M60" s="46"/>
      <c r="N60" s="46"/>
      <c r="O60" s="46"/>
      <c r="P60" s="46"/>
      <c r="Q60" s="46"/>
      <c r="R60" s="46"/>
      <c r="S60" s="46"/>
      <c r="T60" s="46"/>
      <c r="U60" s="46"/>
      <c r="V60" s="46"/>
      <c r="W60" s="46"/>
      <c r="X60" s="46"/>
      <c r="Y60" s="46"/>
      <c r="Z60" s="46"/>
      <c r="AA60" s="46"/>
      <c r="AB60" s="46"/>
      <c r="AC60" s="46"/>
      <c r="AD60" s="46"/>
      <c r="AE60" s="46"/>
      <c r="AF60" s="46"/>
      <c r="AG60" s="46"/>
      <c r="AH60" s="46"/>
      <c r="AI60" s="46"/>
      <c r="AJ60" s="46"/>
      <c r="AK60" s="46"/>
      <c r="AL60" s="46"/>
      <c r="AM60" s="46"/>
      <c r="AN60" s="46"/>
      <c r="AO60" s="46"/>
      <c r="AP60" s="46"/>
      <c r="AQ60" s="46"/>
      <c r="AR60" s="46"/>
      <c r="AS60" s="46"/>
      <c r="AT60" s="46"/>
      <c r="AU60" s="46"/>
      <c r="AV60" s="46"/>
      <c r="AW60" s="46"/>
      <c r="AX60" s="46"/>
      <c r="AY60" s="46"/>
      <c r="AZ60" s="46"/>
      <c r="BA60" s="46"/>
      <c r="BB60" s="46"/>
      <c r="BC60" s="46"/>
      <c r="BD60" s="46"/>
      <c r="BE60" s="46"/>
    </row>
    <row r="61" spans="2:57" x14ac:dyDescent="0.2">
      <c r="B61" s="127" t="str">
        <f>IF(Capacity!N54="","",Capacity!N54)</f>
        <v/>
      </c>
      <c r="C61" s="131" t="str">
        <f t="shared" si="0"/>
        <v/>
      </c>
      <c r="D61" s="131" t="str">
        <f>IF(B61="","",Capacity!R54)</f>
        <v/>
      </c>
      <c r="F61" s="46"/>
      <c r="G61" s="46"/>
      <c r="H61" s="46"/>
      <c r="I61" s="46"/>
      <c r="J61" s="46"/>
      <c r="K61" s="46"/>
      <c r="L61" s="46"/>
      <c r="M61" s="46"/>
      <c r="N61" s="46"/>
      <c r="O61" s="46"/>
      <c r="P61" s="46"/>
      <c r="Q61" s="46"/>
      <c r="R61" s="46"/>
      <c r="S61" s="46"/>
      <c r="T61" s="46"/>
      <c r="U61" s="46"/>
      <c r="V61" s="46"/>
      <c r="W61" s="46"/>
      <c r="X61" s="46"/>
      <c r="Y61" s="46"/>
      <c r="Z61" s="46"/>
      <c r="AA61" s="46"/>
      <c r="AB61" s="46"/>
      <c r="AC61" s="46"/>
      <c r="AD61" s="46"/>
      <c r="AE61" s="46"/>
      <c r="AF61" s="46"/>
      <c r="AG61" s="46"/>
      <c r="AH61" s="46"/>
      <c r="AI61" s="46"/>
      <c r="AJ61" s="46"/>
      <c r="AK61" s="46"/>
      <c r="AL61" s="46"/>
      <c r="AM61" s="46"/>
      <c r="AN61" s="46"/>
      <c r="AO61" s="46"/>
      <c r="AP61" s="46"/>
      <c r="AQ61" s="46"/>
      <c r="AR61" s="46"/>
      <c r="AS61" s="46"/>
      <c r="AT61" s="46"/>
      <c r="AU61" s="46"/>
      <c r="AV61" s="46"/>
      <c r="AW61" s="46"/>
      <c r="AX61" s="46"/>
      <c r="AY61" s="46"/>
      <c r="AZ61" s="46"/>
      <c r="BA61" s="46"/>
      <c r="BB61" s="46"/>
      <c r="BC61" s="46"/>
      <c r="BD61" s="46"/>
      <c r="BE61" s="46"/>
    </row>
    <row r="62" spans="2:57" x14ac:dyDescent="0.2">
      <c r="B62" s="127" t="str">
        <f>IF(Capacity!N55="","",Capacity!N55)</f>
        <v/>
      </c>
      <c r="C62" s="131" t="str">
        <f t="shared" si="0"/>
        <v/>
      </c>
      <c r="D62" s="131" t="str">
        <f>IF(B62="","",Capacity!R55)</f>
        <v/>
      </c>
      <c r="F62" s="46"/>
      <c r="G62" s="46"/>
      <c r="H62" s="46"/>
      <c r="I62" s="46"/>
      <c r="J62" s="46"/>
      <c r="K62" s="46"/>
      <c r="L62" s="46"/>
      <c r="M62" s="46"/>
      <c r="N62" s="46"/>
      <c r="O62" s="46"/>
      <c r="P62" s="46"/>
      <c r="Q62" s="46"/>
      <c r="R62" s="46"/>
      <c r="S62" s="46"/>
      <c r="T62" s="46"/>
      <c r="U62" s="46"/>
      <c r="V62" s="46"/>
      <c r="W62" s="46"/>
      <c r="X62" s="46"/>
      <c r="Y62" s="46"/>
      <c r="Z62" s="46"/>
      <c r="AA62" s="46"/>
      <c r="AB62" s="46"/>
      <c r="AC62" s="46"/>
      <c r="AD62" s="46"/>
      <c r="AE62" s="46"/>
      <c r="AF62" s="46"/>
      <c r="AG62" s="46"/>
      <c r="AH62" s="46"/>
      <c r="AI62" s="46"/>
      <c r="AJ62" s="46"/>
      <c r="AK62" s="46"/>
      <c r="AL62" s="46"/>
      <c r="AM62" s="46"/>
      <c r="AN62" s="46"/>
      <c r="AO62" s="46"/>
      <c r="AP62" s="46"/>
      <c r="AQ62" s="46"/>
      <c r="AR62" s="46"/>
      <c r="AS62" s="46"/>
      <c r="AT62" s="46"/>
      <c r="AU62" s="46"/>
      <c r="AV62" s="46"/>
      <c r="AW62" s="46"/>
      <c r="AX62" s="46"/>
      <c r="AY62" s="46"/>
      <c r="AZ62" s="46"/>
      <c r="BA62" s="46"/>
      <c r="BB62" s="46"/>
      <c r="BC62" s="46"/>
      <c r="BD62" s="46"/>
      <c r="BE62" s="46"/>
    </row>
    <row r="63" spans="2:57" x14ac:dyDescent="0.2">
      <c r="B63" s="127" t="str">
        <f>IF(Capacity!N56="","",Capacity!N56)</f>
        <v/>
      </c>
      <c r="C63" s="131" t="str">
        <f t="shared" si="0"/>
        <v/>
      </c>
      <c r="D63" s="131" t="str">
        <f>IF(B63="","",Capacity!R56)</f>
        <v/>
      </c>
      <c r="F63" s="46"/>
      <c r="G63" s="46"/>
      <c r="H63" s="46"/>
      <c r="I63" s="46"/>
      <c r="J63" s="46"/>
      <c r="K63" s="46"/>
      <c r="L63" s="46"/>
      <c r="M63" s="46"/>
      <c r="N63" s="46"/>
      <c r="O63" s="46"/>
      <c r="P63" s="46"/>
      <c r="Q63" s="46"/>
      <c r="R63" s="46"/>
      <c r="S63" s="46"/>
      <c r="T63" s="46"/>
      <c r="U63" s="46"/>
      <c r="V63" s="46"/>
      <c r="W63" s="46"/>
      <c r="X63" s="46"/>
      <c r="Y63" s="46"/>
      <c r="Z63" s="46"/>
      <c r="AA63" s="46"/>
      <c r="AB63" s="46"/>
      <c r="AC63" s="46"/>
      <c r="AD63" s="46"/>
      <c r="AE63" s="46"/>
      <c r="AF63" s="46"/>
      <c r="AG63" s="46"/>
      <c r="AH63" s="46"/>
      <c r="AI63" s="46"/>
      <c r="AJ63" s="46"/>
      <c r="AK63" s="46"/>
      <c r="AL63" s="46"/>
      <c r="AM63" s="46"/>
      <c r="AN63" s="46"/>
      <c r="AO63" s="46"/>
      <c r="AP63" s="46"/>
      <c r="AQ63" s="46"/>
      <c r="AR63" s="46"/>
      <c r="AS63" s="46"/>
      <c r="AT63" s="46"/>
      <c r="AU63" s="46"/>
      <c r="AV63" s="46"/>
      <c r="AW63" s="46"/>
      <c r="AX63" s="46"/>
      <c r="AY63" s="46"/>
      <c r="AZ63" s="46"/>
      <c r="BA63" s="46"/>
      <c r="BB63" s="46"/>
      <c r="BC63" s="46"/>
      <c r="BD63" s="46"/>
      <c r="BE63" s="46"/>
    </row>
    <row r="64" spans="2:57" x14ac:dyDescent="0.2">
      <c r="B64" s="127" t="str">
        <f>IF(Capacity!N57="","",Capacity!N57)</f>
        <v/>
      </c>
      <c r="C64" s="131" t="str">
        <f t="shared" si="0"/>
        <v/>
      </c>
      <c r="D64" s="131" t="str">
        <f>IF(B64="","",Capacity!R57)</f>
        <v/>
      </c>
      <c r="F64" s="46"/>
      <c r="G64" s="46"/>
      <c r="H64" s="46"/>
      <c r="I64" s="46"/>
      <c r="J64" s="46"/>
      <c r="K64" s="46"/>
      <c r="L64" s="46"/>
      <c r="M64" s="46"/>
      <c r="N64" s="46"/>
      <c r="O64" s="46"/>
      <c r="P64" s="46"/>
      <c r="Q64" s="46"/>
      <c r="R64" s="46"/>
      <c r="S64" s="46"/>
      <c r="T64" s="46"/>
      <c r="U64" s="46"/>
      <c r="V64" s="46"/>
      <c r="W64" s="46"/>
      <c r="X64" s="46"/>
      <c r="Y64" s="46"/>
      <c r="Z64" s="46"/>
      <c r="AA64" s="46"/>
      <c r="AB64" s="46"/>
      <c r="AC64" s="46"/>
      <c r="AD64" s="46"/>
      <c r="AE64" s="46"/>
      <c r="AF64" s="46"/>
      <c r="AG64" s="46"/>
      <c r="AH64" s="46"/>
      <c r="AI64" s="46"/>
      <c r="AJ64" s="46"/>
      <c r="AK64" s="46"/>
      <c r="AL64" s="46"/>
      <c r="AM64" s="46"/>
      <c r="AN64" s="46"/>
      <c r="AO64" s="46"/>
      <c r="AP64" s="46"/>
      <c r="AQ64" s="46"/>
      <c r="AR64" s="46"/>
      <c r="AS64" s="46"/>
      <c r="AT64" s="46"/>
      <c r="AU64" s="46"/>
      <c r="AV64" s="46"/>
      <c r="AW64" s="46"/>
      <c r="AX64" s="46"/>
      <c r="AY64" s="46"/>
      <c r="AZ64" s="46"/>
      <c r="BA64" s="46"/>
      <c r="BB64" s="46"/>
      <c r="BC64" s="46"/>
      <c r="BD64" s="46"/>
      <c r="BE64" s="46"/>
    </row>
    <row r="65" spans="2:57" x14ac:dyDescent="0.2">
      <c r="B65" s="127" t="str">
        <f>IF(Capacity!N58="","",Capacity!N58)</f>
        <v/>
      </c>
      <c r="C65" s="131" t="str">
        <f t="shared" si="0"/>
        <v/>
      </c>
      <c r="D65" s="131" t="str">
        <f>IF(B65="","",Capacity!R58)</f>
        <v/>
      </c>
      <c r="F65" s="46"/>
      <c r="G65" s="46"/>
      <c r="H65" s="46"/>
      <c r="I65" s="46"/>
      <c r="J65" s="46"/>
      <c r="K65" s="46"/>
      <c r="L65" s="46"/>
      <c r="M65" s="46"/>
      <c r="N65" s="46"/>
      <c r="O65" s="46"/>
      <c r="P65" s="46"/>
      <c r="Q65" s="46"/>
      <c r="R65" s="46"/>
      <c r="S65" s="46"/>
      <c r="T65" s="46"/>
      <c r="U65" s="46"/>
      <c r="V65" s="46"/>
      <c r="W65" s="46"/>
      <c r="X65" s="46"/>
      <c r="Y65" s="46"/>
      <c r="Z65" s="46"/>
      <c r="AA65" s="46"/>
      <c r="AB65" s="46"/>
      <c r="AC65" s="46"/>
      <c r="AD65" s="46"/>
      <c r="AE65" s="46"/>
      <c r="AF65" s="46"/>
      <c r="AG65" s="46"/>
      <c r="AH65" s="46"/>
      <c r="AI65" s="46"/>
      <c r="AJ65" s="46"/>
      <c r="AK65" s="46"/>
      <c r="AL65" s="46"/>
      <c r="AM65" s="46"/>
      <c r="AN65" s="46"/>
      <c r="AO65" s="46"/>
      <c r="AP65" s="46"/>
      <c r="AQ65" s="46"/>
      <c r="AR65" s="46"/>
      <c r="AS65" s="46"/>
      <c r="AT65" s="46"/>
      <c r="AU65" s="46"/>
      <c r="AV65" s="46"/>
      <c r="AW65" s="46"/>
      <c r="AX65" s="46"/>
      <c r="AY65" s="46"/>
      <c r="AZ65" s="46"/>
      <c r="BA65" s="46"/>
      <c r="BB65" s="46"/>
      <c r="BC65" s="46"/>
      <c r="BD65" s="46"/>
      <c r="BE65" s="46"/>
    </row>
    <row r="66" spans="2:57" x14ac:dyDescent="0.2">
      <c r="B66" s="127" t="str">
        <f>IF(Capacity!N59="","",Capacity!N59)</f>
        <v/>
      </c>
      <c r="C66" s="131" t="str">
        <f t="shared" si="0"/>
        <v/>
      </c>
      <c r="D66" s="131" t="str">
        <f>IF(B66="","",Capacity!R59)</f>
        <v/>
      </c>
      <c r="F66" s="46"/>
      <c r="G66" s="46"/>
      <c r="H66" s="46"/>
      <c r="I66" s="46"/>
      <c r="J66" s="46"/>
      <c r="K66" s="46"/>
      <c r="L66" s="46"/>
      <c r="M66" s="46"/>
      <c r="N66" s="46"/>
      <c r="O66" s="46"/>
      <c r="P66" s="46"/>
      <c r="Q66" s="46"/>
      <c r="R66" s="46"/>
      <c r="S66" s="46"/>
      <c r="T66" s="46"/>
      <c r="U66" s="46"/>
      <c r="V66" s="46"/>
      <c r="W66" s="46"/>
      <c r="X66" s="46"/>
      <c r="Y66" s="46"/>
      <c r="Z66" s="46"/>
      <c r="AA66" s="46"/>
      <c r="AB66" s="46"/>
      <c r="AC66" s="46"/>
      <c r="AD66" s="46"/>
      <c r="AE66" s="46"/>
      <c r="AF66" s="46"/>
      <c r="AG66" s="46"/>
      <c r="AH66" s="46"/>
      <c r="AI66" s="46"/>
      <c r="AJ66" s="46"/>
      <c r="AK66" s="46"/>
      <c r="AL66" s="46"/>
      <c r="AM66" s="46"/>
      <c r="AN66" s="46"/>
      <c r="AO66" s="46"/>
      <c r="AP66" s="46"/>
      <c r="AQ66" s="46"/>
      <c r="AR66" s="46"/>
      <c r="AS66" s="46"/>
      <c r="AT66" s="46"/>
      <c r="AU66" s="46"/>
      <c r="AV66" s="46"/>
      <c r="AW66" s="46"/>
      <c r="AX66" s="46"/>
      <c r="AY66" s="46"/>
      <c r="AZ66" s="46"/>
      <c r="BA66" s="46"/>
      <c r="BB66" s="46"/>
      <c r="BC66" s="46"/>
      <c r="BD66" s="46"/>
      <c r="BE66" s="46"/>
    </row>
    <row r="67" spans="2:57" x14ac:dyDescent="0.2">
      <c r="B67" s="127" t="str">
        <f>IF(Capacity!N60="","",Capacity!N60)</f>
        <v/>
      </c>
      <c r="C67" s="131" t="str">
        <f t="shared" si="0"/>
        <v/>
      </c>
      <c r="D67" s="131" t="str">
        <f>IF(B67="","",Capacity!R60)</f>
        <v/>
      </c>
      <c r="F67" s="46"/>
      <c r="G67" s="46"/>
      <c r="H67" s="46"/>
      <c r="I67" s="46"/>
      <c r="J67" s="46"/>
      <c r="K67" s="46"/>
      <c r="L67" s="46"/>
      <c r="M67" s="46"/>
      <c r="N67" s="46"/>
      <c r="O67" s="46"/>
      <c r="P67" s="46"/>
      <c r="Q67" s="46"/>
      <c r="R67" s="46"/>
      <c r="S67" s="46"/>
      <c r="T67" s="46"/>
      <c r="U67" s="46"/>
      <c r="V67" s="46"/>
      <c r="W67" s="46"/>
      <c r="X67" s="46"/>
      <c r="Y67" s="46"/>
      <c r="Z67" s="46"/>
      <c r="AA67" s="46"/>
      <c r="AB67" s="46"/>
      <c r="AC67" s="46"/>
      <c r="AD67" s="46"/>
      <c r="AE67" s="46"/>
      <c r="AF67" s="46"/>
      <c r="AG67" s="46"/>
      <c r="AH67" s="46"/>
      <c r="AI67" s="46"/>
      <c r="AJ67" s="46"/>
      <c r="AK67" s="46"/>
      <c r="AL67" s="46"/>
      <c r="AM67" s="46"/>
      <c r="AN67" s="46"/>
      <c r="AO67" s="46"/>
      <c r="AP67" s="46"/>
      <c r="AQ67" s="46"/>
      <c r="AR67" s="46"/>
      <c r="AS67" s="46"/>
      <c r="AT67" s="46"/>
      <c r="AU67" s="46"/>
      <c r="AV67" s="46"/>
      <c r="AW67" s="46"/>
      <c r="AX67" s="46"/>
      <c r="AY67" s="46"/>
      <c r="AZ67" s="46"/>
      <c r="BA67" s="46"/>
      <c r="BB67" s="46"/>
      <c r="BC67" s="46"/>
      <c r="BD67" s="46"/>
      <c r="BE67" s="46"/>
    </row>
    <row r="68" spans="2:57" x14ac:dyDescent="0.2">
      <c r="B68" s="127" t="str">
        <f>IF(Capacity!N61="","",Capacity!N61)</f>
        <v/>
      </c>
      <c r="C68" s="131" t="str">
        <f t="shared" si="0"/>
        <v/>
      </c>
      <c r="D68" s="131" t="str">
        <f>IF(B68="","",Capacity!R61)</f>
        <v/>
      </c>
      <c r="F68" s="46"/>
      <c r="G68" s="46"/>
      <c r="H68" s="46"/>
      <c r="I68" s="46"/>
      <c r="J68" s="46"/>
      <c r="K68" s="46"/>
      <c r="L68" s="46"/>
      <c r="M68" s="46"/>
      <c r="N68" s="46"/>
      <c r="O68" s="46"/>
      <c r="P68" s="46"/>
      <c r="Q68" s="46"/>
      <c r="R68" s="46"/>
      <c r="S68" s="46"/>
      <c r="T68" s="46"/>
      <c r="U68" s="46"/>
      <c r="V68" s="46"/>
      <c r="W68" s="46"/>
      <c r="X68" s="46"/>
      <c r="Y68" s="46"/>
      <c r="Z68" s="46"/>
      <c r="AA68" s="46"/>
      <c r="AB68" s="46"/>
      <c r="AC68" s="46"/>
      <c r="AD68" s="46"/>
      <c r="AE68" s="46"/>
      <c r="AF68" s="46"/>
      <c r="AG68" s="46"/>
      <c r="AH68" s="46"/>
      <c r="AI68" s="46"/>
      <c r="AJ68" s="46"/>
      <c r="AK68" s="46"/>
      <c r="AL68" s="46"/>
      <c r="AM68" s="46"/>
      <c r="AN68" s="46"/>
      <c r="AO68" s="46"/>
      <c r="AP68" s="46"/>
      <c r="AQ68" s="46"/>
      <c r="AR68" s="46"/>
      <c r="AS68" s="46"/>
      <c r="AT68" s="46"/>
      <c r="AU68" s="46"/>
      <c r="AV68" s="46"/>
      <c r="AW68" s="46"/>
      <c r="AX68" s="46"/>
      <c r="AY68" s="46"/>
      <c r="AZ68" s="46"/>
      <c r="BA68" s="46"/>
      <c r="BB68" s="46"/>
      <c r="BC68" s="46"/>
      <c r="BD68" s="46"/>
      <c r="BE68" s="46"/>
    </row>
    <row r="69" spans="2:57" x14ac:dyDescent="0.2">
      <c r="B69" s="127" t="str">
        <f>IF(Capacity!N62="","",Capacity!N62)</f>
        <v/>
      </c>
      <c r="C69" s="131" t="str">
        <f t="shared" si="0"/>
        <v/>
      </c>
      <c r="D69" s="131" t="str">
        <f>IF(B69="","",Capacity!R62)</f>
        <v/>
      </c>
      <c r="F69" s="46"/>
      <c r="G69" s="46"/>
      <c r="H69" s="46"/>
      <c r="I69" s="46"/>
      <c r="J69" s="46"/>
      <c r="K69" s="46"/>
      <c r="L69" s="46"/>
      <c r="M69" s="46"/>
      <c r="N69" s="46"/>
      <c r="O69" s="46"/>
      <c r="P69" s="46"/>
      <c r="Q69" s="46"/>
      <c r="R69" s="46"/>
      <c r="S69" s="46"/>
      <c r="T69" s="46"/>
      <c r="U69" s="46"/>
      <c r="V69" s="46"/>
      <c r="W69" s="46"/>
      <c r="X69" s="46"/>
      <c r="Y69" s="46"/>
      <c r="Z69" s="46"/>
      <c r="AA69" s="46"/>
      <c r="AB69" s="46"/>
      <c r="AC69" s="46"/>
      <c r="AD69" s="46"/>
      <c r="AE69" s="46"/>
      <c r="AF69" s="46"/>
      <c r="AG69" s="46"/>
      <c r="AH69" s="46"/>
      <c r="AI69" s="46"/>
      <c r="AJ69" s="46"/>
      <c r="AK69" s="46"/>
      <c r="AL69" s="46"/>
      <c r="AM69" s="46"/>
      <c r="AN69" s="46"/>
      <c r="AO69" s="46"/>
      <c r="AP69" s="46"/>
      <c r="AQ69" s="46"/>
      <c r="AR69" s="46"/>
      <c r="AS69" s="46"/>
      <c r="AT69" s="46"/>
      <c r="AU69" s="46"/>
      <c r="AV69" s="46"/>
      <c r="AW69" s="46"/>
      <c r="AX69" s="46"/>
      <c r="AY69" s="46"/>
      <c r="AZ69" s="46"/>
      <c r="BA69" s="46"/>
      <c r="BB69" s="46"/>
      <c r="BC69" s="46"/>
      <c r="BD69" s="46"/>
      <c r="BE69" s="46"/>
    </row>
    <row r="70" spans="2:57" x14ac:dyDescent="0.2">
      <c r="B70" s="127" t="str">
        <f>IF(Capacity!N63="","",Capacity!N63)</f>
        <v/>
      </c>
      <c r="C70" s="131" t="str">
        <f t="shared" si="0"/>
        <v/>
      </c>
      <c r="D70" s="131" t="str">
        <f>IF(B70="","",Capacity!R63)</f>
        <v/>
      </c>
      <c r="F70" s="46"/>
      <c r="G70" s="46"/>
      <c r="H70" s="46"/>
      <c r="I70" s="46"/>
      <c r="J70" s="46"/>
      <c r="K70" s="46"/>
      <c r="L70" s="46"/>
      <c r="M70" s="46"/>
      <c r="N70" s="46"/>
      <c r="O70" s="46"/>
      <c r="P70" s="46"/>
      <c r="Q70" s="46"/>
      <c r="R70" s="46"/>
      <c r="S70" s="46"/>
      <c r="T70" s="46"/>
      <c r="U70" s="46"/>
      <c r="V70" s="46"/>
      <c r="W70" s="46"/>
      <c r="X70" s="46"/>
      <c r="Y70" s="46"/>
      <c r="Z70" s="46"/>
      <c r="AA70" s="46"/>
      <c r="AB70" s="46"/>
      <c r="AC70" s="46"/>
      <c r="AD70" s="46"/>
      <c r="AE70" s="46"/>
      <c r="AF70" s="46"/>
      <c r="AG70" s="46"/>
      <c r="AH70" s="46"/>
      <c r="AI70" s="46"/>
      <c r="AJ70" s="46"/>
      <c r="AK70" s="46"/>
      <c r="AL70" s="46"/>
      <c r="AM70" s="46"/>
      <c r="AN70" s="46"/>
      <c r="AO70" s="46"/>
      <c r="AP70" s="46"/>
      <c r="AQ70" s="46"/>
      <c r="AR70" s="46"/>
      <c r="AS70" s="46"/>
      <c r="AT70" s="46"/>
      <c r="AU70" s="46"/>
      <c r="AV70" s="46"/>
      <c r="AW70" s="46"/>
      <c r="AX70" s="46"/>
      <c r="AY70" s="46"/>
      <c r="AZ70" s="46"/>
      <c r="BA70" s="46"/>
      <c r="BB70" s="46"/>
      <c r="BC70" s="46"/>
      <c r="BD70" s="46"/>
      <c r="BE70" s="46"/>
    </row>
    <row r="71" spans="2:57" x14ac:dyDescent="0.2">
      <c r="B71" s="127" t="str">
        <f>IF(Capacity!N64="","",Capacity!N64)</f>
        <v/>
      </c>
      <c r="C71" s="131" t="str">
        <f t="shared" si="0"/>
        <v/>
      </c>
      <c r="D71" s="131" t="str">
        <f>IF(B71="","",Capacity!R64)</f>
        <v/>
      </c>
      <c r="F71" s="46"/>
      <c r="G71" s="46"/>
      <c r="H71" s="46"/>
      <c r="I71" s="46"/>
      <c r="J71" s="46"/>
      <c r="K71" s="46"/>
      <c r="L71" s="46"/>
      <c r="M71" s="46"/>
      <c r="N71" s="46"/>
      <c r="O71" s="46"/>
      <c r="P71" s="46"/>
      <c r="Q71" s="46"/>
      <c r="R71" s="46"/>
      <c r="S71" s="46"/>
      <c r="T71" s="46"/>
      <c r="U71" s="46"/>
      <c r="V71" s="46"/>
      <c r="W71" s="46"/>
      <c r="X71" s="46"/>
      <c r="Y71" s="46"/>
      <c r="Z71" s="46"/>
      <c r="AA71" s="46"/>
      <c r="AB71" s="46"/>
      <c r="AC71" s="46"/>
      <c r="AD71" s="46"/>
      <c r="AE71" s="46"/>
      <c r="AF71" s="46"/>
      <c r="AG71" s="46"/>
      <c r="AH71" s="46"/>
      <c r="AI71" s="46"/>
      <c r="AJ71" s="46"/>
      <c r="AK71" s="46"/>
      <c r="AL71" s="46"/>
      <c r="AM71" s="46"/>
      <c r="AN71" s="46"/>
      <c r="AO71" s="46"/>
      <c r="AP71" s="46"/>
      <c r="AQ71" s="46"/>
      <c r="AR71" s="46"/>
      <c r="AS71" s="46"/>
      <c r="AT71" s="46"/>
      <c r="AU71" s="46"/>
      <c r="AV71" s="46"/>
      <c r="AW71" s="46"/>
      <c r="AX71" s="46"/>
      <c r="AY71" s="46"/>
      <c r="AZ71" s="46"/>
      <c r="BA71" s="46"/>
      <c r="BB71" s="46"/>
      <c r="BC71" s="46"/>
      <c r="BD71" s="46"/>
      <c r="BE71" s="46"/>
    </row>
    <row r="72" spans="2:57" x14ac:dyDescent="0.2">
      <c r="B72" s="127" t="str">
        <f>IF(Capacity!N65="","",Capacity!N65)</f>
        <v/>
      </c>
      <c r="C72" s="131" t="str">
        <f t="shared" si="0"/>
        <v/>
      </c>
      <c r="D72" s="131" t="str">
        <f>IF(B72="","",Capacity!R65)</f>
        <v/>
      </c>
      <c r="F72" s="46"/>
      <c r="G72" s="46"/>
      <c r="H72" s="46"/>
      <c r="I72" s="46"/>
      <c r="J72" s="46"/>
      <c r="K72" s="46"/>
      <c r="L72" s="46"/>
      <c r="M72" s="46"/>
      <c r="N72" s="46"/>
      <c r="O72" s="46"/>
      <c r="P72" s="46"/>
      <c r="Q72" s="46"/>
      <c r="R72" s="46"/>
      <c r="S72" s="46"/>
      <c r="T72" s="46"/>
      <c r="U72" s="46"/>
      <c r="V72" s="46"/>
      <c r="W72" s="46"/>
      <c r="X72" s="46"/>
      <c r="Y72" s="46"/>
      <c r="Z72" s="46"/>
      <c r="AA72" s="46"/>
      <c r="AB72" s="46"/>
      <c r="AC72" s="46"/>
      <c r="AD72" s="46"/>
      <c r="AE72" s="46"/>
      <c r="AF72" s="46"/>
      <c r="AG72" s="46"/>
      <c r="AH72" s="46"/>
      <c r="AI72" s="46"/>
      <c r="AJ72" s="46"/>
      <c r="AK72" s="46"/>
      <c r="AL72" s="46"/>
      <c r="AM72" s="46"/>
      <c r="AN72" s="46"/>
      <c r="AO72" s="46"/>
      <c r="AP72" s="46"/>
      <c r="AQ72" s="46"/>
      <c r="AR72" s="46"/>
      <c r="AS72" s="46"/>
      <c r="AT72" s="46"/>
      <c r="AU72" s="46"/>
      <c r="AV72" s="46"/>
      <c r="AW72" s="46"/>
      <c r="AX72" s="46"/>
      <c r="AY72" s="46"/>
      <c r="AZ72" s="46"/>
      <c r="BA72" s="46"/>
      <c r="BB72" s="46"/>
      <c r="BC72" s="46"/>
      <c r="BD72" s="46"/>
      <c r="BE72" s="46"/>
    </row>
    <row r="73" spans="2:57" x14ac:dyDescent="0.2">
      <c r="B73" s="127" t="str">
        <f>IF(Capacity!N66="","",Capacity!N66)</f>
        <v/>
      </c>
      <c r="C73" s="131" t="str">
        <f t="shared" si="0"/>
        <v/>
      </c>
      <c r="D73" s="131" t="str">
        <f>IF(B73="","",Capacity!R66)</f>
        <v/>
      </c>
      <c r="F73" s="46"/>
      <c r="G73" s="46"/>
      <c r="H73" s="46"/>
      <c r="I73" s="46"/>
      <c r="J73" s="46"/>
      <c r="K73" s="46"/>
      <c r="L73" s="46"/>
      <c r="M73" s="46"/>
      <c r="N73" s="46"/>
      <c r="O73" s="46"/>
      <c r="P73" s="46"/>
      <c r="Q73" s="46"/>
      <c r="R73" s="46"/>
      <c r="S73" s="46"/>
      <c r="T73" s="46"/>
      <c r="U73" s="46"/>
      <c r="V73" s="46"/>
      <c r="W73" s="46"/>
      <c r="X73" s="46"/>
      <c r="Y73" s="46"/>
      <c r="Z73" s="46"/>
      <c r="AA73" s="46"/>
      <c r="AB73" s="46"/>
      <c r="AC73" s="46"/>
      <c r="AD73" s="46"/>
      <c r="AE73" s="46"/>
      <c r="AF73" s="46"/>
      <c r="AG73" s="46"/>
      <c r="AH73" s="46"/>
      <c r="AI73" s="46"/>
      <c r="AJ73" s="46"/>
      <c r="AK73" s="46"/>
      <c r="AL73" s="46"/>
      <c r="AM73" s="46"/>
      <c r="AN73" s="46"/>
      <c r="AO73" s="46"/>
      <c r="AP73" s="46"/>
      <c r="AQ73" s="46"/>
      <c r="AR73" s="46"/>
      <c r="AS73" s="46"/>
      <c r="AT73" s="46"/>
      <c r="AU73" s="46"/>
      <c r="AV73" s="46"/>
      <c r="AW73" s="46"/>
      <c r="AX73" s="46"/>
      <c r="AY73" s="46"/>
      <c r="AZ73" s="46"/>
      <c r="BA73" s="46"/>
      <c r="BB73" s="46"/>
      <c r="BC73" s="46"/>
      <c r="BD73" s="46"/>
      <c r="BE73" s="46"/>
    </row>
    <row r="74" spans="2:57" x14ac:dyDescent="0.2">
      <c r="B74" s="127" t="str">
        <f>IF(Capacity!N67="","",Capacity!N67)</f>
        <v/>
      </c>
      <c r="C74" s="131" t="str">
        <f t="shared" si="0"/>
        <v/>
      </c>
      <c r="D74" s="131" t="str">
        <f>IF(B74="","",Capacity!R67)</f>
        <v/>
      </c>
      <c r="F74" s="46"/>
      <c r="G74" s="46"/>
      <c r="H74" s="46"/>
      <c r="I74" s="46"/>
      <c r="J74" s="46"/>
      <c r="K74" s="46"/>
      <c r="L74" s="46"/>
      <c r="M74" s="46"/>
      <c r="N74" s="46"/>
      <c r="O74" s="46"/>
      <c r="P74" s="46"/>
      <c r="Q74" s="46"/>
      <c r="R74" s="46"/>
      <c r="S74" s="46"/>
      <c r="T74" s="46"/>
      <c r="U74" s="46"/>
      <c r="V74" s="46"/>
      <c r="W74" s="46"/>
      <c r="X74" s="46"/>
      <c r="Y74" s="46"/>
      <c r="Z74" s="46"/>
      <c r="AA74" s="46"/>
      <c r="AB74" s="46"/>
      <c r="AC74" s="46"/>
      <c r="AD74" s="46"/>
      <c r="AE74" s="46"/>
      <c r="AF74" s="46"/>
      <c r="AG74" s="46"/>
      <c r="AH74" s="46"/>
      <c r="AI74" s="46"/>
      <c r="AJ74" s="46"/>
      <c r="AK74" s="46"/>
      <c r="AL74" s="46"/>
      <c r="AM74" s="46"/>
      <c r="AN74" s="46"/>
      <c r="AO74" s="46"/>
      <c r="AP74" s="46"/>
      <c r="AQ74" s="46"/>
      <c r="AR74" s="46"/>
      <c r="AS74" s="46"/>
      <c r="AT74" s="46"/>
      <c r="AU74" s="46"/>
      <c r="AV74" s="46"/>
      <c r="AW74" s="46"/>
      <c r="AX74" s="46"/>
      <c r="AY74" s="46"/>
      <c r="AZ74" s="46"/>
      <c r="BA74" s="46"/>
      <c r="BB74" s="46"/>
      <c r="BC74" s="46"/>
      <c r="BD74" s="46"/>
      <c r="BE74" s="46"/>
    </row>
    <row r="75" spans="2:57" x14ac:dyDescent="0.2">
      <c r="B75" s="127" t="str">
        <f>IF(Capacity!N68="","",Capacity!N68)</f>
        <v/>
      </c>
      <c r="C75" s="131" t="str">
        <f t="shared" si="0"/>
        <v/>
      </c>
      <c r="D75" s="131" t="str">
        <f>IF(B75="","",Capacity!R68)</f>
        <v/>
      </c>
      <c r="F75" s="46"/>
      <c r="G75" s="46"/>
      <c r="H75" s="46"/>
      <c r="I75" s="46"/>
      <c r="J75" s="46"/>
      <c r="K75" s="46"/>
      <c r="L75" s="46"/>
      <c r="M75" s="46"/>
      <c r="N75" s="46"/>
      <c r="O75" s="46"/>
      <c r="P75" s="46"/>
      <c r="Q75" s="46"/>
      <c r="R75" s="46"/>
      <c r="S75" s="46"/>
      <c r="T75" s="46"/>
      <c r="U75" s="46"/>
      <c r="V75" s="46"/>
      <c r="W75" s="46"/>
      <c r="X75" s="46"/>
      <c r="Y75" s="46"/>
      <c r="Z75" s="46"/>
      <c r="AA75" s="46"/>
      <c r="AB75" s="46"/>
      <c r="AC75" s="46"/>
      <c r="AD75" s="46"/>
      <c r="AE75" s="46"/>
      <c r="AF75" s="46"/>
      <c r="AG75" s="46"/>
      <c r="AH75" s="46"/>
      <c r="AI75" s="46"/>
      <c r="AJ75" s="46"/>
      <c r="AK75" s="46"/>
      <c r="AL75" s="46"/>
      <c r="AM75" s="46"/>
      <c r="AN75" s="46"/>
      <c r="AO75" s="46"/>
      <c r="AP75" s="46"/>
      <c r="AQ75" s="46"/>
      <c r="AR75" s="46"/>
      <c r="AS75" s="46"/>
      <c r="AT75" s="46"/>
      <c r="AU75" s="46"/>
      <c r="AV75" s="46"/>
      <c r="AW75" s="46"/>
      <c r="AX75" s="46"/>
      <c r="AY75" s="46"/>
      <c r="AZ75" s="46"/>
      <c r="BA75" s="46"/>
      <c r="BB75" s="46"/>
      <c r="BC75" s="46"/>
      <c r="BD75" s="46"/>
      <c r="BE75" s="46"/>
    </row>
    <row r="76" spans="2:57" x14ac:dyDescent="0.2">
      <c r="B76" s="127" t="str">
        <f>IF(Capacity!N69="","",Capacity!N69)</f>
        <v/>
      </c>
      <c r="C76" s="131" t="str">
        <f t="shared" si="0"/>
        <v/>
      </c>
      <c r="D76" s="131" t="str">
        <f>IF(B76="","",Capacity!R69)</f>
        <v/>
      </c>
      <c r="F76" s="46"/>
      <c r="G76" s="46"/>
      <c r="H76" s="46"/>
      <c r="I76" s="46"/>
      <c r="J76" s="46"/>
      <c r="K76" s="46"/>
      <c r="L76" s="46"/>
      <c r="M76" s="46"/>
      <c r="N76" s="46"/>
      <c r="O76" s="46"/>
      <c r="P76" s="46"/>
      <c r="Q76" s="46"/>
      <c r="R76" s="46"/>
      <c r="S76" s="46"/>
      <c r="T76" s="46"/>
      <c r="U76" s="46"/>
      <c r="V76" s="46"/>
      <c r="W76" s="46"/>
      <c r="X76" s="46"/>
      <c r="Y76" s="46"/>
      <c r="Z76" s="46"/>
      <c r="AA76" s="46"/>
      <c r="AB76" s="46"/>
      <c r="AC76" s="46"/>
      <c r="AD76" s="46"/>
      <c r="AE76" s="46"/>
      <c r="AF76" s="46"/>
      <c r="AG76" s="46"/>
      <c r="AH76" s="46"/>
      <c r="AI76" s="46"/>
      <c r="AJ76" s="46"/>
      <c r="AK76" s="46"/>
      <c r="AL76" s="46"/>
      <c r="AM76" s="46"/>
      <c r="AN76" s="46"/>
      <c r="AO76" s="46"/>
      <c r="AP76" s="46"/>
      <c r="AQ76" s="46"/>
      <c r="AR76" s="46"/>
      <c r="AS76" s="46"/>
      <c r="AT76" s="46"/>
      <c r="AU76" s="46"/>
      <c r="AV76" s="46"/>
      <c r="AW76" s="46"/>
      <c r="AX76" s="46"/>
      <c r="AY76" s="46"/>
      <c r="AZ76" s="46"/>
      <c r="BA76" s="46"/>
      <c r="BB76" s="46"/>
      <c r="BC76" s="46"/>
      <c r="BD76" s="46"/>
      <c r="BE76" s="46"/>
    </row>
    <row r="77" spans="2:57" x14ac:dyDescent="0.2">
      <c r="B77" s="127" t="str">
        <f>IF(Capacity!N70="","",Capacity!N70)</f>
        <v/>
      </c>
      <c r="C77" s="131" t="str">
        <f t="shared" si="0"/>
        <v/>
      </c>
      <c r="D77" s="131" t="str">
        <f>IF(B77="","",Capacity!R70)</f>
        <v/>
      </c>
      <c r="F77" s="46"/>
      <c r="G77" s="46"/>
      <c r="H77" s="46"/>
      <c r="I77" s="46"/>
      <c r="J77" s="46"/>
      <c r="K77" s="46"/>
      <c r="L77" s="46"/>
      <c r="M77" s="46"/>
      <c r="N77" s="46"/>
      <c r="O77" s="46"/>
      <c r="P77" s="46"/>
      <c r="Q77" s="46"/>
      <c r="R77" s="46"/>
      <c r="S77" s="46"/>
      <c r="T77" s="46"/>
      <c r="U77" s="46"/>
      <c r="V77" s="46"/>
      <c r="W77" s="46"/>
      <c r="X77" s="46"/>
      <c r="Y77" s="46"/>
      <c r="Z77" s="46"/>
      <c r="AA77" s="46"/>
      <c r="AB77" s="46"/>
      <c r="AC77" s="46"/>
      <c r="AD77" s="46"/>
      <c r="AE77" s="46"/>
      <c r="AF77" s="46"/>
      <c r="AG77" s="46"/>
      <c r="AH77" s="46"/>
      <c r="AI77" s="46"/>
      <c r="AJ77" s="46"/>
      <c r="AK77" s="46"/>
      <c r="AL77" s="46"/>
      <c r="AM77" s="46"/>
      <c r="AN77" s="46"/>
      <c r="AO77" s="46"/>
      <c r="AP77" s="46"/>
      <c r="AQ77" s="46"/>
      <c r="AR77" s="46"/>
      <c r="AS77" s="46"/>
      <c r="AT77" s="46"/>
      <c r="AU77" s="46"/>
      <c r="AV77" s="46"/>
      <c r="AW77" s="46"/>
      <c r="AX77" s="46"/>
      <c r="AY77" s="46"/>
      <c r="AZ77" s="46"/>
      <c r="BA77" s="46"/>
      <c r="BB77" s="46"/>
      <c r="BC77" s="46"/>
      <c r="BD77" s="46"/>
      <c r="BE77" s="46"/>
    </row>
    <row r="78" spans="2:57" x14ac:dyDescent="0.2">
      <c r="B78" s="127" t="str">
        <f>IF(Capacity!N71="","",Capacity!N71)</f>
        <v/>
      </c>
      <c r="C78" s="131" t="str">
        <f t="shared" si="0"/>
        <v/>
      </c>
      <c r="D78" s="131" t="str">
        <f>IF(B78="","",Capacity!R71)</f>
        <v/>
      </c>
      <c r="F78" s="46"/>
      <c r="G78" s="46"/>
      <c r="H78" s="46"/>
      <c r="I78" s="46"/>
      <c r="J78" s="46"/>
      <c r="K78" s="46"/>
      <c r="L78" s="46"/>
      <c r="M78" s="46"/>
      <c r="N78" s="46"/>
      <c r="O78" s="46"/>
      <c r="P78" s="46"/>
      <c r="Q78" s="46"/>
      <c r="R78" s="46"/>
      <c r="S78" s="46"/>
      <c r="T78" s="46"/>
      <c r="U78" s="46"/>
      <c r="V78" s="46"/>
      <c r="W78" s="46"/>
      <c r="X78" s="46"/>
      <c r="Y78" s="46"/>
      <c r="Z78" s="46"/>
      <c r="AA78" s="46"/>
      <c r="AB78" s="46"/>
      <c r="AC78" s="46"/>
      <c r="AD78" s="46"/>
      <c r="AE78" s="46"/>
      <c r="AF78" s="46"/>
      <c r="AG78" s="46"/>
      <c r="AH78" s="46"/>
      <c r="AI78" s="46"/>
      <c r="AJ78" s="46"/>
      <c r="AK78" s="46"/>
      <c r="AL78" s="46"/>
      <c r="AM78" s="46"/>
      <c r="AN78" s="46"/>
      <c r="AO78" s="46"/>
      <c r="AP78" s="46"/>
      <c r="AQ78" s="46"/>
      <c r="AR78" s="46"/>
      <c r="AS78" s="46"/>
      <c r="AT78" s="46"/>
      <c r="AU78" s="46"/>
      <c r="AV78" s="46"/>
      <c r="AW78" s="46"/>
      <c r="AX78" s="46"/>
      <c r="AY78" s="46"/>
      <c r="AZ78" s="46"/>
      <c r="BA78" s="46"/>
      <c r="BB78" s="46"/>
      <c r="BC78" s="46"/>
      <c r="BD78" s="46"/>
      <c r="BE78" s="46"/>
    </row>
    <row r="79" spans="2:57" x14ac:dyDescent="0.2">
      <c r="B79" s="127" t="str">
        <f>IF(Capacity!N72="","",Capacity!N72)</f>
        <v/>
      </c>
      <c r="C79" s="131" t="str">
        <f t="shared" si="0"/>
        <v/>
      </c>
      <c r="D79" s="131" t="str">
        <f>IF(B79="","",Capacity!R72)</f>
        <v/>
      </c>
      <c r="F79" s="46"/>
      <c r="G79" s="46"/>
      <c r="H79" s="46"/>
      <c r="I79" s="46"/>
      <c r="J79" s="46"/>
      <c r="K79" s="46"/>
      <c r="L79" s="46"/>
      <c r="M79" s="46"/>
      <c r="N79" s="46"/>
      <c r="O79" s="46"/>
      <c r="P79" s="46"/>
      <c r="Q79" s="46"/>
      <c r="R79" s="46"/>
      <c r="S79" s="46"/>
      <c r="T79" s="46"/>
      <c r="U79" s="46"/>
      <c r="V79" s="46"/>
      <c r="W79" s="46"/>
      <c r="X79" s="46"/>
      <c r="Y79" s="46"/>
      <c r="Z79" s="46"/>
      <c r="AA79" s="46"/>
      <c r="AB79" s="46"/>
      <c r="AC79" s="46"/>
      <c r="AD79" s="46"/>
      <c r="AE79" s="46"/>
      <c r="AF79" s="46"/>
      <c r="AG79" s="46"/>
      <c r="AH79" s="46"/>
      <c r="AI79" s="46"/>
      <c r="AJ79" s="46"/>
      <c r="AK79" s="46"/>
      <c r="AL79" s="46"/>
      <c r="AM79" s="46"/>
      <c r="AN79" s="46"/>
      <c r="AO79" s="46"/>
      <c r="AP79" s="46"/>
      <c r="AQ79" s="46"/>
      <c r="AR79" s="46"/>
      <c r="AS79" s="46"/>
      <c r="AT79" s="46"/>
      <c r="AU79" s="46"/>
      <c r="AV79" s="46"/>
      <c r="AW79" s="46"/>
      <c r="AX79" s="46"/>
      <c r="AY79" s="46"/>
      <c r="AZ79" s="46"/>
      <c r="BA79" s="46"/>
      <c r="BB79" s="46"/>
      <c r="BC79" s="46"/>
      <c r="BD79" s="46"/>
      <c r="BE79" s="46"/>
    </row>
    <row r="80" spans="2:57" x14ac:dyDescent="0.2">
      <c r="B80" s="127" t="str">
        <f>IF(Capacity!N73="","",Capacity!N73)</f>
        <v/>
      </c>
      <c r="C80" s="131" t="str">
        <f t="shared" si="0"/>
        <v/>
      </c>
      <c r="D80" s="131" t="str">
        <f>IF(B80="","",Capacity!R73)</f>
        <v/>
      </c>
      <c r="F80" s="46"/>
      <c r="G80" s="46"/>
      <c r="H80" s="46"/>
      <c r="I80" s="46"/>
      <c r="J80" s="46"/>
      <c r="K80" s="46"/>
      <c r="L80" s="46"/>
      <c r="M80" s="46"/>
      <c r="N80" s="46"/>
      <c r="O80" s="46"/>
      <c r="P80" s="46"/>
      <c r="Q80" s="46"/>
      <c r="R80" s="46"/>
      <c r="S80" s="46"/>
      <c r="T80" s="46"/>
      <c r="U80" s="46"/>
      <c r="V80" s="46"/>
      <c r="W80" s="46"/>
      <c r="X80" s="46"/>
      <c r="Y80" s="46"/>
      <c r="Z80" s="46"/>
      <c r="AA80" s="46"/>
      <c r="AB80" s="46"/>
      <c r="AC80" s="46"/>
      <c r="AD80" s="46"/>
      <c r="AE80" s="46"/>
      <c r="AF80" s="46"/>
      <c r="AG80" s="46"/>
      <c r="AH80" s="46"/>
      <c r="AI80" s="46"/>
      <c r="AJ80" s="46"/>
      <c r="AK80" s="46"/>
      <c r="AL80" s="46"/>
      <c r="AM80" s="46"/>
      <c r="AN80" s="46"/>
      <c r="AO80" s="46"/>
      <c r="AP80" s="46"/>
      <c r="AQ80" s="46"/>
      <c r="AR80" s="46"/>
      <c r="AS80" s="46"/>
      <c r="AT80" s="46"/>
      <c r="AU80" s="46"/>
      <c r="AV80" s="46"/>
      <c r="AW80" s="46"/>
      <c r="AX80" s="46"/>
      <c r="AY80" s="46"/>
      <c r="AZ80" s="46"/>
      <c r="BA80" s="46"/>
      <c r="BB80" s="46"/>
      <c r="BC80" s="46"/>
      <c r="BD80" s="46"/>
      <c r="BE80" s="46"/>
    </row>
    <row r="81" spans="2:57" x14ac:dyDescent="0.2">
      <c r="B81" s="127" t="str">
        <f>IF(Capacity!N74="","",Capacity!N74)</f>
        <v/>
      </c>
      <c r="C81" s="131" t="str">
        <f t="shared" si="0"/>
        <v/>
      </c>
      <c r="D81" s="131" t="str">
        <f>IF(B81="","",Capacity!R74)</f>
        <v/>
      </c>
      <c r="F81" s="46"/>
      <c r="G81" s="46"/>
      <c r="H81" s="46"/>
      <c r="I81" s="46"/>
      <c r="J81" s="46"/>
      <c r="K81" s="46"/>
      <c r="L81" s="46"/>
      <c r="M81" s="46"/>
      <c r="N81" s="46"/>
      <c r="O81" s="46"/>
      <c r="P81" s="46"/>
      <c r="Q81" s="46"/>
      <c r="R81" s="46"/>
      <c r="S81" s="46"/>
      <c r="T81" s="46"/>
      <c r="U81" s="46"/>
      <c r="V81" s="46"/>
      <c r="W81" s="46"/>
      <c r="X81" s="46"/>
      <c r="Y81" s="46"/>
      <c r="Z81" s="46"/>
      <c r="AA81" s="46"/>
      <c r="AB81" s="46"/>
      <c r="AC81" s="46"/>
      <c r="AD81" s="46"/>
      <c r="AE81" s="46"/>
      <c r="AF81" s="46"/>
      <c r="AG81" s="46"/>
      <c r="AH81" s="46"/>
      <c r="AI81" s="46"/>
      <c r="AJ81" s="46"/>
      <c r="AK81" s="46"/>
      <c r="AL81" s="46"/>
      <c r="AM81" s="46"/>
      <c r="AN81" s="46"/>
      <c r="AO81" s="46"/>
      <c r="AP81" s="46"/>
      <c r="AQ81" s="46"/>
      <c r="AR81" s="46"/>
      <c r="AS81" s="46"/>
      <c r="AT81" s="46"/>
      <c r="AU81" s="46"/>
      <c r="AV81" s="46"/>
      <c r="AW81" s="46"/>
      <c r="AX81" s="46"/>
      <c r="AY81" s="46"/>
      <c r="AZ81" s="46"/>
      <c r="BA81" s="46"/>
      <c r="BB81" s="46"/>
      <c r="BC81" s="46"/>
      <c r="BD81" s="46"/>
      <c r="BE81" s="46"/>
    </row>
    <row r="82" spans="2:57" x14ac:dyDescent="0.2">
      <c r="B82" s="127" t="str">
        <f>IF(Capacity!N75="","",Capacity!N75)</f>
        <v/>
      </c>
      <c r="C82" s="131" t="str">
        <f t="shared" si="0"/>
        <v/>
      </c>
      <c r="D82" s="131" t="str">
        <f>IF(B82="","",Capacity!R75)</f>
        <v/>
      </c>
      <c r="F82" s="46"/>
      <c r="G82" s="46"/>
      <c r="H82" s="46"/>
      <c r="I82" s="46"/>
      <c r="J82" s="46"/>
      <c r="K82" s="46"/>
      <c r="L82" s="46"/>
      <c r="M82" s="46"/>
      <c r="N82" s="46"/>
      <c r="O82" s="46"/>
      <c r="P82" s="46"/>
      <c r="Q82" s="46"/>
      <c r="R82" s="46"/>
      <c r="S82" s="46"/>
      <c r="T82" s="46"/>
      <c r="U82" s="46"/>
      <c r="V82" s="46"/>
      <c r="W82" s="46"/>
      <c r="X82" s="46"/>
      <c r="Y82" s="46"/>
      <c r="Z82" s="46"/>
      <c r="AA82" s="46"/>
      <c r="AB82" s="46"/>
      <c r="AC82" s="46"/>
      <c r="AD82" s="46"/>
      <c r="AE82" s="46"/>
      <c r="AF82" s="46"/>
      <c r="AG82" s="46"/>
      <c r="AH82" s="46"/>
      <c r="AI82" s="46"/>
      <c r="AJ82" s="46"/>
      <c r="AK82" s="46"/>
      <c r="AL82" s="46"/>
      <c r="AM82" s="46"/>
      <c r="AN82" s="46"/>
      <c r="AO82" s="46"/>
      <c r="AP82" s="46"/>
      <c r="AQ82" s="46"/>
      <c r="AR82" s="46"/>
      <c r="AS82" s="46"/>
      <c r="AT82" s="46"/>
      <c r="AU82" s="46"/>
      <c r="AV82" s="46"/>
      <c r="AW82" s="46"/>
      <c r="AX82" s="46"/>
      <c r="AY82" s="46"/>
      <c r="AZ82" s="46"/>
      <c r="BA82" s="46"/>
      <c r="BB82" s="46"/>
      <c r="BC82" s="46"/>
      <c r="BD82" s="46"/>
      <c r="BE82" s="46"/>
    </row>
    <row r="83" spans="2:57" x14ac:dyDescent="0.2">
      <c r="B83" s="127" t="str">
        <f>IF(Capacity!N76="","",Capacity!N76)</f>
        <v/>
      </c>
      <c r="C83" s="131" t="str">
        <f t="shared" si="0"/>
        <v/>
      </c>
      <c r="D83" s="131" t="str">
        <f>IF(B83="","",Capacity!R76)</f>
        <v/>
      </c>
      <c r="F83" s="46"/>
      <c r="G83" s="46"/>
      <c r="H83" s="46"/>
      <c r="I83" s="46"/>
      <c r="J83" s="46"/>
      <c r="K83" s="46"/>
      <c r="L83" s="46"/>
      <c r="M83" s="46"/>
      <c r="N83" s="46"/>
      <c r="O83" s="46"/>
      <c r="P83" s="46"/>
      <c r="Q83" s="46"/>
      <c r="R83" s="46"/>
      <c r="S83" s="46"/>
      <c r="T83" s="46"/>
      <c r="U83" s="46"/>
      <c r="V83" s="46"/>
      <c r="W83" s="46"/>
      <c r="X83" s="46"/>
      <c r="Y83" s="46"/>
      <c r="Z83" s="46"/>
      <c r="AA83" s="46"/>
      <c r="AB83" s="46"/>
      <c r="AC83" s="46"/>
      <c r="AD83" s="46"/>
      <c r="AE83" s="46"/>
      <c r="AF83" s="46"/>
      <c r="AG83" s="46"/>
      <c r="AH83" s="46"/>
      <c r="AI83" s="46"/>
      <c r="AJ83" s="46"/>
      <c r="AK83" s="46"/>
      <c r="AL83" s="46"/>
      <c r="AM83" s="46"/>
      <c r="AN83" s="46"/>
      <c r="AO83" s="46"/>
      <c r="AP83" s="46"/>
      <c r="AQ83" s="46"/>
      <c r="AR83" s="46"/>
      <c r="AS83" s="46"/>
      <c r="AT83" s="46"/>
      <c r="AU83" s="46"/>
      <c r="AV83" s="46"/>
      <c r="AW83" s="46"/>
      <c r="AX83" s="46"/>
      <c r="AY83" s="46"/>
      <c r="AZ83" s="46"/>
      <c r="BA83" s="46"/>
      <c r="BB83" s="46"/>
      <c r="BC83" s="46"/>
      <c r="BD83" s="46"/>
      <c r="BE83" s="46"/>
    </row>
    <row r="84" spans="2:57" x14ac:dyDescent="0.2">
      <c r="B84" s="127" t="str">
        <f>IF(Capacity!N77="","",Capacity!N77)</f>
        <v/>
      </c>
      <c r="C84" s="131" t="str">
        <f t="shared" si="0"/>
        <v/>
      </c>
      <c r="D84" s="131" t="str">
        <f>IF(B84="","",Capacity!R77)</f>
        <v/>
      </c>
      <c r="F84" s="46"/>
      <c r="G84" s="46"/>
      <c r="H84" s="46"/>
      <c r="I84" s="46"/>
      <c r="J84" s="46"/>
      <c r="K84" s="46"/>
      <c r="L84" s="46"/>
      <c r="M84" s="46"/>
      <c r="N84" s="46"/>
      <c r="O84" s="46"/>
      <c r="P84" s="46"/>
      <c r="Q84" s="46"/>
      <c r="R84" s="46"/>
      <c r="S84" s="46"/>
      <c r="T84" s="46"/>
      <c r="U84" s="46"/>
      <c r="V84" s="46"/>
      <c r="W84" s="46"/>
      <c r="X84" s="46"/>
      <c r="Y84" s="46"/>
      <c r="Z84" s="46"/>
      <c r="AA84" s="46"/>
      <c r="AB84" s="46"/>
      <c r="AC84" s="46"/>
      <c r="AD84" s="46"/>
      <c r="AE84" s="46"/>
      <c r="AF84" s="46"/>
      <c r="AG84" s="46"/>
      <c r="AH84" s="46"/>
      <c r="AI84" s="46"/>
      <c r="AJ84" s="46"/>
      <c r="AK84" s="46"/>
      <c r="AL84" s="46"/>
      <c r="AM84" s="46"/>
      <c r="AN84" s="46"/>
      <c r="AO84" s="46"/>
      <c r="AP84" s="46"/>
      <c r="AQ84" s="46"/>
      <c r="AR84" s="46"/>
      <c r="AS84" s="46"/>
      <c r="AT84" s="46"/>
      <c r="AU84" s="46"/>
      <c r="AV84" s="46"/>
      <c r="AW84" s="46"/>
      <c r="AX84" s="46"/>
      <c r="AY84" s="46"/>
      <c r="AZ84" s="46"/>
      <c r="BA84" s="46"/>
      <c r="BB84" s="46"/>
      <c r="BC84" s="46"/>
      <c r="BD84" s="46"/>
      <c r="BE84" s="46"/>
    </row>
    <row r="85" spans="2:57" x14ac:dyDescent="0.2">
      <c r="B85" s="127" t="str">
        <f>IF(Capacity!N78="","",Capacity!N78)</f>
        <v/>
      </c>
      <c r="C85" s="131" t="str">
        <f t="shared" si="0"/>
        <v/>
      </c>
      <c r="D85" s="131" t="str">
        <f>IF(B85="","",Capacity!R78)</f>
        <v/>
      </c>
      <c r="F85" s="46"/>
      <c r="G85" s="46"/>
      <c r="H85" s="46"/>
      <c r="I85" s="46"/>
      <c r="J85" s="46"/>
      <c r="K85" s="46"/>
      <c r="L85" s="46"/>
      <c r="M85" s="46"/>
      <c r="N85" s="46"/>
      <c r="O85" s="46"/>
      <c r="P85" s="46"/>
      <c r="Q85" s="46"/>
      <c r="R85" s="46"/>
      <c r="S85" s="46"/>
      <c r="T85" s="46"/>
      <c r="U85" s="46"/>
      <c r="V85" s="46"/>
      <c r="W85" s="46"/>
      <c r="X85" s="46"/>
      <c r="Y85" s="46"/>
      <c r="Z85" s="46"/>
      <c r="AA85" s="46"/>
      <c r="AB85" s="46"/>
      <c r="AC85" s="46"/>
      <c r="AD85" s="46"/>
      <c r="AE85" s="46"/>
      <c r="AF85" s="46"/>
      <c r="AG85" s="46"/>
      <c r="AH85" s="46"/>
      <c r="AI85" s="46"/>
      <c r="AJ85" s="46"/>
      <c r="AK85" s="46"/>
      <c r="AL85" s="46"/>
      <c r="AM85" s="46"/>
      <c r="AN85" s="46"/>
      <c r="AO85" s="46"/>
      <c r="AP85" s="46"/>
      <c r="AQ85" s="46"/>
      <c r="AR85" s="46"/>
      <c r="AS85" s="46"/>
      <c r="AT85" s="46"/>
      <c r="AU85" s="46"/>
      <c r="AV85" s="46"/>
      <c r="AW85" s="46"/>
      <c r="AX85" s="46"/>
      <c r="AY85" s="46"/>
      <c r="AZ85" s="46"/>
      <c r="BA85" s="46"/>
      <c r="BB85" s="46"/>
      <c r="BC85" s="46"/>
      <c r="BD85" s="46"/>
      <c r="BE85" s="46"/>
    </row>
    <row r="86" spans="2:57" x14ac:dyDescent="0.2">
      <c r="B86" s="127" t="str">
        <f>IF(Capacity!N79="","",Capacity!N79)</f>
        <v/>
      </c>
      <c r="C86" s="131" t="str">
        <f t="shared" si="0"/>
        <v/>
      </c>
      <c r="D86" s="131" t="str">
        <f>IF(B86="","",Capacity!R79)</f>
        <v/>
      </c>
      <c r="F86" s="46"/>
      <c r="G86" s="46"/>
      <c r="H86" s="46"/>
      <c r="I86" s="46"/>
      <c r="J86" s="46"/>
      <c r="K86" s="46"/>
      <c r="L86" s="46"/>
      <c r="M86" s="46"/>
      <c r="N86" s="46"/>
      <c r="O86" s="46"/>
      <c r="P86" s="46"/>
      <c r="Q86" s="46"/>
      <c r="R86" s="46"/>
      <c r="S86" s="46"/>
      <c r="T86" s="46"/>
      <c r="U86" s="46"/>
      <c r="V86" s="46"/>
      <c r="W86" s="46"/>
      <c r="X86" s="46"/>
      <c r="Y86" s="46"/>
      <c r="Z86" s="46"/>
      <c r="AA86" s="46"/>
      <c r="AB86" s="46"/>
      <c r="AC86" s="46"/>
      <c r="AD86" s="46"/>
      <c r="AE86" s="46"/>
      <c r="AF86" s="46"/>
      <c r="AG86" s="46"/>
      <c r="AH86" s="46"/>
      <c r="AI86" s="46"/>
      <c r="AJ86" s="46"/>
      <c r="AK86" s="46"/>
      <c r="AL86" s="46"/>
      <c r="AM86" s="46"/>
      <c r="AN86" s="46"/>
      <c r="AO86" s="46"/>
      <c r="AP86" s="46"/>
      <c r="AQ86" s="46"/>
      <c r="AR86" s="46"/>
      <c r="AS86" s="46"/>
      <c r="AT86" s="46"/>
      <c r="AU86" s="46"/>
      <c r="AV86" s="46"/>
      <c r="AW86" s="46"/>
      <c r="AX86" s="46"/>
      <c r="AY86" s="46"/>
      <c r="AZ86" s="46"/>
      <c r="BA86" s="46"/>
      <c r="BB86" s="46"/>
      <c r="BC86" s="46"/>
      <c r="BD86" s="46"/>
      <c r="BE86" s="46"/>
    </row>
    <row r="87" spans="2:57" x14ac:dyDescent="0.2">
      <c r="B87" s="127" t="str">
        <f>IF(Capacity!N80="","",Capacity!N80)</f>
        <v/>
      </c>
      <c r="C87" s="131" t="str">
        <f t="shared" si="0"/>
        <v/>
      </c>
      <c r="D87" s="131" t="str">
        <f>IF(B87="","",Capacity!R80)</f>
        <v/>
      </c>
      <c r="F87" s="46"/>
      <c r="G87" s="46"/>
      <c r="H87" s="46"/>
      <c r="I87" s="46"/>
      <c r="J87" s="46"/>
      <c r="K87" s="46"/>
      <c r="L87" s="46"/>
      <c r="M87" s="46"/>
      <c r="N87" s="46"/>
      <c r="O87" s="46"/>
      <c r="P87" s="46"/>
      <c r="Q87" s="46"/>
      <c r="R87" s="46"/>
      <c r="S87" s="46"/>
      <c r="T87" s="46"/>
      <c r="U87" s="46"/>
      <c r="V87" s="46"/>
      <c r="W87" s="46"/>
      <c r="X87" s="46"/>
      <c r="Y87" s="46"/>
      <c r="Z87" s="46"/>
      <c r="AA87" s="46"/>
      <c r="AB87" s="46"/>
      <c r="AC87" s="46"/>
      <c r="AD87" s="46"/>
      <c r="AE87" s="46"/>
      <c r="AF87" s="46"/>
      <c r="AG87" s="46"/>
      <c r="AH87" s="46"/>
      <c r="AI87" s="46"/>
      <c r="AJ87" s="46"/>
      <c r="AK87" s="46"/>
      <c r="AL87" s="46"/>
      <c r="AM87" s="46"/>
      <c r="AN87" s="46"/>
      <c r="AO87" s="46"/>
      <c r="AP87" s="46"/>
      <c r="AQ87" s="46"/>
      <c r="AR87" s="46"/>
      <c r="AS87" s="46"/>
      <c r="AT87" s="46"/>
      <c r="AU87" s="46"/>
      <c r="AV87" s="46"/>
      <c r="AW87" s="46"/>
      <c r="AX87" s="46"/>
      <c r="AY87" s="46"/>
      <c r="AZ87" s="46"/>
      <c r="BA87" s="46"/>
      <c r="BB87" s="46"/>
      <c r="BC87" s="46"/>
      <c r="BD87" s="46"/>
      <c r="BE87" s="46"/>
    </row>
    <row r="88" spans="2:57" x14ac:dyDescent="0.2">
      <c r="B88" s="127" t="str">
        <f>IF(Capacity!N81="","",Capacity!N81)</f>
        <v/>
      </c>
      <c r="C88" s="131" t="str">
        <f t="shared" si="0"/>
        <v/>
      </c>
      <c r="D88" s="131" t="str">
        <f>IF(B88="","",Capacity!R81)</f>
        <v/>
      </c>
      <c r="F88" s="46"/>
      <c r="G88" s="46"/>
      <c r="H88" s="46"/>
      <c r="I88" s="46"/>
      <c r="J88" s="46"/>
      <c r="K88" s="46"/>
      <c r="L88" s="46"/>
      <c r="M88" s="46"/>
      <c r="N88" s="46"/>
      <c r="O88" s="46"/>
      <c r="P88" s="46"/>
      <c r="Q88" s="46"/>
      <c r="R88" s="46"/>
      <c r="S88" s="46"/>
      <c r="T88" s="46"/>
      <c r="U88" s="46"/>
      <c r="V88" s="46"/>
      <c r="W88" s="46"/>
      <c r="X88" s="46"/>
      <c r="Y88" s="46"/>
      <c r="Z88" s="46"/>
      <c r="AA88" s="46"/>
      <c r="AB88" s="46"/>
      <c r="AC88" s="46"/>
      <c r="AD88" s="46"/>
      <c r="AE88" s="46"/>
      <c r="AF88" s="46"/>
      <c r="AG88" s="46"/>
      <c r="AH88" s="46"/>
      <c r="AI88" s="46"/>
      <c r="AJ88" s="46"/>
      <c r="AK88" s="46"/>
      <c r="AL88" s="46"/>
      <c r="AM88" s="46"/>
      <c r="AN88" s="46"/>
      <c r="AO88" s="46"/>
      <c r="AP88" s="46"/>
      <c r="AQ88" s="46"/>
      <c r="AR88" s="46"/>
      <c r="AS88" s="46"/>
      <c r="AT88" s="46"/>
      <c r="AU88" s="46"/>
      <c r="AV88" s="46"/>
      <c r="AW88" s="46"/>
      <c r="AX88" s="46"/>
      <c r="AY88" s="46"/>
      <c r="AZ88" s="46"/>
      <c r="BA88" s="46"/>
      <c r="BB88" s="46"/>
      <c r="BC88" s="46"/>
      <c r="BD88" s="46"/>
      <c r="BE88" s="46"/>
    </row>
    <row r="89" spans="2:57" x14ac:dyDescent="0.2">
      <c r="B89" s="127" t="str">
        <f>IF(Capacity!N82="","",Capacity!N82)</f>
        <v/>
      </c>
      <c r="C89" s="131" t="str">
        <f t="shared" si="0"/>
        <v/>
      </c>
      <c r="D89" s="131" t="str">
        <f>IF(B89="","",Capacity!R82)</f>
        <v/>
      </c>
      <c r="F89" s="46"/>
      <c r="G89" s="46"/>
      <c r="H89" s="46"/>
      <c r="I89" s="46"/>
      <c r="J89" s="46"/>
      <c r="K89" s="46"/>
      <c r="L89" s="46"/>
      <c r="M89" s="46"/>
      <c r="N89" s="46"/>
      <c r="O89" s="46"/>
      <c r="P89" s="46"/>
      <c r="Q89" s="46"/>
      <c r="R89" s="46"/>
      <c r="S89" s="46"/>
      <c r="T89" s="46"/>
      <c r="U89" s="46"/>
      <c r="V89" s="46"/>
      <c r="W89" s="46"/>
      <c r="X89" s="46"/>
      <c r="Y89" s="46"/>
      <c r="Z89" s="46"/>
      <c r="AA89" s="46"/>
      <c r="AB89" s="46"/>
      <c r="AC89" s="46"/>
      <c r="AD89" s="46"/>
      <c r="AE89" s="46"/>
      <c r="AF89" s="46"/>
      <c r="AG89" s="46"/>
      <c r="AH89" s="46"/>
      <c r="AI89" s="46"/>
      <c r="AJ89" s="46"/>
      <c r="AK89" s="46"/>
      <c r="AL89" s="46"/>
      <c r="AM89" s="46"/>
      <c r="AN89" s="46"/>
      <c r="AO89" s="46"/>
      <c r="AP89" s="46"/>
      <c r="AQ89" s="46"/>
      <c r="AR89" s="46"/>
      <c r="AS89" s="46"/>
      <c r="AT89" s="46"/>
      <c r="AU89" s="46"/>
      <c r="AV89" s="46"/>
      <c r="AW89" s="46"/>
      <c r="AX89" s="46"/>
      <c r="AY89" s="46"/>
      <c r="AZ89" s="46"/>
      <c r="BA89" s="46"/>
      <c r="BB89" s="46"/>
      <c r="BC89" s="46"/>
      <c r="BD89" s="46"/>
      <c r="BE89" s="46"/>
    </row>
    <row r="90" spans="2:57" x14ac:dyDescent="0.2">
      <c r="B90" s="127" t="str">
        <f>IF(Capacity!N83="","",Capacity!N83)</f>
        <v/>
      </c>
      <c r="C90" s="131" t="str">
        <f t="shared" ref="C90:C123" si="1">IF(B90="","",COUNTIF(F90:BE90,"X"))</f>
        <v/>
      </c>
      <c r="D90" s="131" t="str">
        <f>IF(B90="","",Capacity!R83)</f>
        <v/>
      </c>
      <c r="F90" s="46"/>
      <c r="G90" s="46"/>
      <c r="H90" s="46"/>
      <c r="I90" s="46"/>
      <c r="J90" s="46"/>
      <c r="K90" s="46"/>
      <c r="L90" s="46"/>
      <c r="M90" s="46"/>
      <c r="N90" s="46"/>
      <c r="O90" s="46"/>
      <c r="P90" s="46"/>
      <c r="Q90" s="46"/>
      <c r="R90" s="46"/>
      <c r="S90" s="46"/>
      <c r="T90" s="46"/>
      <c r="U90" s="46"/>
      <c r="V90" s="46"/>
      <c r="W90" s="46"/>
      <c r="X90" s="46"/>
      <c r="Y90" s="46"/>
      <c r="Z90" s="46"/>
      <c r="AA90" s="46"/>
      <c r="AB90" s="46"/>
      <c r="AC90" s="46"/>
      <c r="AD90" s="46"/>
      <c r="AE90" s="46"/>
      <c r="AF90" s="46"/>
      <c r="AG90" s="46"/>
      <c r="AH90" s="46"/>
      <c r="AI90" s="46"/>
      <c r="AJ90" s="46"/>
      <c r="AK90" s="46"/>
      <c r="AL90" s="46"/>
      <c r="AM90" s="46"/>
      <c r="AN90" s="46"/>
      <c r="AO90" s="46"/>
      <c r="AP90" s="46"/>
      <c r="AQ90" s="46"/>
      <c r="AR90" s="46"/>
      <c r="AS90" s="46"/>
      <c r="AT90" s="46"/>
      <c r="AU90" s="46"/>
      <c r="AV90" s="46"/>
      <c r="AW90" s="46"/>
      <c r="AX90" s="46"/>
      <c r="AY90" s="46"/>
      <c r="AZ90" s="46"/>
      <c r="BA90" s="46"/>
      <c r="BB90" s="46"/>
      <c r="BC90" s="46"/>
      <c r="BD90" s="46"/>
      <c r="BE90" s="46"/>
    </row>
    <row r="91" spans="2:57" x14ac:dyDescent="0.2">
      <c r="B91" s="127" t="str">
        <f>IF(Capacity!N84="","",Capacity!N84)</f>
        <v/>
      </c>
      <c r="C91" s="131" t="str">
        <f t="shared" si="1"/>
        <v/>
      </c>
      <c r="D91" s="131" t="str">
        <f>IF(B91="","",Capacity!R84)</f>
        <v/>
      </c>
      <c r="F91" s="46"/>
      <c r="G91" s="46"/>
      <c r="H91" s="46"/>
      <c r="I91" s="46"/>
      <c r="J91" s="46"/>
      <c r="K91" s="46"/>
      <c r="L91" s="46"/>
      <c r="M91" s="46"/>
      <c r="N91" s="46"/>
      <c r="O91" s="46"/>
      <c r="P91" s="46"/>
      <c r="Q91" s="46"/>
      <c r="R91" s="46"/>
      <c r="S91" s="46"/>
      <c r="T91" s="46"/>
      <c r="U91" s="46"/>
      <c r="V91" s="46"/>
      <c r="W91" s="46"/>
      <c r="X91" s="46"/>
      <c r="Y91" s="46"/>
      <c r="Z91" s="46"/>
      <c r="AA91" s="46"/>
      <c r="AB91" s="46"/>
      <c r="AC91" s="46"/>
      <c r="AD91" s="46"/>
      <c r="AE91" s="46"/>
      <c r="AF91" s="46"/>
      <c r="AG91" s="46"/>
      <c r="AH91" s="46"/>
      <c r="AI91" s="46"/>
      <c r="AJ91" s="46"/>
      <c r="AK91" s="46"/>
      <c r="AL91" s="46"/>
      <c r="AM91" s="46"/>
      <c r="AN91" s="46"/>
      <c r="AO91" s="46"/>
      <c r="AP91" s="46"/>
      <c r="AQ91" s="46"/>
      <c r="AR91" s="46"/>
      <c r="AS91" s="46"/>
      <c r="AT91" s="46"/>
      <c r="AU91" s="46"/>
      <c r="AV91" s="46"/>
      <c r="AW91" s="46"/>
      <c r="AX91" s="46"/>
      <c r="AY91" s="46"/>
      <c r="AZ91" s="46"/>
      <c r="BA91" s="46"/>
      <c r="BB91" s="46"/>
      <c r="BC91" s="46"/>
      <c r="BD91" s="46"/>
      <c r="BE91" s="46"/>
    </row>
    <row r="92" spans="2:57" x14ac:dyDescent="0.2">
      <c r="B92" s="127" t="str">
        <f>IF(Capacity!N85="","",Capacity!N85)</f>
        <v/>
      </c>
      <c r="C92" s="131" t="str">
        <f t="shared" si="1"/>
        <v/>
      </c>
      <c r="D92" s="131" t="str">
        <f>IF(B92="","",Capacity!R85)</f>
        <v/>
      </c>
      <c r="F92" s="46"/>
      <c r="G92" s="46"/>
      <c r="H92" s="46"/>
      <c r="I92" s="46"/>
      <c r="J92" s="46"/>
      <c r="K92" s="46"/>
      <c r="L92" s="46"/>
      <c r="M92" s="46"/>
      <c r="N92" s="46"/>
      <c r="O92" s="46"/>
      <c r="P92" s="46"/>
      <c r="Q92" s="46"/>
      <c r="R92" s="46"/>
      <c r="S92" s="46"/>
      <c r="T92" s="46"/>
      <c r="U92" s="46"/>
      <c r="V92" s="46"/>
      <c r="W92" s="46"/>
      <c r="X92" s="46"/>
      <c r="Y92" s="46"/>
      <c r="Z92" s="46"/>
      <c r="AA92" s="46"/>
      <c r="AB92" s="46"/>
      <c r="AC92" s="46"/>
      <c r="AD92" s="46"/>
      <c r="AE92" s="46"/>
      <c r="AF92" s="46"/>
      <c r="AG92" s="46"/>
      <c r="AH92" s="46"/>
      <c r="AI92" s="46"/>
      <c r="AJ92" s="46"/>
      <c r="AK92" s="46"/>
      <c r="AL92" s="46"/>
      <c r="AM92" s="46"/>
      <c r="AN92" s="46"/>
      <c r="AO92" s="46"/>
      <c r="AP92" s="46"/>
      <c r="AQ92" s="46"/>
      <c r="AR92" s="46"/>
      <c r="AS92" s="46"/>
      <c r="AT92" s="46"/>
      <c r="AU92" s="46"/>
      <c r="AV92" s="46"/>
      <c r="AW92" s="46"/>
      <c r="AX92" s="46"/>
      <c r="AY92" s="46"/>
      <c r="AZ92" s="46"/>
      <c r="BA92" s="46"/>
      <c r="BB92" s="46"/>
      <c r="BC92" s="46"/>
      <c r="BD92" s="46"/>
      <c r="BE92" s="46"/>
    </row>
    <row r="93" spans="2:57" x14ac:dyDescent="0.2">
      <c r="B93" s="127" t="str">
        <f>IF(Capacity!N86="","",Capacity!N86)</f>
        <v/>
      </c>
      <c r="C93" s="131" t="str">
        <f t="shared" si="1"/>
        <v/>
      </c>
      <c r="D93" s="131" t="str">
        <f>IF(B93="","",Capacity!R86)</f>
        <v/>
      </c>
      <c r="F93" s="46"/>
      <c r="G93" s="46"/>
      <c r="H93" s="46"/>
      <c r="I93" s="46"/>
      <c r="J93" s="46"/>
      <c r="K93" s="46"/>
      <c r="L93" s="46"/>
      <c r="M93" s="46"/>
      <c r="N93" s="46"/>
      <c r="O93" s="46"/>
      <c r="P93" s="46"/>
      <c r="Q93" s="46"/>
      <c r="R93" s="46"/>
      <c r="S93" s="46"/>
      <c r="T93" s="46"/>
      <c r="U93" s="46"/>
      <c r="V93" s="46"/>
      <c r="W93" s="46"/>
      <c r="X93" s="46"/>
      <c r="Y93" s="46"/>
      <c r="Z93" s="46"/>
      <c r="AA93" s="46"/>
      <c r="AB93" s="46"/>
      <c r="AC93" s="46"/>
      <c r="AD93" s="46"/>
      <c r="AE93" s="46"/>
      <c r="AF93" s="46"/>
      <c r="AG93" s="46"/>
      <c r="AH93" s="46"/>
      <c r="AI93" s="46"/>
      <c r="AJ93" s="46"/>
      <c r="AK93" s="46"/>
      <c r="AL93" s="46"/>
      <c r="AM93" s="46"/>
      <c r="AN93" s="46"/>
      <c r="AO93" s="46"/>
      <c r="AP93" s="46"/>
      <c r="AQ93" s="46"/>
      <c r="AR93" s="46"/>
      <c r="AS93" s="46"/>
      <c r="AT93" s="46"/>
      <c r="AU93" s="46"/>
      <c r="AV93" s="46"/>
      <c r="AW93" s="46"/>
      <c r="AX93" s="46"/>
      <c r="AY93" s="46"/>
      <c r="AZ93" s="46"/>
      <c r="BA93" s="46"/>
      <c r="BB93" s="46"/>
      <c r="BC93" s="46"/>
      <c r="BD93" s="46"/>
      <c r="BE93" s="46"/>
    </row>
    <row r="94" spans="2:57" x14ac:dyDescent="0.2">
      <c r="B94" s="127" t="str">
        <f>IF(Capacity!N87="","",Capacity!N87)</f>
        <v/>
      </c>
      <c r="C94" s="131" t="str">
        <f t="shared" si="1"/>
        <v/>
      </c>
      <c r="D94" s="131" t="str">
        <f>IF(B94="","",Capacity!R87)</f>
        <v/>
      </c>
      <c r="F94" s="46"/>
      <c r="G94" s="46"/>
      <c r="H94" s="46"/>
      <c r="I94" s="46"/>
      <c r="J94" s="46"/>
      <c r="K94" s="46"/>
      <c r="L94" s="46"/>
      <c r="M94" s="46"/>
      <c r="N94" s="46"/>
      <c r="O94" s="46"/>
      <c r="P94" s="46"/>
      <c r="Q94" s="46"/>
      <c r="R94" s="46"/>
      <c r="S94" s="46"/>
      <c r="T94" s="46"/>
      <c r="U94" s="46"/>
      <c r="V94" s="46"/>
      <c r="W94" s="46"/>
      <c r="X94" s="46"/>
      <c r="Y94" s="46"/>
      <c r="Z94" s="46"/>
      <c r="AA94" s="46"/>
      <c r="AB94" s="46"/>
      <c r="AC94" s="46"/>
      <c r="AD94" s="46"/>
      <c r="AE94" s="46"/>
      <c r="AF94" s="46"/>
      <c r="AG94" s="46"/>
      <c r="AH94" s="46"/>
      <c r="AI94" s="46"/>
      <c r="AJ94" s="46"/>
      <c r="AK94" s="46"/>
      <c r="AL94" s="46"/>
      <c r="AM94" s="46"/>
      <c r="AN94" s="46"/>
      <c r="AO94" s="46"/>
      <c r="AP94" s="46"/>
      <c r="AQ94" s="46"/>
      <c r="AR94" s="46"/>
      <c r="AS94" s="46"/>
      <c r="AT94" s="46"/>
      <c r="AU94" s="46"/>
      <c r="AV94" s="46"/>
      <c r="AW94" s="46"/>
      <c r="AX94" s="46"/>
      <c r="AY94" s="46"/>
      <c r="AZ94" s="46"/>
      <c r="BA94" s="46"/>
      <c r="BB94" s="46"/>
      <c r="BC94" s="46"/>
      <c r="BD94" s="46"/>
      <c r="BE94" s="46"/>
    </row>
    <row r="95" spans="2:57" x14ac:dyDescent="0.2">
      <c r="B95" s="127" t="str">
        <f>IF(Capacity!N88="","",Capacity!N88)</f>
        <v/>
      </c>
      <c r="C95" s="131" t="str">
        <f t="shared" si="1"/>
        <v/>
      </c>
      <c r="D95" s="131" t="str">
        <f>IF(B95="","",Capacity!R88)</f>
        <v/>
      </c>
      <c r="F95" s="46"/>
      <c r="G95" s="46"/>
      <c r="H95" s="46"/>
      <c r="I95" s="46"/>
      <c r="J95" s="46"/>
      <c r="K95" s="46"/>
      <c r="L95" s="46"/>
      <c r="M95" s="46"/>
      <c r="N95" s="46"/>
      <c r="O95" s="46"/>
      <c r="P95" s="46"/>
      <c r="Q95" s="46"/>
      <c r="R95" s="46"/>
      <c r="S95" s="46"/>
      <c r="T95" s="46"/>
      <c r="U95" s="46"/>
      <c r="V95" s="46"/>
      <c r="W95" s="46"/>
      <c r="X95" s="46"/>
      <c r="Y95" s="46"/>
      <c r="Z95" s="46"/>
      <c r="AA95" s="46"/>
      <c r="AB95" s="46"/>
      <c r="AC95" s="46"/>
      <c r="AD95" s="46"/>
      <c r="AE95" s="46"/>
      <c r="AF95" s="46"/>
      <c r="AG95" s="46"/>
      <c r="AH95" s="46"/>
      <c r="AI95" s="46"/>
      <c r="AJ95" s="46"/>
      <c r="AK95" s="46"/>
      <c r="AL95" s="46"/>
      <c r="AM95" s="46"/>
      <c r="AN95" s="46"/>
      <c r="AO95" s="46"/>
      <c r="AP95" s="46"/>
      <c r="AQ95" s="46"/>
      <c r="AR95" s="46"/>
      <c r="AS95" s="46"/>
      <c r="AT95" s="46"/>
      <c r="AU95" s="46"/>
      <c r="AV95" s="46"/>
      <c r="AW95" s="46"/>
      <c r="AX95" s="46"/>
      <c r="AY95" s="46"/>
      <c r="AZ95" s="46"/>
      <c r="BA95" s="46"/>
      <c r="BB95" s="46"/>
      <c r="BC95" s="46"/>
      <c r="BD95" s="46"/>
      <c r="BE95" s="46"/>
    </row>
    <row r="96" spans="2:57" x14ac:dyDescent="0.2">
      <c r="B96" s="127" t="str">
        <f>IF(Capacity!N89="","",Capacity!N89)</f>
        <v/>
      </c>
      <c r="C96" s="131" t="str">
        <f t="shared" si="1"/>
        <v/>
      </c>
      <c r="D96" s="131" t="str">
        <f>IF(B96="","",Capacity!R89)</f>
        <v/>
      </c>
      <c r="F96" s="46"/>
      <c r="G96" s="46"/>
      <c r="H96" s="46"/>
      <c r="I96" s="46"/>
      <c r="J96" s="46"/>
      <c r="K96" s="46"/>
      <c r="L96" s="46"/>
      <c r="M96" s="46"/>
      <c r="N96" s="46"/>
      <c r="O96" s="46"/>
      <c r="P96" s="46"/>
      <c r="Q96" s="46"/>
      <c r="R96" s="46"/>
      <c r="S96" s="46"/>
      <c r="T96" s="46"/>
      <c r="U96" s="46"/>
      <c r="V96" s="46"/>
      <c r="W96" s="46"/>
      <c r="X96" s="46"/>
      <c r="Y96" s="46"/>
      <c r="Z96" s="46"/>
      <c r="AA96" s="46"/>
      <c r="AB96" s="46"/>
      <c r="AC96" s="46"/>
      <c r="AD96" s="46"/>
      <c r="AE96" s="46"/>
      <c r="AF96" s="46"/>
      <c r="AG96" s="46"/>
      <c r="AH96" s="46"/>
      <c r="AI96" s="46"/>
      <c r="AJ96" s="46"/>
      <c r="AK96" s="46"/>
      <c r="AL96" s="46"/>
      <c r="AM96" s="46"/>
      <c r="AN96" s="46"/>
      <c r="AO96" s="46"/>
      <c r="AP96" s="46"/>
      <c r="AQ96" s="46"/>
      <c r="AR96" s="46"/>
      <c r="AS96" s="46"/>
      <c r="AT96" s="46"/>
      <c r="AU96" s="46"/>
      <c r="AV96" s="46"/>
      <c r="AW96" s="46"/>
      <c r="AX96" s="46"/>
      <c r="AY96" s="46"/>
      <c r="AZ96" s="46"/>
      <c r="BA96" s="46"/>
      <c r="BB96" s="46"/>
      <c r="BC96" s="46"/>
      <c r="BD96" s="46"/>
      <c r="BE96" s="46"/>
    </row>
    <row r="97" spans="2:57" x14ac:dyDescent="0.2">
      <c r="B97" s="127" t="str">
        <f>IF(Capacity!N90="","",Capacity!N90)</f>
        <v/>
      </c>
      <c r="C97" s="131" t="str">
        <f t="shared" si="1"/>
        <v/>
      </c>
      <c r="D97" s="131" t="str">
        <f>IF(B97="","",Capacity!R90)</f>
        <v/>
      </c>
      <c r="F97" s="46"/>
      <c r="G97" s="46"/>
      <c r="H97" s="46"/>
      <c r="I97" s="46"/>
      <c r="J97" s="46"/>
      <c r="K97" s="46"/>
      <c r="L97" s="46"/>
      <c r="M97" s="46"/>
      <c r="N97" s="46"/>
      <c r="O97" s="46"/>
      <c r="P97" s="46"/>
      <c r="Q97" s="46"/>
      <c r="R97" s="46"/>
      <c r="S97" s="46"/>
      <c r="T97" s="46"/>
      <c r="U97" s="46"/>
      <c r="V97" s="46"/>
      <c r="W97" s="46"/>
      <c r="X97" s="46"/>
      <c r="Y97" s="46"/>
      <c r="Z97" s="46"/>
      <c r="AA97" s="46"/>
      <c r="AB97" s="46"/>
      <c r="AC97" s="46"/>
      <c r="AD97" s="46"/>
      <c r="AE97" s="46"/>
      <c r="AF97" s="46"/>
      <c r="AG97" s="46"/>
      <c r="AH97" s="46"/>
      <c r="AI97" s="46"/>
      <c r="AJ97" s="46"/>
      <c r="AK97" s="46"/>
      <c r="AL97" s="46"/>
      <c r="AM97" s="46"/>
      <c r="AN97" s="46"/>
      <c r="AO97" s="46"/>
      <c r="AP97" s="46"/>
      <c r="AQ97" s="46"/>
      <c r="AR97" s="46"/>
      <c r="AS97" s="46"/>
      <c r="AT97" s="46"/>
      <c r="AU97" s="46"/>
      <c r="AV97" s="46"/>
      <c r="AW97" s="46"/>
      <c r="AX97" s="46"/>
      <c r="AY97" s="46"/>
      <c r="AZ97" s="46"/>
      <c r="BA97" s="46"/>
      <c r="BB97" s="46"/>
      <c r="BC97" s="46"/>
      <c r="BD97" s="46"/>
      <c r="BE97" s="46"/>
    </row>
    <row r="98" spans="2:57" x14ac:dyDescent="0.2">
      <c r="B98" s="127" t="str">
        <f>IF(Capacity!N91="","",Capacity!N91)</f>
        <v/>
      </c>
      <c r="C98" s="131" t="str">
        <f t="shared" si="1"/>
        <v/>
      </c>
      <c r="D98" s="131" t="str">
        <f>IF(B98="","",Capacity!R91)</f>
        <v/>
      </c>
      <c r="F98" s="46"/>
      <c r="G98" s="46"/>
      <c r="H98" s="46"/>
      <c r="I98" s="46"/>
      <c r="J98" s="46"/>
      <c r="K98" s="46"/>
      <c r="L98" s="46"/>
      <c r="M98" s="46"/>
      <c r="N98" s="46"/>
      <c r="O98" s="46"/>
      <c r="P98" s="46"/>
      <c r="Q98" s="46"/>
      <c r="R98" s="46"/>
      <c r="S98" s="46"/>
      <c r="T98" s="46"/>
      <c r="U98" s="46"/>
      <c r="V98" s="46"/>
      <c r="W98" s="46"/>
      <c r="X98" s="46"/>
      <c r="Y98" s="46"/>
      <c r="Z98" s="46"/>
      <c r="AA98" s="46"/>
      <c r="AB98" s="46"/>
      <c r="AC98" s="46"/>
      <c r="AD98" s="46"/>
      <c r="AE98" s="46"/>
      <c r="AF98" s="46"/>
      <c r="AG98" s="46"/>
      <c r="AH98" s="46"/>
      <c r="AI98" s="46"/>
      <c r="AJ98" s="46"/>
      <c r="AK98" s="46"/>
      <c r="AL98" s="46"/>
      <c r="AM98" s="46"/>
      <c r="AN98" s="46"/>
      <c r="AO98" s="46"/>
      <c r="AP98" s="46"/>
      <c r="AQ98" s="46"/>
      <c r="AR98" s="46"/>
      <c r="AS98" s="46"/>
      <c r="AT98" s="46"/>
      <c r="AU98" s="46"/>
      <c r="AV98" s="46"/>
      <c r="AW98" s="46"/>
      <c r="AX98" s="46"/>
      <c r="AY98" s="46"/>
      <c r="AZ98" s="46"/>
      <c r="BA98" s="46"/>
      <c r="BB98" s="46"/>
      <c r="BC98" s="46"/>
      <c r="BD98" s="46"/>
      <c r="BE98" s="46"/>
    </row>
    <row r="99" spans="2:57" x14ac:dyDescent="0.2">
      <c r="B99" s="127" t="str">
        <f>IF(Capacity!N92="","",Capacity!N92)</f>
        <v/>
      </c>
      <c r="C99" s="131" t="str">
        <f t="shared" si="1"/>
        <v/>
      </c>
      <c r="D99" s="131" t="str">
        <f>IF(B99="","",Capacity!R92)</f>
        <v/>
      </c>
      <c r="F99" s="46"/>
      <c r="G99" s="46"/>
      <c r="H99" s="46"/>
      <c r="I99" s="46"/>
      <c r="J99" s="46"/>
      <c r="K99" s="46"/>
      <c r="L99" s="46"/>
      <c r="M99" s="46"/>
      <c r="N99" s="46"/>
      <c r="O99" s="46"/>
      <c r="P99" s="46"/>
      <c r="Q99" s="46"/>
      <c r="R99" s="46"/>
      <c r="S99" s="46"/>
      <c r="T99" s="46"/>
      <c r="U99" s="46"/>
      <c r="V99" s="46"/>
      <c r="W99" s="46"/>
      <c r="X99" s="46"/>
      <c r="Y99" s="46"/>
      <c r="Z99" s="46"/>
      <c r="AA99" s="46"/>
      <c r="AB99" s="46"/>
      <c r="AC99" s="46"/>
      <c r="AD99" s="46"/>
      <c r="AE99" s="46"/>
      <c r="AF99" s="46"/>
      <c r="AG99" s="46"/>
      <c r="AH99" s="46"/>
      <c r="AI99" s="46"/>
      <c r="AJ99" s="46"/>
      <c r="AK99" s="46"/>
      <c r="AL99" s="46"/>
      <c r="AM99" s="46"/>
      <c r="AN99" s="46"/>
      <c r="AO99" s="46"/>
      <c r="AP99" s="46"/>
      <c r="AQ99" s="46"/>
      <c r="AR99" s="46"/>
      <c r="AS99" s="46"/>
      <c r="AT99" s="46"/>
      <c r="AU99" s="46"/>
      <c r="AV99" s="46"/>
      <c r="AW99" s="46"/>
      <c r="AX99" s="46"/>
      <c r="AY99" s="46"/>
      <c r="AZ99" s="46"/>
      <c r="BA99" s="46"/>
      <c r="BB99" s="46"/>
      <c r="BC99" s="46"/>
      <c r="BD99" s="46"/>
      <c r="BE99" s="46"/>
    </row>
    <row r="100" spans="2:57" x14ac:dyDescent="0.2">
      <c r="B100" s="127" t="str">
        <f>IF(Capacity!N93="","",Capacity!N93)</f>
        <v/>
      </c>
      <c r="C100" s="131" t="str">
        <f t="shared" si="1"/>
        <v/>
      </c>
      <c r="D100" s="131" t="str">
        <f>IF(B100="","",Capacity!R93)</f>
        <v/>
      </c>
      <c r="F100" s="46"/>
      <c r="G100" s="46"/>
      <c r="H100" s="46"/>
      <c r="I100" s="46"/>
      <c r="J100" s="46"/>
      <c r="K100" s="46"/>
      <c r="L100" s="46"/>
      <c r="M100" s="46"/>
      <c r="N100" s="46"/>
      <c r="O100" s="46"/>
      <c r="P100" s="46"/>
      <c r="Q100" s="46"/>
      <c r="R100" s="46"/>
      <c r="S100" s="46"/>
      <c r="T100" s="46"/>
      <c r="U100" s="46"/>
      <c r="V100" s="46"/>
      <c r="W100" s="46"/>
      <c r="X100" s="46"/>
      <c r="Y100" s="46"/>
      <c r="Z100" s="46"/>
      <c r="AA100" s="46"/>
      <c r="AB100" s="46"/>
      <c r="AC100" s="46"/>
      <c r="AD100" s="46"/>
      <c r="AE100" s="46"/>
      <c r="AF100" s="46"/>
      <c r="AG100" s="46"/>
      <c r="AH100" s="46"/>
      <c r="AI100" s="46"/>
      <c r="AJ100" s="46"/>
      <c r="AK100" s="46"/>
      <c r="AL100" s="46"/>
      <c r="AM100" s="46"/>
      <c r="AN100" s="46"/>
      <c r="AO100" s="46"/>
      <c r="AP100" s="46"/>
      <c r="AQ100" s="46"/>
      <c r="AR100" s="46"/>
      <c r="AS100" s="46"/>
      <c r="AT100" s="46"/>
      <c r="AU100" s="46"/>
      <c r="AV100" s="46"/>
      <c r="AW100" s="46"/>
      <c r="AX100" s="46"/>
      <c r="AY100" s="46"/>
      <c r="AZ100" s="46"/>
      <c r="BA100" s="46"/>
      <c r="BB100" s="46"/>
      <c r="BC100" s="46"/>
      <c r="BD100" s="46"/>
      <c r="BE100" s="46"/>
    </row>
    <row r="101" spans="2:57" x14ac:dyDescent="0.2">
      <c r="B101" s="127" t="str">
        <f>IF(Capacity!N94="","",Capacity!N94)</f>
        <v/>
      </c>
      <c r="C101" s="131" t="str">
        <f t="shared" si="1"/>
        <v/>
      </c>
      <c r="D101" s="131" t="str">
        <f>IF(B101="","",Capacity!R94)</f>
        <v/>
      </c>
      <c r="F101" s="46"/>
      <c r="G101" s="46"/>
      <c r="H101" s="46"/>
      <c r="I101" s="46"/>
      <c r="J101" s="46"/>
      <c r="K101" s="46"/>
      <c r="L101" s="46"/>
      <c r="M101" s="46"/>
      <c r="N101" s="46"/>
      <c r="O101" s="46"/>
      <c r="P101" s="46"/>
      <c r="Q101" s="46"/>
      <c r="R101" s="46"/>
      <c r="S101" s="46"/>
      <c r="T101" s="46"/>
      <c r="U101" s="46"/>
      <c r="V101" s="46"/>
      <c r="W101" s="46"/>
      <c r="X101" s="46"/>
      <c r="Y101" s="46"/>
      <c r="Z101" s="46"/>
      <c r="AA101" s="46"/>
      <c r="AB101" s="46"/>
      <c r="AC101" s="46"/>
      <c r="AD101" s="46"/>
      <c r="AE101" s="46"/>
      <c r="AF101" s="46"/>
      <c r="AG101" s="46"/>
      <c r="AH101" s="46"/>
      <c r="AI101" s="46"/>
      <c r="AJ101" s="46"/>
      <c r="AK101" s="46"/>
      <c r="AL101" s="46"/>
      <c r="AM101" s="46"/>
      <c r="AN101" s="46"/>
      <c r="AO101" s="46"/>
      <c r="AP101" s="46"/>
      <c r="AQ101" s="46"/>
      <c r="AR101" s="46"/>
      <c r="AS101" s="46"/>
      <c r="AT101" s="46"/>
      <c r="AU101" s="46"/>
      <c r="AV101" s="46"/>
      <c r="AW101" s="46"/>
      <c r="AX101" s="46"/>
      <c r="AY101" s="46"/>
      <c r="AZ101" s="46"/>
      <c r="BA101" s="46"/>
      <c r="BB101" s="46"/>
      <c r="BC101" s="46"/>
      <c r="BD101" s="46"/>
      <c r="BE101" s="46"/>
    </row>
    <row r="102" spans="2:57" x14ac:dyDescent="0.2">
      <c r="B102" s="127" t="str">
        <f>IF(Capacity!N95="","",Capacity!N95)</f>
        <v/>
      </c>
      <c r="C102" s="131" t="str">
        <f t="shared" si="1"/>
        <v/>
      </c>
      <c r="D102" s="131" t="str">
        <f>IF(B102="","",Capacity!R95)</f>
        <v/>
      </c>
      <c r="F102" s="46"/>
      <c r="G102" s="46"/>
      <c r="H102" s="46"/>
      <c r="I102" s="46"/>
      <c r="J102" s="46"/>
      <c r="K102" s="46"/>
      <c r="L102" s="46"/>
      <c r="M102" s="46"/>
      <c r="N102" s="46"/>
      <c r="O102" s="46"/>
      <c r="P102" s="46"/>
      <c r="Q102" s="46"/>
      <c r="R102" s="46"/>
      <c r="S102" s="46"/>
      <c r="T102" s="46"/>
      <c r="U102" s="46"/>
      <c r="V102" s="46"/>
      <c r="W102" s="46"/>
      <c r="X102" s="46"/>
      <c r="Y102" s="46"/>
      <c r="Z102" s="46"/>
      <c r="AA102" s="46"/>
      <c r="AB102" s="46"/>
      <c r="AC102" s="46"/>
      <c r="AD102" s="46"/>
      <c r="AE102" s="46"/>
      <c r="AF102" s="46"/>
      <c r="AG102" s="46"/>
      <c r="AH102" s="46"/>
      <c r="AI102" s="46"/>
      <c r="AJ102" s="46"/>
      <c r="AK102" s="46"/>
      <c r="AL102" s="46"/>
      <c r="AM102" s="46"/>
      <c r="AN102" s="46"/>
      <c r="AO102" s="46"/>
      <c r="AP102" s="46"/>
      <c r="AQ102" s="46"/>
      <c r="AR102" s="46"/>
      <c r="AS102" s="46"/>
      <c r="AT102" s="46"/>
      <c r="AU102" s="46"/>
      <c r="AV102" s="46"/>
      <c r="AW102" s="46"/>
      <c r="AX102" s="46"/>
      <c r="AY102" s="46"/>
      <c r="AZ102" s="46"/>
      <c r="BA102" s="46"/>
      <c r="BB102" s="46"/>
      <c r="BC102" s="46"/>
      <c r="BD102" s="46"/>
      <c r="BE102" s="46"/>
    </row>
    <row r="103" spans="2:57" x14ac:dyDescent="0.2">
      <c r="B103" s="127" t="str">
        <f>IF(Capacity!N96="","",Capacity!N96)</f>
        <v/>
      </c>
      <c r="C103" s="131" t="str">
        <f t="shared" si="1"/>
        <v/>
      </c>
      <c r="D103" s="131" t="str">
        <f>IF(B103="","",Capacity!R96)</f>
        <v/>
      </c>
      <c r="F103" s="46"/>
      <c r="G103" s="46"/>
      <c r="H103" s="46"/>
      <c r="I103" s="46"/>
      <c r="J103" s="46"/>
      <c r="K103" s="46"/>
      <c r="L103" s="46"/>
      <c r="M103" s="46"/>
      <c r="N103" s="46"/>
      <c r="O103" s="46"/>
      <c r="P103" s="46"/>
      <c r="Q103" s="46"/>
      <c r="R103" s="46"/>
      <c r="S103" s="46"/>
      <c r="T103" s="46"/>
      <c r="U103" s="46"/>
      <c r="V103" s="46"/>
      <c r="W103" s="46"/>
      <c r="X103" s="46"/>
      <c r="Y103" s="46"/>
      <c r="Z103" s="46"/>
      <c r="AA103" s="46"/>
      <c r="AB103" s="46"/>
      <c r="AC103" s="46"/>
      <c r="AD103" s="46"/>
      <c r="AE103" s="46"/>
      <c r="AF103" s="46"/>
      <c r="AG103" s="46"/>
      <c r="AH103" s="46"/>
      <c r="AI103" s="46"/>
      <c r="AJ103" s="46"/>
      <c r="AK103" s="46"/>
      <c r="AL103" s="46"/>
      <c r="AM103" s="46"/>
      <c r="AN103" s="46"/>
      <c r="AO103" s="46"/>
      <c r="AP103" s="46"/>
      <c r="AQ103" s="46"/>
      <c r="AR103" s="46"/>
      <c r="AS103" s="46"/>
      <c r="AT103" s="46"/>
      <c r="AU103" s="46"/>
      <c r="AV103" s="46"/>
      <c r="AW103" s="46"/>
      <c r="AX103" s="46"/>
      <c r="AY103" s="46"/>
      <c r="AZ103" s="46"/>
      <c r="BA103" s="46"/>
      <c r="BB103" s="46"/>
      <c r="BC103" s="46"/>
      <c r="BD103" s="46"/>
      <c r="BE103" s="46"/>
    </row>
    <row r="104" spans="2:57" x14ac:dyDescent="0.2">
      <c r="B104" s="127" t="str">
        <f>IF(Capacity!N97="","",Capacity!N97)</f>
        <v/>
      </c>
      <c r="C104" s="131" t="str">
        <f t="shared" si="1"/>
        <v/>
      </c>
      <c r="D104" s="131" t="str">
        <f>IF(B104="","",Capacity!R97)</f>
        <v/>
      </c>
      <c r="F104" s="46"/>
      <c r="G104" s="46"/>
      <c r="H104" s="46"/>
      <c r="I104" s="46"/>
      <c r="J104" s="46"/>
      <c r="K104" s="46"/>
      <c r="L104" s="46"/>
      <c r="M104" s="46"/>
      <c r="N104" s="46"/>
      <c r="O104" s="46"/>
      <c r="P104" s="46"/>
      <c r="Q104" s="46"/>
      <c r="R104" s="46"/>
      <c r="S104" s="46"/>
      <c r="T104" s="46"/>
      <c r="U104" s="46"/>
      <c r="V104" s="46"/>
      <c r="W104" s="46"/>
      <c r="X104" s="46"/>
      <c r="Y104" s="46"/>
      <c r="Z104" s="46"/>
      <c r="AA104" s="46"/>
      <c r="AB104" s="46"/>
      <c r="AC104" s="46"/>
      <c r="AD104" s="46"/>
      <c r="AE104" s="46"/>
      <c r="AF104" s="46"/>
      <c r="AG104" s="46"/>
      <c r="AH104" s="46"/>
      <c r="AI104" s="46"/>
      <c r="AJ104" s="46"/>
      <c r="AK104" s="46"/>
      <c r="AL104" s="46"/>
      <c r="AM104" s="46"/>
      <c r="AN104" s="46"/>
      <c r="AO104" s="46"/>
      <c r="AP104" s="46"/>
      <c r="AQ104" s="46"/>
      <c r="AR104" s="46"/>
      <c r="AS104" s="46"/>
      <c r="AT104" s="46"/>
      <c r="AU104" s="46"/>
      <c r="AV104" s="46"/>
      <c r="AW104" s="46"/>
      <c r="AX104" s="46"/>
      <c r="AY104" s="46"/>
      <c r="AZ104" s="46"/>
      <c r="BA104" s="46"/>
      <c r="BB104" s="46"/>
      <c r="BC104" s="46"/>
      <c r="BD104" s="46"/>
      <c r="BE104" s="46"/>
    </row>
    <row r="105" spans="2:57" x14ac:dyDescent="0.2">
      <c r="B105" s="127" t="str">
        <f>IF(Capacity!N98="","",Capacity!N98)</f>
        <v/>
      </c>
      <c r="C105" s="131" t="str">
        <f t="shared" si="1"/>
        <v/>
      </c>
      <c r="D105" s="131" t="str">
        <f>IF(B105="","",Capacity!R98)</f>
        <v/>
      </c>
      <c r="F105" s="46"/>
      <c r="G105" s="46"/>
      <c r="H105" s="46"/>
      <c r="I105" s="46"/>
      <c r="J105" s="46"/>
      <c r="K105" s="46"/>
      <c r="L105" s="46"/>
      <c r="M105" s="46"/>
      <c r="N105" s="46"/>
      <c r="O105" s="46"/>
      <c r="P105" s="46"/>
      <c r="Q105" s="46"/>
      <c r="R105" s="46"/>
      <c r="S105" s="46"/>
      <c r="T105" s="46"/>
      <c r="U105" s="46"/>
      <c r="V105" s="46"/>
      <c r="W105" s="46"/>
      <c r="X105" s="46"/>
      <c r="Y105" s="46"/>
      <c r="Z105" s="46"/>
      <c r="AA105" s="46"/>
      <c r="AB105" s="46"/>
      <c r="AC105" s="46"/>
      <c r="AD105" s="46"/>
      <c r="AE105" s="46"/>
      <c r="AF105" s="46"/>
      <c r="AG105" s="46"/>
      <c r="AH105" s="46"/>
      <c r="AI105" s="46"/>
      <c r="AJ105" s="46"/>
      <c r="AK105" s="46"/>
      <c r="AL105" s="46"/>
      <c r="AM105" s="46"/>
      <c r="AN105" s="46"/>
      <c r="AO105" s="46"/>
      <c r="AP105" s="46"/>
      <c r="AQ105" s="46"/>
      <c r="AR105" s="46"/>
      <c r="AS105" s="46"/>
      <c r="AT105" s="46"/>
      <c r="AU105" s="46"/>
      <c r="AV105" s="46"/>
      <c r="AW105" s="46"/>
      <c r="AX105" s="46"/>
      <c r="AY105" s="46"/>
      <c r="AZ105" s="46"/>
      <c r="BA105" s="46"/>
      <c r="BB105" s="46"/>
      <c r="BC105" s="46"/>
      <c r="BD105" s="46"/>
      <c r="BE105" s="46"/>
    </row>
    <row r="106" spans="2:57" x14ac:dyDescent="0.2">
      <c r="B106" s="127" t="str">
        <f>IF(Capacity!N99="","",Capacity!N99)</f>
        <v/>
      </c>
      <c r="C106" s="131" t="str">
        <f t="shared" si="1"/>
        <v/>
      </c>
      <c r="D106" s="131" t="str">
        <f>IF(B106="","",Capacity!R99)</f>
        <v/>
      </c>
      <c r="F106" s="46"/>
      <c r="G106" s="46"/>
      <c r="H106" s="46"/>
      <c r="I106" s="46"/>
      <c r="J106" s="46"/>
      <c r="K106" s="46"/>
      <c r="L106" s="46"/>
      <c r="M106" s="46"/>
      <c r="N106" s="46"/>
      <c r="O106" s="46"/>
      <c r="P106" s="46"/>
      <c r="Q106" s="46"/>
      <c r="R106" s="46"/>
      <c r="S106" s="46"/>
      <c r="T106" s="46"/>
      <c r="U106" s="46"/>
      <c r="V106" s="46"/>
      <c r="W106" s="46"/>
      <c r="X106" s="46"/>
      <c r="Y106" s="46"/>
      <c r="Z106" s="46"/>
      <c r="AA106" s="46"/>
      <c r="AB106" s="46"/>
      <c r="AC106" s="46"/>
      <c r="AD106" s="46"/>
      <c r="AE106" s="46"/>
      <c r="AF106" s="46"/>
      <c r="AG106" s="46"/>
      <c r="AH106" s="46"/>
      <c r="AI106" s="46"/>
      <c r="AJ106" s="46"/>
      <c r="AK106" s="46"/>
      <c r="AL106" s="46"/>
      <c r="AM106" s="46"/>
      <c r="AN106" s="46"/>
      <c r="AO106" s="46"/>
      <c r="AP106" s="46"/>
      <c r="AQ106" s="46"/>
      <c r="AR106" s="46"/>
      <c r="AS106" s="46"/>
      <c r="AT106" s="46"/>
      <c r="AU106" s="46"/>
      <c r="AV106" s="46"/>
      <c r="AW106" s="46"/>
      <c r="AX106" s="46"/>
      <c r="AY106" s="46"/>
      <c r="AZ106" s="46"/>
      <c r="BA106" s="46"/>
      <c r="BB106" s="46"/>
      <c r="BC106" s="46"/>
      <c r="BD106" s="46"/>
      <c r="BE106" s="46"/>
    </row>
    <row r="107" spans="2:57" x14ac:dyDescent="0.2">
      <c r="B107" s="127" t="str">
        <f>IF(Capacity!N100="","",Capacity!N100)</f>
        <v/>
      </c>
      <c r="C107" s="131" t="str">
        <f t="shared" si="1"/>
        <v/>
      </c>
      <c r="D107" s="131" t="str">
        <f>IF(B107="","",Capacity!R100)</f>
        <v/>
      </c>
      <c r="F107" s="46"/>
      <c r="G107" s="46"/>
      <c r="H107" s="46"/>
      <c r="I107" s="46"/>
      <c r="J107" s="46"/>
      <c r="K107" s="46"/>
      <c r="L107" s="46"/>
      <c r="M107" s="46"/>
      <c r="N107" s="46"/>
      <c r="O107" s="46"/>
      <c r="P107" s="46"/>
      <c r="Q107" s="46"/>
      <c r="R107" s="46"/>
      <c r="S107" s="46"/>
      <c r="T107" s="46"/>
      <c r="U107" s="46"/>
      <c r="V107" s="46"/>
      <c r="W107" s="46"/>
      <c r="X107" s="46"/>
      <c r="Y107" s="46"/>
      <c r="Z107" s="46"/>
      <c r="AA107" s="46"/>
      <c r="AB107" s="46"/>
      <c r="AC107" s="46"/>
      <c r="AD107" s="46"/>
      <c r="AE107" s="46"/>
      <c r="AF107" s="46"/>
      <c r="AG107" s="46"/>
      <c r="AH107" s="46"/>
      <c r="AI107" s="46"/>
      <c r="AJ107" s="46"/>
      <c r="AK107" s="46"/>
      <c r="AL107" s="46"/>
      <c r="AM107" s="46"/>
      <c r="AN107" s="46"/>
      <c r="AO107" s="46"/>
      <c r="AP107" s="46"/>
      <c r="AQ107" s="46"/>
      <c r="AR107" s="46"/>
      <c r="AS107" s="46"/>
      <c r="AT107" s="46"/>
      <c r="AU107" s="46"/>
      <c r="AV107" s="46"/>
      <c r="AW107" s="46"/>
      <c r="AX107" s="46"/>
      <c r="AY107" s="46"/>
      <c r="AZ107" s="46"/>
      <c r="BA107" s="46"/>
      <c r="BB107" s="46"/>
      <c r="BC107" s="46"/>
      <c r="BD107" s="46"/>
      <c r="BE107" s="46"/>
    </row>
    <row r="108" spans="2:57" x14ac:dyDescent="0.2">
      <c r="B108" s="127" t="str">
        <f>IF(Capacity!N101="","",Capacity!N101)</f>
        <v/>
      </c>
      <c r="C108" s="131" t="str">
        <f t="shared" si="1"/>
        <v/>
      </c>
      <c r="D108" s="131" t="str">
        <f>IF(B108="","",Capacity!R101)</f>
        <v/>
      </c>
      <c r="F108" s="46"/>
      <c r="G108" s="46"/>
      <c r="H108" s="46"/>
      <c r="I108" s="46"/>
      <c r="J108" s="46"/>
      <c r="K108" s="46"/>
      <c r="L108" s="46"/>
      <c r="M108" s="46"/>
      <c r="N108" s="46"/>
      <c r="O108" s="46"/>
      <c r="P108" s="46"/>
      <c r="Q108" s="46"/>
      <c r="R108" s="46"/>
      <c r="S108" s="46"/>
      <c r="T108" s="46"/>
      <c r="U108" s="46"/>
      <c r="V108" s="46"/>
      <c r="W108" s="46"/>
      <c r="X108" s="46"/>
      <c r="Y108" s="46"/>
      <c r="Z108" s="46"/>
      <c r="AA108" s="46"/>
      <c r="AB108" s="46"/>
      <c r="AC108" s="46"/>
      <c r="AD108" s="46"/>
      <c r="AE108" s="46"/>
      <c r="AF108" s="46"/>
      <c r="AG108" s="46"/>
      <c r="AH108" s="46"/>
      <c r="AI108" s="46"/>
      <c r="AJ108" s="46"/>
      <c r="AK108" s="46"/>
      <c r="AL108" s="46"/>
      <c r="AM108" s="46"/>
      <c r="AN108" s="46"/>
      <c r="AO108" s="46"/>
      <c r="AP108" s="46"/>
      <c r="AQ108" s="46"/>
      <c r="AR108" s="46"/>
      <c r="AS108" s="46"/>
      <c r="AT108" s="46"/>
      <c r="AU108" s="46"/>
      <c r="AV108" s="46"/>
      <c r="AW108" s="46"/>
      <c r="AX108" s="46"/>
      <c r="AY108" s="46"/>
      <c r="AZ108" s="46"/>
      <c r="BA108" s="46"/>
      <c r="BB108" s="46"/>
      <c r="BC108" s="46"/>
      <c r="BD108" s="46"/>
      <c r="BE108" s="46"/>
    </row>
    <row r="109" spans="2:57" x14ac:dyDescent="0.2">
      <c r="B109" s="127" t="str">
        <f>IF(Capacity!N102="","",Capacity!N102)</f>
        <v/>
      </c>
      <c r="C109" s="131" t="str">
        <f t="shared" si="1"/>
        <v/>
      </c>
      <c r="D109" s="131" t="str">
        <f>IF(B109="","",Capacity!R102)</f>
        <v/>
      </c>
      <c r="F109" s="46"/>
      <c r="G109" s="46"/>
      <c r="H109" s="46"/>
      <c r="I109" s="46"/>
      <c r="J109" s="46"/>
      <c r="K109" s="46"/>
      <c r="L109" s="46"/>
      <c r="M109" s="46"/>
      <c r="N109" s="46"/>
      <c r="O109" s="46"/>
      <c r="P109" s="46"/>
      <c r="Q109" s="46"/>
      <c r="R109" s="46"/>
      <c r="S109" s="46"/>
      <c r="T109" s="46"/>
      <c r="U109" s="46"/>
      <c r="V109" s="46"/>
      <c r="W109" s="46"/>
      <c r="X109" s="46"/>
      <c r="Y109" s="46"/>
      <c r="Z109" s="46"/>
      <c r="AA109" s="46"/>
      <c r="AB109" s="46"/>
      <c r="AC109" s="46"/>
      <c r="AD109" s="46"/>
      <c r="AE109" s="46"/>
      <c r="AF109" s="46"/>
      <c r="AG109" s="46"/>
      <c r="AH109" s="46"/>
      <c r="AI109" s="46"/>
      <c r="AJ109" s="46"/>
      <c r="AK109" s="46"/>
      <c r="AL109" s="46"/>
      <c r="AM109" s="46"/>
      <c r="AN109" s="46"/>
      <c r="AO109" s="46"/>
      <c r="AP109" s="46"/>
      <c r="AQ109" s="46"/>
      <c r="AR109" s="46"/>
      <c r="AS109" s="46"/>
      <c r="AT109" s="46"/>
      <c r="AU109" s="46"/>
      <c r="AV109" s="46"/>
      <c r="AW109" s="46"/>
      <c r="AX109" s="46"/>
      <c r="AY109" s="46"/>
      <c r="AZ109" s="46"/>
      <c r="BA109" s="46"/>
      <c r="BB109" s="46"/>
      <c r="BC109" s="46"/>
      <c r="BD109" s="46"/>
      <c r="BE109" s="46"/>
    </row>
    <row r="110" spans="2:57" x14ac:dyDescent="0.2">
      <c r="B110" s="127" t="str">
        <f>IF(Capacity!N103="","",Capacity!N103)</f>
        <v/>
      </c>
      <c r="C110" s="131" t="str">
        <f t="shared" si="1"/>
        <v/>
      </c>
      <c r="D110" s="131" t="str">
        <f>IF(B110="","",Capacity!R103)</f>
        <v/>
      </c>
      <c r="F110" s="46"/>
      <c r="G110" s="46"/>
      <c r="H110" s="46"/>
      <c r="I110" s="46"/>
      <c r="J110" s="46"/>
      <c r="K110" s="46"/>
      <c r="L110" s="46"/>
      <c r="M110" s="46"/>
      <c r="N110" s="46"/>
      <c r="O110" s="46"/>
      <c r="P110" s="46"/>
      <c r="Q110" s="46"/>
      <c r="R110" s="46"/>
      <c r="S110" s="46"/>
      <c r="T110" s="46"/>
      <c r="U110" s="46"/>
      <c r="V110" s="46"/>
      <c r="W110" s="46"/>
      <c r="X110" s="46"/>
      <c r="Y110" s="46"/>
      <c r="Z110" s="46"/>
      <c r="AA110" s="46"/>
      <c r="AB110" s="46"/>
      <c r="AC110" s="46"/>
      <c r="AD110" s="46"/>
      <c r="AE110" s="46"/>
      <c r="AF110" s="46"/>
      <c r="AG110" s="46"/>
      <c r="AH110" s="46"/>
      <c r="AI110" s="46"/>
      <c r="AJ110" s="46"/>
      <c r="AK110" s="46"/>
      <c r="AL110" s="46"/>
      <c r="AM110" s="46"/>
      <c r="AN110" s="46"/>
      <c r="AO110" s="46"/>
      <c r="AP110" s="46"/>
      <c r="AQ110" s="46"/>
      <c r="AR110" s="46"/>
      <c r="AS110" s="46"/>
      <c r="AT110" s="46"/>
      <c r="AU110" s="46"/>
      <c r="AV110" s="46"/>
      <c r="AW110" s="46"/>
      <c r="AX110" s="46"/>
      <c r="AY110" s="46"/>
      <c r="AZ110" s="46"/>
      <c r="BA110" s="46"/>
      <c r="BB110" s="46"/>
      <c r="BC110" s="46"/>
      <c r="BD110" s="46"/>
      <c r="BE110" s="46"/>
    </row>
    <row r="111" spans="2:57" x14ac:dyDescent="0.2">
      <c r="B111" s="127" t="str">
        <f>IF(Capacity!N104="","",Capacity!N104)</f>
        <v/>
      </c>
      <c r="C111" s="131" t="str">
        <f t="shared" si="1"/>
        <v/>
      </c>
      <c r="D111" s="131" t="str">
        <f>IF(B111="","",Capacity!R104)</f>
        <v/>
      </c>
      <c r="F111" s="46"/>
      <c r="G111" s="46"/>
      <c r="H111" s="46"/>
      <c r="I111" s="46"/>
      <c r="J111" s="46"/>
      <c r="K111" s="46"/>
      <c r="L111" s="46"/>
      <c r="M111" s="46"/>
      <c r="N111" s="46"/>
      <c r="O111" s="46"/>
      <c r="P111" s="46"/>
      <c r="Q111" s="46"/>
      <c r="R111" s="46"/>
      <c r="S111" s="46"/>
      <c r="T111" s="46"/>
      <c r="U111" s="46"/>
      <c r="V111" s="46"/>
      <c r="W111" s="46"/>
      <c r="X111" s="46"/>
      <c r="Y111" s="46"/>
      <c r="Z111" s="46"/>
      <c r="AA111" s="46"/>
      <c r="AB111" s="46"/>
      <c r="AC111" s="46"/>
      <c r="AD111" s="46"/>
      <c r="AE111" s="46"/>
      <c r="AF111" s="46"/>
      <c r="AG111" s="46"/>
      <c r="AH111" s="46"/>
      <c r="AI111" s="46"/>
      <c r="AJ111" s="46"/>
      <c r="AK111" s="46"/>
      <c r="AL111" s="46"/>
      <c r="AM111" s="46"/>
      <c r="AN111" s="46"/>
      <c r="AO111" s="46"/>
      <c r="AP111" s="46"/>
      <c r="AQ111" s="46"/>
      <c r="AR111" s="46"/>
      <c r="AS111" s="46"/>
      <c r="AT111" s="46"/>
      <c r="AU111" s="46"/>
      <c r="AV111" s="46"/>
      <c r="AW111" s="46"/>
      <c r="AX111" s="46"/>
      <c r="AY111" s="46"/>
      <c r="AZ111" s="46"/>
      <c r="BA111" s="46"/>
      <c r="BB111" s="46"/>
      <c r="BC111" s="46"/>
      <c r="BD111" s="46"/>
      <c r="BE111" s="46"/>
    </row>
    <row r="112" spans="2:57" x14ac:dyDescent="0.2">
      <c r="B112" s="127" t="str">
        <f>IF(Capacity!N105="","",Capacity!N105)</f>
        <v/>
      </c>
      <c r="C112" s="131" t="str">
        <f t="shared" si="1"/>
        <v/>
      </c>
      <c r="D112" s="131" t="str">
        <f>IF(B112="","",Capacity!R105)</f>
        <v/>
      </c>
      <c r="F112" s="46"/>
      <c r="G112" s="46"/>
      <c r="H112" s="46"/>
      <c r="I112" s="46"/>
      <c r="J112" s="46"/>
      <c r="K112" s="46"/>
      <c r="L112" s="46"/>
      <c r="M112" s="46"/>
      <c r="N112" s="46"/>
      <c r="O112" s="46"/>
      <c r="P112" s="46"/>
      <c r="Q112" s="46"/>
      <c r="R112" s="46"/>
      <c r="S112" s="46"/>
      <c r="T112" s="46"/>
      <c r="U112" s="46"/>
      <c r="V112" s="46"/>
      <c r="W112" s="46"/>
      <c r="X112" s="46"/>
      <c r="Y112" s="46"/>
      <c r="Z112" s="46"/>
      <c r="AA112" s="46"/>
      <c r="AB112" s="46"/>
      <c r="AC112" s="46"/>
      <c r="AD112" s="46"/>
      <c r="AE112" s="46"/>
      <c r="AF112" s="46"/>
      <c r="AG112" s="46"/>
      <c r="AH112" s="46"/>
      <c r="AI112" s="46"/>
      <c r="AJ112" s="46"/>
      <c r="AK112" s="46"/>
      <c r="AL112" s="46"/>
      <c r="AM112" s="46"/>
      <c r="AN112" s="46"/>
      <c r="AO112" s="46"/>
      <c r="AP112" s="46"/>
      <c r="AQ112" s="46"/>
      <c r="AR112" s="46"/>
      <c r="AS112" s="46"/>
      <c r="AT112" s="46"/>
      <c r="AU112" s="46"/>
      <c r="AV112" s="46"/>
      <c r="AW112" s="46"/>
      <c r="AX112" s="46"/>
      <c r="AY112" s="46"/>
      <c r="AZ112" s="46"/>
      <c r="BA112" s="46"/>
      <c r="BB112" s="46"/>
      <c r="BC112" s="46"/>
      <c r="BD112" s="46"/>
      <c r="BE112" s="46"/>
    </row>
    <row r="113" spans="2:57" x14ac:dyDescent="0.2">
      <c r="B113" s="127" t="str">
        <f>IF(Capacity!N106="","",Capacity!N106)</f>
        <v/>
      </c>
      <c r="C113" s="131" t="str">
        <f t="shared" si="1"/>
        <v/>
      </c>
      <c r="D113" s="131" t="str">
        <f>IF(B113="","",Capacity!R106)</f>
        <v/>
      </c>
      <c r="F113" s="46"/>
      <c r="G113" s="46"/>
      <c r="H113" s="46"/>
      <c r="I113" s="46"/>
      <c r="J113" s="46"/>
      <c r="K113" s="46"/>
      <c r="L113" s="46"/>
      <c r="M113" s="46"/>
      <c r="N113" s="46"/>
      <c r="O113" s="46"/>
      <c r="P113" s="46"/>
      <c r="Q113" s="46"/>
      <c r="R113" s="46"/>
      <c r="S113" s="46"/>
      <c r="T113" s="46"/>
      <c r="U113" s="46"/>
      <c r="V113" s="46"/>
      <c r="W113" s="46"/>
      <c r="X113" s="46"/>
      <c r="Y113" s="46"/>
      <c r="Z113" s="46"/>
      <c r="AA113" s="46"/>
      <c r="AB113" s="46"/>
      <c r="AC113" s="46"/>
      <c r="AD113" s="46"/>
      <c r="AE113" s="46"/>
      <c r="AF113" s="46"/>
      <c r="AG113" s="46"/>
      <c r="AH113" s="46"/>
      <c r="AI113" s="46"/>
      <c r="AJ113" s="46"/>
      <c r="AK113" s="46"/>
      <c r="AL113" s="46"/>
      <c r="AM113" s="46"/>
      <c r="AN113" s="46"/>
      <c r="AO113" s="46"/>
      <c r="AP113" s="46"/>
      <c r="AQ113" s="46"/>
      <c r="AR113" s="46"/>
      <c r="AS113" s="46"/>
      <c r="AT113" s="46"/>
      <c r="AU113" s="46"/>
      <c r="AV113" s="46"/>
      <c r="AW113" s="46"/>
      <c r="AX113" s="46"/>
      <c r="AY113" s="46"/>
      <c r="AZ113" s="46"/>
      <c r="BA113" s="46"/>
      <c r="BB113" s="46"/>
      <c r="BC113" s="46"/>
      <c r="BD113" s="46"/>
      <c r="BE113" s="46"/>
    </row>
    <row r="114" spans="2:57" x14ac:dyDescent="0.2">
      <c r="B114" s="127" t="str">
        <f>IF(Capacity!N107="","",Capacity!N107)</f>
        <v/>
      </c>
      <c r="C114" s="131" t="str">
        <f t="shared" si="1"/>
        <v/>
      </c>
      <c r="D114" s="131" t="str">
        <f>IF(B114="","",Capacity!R107)</f>
        <v/>
      </c>
      <c r="F114" s="46"/>
      <c r="G114" s="46"/>
      <c r="H114" s="46"/>
      <c r="I114" s="46"/>
      <c r="J114" s="46"/>
      <c r="K114" s="46"/>
      <c r="L114" s="46"/>
      <c r="M114" s="46"/>
      <c r="N114" s="46"/>
      <c r="O114" s="46"/>
      <c r="P114" s="46"/>
      <c r="Q114" s="46"/>
      <c r="R114" s="46"/>
      <c r="S114" s="46"/>
      <c r="T114" s="46"/>
      <c r="U114" s="46"/>
      <c r="V114" s="46"/>
      <c r="W114" s="46"/>
      <c r="X114" s="46"/>
      <c r="Y114" s="46"/>
      <c r="Z114" s="46"/>
      <c r="AA114" s="46"/>
      <c r="AB114" s="46"/>
      <c r="AC114" s="46"/>
      <c r="AD114" s="46"/>
      <c r="AE114" s="46"/>
      <c r="AF114" s="46"/>
      <c r="AG114" s="46"/>
      <c r="AH114" s="46"/>
      <c r="AI114" s="46"/>
      <c r="AJ114" s="46"/>
      <c r="AK114" s="46"/>
      <c r="AL114" s="46"/>
      <c r="AM114" s="46"/>
      <c r="AN114" s="46"/>
      <c r="AO114" s="46"/>
      <c r="AP114" s="46"/>
      <c r="AQ114" s="46"/>
      <c r="AR114" s="46"/>
      <c r="AS114" s="46"/>
      <c r="AT114" s="46"/>
      <c r="AU114" s="46"/>
      <c r="AV114" s="46"/>
      <c r="AW114" s="46"/>
      <c r="AX114" s="46"/>
      <c r="AY114" s="46"/>
      <c r="AZ114" s="46"/>
      <c r="BA114" s="46"/>
      <c r="BB114" s="46"/>
      <c r="BC114" s="46"/>
      <c r="BD114" s="46"/>
      <c r="BE114" s="46"/>
    </row>
    <row r="115" spans="2:57" x14ac:dyDescent="0.2">
      <c r="B115" s="127" t="str">
        <f>IF(Capacity!N108="","",Capacity!N108)</f>
        <v/>
      </c>
      <c r="C115" s="131" t="str">
        <f t="shared" si="1"/>
        <v/>
      </c>
      <c r="D115" s="131" t="str">
        <f>IF(B115="","",Capacity!R108)</f>
        <v/>
      </c>
      <c r="F115" s="46"/>
      <c r="G115" s="46"/>
      <c r="H115" s="46"/>
      <c r="I115" s="46"/>
      <c r="J115" s="46"/>
      <c r="K115" s="46"/>
      <c r="L115" s="46"/>
      <c r="M115" s="46"/>
      <c r="N115" s="46"/>
      <c r="O115" s="46"/>
      <c r="P115" s="46"/>
      <c r="Q115" s="46"/>
      <c r="R115" s="46"/>
      <c r="S115" s="46"/>
      <c r="T115" s="46"/>
      <c r="U115" s="46"/>
      <c r="V115" s="46"/>
      <c r="W115" s="46"/>
      <c r="X115" s="46"/>
      <c r="Y115" s="46"/>
      <c r="Z115" s="46"/>
      <c r="AA115" s="46"/>
      <c r="AB115" s="46"/>
      <c r="AC115" s="46"/>
      <c r="AD115" s="46"/>
      <c r="AE115" s="46"/>
      <c r="AF115" s="46"/>
      <c r="AG115" s="46"/>
      <c r="AH115" s="46"/>
      <c r="AI115" s="46"/>
      <c r="AJ115" s="46"/>
      <c r="AK115" s="46"/>
      <c r="AL115" s="46"/>
      <c r="AM115" s="46"/>
      <c r="AN115" s="46"/>
      <c r="AO115" s="46"/>
      <c r="AP115" s="46"/>
      <c r="AQ115" s="46"/>
      <c r="AR115" s="46"/>
      <c r="AS115" s="46"/>
      <c r="AT115" s="46"/>
      <c r="AU115" s="46"/>
      <c r="AV115" s="46"/>
      <c r="AW115" s="46"/>
      <c r="AX115" s="46"/>
      <c r="AY115" s="46"/>
      <c r="AZ115" s="46"/>
      <c r="BA115" s="46"/>
      <c r="BB115" s="46"/>
      <c r="BC115" s="46"/>
      <c r="BD115" s="46"/>
      <c r="BE115" s="46"/>
    </row>
    <row r="116" spans="2:57" x14ac:dyDescent="0.2">
      <c r="B116" s="127" t="str">
        <f>IF(Capacity!N109="","",Capacity!N109)</f>
        <v/>
      </c>
      <c r="C116" s="131" t="str">
        <f t="shared" si="1"/>
        <v/>
      </c>
      <c r="D116" s="131" t="str">
        <f>IF(B116="","",Capacity!R109)</f>
        <v/>
      </c>
      <c r="F116" s="46"/>
      <c r="G116" s="46"/>
      <c r="H116" s="46"/>
      <c r="I116" s="46"/>
      <c r="J116" s="46"/>
      <c r="K116" s="46"/>
      <c r="L116" s="46"/>
      <c r="M116" s="46"/>
      <c r="N116" s="46"/>
      <c r="O116" s="46"/>
      <c r="P116" s="46"/>
      <c r="Q116" s="46"/>
      <c r="R116" s="46"/>
      <c r="S116" s="46"/>
      <c r="T116" s="46"/>
      <c r="U116" s="46"/>
      <c r="V116" s="46"/>
      <c r="W116" s="46"/>
      <c r="X116" s="46"/>
      <c r="Y116" s="46"/>
      <c r="Z116" s="46"/>
      <c r="AA116" s="46"/>
      <c r="AB116" s="46"/>
      <c r="AC116" s="46"/>
      <c r="AD116" s="46"/>
      <c r="AE116" s="46"/>
      <c r="AF116" s="46"/>
      <c r="AG116" s="46"/>
      <c r="AH116" s="46"/>
      <c r="AI116" s="46"/>
      <c r="AJ116" s="46"/>
      <c r="AK116" s="46"/>
      <c r="AL116" s="46"/>
      <c r="AM116" s="46"/>
      <c r="AN116" s="46"/>
      <c r="AO116" s="46"/>
      <c r="AP116" s="46"/>
      <c r="AQ116" s="46"/>
      <c r="AR116" s="46"/>
      <c r="AS116" s="46"/>
      <c r="AT116" s="46"/>
      <c r="AU116" s="46"/>
      <c r="AV116" s="46"/>
      <c r="AW116" s="46"/>
      <c r="AX116" s="46"/>
      <c r="AY116" s="46"/>
      <c r="AZ116" s="46"/>
      <c r="BA116" s="46"/>
      <c r="BB116" s="46"/>
      <c r="BC116" s="46"/>
      <c r="BD116" s="46"/>
      <c r="BE116" s="46"/>
    </row>
    <row r="117" spans="2:57" x14ac:dyDescent="0.2">
      <c r="B117" s="127" t="str">
        <f>IF(Capacity!N110="","",Capacity!N110)</f>
        <v/>
      </c>
      <c r="C117" s="131" t="str">
        <f t="shared" si="1"/>
        <v/>
      </c>
      <c r="D117" s="131" t="str">
        <f>IF(B117="","",Capacity!R110)</f>
        <v/>
      </c>
      <c r="F117" s="46"/>
      <c r="G117" s="46"/>
      <c r="H117" s="46"/>
      <c r="I117" s="46"/>
      <c r="J117" s="46"/>
      <c r="K117" s="46"/>
      <c r="L117" s="46"/>
      <c r="M117" s="46"/>
      <c r="N117" s="46"/>
      <c r="O117" s="46"/>
      <c r="P117" s="46"/>
      <c r="Q117" s="46"/>
      <c r="R117" s="46"/>
      <c r="S117" s="46"/>
      <c r="T117" s="46"/>
      <c r="U117" s="46"/>
      <c r="V117" s="46"/>
      <c r="W117" s="46"/>
      <c r="X117" s="46"/>
      <c r="Y117" s="46"/>
      <c r="Z117" s="46"/>
      <c r="AA117" s="46"/>
      <c r="AB117" s="46"/>
      <c r="AC117" s="46"/>
      <c r="AD117" s="46"/>
      <c r="AE117" s="46"/>
      <c r="AF117" s="46"/>
      <c r="AG117" s="46"/>
      <c r="AH117" s="46"/>
      <c r="AI117" s="46"/>
      <c r="AJ117" s="46"/>
      <c r="AK117" s="46"/>
      <c r="AL117" s="46"/>
      <c r="AM117" s="46"/>
      <c r="AN117" s="46"/>
      <c r="AO117" s="46"/>
      <c r="AP117" s="46"/>
      <c r="AQ117" s="46"/>
      <c r="AR117" s="46"/>
      <c r="AS117" s="46"/>
      <c r="AT117" s="46"/>
      <c r="AU117" s="46"/>
      <c r="AV117" s="46"/>
      <c r="AW117" s="46"/>
      <c r="AX117" s="46"/>
      <c r="AY117" s="46"/>
      <c r="AZ117" s="46"/>
      <c r="BA117" s="46"/>
      <c r="BB117" s="46"/>
      <c r="BC117" s="46"/>
      <c r="BD117" s="46"/>
      <c r="BE117" s="46"/>
    </row>
    <row r="118" spans="2:57" x14ac:dyDescent="0.2">
      <c r="B118" s="127" t="str">
        <f>IF(Capacity!N111="","",Capacity!N111)</f>
        <v/>
      </c>
      <c r="C118" s="131" t="str">
        <f t="shared" si="1"/>
        <v/>
      </c>
      <c r="D118" s="131" t="str">
        <f>IF(B118="","",Capacity!R111)</f>
        <v/>
      </c>
      <c r="F118" s="46"/>
      <c r="G118" s="46"/>
      <c r="H118" s="46"/>
      <c r="I118" s="46"/>
      <c r="J118" s="46"/>
      <c r="K118" s="46"/>
      <c r="L118" s="46"/>
      <c r="M118" s="46"/>
      <c r="N118" s="46"/>
      <c r="O118" s="46"/>
      <c r="P118" s="46"/>
      <c r="Q118" s="46"/>
      <c r="R118" s="46"/>
      <c r="S118" s="46"/>
      <c r="T118" s="46"/>
      <c r="U118" s="46"/>
      <c r="V118" s="46"/>
      <c r="W118" s="46"/>
      <c r="X118" s="46"/>
      <c r="Y118" s="46"/>
      <c r="Z118" s="46"/>
      <c r="AA118" s="46"/>
      <c r="AB118" s="46"/>
      <c r="AC118" s="46"/>
      <c r="AD118" s="46"/>
      <c r="AE118" s="46"/>
      <c r="AF118" s="46"/>
      <c r="AG118" s="46"/>
      <c r="AH118" s="46"/>
      <c r="AI118" s="46"/>
      <c r="AJ118" s="46"/>
      <c r="AK118" s="46"/>
      <c r="AL118" s="46"/>
      <c r="AM118" s="46"/>
      <c r="AN118" s="46"/>
      <c r="AO118" s="46"/>
      <c r="AP118" s="46"/>
      <c r="AQ118" s="46"/>
      <c r="AR118" s="46"/>
      <c r="AS118" s="46"/>
      <c r="AT118" s="46"/>
      <c r="AU118" s="46"/>
      <c r="AV118" s="46"/>
      <c r="AW118" s="46"/>
      <c r="AX118" s="46"/>
      <c r="AY118" s="46"/>
      <c r="AZ118" s="46"/>
      <c r="BA118" s="46"/>
      <c r="BB118" s="46"/>
      <c r="BC118" s="46"/>
      <c r="BD118" s="46"/>
      <c r="BE118" s="46"/>
    </row>
    <row r="119" spans="2:57" x14ac:dyDescent="0.2">
      <c r="B119" s="127" t="str">
        <f>IF(Capacity!N112="","",Capacity!N112)</f>
        <v/>
      </c>
      <c r="C119" s="131" t="str">
        <f t="shared" si="1"/>
        <v/>
      </c>
      <c r="D119" s="131" t="str">
        <f>IF(B119="","",Capacity!R112)</f>
        <v/>
      </c>
      <c r="F119" s="46"/>
      <c r="G119" s="46"/>
      <c r="H119" s="46"/>
      <c r="I119" s="46"/>
      <c r="J119" s="46"/>
      <c r="K119" s="46"/>
      <c r="L119" s="46"/>
      <c r="M119" s="46"/>
      <c r="N119" s="46"/>
      <c r="O119" s="46"/>
      <c r="P119" s="46"/>
      <c r="Q119" s="46"/>
      <c r="R119" s="46"/>
      <c r="S119" s="46"/>
      <c r="T119" s="46"/>
      <c r="U119" s="46"/>
      <c r="V119" s="46"/>
      <c r="W119" s="46"/>
      <c r="X119" s="46"/>
      <c r="Y119" s="46"/>
      <c r="Z119" s="46"/>
      <c r="AA119" s="46"/>
      <c r="AB119" s="46"/>
      <c r="AC119" s="46"/>
      <c r="AD119" s="46"/>
      <c r="AE119" s="46"/>
      <c r="AF119" s="46"/>
      <c r="AG119" s="46"/>
      <c r="AH119" s="46"/>
      <c r="AI119" s="46"/>
      <c r="AJ119" s="46"/>
      <c r="AK119" s="46"/>
      <c r="AL119" s="46"/>
      <c r="AM119" s="46"/>
      <c r="AN119" s="46"/>
      <c r="AO119" s="46"/>
      <c r="AP119" s="46"/>
      <c r="AQ119" s="46"/>
      <c r="AR119" s="46"/>
      <c r="AS119" s="46"/>
      <c r="AT119" s="46"/>
      <c r="AU119" s="46"/>
      <c r="AV119" s="46"/>
      <c r="AW119" s="46"/>
      <c r="AX119" s="46"/>
      <c r="AY119" s="46"/>
      <c r="AZ119" s="46"/>
      <c r="BA119" s="46"/>
      <c r="BB119" s="46"/>
      <c r="BC119" s="46"/>
      <c r="BD119" s="46"/>
      <c r="BE119" s="46"/>
    </row>
    <row r="120" spans="2:57" x14ac:dyDescent="0.2">
      <c r="B120" s="127" t="str">
        <f>IF(Capacity!N113="","",Capacity!N113)</f>
        <v/>
      </c>
      <c r="C120" s="131" t="str">
        <f t="shared" si="1"/>
        <v/>
      </c>
      <c r="D120" s="131" t="str">
        <f>IF(B120="","",Capacity!R113)</f>
        <v/>
      </c>
      <c r="F120" s="46"/>
      <c r="G120" s="46"/>
      <c r="H120" s="46"/>
      <c r="I120" s="46"/>
      <c r="J120" s="46"/>
      <c r="K120" s="46"/>
      <c r="L120" s="46"/>
      <c r="M120" s="46"/>
      <c r="N120" s="46"/>
      <c r="O120" s="46"/>
      <c r="P120" s="46"/>
      <c r="Q120" s="46"/>
      <c r="R120" s="46"/>
      <c r="S120" s="46"/>
      <c r="T120" s="46"/>
      <c r="U120" s="46"/>
      <c r="V120" s="46"/>
      <c r="W120" s="46"/>
      <c r="X120" s="46"/>
      <c r="Y120" s="46"/>
      <c r="Z120" s="46"/>
      <c r="AA120" s="46"/>
      <c r="AB120" s="46"/>
      <c r="AC120" s="46"/>
      <c r="AD120" s="46"/>
      <c r="AE120" s="46"/>
      <c r="AF120" s="46"/>
      <c r="AG120" s="46"/>
      <c r="AH120" s="46"/>
      <c r="AI120" s="46"/>
      <c r="AJ120" s="46"/>
      <c r="AK120" s="46"/>
      <c r="AL120" s="46"/>
      <c r="AM120" s="46"/>
      <c r="AN120" s="46"/>
      <c r="AO120" s="46"/>
      <c r="AP120" s="46"/>
      <c r="AQ120" s="46"/>
      <c r="AR120" s="46"/>
      <c r="AS120" s="46"/>
      <c r="AT120" s="46"/>
      <c r="AU120" s="46"/>
      <c r="AV120" s="46"/>
      <c r="AW120" s="46"/>
      <c r="AX120" s="46"/>
      <c r="AY120" s="46"/>
      <c r="AZ120" s="46"/>
      <c r="BA120" s="46"/>
      <c r="BB120" s="46"/>
      <c r="BC120" s="46"/>
      <c r="BD120" s="46"/>
      <c r="BE120" s="46"/>
    </row>
    <row r="121" spans="2:57" x14ac:dyDescent="0.2">
      <c r="B121" s="127" t="str">
        <f>IF(Capacity!N114="","",Capacity!N114)</f>
        <v/>
      </c>
      <c r="C121" s="131" t="str">
        <f t="shared" si="1"/>
        <v/>
      </c>
      <c r="D121" s="131" t="str">
        <f>IF(B121="","",Capacity!R114)</f>
        <v/>
      </c>
      <c r="F121" s="46"/>
      <c r="G121" s="46"/>
      <c r="H121" s="46"/>
      <c r="I121" s="46"/>
      <c r="J121" s="46"/>
      <c r="K121" s="46"/>
      <c r="L121" s="46"/>
      <c r="M121" s="46"/>
      <c r="N121" s="46"/>
      <c r="O121" s="46"/>
      <c r="P121" s="46"/>
      <c r="Q121" s="46"/>
      <c r="R121" s="46"/>
      <c r="S121" s="46"/>
      <c r="T121" s="46"/>
      <c r="U121" s="46"/>
      <c r="V121" s="46"/>
      <c r="W121" s="46"/>
      <c r="X121" s="46"/>
      <c r="Y121" s="46"/>
      <c r="Z121" s="46"/>
      <c r="AA121" s="46"/>
      <c r="AB121" s="46"/>
      <c r="AC121" s="46"/>
      <c r="AD121" s="46"/>
      <c r="AE121" s="46"/>
      <c r="AF121" s="46"/>
      <c r="AG121" s="46"/>
      <c r="AH121" s="46"/>
      <c r="AI121" s="46"/>
      <c r="AJ121" s="46"/>
      <c r="AK121" s="46"/>
      <c r="AL121" s="46"/>
      <c r="AM121" s="46"/>
      <c r="AN121" s="46"/>
      <c r="AO121" s="46"/>
      <c r="AP121" s="46"/>
      <c r="AQ121" s="46"/>
      <c r="AR121" s="46"/>
      <c r="AS121" s="46"/>
      <c r="AT121" s="46"/>
      <c r="AU121" s="46"/>
      <c r="AV121" s="46"/>
      <c r="AW121" s="46"/>
      <c r="AX121" s="46"/>
      <c r="AY121" s="46"/>
      <c r="AZ121" s="46"/>
      <c r="BA121" s="46"/>
      <c r="BB121" s="46"/>
      <c r="BC121" s="46"/>
      <c r="BD121" s="46"/>
      <c r="BE121" s="46"/>
    </row>
    <row r="122" spans="2:57" x14ac:dyDescent="0.2">
      <c r="B122" s="127" t="str">
        <f>IF(Capacity!N115="","",Capacity!N115)</f>
        <v/>
      </c>
      <c r="C122" s="131" t="str">
        <f t="shared" si="1"/>
        <v/>
      </c>
      <c r="D122" s="131" t="str">
        <f>IF(B122="","",Capacity!R115)</f>
        <v/>
      </c>
      <c r="F122" s="46"/>
      <c r="G122" s="46"/>
      <c r="H122" s="46"/>
      <c r="I122" s="46"/>
      <c r="J122" s="46"/>
      <c r="K122" s="46"/>
      <c r="L122" s="46"/>
      <c r="M122" s="46"/>
      <c r="N122" s="46"/>
      <c r="O122" s="46"/>
      <c r="P122" s="46"/>
      <c r="Q122" s="46"/>
      <c r="R122" s="46"/>
      <c r="S122" s="46"/>
      <c r="T122" s="46"/>
      <c r="U122" s="46"/>
      <c r="V122" s="46"/>
      <c r="W122" s="46"/>
      <c r="X122" s="46"/>
      <c r="Y122" s="46"/>
      <c r="Z122" s="46"/>
      <c r="AA122" s="46"/>
      <c r="AB122" s="46"/>
      <c r="AC122" s="46"/>
      <c r="AD122" s="46"/>
      <c r="AE122" s="46"/>
      <c r="AF122" s="46"/>
      <c r="AG122" s="46"/>
      <c r="AH122" s="46"/>
      <c r="AI122" s="46"/>
      <c r="AJ122" s="46"/>
      <c r="AK122" s="46"/>
      <c r="AL122" s="46"/>
      <c r="AM122" s="46"/>
      <c r="AN122" s="46"/>
      <c r="AO122" s="46"/>
      <c r="AP122" s="46"/>
      <c r="AQ122" s="46"/>
      <c r="AR122" s="46"/>
      <c r="AS122" s="46"/>
      <c r="AT122" s="46"/>
      <c r="AU122" s="46"/>
      <c r="AV122" s="46"/>
      <c r="AW122" s="46"/>
      <c r="AX122" s="46"/>
      <c r="AY122" s="46"/>
      <c r="AZ122" s="46"/>
      <c r="BA122" s="46"/>
      <c r="BB122" s="46"/>
      <c r="BC122" s="46"/>
      <c r="BD122" s="46"/>
      <c r="BE122" s="46"/>
    </row>
    <row r="123" spans="2:57" x14ac:dyDescent="0.2">
      <c r="B123" s="127" t="str">
        <f>IF(Capacity!N116="","",Capacity!N116)</f>
        <v/>
      </c>
      <c r="C123" s="131" t="str">
        <f t="shared" si="1"/>
        <v/>
      </c>
      <c r="D123" s="131" t="str">
        <f>IF(B123="","",Capacity!R116)</f>
        <v/>
      </c>
      <c r="F123" s="46"/>
      <c r="G123" s="46"/>
      <c r="H123" s="46"/>
      <c r="I123" s="46"/>
      <c r="J123" s="46"/>
      <c r="K123" s="46"/>
      <c r="L123" s="46"/>
      <c r="M123" s="46"/>
      <c r="N123" s="46"/>
      <c r="O123" s="46"/>
      <c r="P123" s="46"/>
      <c r="Q123" s="46"/>
      <c r="R123" s="46"/>
      <c r="S123" s="46"/>
      <c r="T123" s="46"/>
      <c r="U123" s="46"/>
      <c r="V123" s="46"/>
      <c r="W123" s="46"/>
      <c r="X123" s="46"/>
      <c r="Y123" s="46"/>
      <c r="Z123" s="46"/>
      <c r="AA123" s="46"/>
      <c r="AB123" s="46"/>
      <c r="AC123" s="46"/>
      <c r="AD123" s="46"/>
      <c r="AE123" s="46"/>
      <c r="AF123" s="46"/>
      <c r="AG123" s="46"/>
      <c r="AH123" s="46"/>
      <c r="AI123" s="46"/>
      <c r="AJ123" s="46"/>
      <c r="AK123" s="46"/>
      <c r="AL123" s="46"/>
      <c r="AM123" s="46"/>
      <c r="AN123" s="46"/>
      <c r="AO123" s="46"/>
      <c r="AP123" s="46"/>
      <c r="AQ123" s="46"/>
      <c r="AR123" s="46"/>
      <c r="AS123" s="46"/>
      <c r="AT123" s="46"/>
      <c r="AU123" s="46"/>
      <c r="AV123" s="46"/>
      <c r="AW123" s="46"/>
      <c r="AX123" s="46"/>
      <c r="AY123" s="46"/>
      <c r="AZ123" s="46"/>
      <c r="BA123" s="46"/>
      <c r="BB123" s="46"/>
      <c r="BC123" s="46"/>
      <c r="BD123" s="46"/>
      <c r="BE123" s="46"/>
    </row>
    <row r="126" spans="2:57" x14ac:dyDescent="0.2">
      <c r="B126" s="127"/>
    </row>
    <row r="135" hidden="1" x14ac:dyDescent="0.2"/>
    <row r="136" hidden="1" x14ac:dyDescent="0.2"/>
    <row r="137" hidden="1" x14ac:dyDescent="0.2"/>
    <row r="138" hidden="1" x14ac:dyDescent="0.2"/>
    <row r="139" hidden="1" x14ac:dyDescent="0.2"/>
    <row r="140" hidden="1" x14ac:dyDescent="0.2"/>
    <row r="141" hidden="1" x14ac:dyDescent="0.2"/>
    <row r="142" hidden="1" x14ac:dyDescent="0.2"/>
    <row r="143" hidden="1" x14ac:dyDescent="0.2"/>
    <row r="144" hidden="1" x14ac:dyDescent="0.2"/>
    <row r="145" hidden="1" x14ac:dyDescent="0.2"/>
    <row r="146" hidden="1" x14ac:dyDescent="0.2"/>
    <row r="147" hidden="1" x14ac:dyDescent="0.2"/>
    <row r="148" hidden="1" x14ac:dyDescent="0.2"/>
    <row r="149" hidden="1" x14ac:dyDescent="0.2"/>
    <row r="150" hidden="1" x14ac:dyDescent="0.2"/>
    <row r="151" hidden="1" x14ac:dyDescent="0.2"/>
    <row r="152" hidden="1" x14ac:dyDescent="0.2"/>
    <row r="153" hidden="1" x14ac:dyDescent="0.2"/>
    <row r="154" hidden="1" x14ac:dyDescent="0.2"/>
    <row r="155" hidden="1" x14ac:dyDescent="0.2"/>
    <row r="156" hidden="1" x14ac:dyDescent="0.2"/>
    <row r="157" hidden="1" x14ac:dyDescent="0.2"/>
    <row r="158" hidden="1" x14ac:dyDescent="0.2"/>
    <row r="159" hidden="1" x14ac:dyDescent="0.2"/>
    <row r="160" hidden="1" x14ac:dyDescent="0.2"/>
    <row r="161" hidden="1" x14ac:dyDescent="0.2"/>
    <row r="162" hidden="1" x14ac:dyDescent="0.2"/>
    <row r="163" hidden="1" x14ac:dyDescent="0.2"/>
    <row r="164" hidden="1" x14ac:dyDescent="0.2"/>
    <row r="165" hidden="1" x14ac:dyDescent="0.2"/>
    <row r="166" hidden="1" x14ac:dyDescent="0.2"/>
    <row r="167" hidden="1" x14ac:dyDescent="0.2"/>
    <row r="168" hidden="1" x14ac:dyDescent="0.2"/>
    <row r="169" hidden="1" x14ac:dyDescent="0.2"/>
    <row r="170" hidden="1" x14ac:dyDescent="0.2"/>
    <row r="171" hidden="1" x14ac:dyDescent="0.2"/>
    <row r="172" hidden="1" x14ac:dyDescent="0.2"/>
    <row r="173" hidden="1" x14ac:dyDescent="0.2"/>
    <row r="174" hidden="1" x14ac:dyDescent="0.2"/>
    <row r="175" hidden="1" x14ac:dyDescent="0.2"/>
    <row r="176" hidden="1" x14ac:dyDescent="0.2"/>
    <row r="177" hidden="1" x14ac:dyDescent="0.2"/>
    <row r="178" hidden="1" x14ac:dyDescent="0.2"/>
    <row r="179" hidden="1" x14ac:dyDescent="0.2"/>
    <row r="180" hidden="1" x14ac:dyDescent="0.2"/>
    <row r="181" hidden="1" x14ac:dyDescent="0.2"/>
    <row r="182" hidden="1" x14ac:dyDescent="0.2"/>
    <row r="183" hidden="1" x14ac:dyDescent="0.2"/>
    <row r="184" hidden="1" x14ac:dyDescent="0.2"/>
    <row r="185" hidden="1" x14ac:dyDescent="0.2"/>
    <row r="186" hidden="1" x14ac:dyDescent="0.2"/>
    <row r="187" hidden="1" x14ac:dyDescent="0.2"/>
    <row r="188" hidden="1" x14ac:dyDescent="0.2"/>
    <row r="189" hidden="1" x14ac:dyDescent="0.2"/>
    <row r="190" hidden="1" x14ac:dyDescent="0.2"/>
    <row r="191" hidden="1" x14ac:dyDescent="0.2"/>
    <row r="192" hidden="1" x14ac:dyDescent="0.2"/>
    <row r="193" hidden="1" x14ac:dyDescent="0.2"/>
    <row r="194" hidden="1" x14ac:dyDescent="0.2"/>
    <row r="195" hidden="1" x14ac:dyDescent="0.2"/>
    <row r="196" hidden="1" x14ac:dyDescent="0.2"/>
    <row r="197" hidden="1" x14ac:dyDescent="0.2"/>
    <row r="198" hidden="1" x14ac:dyDescent="0.2"/>
    <row r="199" hidden="1" x14ac:dyDescent="0.2"/>
    <row r="200" hidden="1" x14ac:dyDescent="0.2"/>
    <row r="201" hidden="1" x14ac:dyDescent="0.2"/>
    <row r="202" hidden="1" x14ac:dyDescent="0.2"/>
    <row r="203" hidden="1" x14ac:dyDescent="0.2"/>
    <row r="204" hidden="1" x14ac:dyDescent="0.2"/>
    <row r="205" hidden="1" x14ac:dyDescent="0.2"/>
    <row r="206" hidden="1" x14ac:dyDescent="0.2"/>
    <row r="207" hidden="1" x14ac:dyDescent="0.2"/>
    <row r="208" hidden="1" x14ac:dyDescent="0.2"/>
    <row r="209" hidden="1" x14ac:dyDescent="0.2"/>
    <row r="210" hidden="1" x14ac:dyDescent="0.2"/>
    <row r="211" hidden="1" x14ac:dyDescent="0.2"/>
    <row r="212" hidden="1" x14ac:dyDescent="0.2"/>
    <row r="213" hidden="1" x14ac:dyDescent="0.2"/>
    <row r="214" hidden="1" x14ac:dyDescent="0.2"/>
    <row r="215" hidden="1" x14ac:dyDescent="0.2"/>
    <row r="216" hidden="1" x14ac:dyDescent="0.2"/>
    <row r="217" hidden="1" x14ac:dyDescent="0.2"/>
    <row r="218" hidden="1" x14ac:dyDescent="0.2"/>
    <row r="219" hidden="1" x14ac:dyDescent="0.2"/>
    <row r="220" hidden="1" x14ac:dyDescent="0.2"/>
    <row r="221" hidden="1" x14ac:dyDescent="0.2"/>
    <row r="222" hidden="1" x14ac:dyDescent="0.2"/>
    <row r="223" hidden="1" x14ac:dyDescent="0.2"/>
    <row r="224" hidden="1" x14ac:dyDescent="0.2"/>
    <row r="225" hidden="1" x14ac:dyDescent="0.2"/>
    <row r="226" hidden="1" x14ac:dyDescent="0.2"/>
    <row r="227" hidden="1" x14ac:dyDescent="0.2"/>
    <row r="228" hidden="1" x14ac:dyDescent="0.2"/>
    <row r="229" hidden="1" x14ac:dyDescent="0.2"/>
    <row r="230" hidden="1" x14ac:dyDescent="0.2"/>
    <row r="231" hidden="1" x14ac:dyDescent="0.2"/>
    <row r="232" hidden="1" x14ac:dyDescent="0.2"/>
    <row r="233" hidden="1" x14ac:dyDescent="0.2"/>
    <row r="234" hidden="1" x14ac:dyDescent="0.2"/>
  </sheetData>
  <sheetProtection algorithmName="SHA-512" hashValue="DmL4V28VlJNiYHMhs5bhvgwrP/XofTsisoDBAiDqoq8uMlVBTVNQ0FTYBQCQF8JPluzAfzjXcETaqx2dPQn07A==" saltValue="hABaP+fwPv1FAl7PHmmNFA==" spinCount="100000" sheet="1" objects="1" scenarios="1"/>
  <mergeCells count="2">
    <mergeCell ref="B22:B24"/>
    <mergeCell ref="C22:D23"/>
  </mergeCells>
  <conditionalFormatting sqref="F25:BE123 B25:D123">
    <cfRule type="expression" dxfId="2" priority="3">
      <formula>IF($B25="",FALSE,TRUE)</formula>
    </cfRule>
  </conditionalFormatting>
  <conditionalFormatting sqref="C26:C123">
    <cfRule type="expression" dxfId="1" priority="2">
      <formula>IF($B26&lt;&gt;"",TRUE,FALSE)</formula>
    </cfRule>
  </conditionalFormatting>
  <conditionalFormatting sqref="B14:D18 B10:D12">
    <cfRule type="expression" dxfId="0" priority="1">
      <formula>IF($C$8="No",TRUE, FALSE)</formula>
    </cfRule>
  </conditionalFormatting>
  <dataValidations count="4">
    <dataValidation type="date" allowBlank="1" showInputMessage="1" showErrorMessage="1" sqref="C6" xr:uid="{00000000-0002-0000-1A00-000000000000}">
      <formula1>36526</formula1>
      <formula2>55153</formula2>
    </dataValidation>
    <dataValidation type="list" allowBlank="1" showInputMessage="1" showErrorMessage="1" sqref="C8" xr:uid="{00000000-0002-0000-1A00-000001000000}">
      <formula1>"Yes, No"</formula1>
    </dataValidation>
    <dataValidation type="decimal" allowBlank="1" showInputMessage="1" showErrorMessage="1" sqref="C15:C18" xr:uid="{00000000-0002-0000-1A00-000002000000}">
      <formula1>0</formula1>
      <formula2>0.99</formula2>
    </dataValidation>
    <dataValidation type="decimal" allowBlank="1" showInputMessage="1" showErrorMessage="1" sqref="C11" xr:uid="{00000000-0002-0000-1A00-000003000000}">
      <formula1>-2</formula1>
      <formula2>2</formula2>
    </dataValidation>
  </dataValidations>
  <pageMargins left="0.7" right="0.7" top="0.75" bottom="0.75" header="0.3" footer="0.3"/>
  <pageSetup paperSize="9" orientation="portrait" verticalDpi="90" r:id="rId1"/>
  <drawing r:id="rId2"/>
  <legacyDrawing r:id="rId3"/>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A00-000004000000}">
          <x14:formula1>
            <xm:f>'Control sheet (hide)'!$E$28:$E$29</xm:f>
          </x14:formula1>
          <xm:sqref>F25:BE45</xm:sqref>
        </x14:dataValidation>
        <x14:dataValidation type="list" allowBlank="1" showInputMessage="1" showErrorMessage="1" xr:uid="{00000000-0002-0000-1A00-000005000000}">
          <x14:formula1>
            <xm:f>'Control sheet (hide)'!$C$3:$C$4</xm:f>
          </x14:formula1>
          <xm:sqref>C20</xm:sqref>
        </x14:dataValidation>
        <x14:dataValidation type="list" allowBlank="1" showInputMessage="1" showErrorMessage="1" xr:uid="{00000000-0002-0000-1A00-000006000000}">
          <x14:formula1>
            <xm:f>IF(Setup!$I$17="Patients",'Control sheet (hide)'!$E$2,IF(Setup!$I$17="Minutes",'Control sheet (hide)'!$E$9:$E$10,'Control sheet (hide)'!$E$6:$E$7))</xm:f>
          </x14:formula1>
          <xm:sqref>C4</xm:sqref>
        </x14:dataValidation>
        <x14:dataValidation type="list" allowBlank="1" showInputMessage="1" showErrorMessage="1" xr:uid="{00000000-0002-0000-1A00-000007000000}">
          <x14:formula1>
            <xm:f>IF(OR(AND('Capacity calculation (hide)'!$E$1=2,'Capacity calculation (hide)'!H112=1),'Capacity calculation (hide)'!$E$1=1),'Control sheet (hide)'!$E$28:$E$29,'Control sheet (hide)'!$E$28)</xm:f>
          </x14:formula1>
          <xm:sqref>F24:BE24</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AE55"/>
  <sheetViews>
    <sheetView topLeftCell="A2" workbookViewId="0">
      <selection activeCell="E4" sqref="E4"/>
    </sheetView>
  </sheetViews>
  <sheetFormatPr defaultRowHeight="14.25" x14ac:dyDescent="0.2"/>
  <cols>
    <col min="1" max="1" width="16.875" bestFit="1" customWidth="1"/>
    <col min="2" max="2" width="9.875" bestFit="1" customWidth="1"/>
    <col min="3" max="4" width="9" hidden="1" customWidth="1"/>
    <col min="7" max="7" width="9" style="68"/>
    <col min="8" max="8" width="9" style="68" hidden="1" customWidth="1"/>
    <col min="30" max="30" width="11.875" bestFit="1" customWidth="1"/>
    <col min="31" max="31" width="10.875" customWidth="1"/>
    <col min="32" max="32" width="9" customWidth="1"/>
  </cols>
  <sheetData>
    <row r="1" spans="1:31" x14ac:dyDescent="0.2">
      <c r="A1" t="s">
        <v>559</v>
      </c>
    </row>
    <row r="2" spans="1:31" x14ac:dyDescent="0.2">
      <c r="B2" s="88"/>
      <c r="C2" t="s">
        <v>522</v>
      </c>
      <c r="E2" t="s">
        <v>497</v>
      </c>
      <c r="I2" t="s">
        <v>523</v>
      </c>
    </row>
    <row r="3" spans="1:31" x14ac:dyDescent="0.2">
      <c r="A3" t="s">
        <v>520</v>
      </c>
      <c r="B3" t="s">
        <v>521</v>
      </c>
      <c r="C3" t="s">
        <v>167</v>
      </c>
      <c r="D3" t="s">
        <v>168</v>
      </c>
      <c r="E3" t="s">
        <v>483</v>
      </c>
      <c r="F3" t="s">
        <v>484</v>
      </c>
      <c r="G3" s="68" t="s">
        <v>58</v>
      </c>
      <c r="H3" s="68" t="s">
        <v>315</v>
      </c>
      <c r="I3" s="36"/>
      <c r="J3" s="36" t="str">
        <f ca="1">IF(OFFSET(Planning!$B$25,COLUMN(A$1),0,1,1)="","",OFFSET(Planning!$B$25,COLUMN(A$1),0,1,1))</f>
        <v>Bank holiday cover</v>
      </c>
      <c r="K3" s="36" t="str">
        <f ca="1">IF(OFFSET(Planning!$B$25,COLUMN(B$1),0,1,1)="","",OFFSET(Planning!$B$25,COLUMN(B$1),0,1,1))</f>
        <v>Locum</v>
      </c>
      <c r="L3" s="36" t="str">
        <f ca="1">IF(OFFSET(Planning!$B$25,COLUMN(C$1),0,1,1)="","",OFFSET(Planning!$B$25,COLUMN(C$1),0,1,1))</f>
        <v/>
      </c>
      <c r="M3" s="36" t="str">
        <f ca="1">IF(OFFSET(Planning!$B$25,COLUMN(D$1),0,1,1)="","",OFFSET(Planning!$B$25,COLUMN(D$1),0,1,1))</f>
        <v/>
      </c>
      <c r="N3" s="36" t="str">
        <f ca="1">IF(OFFSET(Planning!$B$25,COLUMN(E$1),0,1,1)="","",OFFSET(Planning!$B$25,COLUMN(E$1),0,1,1))</f>
        <v/>
      </c>
      <c r="O3" s="36" t="str">
        <f ca="1">IF(OFFSET(Planning!$B$25,COLUMN(F$1),0,1,1)="","",OFFSET(Planning!$B$25,COLUMN(F$1),0,1,1))</f>
        <v/>
      </c>
      <c r="P3" s="36" t="str">
        <f ca="1">IF(OFFSET(Planning!$B$25,COLUMN(G$1),0,1,1)="","",OFFSET(Planning!$B$25,COLUMN(G$1),0,1,1))</f>
        <v/>
      </c>
      <c r="Q3" s="36" t="str">
        <f ca="1">IF(OFFSET(Planning!$B$25,COLUMN(H$1),0,1,1)="","",OFFSET(Planning!$B$25,COLUMN(H$1),0,1,1))</f>
        <v/>
      </c>
      <c r="R3" s="36" t="str">
        <f ca="1">IF(OFFSET(Planning!$B$25,COLUMN(I$1),0,1,1)="","",OFFSET(Planning!$B$25,COLUMN(I$1),0,1,1))</f>
        <v/>
      </c>
      <c r="S3" s="36" t="str">
        <f ca="1">IF(OFFSET(Planning!$B$25,COLUMN(J$1),0,1,1)="","",OFFSET(Planning!$B$25,COLUMN(J$1),0,1,1))</f>
        <v/>
      </c>
      <c r="T3" s="36" t="str">
        <f ca="1">IF(OFFSET(Planning!$B$25,COLUMN(K$1),0,1,1)="","",OFFSET(Planning!$B$25,COLUMN(K$1),0,1,1))</f>
        <v/>
      </c>
      <c r="U3" s="36" t="str">
        <f ca="1">IF(OFFSET(Planning!$B$25,COLUMN(L$1),0,1,1)="","",OFFSET(Planning!$B$25,COLUMN(L$1),0,1,1))</f>
        <v/>
      </c>
      <c r="V3" s="36" t="str">
        <f ca="1">IF(OFFSET(Planning!$B$25,COLUMN(M$1),0,1,1)="","",OFFSET(Planning!$B$25,COLUMN(M$1),0,1,1))</f>
        <v/>
      </c>
      <c r="W3" s="36" t="str">
        <f ca="1">IF(OFFSET(Planning!$B$25,COLUMN(N$1),0,1,1)="","",OFFSET(Planning!$B$25,COLUMN(N$1),0,1,1))</f>
        <v/>
      </c>
      <c r="X3" s="36" t="str">
        <f ca="1">IF(OFFSET(Planning!$B$25,COLUMN(O$1),0,1,1)="","",OFFSET(Planning!$B$25,COLUMN(O$1),0,1,1))</f>
        <v/>
      </c>
      <c r="Y3" s="36" t="str">
        <f ca="1">IF(OFFSET(Planning!$B$25,COLUMN(P$1),0,1,1)="","",OFFSET(Planning!$B$25,COLUMN(P$1),0,1,1))</f>
        <v/>
      </c>
      <c r="Z3" s="36" t="str">
        <f ca="1">IF(OFFSET(Planning!$B$25,COLUMN(Q$1),0,1,1)="","",OFFSET(Planning!$B$25,COLUMN(Q$1),0,1,1))</f>
        <v/>
      </c>
      <c r="AA3" s="36" t="str">
        <f ca="1">IF(OFFSET(Planning!$B$25,COLUMN(R$1),0,1,1)="","",OFFSET(Planning!$B$25,COLUMN(R$1),0,1,1))</f>
        <v/>
      </c>
      <c r="AB3" s="36" t="str">
        <f ca="1">IF(OFFSET(Planning!$B$25,COLUMN(S$1),0,1,1)="","",OFFSET(Planning!$B$25,COLUMN(S$1),0,1,1))</f>
        <v/>
      </c>
      <c r="AC3" s="36" t="str">
        <f ca="1">IF(OFFSET(Planning!$B$25,COLUMN(T$1),0,1,1)="","",OFFSET(Planning!$B$25,COLUMN(T$1),0,1,1))</f>
        <v/>
      </c>
      <c r="AD3" t="s">
        <v>1173</v>
      </c>
      <c r="AE3" t="s">
        <v>1174</v>
      </c>
    </row>
    <row r="4" spans="1:31" x14ac:dyDescent="0.2">
      <c r="A4" s="88">
        <f ca="1">IF(Planning!$C$6="",TODAY()-WEEKDAY(TODAY(),3)+7,Planning!$C$6)</f>
        <v>43586</v>
      </c>
      <c r="B4">
        <f ca="1">IF(WEEKNUM(A4)=53,1,WEEKNUM(A4))</f>
        <v>18</v>
      </c>
      <c r="C4" s="5">
        <f ca="1">IF(Planning!$C$8="No",VLOOKUP(B4,'Summary Calculations (hide)'!$D$15:$U$67,17,0),VLOOKUP(B4,'Summary Calculations (hide)'!$D$15:$F$67,2,0)*IF(Planning!$C$11="",1,1+Planning!$C$11)*'Summary Calculations (hide)'!$L$4/IF(Summary!$C$8="Patients",'Summary Calculations (hide)'!$I$9,1))</f>
        <v>14.254500348202729</v>
      </c>
      <c r="D4" s="5">
        <f ca="1">IF(Planning!$C$8="No",VLOOKUP('Planning (hide)'!B4,'Summary Calculations (hide)'!$D$15:$U$67,18,0),VLOOKUP(B4,'Summary Calculations (hide)'!$D$15:$F$67,3,0)*IF(Planning!$C$11="",1,1+Planning!$C$11)*'Summary Calculations (hide)'!$L$4/IF(Summary!$C$8="Patients",'Summary Calculations (hide)'!$I$9,1))-IF(Planning!$C$8="No",0,C4)</f>
        <v>2.9077629903405398</v>
      </c>
      <c r="E4" s="5">
        <f ca="1">VLOOKUP($B4,'Summary Calculations (hide)'!$D$15:$U$66,15,0)</f>
        <v>10.392307692307693</v>
      </c>
      <c r="F4" s="5">
        <f ca="1">VLOOKUP($B4,'Summary Calculations (hide)'!$D$15:$U$66,16,0)</f>
        <v>0</v>
      </c>
      <c r="G4" s="5">
        <f ca="1">SUM(E4:F4)</f>
        <v>10.392307692307693</v>
      </c>
      <c r="H4" s="5">
        <f ca="1">IF(G4+SUM(I4:AC4)&lt;0,0,G4+SUM(I4:AC4))</f>
        <v>10.392307692307693</v>
      </c>
      <c r="I4">
        <f ca="1">IF(OFFSET(Planning!$E$25,0,ROW(A1),1,1)&lt;&gt;"",-'Planning (hide)'!$G4,0)</f>
        <v>0</v>
      </c>
      <c r="J4">
        <f ca="1">IF(OFFSET(Planning!$E$25,COLUMN(A1),ROW(A1),1,1)&lt;&gt;"",OFFSET(Planning!$D$25,COLUMN(A1),0,1,1),0)</f>
        <v>0</v>
      </c>
      <c r="K4" s="68">
        <f ca="1">IF(OFFSET(Planning!$E$25,COLUMN(B1),ROW(B1),1,1)&lt;&gt;"",OFFSET(Planning!$D$25,COLUMN(B1),0,1,1),0)</f>
        <v>0</v>
      </c>
      <c r="L4" s="68">
        <f ca="1">IF(OFFSET(Planning!$E$25,COLUMN(C1),ROW(C1),1,1)&lt;&gt;"",OFFSET(Planning!$D$25,COLUMN(C1),0,1,1),0)</f>
        <v>0</v>
      </c>
      <c r="M4" s="68">
        <f ca="1">IF(OFFSET(Planning!$E$25,COLUMN(D1),ROW(D1),1,1)&lt;&gt;"",OFFSET(Planning!$D$25,COLUMN(D1),0,1,1),0)</f>
        <v>0</v>
      </c>
      <c r="N4" s="68">
        <f ca="1">IF(OFFSET(Planning!$E$25,COLUMN(E1),ROW(E1),1,1)&lt;&gt;"",OFFSET(Planning!$D$25,COLUMN(E1),0,1,1),0)</f>
        <v>0</v>
      </c>
      <c r="O4" s="68">
        <f ca="1">IF(OFFSET(Planning!$E$25,COLUMN(F1),ROW(F1),1,1)&lt;&gt;"",OFFSET(Planning!$D$25,COLUMN(F1),0,1,1),0)</f>
        <v>0</v>
      </c>
      <c r="P4" s="68">
        <f ca="1">IF(OFFSET(Planning!$E$25,COLUMN(G1),ROW(G1),1,1)&lt;&gt;"",OFFSET(Planning!$D$25,COLUMN(G1),0,1,1),0)</f>
        <v>0</v>
      </c>
      <c r="Q4" s="68">
        <f ca="1">IF(OFFSET(Planning!$E$25,COLUMN(H1),ROW(H1),1,1)&lt;&gt;"",OFFSET(Planning!$D$25,COLUMN(H1),0,1,1),0)</f>
        <v>0</v>
      </c>
      <c r="R4" s="68">
        <f ca="1">IF(OFFSET(Planning!$E$25,COLUMN(I1),ROW(I1),1,1)&lt;&gt;"",OFFSET(Planning!$D$25,COLUMN(I1),0,1,1),0)</f>
        <v>0</v>
      </c>
      <c r="S4" s="68">
        <f ca="1">IF(OFFSET(Planning!$E$25,COLUMN(J1),ROW(J1),1,1)&lt;&gt;"",OFFSET(Planning!$D$25,COLUMN(J1),0,1,1),0)</f>
        <v>0</v>
      </c>
      <c r="T4" s="68">
        <f ca="1">IF(OFFSET(Planning!$E$25,COLUMN(K1),ROW(K1),1,1)&lt;&gt;"",OFFSET(Planning!$D$25,COLUMN(K1),0,1,1),0)</f>
        <v>0</v>
      </c>
      <c r="U4" s="68">
        <f ca="1">IF(OFFSET(Planning!$E$25,COLUMN(L1),ROW(L1),1,1)&lt;&gt;"",OFFSET(Planning!$D$25,COLUMN(L1),0,1,1),0)</f>
        <v>0</v>
      </c>
      <c r="V4" s="68">
        <f ca="1">IF(OFFSET(Planning!$E$25,COLUMN(M1),ROW(M1),1,1)&lt;&gt;"",OFFSET(Planning!$D$25,COLUMN(M1),0,1,1),0)</f>
        <v>0</v>
      </c>
      <c r="W4" s="68">
        <f ca="1">IF(OFFSET(Planning!$E$25,COLUMN(N1),ROW(N1),1,1)&lt;&gt;"",OFFSET(Planning!$D$25,COLUMN(N1),0,1,1),0)</f>
        <v>0</v>
      </c>
      <c r="X4" s="68">
        <f ca="1">IF(OFFSET(Planning!$E$25,COLUMN(O1),ROW(O1),1,1)&lt;&gt;"",OFFSET(Planning!$D$25,COLUMN(O1),0,1,1),0)</f>
        <v>0</v>
      </c>
      <c r="Y4" s="68">
        <f ca="1">IF(OFFSET(Planning!$E$25,COLUMN(P1),ROW(P1),1,1)&lt;&gt;"",OFFSET(Planning!$D$25,COLUMN(P1),0,1,1),0)</f>
        <v>0</v>
      </c>
      <c r="Z4" s="68">
        <f ca="1">IF(OFFSET(Planning!$E$25,COLUMN(Q1),ROW(Q1),1,1)&lt;&gt;"",OFFSET(Planning!$D$25,COLUMN(Q1),0,1,1),0)</f>
        <v>0</v>
      </c>
      <c r="AA4" s="68">
        <f ca="1">IF(OFFSET(Planning!$E$25,COLUMN(R1),ROW(R1),1,1)&lt;&gt;"",OFFSET(Planning!$D$25,COLUMN(R1),0,1,1),0)</f>
        <v>0</v>
      </c>
      <c r="AB4" s="68">
        <f ca="1">IF(OFFSET(Planning!$E$25,COLUMN(S1),ROW(S1),1,1)&lt;&gt;"",OFFSET(Planning!$D$25,COLUMN(S1),0,1,1),0)</f>
        <v>0</v>
      </c>
      <c r="AC4" s="68">
        <f ca="1">IF(OFFSET(Planning!$E$25,COLUMN(T1),ROW(T1),1,1)&lt;&gt;"",OFFSET(Planning!$D$25,COLUMN(T1),0,1,1),0)</f>
        <v>0</v>
      </c>
      <c r="AD4">
        <f ca="1">VLOOKUP($B4,'Summary Calculations (hide)'!$D$15:$U$67,17,0)</f>
        <v>14.254500348202729</v>
      </c>
      <c r="AE4" s="68">
        <f ca="1">VLOOKUP($B4,'Summary Calculations (hide)'!$D$15:$U$67,18,0)</f>
        <v>2.9077629903405398</v>
      </c>
    </row>
    <row r="5" spans="1:31" x14ac:dyDescent="0.2">
      <c r="A5" s="88">
        <f ca="1">A4+7</f>
        <v>43593</v>
      </c>
      <c r="B5" s="68">
        <f t="shared" ref="B5:B55" ca="1" si="0">IF(WEEKNUM(A5)=53,1,WEEKNUM(A5))</f>
        <v>19</v>
      </c>
      <c r="C5" s="5">
        <f ca="1">IF(Planning!$C$8="No",VLOOKUP(B5,'Summary Calculations (hide)'!$D$15:$U$67,17,0),VLOOKUP(B5,'Summary Calculations (hide)'!$D$15:$F$67,2,0)*IF(Planning!$C$11="",1,1+Planning!$C$11)*'Summary Calculations (hide)'!$L$4/IF(Summary!$C$8="Patients",'Summary Calculations (hide)'!$I$9,1))</f>
        <v>14.254500348202729</v>
      </c>
      <c r="D5" s="5">
        <f ca="1">IF(Planning!$C$8="No",VLOOKUP('Planning (hide)'!B5,'Summary Calculations (hide)'!$D$15:$U$67,18,0),VLOOKUP(B5,'Summary Calculations (hide)'!$D$15:$F$67,3,0)*IF(Planning!$C$11="",1,1+Planning!$C$11)*'Summary Calculations (hide)'!$L$4/IF(Summary!$C$8="Patients",'Summary Calculations (hide)'!$I$9,1))-IF(Planning!$C$8="No",0,C5)</f>
        <v>2.9077629903405398</v>
      </c>
      <c r="E5" s="5">
        <f ca="1">VLOOKUP($B5,'Summary Calculations (hide)'!$D$15:$U$66,15,0)</f>
        <v>10.392307692307693</v>
      </c>
      <c r="F5" s="5">
        <f ca="1">VLOOKUP($B5,'Summary Calculations (hide)'!$D$15:$U$66,16,0)</f>
        <v>4</v>
      </c>
      <c r="G5" s="5">
        <f t="shared" ref="G5:G55" ca="1" si="1">SUM(E5:F5)</f>
        <v>14.392307692307693</v>
      </c>
      <c r="H5" s="5">
        <f t="shared" ref="H5:H55" ca="1" si="2">IF(G5+SUM(I5:AC5)&lt;0,0,G5+SUM(I5:AC5))</f>
        <v>14.392307692307693</v>
      </c>
      <c r="I5" s="68">
        <f ca="1">IF(OFFSET(Planning!$E$25,0,ROW(A2),1,1)&lt;&gt;"",-'Planning (hide)'!$G5,0)</f>
        <v>0</v>
      </c>
      <c r="J5" s="68">
        <f ca="1">IF(OFFSET(Planning!$E$25,COLUMN(A2),ROW(A2),1,1)&lt;&gt;"",OFFSET(Planning!$D$25,COLUMN(A2),0,1,1),0)</f>
        <v>0</v>
      </c>
      <c r="K5" s="68">
        <f ca="1">IF(OFFSET(Planning!$E$25,COLUMN(B2),ROW(B2),1,1)&lt;&gt;"",OFFSET(Planning!$D$25,COLUMN(B2),0,1,1),0)</f>
        <v>0</v>
      </c>
      <c r="L5" s="68">
        <f ca="1">IF(OFFSET(Planning!$E$25,COLUMN(C2),ROW(C2),1,1)&lt;&gt;"",OFFSET(Planning!$D$25,COLUMN(C2),0,1,1),0)</f>
        <v>0</v>
      </c>
      <c r="M5" s="68">
        <f ca="1">IF(OFFSET(Planning!$E$25,COLUMN(D2),ROW(D2),1,1)&lt;&gt;"",OFFSET(Planning!$D$25,COLUMN(D2),0,1,1),0)</f>
        <v>0</v>
      </c>
      <c r="N5" s="68">
        <f ca="1">IF(OFFSET(Planning!$E$25,COLUMN(E2),ROW(E2),1,1)&lt;&gt;"",OFFSET(Planning!$D$25,COLUMN(E2),0,1,1),0)</f>
        <v>0</v>
      </c>
      <c r="O5" s="68">
        <f ca="1">IF(OFFSET(Planning!$E$25,COLUMN(F2),ROW(F2),1,1)&lt;&gt;"",OFFSET(Planning!$D$25,COLUMN(F2),0,1,1),0)</f>
        <v>0</v>
      </c>
      <c r="P5" s="68">
        <f ca="1">IF(OFFSET(Planning!$E$25,COLUMN(G2),ROW(G2),1,1)&lt;&gt;"",OFFSET(Planning!$D$25,COLUMN(G2),0,1,1),0)</f>
        <v>0</v>
      </c>
      <c r="Q5" s="68">
        <f ca="1">IF(OFFSET(Planning!$E$25,COLUMN(H2),ROW(H2),1,1)&lt;&gt;"",OFFSET(Planning!$D$25,COLUMN(H2),0,1,1),0)</f>
        <v>0</v>
      </c>
      <c r="R5" s="68">
        <f ca="1">IF(OFFSET(Planning!$E$25,COLUMN(I2),ROW(I2),1,1)&lt;&gt;"",OFFSET(Planning!$D$25,COLUMN(I2),0,1,1),0)</f>
        <v>0</v>
      </c>
      <c r="S5" s="68">
        <f ca="1">IF(OFFSET(Planning!$E$25,COLUMN(J2),ROW(J2),1,1)&lt;&gt;"",OFFSET(Planning!$D$25,COLUMN(J2),0,1,1),0)</f>
        <v>0</v>
      </c>
      <c r="T5" s="68">
        <f ca="1">IF(OFFSET(Planning!$E$25,COLUMN(K2),ROW(K2),1,1)&lt;&gt;"",OFFSET(Planning!$D$25,COLUMN(K2),0,1,1),0)</f>
        <v>0</v>
      </c>
      <c r="U5" s="68">
        <f ca="1">IF(OFFSET(Planning!$E$25,COLUMN(L2),ROW(L2),1,1)&lt;&gt;"",OFFSET(Planning!$D$25,COLUMN(L2),0,1,1),0)</f>
        <v>0</v>
      </c>
      <c r="V5" s="68">
        <f ca="1">IF(OFFSET(Planning!$E$25,COLUMN(M2),ROW(M2),1,1)&lt;&gt;"",OFFSET(Planning!$D$25,COLUMN(M2),0,1,1),0)</f>
        <v>0</v>
      </c>
      <c r="W5" s="68">
        <f ca="1">IF(OFFSET(Planning!$E$25,COLUMN(N2),ROW(N2),1,1)&lt;&gt;"",OFFSET(Planning!$D$25,COLUMN(N2),0,1,1),0)</f>
        <v>0</v>
      </c>
      <c r="X5" s="68">
        <f ca="1">IF(OFFSET(Planning!$E$25,COLUMN(O2),ROW(O2),1,1)&lt;&gt;"",OFFSET(Planning!$D$25,COLUMN(O2),0,1,1),0)</f>
        <v>0</v>
      </c>
      <c r="Y5" s="68">
        <f ca="1">IF(OFFSET(Planning!$E$25,COLUMN(P2),ROW(P2),1,1)&lt;&gt;"",OFFSET(Planning!$D$25,COLUMN(P2),0,1,1),0)</f>
        <v>0</v>
      </c>
      <c r="Z5" s="68">
        <f ca="1">IF(OFFSET(Planning!$E$25,COLUMN(Q2),ROW(Q2),1,1)&lt;&gt;"",OFFSET(Planning!$D$25,COLUMN(Q2),0,1,1),0)</f>
        <v>0</v>
      </c>
      <c r="AA5" s="68">
        <f ca="1">IF(OFFSET(Planning!$E$25,COLUMN(R2),ROW(R2),1,1)&lt;&gt;"",OFFSET(Planning!$D$25,COLUMN(R2),0,1,1),0)</f>
        <v>0</v>
      </c>
      <c r="AB5" s="68">
        <f ca="1">IF(OFFSET(Planning!$E$25,COLUMN(S2),ROW(S2),1,1)&lt;&gt;"",OFFSET(Planning!$D$25,COLUMN(S2),0,1,1),0)</f>
        <v>0</v>
      </c>
      <c r="AC5" s="68">
        <f ca="1">IF(OFFSET(Planning!$E$25,COLUMN(T2),ROW(T2),1,1)&lt;&gt;"",OFFSET(Planning!$D$25,COLUMN(T2),0,1,1),0)</f>
        <v>0</v>
      </c>
      <c r="AD5" s="68">
        <f ca="1">VLOOKUP($B5,'Summary Calculations (hide)'!$D$15:$U$67,17,0)</f>
        <v>14.254500348202729</v>
      </c>
      <c r="AE5" s="68">
        <f ca="1">VLOOKUP($B5,'Summary Calculations (hide)'!$D$15:$U$67,18,0)</f>
        <v>2.9077629903405398</v>
      </c>
    </row>
    <row r="6" spans="1:31" x14ac:dyDescent="0.2">
      <c r="A6" s="88">
        <f t="shared" ref="A6:A55" ca="1" si="3">A5+7</f>
        <v>43600</v>
      </c>
      <c r="B6" s="68">
        <f t="shared" ca="1" si="0"/>
        <v>20</v>
      </c>
      <c r="C6" s="5">
        <f ca="1">IF(Planning!$C$8="No",VLOOKUP(B6,'Summary Calculations (hide)'!$D$15:$U$67,17,0),VLOOKUP(B6,'Summary Calculations (hide)'!$D$15:$F$67,2,0)*IF(Planning!$C$11="",1,1+Planning!$C$11)*'Summary Calculations (hide)'!$L$4/IF(Summary!$C$8="Patients",'Summary Calculations (hide)'!$I$9,1))</f>
        <v>14.254500348202729</v>
      </c>
      <c r="D6" s="5">
        <f ca="1">IF(Planning!$C$8="No",VLOOKUP('Planning (hide)'!B6,'Summary Calculations (hide)'!$D$15:$U$67,18,0),VLOOKUP(B6,'Summary Calculations (hide)'!$D$15:$F$67,3,0)*IF(Planning!$C$11="",1,1+Planning!$C$11)*'Summary Calculations (hide)'!$L$4/IF(Summary!$C$8="Patients",'Summary Calculations (hide)'!$I$9,1))-IF(Planning!$C$8="No",0,C6)</f>
        <v>2.9077629903405398</v>
      </c>
      <c r="E6" s="5">
        <f ca="1">VLOOKUP($B6,'Summary Calculations (hide)'!$D$15:$U$66,15,0)</f>
        <v>10.392307692307693</v>
      </c>
      <c r="F6" s="5">
        <f ca="1">VLOOKUP($B6,'Summary Calculations (hide)'!$D$15:$U$66,16,0)</f>
        <v>0</v>
      </c>
      <c r="G6" s="5">
        <f t="shared" ca="1" si="1"/>
        <v>10.392307692307693</v>
      </c>
      <c r="H6" s="5">
        <f t="shared" ca="1" si="2"/>
        <v>10.392307692307693</v>
      </c>
      <c r="I6" s="68">
        <f ca="1">IF(OFFSET(Planning!$E$25,0,ROW(A3),1,1)&lt;&gt;"",-'Planning (hide)'!$G6,0)</f>
        <v>0</v>
      </c>
      <c r="J6" s="68">
        <f ca="1">IF(OFFSET(Planning!$E$25,COLUMN(A3),ROW(A3),1,1)&lt;&gt;"",OFFSET(Planning!$D$25,COLUMN(A3),0,1,1),0)</f>
        <v>0</v>
      </c>
      <c r="K6" s="68">
        <f ca="1">IF(OFFSET(Planning!$E$25,COLUMN(B3),ROW(B3),1,1)&lt;&gt;"",OFFSET(Planning!$D$25,COLUMN(B3),0,1,1),0)</f>
        <v>0</v>
      </c>
      <c r="L6" s="68">
        <f ca="1">IF(OFFSET(Planning!$E$25,COLUMN(C3),ROW(C3),1,1)&lt;&gt;"",OFFSET(Planning!$D$25,COLUMN(C3),0,1,1),0)</f>
        <v>0</v>
      </c>
      <c r="M6" s="68">
        <f ca="1">IF(OFFSET(Planning!$E$25,COLUMN(D3),ROW(D3),1,1)&lt;&gt;"",OFFSET(Planning!$D$25,COLUMN(D3),0,1,1),0)</f>
        <v>0</v>
      </c>
      <c r="N6" s="68">
        <f ca="1">IF(OFFSET(Planning!$E$25,COLUMN(E3),ROW(E3),1,1)&lt;&gt;"",OFFSET(Planning!$D$25,COLUMN(E3),0,1,1),0)</f>
        <v>0</v>
      </c>
      <c r="O6" s="68">
        <f ca="1">IF(OFFSET(Planning!$E$25,COLUMN(F3),ROW(F3),1,1)&lt;&gt;"",OFFSET(Planning!$D$25,COLUMN(F3),0,1,1),0)</f>
        <v>0</v>
      </c>
      <c r="P6" s="68">
        <f ca="1">IF(OFFSET(Planning!$E$25,COLUMN(G3),ROW(G3),1,1)&lt;&gt;"",OFFSET(Planning!$D$25,COLUMN(G3),0,1,1),0)</f>
        <v>0</v>
      </c>
      <c r="Q6" s="68">
        <f ca="1">IF(OFFSET(Planning!$E$25,COLUMN(H3),ROW(H3),1,1)&lt;&gt;"",OFFSET(Planning!$D$25,COLUMN(H3),0,1,1),0)</f>
        <v>0</v>
      </c>
      <c r="R6" s="68">
        <f ca="1">IF(OFFSET(Planning!$E$25,COLUMN(I3),ROW(I3),1,1)&lt;&gt;"",OFFSET(Planning!$D$25,COLUMN(I3),0,1,1),0)</f>
        <v>0</v>
      </c>
      <c r="S6" s="68">
        <f ca="1">IF(OFFSET(Planning!$E$25,COLUMN(J3),ROW(J3),1,1)&lt;&gt;"",OFFSET(Planning!$D$25,COLUMN(J3),0,1,1),0)</f>
        <v>0</v>
      </c>
      <c r="T6" s="68">
        <f ca="1">IF(OFFSET(Planning!$E$25,COLUMN(K3),ROW(K3),1,1)&lt;&gt;"",OFFSET(Planning!$D$25,COLUMN(K3),0,1,1),0)</f>
        <v>0</v>
      </c>
      <c r="U6" s="68">
        <f ca="1">IF(OFFSET(Planning!$E$25,COLUMN(L3),ROW(L3),1,1)&lt;&gt;"",OFFSET(Planning!$D$25,COLUMN(L3),0,1,1),0)</f>
        <v>0</v>
      </c>
      <c r="V6" s="68">
        <f ca="1">IF(OFFSET(Planning!$E$25,COLUMN(M3),ROW(M3),1,1)&lt;&gt;"",OFFSET(Planning!$D$25,COLUMN(M3),0,1,1),0)</f>
        <v>0</v>
      </c>
      <c r="W6" s="68">
        <f ca="1">IF(OFFSET(Planning!$E$25,COLUMN(N3),ROW(N3),1,1)&lt;&gt;"",OFFSET(Planning!$D$25,COLUMN(N3),0,1,1),0)</f>
        <v>0</v>
      </c>
      <c r="X6" s="68">
        <f ca="1">IF(OFFSET(Planning!$E$25,COLUMN(O3),ROW(O3),1,1)&lt;&gt;"",OFFSET(Planning!$D$25,COLUMN(O3),0,1,1),0)</f>
        <v>0</v>
      </c>
      <c r="Y6" s="68">
        <f ca="1">IF(OFFSET(Planning!$E$25,COLUMN(P3),ROW(P3),1,1)&lt;&gt;"",OFFSET(Planning!$D$25,COLUMN(P3),0,1,1),0)</f>
        <v>0</v>
      </c>
      <c r="Z6" s="68">
        <f ca="1">IF(OFFSET(Planning!$E$25,COLUMN(Q3),ROW(Q3),1,1)&lt;&gt;"",OFFSET(Planning!$D$25,COLUMN(Q3),0,1,1),0)</f>
        <v>0</v>
      </c>
      <c r="AA6" s="68">
        <f ca="1">IF(OFFSET(Planning!$E$25,COLUMN(R3),ROW(R3),1,1)&lt;&gt;"",OFFSET(Planning!$D$25,COLUMN(R3),0,1,1),0)</f>
        <v>0</v>
      </c>
      <c r="AB6" s="68">
        <f ca="1">IF(OFFSET(Planning!$E$25,COLUMN(S3),ROW(S3),1,1)&lt;&gt;"",OFFSET(Planning!$D$25,COLUMN(S3),0,1,1),0)</f>
        <v>0</v>
      </c>
      <c r="AC6" s="68">
        <f ca="1">IF(OFFSET(Planning!$E$25,COLUMN(T3),ROW(T3),1,1)&lt;&gt;"",OFFSET(Planning!$D$25,COLUMN(T3),0,1,1),0)</f>
        <v>0</v>
      </c>
      <c r="AD6" s="68">
        <f ca="1">VLOOKUP($B6,'Summary Calculations (hide)'!$D$15:$U$67,17,0)</f>
        <v>14.254500348202729</v>
      </c>
      <c r="AE6" s="68">
        <f ca="1">VLOOKUP($B6,'Summary Calculations (hide)'!$D$15:$U$67,18,0)</f>
        <v>2.9077629903405398</v>
      </c>
    </row>
    <row r="7" spans="1:31" x14ac:dyDescent="0.2">
      <c r="A7" s="88">
        <f t="shared" ca="1" si="3"/>
        <v>43607</v>
      </c>
      <c r="B7" s="68">
        <f t="shared" ca="1" si="0"/>
        <v>21</v>
      </c>
      <c r="C7" s="5">
        <f ca="1">IF(Planning!$C$8="No",VLOOKUP(B7,'Summary Calculations (hide)'!$D$15:$U$67,17,0),VLOOKUP(B7,'Summary Calculations (hide)'!$D$15:$F$67,2,0)*IF(Planning!$C$11="",1,1+Planning!$C$11)*'Summary Calculations (hide)'!$L$4/IF(Summary!$C$8="Patients",'Summary Calculations (hide)'!$I$9,1))</f>
        <v>14.254500348202729</v>
      </c>
      <c r="D7" s="5">
        <f ca="1">IF(Planning!$C$8="No",VLOOKUP('Planning (hide)'!B7,'Summary Calculations (hide)'!$D$15:$U$67,18,0),VLOOKUP(B7,'Summary Calculations (hide)'!$D$15:$F$67,3,0)*IF(Planning!$C$11="",1,1+Planning!$C$11)*'Summary Calculations (hide)'!$L$4/IF(Summary!$C$8="Patients",'Summary Calculations (hide)'!$I$9,1))-IF(Planning!$C$8="No",0,C7)</f>
        <v>2.9077629903405398</v>
      </c>
      <c r="E7" s="5">
        <f ca="1">VLOOKUP($B7,'Summary Calculations (hide)'!$D$15:$U$66,15,0)</f>
        <v>10.392307692307693</v>
      </c>
      <c r="F7" s="5">
        <f ca="1">VLOOKUP($B7,'Summary Calculations (hide)'!$D$15:$U$66,16,0)</f>
        <v>4</v>
      </c>
      <c r="G7" s="5">
        <f t="shared" ca="1" si="1"/>
        <v>14.392307692307693</v>
      </c>
      <c r="H7" s="5">
        <f t="shared" ca="1" si="2"/>
        <v>14.392307692307693</v>
      </c>
      <c r="I7" s="68">
        <f ca="1">IF(OFFSET(Planning!$E$25,0,ROW(A4),1,1)&lt;&gt;"",-'Planning (hide)'!$G7,0)</f>
        <v>0</v>
      </c>
      <c r="J7" s="68">
        <f ca="1">IF(OFFSET(Planning!$E$25,COLUMN(A4),ROW(A4),1,1)&lt;&gt;"",OFFSET(Planning!$D$25,COLUMN(A4),0,1,1),0)</f>
        <v>0</v>
      </c>
      <c r="K7" s="68">
        <f ca="1">IF(OFFSET(Planning!$E$25,COLUMN(B4),ROW(B4),1,1)&lt;&gt;"",OFFSET(Planning!$D$25,COLUMN(B4),0,1,1),0)</f>
        <v>0</v>
      </c>
      <c r="L7" s="68">
        <f ca="1">IF(OFFSET(Planning!$E$25,COLUMN(C4),ROW(C4),1,1)&lt;&gt;"",OFFSET(Planning!$D$25,COLUMN(C4),0,1,1),0)</f>
        <v>0</v>
      </c>
      <c r="M7" s="68">
        <f ca="1">IF(OFFSET(Planning!$E$25,COLUMN(D4),ROW(D4),1,1)&lt;&gt;"",OFFSET(Planning!$D$25,COLUMN(D4),0,1,1),0)</f>
        <v>0</v>
      </c>
      <c r="N7" s="68">
        <f ca="1">IF(OFFSET(Planning!$E$25,COLUMN(E4),ROW(E4),1,1)&lt;&gt;"",OFFSET(Planning!$D$25,COLUMN(E4),0,1,1),0)</f>
        <v>0</v>
      </c>
      <c r="O7" s="68">
        <f ca="1">IF(OFFSET(Planning!$E$25,COLUMN(F4),ROW(F4),1,1)&lt;&gt;"",OFFSET(Planning!$D$25,COLUMN(F4),0,1,1),0)</f>
        <v>0</v>
      </c>
      <c r="P7" s="68">
        <f ca="1">IF(OFFSET(Planning!$E$25,COLUMN(G4),ROW(G4),1,1)&lt;&gt;"",OFFSET(Planning!$D$25,COLUMN(G4),0,1,1),0)</f>
        <v>0</v>
      </c>
      <c r="Q7" s="68">
        <f ca="1">IF(OFFSET(Planning!$E$25,COLUMN(H4),ROW(H4),1,1)&lt;&gt;"",OFFSET(Planning!$D$25,COLUMN(H4),0,1,1),0)</f>
        <v>0</v>
      </c>
      <c r="R7" s="68">
        <f ca="1">IF(OFFSET(Planning!$E$25,COLUMN(I4),ROW(I4),1,1)&lt;&gt;"",OFFSET(Planning!$D$25,COLUMN(I4),0,1,1),0)</f>
        <v>0</v>
      </c>
      <c r="S7" s="68">
        <f ca="1">IF(OFFSET(Planning!$E$25,COLUMN(J4),ROW(J4),1,1)&lt;&gt;"",OFFSET(Planning!$D$25,COLUMN(J4),0,1,1),0)</f>
        <v>0</v>
      </c>
      <c r="T7" s="68">
        <f ca="1">IF(OFFSET(Planning!$E$25,COLUMN(K4),ROW(K4),1,1)&lt;&gt;"",OFFSET(Planning!$D$25,COLUMN(K4),0,1,1),0)</f>
        <v>0</v>
      </c>
      <c r="U7" s="68">
        <f ca="1">IF(OFFSET(Planning!$E$25,COLUMN(L4),ROW(L4),1,1)&lt;&gt;"",OFFSET(Planning!$D$25,COLUMN(L4),0,1,1),0)</f>
        <v>0</v>
      </c>
      <c r="V7" s="68">
        <f ca="1">IF(OFFSET(Planning!$E$25,COLUMN(M4),ROW(M4),1,1)&lt;&gt;"",OFFSET(Planning!$D$25,COLUMN(M4),0,1,1),0)</f>
        <v>0</v>
      </c>
      <c r="W7" s="68">
        <f ca="1">IF(OFFSET(Planning!$E$25,COLUMN(N4),ROW(N4),1,1)&lt;&gt;"",OFFSET(Planning!$D$25,COLUMN(N4),0,1,1),0)</f>
        <v>0</v>
      </c>
      <c r="X7" s="68">
        <f ca="1">IF(OFFSET(Planning!$E$25,COLUMN(O4),ROW(O4),1,1)&lt;&gt;"",OFFSET(Planning!$D$25,COLUMN(O4),0,1,1),0)</f>
        <v>0</v>
      </c>
      <c r="Y7" s="68">
        <f ca="1">IF(OFFSET(Planning!$E$25,COLUMN(P4),ROW(P4),1,1)&lt;&gt;"",OFFSET(Planning!$D$25,COLUMN(P4),0,1,1),0)</f>
        <v>0</v>
      </c>
      <c r="Z7" s="68">
        <f ca="1">IF(OFFSET(Planning!$E$25,COLUMN(Q4),ROW(Q4),1,1)&lt;&gt;"",OFFSET(Planning!$D$25,COLUMN(Q4),0,1,1),0)</f>
        <v>0</v>
      </c>
      <c r="AA7" s="68">
        <f ca="1">IF(OFFSET(Planning!$E$25,COLUMN(R4),ROW(R4),1,1)&lt;&gt;"",OFFSET(Planning!$D$25,COLUMN(R4),0,1,1),0)</f>
        <v>0</v>
      </c>
      <c r="AB7" s="68">
        <f ca="1">IF(OFFSET(Planning!$E$25,COLUMN(S4),ROW(S4),1,1)&lt;&gt;"",OFFSET(Planning!$D$25,COLUMN(S4),0,1,1),0)</f>
        <v>0</v>
      </c>
      <c r="AC7" s="68">
        <f ca="1">IF(OFFSET(Planning!$E$25,COLUMN(T4),ROW(T4),1,1)&lt;&gt;"",OFFSET(Planning!$D$25,COLUMN(T4),0,1,1),0)</f>
        <v>0</v>
      </c>
      <c r="AD7" s="68">
        <f ca="1">VLOOKUP($B7,'Summary Calculations (hide)'!$D$15:$U$67,17,0)</f>
        <v>14.254500348202729</v>
      </c>
      <c r="AE7" s="68">
        <f ca="1">VLOOKUP($B7,'Summary Calculations (hide)'!$D$15:$U$67,18,0)</f>
        <v>2.9077629903405398</v>
      </c>
    </row>
    <row r="8" spans="1:31" x14ac:dyDescent="0.2">
      <c r="A8" s="88">
        <f t="shared" ca="1" si="3"/>
        <v>43614</v>
      </c>
      <c r="B8" s="68">
        <f t="shared" ca="1" si="0"/>
        <v>22</v>
      </c>
      <c r="C8" s="5">
        <f ca="1">IF(Planning!$C$8="No",VLOOKUP(B8,'Summary Calculations (hide)'!$D$15:$U$67,17,0),VLOOKUP(B8,'Summary Calculations (hide)'!$D$15:$F$67,2,0)*IF(Planning!$C$11="",1,1+Planning!$C$11)*'Summary Calculations (hide)'!$L$4/IF(Summary!$C$8="Patients",'Summary Calculations (hide)'!$I$9,1))</f>
        <v>14.254500348202729</v>
      </c>
      <c r="D8" s="5">
        <f ca="1">IF(Planning!$C$8="No",VLOOKUP('Planning (hide)'!B8,'Summary Calculations (hide)'!$D$15:$U$67,18,0),VLOOKUP(B8,'Summary Calculations (hide)'!$D$15:$F$67,3,0)*IF(Planning!$C$11="",1,1+Planning!$C$11)*'Summary Calculations (hide)'!$L$4/IF(Summary!$C$8="Patients",'Summary Calculations (hide)'!$I$9,1))-IF(Planning!$C$8="No",0,C8)</f>
        <v>2.9077629903405398</v>
      </c>
      <c r="E8" s="5">
        <f ca="1">VLOOKUP($B8,'Summary Calculations (hide)'!$D$15:$U$66,15,0)</f>
        <v>10.392307692307693</v>
      </c>
      <c r="F8" s="5">
        <f ca="1">VLOOKUP($B8,'Summary Calculations (hide)'!$D$15:$U$66,16,0)</f>
        <v>0</v>
      </c>
      <c r="G8" s="5">
        <f t="shared" ca="1" si="1"/>
        <v>10.392307692307693</v>
      </c>
      <c r="H8" s="5">
        <f t="shared" ca="1" si="2"/>
        <v>10.392307692307693</v>
      </c>
      <c r="I8" s="68">
        <f ca="1">IF(OFFSET(Planning!$E$25,0,ROW(A5),1,1)&lt;&gt;"",-'Planning (hide)'!$G8,0)</f>
        <v>0</v>
      </c>
      <c r="J8" s="68">
        <f ca="1">IF(OFFSET(Planning!$E$25,COLUMN(A5),ROW(A5),1,1)&lt;&gt;"",OFFSET(Planning!$D$25,COLUMN(A5),0,1,1),0)</f>
        <v>0</v>
      </c>
      <c r="K8" s="68">
        <f ca="1">IF(OFFSET(Planning!$E$25,COLUMN(B5),ROW(B5),1,1)&lt;&gt;"",OFFSET(Planning!$D$25,COLUMN(B5),0,1,1),0)</f>
        <v>0</v>
      </c>
      <c r="L8" s="68">
        <f ca="1">IF(OFFSET(Planning!$E$25,COLUMN(C5),ROW(C5),1,1)&lt;&gt;"",OFFSET(Planning!$D$25,COLUMN(C5),0,1,1),0)</f>
        <v>0</v>
      </c>
      <c r="M8" s="68">
        <f ca="1">IF(OFFSET(Planning!$E$25,COLUMN(D5),ROW(D5),1,1)&lt;&gt;"",OFFSET(Planning!$D$25,COLUMN(D5),0,1,1),0)</f>
        <v>0</v>
      </c>
      <c r="N8" s="68">
        <f ca="1">IF(OFFSET(Planning!$E$25,COLUMN(E5),ROW(E5),1,1)&lt;&gt;"",OFFSET(Planning!$D$25,COLUMN(E5),0,1,1),0)</f>
        <v>0</v>
      </c>
      <c r="O8" s="68">
        <f ca="1">IF(OFFSET(Planning!$E$25,COLUMN(F5),ROW(F5),1,1)&lt;&gt;"",OFFSET(Planning!$D$25,COLUMN(F5),0,1,1),0)</f>
        <v>0</v>
      </c>
      <c r="P8" s="68">
        <f ca="1">IF(OFFSET(Planning!$E$25,COLUMN(G5),ROW(G5),1,1)&lt;&gt;"",OFFSET(Planning!$D$25,COLUMN(G5),0,1,1),0)</f>
        <v>0</v>
      </c>
      <c r="Q8" s="68">
        <f ca="1">IF(OFFSET(Planning!$E$25,COLUMN(H5),ROW(H5),1,1)&lt;&gt;"",OFFSET(Planning!$D$25,COLUMN(H5),0,1,1),0)</f>
        <v>0</v>
      </c>
      <c r="R8" s="68">
        <f ca="1">IF(OFFSET(Planning!$E$25,COLUMN(I5),ROW(I5),1,1)&lt;&gt;"",OFFSET(Planning!$D$25,COLUMN(I5),0,1,1),0)</f>
        <v>0</v>
      </c>
      <c r="S8" s="68">
        <f ca="1">IF(OFFSET(Planning!$E$25,COLUMN(J5),ROW(J5),1,1)&lt;&gt;"",OFFSET(Planning!$D$25,COLUMN(J5),0,1,1),0)</f>
        <v>0</v>
      </c>
      <c r="T8" s="68">
        <f ca="1">IF(OFFSET(Planning!$E$25,COLUMN(K5),ROW(K5),1,1)&lt;&gt;"",OFFSET(Planning!$D$25,COLUMN(K5),0,1,1),0)</f>
        <v>0</v>
      </c>
      <c r="U8" s="68">
        <f ca="1">IF(OFFSET(Planning!$E$25,COLUMN(L5),ROW(L5),1,1)&lt;&gt;"",OFFSET(Planning!$D$25,COLUMN(L5),0,1,1),0)</f>
        <v>0</v>
      </c>
      <c r="V8" s="68">
        <f ca="1">IF(OFFSET(Planning!$E$25,COLUMN(M5),ROW(M5),1,1)&lt;&gt;"",OFFSET(Planning!$D$25,COLUMN(M5),0,1,1),0)</f>
        <v>0</v>
      </c>
      <c r="W8" s="68">
        <f ca="1">IF(OFFSET(Planning!$E$25,COLUMN(N5),ROW(N5),1,1)&lt;&gt;"",OFFSET(Planning!$D$25,COLUMN(N5),0,1,1),0)</f>
        <v>0</v>
      </c>
      <c r="X8" s="68">
        <f ca="1">IF(OFFSET(Planning!$E$25,COLUMN(O5),ROW(O5),1,1)&lt;&gt;"",OFFSET(Planning!$D$25,COLUMN(O5),0,1,1),0)</f>
        <v>0</v>
      </c>
      <c r="Y8" s="68">
        <f ca="1">IF(OFFSET(Planning!$E$25,COLUMN(P5),ROW(P5),1,1)&lt;&gt;"",OFFSET(Planning!$D$25,COLUMN(P5),0,1,1),0)</f>
        <v>0</v>
      </c>
      <c r="Z8" s="68">
        <f ca="1">IF(OFFSET(Planning!$E$25,COLUMN(Q5),ROW(Q5),1,1)&lt;&gt;"",OFFSET(Planning!$D$25,COLUMN(Q5),0,1,1),0)</f>
        <v>0</v>
      </c>
      <c r="AA8" s="68">
        <f ca="1">IF(OFFSET(Planning!$E$25,COLUMN(R5),ROW(R5),1,1)&lt;&gt;"",OFFSET(Planning!$D$25,COLUMN(R5),0,1,1),0)</f>
        <v>0</v>
      </c>
      <c r="AB8" s="68">
        <f ca="1">IF(OFFSET(Planning!$E$25,COLUMN(S5),ROW(S5),1,1)&lt;&gt;"",OFFSET(Planning!$D$25,COLUMN(S5),0,1,1),0)</f>
        <v>0</v>
      </c>
      <c r="AC8" s="68">
        <f ca="1">IF(OFFSET(Planning!$E$25,COLUMN(T5),ROW(T5),1,1)&lt;&gt;"",OFFSET(Planning!$D$25,COLUMN(T5),0,1,1),0)</f>
        <v>0</v>
      </c>
      <c r="AD8" s="68">
        <f ca="1">VLOOKUP($B8,'Summary Calculations (hide)'!$D$15:$U$67,17,0)</f>
        <v>14.254500348202729</v>
      </c>
      <c r="AE8" s="68">
        <f ca="1">VLOOKUP($B8,'Summary Calculations (hide)'!$D$15:$U$67,18,0)</f>
        <v>2.9077629903405398</v>
      </c>
    </row>
    <row r="9" spans="1:31" x14ac:dyDescent="0.2">
      <c r="A9" s="88">
        <f t="shared" ca="1" si="3"/>
        <v>43621</v>
      </c>
      <c r="B9" s="68">
        <f t="shared" ca="1" si="0"/>
        <v>23</v>
      </c>
      <c r="C9" s="5">
        <f ca="1">IF(Planning!$C$8="No",VLOOKUP(B9,'Summary Calculations (hide)'!$D$15:$U$67,17,0),VLOOKUP(B9,'Summary Calculations (hide)'!$D$15:$F$67,2,0)*IF(Planning!$C$11="",1,1+Planning!$C$11)*'Summary Calculations (hide)'!$L$4/IF(Summary!$C$8="Patients",'Summary Calculations (hide)'!$I$9,1))</f>
        <v>14.254500348202729</v>
      </c>
      <c r="D9" s="5">
        <f ca="1">IF(Planning!$C$8="No",VLOOKUP('Planning (hide)'!B9,'Summary Calculations (hide)'!$D$15:$U$67,18,0),VLOOKUP(B9,'Summary Calculations (hide)'!$D$15:$F$67,3,0)*IF(Planning!$C$11="",1,1+Planning!$C$11)*'Summary Calculations (hide)'!$L$4/IF(Summary!$C$8="Patients",'Summary Calculations (hide)'!$I$9,1))-IF(Planning!$C$8="No",0,C9)</f>
        <v>2.9077629903405398</v>
      </c>
      <c r="E9" s="5">
        <f ca="1">VLOOKUP($B9,'Summary Calculations (hide)'!$D$15:$U$66,15,0)</f>
        <v>10.392307692307693</v>
      </c>
      <c r="F9" s="5">
        <f ca="1">VLOOKUP($B9,'Summary Calculations (hide)'!$D$15:$U$66,16,0)</f>
        <v>4</v>
      </c>
      <c r="G9" s="5">
        <f t="shared" ca="1" si="1"/>
        <v>14.392307692307693</v>
      </c>
      <c r="H9" s="5">
        <f t="shared" ca="1" si="2"/>
        <v>14.392307692307693</v>
      </c>
      <c r="I9" s="68">
        <f ca="1">IF(OFFSET(Planning!$E$25,0,ROW(A6),1,1)&lt;&gt;"",-'Planning (hide)'!$G9,0)</f>
        <v>0</v>
      </c>
      <c r="J9" s="68">
        <f ca="1">IF(OFFSET(Planning!$E$25,COLUMN(A6),ROW(A6),1,1)&lt;&gt;"",OFFSET(Planning!$D$25,COLUMN(A6),0,1,1),0)</f>
        <v>0</v>
      </c>
      <c r="K9" s="68">
        <f ca="1">IF(OFFSET(Planning!$E$25,COLUMN(B6),ROW(B6),1,1)&lt;&gt;"",OFFSET(Planning!$D$25,COLUMN(B6),0,1,1),0)</f>
        <v>0</v>
      </c>
      <c r="L9" s="68">
        <f ca="1">IF(OFFSET(Planning!$E$25,COLUMN(C6),ROW(C6),1,1)&lt;&gt;"",OFFSET(Planning!$D$25,COLUMN(C6),0,1,1),0)</f>
        <v>0</v>
      </c>
      <c r="M9" s="68">
        <f ca="1">IF(OFFSET(Planning!$E$25,COLUMN(D6),ROW(D6),1,1)&lt;&gt;"",OFFSET(Planning!$D$25,COLUMN(D6),0,1,1),0)</f>
        <v>0</v>
      </c>
      <c r="N9" s="68">
        <f ca="1">IF(OFFSET(Planning!$E$25,COLUMN(E6),ROW(E6),1,1)&lt;&gt;"",OFFSET(Planning!$D$25,COLUMN(E6),0,1,1),0)</f>
        <v>0</v>
      </c>
      <c r="O9" s="68">
        <f ca="1">IF(OFFSET(Planning!$E$25,COLUMN(F6),ROW(F6),1,1)&lt;&gt;"",OFFSET(Planning!$D$25,COLUMN(F6),0,1,1),0)</f>
        <v>0</v>
      </c>
      <c r="P9" s="68">
        <f ca="1">IF(OFFSET(Planning!$E$25,COLUMN(G6),ROW(G6),1,1)&lt;&gt;"",OFFSET(Planning!$D$25,COLUMN(G6),0,1,1),0)</f>
        <v>0</v>
      </c>
      <c r="Q9" s="68">
        <f ca="1">IF(OFFSET(Planning!$E$25,COLUMN(H6),ROW(H6),1,1)&lt;&gt;"",OFFSET(Planning!$D$25,COLUMN(H6),0,1,1),0)</f>
        <v>0</v>
      </c>
      <c r="R9" s="68">
        <f ca="1">IF(OFFSET(Planning!$E$25,COLUMN(I6),ROW(I6),1,1)&lt;&gt;"",OFFSET(Planning!$D$25,COLUMN(I6),0,1,1),0)</f>
        <v>0</v>
      </c>
      <c r="S9" s="68">
        <f ca="1">IF(OFFSET(Planning!$E$25,COLUMN(J6),ROW(J6),1,1)&lt;&gt;"",OFFSET(Planning!$D$25,COLUMN(J6),0,1,1),0)</f>
        <v>0</v>
      </c>
      <c r="T9" s="68">
        <f ca="1">IF(OFFSET(Planning!$E$25,COLUMN(K6),ROW(K6),1,1)&lt;&gt;"",OFFSET(Planning!$D$25,COLUMN(K6),0,1,1),0)</f>
        <v>0</v>
      </c>
      <c r="U9" s="68">
        <f ca="1">IF(OFFSET(Planning!$E$25,COLUMN(L6),ROW(L6),1,1)&lt;&gt;"",OFFSET(Planning!$D$25,COLUMN(L6),0,1,1),0)</f>
        <v>0</v>
      </c>
      <c r="V9" s="68">
        <f ca="1">IF(OFFSET(Planning!$E$25,COLUMN(M6),ROW(M6),1,1)&lt;&gt;"",OFFSET(Planning!$D$25,COLUMN(M6),0,1,1),0)</f>
        <v>0</v>
      </c>
      <c r="W9" s="68">
        <f ca="1">IF(OFFSET(Planning!$E$25,COLUMN(N6),ROW(N6),1,1)&lt;&gt;"",OFFSET(Planning!$D$25,COLUMN(N6),0,1,1),0)</f>
        <v>0</v>
      </c>
      <c r="X9" s="68">
        <f ca="1">IF(OFFSET(Planning!$E$25,COLUMN(O6),ROW(O6),1,1)&lt;&gt;"",OFFSET(Planning!$D$25,COLUMN(O6),0,1,1),0)</f>
        <v>0</v>
      </c>
      <c r="Y9" s="68">
        <f ca="1">IF(OFFSET(Planning!$E$25,COLUMN(P6),ROW(P6),1,1)&lt;&gt;"",OFFSET(Planning!$D$25,COLUMN(P6),0,1,1),0)</f>
        <v>0</v>
      </c>
      <c r="Z9" s="68">
        <f ca="1">IF(OFFSET(Planning!$E$25,COLUMN(Q6),ROW(Q6),1,1)&lt;&gt;"",OFFSET(Planning!$D$25,COLUMN(Q6),0,1,1),0)</f>
        <v>0</v>
      </c>
      <c r="AA9" s="68">
        <f ca="1">IF(OFFSET(Planning!$E$25,COLUMN(R6),ROW(R6),1,1)&lt;&gt;"",OFFSET(Planning!$D$25,COLUMN(R6),0,1,1),0)</f>
        <v>0</v>
      </c>
      <c r="AB9" s="68">
        <f ca="1">IF(OFFSET(Planning!$E$25,COLUMN(S6),ROW(S6),1,1)&lt;&gt;"",OFFSET(Planning!$D$25,COLUMN(S6),0,1,1),0)</f>
        <v>0</v>
      </c>
      <c r="AC9" s="68">
        <f ca="1">IF(OFFSET(Planning!$E$25,COLUMN(T6),ROW(T6),1,1)&lt;&gt;"",OFFSET(Planning!$D$25,COLUMN(T6),0,1,1),0)</f>
        <v>0</v>
      </c>
      <c r="AD9" s="68">
        <f ca="1">VLOOKUP($B9,'Summary Calculations (hide)'!$D$15:$U$67,17,0)</f>
        <v>14.254500348202729</v>
      </c>
      <c r="AE9" s="68">
        <f ca="1">VLOOKUP($B9,'Summary Calculations (hide)'!$D$15:$U$67,18,0)</f>
        <v>2.9077629903405398</v>
      </c>
    </row>
    <row r="10" spans="1:31" x14ac:dyDescent="0.2">
      <c r="A10" s="88">
        <f t="shared" ca="1" si="3"/>
        <v>43628</v>
      </c>
      <c r="B10" s="68">
        <f t="shared" ca="1" si="0"/>
        <v>24</v>
      </c>
      <c r="C10" s="5">
        <f ca="1">IF(Planning!$C$8="No",VLOOKUP(B10,'Summary Calculations (hide)'!$D$15:$U$67,17,0),VLOOKUP(B10,'Summary Calculations (hide)'!$D$15:$F$67,2,0)*IF(Planning!$C$11="",1,1+Planning!$C$11)*'Summary Calculations (hide)'!$L$4/IF(Summary!$C$8="Patients",'Summary Calculations (hide)'!$I$9,1))</f>
        <v>14.254500348202729</v>
      </c>
      <c r="D10" s="5">
        <f ca="1">IF(Planning!$C$8="No",VLOOKUP('Planning (hide)'!B10,'Summary Calculations (hide)'!$D$15:$U$67,18,0),VLOOKUP(B10,'Summary Calculations (hide)'!$D$15:$F$67,3,0)*IF(Planning!$C$11="",1,1+Planning!$C$11)*'Summary Calculations (hide)'!$L$4/IF(Summary!$C$8="Patients",'Summary Calculations (hide)'!$I$9,1))-IF(Planning!$C$8="No",0,C10)</f>
        <v>2.9077629903405398</v>
      </c>
      <c r="E10" s="5">
        <f ca="1">VLOOKUP($B10,'Summary Calculations (hide)'!$D$15:$U$66,15,0)</f>
        <v>10.392307692307693</v>
      </c>
      <c r="F10" s="5">
        <f ca="1">VLOOKUP($B10,'Summary Calculations (hide)'!$D$15:$U$66,16,0)</f>
        <v>4</v>
      </c>
      <c r="G10" s="5">
        <f t="shared" ca="1" si="1"/>
        <v>14.392307692307693</v>
      </c>
      <c r="H10" s="5">
        <f t="shared" ca="1" si="2"/>
        <v>116.3923076923077</v>
      </c>
      <c r="I10" s="68">
        <f ca="1">IF(OFFSET(Planning!$E$25,0,ROW(A7),1,1)&lt;&gt;"",-'Planning (hide)'!$G10,0)</f>
        <v>0</v>
      </c>
      <c r="J10" s="68">
        <f ca="1">IF(OFFSET(Planning!$E$25,COLUMN(A7),ROW(A7),1,1)&lt;&gt;"",OFFSET(Planning!$D$25,COLUMN(A7),0,1,1),0)</f>
        <v>0</v>
      </c>
      <c r="K10" s="68">
        <f ca="1">IF(OFFSET(Planning!$E$25,COLUMN(B7),ROW(B7),1,1)&lt;&gt;"",OFFSET(Planning!$D$25,COLUMN(B7),0,1,1),0)</f>
        <v>102</v>
      </c>
      <c r="L10" s="68">
        <f ca="1">IF(OFFSET(Planning!$E$25,COLUMN(C7),ROW(C7),1,1)&lt;&gt;"",OFFSET(Planning!$D$25,COLUMN(C7),0,1,1),0)</f>
        <v>0</v>
      </c>
      <c r="M10" s="68">
        <f ca="1">IF(OFFSET(Planning!$E$25,COLUMN(D7),ROW(D7),1,1)&lt;&gt;"",OFFSET(Planning!$D$25,COLUMN(D7),0,1,1),0)</f>
        <v>0</v>
      </c>
      <c r="N10" s="68">
        <f ca="1">IF(OFFSET(Planning!$E$25,COLUMN(E7),ROW(E7),1,1)&lt;&gt;"",OFFSET(Planning!$D$25,COLUMN(E7),0,1,1),0)</f>
        <v>0</v>
      </c>
      <c r="O10" s="68">
        <f ca="1">IF(OFFSET(Planning!$E$25,COLUMN(F7),ROW(F7),1,1)&lt;&gt;"",OFFSET(Planning!$D$25,COLUMN(F7),0,1,1),0)</f>
        <v>0</v>
      </c>
      <c r="P10" s="68">
        <f ca="1">IF(OFFSET(Planning!$E$25,COLUMN(G7),ROW(G7),1,1)&lt;&gt;"",OFFSET(Planning!$D$25,COLUMN(G7),0,1,1),0)</f>
        <v>0</v>
      </c>
      <c r="Q10" s="68">
        <f ca="1">IF(OFFSET(Planning!$E$25,COLUMN(H7),ROW(H7),1,1)&lt;&gt;"",OFFSET(Planning!$D$25,COLUMN(H7),0,1,1),0)</f>
        <v>0</v>
      </c>
      <c r="R10" s="68">
        <f ca="1">IF(OFFSET(Planning!$E$25,COLUMN(I7),ROW(I7),1,1)&lt;&gt;"",OFFSET(Planning!$D$25,COLUMN(I7),0,1,1),0)</f>
        <v>0</v>
      </c>
      <c r="S10" s="68">
        <f ca="1">IF(OFFSET(Planning!$E$25,COLUMN(J7),ROW(J7),1,1)&lt;&gt;"",OFFSET(Planning!$D$25,COLUMN(J7),0,1,1),0)</f>
        <v>0</v>
      </c>
      <c r="T10" s="68">
        <f ca="1">IF(OFFSET(Planning!$E$25,COLUMN(K7),ROW(K7),1,1)&lt;&gt;"",OFFSET(Planning!$D$25,COLUMN(K7),0,1,1),0)</f>
        <v>0</v>
      </c>
      <c r="U10" s="68">
        <f ca="1">IF(OFFSET(Planning!$E$25,COLUMN(L7),ROW(L7),1,1)&lt;&gt;"",OFFSET(Planning!$D$25,COLUMN(L7),0,1,1),0)</f>
        <v>0</v>
      </c>
      <c r="V10" s="68">
        <f ca="1">IF(OFFSET(Planning!$E$25,COLUMN(M7),ROW(M7),1,1)&lt;&gt;"",OFFSET(Planning!$D$25,COLUMN(M7),0,1,1),0)</f>
        <v>0</v>
      </c>
      <c r="W10" s="68">
        <f ca="1">IF(OFFSET(Planning!$E$25,COLUMN(N7),ROW(N7),1,1)&lt;&gt;"",OFFSET(Planning!$D$25,COLUMN(N7),0,1,1),0)</f>
        <v>0</v>
      </c>
      <c r="X10" s="68">
        <f ca="1">IF(OFFSET(Planning!$E$25,COLUMN(O7),ROW(O7),1,1)&lt;&gt;"",OFFSET(Planning!$D$25,COLUMN(O7),0,1,1),0)</f>
        <v>0</v>
      </c>
      <c r="Y10" s="68">
        <f ca="1">IF(OFFSET(Planning!$E$25,COLUMN(P7),ROW(P7),1,1)&lt;&gt;"",OFFSET(Planning!$D$25,COLUMN(P7),0,1,1),0)</f>
        <v>0</v>
      </c>
      <c r="Z10" s="68">
        <f ca="1">IF(OFFSET(Planning!$E$25,COLUMN(Q7),ROW(Q7),1,1)&lt;&gt;"",OFFSET(Planning!$D$25,COLUMN(Q7),0,1,1),0)</f>
        <v>0</v>
      </c>
      <c r="AA10" s="68">
        <f ca="1">IF(OFFSET(Planning!$E$25,COLUMN(R7),ROW(R7),1,1)&lt;&gt;"",OFFSET(Planning!$D$25,COLUMN(R7),0,1,1),0)</f>
        <v>0</v>
      </c>
      <c r="AB10" s="68">
        <f ca="1">IF(OFFSET(Planning!$E$25,COLUMN(S7),ROW(S7),1,1)&lt;&gt;"",OFFSET(Planning!$D$25,COLUMN(S7),0,1,1),0)</f>
        <v>0</v>
      </c>
      <c r="AC10" s="68">
        <f ca="1">IF(OFFSET(Planning!$E$25,COLUMN(T7),ROW(T7),1,1)&lt;&gt;"",OFFSET(Planning!$D$25,COLUMN(T7),0,1,1),0)</f>
        <v>0</v>
      </c>
      <c r="AD10" s="68">
        <f ca="1">VLOOKUP($B10,'Summary Calculations (hide)'!$D$15:$U$67,17,0)</f>
        <v>14.254500348202729</v>
      </c>
      <c r="AE10" s="68">
        <f ca="1">VLOOKUP($B10,'Summary Calculations (hide)'!$D$15:$U$67,18,0)</f>
        <v>2.9077629903405398</v>
      </c>
    </row>
    <row r="11" spans="1:31" x14ac:dyDescent="0.2">
      <c r="A11" s="88">
        <f t="shared" ca="1" si="3"/>
        <v>43635</v>
      </c>
      <c r="B11" s="68">
        <f t="shared" ca="1" si="0"/>
        <v>25</v>
      </c>
      <c r="C11" s="5">
        <f ca="1">IF(Planning!$C$8="No",VLOOKUP(B11,'Summary Calculations (hide)'!$D$15:$U$67,17,0),VLOOKUP(B11,'Summary Calculations (hide)'!$D$15:$F$67,2,0)*IF(Planning!$C$11="",1,1+Planning!$C$11)*'Summary Calculations (hide)'!$L$4/IF(Summary!$C$8="Patients",'Summary Calculations (hide)'!$I$9,1))</f>
        <v>14.254500348202729</v>
      </c>
      <c r="D11" s="5">
        <f ca="1">IF(Planning!$C$8="No",VLOOKUP('Planning (hide)'!B11,'Summary Calculations (hide)'!$D$15:$U$67,18,0),VLOOKUP(B11,'Summary Calculations (hide)'!$D$15:$F$67,3,0)*IF(Planning!$C$11="",1,1+Planning!$C$11)*'Summary Calculations (hide)'!$L$4/IF(Summary!$C$8="Patients",'Summary Calculations (hide)'!$I$9,1))-IF(Planning!$C$8="No",0,C11)</f>
        <v>2.9077629903405398</v>
      </c>
      <c r="E11" s="5">
        <f ca="1">VLOOKUP($B11,'Summary Calculations (hide)'!$D$15:$U$66,15,0)</f>
        <v>10.392307692307693</v>
      </c>
      <c r="F11" s="5">
        <f ca="1">VLOOKUP($B11,'Summary Calculations (hide)'!$D$15:$U$66,16,0)</f>
        <v>0</v>
      </c>
      <c r="G11" s="5">
        <f t="shared" ca="1" si="1"/>
        <v>10.392307692307693</v>
      </c>
      <c r="H11" s="5">
        <f t="shared" ca="1" si="2"/>
        <v>10.392307692307693</v>
      </c>
      <c r="I11" s="68">
        <f ca="1">IF(OFFSET(Planning!$E$25,0,ROW(A8),1,1)&lt;&gt;"",-'Planning (hide)'!$G11,0)</f>
        <v>0</v>
      </c>
      <c r="J11" s="68">
        <f ca="1">IF(OFFSET(Planning!$E$25,COLUMN(A8),ROW(A8),1,1)&lt;&gt;"",OFFSET(Planning!$D$25,COLUMN(A8),0,1,1),0)</f>
        <v>0</v>
      </c>
      <c r="K11" s="68">
        <f ca="1">IF(OFFSET(Planning!$E$25,COLUMN(B8),ROW(B8),1,1)&lt;&gt;"",OFFSET(Planning!$D$25,COLUMN(B8),0,1,1),0)</f>
        <v>0</v>
      </c>
      <c r="L11" s="68">
        <f ca="1">IF(OFFSET(Planning!$E$25,COLUMN(C8),ROW(C8),1,1)&lt;&gt;"",OFFSET(Planning!$D$25,COLUMN(C8),0,1,1),0)</f>
        <v>0</v>
      </c>
      <c r="M11" s="68">
        <f ca="1">IF(OFFSET(Planning!$E$25,COLUMN(D8),ROW(D8),1,1)&lt;&gt;"",OFFSET(Planning!$D$25,COLUMN(D8),0,1,1),0)</f>
        <v>0</v>
      </c>
      <c r="N11" s="68">
        <f ca="1">IF(OFFSET(Planning!$E$25,COLUMN(E8),ROW(E8),1,1)&lt;&gt;"",OFFSET(Planning!$D$25,COLUMN(E8),0,1,1),0)</f>
        <v>0</v>
      </c>
      <c r="O11" s="68">
        <f ca="1">IF(OFFSET(Planning!$E$25,COLUMN(F8),ROW(F8),1,1)&lt;&gt;"",OFFSET(Planning!$D$25,COLUMN(F8),0,1,1),0)</f>
        <v>0</v>
      </c>
      <c r="P11" s="68">
        <f ca="1">IF(OFFSET(Planning!$E$25,COLUMN(G8),ROW(G8),1,1)&lt;&gt;"",OFFSET(Planning!$D$25,COLUMN(G8),0,1,1),0)</f>
        <v>0</v>
      </c>
      <c r="Q11" s="68">
        <f ca="1">IF(OFFSET(Planning!$E$25,COLUMN(H8),ROW(H8),1,1)&lt;&gt;"",OFFSET(Planning!$D$25,COLUMN(H8),0,1,1),0)</f>
        <v>0</v>
      </c>
      <c r="R11" s="68">
        <f ca="1">IF(OFFSET(Planning!$E$25,COLUMN(I8),ROW(I8),1,1)&lt;&gt;"",OFFSET(Planning!$D$25,COLUMN(I8),0,1,1),0)</f>
        <v>0</v>
      </c>
      <c r="S11" s="68">
        <f ca="1">IF(OFFSET(Planning!$E$25,COLUMN(J8),ROW(J8),1,1)&lt;&gt;"",OFFSET(Planning!$D$25,COLUMN(J8),0,1,1),0)</f>
        <v>0</v>
      </c>
      <c r="T11" s="68">
        <f ca="1">IF(OFFSET(Planning!$E$25,COLUMN(K8),ROW(K8),1,1)&lt;&gt;"",OFFSET(Planning!$D$25,COLUMN(K8),0,1,1),0)</f>
        <v>0</v>
      </c>
      <c r="U11" s="68">
        <f ca="1">IF(OFFSET(Planning!$E$25,COLUMN(L8),ROW(L8),1,1)&lt;&gt;"",OFFSET(Planning!$D$25,COLUMN(L8),0,1,1),0)</f>
        <v>0</v>
      </c>
      <c r="V11" s="68">
        <f ca="1">IF(OFFSET(Planning!$E$25,COLUMN(M8),ROW(M8),1,1)&lt;&gt;"",OFFSET(Planning!$D$25,COLUMN(M8),0,1,1),0)</f>
        <v>0</v>
      </c>
      <c r="W11" s="68">
        <f ca="1">IF(OFFSET(Planning!$E$25,COLUMN(N8),ROW(N8),1,1)&lt;&gt;"",OFFSET(Planning!$D$25,COLUMN(N8),0,1,1),0)</f>
        <v>0</v>
      </c>
      <c r="X11" s="68">
        <f ca="1">IF(OFFSET(Planning!$E$25,COLUMN(O8),ROW(O8),1,1)&lt;&gt;"",OFFSET(Planning!$D$25,COLUMN(O8),0,1,1),0)</f>
        <v>0</v>
      </c>
      <c r="Y11" s="68">
        <f ca="1">IF(OFFSET(Planning!$E$25,COLUMN(P8),ROW(P8),1,1)&lt;&gt;"",OFFSET(Planning!$D$25,COLUMN(P8),0,1,1),0)</f>
        <v>0</v>
      </c>
      <c r="Z11" s="68">
        <f ca="1">IF(OFFSET(Planning!$E$25,COLUMN(Q8),ROW(Q8),1,1)&lt;&gt;"",OFFSET(Planning!$D$25,COLUMN(Q8),0,1,1),0)</f>
        <v>0</v>
      </c>
      <c r="AA11" s="68">
        <f ca="1">IF(OFFSET(Planning!$E$25,COLUMN(R8),ROW(R8),1,1)&lt;&gt;"",OFFSET(Planning!$D$25,COLUMN(R8),0,1,1),0)</f>
        <v>0</v>
      </c>
      <c r="AB11" s="68">
        <f ca="1">IF(OFFSET(Planning!$E$25,COLUMN(S8),ROW(S8),1,1)&lt;&gt;"",OFFSET(Planning!$D$25,COLUMN(S8),0,1,1),0)</f>
        <v>0</v>
      </c>
      <c r="AC11" s="68">
        <f ca="1">IF(OFFSET(Planning!$E$25,COLUMN(T8),ROW(T8),1,1)&lt;&gt;"",OFFSET(Planning!$D$25,COLUMN(T8),0,1,1),0)</f>
        <v>0</v>
      </c>
      <c r="AD11" s="68">
        <f ca="1">VLOOKUP($B11,'Summary Calculations (hide)'!$D$15:$U$67,17,0)</f>
        <v>14.254500348202729</v>
      </c>
      <c r="AE11" s="68">
        <f ca="1">VLOOKUP($B11,'Summary Calculations (hide)'!$D$15:$U$67,18,0)</f>
        <v>2.9077629903405398</v>
      </c>
    </row>
    <row r="12" spans="1:31" x14ac:dyDescent="0.2">
      <c r="A12" s="88">
        <f t="shared" ca="1" si="3"/>
        <v>43642</v>
      </c>
      <c r="B12" s="68">
        <f t="shared" ca="1" si="0"/>
        <v>26</v>
      </c>
      <c r="C12" s="5">
        <f ca="1">IF(Planning!$C$8="No",VLOOKUP(B12,'Summary Calculations (hide)'!$D$15:$U$67,17,0),VLOOKUP(B12,'Summary Calculations (hide)'!$D$15:$F$67,2,0)*IF(Planning!$C$11="",1,1+Planning!$C$11)*'Summary Calculations (hide)'!$L$4/IF(Summary!$C$8="Patients",'Summary Calculations (hide)'!$I$9,1))</f>
        <v>14.254500348202729</v>
      </c>
      <c r="D12" s="5">
        <f ca="1">IF(Planning!$C$8="No",VLOOKUP('Planning (hide)'!B12,'Summary Calculations (hide)'!$D$15:$U$67,18,0),VLOOKUP(B12,'Summary Calculations (hide)'!$D$15:$F$67,3,0)*IF(Planning!$C$11="",1,1+Planning!$C$11)*'Summary Calculations (hide)'!$L$4/IF(Summary!$C$8="Patients",'Summary Calculations (hide)'!$I$9,1))-IF(Planning!$C$8="No",0,C12)</f>
        <v>2.9077629903405398</v>
      </c>
      <c r="E12" s="5">
        <f ca="1">VLOOKUP($B12,'Summary Calculations (hide)'!$D$15:$U$66,15,0)</f>
        <v>10.392307692307693</v>
      </c>
      <c r="F12" s="5">
        <f ca="1">VLOOKUP($B12,'Summary Calculations (hide)'!$D$15:$U$66,16,0)</f>
        <v>3.6923076923076925</v>
      </c>
      <c r="G12" s="5">
        <f t="shared" ca="1" si="1"/>
        <v>14.084615384615386</v>
      </c>
      <c r="H12" s="5">
        <f t="shared" ca="1" si="2"/>
        <v>116.08461538461539</v>
      </c>
      <c r="I12" s="68">
        <f ca="1">IF(OFFSET(Planning!$E$25,0,ROW(A9),1,1)&lt;&gt;"",-'Planning (hide)'!$G12,0)</f>
        <v>0</v>
      </c>
      <c r="J12" s="68">
        <f ca="1">IF(OFFSET(Planning!$E$25,COLUMN(A9),ROW(A9),1,1)&lt;&gt;"",OFFSET(Planning!$D$25,COLUMN(A9),0,1,1),0)</f>
        <v>0</v>
      </c>
      <c r="K12" s="68">
        <f ca="1">IF(OFFSET(Planning!$E$25,COLUMN(B9),ROW(B9),1,1)&lt;&gt;"",OFFSET(Planning!$D$25,COLUMN(B9),0,1,1),0)</f>
        <v>102</v>
      </c>
      <c r="L12" s="68">
        <f ca="1">IF(OFFSET(Planning!$E$25,COLUMN(C9),ROW(C9),1,1)&lt;&gt;"",OFFSET(Planning!$D$25,COLUMN(C9),0,1,1),0)</f>
        <v>0</v>
      </c>
      <c r="M12" s="68">
        <f ca="1">IF(OFFSET(Planning!$E$25,COLUMN(D9),ROW(D9),1,1)&lt;&gt;"",OFFSET(Planning!$D$25,COLUMN(D9),0,1,1),0)</f>
        <v>0</v>
      </c>
      <c r="N12" s="68">
        <f ca="1">IF(OFFSET(Planning!$E$25,COLUMN(E9),ROW(E9),1,1)&lt;&gt;"",OFFSET(Planning!$D$25,COLUMN(E9),0,1,1),0)</f>
        <v>0</v>
      </c>
      <c r="O12" s="68">
        <f ca="1">IF(OFFSET(Planning!$E$25,COLUMN(F9),ROW(F9),1,1)&lt;&gt;"",OFFSET(Planning!$D$25,COLUMN(F9),0,1,1),0)</f>
        <v>0</v>
      </c>
      <c r="P12" s="68">
        <f ca="1">IF(OFFSET(Planning!$E$25,COLUMN(G9),ROW(G9),1,1)&lt;&gt;"",OFFSET(Planning!$D$25,COLUMN(G9),0,1,1),0)</f>
        <v>0</v>
      </c>
      <c r="Q12" s="68">
        <f ca="1">IF(OFFSET(Planning!$E$25,COLUMN(H9),ROW(H9),1,1)&lt;&gt;"",OFFSET(Planning!$D$25,COLUMN(H9),0,1,1),0)</f>
        <v>0</v>
      </c>
      <c r="R12" s="68">
        <f ca="1">IF(OFFSET(Planning!$E$25,COLUMN(I9),ROW(I9),1,1)&lt;&gt;"",OFFSET(Planning!$D$25,COLUMN(I9),0,1,1),0)</f>
        <v>0</v>
      </c>
      <c r="S12" s="68">
        <f ca="1">IF(OFFSET(Planning!$E$25,COLUMN(J9),ROW(J9),1,1)&lt;&gt;"",OFFSET(Planning!$D$25,COLUMN(J9),0,1,1),0)</f>
        <v>0</v>
      </c>
      <c r="T12" s="68">
        <f ca="1">IF(OFFSET(Planning!$E$25,COLUMN(K9),ROW(K9),1,1)&lt;&gt;"",OFFSET(Planning!$D$25,COLUMN(K9),0,1,1),0)</f>
        <v>0</v>
      </c>
      <c r="U12" s="68">
        <f ca="1">IF(OFFSET(Planning!$E$25,COLUMN(L9),ROW(L9),1,1)&lt;&gt;"",OFFSET(Planning!$D$25,COLUMN(L9),0,1,1),0)</f>
        <v>0</v>
      </c>
      <c r="V12" s="68">
        <f ca="1">IF(OFFSET(Planning!$E$25,COLUMN(M9),ROW(M9),1,1)&lt;&gt;"",OFFSET(Planning!$D$25,COLUMN(M9),0,1,1),0)</f>
        <v>0</v>
      </c>
      <c r="W12" s="68">
        <f ca="1">IF(OFFSET(Planning!$E$25,COLUMN(N9),ROW(N9),1,1)&lt;&gt;"",OFFSET(Planning!$D$25,COLUMN(N9),0,1,1),0)</f>
        <v>0</v>
      </c>
      <c r="X12" s="68">
        <f ca="1">IF(OFFSET(Planning!$E$25,COLUMN(O9),ROW(O9),1,1)&lt;&gt;"",OFFSET(Planning!$D$25,COLUMN(O9),0,1,1),0)</f>
        <v>0</v>
      </c>
      <c r="Y12" s="68">
        <f ca="1">IF(OFFSET(Planning!$E$25,COLUMN(P9),ROW(P9),1,1)&lt;&gt;"",OFFSET(Planning!$D$25,COLUMN(P9),0,1,1),0)</f>
        <v>0</v>
      </c>
      <c r="Z12" s="68">
        <f ca="1">IF(OFFSET(Planning!$E$25,COLUMN(Q9),ROW(Q9),1,1)&lt;&gt;"",OFFSET(Planning!$D$25,COLUMN(Q9),0,1,1),0)</f>
        <v>0</v>
      </c>
      <c r="AA12" s="68">
        <f ca="1">IF(OFFSET(Planning!$E$25,COLUMN(R9),ROW(R9),1,1)&lt;&gt;"",OFFSET(Planning!$D$25,COLUMN(R9),0,1,1),0)</f>
        <v>0</v>
      </c>
      <c r="AB12" s="68">
        <f ca="1">IF(OFFSET(Planning!$E$25,COLUMN(S9),ROW(S9),1,1)&lt;&gt;"",OFFSET(Planning!$D$25,COLUMN(S9),0,1,1),0)</f>
        <v>0</v>
      </c>
      <c r="AC12" s="68">
        <f ca="1">IF(OFFSET(Planning!$E$25,COLUMN(T9),ROW(T9),1,1)&lt;&gt;"",OFFSET(Planning!$D$25,COLUMN(T9),0,1,1),0)</f>
        <v>0</v>
      </c>
      <c r="AD12" s="68">
        <f ca="1">VLOOKUP($B12,'Summary Calculations (hide)'!$D$15:$U$67,17,0)</f>
        <v>14.254500348202729</v>
      </c>
      <c r="AE12" s="68">
        <f ca="1">VLOOKUP($B12,'Summary Calculations (hide)'!$D$15:$U$67,18,0)</f>
        <v>2.9077629903405398</v>
      </c>
    </row>
    <row r="13" spans="1:31" x14ac:dyDescent="0.2">
      <c r="A13" s="88">
        <f t="shared" ca="1" si="3"/>
        <v>43649</v>
      </c>
      <c r="B13" s="68">
        <f t="shared" ca="1" si="0"/>
        <v>27</v>
      </c>
      <c r="C13" s="5">
        <f ca="1">IF(Planning!$C$8="No",VLOOKUP(B13,'Summary Calculations (hide)'!$D$15:$U$67,17,0),VLOOKUP(B13,'Summary Calculations (hide)'!$D$15:$F$67,2,0)*IF(Planning!$C$11="",1,1+Planning!$C$11)*'Summary Calculations (hide)'!$L$4/IF(Summary!$C$8="Patients",'Summary Calculations (hide)'!$I$9,1))</f>
        <v>14.254500348202729</v>
      </c>
      <c r="D13" s="5">
        <f ca="1">IF(Planning!$C$8="No",VLOOKUP('Planning (hide)'!B13,'Summary Calculations (hide)'!$D$15:$U$67,18,0),VLOOKUP(B13,'Summary Calculations (hide)'!$D$15:$F$67,3,0)*IF(Planning!$C$11="",1,1+Planning!$C$11)*'Summary Calculations (hide)'!$L$4/IF(Summary!$C$8="Patients",'Summary Calculations (hide)'!$I$9,1))-IF(Planning!$C$8="No",0,C13)</f>
        <v>2.9077629903405398</v>
      </c>
      <c r="E13" s="5">
        <f ca="1">VLOOKUP($B13,'Summary Calculations (hide)'!$D$15:$U$66,15,0)</f>
        <v>10.392307692307693</v>
      </c>
      <c r="F13" s="5">
        <f ca="1">VLOOKUP($B13,'Summary Calculations (hide)'!$D$15:$U$66,16,0)</f>
        <v>7.6923076923076925</v>
      </c>
      <c r="G13" s="5">
        <f t="shared" ca="1" si="1"/>
        <v>18.084615384615386</v>
      </c>
      <c r="H13" s="5">
        <f t="shared" ca="1" si="2"/>
        <v>103.08461538461539</v>
      </c>
      <c r="I13" s="68">
        <f ca="1">IF(OFFSET(Planning!$E$25,0,ROW(A10),1,1)&lt;&gt;"",-'Planning (hide)'!$G13,0)</f>
        <v>0</v>
      </c>
      <c r="J13" s="68">
        <f ca="1">IF(OFFSET(Planning!$E$25,COLUMN(A10),ROW(A10),1,1)&lt;&gt;"",OFFSET(Planning!$D$25,COLUMN(A10),0,1,1),0)</f>
        <v>85</v>
      </c>
      <c r="K13" s="68">
        <f ca="1">IF(OFFSET(Planning!$E$25,COLUMN(B10),ROW(B10),1,1)&lt;&gt;"",OFFSET(Planning!$D$25,COLUMN(B10),0,1,1),0)</f>
        <v>0</v>
      </c>
      <c r="L13" s="68">
        <f ca="1">IF(OFFSET(Planning!$E$25,COLUMN(C10),ROW(C10),1,1)&lt;&gt;"",OFFSET(Planning!$D$25,COLUMN(C10),0,1,1),0)</f>
        <v>0</v>
      </c>
      <c r="M13" s="68">
        <f ca="1">IF(OFFSET(Planning!$E$25,COLUMN(D10),ROW(D10),1,1)&lt;&gt;"",OFFSET(Planning!$D$25,COLUMN(D10),0,1,1),0)</f>
        <v>0</v>
      </c>
      <c r="N13" s="68">
        <f ca="1">IF(OFFSET(Planning!$E$25,COLUMN(E10),ROW(E10),1,1)&lt;&gt;"",OFFSET(Planning!$D$25,COLUMN(E10),0,1,1),0)</f>
        <v>0</v>
      </c>
      <c r="O13" s="68">
        <f ca="1">IF(OFFSET(Planning!$E$25,COLUMN(F10),ROW(F10),1,1)&lt;&gt;"",OFFSET(Planning!$D$25,COLUMN(F10),0,1,1),0)</f>
        <v>0</v>
      </c>
      <c r="P13" s="68">
        <f ca="1">IF(OFFSET(Planning!$E$25,COLUMN(G10),ROW(G10),1,1)&lt;&gt;"",OFFSET(Planning!$D$25,COLUMN(G10),0,1,1),0)</f>
        <v>0</v>
      </c>
      <c r="Q13" s="68">
        <f ca="1">IF(OFFSET(Planning!$E$25,COLUMN(H10),ROW(H10),1,1)&lt;&gt;"",OFFSET(Planning!$D$25,COLUMN(H10),0,1,1),0)</f>
        <v>0</v>
      </c>
      <c r="R13" s="68">
        <f ca="1">IF(OFFSET(Planning!$E$25,COLUMN(I10),ROW(I10),1,1)&lt;&gt;"",OFFSET(Planning!$D$25,COLUMN(I10),0,1,1),0)</f>
        <v>0</v>
      </c>
      <c r="S13" s="68">
        <f ca="1">IF(OFFSET(Planning!$E$25,COLUMN(J10),ROW(J10),1,1)&lt;&gt;"",OFFSET(Planning!$D$25,COLUMN(J10),0,1,1),0)</f>
        <v>0</v>
      </c>
      <c r="T13" s="68">
        <f ca="1">IF(OFFSET(Planning!$E$25,COLUMN(K10),ROW(K10),1,1)&lt;&gt;"",OFFSET(Planning!$D$25,COLUMN(K10),0,1,1),0)</f>
        <v>0</v>
      </c>
      <c r="U13" s="68">
        <f ca="1">IF(OFFSET(Planning!$E$25,COLUMN(L10),ROW(L10),1,1)&lt;&gt;"",OFFSET(Planning!$D$25,COLUMN(L10),0,1,1),0)</f>
        <v>0</v>
      </c>
      <c r="V13" s="68">
        <f ca="1">IF(OFFSET(Planning!$E$25,COLUMN(M10),ROW(M10),1,1)&lt;&gt;"",OFFSET(Planning!$D$25,COLUMN(M10),0,1,1),0)</f>
        <v>0</v>
      </c>
      <c r="W13" s="68">
        <f ca="1">IF(OFFSET(Planning!$E$25,COLUMN(N10),ROW(N10),1,1)&lt;&gt;"",OFFSET(Planning!$D$25,COLUMN(N10),0,1,1),0)</f>
        <v>0</v>
      </c>
      <c r="X13" s="68">
        <f ca="1">IF(OFFSET(Planning!$E$25,COLUMN(O10),ROW(O10),1,1)&lt;&gt;"",OFFSET(Planning!$D$25,COLUMN(O10),0,1,1),0)</f>
        <v>0</v>
      </c>
      <c r="Y13" s="68">
        <f ca="1">IF(OFFSET(Planning!$E$25,COLUMN(P10),ROW(P10),1,1)&lt;&gt;"",OFFSET(Planning!$D$25,COLUMN(P10),0,1,1),0)</f>
        <v>0</v>
      </c>
      <c r="Z13" s="68">
        <f ca="1">IF(OFFSET(Planning!$E$25,COLUMN(Q10),ROW(Q10),1,1)&lt;&gt;"",OFFSET(Planning!$D$25,COLUMN(Q10),0,1,1),0)</f>
        <v>0</v>
      </c>
      <c r="AA13" s="68">
        <f ca="1">IF(OFFSET(Planning!$E$25,COLUMN(R10),ROW(R10),1,1)&lt;&gt;"",OFFSET(Planning!$D$25,COLUMN(R10),0,1,1),0)</f>
        <v>0</v>
      </c>
      <c r="AB13" s="68">
        <f ca="1">IF(OFFSET(Planning!$E$25,COLUMN(S10),ROW(S10),1,1)&lt;&gt;"",OFFSET(Planning!$D$25,COLUMN(S10),0,1,1),0)</f>
        <v>0</v>
      </c>
      <c r="AC13" s="68">
        <f ca="1">IF(OFFSET(Planning!$E$25,COLUMN(T10),ROW(T10),1,1)&lt;&gt;"",OFFSET(Planning!$D$25,COLUMN(T10),0,1,1),0)</f>
        <v>0</v>
      </c>
      <c r="AD13" s="68">
        <f ca="1">VLOOKUP($B13,'Summary Calculations (hide)'!$D$15:$U$67,17,0)</f>
        <v>14.254500348202729</v>
      </c>
      <c r="AE13" s="68">
        <f ca="1">VLOOKUP($B13,'Summary Calculations (hide)'!$D$15:$U$67,18,0)</f>
        <v>2.9077629903405398</v>
      </c>
    </row>
    <row r="14" spans="1:31" x14ac:dyDescent="0.2">
      <c r="A14" s="88">
        <f t="shared" ca="1" si="3"/>
        <v>43656</v>
      </c>
      <c r="B14" s="68">
        <f t="shared" ca="1" si="0"/>
        <v>28</v>
      </c>
      <c r="C14" s="5">
        <f ca="1">IF(Planning!$C$8="No",VLOOKUP(B14,'Summary Calculations (hide)'!$D$15:$U$67,17,0),VLOOKUP(B14,'Summary Calculations (hide)'!$D$15:$F$67,2,0)*IF(Planning!$C$11="",1,1+Planning!$C$11)*'Summary Calculations (hide)'!$L$4/IF(Summary!$C$8="Patients",'Summary Calculations (hide)'!$I$9,1))</f>
        <v>14.254500348202729</v>
      </c>
      <c r="D14" s="5">
        <f ca="1">IF(Planning!$C$8="No",VLOOKUP('Planning (hide)'!B14,'Summary Calculations (hide)'!$D$15:$U$67,18,0),VLOOKUP(B14,'Summary Calculations (hide)'!$D$15:$F$67,3,0)*IF(Planning!$C$11="",1,1+Planning!$C$11)*'Summary Calculations (hide)'!$L$4/IF(Summary!$C$8="Patients",'Summary Calculations (hide)'!$I$9,1))-IF(Planning!$C$8="No",0,C14)</f>
        <v>2.9077629903405398</v>
      </c>
      <c r="E14" s="5">
        <f ca="1">VLOOKUP($B14,'Summary Calculations (hide)'!$D$15:$U$66,15,0)</f>
        <v>10.392307692307693</v>
      </c>
      <c r="F14" s="5">
        <f ca="1">VLOOKUP($B14,'Summary Calculations (hide)'!$D$15:$U$66,16,0)</f>
        <v>4</v>
      </c>
      <c r="G14" s="5">
        <f t="shared" ca="1" si="1"/>
        <v>14.392307692307693</v>
      </c>
      <c r="H14" s="5">
        <f t="shared" ca="1" si="2"/>
        <v>14.392307692307693</v>
      </c>
      <c r="I14" s="68">
        <f ca="1">IF(OFFSET(Planning!$E$25,0,ROW(A11),1,1)&lt;&gt;"",-'Planning (hide)'!$G14,0)</f>
        <v>0</v>
      </c>
      <c r="J14" s="68">
        <f ca="1">IF(OFFSET(Planning!$E$25,COLUMN(A11),ROW(A11),1,1)&lt;&gt;"",OFFSET(Planning!$D$25,COLUMN(A11),0,1,1),0)</f>
        <v>0</v>
      </c>
      <c r="K14" s="68">
        <f ca="1">IF(OFFSET(Planning!$E$25,COLUMN(B11),ROW(B11),1,1)&lt;&gt;"",OFFSET(Planning!$D$25,COLUMN(B11),0,1,1),0)</f>
        <v>0</v>
      </c>
      <c r="L14" s="68">
        <f ca="1">IF(OFFSET(Planning!$E$25,COLUMN(C11),ROW(C11),1,1)&lt;&gt;"",OFFSET(Planning!$D$25,COLUMN(C11),0,1,1),0)</f>
        <v>0</v>
      </c>
      <c r="M14" s="68">
        <f ca="1">IF(OFFSET(Planning!$E$25,COLUMN(D11),ROW(D11),1,1)&lt;&gt;"",OFFSET(Planning!$D$25,COLUMN(D11),0,1,1),0)</f>
        <v>0</v>
      </c>
      <c r="N14" s="68">
        <f ca="1">IF(OFFSET(Planning!$E$25,COLUMN(E11),ROW(E11),1,1)&lt;&gt;"",OFFSET(Planning!$D$25,COLUMN(E11),0,1,1),0)</f>
        <v>0</v>
      </c>
      <c r="O14" s="68">
        <f ca="1">IF(OFFSET(Planning!$E$25,COLUMN(F11),ROW(F11),1,1)&lt;&gt;"",OFFSET(Planning!$D$25,COLUMN(F11),0,1,1),0)</f>
        <v>0</v>
      </c>
      <c r="P14" s="68">
        <f ca="1">IF(OFFSET(Planning!$E$25,COLUMN(G11),ROW(G11),1,1)&lt;&gt;"",OFFSET(Planning!$D$25,COLUMN(G11),0,1,1),0)</f>
        <v>0</v>
      </c>
      <c r="Q14" s="68">
        <f ca="1">IF(OFFSET(Planning!$E$25,COLUMN(H11),ROW(H11),1,1)&lt;&gt;"",OFFSET(Planning!$D$25,COLUMN(H11),0,1,1),0)</f>
        <v>0</v>
      </c>
      <c r="R14" s="68">
        <f ca="1">IF(OFFSET(Planning!$E$25,COLUMN(I11),ROW(I11),1,1)&lt;&gt;"",OFFSET(Planning!$D$25,COLUMN(I11),0,1,1),0)</f>
        <v>0</v>
      </c>
      <c r="S14" s="68">
        <f ca="1">IF(OFFSET(Planning!$E$25,COLUMN(J11),ROW(J11),1,1)&lt;&gt;"",OFFSET(Planning!$D$25,COLUMN(J11),0,1,1),0)</f>
        <v>0</v>
      </c>
      <c r="T14" s="68">
        <f ca="1">IF(OFFSET(Planning!$E$25,COLUMN(K11),ROW(K11),1,1)&lt;&gt;"",OFFSET(Planning!$D$25,COLUMN(K11),0,1,1),0)</f>
        <v>0</v>
      </c>
      <c r="U14" s="68">
        <f ca="1">IF(OFFSET(Planning!$E$25,COLUMN(L11),ROW(L11),1,1)&lt;&gt;"",OFFSET(Planning!$D$25,COLUMN(L11),0,1,1),0)</f>
        <v>0</v>
      </c>
      <c r="V14" s="68">
        <f ca="1">IF(OFFSET(Planning!$E$25,COLUMN(M11),ROW(M11),1,1)&lt;&gt;"",OFFSET(Planning!$D$25,COLUMN(M11),0,1,1),0)</f>
        <v>0</v>
      </c>
      <c r="W14" s="68">
        <f ca="1">IF(OFFSET(Planning!$E$25,COLUMN(N11),ROW(N11),1,1)&lt;&gt;"",OFFSET(Planning!$D$25,COLUMN(N11),0,1,1),0)</f>
        <v>0</v>
      </c>
      <c r="X14" s="68">
        <f ca="1">IF(OFFSET(Planning!$E$25,COLUMN(O11),ROW(O11),1,1)&lt;&gt;"",OFFSET(Planning!$D$25,COLUMN(O11),0,1,1),0)</f>
        <v>0</v>
      </c>
      <c r="Y14" s="68">
        <f ca="1">IF(OFFSET(Planning!$E$25,COLUMN(P11),ROW(P11),1,1)&lt;&gt;"",OFFSET(Planning!$D$25,COLUMN(P11),0,1,1),0)</f>
        <v>0</v>
      </c>
      <c r="Z14" s="68">
        <f ca="1">IF(OFFSET(Planning!$E$25,COLUMN(Q11),ROW(Q11),1,1)&lt;&gt;"",OFFSET(Planning!$D$25,COLUMN(Q11),0,1,1),0)</f>
        <v>0</v>
      </c>
      <c r="AA14" s="68">
        <f ca="1">IF(OFFSET(Planning!$E$25,COLUMN(R11),ROW(R11),1,1)&lt;&gt;"",OFFSET(Planning!$D$25,COLUMN(R11),0,1,1),0)</f>
        <v>0</v>
      </c>
      <c r="AB14" s="68">
        <f ca="1">IF(OFFSET(Planning!$E$25,COLUMN(S11),ROW(S11),1,1)&lt;&gt;"",OFFSET(Planning!$D$25,COLUMN(S11),0,1,1),0)</f>
        <v>0</v>
      </c>
      <c r="AC14" s="68">
        <f ca="1">IF(OFFSET(Planning!$E$25,COLUMN(T11),ROW(T11),1,1)&lt;&gt;"",OFFSET(Planning!$D$25,COLUMN(T11),0,1,1),0)</f>
        <v>0</v>
      </c>
      <c r="AD14" s="68">
        <f ca="1">VLOOKUP($B14,'Summary Calculations (hide)'!$D$15:$U$67,17,0)</f>
        <v>14.254500348202729</v>
      </c>
      <c r="AE14" s="68">
        <f ca="1">VLOOKUP($B14,'Summary Calculations (hide)'!$D$15:$U$67,18,0)</f>
        <v>2.9077629903405398</v>
      </c>
    </row>
    <row r="15" spans="1:31" x14ac:dyDescent="0.2">
      <c r="A15" s="88">
        <f t="shared" ca="1" si="3"/>
        <v>43663</v>
      </c>
      <c r="B15" s="68">
        <f t="shared" ca="1" si="0"/>
        <v>29</v>
      </c>
      <c r="C15" s="5">
        <f ca="1">IF(Planning!$C$8="No",VLOOKUP(B15,'Summary Calculations (hide)'!$D$15:$U$67,17,0),VLOOKUP(B15,'Summary Calculations (hide)'!$D$15:$F$67,2,0)*IF(Planning!$C$11="",1,1+Planning!$C$11)*'Summary Calculations (hide)'!$L$4/IF(Summary!$C$8="Patients",'Summary Calculations (hide)'!$I$9,1))</f>
        <v>14.254500348202729</v>
      </c>
      <c r="D15" s="5">
        <f ca="1">IF(Planning!$C$8="No",VLOOKUP('Planning (hide)'!B15,'Summary Calculations (hide)'!$D$15:$U$67,18,0),VLOOKUP(B15,'Summary Calculations (hide)'!$D$15:$F$67,3,0)*IF(Planning!$C$11="",1,1+Planning!$C$11)*'Summary Calculations (hide)'!$L$4/IF(Summary!$C$8="Patients",'Summary Calculations (hide)'!$I$9,1))-IF(Planning!$C$8="No",0,C15)</f>
        <v>2.9077629903405398</v>
      </c>
      <c r="E15" s="5">
        <f ca="1">VLOOKUP($B15,'Summary Calculations (hide)'!$D$15:$U$66,15,0)</f>
        <v>10.392307692307693</v>
      </c>
      <c r="F15" s="5">
        <f ca="1">VLOOKUP($B15,'Summary Calculations (hide)'!$D$15:$U$66,16,0)</f>
        <v>0</v>
      </c>
      <c r="G15" s="5">
        <f t="shared" ca="1" si="1"/>
        <v>10.392307692307693</v>
      </c>
      <c r="H15" s="5">
        <f t="shared" ca="1" si="2"/>
        <v>10.392307692307693</v>
      </c>
      <c r="I15" s="68">
        <f ca="1">IF(OFFSET(Planning!$E$25,0,ROW(A12),1,1)&lt;&gt;"",-'Planning (hide)'!$G15,0)</f>
        <v>0</v>
      </c>
      <c r="J15" s="68">
        <f ca="1">IF(OFFSET(Planning!$E$25,COLUMN(A12),ROW(A12),1,1)&lt;&gt;"",OFFSET(Planning!$D$25,COLUMN(A12),0,1,1),0)</f>
        <v>0</v>
      </c>
      <c r="K15" s="68">
        <f ca="1">IF(OFFSET(Planning!$E$25,COLUMN(B12),ROW(B12),1,1)&lt;&gt;"",OFFSET(Planning!$D$25,COLUMN(B12),0,1,1),0)</f>
        <v>0</v>
      </c>
      <c r="L15" s="68">
        <f ca="1">IF(OFFSET(Planning!$E$25,COLUMN(C12),ROW(C12),1,1)&lt;&gt;"",OFFSET(Planning!$D$25,COLUMN(C12),0,1,1),0)</f>
        <v>0</v>
      </c>
      <c r="M15" s="68">
        <f ca="1">IF(OFFSET(Planning!$E$25,COLUMN(D12),ROW(D12),1,1)&lt;&gt;"",OFFSET(Planning!$D$25,COLUMN(D12),0,1,1),0)</f>
        <v>0</v>
      </c>
      <c r="N15" s="68">
        <f ca="1">IF(OFFSET(Planning!$E$25,COLUMN(E12),ROW(E12),1,1)&lt;&gt;"",OFFSET(Planning!$D$25,COLUMN(E12),0,1,1),0)</f>
        <v>0</v>
      </c>
      <c r="O15" s="68">
        <f ca="1">IF(OFFSET(Planning!$E$25,COLUMN(F12),ROW(F12),1,1)&lt;&gt;"",OFFSET(Planning!$D$25,COLUMN(F12),0,1,1),0)</f>
        <v>0</v>
      </c>
      <c r="P15" s="68">
        <f ca="1">IF(OFFSET(Planning!$E$25,COLUMN(G12),ROW(G12),1,1)&lt;&gt;"",OFFSET(Planning!$D$25,COLUMN(G12),0,1,1),0)</f>
        <v>0</v>
      </c>
      <c r="Q15" s="68">
        <f ca="1">IF(OFFSET(Planning!$E$25,COLUMN(H12),ROW(H12),1,1)&lt;&gt;"",OFFSET(Planning!$D$25,COLUMN(H12),0,1,1),0)</f>
        <v>0</v>
      </c>
      <c r="R15" s="68">
        <f ca="1">IF(OFFSET(Planning!$E$25,COLUMN(I12),ROW(I12),1,1)&lt;&gt;"",OFFSET(Planning!$D$25,COLUMN(I12),0,1,1),0)</f>
        <v>0</v>
      </c>
      <c r="S15" s="68">
        <f ca="1">IF(OFFSET(Planning!$E$25,COLUMN(J12),ROW(J12),1,1)&lt;&gt;"",OFFSET(Planning!$D$25,COLUMN(J12),0,1,1),0)</f>
        <v>0</v>
      </c>
      <c r="T15" s="68">
        <f ca="1">IF(OFFSET(Planning!$E$25,COLUMN(K12),ROW(K12),1,1)&lt;&gt;"",OFFSET(Planning!$D$25,COLUMN(K12),0,1,1),0)</f>
        <v>0</v>
      </c>
      <c r="U15" s="68">
        <f ca="1">IF(OFFSET(Planning!$E$25,COLUMN(L12),ROW(L12),1,1)&lt;&gt;"",OFFSET(Planning!$D$25,COLUMN(L12),0,1,1),0)</f>
        <v>0</v>
      </c>
      <c r="V15" s="68">
        <f ca="1">IF(OFFSET(Planning!$E$25,COLUMN(M12),ROW(M12),1,1)&lt;&gt;"",OFFSET(Planning!$D$25,COLUMN(M12),0,1,1),0)</f>
        <v>0</v>
      </c>
      <c r="W15" s="68">
        <f ca="1">IF(OFFSET(Planning!$E$25,COLUMN(N12),ROW(N12),1,1)&lt;&gt;"",OFFSET(Planning!$D$25,COLUMN(N12),0,1,1),0)</f>
        <v>0</v>
      </c>
      <c r="X15" s="68">
        <f ca="1">IF(OFFSET(Planning!$E$25,COLUMN(O12),ROW(O12),1,1)&lt;&gt;"",OFFSET(Planning!$D$25,COLUMN(O12),0,1,1),0)</f>
        <v>0</v>
      </c>
      <c r="Y15" s="68">
        <f ca="1">IF(OFFSET(Planning!$E$25,COLUMN(P12),ROW(P12),1,1)&lt;&gt;"",OFFSET(Planning!$D$25,COLUMN(P12),0,1,1),0)</f>
        <v>0</v>
      </c>
      <c r="Z15" s="68">
        <f ca="1">IF(OFFSET(Planning!$E$25,COLUMN(Q12),ROW(Q12),1,1)&lt;&gt;"",OFFSET(Planning!$D$25,COLUMN(Q12),0,1,1),0)</f>
        <v>0</v>
      </c>
      <c r="AA15" s="68">
        <f ca="1">IF(OFFSET(Planning!$E$25,COLUMN(R12),ROW(R12),1,1)&lt;&gt;"",OFFSET(Planning!$D$25,COLUMN(R12),0,1,1),0)</f>
        <v>0</v>
      </c>
      <c r="AB15" s="68">
        <f ca="1">IF(OFFSET(Planning!$E$25,COLUMN(S12),ROW(S12),1,1)&lt;&gt;"",OFFSET(Planning!$D$25,COLUMN(S12),0,1,1),0)</f>
        <v>0</v>
      </c>
      <c r="AC15" s="68">
        <f ca="1">IF(OFFSET(Planning!$E$25,COLUMN(T12),ROW(T12),1,1)&lt;&gt;"",OFFSET(Planning!$D$25,COLUMN(T12),0,1,1),0)</f>
        <v>0</v>
      </c>
      <c r="AD15" s="68">
        <f ca="1">VLOOKUP($B15,'Summary Calculations (hide)'!$D$15:$U$67,17,0)</f>
        <v>14.254500348202729</v>
      </c>
      <c r="AE15" s="68">
        <f ca="1">VLOOKUP($B15,'Summary Calculations (hide)'!$D$15:$U$67,18,0)</f>
        <v>2.9077629903405398</v>
      </c>
    </row>
    <row r="16" spans="1:31" x14ac:dyDescent="0.2">
      <c r="A16" s="88">
        <f t="shared" ca="1" si="3"/>
        <v>43670</v>
      </c>
      <c r="B16" s="68">
        <f t="shared" ca="1" si="0"/>
        <v>30</v>
      </c>
      <c r="C16" s="5">
        <f ca="1">IF(Planning!$C$8="No",VLOOKUP(B16,'Summary Calculations (hide)'!$D$15:$U$67,17,0),VLOOKUP(B16,'Summary Calculations (hide)'!$D$15:$F$67,2,0)*IF(Planning!$C$11="",1,1+Planning!$C$11)*'Summary Calculations (hide)'!$L$4/IF(Summary!$C$8="Patients",'Summary Calculations (hide)'!$I$9,1))</f>
        <v>14.254500348202729</v>
      </c>
      <c r="D16" s="5">
        <f ca="1">IF(Planning!$C$8="No",VLOOKUP('Planning (hide)'!B16,'Summary Calculations (hide)'!$D$15:$U$67,18,0),VLOOKUP(B16,'Summary Calculations (hide)'!$D$15:$F$67,3,0)*IF(Planning!$C$11="",1,1+Planning!$C$11)*'Summary Calculations (hide)'!$L$4/IF(Summary!$C$8="Patients",'Summary Calculations (hide)'!$I$9,1))-IF(Planning!$C$8="No",0,C16)</f>
        <v>2.9077629903405398</v>
      </c>
      <c r="E16" s="5">
        <f ca="1">VLOOKUP($B16,'Summary Calculations (hide)'!$D$15:$U$66,15,0)</f>
        <v>10.392307692307693</v>
      </c>
      <c r="F16" s="5">
        <f ca="1">VLOOKUP($B16,'Summary Calculations (hide)'!$D$15:$U$66,16,0)</f>
        <v>0</v>
      </c>
      <c r="G16" s="5">
        <f t="shared" ca="1" si="1"/>
        <v>10.392307692307693</v>
      </c>
      <c r="H16" s="5">
        <f t="shared" ca="1" si="2"/>
        <v>112.3923076923077</v>
      </c>
      <c r="I16" s="68">
        <f ca="1">IF(OFFSET(Planning!$E$25,0,ROW(A13),1,1)&lt;&gt;"",-'Planning (hide)'!$G16,0)</f>
        <v>0</v>
      </c>
      <c r="J16" s="68">
        <f ca="1">IF(OFFSET(Planning!$E$25,COLUMN(A13),ROW(A13),1,1)&lt;&gt;"",OFFSET(Planning!$D$25,COLUMN(A13),0,1,1),0)</f>
        <v>0</v>
      </c>
      <c r="K16" s="68">
        <f ca="1">IF(OFFSET(Planning!$E$25,COLUMN(B13),ROW(B13),1,1)&lt;&gt;"",OFFSET(Planning!$D$25,COLUMN(B13),0,1,1),0)</f>
        <v>102</v>
      </c>
      <c r="L16" s="68">
        <f ca="1">IF(OFFSET(Planning!$E$25,COLUMN(C13),ROW(C13),1,1)&lt;&gt;"",OFFSET(Planning!$D$25,COLUMN(C13),0,1,1),0)</f>
        <v>0</v>
      </c>
      <c r="M16" s="68">
        <f ca="1">IF(OFFSET(Planning!$E$25,COLUMN(D13),ROW(D13),1,1)&lt;&gt;"",OFFSET(Planning!$D$25,COLUMN(D13),0,1,1),0)</f>
        <v>0</v>
      </c>
      <c r="N16" s="68">
        <f ca="1">IF(OFFSET(Planning!$E$25,COLUMN(E13),ROW(E13),1,1)&lt;&gt;"",OFFSET(Planning!$D$25,COLUMN(E13),0,1,1),0)</f>
        <v>0</v>
      </c>
      <c r="O16" s="68">
        <f ca="1">IF(OFFSET(Planning!$E$25,COLUMN(F13),ROW(F13),1,1)&lt;&gt;"",OFFSET(Planning!$D$25,COLUMN(F13),0,1,1),0)</f>
        <v>0</v>
      </c>
      <c r="P16" s="68">
        <f ca="1">IF(OFFSET(Planning!$E$25,COLUMN(G13),ROW(G13),1,1)&lt;&gt;"",OFFSET(Planning!$D$25,COLUMN(G13),0,1,1),0)</f>
        <v>0</v>
      </c>
      <c r="Q16" s="68">
        <f ca="1">IF(OFFSET(Planning!$E$25,COLUMN(H13),ROW(H13),1,1)&lt;&gt;"",OFFSET(Planning!$D$25,COLUMN(H13),0,1,1),0)</f>
        <v>0</v>
      </c>
      <c r="R16" s="68">
        <f ca="1">IF(OFFSET(Planning!$E$25,COLUMN(I13),ROW(I13),1,1)&lt;&gt;"",OFFSET(Planning!$D$25,COLUMN(I13),0,1,1),0)</f>
        <v>0</v>
      </c>
      <c r="S16" s="68">
        <f ca="1">IF(OFFSET(Planning!$E$25,COLUMN(J13),ROW(J13),1,1)&lt;&gt;"",OFFSET(Planning!$D$25,COLUMN(J13),0,1,1),0)</f>
        <v>0</v>
      </c>
      <c r="T16" s="68">
        <f ca="1">IF(OFFSET(Planning!$E$25,COLUMN(K13),ROW(K13),1,1)&lt;&gt;"",OFFSET(Planning!$D$25,COLUMN(K13),0,1,1),0)</f>
        <v>0</v>
      </c>
      <c r="U16" s="68">
        <f ca="1">IF(OFFSET(Planning!$E$25,COLUMN(L13),ROW(L13),1,1)&lt;&gt;"",OFFSET(Planning!$D$25,COLUMN(L13),0,1,1),0)</f>
        <v>0</v>
      </c>
      <c r="V16" s="68">
        <f ca="1">IF(OFFSET(Planning!$E$25,COLUMN(M13),ROW(M13),1,1)&lt;&gt;"",OFFSET(Planning!$D$25,COLUMN(M13),0,1,1),0)</f>
        <v>0</v>
      </c>
      <c r="W16" s="68">
        <f ca="1">IF(OFFSET(Planning!$E$25,COLUMN(N13),ROW(N13),1,1)&lt;&gt;"",OFFSET(Planning!$D$25,COLUMN(N13),0,1,1),0)</f>
        <v>0</v>
      </c>
      <c r="X16" s="68">
        <f ca="1">IF(OFFSET(Planning!$E$25,COLUMN(O13),ROW(O13),1,1)&lt;&gt;"",OFFSET(Planning!$D$25,COLUMN(O13),0,1,1),0)</f>
        <v>0</v>
      </c>
      <c r="Y16" s="68">
        <f ca="1">IF(OFFSET(Planning!$E$25,COLUMN(P13),ROW(P13),1,1)&lt;&gt;"",OFFSET(Planning!$D$25,COLUMN(P13),0,1,1),0)</f>
        <v>0</v>
      </c>
      <c r="Z16" s="68">
        <f ca="1">IF(OFFSET(Planning!$E$25,COLUMN(Q13),ROW(Q13),1,1)&lt;&gt;"",OFFSET(Planning!$D$25,COLUMN(Q13),0,1,1),0)</f>
        <v>0</v>
      </c>
      <c r="AA16" s="68">
        <f ca="1">IF(OFFSET(Planning!$E$25,COLUMN(R13),ROW(R13),1,1)&lt;&gt;"",OFFSET(Planning!$D$25,COLUMN(R13),0,1,1),0)</f>
        <v>0</v>
      </c>
      <c r="AB16" s="68">
        <f ca="1">IF(OFFSET(Planning!$E$25,COLUMN(S13),ROW(S13),1,1)&lt;&gt;"",OFFSET(Planning!$D$25,COLUMN(S13),0,1,1),0)</f>
        <v>0</v>
      </c>
      <c r="AC16" s="68">
        <f ca="1">IF(OFFSET(Planning!$E$25,COLUMN(T13),ROW(T13),1,1)&lt;&gt;"",OFFSET(Planning!$D$25,COLUMN(T13),0,1,1),0)</f>
        <v>0</v>
      </c>
      <c r="AD16" s="68">
        <f ca="1">VLOOKUP($B16,'Summary Calculations (hide)'!$D$15:$U$67,17,0)</f>
        <v>14.254500348202729</v>
      </c>
      <c r="AE16" s="68">
        <f ca="1">VLOOKUP($B16,'Summary Calculations (hide)'!$D$15:$U$67,18,0)</f>
        <v>2.9077629903405398</v>
      </c>
    </row>
    <row r="17" spans="1:31" x14ac:dyDescent="0.2">
      <c r="A17" s="88">
        <f t="shared" ca="1" si="3"/>
        <v>43677</v>
      </c>
      <c r="B17" s="68">
        <f t="shared" ca="1" si="0"/>
        <v>31</v>
      </c>
      <c r="C17" s="5">
        <f ca="1">IF(Planning!$C$8="No",VLOOKUP(B17,'Summary Calculations (hide)'!$D$15:$U$67,17,0),VLOOKUP(B17,'Summary Calculations (hide)'!$D$15:$F$67,2,0)*IF(Planning!$C$11="",1,1+Planning!$C$11)*'Summary Calculations (hide)'!$L$4/IF(Summary!$C$8="Patients",'Summary Calculations (hide)'!$I$9,1))</f>
        <v>14.254500348202729</v>
      </c>
      <c r="D17" s="5">
        <f ca="1">IF(Planning!$C$8="No",VLOOKUP('Planning (hide)'!B17,'Summary Calculations (hide)'!$D$15:$U$67,18,0),VLOOKUP(B17,'Summary Calculations (hide)'!$D$15:$F$67,3,0)*IF(Planning!$C$11="",1,1+Planning!$C$11)*'Summary Calculations (hide)'!$L$4/IF(Summary!$C$8="Patients",'Summary Calculations (hide)'!$I$9,1))-IF(Planning!$C$8="No",0,C17)</f>
        <v>2.9077629903405398</v>
      </c>
      <c r="E17" s="5">
        <f ca="1">VLOOKUP($B17,'Summary Calculations (hide)'!$D$15:$U$66,15,0)</f>
        <v>10.392307692307693</v>
      </c>
      <c r="F17" s="5">
        <f ca="1">VLOOKUP($B17,'Summary Calculations (hide)'!$D$15:$U$66,16,0)</f>
        <v>7.6923076923076925</v>
      </c>
      <c r="G17" s="5">
        <f t="shared" ca="1" si="1"/>
        <v>18.084615384615386</v>
      </c>
      <c r="H17" s="5">
        <f t="shared" ca="1" si="2"/>
        <v>18.084615384615386</v>
      </c>
      <c r="I17" s="68">
        <f ca="1">IF(OFFSET(Planning!$E$25,0,ROW(A14),1,1)&lt;&gt;"",-'Planning (hide)'!$G17,0)</f>
        <v>0</v>
      </c>
      <c r="J17" s="68">
        <f ca="1">IF(OFFSET(Planning!$E$25,COLUMN(A14),ROW(A14),1,1)&lt;&gt;"",OFFSET(Planning!$D$25,COLUMN(A14),0,1,1),0)</f>
        <v>0</v>
      </c>
      <c r="K17" s="68">
        <f ca="1">IF(OFFSET(Planning!$E$25,COLUMN(B14),ROW(B14),1,1)&lt;&gt;"",OFFSET(Planning!$D$25,COLUMN(B14),0,1,1),0)</f>
        <v>0</v>
      </c>
      <c r="L17" s="68">
        <f ca="1">IF(OFFSET(Planning!$E$25,COLUMN(C14),ROW(C14),1,1)&lt;&gt;"",OFFSET(Planning!$D$25,COLUMN(C14),0,1,1),0)</f>
        <v>0</v>
      </c>
      <c r="M17" s="68">
        <f ca="1">IF(OFFSET(Planning!$E$25,COLUMN(D14),ROW(D14),1,1)&lt;&gt;"",OFFSET(Planning!$D$25,COLUMN(D14),0,1,1),0)</f>
        <v>0</v>
      </c>
      <c r="N17" s="68">
        <f ca="1">IF(OFFSET(Planning!$E$25,COLUMN(E14),ROW(E14),1,1)&lt;&gt;"",OFFSET(Planning!$D$25,COLUMN(E14),0,1,1),0)</f>
        <v>0</v>
      </c>
      <c r="O17" s="68">
        <f ca="1">IF(OFFSET(Planning!$E$25,COLUMN(F14),ROW(F14),1,1)&lt;&gt;"",OFFSET(Planning!$D$25,COLUMN(F14),0,1,1),0)</f>
        <v>0</v>
      </c>
      <c r="P17" s="68">
        <f ca="1">IF(OFFSET(Planning!$E$25,COLUMN(G14),ROW(G14),1,1)&lt;&gt;"",OFFSET(Planning!$D$25,COLUMN(G14),0,1,1),0)</f>
        <v>0</v>
      </c>
      <c r="Q17" s="68">
        <f ca="1">IF(OFFSET(Planning!$E$25,COLUMN(H14),ROW(H14),1,1)&lt;&gt;"",OFFSET(Planning!$D$25,COLUMN(H14),0,1,1),0)</f>
        <v>0</v>
      </c>
      <c r="R17" s="68">
        <f ca="1">IF(OFFSET(Planning!$E$25,COLUMN(I14),ROW(I14),1,1)&lt;&gt;"",OFFSET(Planning!$D$25,COLUMN(I14),0,1,1),0)</f>
        <v>0</v>
      </c>
      <c r="S17" s="68">
        <f ca="1">IF(OFFSET(Planning!$E$25,COLUMN(J14),ROW(J14),1,1)&lt;&gt;"",OFFSET(Planning!$D$25,COLUMN(J14),0,1,1),0)</f>
        <v>0</v>
      </c>
      <c r="T17" s="68">
        <f ca="1">IF(OFFSET(Planning!$E$25,COLUMN(K14),ROW(K14),1,1)&lt;&gt;"",OFFSET(Planning!$D$25,COLUMN(K14),0,1,1),0)</f>
        <v>0</v>
      </c>
      <c r="U17" s="68">
        <f ca="1">IF(OFFSET(Planning!$E$25,COLUMN(L14),ROW(L14),1,1)&lt;&gt;"",OFFSET(Planning!$D$25,COLUMN(L14),0,1,1),0)</f>
        <v>0</v>
      </c>
      <c r="V17" s="68">
        <f ca="1">IF(OFFSET(Planning!$E$25,COLUMN(M14),ROW(M14),1,1)&lt;&gt;"",OFFSET(Planning!$D$25,COLUMN(M14),0,1,1),0)</f>
        <v>0</v>
      </c>
      <c r="W17" s="68">
        <f ca="1">IF(OFFSET(Planning!$E$25,COLUMN(N14),ROW(N14),1,1)&lt;&gt;"",OFFSET(Planning!$D$25,COLUMN(N14),0,1,1),0)</f>
        <v>0</v>
      </c>
      <c r="X17" s="68">
        <f ca="1">IF(OFFSET(Planning!$E$25,COLUMN(O14),ROW(O14),1,1)&lt;&gt;"",OFFSET(Planning!$D$25,COLUMN(O14),0,1,1),0)</f>
        <v>0</v>
      </c>
      <c r="Y17" s="68">
        <f ca="1">IF(OFFSET(Planning!$E$25,COLUMN(P14),ROW(P14),1,1)&lt;&gt;"",OFFSET(Planning!$D$25,COLUMN(P14),0,1,1),0)</f>
        <v>0</v>
      </c>
      <c r="Z17" s="68">
        <f ca="1">IF(OFFSET(Planning!$E$25,COLUMN(Q14),ROW(Q14),1,1)&lt;&gt;"",OFFSET(Planning!$D$25,COLUMN(Q14),0,1,1),0)</f>
        <v>0</v>
      </c>
      <c r="AA17" s="68">
        <f ca="1">IF(OFFSET(Planning!$E$25,COLUMN(R14),ROW(R14),1,1)&lt;&gt;"",OFFSET(Planning!$D$25,COLUMN(R14),0,1,1),0)</f>
        <v>0</v>
      </c>
      <c r="AB17" s="68">
        <f ca="1">IF(OFFSET(Planning!$E$25,COLUMN(S14),ROW(S14),1,1)&lt;&gt;"",OFFSET(Planning!$D$25,COLUMN(S14),0,1,1),0)</f>
        <v>0</v>
      </c>
      <c r="AC17" s="68">
        <f ca="1">IF(OFFSET(Planning!$E$25,COLUMN(T14),ROW(T14),1,1)&lt;&gt;"",OFFSET(Planning!$D$25,COLUMN(T14),0,1,1),0)</f>
        <v>0</v>
      </c>
      <c r="AD17" s="68">
        <f ca="1">VLOOKUP($B17,'Summary Calculations (hide)'!$D$15:$U$67,17,0)</f>
        <v>14.254500348202729</v>
      </c>
      <c r="AE17" s="68">
        <f ca="1">VLOOKUP($B17,'Summary Calculations (hide)'!$D$15:$U$67,18,0)</f>
        <v>2.9077629903405398</v>
      </c>
    </row>
    <row r="18" spans="1:31" x14ac:dyDescent="0.2">
      <c r="A18" s="88">
        <f t="shared" ca="1" si="3"/>
        <v>43684</v>
      </c>
      <c r="B18" s="68">
        <f t="shared" ca="1" si="0"/>
        <v>32</v>
      </c>
      <c r="C18" s="5">
        <f ca="1">IF(Planning!$C$8="No",VLOOKUP(B18,'Summary Calculations (hide)'!$D$15:$U$67,17,0),VLOOKUP(B18,'Summary Calculations (hide)'!$D$15:$F$67,2,0)*IF(Planning!$C$11="",1,1+Planning!$C$11)*'Summary Calculations (hide)'!$L$4/IF(Summary!$C$8="Patients",'Summary Calculations (hide)'!$I$9,1))</f>
        <v>14.254500348202729</v>
      </c>
      <c r="D18" s="5">
        <f ca="1">IF(Planning!$C$8="No",VLOOKUP('Planning (hide)'!B18,'Summary Calculations (hide)'!$D$15:$U$67,18,0),VLOOKUP(B18,'Summary Calculations (hide)'!$D$15:$F$67,3,0)*IF(Planning!$C$11="",1,1+Planning!$C$11)*'Summary Calculations (hide)'!$L$4/IF(Summary!$C$8="Patients",'Summary Calculations (hide)'!$I$9,1))-IF(Planning!$C$8="No",0,C18)</f>
        <v>2.9077629903405398</v>
      </c>
      <c r="E18" s="5">
        <f ca="1">VLOOKUP($B18,'Summary Calculations (hide)'!$D$15:$U$66,15,0)</f>
        <v>10.392307692307693</v>
      </c>
      <c r="F18" s="5">
        <f ca="1">VLOOKUP($B18,'Summary Calculations (hide)'!$D$15:$U$66,16,0)</f>
        <v>0</v>
      </c>
      <c r="G18" s="5">
        <f t="shared" ca="1" si="1"/>
        <v>10.392307692307693</v>
      </c>
      <c r="H18" s="5">
        <f t="shared" ca="1" si="2"/>
        <v>10.392307692307693</v>
      </c>
      <c r="I18" s="68">
        <f ca="1">IF(OFFSET(Planning!$E$25,0,ROW(A15),1,1)&lt;&gt;"",-'Planning (hide)'!$G18,0)</f>
        <v>0</v>
      </c>
      <c r="J18" s="68">
        <f ca="1">IF(OFFSET(Planning!$E$25,COLUMN(A15),ROW(A15),1,1)&lt;&gt;"",OFFSET(Planning!$D$25,COLUMN(A15),0,1,1),0)</f>
        <v>0</v>
      </c>
      <c r="K18" s="68">
        <f ca="1">IF(OFFSET(Planning!$E$25,COLUMN(B15),ROW(B15),1,1)&lt;&gt;"",OFFSET(Planning!$D$25,COLUMN(B15),0,1,1),0)</f>
        <v>0</v>
      </c>
      <c r="L18" s="68">
        <f ca="1">IF(OFFSET(Planning!$E$25,COLUMN(C15),ROW(C15),1,1)&lt;&gt;"",OFFSET(Planning!$D$25,COLUMN(C15),0,1,1),0)</f>
        <v>0</v>
      </c>
      <c r="M18" s="68">
        <f ca="1">IF(OFFSET(Planning!$E$25,COLUMN(D15),ROW(D15),1,1)&lt;&gt;"",OFFSET(Planning!$D$25,COLUMN(D15),0,1,1),0)</f>
        <v>0</v>
      </c>
      <c r="N18" s="68">
        <f ca="1">IF(OFFSET(Planning!$E$25,COLUMN(E15),ROW(E15),1,1)&lt;&gt;"",OFFSET(Planning!$D$25,COLUMN(E15),0,1,1),0)</f>
        <v>0</v>
      </c>
      <c r="O18" s="68">
        <f ca="1">IF(OFFSET(Planning!$E$25,COLUMN(F15),ROW(F15),1,1)&lt;&gt;"",OFFSET(Planning!$D$25,COLUMN(F15),0,1,1),0)</f>
        <v>0</v>
      </c>
      <c r="P18" s="68">
        <f ca="1">IF(OFFSET(Planning!$E$25,COLUMN(G15),ROW(G15),1,1)&lt;&gt;"",OFFSET(Planning!$D$25,COLUMN(G15),0,1,1),0)</f>
        <v>0</v>
      </c>
      <c r="Q18" s="68">
        <f ca="1">IF(OFFSET(Planning!$E$25,COLUMN(H15),ROW(H15),1,1)&lt;&gt;"",OFFSET(Planning!$D$25,COLUMN(H15),0,1,1),0)</f>
        <v>0</v>
      </c>
      <c r="R18" s="68">
        <f ca="1">IF(OFFSET(Planning!$E$25,COLUMN(I15),ROW(I15),1,1)&lt;&gt;"",OFFSET(Planning!$D$25,COLUMN(I15),0,1,1),0)</f>
        <v>0</v>
      </c>
      <c r="S18" s="68">
        <f ca="1">IF(OFFSET(Planning!$E$25,COLUMN(J15),ROW(J15),1,1)&lt;&gt;"",OFFSET(Planning!$D$25,COLUMN(J15),0,1,1),0)</f>
        <v>0</v>
      </c>
      <c r="T18" s="68">
        <f ca="1">IF(OFFSET(Planning!$E$25,COLUMN(K15),ROW(K15),1,1)&lt;&gt;"",OFFSET(Planning!$D$25,COLUMN(K15),0,1,1),0)</f>
        <v>0</v>
      </c>
      <c r="U18" s="68">
        <f ca="1">IF(OFFSET(Planning!$E$25,COLUMN(L15),ROW(L15),1,1)&lt;&gt;"",OFFSET(Planning!$D$25,COLUMN(L15),0,1,1),0)</f>
        <v>0</v>
      </c>
      <c r="V18" s="68">
        <f ca="1">IF(OFFSET(Planning!$E$25,COLUMN(M15),ROW(M15),1,1)&lt;&gt;"",OFFSET(Planning!$D$25,COLUMN(M15),0,1,1),0)</f>
        <v>0</v>
      </c>
      <c r="W18" s="68">
        <f ca="1">IF(OFFSET(Planning!$E$25,COLUMN(N15),ROW(N15),1,1)&lt;&gt;"",OFFSET(Planning!$D$25,COLUMN(N15),0,1,1),0)</f>
        <v>0</v>
      </c>
      <c r="X18" s="68">
        <f ca="1">IF(OFFSET(Planning!$E$25,COLUMN(O15),ROW(O15),1,1)&lt;&gt;"",OFFSET(Planning!$D$25,COLUMN(O15),0,1,1),0)</f>
        <v>0</v>
      </c>
      <c r="Y18" s="68">
        <f ca="1">IF(OFFSET(Planning!$E$25,COLUMN(P15),ROW(P15),1,1)&lt;&gt;"",OFFSET(Planning!$D$25,COLUMN(P15),0,1,1),0)</f>
        <v>0</v>
      </c>
      <c r="Z18" s="68">
        <f ca="1">IF(OFFSET(Planning!$E$25,COLUMN(Q15),ROW(Q15),1,1)&lt;&gt;"",OFFSET(Planning!$D$25,COLUMN(Q15),0,1,1),0)</f>
        <v>0</v>
      </c>
      <c r="AA18" s="68">
        <f ca="1">IF(OFFSET(Planning!$E$25,COLUMN(R15),ROW(R15),1,1)&lt;&gt;"",OFFSET(Planning!$D$25,COLUMN(R15),0,1,1),0)</f>
        <v>0</v>
      </c>
      <c r="AB18" s="68">
        <f ca="1">IF(OFFSET(Planning!$E$25,COLUMN(S15),ROW(S15),1,1)&lt;&gt;"",OFFSET(Planning!$D$25,COLUMN(S15),0,1,1),0)</f>
        <v>0</v>
      </c>
      <c r="AC18" s="68">
        <f ca="1">IF(OFFSET(Planning!$E$25,COLUMN(T15),ROW(T15),1,1)&lt;&gt;"",OFFSET(Planning!$D$25,COLUMN(T15),0,1,1),0)</f>
        <v>0</v>
      </c>
      <c r="AD18" s="68">
        <f ca="1">VLOOKUP($B18,'Summary Calculations (hide)'!$D$15:$U$67,17,0)</f>
        <v>14.254500348202729</v>
      </c>
      <c r="AE18" s="68">
        <f ca="1">VLOOKUP($B18,'Summary Calculations (hide)'!$D$15:$U$67,18,0)</f>
        <v>2.9077629903405398</v>
      </c>
    </row>
    <row r="19" spans="1:31" x14ac:dyDescent="0.2">
      <c r="A19" s="88">
        <f t="shared" ca="1" si="3"/>
        <v>43691</v>
      </c>
      <c r="B19" s="68">
        <f t="shared" ca="1" si="0"/>
        <v>33</v>
      </c>
      <c r="C19" s="5">
        <f ca="1">IF(Planning!$C$8="No",VLOOKUP(B19,'Summary Calculations (hide)'!$D$15:$U$67,17,0),VLOOKUP(B19,'Summary Calculations (hide)'!$D$15:$F$67,2,0)*IF(Planning!$C$11="",1,1+Planning!$C$11)*'Summary Calculations (hide)'!$L$4/IF(Summary!$C$8="Patients",'Summary Calculations (hide)'!$I$9,1))</f>
        <v>14.254500348202729</v>
      </c>
      <c r="D19" s="5">
        <f ca="1">IF(Planning!$C$8="No",VLOOKUP('Planning (hide)'!B19,'Summary Calculations (hide)'!$D$15:$U$67,18,0),VLOOKUP(B19,'Summary Calculations (hide)'!$D$15:$F$67,3,0)*IF(Planning!$C$11="",1,1+Planning!$C$11)*'Summary Calculations (hide)'!$L$4/IF(Summary!$C$8="Patients",'Summary Calculations (hide)'!$I$9,1))-IF(Planning!$C$8="No",0,C19)</f>
        <v>2.9077629903405398</v>
      </c>
      <c r="E19" s="5">
        <f ca="1">VLOOKUP($B19,'Summary Calculations (hide)'!$D$15:$U$66,15,0)</f>
        <v>10.392307692307693</v>
      </c>
      <c r="F19" s="5">
        <f ca="1">VLOOKUP($B19,'Summary Calculations (hide)'!$D$15:$U$66,16,0)</f>
        <v>0</v>
      </c>
      <c r="G19" s="5">
        <f t="shared" ca="1" si="1"/>
        <v>10.392307692307693</v>
      </c>
      <c r="H19" s="5">
        <f t="shared" ca="1" si="2"/>
        <v>95.392307692307696</v>
      </c>
      <c r="I19" s="68">
        <f ca="1">IF(OFFSET(Planning!$E$25,0,ROW(A16),1,1)&lt;&gt;"",-'Planning (hide)'!$G19,0)</f>
        <v>0</v>
      </c>
      <c r="J19" s="68">
        <f ca="1">IF(OFFSET(Planning!$E$25,COLUMN(A16),ROW(A16),1,1)&lt;&gt;"",OFFSET(Planning!$D$25,COLUMN(A16),0,1,1),0)</f>
        <v>85</v>
      </c>
      <c r="K19" s="68">
        <f ca="1">IF(OFFSET(Planning!$E$25,COLUMN(B16),ROW(B16),1,1)&lt;&gt;"",OFFSET(Planning!$D$25,COLUMN(B16),0,1,1),0)</f>
        <v>0</v>
      </c>
      <c r="L19" s="68">
        <f ca="1">IF(OFFSET(Planning!$E$25,COLUMN(C16),ROW(C16),1,1)&lt;&gt;"",OFFSET(Planning!$D$25,COLUMN(C16),0,1,1),0)</f>
        <v>0</v>
      </c>
      <c r="M19" s="68">
        <f ca="1">IF(OFFSET(Planning!$E$25,COLUMN(D16),ROW(D16),1,1)&lt;&gt;"",OFFSET(Planning!$D$25,COLUMN(D16),0,1,1),0)</f>
        <v>0</v>
      </c>
      <c r="N19" s="68">
        <f ca="1">IF(OFFSET(Planning!$E$25,COLUMN(E16),ROW(E16),1,1)&lt;&gt;"",OFFSET(Planning!$D$25,COLUMN(E16),0,1,1),0)</f>
        <v>0</v>
      </c>
      <c r="O19" s="68">
        <f ca="1">IF(OFFSET(Planning!$E$25,COLUMN(F16),ROW(F16),1,1)&lt;&gt;"",OFFSET(Planning!$D$25,COLUMN(F16),0,1,1),0)</f>
        <v>0</v>
      </c>
      <c r="P19" s="68">
        <f ca="1">IF(OFFSET(Planning!$E$25,COLUMN(G16),ROW(G16),1,1)&lt;&gt;"",OFFSET(Planning!$D$25,COLUMN(G16),0,1,1),0)</f>
        <v>0</v>
      </c>
      <c r="Q19" s="68">
        <f ca="1">IF(OFFSET(Planning!$E$25,COLUMN(H16),ROW(H16),1,1)&lt;&gt;"",OFFSET(Planning!$D$25,COLUMN(H16),0,1,1),0)</f>
        <v>0</v>
      </c>
      <c r="R19" s="68">
        <f ca="1">IF(OFFSET(Planning!$E$25,COLUMN(I16),ROW(I16),1,1)&lt;&gt;"",OFFSET(Planning!$D$25,COLUMN(I16),0,1,1),0)</f>
        <v>0</v>
      </c>
      <c r="S19" s="68">
        <f ca="1">IF(OFFSET(Planning!$E$25,COLUMN(J16),ROW(J16),1,1)&lt;&gt;"",OFFSET(Planning!$D$25,COLUMN(J16),0,1,1),0)</f>
        <v>0</v>
      </c>
      <c r="T19" s="68">
        <f ca="1">IF(OFFSET(Planning!$E$25,COLUMN(K16),ROW(K16),1,1)&lt;&gt;"",OFFSET(Planning!$D$25,COLUMN(K16),0,1,1),0)</f>
        <v>0</v>
      </c>
      <c r="U19" s="68">
        <f ca="1">IF(OFFSET(Planning!$E$25,COLUMN(L16),ROW(L16),1,1)&lt;&gt;"",OFFSET(Planning!$D$25,COLUMN(L16),0,1,1),0)</f>
        <v>0</v>
      </c>
      <c r="V19" s="68">
        <f ca="1">IF(OFFSET(Planning!$E$25,COLUMN(M16),ROW(M16),1,1)&lt;&gt;"",OFFSET(Planning!$D$25,COLUMN(M16),0,1,1),0)</f>
        <v>0</v>
      </c>
      <c r="W19" s="68">
        <f ca="1">IF(OFFSET(Planning!$E$25,COLUMN(N16),ROW(N16),1,1)&lt;&gt;"",OFFSET(Planning!$D$25,COLUMN(N16),0,1,1),0)</f>
        <v>0</v>
      </c>
      <c r="X19" s="68">
        <f ca="1">IF(OFFSET(Planning!$E$25,COLUMN(O16),ROW(O16),1,1)&lt;&gt;"",OFFSET(Planning!$D$25,COLUMN(O16),0,1,1),0)</f>
        <v>0</v>
      </c>
      <c r="Y19" s="68">
        <f ca="1">IF(OFFSET(Planning!$E$25,COLUMN(P16),ROW(P16),1,1)&lt;&gt;"",OFFSET(Planning!$D$25,COLUMN(P16),0,1,1),0)</f>
        <v>0</v>
      </c>
      <c r="Z19" s="68">
        <f ca="1">IF(OFFSET(Planning!$E$25,COLUMN(Q16),ROW(Q16),1,1)&lt;&gt;"",OFFSET(Planning!$D$25,COLUMN(Q16),0,1,1),0)</f>
        <v>0</v>
      </c>
      <c r="AA19" s="68">
        <f ca="1">IF(OFFSET(Planning!$E$25,COLUMN(R16),ROW(R16),1,1)&lt;&gt;"",OFFSET(Planning!$D$25,COLUMN(R16),0,1,1),0)</f>
        <v>0</v>
      </c>
      <c r="AB19" s="68">
        <f ca="1">IF(OFFSET(Planning!$E$25,COLUMN(S16),ROW(S16),1,1)&lt;&gt;"",OFFSET(Planning!$D$25,COLUMN(S16),0,1,1),0)</f>
        <v>0</v>
      </c>
      <c r="AC19" s="68">
        <f ca="1">IF(OFFSET(Planning!$E$25,COLUMN(T16),ROW(T16),1,1)&lt;&gt;"",OFFSET(Planning!$D$25,COLUMN(T16),0,1,1),0)</f>
        <v>0</v>
      </c>
      <c r="AD19" s="68">
        <f ca="1">VLOOKUP($B19,'Summary Calculations (hide)'!$D$15:$U$67,17,0)</f>
        <v>14.254500348202729</v>
      </c>
      <c r="AE19" s="68">
        <f ca="1">VLOOKUP($B19,'Summary Calculations (hide)'!$D$15:$U$67,18,0)</f>
        <v>2.9077629903405398</v>
      </c>
    </row>
    <row r="20" spans="1:31" x14ac:dyDescent="0.2">
      <c r="A20" s="88">
        <f t="shared" ca="1" si="3"/>
        <v>43698</v>
      </c>
      <c r="B20" s="68">
        <f t="shared" ca="1" si="0"/>
        <v>34</v>
      </c>
      <c r="C20" s="5">
        <f ca="1">IF(Planning!$C$8="No",VLOOKUP(B20,'Summary Calculations (hide)'!$D$15:$U$67,17,0),VLOOKUP(B20,'Summary Calculations (hide)'!$D$15:$F$67,2,0)*IF(Planning!$C$11="",1,1+Planning!$C$11)*'Summary Calculations (hide)'!$L$4/IF(Summary!$C$8="Patients",'Summary Calculations (hide)'!$I$9,1))</f>
        <v>14.254500348202729</v>
      </c>
      <c r="D20" s="5">
        <f ca="1">IF(Planning!$C$8="No",VLOOKUP('Planning (hide)'!B20,'Summary Calculations (hide)'!$D$15:$U$67,18,0),VLOOKUP(B20,'Summary Calculations (hide)'!$D$15:$F$67,3,0)*IF(Planning!$C$11="",1,1+Planning!$C$11)*'Summary Calculations (hide)'!$L$4/IF(Summary!$C$8="Patients",'Summary Calculations (hide)'!$I$9,1))-IF(Planning!$C$8="No",0,C20)</f>
        <v>2.9077629903405398</v>
      </c>
      <c r="E20" s="5">
        <f ca="1">VLOOKUP($B20,'Summary Calculations (hide)'!$D$15:$U$66,15,0)</f>
        <v>10.392307692307693</v>
      </c>
      <c r="F20" s="5">
        <f ca="1">VLOOKUP($B20,'Summary Calculations (hide)'!$D$15:$U$66,16,0)</f>
        <v>0</v>
      </c>
      <c r="G20" s="5">
        <f t="shared" ca="1" si="1"/>
        <v>10.392307692307693</v>
      </c>
      <c r="H20" s="5">
        <f t="shared" ca="1" si="2"/>
        <v>95.392307692307696</v>
      </c>
      <c r="I20" s="68">
        <f ca="1">IF(OFFSET(Planning!$E$25,0,ROW(A17),1,1)&lt;&gt;"",-'Planning (hide)'!$G20,0)</f>
        <v>0</v>
      </c>
      <c r="J20" s="68">
        <f ca="1">IF(OFFSET(Planning!$E$25,COLUMN(A17),ROW(A17),1,1)&lt;&gt;"",OFFSET(Planning!$D$25,COLUMN(A17),0,1,1),0)</f>
        <v>85</v>
      </c>
      <c r="K20" s="68">
        <f ca="1">IF(OFFSET(Planning!$E$25,COLUMN(B17),ROW(B17),1,1)&lt;&gt;"",OFFSET(Planning!$D$25,COLUMN(B17),0,1,1),0)</f>
        <v>0</v>
      </c>
      <c r="L20" s="68">
        <f ca="1">IF(OFFSET(Planning!$E$25,COLUMN(C17),ROW(C17),1,1)&lt;&gt;"",OFFSET(Planning!$D$25,COLUMN(C17),0,1,1),0)</f>
        <v>0</v>
      </c>
      <c r="M20" s="68">
        <f ca="1">IF(OFFSET(Planning!$E$25,COLUMN(D17),ROW(D17),1,1)&lt;&gt;"",OFFSET(Planning!$D$25,COLUMN(D17),0,1,1),0)</f>
        <v>0</v>
      </c>
      <c r="N20" s="68">
        <f ca="1">IF(OFFSET(Planning!$E$25,COLUMN(E17),ROW(E17),1,1)&lt;&gt;"",OFFSET(Planning!$D$25,COLUMN(E17),0,1,1),0)</f>
        <v>0</v>
      </c>
      <c r="O20" s="68">
        <f ca="1">IF(OFFSET(Planning!$E$25,COLUMN(F17),ROW(F17),1,1)&lt;&gt;"",OFFSET(Planning!$D$25,COLUMN(F17),0,1,1),0)</f>
        <v>0</v>
      </c>
      <c r="P20" s="68">
        <f ca="1">IF(OFFSET(Planning!$E$25,COLUMN(G17),ROW(G17),1,1)&lt;&gt;"",OFFSET(Planning!$D$25,COLUMN(G17),0,1,1),0)</f>
        <v>0</v>
      </c>
      <c r="Q20" s="68">
        <f ca="1">IF(OFFSET(Planning!$E$25,COLUMN(H17),ROW(H17),1,1)&lt;&gt;"",OFFSET(Planning!$D$25,COLUMN(H17),0,1,1),0)</f>
        <v>0</v>
      </c>
      <c r="R20" s="68">
        <f ca="1">IF(OFFSET(Planning!$E$25,COLUMN(I17),ROW(I17),1,1)&lt;&gt;"",OFFSET(Planning!$D$25,COLUMN(I17),0,1,1),0)</f>
        <v>0</v>
      </c>
      <c r="S20" s="68">
        <f ca="1">IF(OFFSET(Planning!$E$25,COLUMN(J17),ROW(J17),1,1)&lt;&gt;"",OFFSET(Planning!$D$25,COLUMN(J17),0,1,1),0)</f>
        <v>0</v>
      </c>
      <c r="T20" s="68">
        <f ca="1">IF(OFFSET(Planning!$E$25,COLUMN(K17),ROW(K17),1,1)&lt;&gt;"",OFFSET(Planning!$D$25,COLUMN(K17),0,1,1),0)</f>
        <v>0</v>
      </c>
      <c r="U20" s="68">
        <f ca="1">IF(OFFSET(Planning!$E$25,COLUMN(L17),ROW(L17),1,1)&lt;&gt;"",OFFSET(Planning!$D$25,COLUMN(L17),0,1,1),0)</f>
        <v>0</v>
      </c>
      <c r="V20" s="68">
        <f ca="1">IF(OFFSET(Planning!$E$25,COLUMN(M17),ROW(M17),1,1)&lt;&gt;"",OFFSET(Planning!$D$25,COLUMN(M17),0,1,1),0)</f>
        <v>0</v>
      </c>
      <c r="W20" s="68">
        <f ca="1">IF(OFFSET(Planning!$E$25,COLUMN(N17),ROW(N17),1,1)&lt;&gt;"",OFFSET(Planning!$D$25,COLUMN(N17),0,1,1),0)</f>
        <v>0</v>
      </c>
      <c r="X20" s="68">
        <f ca="1">IF(OFFSET(Planning!$E$25,COLUMN(O17),ROW(O17),1,1)&lt;&gt;"",OFFSET(Planning!$D$25,COLUMN(O17),0,1,1),0)</f>
        <v>0</v>
      </c>
      <c r="Y20" s="68">
        <f ca="1">IF(OFFSET(Planning!$E$25,COLUMN(P17),ROW(P17),1,1)&lt;&gt;"",OFFSET(Planning!$D$25,COLUMN(P17),0,1,1),0)</f>
        <v>0</v>
      </c>
      <c r="Z20" s="68">
        <f ca="1">IF(OFFSET(Planning!$E$25,COLUMN(Q17),ROW(Q17),1,1)&lt;&gt;"",OFFSET(Planning!$D$25,COLUMN(Q17),0,1,1),0)</f>
        <v>0</v>
      </c>
      <c r="AA20" s="68">
        <f ca="1">IF(OFFSET(Planning!$E$25,COLUMN(R17),ROW(R17),1,1)&lt;&gt;"",OFFSET(Planning!$D$25,COLUMN(R17),0,1,1),0)</f>
        <v>0</v>
      </c>
      <c r="AB20" s="68">
        <f ca="1">IF(OFFSET(Planning!$E$25,COLUMN(S17),ROW(S17),1,1)&lt;&gt;"",OFFSET(Planning!$D$25,COLUMN(S17),0,1,1),0)</f>
        <v>0</v>
      </c>
      <c r="AC20" s="68">
        <f ca="1">IF(OFFSET(Planning!$E$25,COLUMN(T17),ROW(T17),1,1)&lt;&gt;"",OFFSET(Planning!$D$25,COLUMN(T17),0,1,1),0)</f>
        <v>0</v>
      </c>
      <c r="AD20" s="68">
        <f ca="1">VLOOKUP($B20,'Summary Calculations (hide)'!$D$15:$U$67,17,0)</f>
        <v>14.254500348202729</v>
      </c>
      <c r="AE20" s="68">
        <f ca="1">VLOOKUP($B20,'Summary Calculations (hide)'!$D$15:$U$67,18,0)</f>
        <v>2.9077629903405398</v>
      </c>
    </row>
    <row r="21" spans="1:31" x14ac:dyDescent="0.2">
      <c r="A21" s="88">
        <f t="shared" ca="1" si="3"/>
        <v>43705</v>
      </c>
      <c r="B21" s="68">
        <f t="shared" ca="1" si="0"/>
        <v>35</v>
      </c>
      <c r="C21" s="5">
        <f ca="1">IF(Planning!$C$8="No",VLOOKUP(B21,'Summary Calculations (hide)'!$D$15:$U$67,17,0),VLOOKUP(B21,'Summary Calculations (hide)'!$D$15:$F$67,2,0)*IF(Planning!$C$11="",1,1+Planning!$C$11)*'Summary Calculations (hide)'!$L$4/IF(Summary!$C$8="Patients",'Summary Calculations (hide)'!$I$9,1))</f>
        <v>14.254500348202729</v>
      </c>
      <c r="D21" s="5">
        <f ca="1">IF(Planning!$C$8="No",VLOOKUP('Planning (hide)'!B21,'Summary Calculations (hide)'!$D$15:$U$67,18,0),VLOOKUP(B21,'Summary Calculations (hide)'!$D$15:$F$67,3,0)*IF(Planning!$C$11="",1,1+Planning!$C$11)*'Summary Calculations (hide)'!$L$4/IF(Summary!$C$8="Patients",'Summary Calculations (hide)'!$I$9,1))-IF(Planning!$C$8="No",0,C21)</f>
        <v>2.9077629903405398</v>
      </c>
      <c r="E21" s="5">
        <f ca="1">VLOOKUP($B21,'Summary Calculations (hide)'!$D$15:$U$66,15,0)</f>
        <v>10.392307692307693</v>
      </c>
      <c r="F21" s="5">
        <f ca="1">VLOOKUP($B21,'Summary Calculations (hide)'!$D$15:$U$66,16,0)</f>
        <v>0</v>
      </c>
      <c r="G21" s="5">
        <f t="shared" ca="1" si="1"/>
        <v>10.392307692307693</v>
      </c>
      <c r="H21" s="5">
        <f t="shared" ca="1" si="2"/>
        <v>95.392307692307696</v>
      </c>
      <c r="I21" s="68">
        <f ca="1">IF(OFFSET(Planning!$E$25,0,ROW(A18),1,1)&lt;&gt;"",-'Planning (hide)'!$G21,0)</f>
        <v>0</v>
      </c>
      <c r="J21" s="68">
        <f ca="1">IF(OFFSET(Planning!$E$25,COLUMN(A18),ROW(A18),1,1)&lt;&gt;"",OFFSET(Planning!$D$25,COLUMN(A18),0,1,1),0)</f>
        <v>85</v>
      </c>
      <c r="K21" s="68">
        <f ca="1">IF(OFFSET(Planning!$E$25,COLUMN(B18),ROW(B18),1,1)&lt;&gt;"",OFFSET(Planning!$D$25,COLUMN(B18),0,1,1),0)</f>
        <v>0</v>
      </c>
      <c r="L21" s="68">
        <f ca="1">IF(OFFSET(Planning!$E$25,COLUMN(C18),ROW(C18),1,1)&lt;&gt;"",OFFSET(Planning!$D$25,COLUMN(C18),0,1,1),0)</f>
        <v>0</v>
      </c>
      <c r="M21" s="68">
        <f ca="1">IF(OFFSET(Planning!$E$25,COLUMN(D18),ROW(D18),1,1)&lt;&gt;"",OFFSET(Planning!$D$25,COLUMN(D18),0,1,1),0)</f>
        <v>0</v>
      </c>
      <c r="N21" s="68">
        <f ca="1">IF(OFFSET(Planning!$E$25,COLUMN(E18),ROW(E18),1,1)&lt;&gt;"",OFFSET(Planning!$D$25,COLUMN(E18),0,1,1),0)</f>
        <v>0</v>
      </c>
      <c r="O21" s="68">
        <f ca="1">IF(OFFSET(Planning!$E$25,COLUMN(F18),ROW(F18),1,1)&lt;&gt;"",OFFSET(Planning!$D$25,COLUMN(F18),0,1,1),0)</f>
        <v>0</v>
      </c>
      <c r="P21" s="68">
        <f ca="1">IF(OFFSET(Planning!$E$25,COLUMN(G18),ROW(G18),1,1)&lt;&gt;"",OFFSET(Planning!$D$25,COLUMN(G18),0,1,1),0)</f>
        <v>0</v>
      </c>
      <c r="Q21" s="68">
        <f ca="1">IF(OFFSET(Planning!$E$25,COLUMN(H18),ROW(H18),1,1)&lt;&gt;"",OFFSET(Planning!$D$25,COLUMN(H18),0,1,1),0)</f>
        <v>0</v>
      </c>
      <c r="R21" s="68">
        <f ca="1">IF(OFFSET(Planning!$E$25,COLUMN(I18),ROW(I18),1,1)&lt;&gt;"",OFFSET(Planning!$D$25,COLUMN(I18),0,1,1),0)</f>
        <v>0</v>
      </c>
      <c r="S21" s="68">
        <f ca="1">IF(OFFSET(Planning!$E$25,COLUMN(J18),ROW(J18),1,1)&lt;&gt;"",OFFSET(Planning!$D$25,COLUMN(J18),0,1,1),0)</f>
        <v>0</v>
      </c>
      <c r="T21" s="68">
        <f ca="1">IF(OFFSET(Planning!$E$25,COLUMN(K18),ROW(K18),1,1)&lt;&gt;"",OFFSET(Planning!$D$25,COLUMN(K18),0,1,1),0)</f>
        <v>0</v>
      </c>
      <c r="U21" s="68">
        <f ca="1">IF(OFFSET(Planning!$E$25,COLUMN(L18),ROW(L18),1,1)&lt;&gt;"",OFFSET(Planning!$D$25,COLUMN(L18),0,1,1),0)</f>
        <v>0</v>
      </c>
      <c r="V21" s="68">
        <f ca="1">IF(OFFSET(Planning!$E$25,COLUMN(M18),ROW(M18),1,1)&lt;&gt;"",OFFSET(Planning!$D$25,COLUMN(M18),0,1,1),0)</f>
        <v>0</v>
      </c>
      <c r="W21" s="68">
        <f ca="1">IF(OFFSET(Planning!$E$25,COLUMN(N18),ROW(N18),1,1)&lt;&gt;"",OFFSET(Planning!$D$25,COLUMN(N18),0,1,1),0)</f>
        <v>0</v>
      </c>
      <c r="X21" s="68">
        <f ca="1">IF(OFFSET(Planning!$E$25,COLUMN(O18),ROW(O18),1,1)&lt;&gt;"",OFFSET(Planning!$D$25,COLUMN(O18),0,1,1),0)</f>
        <v>0</v>
      </c>
      <c r="Y21" s="68">
        <f ca="1">IF(OFFSET(Planning!$E$25,COLUMN(P18),ROW(P18),1,1)&lt;&gt;"",OFFSET(Planning!$D$25,COLUMN(P18),0,1,1),0)</f>
        <v>0</v>
      </c>
      <c r="Z21" s="68">
        <f ca="1">IF(OFFSET(Planning!$E$25,COLUMN(Q18),ROW(Q18),1,1)&lt;&gt;"",OFFSET(Planning!$D$25,COLUMN(Q18),0,1,1),0)</f>
        <v>0</v>
      </c>
      <c r="AA21" s="68">
        <f ca="1">IF(OFFSET(Planning!$E$25,COLUMN(R18),ROW(R18),1,1)&lt;&gt;"",OFFSET(Planning!$D$25,COLUMN(R18),0,1,1),0)</f>
        <v>0</v>
      </c>
      <c r="AB21" s="68">
        <f ca="1">IF(OFFSET(Planning!$E$25,COLUMN(S18),ROW(S18),1,1)&lt;&gt;"",OFFSET(Planning!$D$25,COLUMN(S18),0,1,1),0)</f>
        <v>0</v>
      </c>
      <c r="AC21" s="68">
        <f ca="1">IF(OFFSET(Planning!$E$25,COLUMN(T18),ROW(T18),1,1)&lt;&gt;"",OFFSET(Planning!$D$25,COLUMN(T18),0,1,1),0)</f>
        <v>0</v>
      </c>
      <c r="AD21" s="68">
        <f ca="1">VLOOKUP($B21,'Summary Calculations (hide)'!$D$15:$U$67,17,0)</f>
        <v>14.254500348202729</v>
      </c>
      <c r="AE21" s="68">
        <f ca="1">VLOOKUP($B21,'Summary Calculations (hide)'!$D$15:$U$67,18,0)</f>
        <v>2.9077629903405398</v>
      </c>
    </row>
    <row r="22" spans="1:31" x14ac:dyDescent="0.2">
      <c r="A22" s="88">
        <f t="shared" ca="1" si="3"/>
        <v>43712</v>
      </c>
      <c r="B22" s="68">
        <f t="shared" ca="1" si="0"/>
        <v>36</v>
      </c>
      <c r="C22" s="5">
        <f ca="1">IF(Planning!$C$8="No",VLOOKUP(B22,'Summary Calculations (hide)'!$D$15:$U$67,17,0),VLOOKUP(B22,'Summary Calculations (hide)'!$D$15:$F$67,2,0)*IF(Planning!$C$11="",1,1+Planning!$C$11)*'Summary Calculations (hide)'!$L$4/IF(Summary!$C$8="Patients",'Summary Calculations (hide)'!$I$9,1))</f>
        <v>14.254500348202729</v>
      </c>
      <c r="D22" s="5">
        <f ca="1">IF(Planning!$C$8="No",VLOOKUP('Planning (hide)'!B22,'Summary Calculations (hide)'!$D$15:$U$67,18,0),VLOOKUP(B22,'Summary Calculations (hide)'!$D$15:$F$67,3,0)*IF(Planning!$C$11="",1,1+Planning!$C$11)*'Summary Calculations (hide)'!$L$4/IF(Summary!$C$8="Patients",'Summary Calculations (hide)'!$I$9,1))-IF(Planning!$C$8="No",0,C22)</f>
        <v>2.9077629903405398</v>
      </c>
      <c r="E22" s="5">
        <f ca="1">VLOOKUP($B22,'Summary Calculations (hide)'!$D$15:$U$66,15,0)</f>
        <v>10.392307692307693</v>
      </c>
      <c r="F22" s="5">
        <f ca="1">VLOOKUP($B22,'Summary Calculations (hide)'!$D$15:$U$66,16,0)</f>
        <v>0</v>
      </c>
      <c r="G22" s="5">
        <f t="shared" ca="1" si="1"/>
        <v>10.392307692307693</v>
      </c>
      <c r="H22" s="5">
        <f t="shared" ca="1" si="2"/>
        <v>95.392307692307696</v>
      </c>
      <c r="I22" s="68">
        <f ca="1">IF(OFFSET(Planning!$E$25,0,ROW(A19),1,1)&lt;&gt;"",-'Planning (hide)'!$G22,0)</f>
        <v>0</v>
      </c>
      <c r="J22" s="68">
        <f ca="1">IF(OFFSET(Planning!$E$25,COLUMN(A19),ROW(A19),1,1)&lt;&gt;"",OFFSET(Planning!$D$25,COLUMN(A19),0,1,1),0)</f>
        <v>85</v>
      </c>
      <c r="K22" s="68">
        <f ca="1">IF(OFFSET(Planning!$E$25,COLUMN(B19),ROW(B19),1,1)&lt;&gt;"",OFFSET(Planning!$D$25,COLUMN(B19),0,1,1),0)</f>
        <v>0</v>
      </c>
      <c r="L22" s="68">
        <f ca="1">IF(OFFSET(Planning!$E$25,COLUMN(C19),ROW(C19),1,1)&lt;&gt;"",OFFSET(Planning!$D$25,COLUMN(C19),0,1,1),0)</f>
        <v>0</v>
      </c>
      <c r="M22" s="68">
        <f ca="1">IF(OFFSET(Planning!$E$25,COLUMN(D19),ROW(D19),1,1)&lt;&gt;"",OFFSET(Planning!$D$25,COLUMN(D19),0,1,1),0)</f>
        <v>0</v>
      </c>
      <c r="N22" s="68">
        <f ca="1">IF(OFFSET(Planning!$E$25,COLUMN(E19),ROW(E19),1,1)&lt;&gt;"",OFFSET(Planning!$D$25,COLUMN(E19),0,1,1),0)</f>
        <v>0</v>
      </c>
      <c r="O22" s="68">
        <f ca="1">IF(OFFSET(Planning!$E$25,COLUMN(F19),ROW(F19),1,1)&lt;&gt;"",OFFSET(Planning!$D$25,COLUMN(F19),0,1,1),0)</f>
        <v>0</v>
      </c>
      <c r="P22" s="68">
        <f ca="1">IF(OFFSET(Planning!$E$25,COLUMN(G19),ROW(G19),1,1)&lt;&gt;"",OFFSET(Planning!$D$25,COLUMN(G19),0,1,1),0)</f>
        <v>0</v>
      </c>
      <c r="Q22" s="68">
        <f ca="1">IF(OFFSET(Planning!$E$25,COLUMN(H19),ROW(H19),1,1)&lt;&gt;"",OFFSET(Planning!$D$25,COLUMN(H19),0,1,1),0)</f>
        <v>0</v>
      </c>
      <c r="R22" s="68">
        <f ca="1">IF(OFFSET(Planning!$E$25,COLUMN(I19),ROW(I19),1,1)&lt;&gt;"",OFFSET(Planning!$D$25,COLUMN(I19),0,1,1),0)</f>
        <v>0</v>
      </c>
      <c r="S22" s="68">
        <f ca="1">IF(OFFSET(Planning!$E$25,COLUMN(J19),ROW(J19),1,1)&lt;&gt;"",OFFSET(Planning!$D$25,COLUMN(J19),0,1,1),0)</f>
        <v>0</v>
      </c>
      <c r="T22" s="68">
        <f ca="1">IF(OFFSET(Planning!$E$25,COLUMN(K19),ROW(K19),1,1)&lt;&gt;"",OFFSET(Planning!$D$25,COLUMN(K19),0,1,1),0)</f>
        <v>0</v>
      </c>
      <c r="U22" s="68">
        <f ca="1">IF(OFFSET(Planning!$E$25,COLUMN(L19),ROW(L19),1,1)&lt;&gt;"",OFFSET(Planning!$D$25,COLUMN(L19),0,1,1),0)</f>
        <v>0</v>
      </c>
      <c r="V22" s="68">
        <f ca="1">IF(OFFSET(Planning!$E$25,COLUMN(M19),ROW(M19),1,1)&lt;&gt;"",OFFSET(Planning!$D$25,COLUMN(M19),0,1,1),0)</f>
        <v>0</v>
      </c>
      <c r="W22" s="68">
        <f ca="1">IF(OFFSET(Planning!$E$25,COLUMN(N19),ROW(N19),1,1)&lt;&gt;"",OFFSET(Planning!$D$25,COLUMN(N19),0,1,1),0)</f>
        <v>0</v>
      </c>
      <c r="X22" s="68">
        <f ca="1">IF(OFFSET(Planning!$E$25,COLUMN(O19),ROW(O19),1,1)&lt;&gt;"",OFFSET(Planning!$D$25,COLUMN(O19),0,1,1),0)</f>
        <v>0</v>
      </c>
      <c r="Y22" s="68">
        <f ca="1">IF(OFFSET(Planning!$E$25,COLUMN(P19),ROW(P19),1,1)&lt;&gt;"",OFFSET(Planning!$D$25,COLUMN(P19),0,1,1),0)</f>
        <v>0</v>
      </c>
      <c r="Z22" s="68">
        <f ca="1">IF(OFFSET(Planning!$E$25,COLUMN(Q19),ROW(Q19),1,1)&lt;&gt;"",OFFSET(Planning!$D$25,COLUMN(Q19),0,1,1),0)</f>
        <v>0</v>
      </c>
      <c r="AA22" s="68">
        <f ca="1">IF(OFFSET(Planning!$E$25,COLUMN(R19),ROW(R19),1,1)&lt;&gt;"",OFFSET(Planning!$D$25,COLUMN(R19),0,1,1),0)</f>
        <v>0</v>
      </c>
      <c r="AB22" s="68">
        <f ca="1">IF(OFFSET(Planning!$E$25,COLUMN(S19),ROW(S19),1,1)&lt;&gt;"",OFFSET(Planning!$D$25,COLUMN(S19),0,1,1),0)</f>
        <v>0</v>
      </c>
      <c r="AC22" s="68">
        <f ca="1">IF(OFFSET(Planning!$E$25,COLUMN(T19),ROW(T19),1,1)&lt;&gt;"",OFFSET(Planning!$D$25,COLUMN(T19),0,1,1),0)</f>
        <v>0</v>
      </c>
      <c r="AD22" s="68">
        <f ca="1">VLOOKUP($B22,'Summary Calculations (hide)'!$D$15:$U$67,17,0)</f>
        <v>14.254500348202729</v>
      </c>
      <c r="AE22" s="68">
        <f ca="1">VLOOKUP($B22,'Summary Calculations (hide)'!$D$15:$U$67,18,0)</f>
        <v>2.9077629903405398</v>
      </c>
    </row>
    <row r="23" spans="1:31" x14ac:dyDescent="0.2">
      <c r="A23" s="88">
        <f t="shared" ca="1" si="3"/>
        <v>43719</v>
      </c>
      <c r="B23" s="68">
        <f t="shared" ca="1" si="0"/>
        <v>37</v>
      </c>
      <c r="C23" s="5">
        <f ca="1">IF(Planning!$C$8="No",VLOOKUP(B23,'Summary Calculations (hide)'!$D$15:$U$67,17,0),VLOOKUP(B23,'Summary Calculations (hide)'!$D$15:$F$67,2,0)*IF(Planning!$C$11="",1,1+Planning!$C$11)*'Summary Calculations (hide)'!$L$4/IF(Summary!$C$8="Patients",'Summary Calculations (hide)'!$I$9,1))</f>
        <v>14.254500348202729</v>
      </c>
      <c r="D23" s="5">
        <f ca="1">IF(Planning!$C$8="No",VLOOKUP('Planning (hide)'!B23,'Summary Calculations (hide)'!$D$15:$U$67,18,0),VLOOKUP(B23,'Summary Calculations (hide)'!$D$15:$F$67,3,0)*IF(Planning!$C$11="",1,1+Planning!$C$11)*'Summary Calculations (hide)'!$L$4/IF(Summary!$C$8="Patients",'Summary Calculations (hide)'!$I$9,1))-IF(Planning!$C$8="No",0,C23)</f>
        <v>2.9077629903405398</v>
      </c>
      <c r="E23" s="5">
        <f ca="1">VLOOKUP($B23,'Summary Calculations (hide)'!$D$15:$U$66,15,0)</f>
        <v>10.392307692307693</v>
      </c>
      <c r="F23" s="5">
        <f ca="1">VLOOKUP($B23,'Summary Calculations (hide)'!$D$15:$U$66,16,0)</f>
        <v>0</v>
      </c>
      <c r="G23" s="5">
        <f t="shared" ca="1" si="1"/>
        <v>10.392307692307693</v>
      </c>
      <c r="H23" s="5">
        <f t="shared" ca="1" si="2"/>
        <v>10.392307692307693</v>
      </c>
      <c r="I23" s="68">
        <f ca="1">IF(OFFSET(Planning!$E$25,0,ROW(A20),1,1)&lt;&gt;"",-'Planning (hide)'!$G23,0)</f>
        <v>0</v>
      </c>
      <c r="J23" s="68">
        <f ca="1">IF(OFFSET(Planning!$E$25,COLUMN(A20),ROW(A20),1,1)&lt;&gt;"",OFFSET(Planning!$D$25,COLUMN(A20),0,1,1),0)</f>
        <v>0</v>
      </c>
      <c r="K23" s="68">
        <f ca="1">IF(OFFSET(Planning!$E$25,COLUMN(B20),ROW(B20),1,1)&lt;&gt;"",OFFSET(Planning!$D$25,COLUMN(B20),0,1,1),0)</f>
        <v>0</v>
      </c>
      <c r="L23" s="68">
        <f ca="1">IF(OFFSET(Planning!$E$25,COLUMN(C20),ROW(C20),1,1)&lt;&gt;"",OFFSET(Planning!$D$25,COLUMN(C20),0,1,1),0)</f>
        <v>0</v>
      </c>
      <c r="M23" s="68">
        <f ca="1">IF(OFFSET(Planning!$E$25,COLUMN(D20),ROW(D20),1,1)&lt;&gt;"",OFFSET(Planning!$D$25,COLUMN(D20),0,1,1),0)</f>
        <v>0</v>
      </c>
      <c r="N23" s="68">
        <f ca="1">IF(OFFSET(Planning!$E$25,COLUMN(E20),ROW(E20),1,1)&lt;&gt;"",OFFSET(Planning!$D$25,COLUMN(E20),0,1,1),0)</f>
        <v>0</v>
      </c>
      <c r="O23" s="68">
        <f ca="1">IF(OFFSET(Planning!$E$25,COLUMN(F20),ROW(F20),1,1)&lt;&gt;"",OFFSET(Planning!$D$25,COLUMN(F20),0,1,1),0)</f>
        <v>0</v>
      </c>
      <c r="P23" s="68">
        <f ca="1">IF(OFFSET(Planning!$E$25,COLUMN(G20),ROW(G20),1,1)&lt;&gt;"",OFFSET(Planning!$D$25,COLUMN(G20),0,1,1),0)</f>
        <v>0</v>
      </c>
      <c r="Q23" s="68">
        <f ca="1">IF(OFFSET(Planning!$E$25,COLUMN(H20),ROW(H20),1,1)&lt;&gt;"",OFFSET(Planning!$D$25,COLUMN(H20),0,1,1),0)</f>
        <v>0</v>
      </c>
      <c r="R23" s="68">
        <f ca="1">IF(OFFSET(Planning!$E$25,COLUMN(I20),ROW(I20),1,1)&lt;&gt;"",OFFSET(Planning!$D$25,COLUMN(I20),0,1,1),0)</f>
        <v>0</v>
      </c>
      <c r="S23" s="68">
        <f ca="1">IF(OFFSET(Planning!$E$25,COLUMN(J20),ROW(J20),1,1)&lt;&gt;"",OFFSET(Planning!$D$25,COLUMN(J20),0,1,1),0)</f>
        <v>0</v>
      </c>
      <c r="T23" s="68">
        <f ca="1">IF(OFFSET(Planning!$E$25,COLUMN(K20),ROW(K20),1,1)&lt;&gt;"",OFFSET(Planning!$D$25,COLUMN(K20),0,1,1),0)</f>
        <v>0</v>
      </c>
      <c r="U23" s="68">
        <f ca="1">IF(OFFSET(Planning!$E$25,COLUMN(L20),ROW(L20),1,1)&lt;&gt;"",OFFSET(Planning!$D$25,COLUMN(L20),0,1,1),0)</f>
        <v>0</v>
      </c>
      <c r="V23" s="68">
        <f ca="1">IF(OFFSET(Planning!$E$25,COLUMN(M20),ROW(M20),1,1)&lt;&gt;"",OFFSET(Planning!$D$25,COLUMN(M20),0,1,1),0)</f>
        <v>0</v>
      </c>
      <c r="W23" s="68">
        <f ca="1">IF(OFFSET(Planning!$E$25,COLUMN(N20),ROW(N20),1,1)&lt;&gt;"",OFFSET(Planning!$D$25,COLUMN(N20),0,1,1),0)</f>
        <v>0</v>
      </c>
      <c r="X23" s="68">
        <f ca="1">IF(OFFSET(Planning!$E$25,COLUMN(O20),ROW(O20),1,1)&lt;&gt;"",OFFSET(Planning!$D$25,COLUMN(O20),0,1,1),0)</f>
        <v>0</v>
      </c>
      <c r="Y23" s="68">
        <f ca="1">IF(OFFSET(Planning!$E$25,COLUMN(P20),ROW(P20),1,1)&lt;&gt;"",OFFSET(Planning!$D$25,COLUMN(P20),0,1,1),0)</f>
        <v>0</v>
      </c>
      <c r="Z23" s="68">
        <f ca="1">IF(OFFSET(Planning!$E$25,COLUMN(Q20),ROW(Q20),1,1)&lt;&gt;"",OFFSET(Planning!$D$25,COLUMN(Q20),0,1,1),0)</f>
        <v>0</v>
      </c>
      <c r="AA23" s="68">
        <f ca="1">IF(OFFSET(Planning!$E$25,COLUMN(R20),ROW(R20),1,1)&lt;&gt;"",OFFSET(Planning!$D$25,COLUMN(R20),0,1,1),0)</f>
        <v>0</v>
      </c>
      <c r="AB23" s="68">
        <f ca="1">IF(OFFSET(Planning!$E$25,COLUMN(S20),ROW(S20),1,1)&lt;&gt;"",OFFSET(Planning!$D$25,COLUMN(S20),0,1,1),0)</f>
        <v>0</v>
      </c>
      <c r="AC23" s="68">
        <f ca="1">IF(OFFSET(Planning!$E$25,COLUMN(T20),ROW(T20),1,1)&lt;&gt;"",OFFSET(Planning!$D$25,COLUMN(T20),0,1,1),0)</f>
        <v>0</v>
      </c>
      <c r="AD23" s="68">
        <f ca="1">VLOOKUP($B23,'Summary Calculations (hide)'!$D$15:$U$67,17,0)</f>
        <v>14.254500348202729</v>
      </c>
      <c r="AE23" s="68">
        <f ca="1">VLOOKUP($B23,'Summary Calculations (hide)'!$D$15:$U$67,18,0)</f>
        <v>2.9077629903405398</v>
      </c>
    </row>
    <row r="24" spans="1:31" x14ac:dyDescent="0.2">
      <c r="A24" s="88">
        <f t="shared" ca="1" si="3"/>
        <v>43726</v>
      </c>
      <c r="B24" s="68">
        <f t="shared" ca="1" si="0"/>
        <v>38</v>
      </c>
      <c r="C24" s="5">
        <f ca="1">IF(Planning!$C$8="No",VLOOKUP(B24,'Summary Calculations (hide)'!$D$15:$U$67,17,0),VLOOKUP(B24,'Summary Calculations (hide)'!$D$15:$F$67,2,0)*IF(Planning!$C$11="",1,1+Planning!$C$11)*'Summary Calculations (hide)'!$L$4/IF(Summary!$C$8="Patients",'Summary Calculations (hide)'!$I$9,1))</f>
        <v>14.254500348202729</v>
      </c>
      <c r="D24" s="5">
        <f ca="1">IF(Planning!$C$8="No",VLOOKUP('Planning (hide)'!B24,'Summary Calculations (hide)'!$D$15:$U$67,18,0),VLOOKUP(B24,'Summary Calculations (hide)'!$D$15:$F$67,3,0)*IF(Planning!$C$11="",1,1+Planning!$C$11)*'Summary Calculations (hide)'!$L$4/IF(Summary!$C$8="Patients",'Summary Calculations (hide)'!$I$9,1))-IF(Planning!$C$8="No",0,C24)</f>
        <v>2.9077629903405398</v>
      </c>
      <c r="E24" s="5">
        <f ca="1">VLOOKUP($B24,'Summary Calculations (hide)'!$D$15:$U$66,15,0)</f>
        <v>10.392307692307693</v>
      </c>
      <c r="F24" s="5">
        <f ca="1">VLOOKUP($B24,'Summary Calculations (hide)'!$D$15:$U$66,16,0)</f>
        <v>0</v>
      </c>
      <c r="G24" s="5">
        <f t="shared" ca="1" si="1"/>
        <v>10.392307692307693</v>
      </c>
      <c r="H24" s="5">
        <f t="shared" ca="1" si="2"/>
        <v>112.3923076923077</v>
      </c>
      <c r="I24" s="68">
        <f ca="1">IF(OFFSET(Planning!$E$25,0,ROW(A21),1,1)&lt;&gt;"",-'Planning (hide)'!$G24,0)</f>
        <v>0</v>
      </c>
      <c r="J24" s="68">
        <f ca="1">IF(OFFSET(Planning!$E$25,COLUMN(A21),ROW(A21),1,1)&lt;&gt;"",OFFSET(Planning!$D$25,COLUMN(A21),0,1,1),0)</f>
        <v>0</v>
      </c>
      <c r="K24" s="68">
        <f ca="1">IF(OFFSET(Planning!$E$25,COLUMN(B21),ROW(B21),1,1)&lt;&gt;"",OFFSET(Planning!$D$25,COLUMN(B21),0,1,1),0)</f>
        <v>102</v>
      </c>
      <c r="L24" s="68">
        <f ca="1">IF(OFFSET(Planning!$E$25,COLUMN(C21),ROW(C21),1,1)&lt;&gt;"",OFFSET(Planning!$D$25,COLUMN(C21),0,1,1),0)</f>
        <v>0</v>
      </c>
      <c r="M24" s="68">
        <f ca="1">IF(OFFSET(Planning!$E$25,COLUMN(D21),ROW(D21),1,1)&lt;&gt;"",OFFSET(Planning!$D$25,COLUMN(D21),0,1,1),0)</f>
        <v>0</v>
      </c>
      <c r="N24" s="68">
        <f ca="1">IF(OFFSET(Planning!$E$25,COLUMN(E21),ROW(E21),1,1)&lt;&gt;"",OFFSET(Planning!$D$25,COLUMN(E21),0,1,1),0)</f>
        <v>0</v>
      </c>
      <c r="O24" s="68">
        <f ca="1">IF(OFFSET(Planning!$E$25,COLUMN(F21),ROW(F21),1,1)&lt;&gt;"",OFFSET(Planning!$D$25,COLUMN(F21),0,1,1),0)</f>
        <v>0</v>
      </c>
      <c r="P24" s="68">
        <f ca="1">IF(OFFSET(Planning!$E$25,COLUMN(G21),ROW(G21),1,1)&lt;&gt;"",OFFSET(Planning!$D$25,COLUMN(G21),0,1,1),0)</f>
        <v>0</v>
      </c>
      <c r="Q24" s="68">
        <f ca="1">IF(OFFSET(Planning!$E$25,COLUMN(H21),ROW(H21),1,1)&lt;&gt;"",OFFSET(Planning!$D$25,COLUMN(H21),0,1,1),0)</f>
        <v>0</v>
      </c>
      <c r="R24" s="68">
        <f ca="1">IF(OFFSET(Planning!$E$25,COLUMN(I21),ROW(I21),1,1)&lt;&gt;"",OFFSET(Planning!$D$25,COLUMN(I21),0,1,1),0)</f>
        <v>0</v>
      </c>
      <c r="S24" s="68">
        <f ca="1">IF(OFFSET(Planning!$E$25,COLUMN(J21),ROW(J21),1,1)&lt;&gt;"",OFFSET(Planning!$D$25,COLUMN(J21),0,1,1),0)</f>
        <v>0</v>
      </c>
      <c r="T24" s="68">
        <f ca="1">IF(OFFSET(Planning!$E$25,COLUMN(K21),ROW(K21),1,1)&lt;&gt;"",OFFSET(Planning!$D$25,COLUMN(K21),0,1,1),0)</f>
        <v>0</v>
      </c>
      <c r="U24" s="68">
        <f ca="1">IF(OFFSET(Planning!$E$25,COLUMN(L21),ROW(L21),1,1)&lt;&gt;"",OFFSET(Planning!$D$25,COLUMN(L21),0,1,1),0)</f>
        <v>0</v>
      </c>
      <c r="V24" s="68">
        <f ca="1">IF(OFFSET(Planning!$E$25,COLUMN(M21),ROW(M21),1,1)&lt;&gt;"",OFFSET(Planning!$D$25,COLUMN(M21),0,1,1),0)</f>
        <v>0</v>
      </c>
      <c r="W24" s="68">
        <f ca="1">IF(OFFSET(Planning!$E$25,COLUMN(N21),ROW(N21),1,1)&lt;&gt;"",OFFSET(Planning!$D$25,COLUMN(N21),0,1,1),0)</f>
        <v>0</v>
      </c>
      <c r="X24" s="68">
        <f ca="1">IF(OFFSET(Planning!$E$25,COLUMN(O21),ROW(O21),1,1)&lt;&gt;"",OFFSET(Planning!$D$25,COLUMN(O21),0,1,1),0)</f>
        <v>0</v>
      </c>
      <c r="Y24" s="68">
        <f ca="1">IF(OFFSET(Planning!$E$25,COLUMN(P21),ROW(P21),1,1)&lt;&gt;"",OFFSET(Planning!$D$25,COLUMN(P21),0,1,1),0)</f>
        <v>0</v>
      </c>
      <c r="Z24" s="68">
        <f ca="1">IF(OFFSET(Planning!$E$25,COLUMN(Q21),ROW(Q21),1,1)&lt;&gt;"",OFFSET(Planning!$D$25,COLUMN(Q21),0,1,1),0)</f>
        <v>0</v>
      </c>
      <c r="AA24" s="68">
        <f ca="1">IF(OFFSET(Planning!$E$25,COLUMN(R21),ROW(R21),1,1)&lt;&gt;"",OFFSET(Planning!$D$25,COLUMN(R21),0,1,1),0)</f>
        <v>0</v>
      </c>
      <c r="AB24" s="68">
        <f ca="1">IF(OFFSET(Planning!$E$25,COLUMN(S21),ROW(S21),1,1)&lt;&gt;"",OFFSET(Planning!$D$25,COLUMN(S21),0,1,1),0)</f>
        <v>0</v>
      </c>
      <c r="AC24" s="68">
        <f ca="1">IF(OFFSET(Planning!$E$25,COLUMN(T21),ROW(T21),1,1)&lt;&gt;"",OFFSET(Planning!$D$25,COLUMN(T21),0,1,1),0)</f>
        <v>0</v>
      </c>
      <c r="AD24" s="68">
        <f ca="1">VLOOKUP($B24,'Summary Calculations (hide)'!$D$15:$U$67,17,0)</f>
        <v>14.254500348202729</v>
      </c>
      <c r="AE24" s="68">
        <f ca="1">VLOOKUP($B24,'Summary Calculations (hide)'!$D$15:$U$67,18,0)</f>
        <v>2.9077629903405398</v>
      </c>
    </row>
    <row r="25" spans="1:31" x14ac:dyDescent="0.2">
      <c r="A25" s="88">
        <f t="shared" ca="1" si="3"/>
        <v>43733</v>
      </c>
      <c r="B25" s="68">
        <f t="shared" ca="1" si="0"/>
        <v>39</v>
      </c>
      <c r="C25" s="5">
        <f ca="1">IF(Planning!$C$8="No",VLOOKUP(B25,'Summary Calculations (hide)'!$D$15:$U$67,17,0),VLOOKUP(B25,'Summary Calculations (hide)'!$D$15:$F$67,2,0)*IF(Planning!$C$11="",1,1+Planning!$C$11)*'Summary Calculations (hide)'!$L$4/IF(Summary!$C$8="Patients",'Summary Calculations (hide)'!$I$9,1))</f>
        <v>14.254500348202729</v>
      </c>
      <c r="D25" s="5">
        <f ca="1">IF(Planning!$C$8="No",VLOOKUP('Planning (hide)'!B25,'Summary Calculations (hide)'!$D$15:$U$67,18,0),VLOOKUP(B25,'Summary Calculations (hide)'!$D$15:$F$67,3,0)*IF(Planning!$C$11="",1,1+Planning!$C$11)*'Summary Calculations (hide)'!$L$4/IF(Summary!$C$8="Patients",'Summary Calculations (hide)'!$I$9,1))-IF(Planning!$C$8="No",0,C25)</f>
        <v>2.9077629903405398</v>
      </c>
      <c r="E25" s="5">
        <f ca="1">VLOOKUP($B25,'Summary Calculations (hide)'!$D$15:$U$66,15,0)</f>
        <v>10.392307692307693</v>
      </c>
      <c r="F25" s="5">
        <f ca="1">VLOOKUP($B25,'Summary Calculations (hide)'!$D$15:$U$66,16,0)</f>
        <v>0</v>
      </c>
      <c r="G25" s="5">
        <f t="shared" ca="1" si="1"/>
        <v>10.392307692307693</v>
      </c>
      <c r="H25" s="5">
        <f t="shared" ca="1" si="2"/>
        <v>112.3923076923077</v>
      </c>
      <c r="I25" s="68">
        <f ca="1">IF(OFFSET(Planning!$E$25,0,ROW(A22),1,1)&lt;&gt;"",-'Planning (hide)'!$G25,0)</f>
        <v>0</v>
      </c>
      <c r="J25" s="68">
        <f ca="1">IF(OFFSET(Planning!$E$25,COLUMN(A22),ROW(A22),1,1)&lt;&gt;"",OFFSET(Planning!$D$25,COLUMN(A22),0,1,1),0)</f>
        <v>0</v>
      </c>
      <c r="K25" s="68">
        <f ca="1">IF(OFFSET(Planning!$E$25,COLUMN(B22),ROW(B22),1,1)&lt;&gt;"",OFFSET(Planning!$D$25,COLUMN(B22),0,1,1),0)</f>
        <v>102</v>
      </c>
      <c r="L25" s="68">
        <f ca="1">IF(OFFSET(Planning!$E$25,COLUMN(C22),ROW(C22),1,1)&lt;&gt;"",OFFSET(Planning!$D$25,COLUMN(C22),0,1,1),0)</f>
        <v>0</v>
      </c>
      <c r="M25" s="68">
        <f ca="1">IF(OFFSET(Planning!$E$25,COLUMN(D22),ROW(D22),1,1)&lt;&gt;"",OFFSET(Planning!$D$25,COLUMN(D22),0,1,1),0)</f>
        <v>0</v>
      </c>
      <c r="N25" s="68">
        <f ca="1">IF(OFFSET(Planning!$E$25,COLUMN(E22),ROW(E22),1,1)&lt;&gt;"",OFFSET(Planning!$D$25,COLUMN(E22),0,1,1),0)</f>
        <v>0</v>
      </c>
      <c r="O25" s="68">
        <f ca="1">IF(OFFSET(Planning!$E$25,COLUMN(F22),ROW(F22),1,1)&lt;&gt;"",OFFSET(Planning!$D$25,COLUMN(F22),0,1,1),0)</f>
        <v>0</v>
      </c>
      <c r="P25" s="68">
        <f ca="1">IF(OFFSET(Planning!$E$25,COLUMN(G22),ROW(G22),1,1)&lt;&gt;"",OFFSET(Planning!$D$25,COLUMN(G22),0,1,1),0)</f>
        <v>0</v>
      </c>
      <c r="Q25" s="68">
        <f ca="1">IF(OFFSET(Planning!$E$25,COLUMN(H22),ROW(H22),1,1)&lt;&gt;"",OFFSET(Planning!$D$25,COLUMN(H22),0,1,1),0)</f>
        <v>0</v>
      </c>
      <c r="R25" s="68">
        <f ca="1">IF(OFFSET(Planning!$E$25,COLUMN(I22),ROW(I22),1,1)&lt;&gt;"",OFFSET(Planning!$D$25,COLUMN(I22),0,1,1),0)</f>
        <v>0</v>
      </c>
      <c r="S25" s="68">
        <f ca="1">IF(OFFSET(Planning!$E$25,COLUMN(J22),ROW(J22),1,1)&lt;&gt;"",OFFSET(Planning!$D$25,COLUMN(J22),0,1,1),0)</f>
        <v>0</v>
      </c>
      <c r="T25" s="68">
        <f ca="1">IF(OFFSET(Planning!$E$25,COLUMN(K22),ROW(K22),1,1)&lt;&gt;"",OFFSET(Planning!$D$25,COLUMN(K22),0,1,1),0)</f>
        <v>0</v>
      </c>
      <c r="U25" s="68">
        <f ca="1">IF(OFFSET(Planning!$E$25,COLUMN(L22),ROW(L22),1,1)&lt;&gt;"",OFFSET(Planning!$D$25,COLUMN(L22),0,1,1),0)</f>
        <v>0</v>
      </c>
      <c r="V25" s="68">
        <f ca="1">IF(OFFSET(Planning!$E$25,COLUMN(M22),ROW(M22),1,1)&lt;&gt;"",OFFSET(Planning!$D$25,COLUMN(M22),0,1,1),0)</f>
        <v>0</v>
      </c>
      <c r="W25" s="68">
        <f ca="1">IF(OFFSET(Planning!$E$25,COLUMN(N22),ROW(N22),1,1)&lt;&gt;"",OFFSET(Planning!$D$25,COLUMN(N22),0,1,1),0)</f>
        <v>0</v>
      </c>
      <c r="X25" s="68">
        <f ca="1">IF(OFFSET(Planning!$E$25,COLUMN(O22),ROW(O22),1,1)&lt;&gt;"",OFFSET(Planning!$D$25,COLUMN(O22),0,1,1),0)</f>
        <v>0</v>
      </c>
      <c r="Y25" s="68">
        <f ca="1">IF(OFFSET(Planning!$E$25,COLUMN(P22),ROW(P22),1,1)&lt;&gt;"",OFFSET(Planning!$D$25,COLUMN(P22),0,1,1),0)</f>
        <v>0</v>
      </c>
      <c r="Z25" s="68">
        <f ca="1">IF(OFFSET(Planning!$E$25,COLUMN(Q22),ROW(Q22),1,1)&lt;&gt;"",OFFSET(Planning!$D$25,COLUMN(Q22),0,1,1),0)</f>
        <v>0</v>
      </c>
      <c r="AA25" s="68">
        <f ca="1">IF(OFFSET(Planning!$E$25,COLUMN(R22),ROW(R22),1,1)&lt;&gt;"",OFFSET(Planning!$D$25,COLUMN(R22),0,1,1),0)</f>
        <v>0</v>
      </c>
      <c r="AB25" s="68">
        <f ca="1">IF(OFFSET(Planning!$E$25,COLUMN(S22),ROW(S22),1,1)&lt;&gt;"",OFFSET(Planning!$D$25,COLUMN(S22),0,1,1),0)</f>
        <v>0</v>
      </c>
      <c r="AC25" s="68">
        <f ca="1">IF(OFFSET(Planning!$E$25,COLUMN(T22),ROW(T22),1,1)&lt;&gt;"",OFFSET(Planning!$D$25,COLUMN(T22),0,1,1),0)</f>
        <v>0</v>
      </c>
      <c r="AD25" s="68">
        <f ca="1">VLOOKUP($B25,'Summary Calculations (hide)'!$D$15:$U$67,17,0)</f>
        <v>14.254500348202729</v>
      </c>
      <c r="AE25" s="68">
        <f ca="1">VLOOKUP($B25,'Summary Calculations (hide)'!$D$15:$U$67,18,0)</f>
        <v>2.9077629903405398</v>
      </c>
    </row>
    <row r="26" spans="1:31" x14ac:dyDescent="0.2">
      <c r="A26" s="88">
        <f t="shared" ca="1" si="3"/>
        <v>43740</v>
      </c>
      <c r="B26" s="68">
        <f t="shared" ca="1" si="0"/>
        <v>40</v>
      </c>
      <c r="C26" s="5">
        <f ca="1">IF(Planning!$C$8="No",VLOOKUP(B26,'Summary Calculations (hide)'!$D$15:$U$67,17,0),VLOOKUP(B26,'Summary Calculations (hide)'!$D$15:$F$67,2,0)*IF(Planning!$C$11="",1,1+Planning!$C$11)*'Summary Calculations (hide)'!$L$4/IF(Summary!$C$8="Patients",'Summary Calculations (hide)'!$I$9,1))</f>
        <v>14.254500348202729</v>
      </c>
      <c r="D26" s="5">
        <f ca="1">IF(Planning!$C$8="No",VLOOKUP('Planning (hide)'!B26,'Summary Calculations (hide)'!$D$15:$U$67,18,0),VLOOKUP(B26,'Summary Calculations (hide)'!$D$15:$F$67,3,0)*IF(Planning!$C$11="",1,1+Planning!$C$11)*'Summary Calculations (hide)'!$L$4/IF(Summary!$C$8="Patients",'Summary Calculations (hide)'!$I$9,1))-IF(Planning!$C$8="No",0,C26)</f>
        <v>2.9077629903405398</v>
      </c>
      <c r="E26" s="5">
        <f ca="1">VLOOKUP($B26,'Summary Calculations (hide)'!$D$15:$U$66,15,0)</f>
        <v>10.392307692307693</v>
      </c>
      <c r="F26" s="5">
        <f ca="1">VLOOKUP($B26,'Summary Calculations (hide)'!$D$15:$U$66,16,0)</f>
        <v>0</v>
      </c>
      <c r="G26" s="5">
        <f t="shared" ca="1" si="1"/>
        <v>10.392307692307693</v>
      </c>
      <c r="H26" s="5">
        <f t="shared" ca="1" si="2"/>
        <v>10.392307692307693</v>
      </c>
      <c r="I26" s="68">
        <f ca="1">IF(OFFSET(Planning!$E$25,0,ROW(A23),1,1)&lt;&gt;"",-'Planning (hide)'!$G26,0)</f>
        <v>0</v>
      </c>
      <c r="J26" s="68">
        <f ca="1">IF(OFFSET(Planning!$E$25,COLUMN(A23),ROW(A23),1,1)&lt;&gt;"",OFFSET(Planning!$D$25,COLUMN(A23),0,1,1),0)</f>
        <v>0</v>
      </c>
      <c r="K26" s="68">
        <f ca="1">IF(OFFSET(Planning!$E$25,COLUMN(B23),ROW(B23),1,1)&lt;&gt;"",OFFSET(Planning!$D$25,COLUMN(B23),0,1,1),0)</f>
        <v>0</v>
      </c>
      <c r="L26" s="68">
        <f ca="1">IF(OFFSET(Planning!$E$25,COLUMN(C23),ROW(C23),1,1)&lt;&gt;"",OFFSET(Planning!$D$25,COLUMN(C23),0,1,1),0)</f>
        <v>0</v>
      </c>
      <c r="M26" s="68">
        <f ca="1">IF(OFFSET(Planning!$E$25,COLUMN(D23),ROW(D23),1,1)&lt;&gt;"",OFFSET(Planning!$D$25,COLUMN(D23),0,1,1),0)</f>
        <v>0</v>
      </c>
      <c r="N26" s="68">
        <f ca="1">IF(OFFSET(Planning!$E$25,COLUMN(E23),ROW(E23),1,1)&lt;&gt;"",OFFSET(Planning!$D$25,COLUMN(E23),0,1,1),0)</f>
        <v>0</v>
      </c>
      <c r="O26" s="68">
        <f ca="1">IF(OFFSET(Planning!$E$25,COLUMN(F23),ROW(F23),1,1)&lt;&gt;"",OFFSET(Planning!$D$25,COLUMN(F23),0,1,1),0)</f>
        <v>0</v>
      </c>
      <c r="P26" s="68">
        <f ca="1">IF(OFFSET(Planning!$E$25,COLUMN(G23),ROW(G23),1,1)&lt;&gt;"",OFFSET(Planning!$D$25,COLUMN(G23),0,1,1),0)</f>
        <v>0</v>
      </c>
      <c r="Q26" s="68">
        <f ca="1">IF(OFFSET(Planning!$E$25,COLUMN(H23),ROW(H23),1,1)&lt;&gt;"",OFFSET(Planning!$D$25,COLUMN(H23),0,1,1),0)</f>
        <v>0</v>
      </c>
      <c r="R26" s="68">
        <f ca="1">IF(OFFSET(Planning!$E$25,COLUMN(I23),ROW(I23),1,1)&lt;&gt;"",OFFSET(Planning!$D$25,COLUMN(I23),0,1,1),0)</f>
        <v>0</v>
      </c>
      <c r="S26" s="68">
        <f ca="1">IF(OFFSET(Planning!$E$25,COLUMN(J23),ROW(J23),1,1)&lt;&gt;"",OFFSET(Planning!$D$25,COLUMN(J23),0,1,1),0)</f>
        <v>0</v>
      </c>
      <c r="T26" s="68">
        <f ca="1">IF(OFFSET(Planning!$E$25,COLUMN(K23),ROW(K23),1,1)&lt;&gt;"",OFFSET(Planning!$D$25,COLUMN(K23),0,1,1),0)</f>
        <v>0</v>
      </c>
      <c r="U26" s="68">
        <f ca="1">IF(OFFSET(Planning!$E$25,COLUMN(L23),ROW(L23),1,1)&lt;&gt;"",OFFSET(Planning!$D$25,COLUMN(L23),0,1,1),0)</f>
        <v>0</v>
      </c>
      <c r="V26" s="68">
        <f ca="1">IF(OFFSET(Planning!$E$25,COLUMN(M23),ROW(M23),1,1)&lt;&gt;"",OFFSET(Planning!$D$25,COLUMN(M23),0,1,1),0)</f>
        <v>0</v>
      </c>
      <c r="W26" s="68">
        <f ca="1">IF(OFFSET(Planning!$E$25,COLUMN(N23),ROW(N23),1,1)&lt;&gt;"",OFFSET(Planning!$D$25,COLUMN(N23),0,1,1),0)</f>
        <v>0</v>
      </c>
      <c r="X26" s="68">
        <f ca="1">IF(OFFSET(Planning!$E$25,COLUMN(O23),ROW(O23),1,1)&lt;&gt;"",OFFSET(Planning!$D$25,COLUMN(O23),0,1,1),0)</f>
        <v>0</v>
      </c>
      <c r="Y26" s="68">
        <f ca="1">IF(OFFSET(Planning!$E$25,COLUMN(P23),ROW(P23),1,1)&lt;&gt;"",OFFSET(Planning!$D$25,COLUMN(P23),0,1,1),0)</f>
        <v>0</v>
      </c>
      <c r="Z26" s="68">
        <f ca="1">IF(OFFSET(Planning!$E$25,COLUMN(Q23),ROW(Q23),1,1)&lt;&gt;"",OFFSET(Planning!$D$25,COLUMN(Q23),0,1,1),0)</f>
        <v>0</v>
      </c>
      <c r="AA26" s="68">
        <f ca="1">IF(OFFSET(Planning!$E$25,COLUMN(R23),ROW(R23),1,1)&lt;&gt;"",OFFSET(Planning!$D$25,COLUMN(R23),0,1,1),0)</f>
        <v>0</v>
      </c>
      <c r="AB26" s="68">
        <f ca="1">IF(OFFSET(Planning!$E$25,COLUMN(S23),ROW(S23),1,1)&lt;&gt;"",OFFSET(Planning!$D$25,COLUMN(S23),0,1,1),0)</f>
        <v>0</v>
      </c>
      <c r="AC26" s="68">
        <f ca="1">IF(OFFSET(Planning!$E$25,COLUMN(T23),ROW(T23),1,1)&lt;&gt;"",OFFSET(Planning!$D$25,COLUMN(T23),0,1,1),0)</f>
        <v>0</v>
      </c>
      <c r="AD26" s="68">
        <f ca="1">VLOOKUP($B26,'Summary Calculations (hide)'!$D$15:$U$67,17,0)</f>
        <v>14.254500348202729</v>
      </c>
      <c r="AE26" s="68">
        <f ca="1">VLOOKUP($B26,'Summary Calculations (hide)'!$D$15:$U$67,18,0)</f>
        <v>2.9077629903405398</v>
      </c>
    </row>
    <row r="27" spans="1:31" x14ac:dyDescent="0.2">
      <c r="A27" s="88">
        <f t="shared" ca="1" si="3"/>
        <v>43747</v>
      </c>
      <c r="B27" s="68">
        <f t="shared" ca="1" si="0"/>
        <v>41</v>
      </c>
      <c r="C27" s="5">
        <f ca="1">IF(Planning!$C$8="No",VLOOKUP(B27,'Summary Calculations (hide)'!$D$15:$U$67,17,0),VLOOKUP(B27,'Summary Calculations (hide)'!$D$15:$F$67,2,0)*IF(Planning!$C$11="",1,1+Planning!$C$11)*'Summary Calculations (hide)'!$L$4/IF(Summary!$C$8="Patients",'Summary Calculations (hide)'!$I$9,1))</f>
        <v>14.254500348202729</v>
      </c>
      <c r="D27" s="5">
        <f ca="1">IF(Planning!$C$8="No",VLOOKUP('Planning (hide)'!B27,'Summary Calculations (hide)'!$D$15:$U$67,18,0),VLOOKUP(B27,'Summary Calculations (hide)'!$D$15:$F$67,3,0)*IF(Planning!$C$11="",1,1+Planning!$C$11)*'Summary Calculations (hide)'!$L$4/IF(Summary!$C$8="Patients",'Summary Calculations (hide)'!$I$9,1))-IF(Planning!$C$8="No",0,C27)</f>
        <v>2.9077629903405398</v>
      </c>
      <c r="E27" s="5">
        <f ca="1">VLOOKUP($B27,'Summary Calculations (hide)'!$D$15:$U$66,15,0)</f>
        <v>10.392307692307693</v>
      </c>
      <c r="F27" s="5">
        <f ca="1">VLOOKUP($B27,'Summary Calculations (hide)'!$D$15:$U$66,16,0)</f>
        <v>0</v>
      </c>
      <c r="G27" s="5">
        <f t="shared" ca="1" si="1"/>
        <v>10.392307692307693</v>
      </c>
      <c r="H27" s="5">
        <f t="shared" ca="1" si="2"/>
        <v>10.392307692307693</v>
      </c>
      <c r="I27" s="68">
        <f ca="1">IF(OFFSET(Planning!$E$25,0,ROW(A24),1,1)&lt;&gt;"",-'Planning (hide)'!$G27,0)</f>
        <v>0</v>
      </c>
      <c r="J27" s="68">
        <f ca="1">IF(OFFSET(Planning!$E$25,COLUMN(A24),ROW(A24),1,1)&lt;&gt;"",OFFSET(Planning!$D$25,COLUMN(A24),0,1,1),0)</f>
        <v>0</v>
      </c>
      <c r="K27" s="68">
        <f ca="1">IF(OFFSET(Planning!$E$25,COLUMN(B24),ROW(B24),1,1)&lt;&gt;"",OFFSET(Planning!$D$25,COLUMN(B24),0,1,1),0)</f>
        <v>0</v>
      </c>
      <c r="L27" s="68">
        <f ca="1">IF(OFFSET(Planning!$E$25,COLUMN(C24),ROW(C24),1,1)&lt;&gt;"",OFFSET(Planning!$D$25,COLUMN(C24),0,1,1),0)</f>
        <v>0</v>
      </c>
      <c r="M27" s="68">
        <f ca="1">IF(OFFSET(Planning!$E$25,COLUMN(D24),ROW(D24),1,1)&lt;&gt;"",OFFSET(Planning!$D$25,COLUMN(D24),0,1,1),0)</f>
        <v>0</v>
      </c>
      <c r="N27" s="68">
        <f ca="1">IF(OFFSET(Planning!$E$25,COLUMN(E24),ROW(E24),1,1)&lt;&gt;"",OFFSET(Planning!$D$25,COLUMN(E24),0,1,1),0)</f>
        <v>0</v>
      </c>
      <c r="O27" s="68">
        <f ca="1">IF(OFFSET(Planning!$E$25,COLUMN(F24),ROW(F24),1,1)&lt;&gt;"",OFFSET(Planning!$D$25,COLUMN(F24),0,1,1),0)</f>
        <v>0</v>
      </c>
      <c r="P27" s="68">
        <f ca="1">IF(OFFSET(Planning!$E$25,COLUMN(G24),ROW(G24),1,1)&lt;&gt;"",OFFSET(Planning!$D$25,COLUMN(G24),0,1,1),0)</f>
        <v>0</v>
      </c>
      <c r="Q27" s="68">
        <f ca="1">IF(OFFSET(Planning!$E$25,COLUMN(H24),ROW(H24),1,1)&lt;&gt;"",OFFSET(Planning!$D$25,COLUMN(H24),0,1,1),0)</f>
        <v>0</v>
      </c>
      <c r="R27" s="68">
        <f ca="1">IF(OFFSET(Planning!$E$25,COLUMN(I24),ROW(I24),1,1)&lt;&gt;"",OFFSET(Planning!$D$25,COLUMN(I24),0,1,1),0)</f>
        <v>0</v>
      </c>
      <c r="S27" s="68">
        <f ca="1">IF(OFFSET(Planning!$E$25,COLUMN(J24),ROW(J24),1,1)&lt;&gt;"",OFFSET(Planning!$D$25,COLUMN(J24),0,1,1),0)</f>
        <v>0</v>
      </c>
      <c r="T27" s="68">
        <f ca="1">IF(OFFSET(Planning!$E$25,COLUMN(K24),ROW(K24),1,1)&lt;&gt;"",OFFSET(Planning!$D$25,COLUMN(K24),0,1,1),0)</f>
        <v>0</v>
      </c>
      <c r="U27" s="68">
        <f ca="1">IF(OFFSET(Planning!$E$25,COLUMN(L24),ROW(L24),1,1)&lt;&gt;"",OFFSET(Planning!$D$25,COLUMN(L24),0,1,1),0)</f>
        <v>0</v>
      </c>
      <c r="V27" s="68">
        <f ca="1">IF(OFFSET(Planning!$E$25,COLUMN(M24),ROW(M24),1,1)&lt;&gt;"",OFFSET(Planning!$D$25,COLUMN(M24),0,1,1),0)</f>
        <v>0</v>
      </c>
      <c r="W27" s="68">
        <f ca="1">IF(OFFSET(Planning!$E$25,COLUMN(N24),ROW(N24),1,1)&lt;&gt;"",OFFSET(Planning!$D$25,COLUMN(N24),0,1,1),0)</f>
        <v>0</v>
      </c>
      <c r="X27" s="68">
        <f ca="1">IF(OFFSET(Planning!$E$25,COLUMN(O24),ROW(O24),1,1)&lt;&gt;"",OFFSET(Planning!$D$25,COLUMN(O24),0,1,1),0)</f>
        <v>0</v>
      </c>
      <c r="Y27" s="68">
        <f ca="1">IF(OFFSET(Planning!$E$25,COLUMN(P24),ROW(P24),1,1)&lt;&gt;"",OFFSET(Planning!$D$25,COLUMN(P24),0,1,1),0)</f>
        <v>0</v>
      </c>
      <c r="Z27" s="68">
        <f ca="1">IF(OFFSET(Planning!$E$25,COLUMN(Q24),ROW(Q24),1,1)&lt;&gt;"",OFFSET(Planning!$D$25,COLUMN(Q24),0,1,1),0)</f>
        <v>0</v>
      </c>
      <c r="AA27" s="68">
        <f ca="1">IF(OFFSET(Planning!$E$25,COLUMN(R24),ROW(R24),1,1)&lt;&gt;"",OFFSET(Planning!$D$25,COLUMN(R24),0,1,1),0)</f>
        <v>0</v>
      </c>
      <c r="AB27" s="68">
        <f ca="1">IF(OFFSET(Planning!$E$25,COLUMN(S24),ROW(S24),1,1)&lt;&gt;"",OFFSET(Planning!$D$25,COLUMN(S24),0,1,1),0)</f>
        <v>0</v>
      </c>
      <c r="AC27" s="68">
        <f ca="1">IF(OFFSET(Planning!$E$25,COLUMN(T24),ROW(T24),1,1)&lt;&gt;"",OFFSET(Planning!$D$25,COLUMN(T24),0,1,1),0)</f>
        <v>0</v>
      </c>
      <c r="AD27" s="68">
        <f ca="1">VLOOKUP($B27,'Summary Calculations (hide)'!$D$15:$U$67,17,0)</f>
        <v>14.254500348202729</v>
      </c>
      <c r="AE27" s="68">
        <f ca="1">VLOOKUP($B27,'Summary Calculations (hide)'!$D$15:$U$67,18,0)</f>
        <v>2.9077629903405398</v>
      </c>
    </row>
    <row r="28" spans="1:31" x14ac:dyDescent="0.2">
      <c r="A28" s="88">
        <f t="shared" ca="1" si="3"/>
        <v>43754</v>
      </c>
      <c r="B28" s="68">
        <f t="shared" ca="1" si="0"/>
        <v>42</v>
      </c>
      <c r="C28" s="5">
        <f ca="1">IF(Planning!$C$8="No",VLOOKUP(B28,'Summary Calculations (hide)'!$D$15:$U$67,17,0),VLOOKUP(B28,'Summary Calculations (hide)'!$D$15:$F$67,2,0)*IF(Planning!$C$11="",1,1+Planning!$C$11)*'Summary Calculations (hide)'!$L$4/IF(Summary!$C$8="Patients",'Summary Calculations (hide)'!$I$9,1))</f>
        <v>14.254500348202729</v>
      </c>
      <c r="D28" s="5">
        <f ca="1">IF(Planning!$C$8="No",VLOOKUP('Planning (hide)'!B28,'Summary Calculations (hide)'!$D$15:$U$67,18,0),VLOOKUP(B28,'Summary Calculations (hide)'!$D$15:$F$67,3,0)*IF(Planning!$C$11="",1,1+Planning!$C$11)*'Summary Calculations (hide)'!$L$4/IF(Summary!$C$8="Patients",'Summary Calculations (hide)'!$I$9,1))-IF(Planning!$C$8="No",0,C28)</f>
        <v>2.9077629903405398</v>
      </c>
      <c r="E28" s="5">
        <f ca="1">VLOOKUP($B28,'Summary Calculations (hide)'!$D$15:$U$66,15,0)</f>
        <v>10.392307692307693</v>
      </c>
      <c r="F28" s="5">
        <f ca="1">VLOOKUP($B28,'Summary Calculations (hide)'!$D$15:$U$66,16,0)</f>
        <v>0</v>
      </c>
      <c r="G28" s="5">
        <f t="shared" ca="1" si="1"/>
        <v>10.392307692307693</v>
      </c>
      <c r="H28" s="5">
        <f t="shared" ca="1" si="2"/>
        <v>10.392307692307693</v>
      </c>
      <c r="I28" s="68">
        <f ca="1">IF(OFFSET(Planning!$E$25,0,ROW(A25),1,1)&lt;&gt;"",-'Planning (hide)'!$G28,0)</f>
        <v>0</v>
      </c>
      <c r="J28" s="68">
        <f ca="1">IF(OFFSET(Planning!$E$25,COLUMN(A25),ROW(A25),1,1)&lt;&gt;"",OFFSET(Planning!$D$25,COLUMN(A25),0,1,1),0)</f>
        <v>0</v>
      </c>
      <c r="K28" s="68">
        <f ca="1">IF(OFFSET(Planning!$E$25,COLUMN(B25),ROW(B25),1,1)&lt;&gt;"",OFFSET(Planning!$D$25,COLUMN(B25),0,1,1),0)</f>
        <v>0</v>
      </c>
      <c r="L28" s="68">
        <f ca="1">IF(OFFSET(Planning!$E$25,COLUMN(C25),ROW(C25),1,1)&lt;&gt;"",OFFSET(Planning!$D$25,COLUMN(C25),0,1,1),0)</f>
        <v>0</v>
      </c>
      <c r="M28" s="68">
        <f ca="1">IF(OFFSET(Planning!$E$25,COLUMN(D25),ROW(D25),1,1)&lt;&gt;"",OFFSET(Planning!$D$25,COLUMN(D25),0,1,1),0)</f>
        <v>0</v>
      </c>
      <c r="N28" s="68">
        <f ca="1">IF(OFFSET(Planning!$E$25,COLUMN(E25),ROW(E25),1,1)&lt;&gt;"",OFFSET(Planning!$D$25,COLUMN(E25),0,1,1),0)</f>
        <v>0</v>
      </c>
      <c r="O28" s="68">
        <f ca="1">IF(OFFSET(Planning!$E$25,COLUMN(F25),ROW(F25),1,1)&lt;&gt;"",OFFSET(Planning!$D$25,COLUMN(F25),0,1,1),0)</f>
        <v>0</v>
      </c>
      <c r="P28" s="68">
        <f ca="1">IF(OFFSET(Planning!$E$25,COLUMN(G25),ROW(G25),1,1)&lt;&gt;"",OFFSET(Planning!$D$25,COLUMN(G25),0,1,1),0)</f>
        <v>0</v>
      </c>
      <c r="Q28" s="68">
        <f ca="1">IF(OFFSET(Planning!$E$25,COLUMN(H25),ROW(H25),1,1)&lt;&gt;"",OFFSET(Planning!$D$25,COLUMN(H25),0,1,1),0)</f>
        <v>0</v>
      </c>
      <c r="R28" s="68">
        <f ca="1">IF(OFFSET(Planning!$E$25,COLUMN(I25),ROW(I25),1,1)&lt;&gt;"",OFFSET(Planning!$D$25,COLUMN(I25),0,1,1),0)</f>
        <v>0</v>
      </c>
      <c r="S28" s="68">
        <f ca="1">IF(OFFSET(Planning!$E$25,COLUMN(J25),ROW(J25),1,1)&lt;&gt;"",OFFSET(Planning!$D$25,COLUMN(J25),0,1,1),0)</f>
        <v>0</v>
      </c>
      <c r="T28" s="68">
        <f ca="1">IF(OFFSET(Planning!$E$25,COLUMN(K25),ROW(K25),1,1)&lt;&gt;"",OFFSET(Planning!$D$25,COLUMN(K25),0,1,1),0)</f>
        <v>0</v>
      </c>
      <c r="U28" s="68">
        <f ca="1">IF(OFFSET(Planning!$E$25,COLUMN(L25),ROW(L25),1,1)&lt;&gt;"",OFFSET(Planning!$D$25,COLUMN(L25),0,1,1),0)</f>
        <v>0</v>
      </c>
      <c r="V28" s="68">
        <f ca="1">IF(OFFSET(Planning!$E$25,COLUMN(M25),ROW(M25),1,1)&lt;&gt;"",OFFSET(Planning!$D$25,COLUMN(M25),0,1,1),0)</f>
        <v>0</v>
      </c>
      <c r="W28" s="68">
        <f ca="1">IF(OFFSET(Planning!$E$25,COLUMN(N25),ROW(N25),1,1)&lt;&gt;"",OFFSET(Planning!$D$25,COLUMN(N25),0,1,1),0)</f>
        <v>0</v>
      </c>
      <c r="X28" s="68">
        <f ca="1">IF(OFFSET(Planning!$E$25,COLUMN(O25),ROW(O25),1,1)&lt;&gt;"",OFFSET(Planning!$D$25,COLUMN(O25),0,1,1),0)</f>
        <v>0</v>
      </c>
      <c r="Y28" s="68">
        <f ca="1">IF(OFFSET(Planning!$E$25,COLUMN(P25),ROW(P25),1,1)&lt;&gt;"",OFFSET(Planning!$D$25,COLUMN(P25),0,1,1),0)</f>
        <v>0</v>
      </c>
      <c r="Z28" s="68">
        <f ca="1">IF(OFFSET(Planning!$E$25,COLUMN(Q25),ROW(Q25),1,1)&lt;&gt;"",OFFSET(Planning!$D$25,COLUMN(Q25),0,1,1),0)</f>
        <v>0</v>
      </c>
      <c r="AA28" s="68">
        <f ca="1">IF(OFFSET(Planning!$E$25,COLUMN(R25),ROW(R25),1,1)&lt;&gt;"",OFFSET(Planning!$D$25,COLUMN(R25),0,1,1),0)</f>
        <v>0</v>
      </c>
      <c r="AB28" s="68">
        <f ca="1">IF(OFFSET(Planning!$E$25,COLUMN(S25),ROW(S25),1,1)&lt;&gt;"",OFFSET(Planning!$D$25,COLUMN(S25),0,1,1),0)</f>
        <v>0</v>
      </c>
      <c r="AC28" s="68">
        <f ca="1">IF(OFFSET(Planning!$E$25,COLUMN(T25),ROW(T25),1,1)&lt;&gt;"",OFFSET(Planning!$D$25,COLUMN(T25),0,1,1),0)</f>
        <v>0</v>
      </c>
      <c r="AD28" s="68">
        <f ca="1">VLOOKUP($B28,'Summary Calculations (hide)'!$D$15:$U$67,17,0)</f>
        <v>14.254500348202729</v>
      </c>
      <c r="AE28" s="68">
        <f ca="1">VLOOKUP($B28,'Summary Calculations (hide)'!$D$15:$U$67,18,0)</f>
        <v>2.9077629903405398</v>
      </c>
    </row>
    <row r="29" spans="1:31" x14ac:dyDescent="0.2">
      <c r="A29" s="88">
        <f t="shared" ca="1" si="3"/>
        <v>43761</v>
      </c>
      <c r="B29" s="68">
        <f t="shared" ca="1" si="0"/>
        <v>43</v>
      </c>
      <c r="C29" s="5">
        <f ca="1">IF(Planning!$C$8="No",VLOOKUP(B29,'Summary Calculations (hide)'!$D$15:$U$67,17,0),VLOOKUP(B29,'Summary Calculations (hide)'!$D$15:$F$67,2,0)*IF(Planning!$C$11="",1,1+Planning!$C$11)*'Summary Calculations (hide)'!$L$4/IF(Summary!$C$8="Patients",'Summary Calculations (hide)'!$I$9,1))</f>
        <v>14.254500348202729</v>
      </c>
      <c r="D29" s="5">
        <f ca="1">IF(Planning!$C$8="No",VLOOKUP('Planning (hide)'!B29,'Summary Calculations (hide)'!$D$15:$U$67,18,0),VLOOKUP(B29,'Summary Calculations (hide)'!$D$15:$F$67,3,0)*IF(Planning!$C$11="",1,1+Planning!$C$11)*'Summary Calculations (hide)'!$L$4/IF(Summary!$C$8="Patients",'Summary Calculations (hide)'!$I$9,1))-IF(Planning!$C$8="No",0,C29)</f>
        <v>2.9077629903405398</v>
      </c>
      <c r="E29" s="5">
        <f ca="1">VLOOKUP($B29,'Summary Calculations (hide)'!$D$15:$U$66,15,0)</f>
        <v>10.392307692307693</v>
      </c>
      <c r="F29" s="5">
        <f ca="1">VLOOKUP($B29,'Summary Calculations (hide)'!$D$15:$U$66,16,0)</f>
        <v>3.6923076923076925</v>
      </c>
      <c r="G29" s="5">
        <f t="shared" ca="1" si="1"/>
        <v>14.084615384615386</v>
      </c>
      <c r="H29" s="5">
        <f t="shared" ca="1" si="2"/>
        <v>14.084615384615386</v>
      </c>
      <c r="I29" s="68">
        <f ca="1">IF(OFFSET(Planning!$E$25,0,ROW(A26),1,1)&lt;&gt;"",-'Planning (hide)'!$G29,0)</f>
        <v>0</v>
      </c>
      <c r="J29" s="68">
        <f ca="1">IF(OFFSET(Planning!$E$25,COLUMN(A26),ROW(A26),1,1)&lt;&gt;"",OFFSET(Planning!$D$25,COLUMN(A26),0,1,1),0)</f>
        <v>0</v>
      </c>
      <c r="K29" s="68">
        <f ca="1">IF(OFFSET(Planning!$E$25,COLUMN(B26),ROW(B26),1,1)&lt;&gt;"",OFFSET(Planning!$D$25,COLUMN(B26),0,1,1),0)</f>
        <v>0</v>
      </c>
      <c r="L29" s="68">
        <f ca="1">IF(OFFSET(Planning!$E$25,COLUMN(C26),ROW(C26),1,1)&lt;&gt;"",OFFSET(Planning!$D$25,COLUMN(C26),0,1,1),0)</f>
        <v>0</v>
      </c>
      <c r="M29" s="68">
        <f ca="1">IF(OFFSET(Planning!$E$25,COLUMN(D26),ROW(D26),1,1)&lt;&gt;"",OFFSET(Planning!$D$25,COLUMN(D26),0,1,1),0)</f>
        <v>0</v>
      </c>
      <c r="N29" s="68">
        <f ca="1">IF(OFFSET(Planning!$E$25,COLUMN(E26),ROW(E26),1,1)&lt;&gt;"",OFFSET(Planning!$D$25,COLUMN(E26),0,1,1),0)</f>
        <v>0</v>
      </c>
      <c r="O29" s="68">
        <f ca="1">IF(OFFSET(Planning!$E$25,COLUMN(F26),ROW(F26),1,1)&lt;&gt;"",OFFSET(Planning!$D$25,COLUMN(F26),0,1,1),0)</f>
        <v>0</v>
      </c>
      <c r="P29" s="68">
        <f ca="1">IF(OFFSET(Planning!$E$25,COLUMN(G26),ROW(G26),1,1)&lt;&gt;"",OFFSET(Planning!$D$25,COLUMN(G26),0,1,1),0)</f>
        <v>0</v>
      </c>
      <c r="Q29" s="68">
        <f ca="1">IF(OFFSET(Planning!$E$25,COLUMN(H26),ROW(H26),1,1)&lt;&gt;"",OFFSET(Planning!$D$25,COLUMN(H26),0,1,1),0)</f>
        <v>0</v>
      </c>
      <c r="R29" s="68">
        <f ca="1">IF(OFFSET(Planning!$E$25,COLUMN(I26),ROW(I26),1,1)&lt;&gt;"",OFFSET(Planning!$D$25,COLUMN(I26),0,1,1),0)</f>
        <v>0</v>
      </c>
      <c r="S29" s="68">
        <f ca="1">IF(OFFSET(Planning!$E$25,COLUMN(J26),ROW(J26),1,1)&lt;&gt;"",OFFSET(Planning!$D$25,COLUMN(J26),0,1,1),0)</f>
        <v>0</v>
      </c>
      <c r="T29" s="68">
        <f ca="1">IF(OFFSET(Planning!$E$25,COLUMN(K26),ROW(K26),1,1)&lt;&gt;"",OFFSET(Planning!$D$25,COLUMN(K26),0,1,1),0)</f>
        <v>0</v>
      </c>
      <c r="U29" s="68">
        <f ca="1">IF(OFFSET(Planning!$E$25,COLUMN(L26),ROW(L26),1,1)&lt;&gt;"",OFFSET(Planning!$D$25,COLUMN(L26),0,1,1),0)</f>
        <v>0</v>
      </c>
      <c r="V29" s="68">
        <f ca="1">IF(OFFSET(Planning!$E$25,COLUMN(M26),ROW(M26),1,1)&lt;&gt;"",OFFSET(Planning!$D$25,COLUMN(M26),0,1,1),0)</f>
        <v>0</v>
      </c>
      <c r="W29" s="68">
        <f ca="1">IF(OFFSET(Planning!$E$25,COLUMN(N26),ROW(N26),1,1)&lt;&gt;"",OFFSET(Planning!$D$25,COLUMN(N26),0,1,1),0)</f>
        <v>0</v>
      </c>
      <c r="X29" s="68">
        <f ca="1">IF(OFFSET(Planning!$E$25,COLUMN(O26),ROW(O26),1,1)&lt;&gt;"",OFFSET(Planning!$D$25,COLUMN(O26),0,1,1),0)</f>
        <v>0</v>
      </c>
      <c r="Y29" s="68">
        <f ca="1">IF(OFFSET(Planning!$E$25,COLUMN(P26),ROW(P26),1,1)&lt;&gt;"",OFFSET(Planning!$D$25,COLUMN(P26),0,1,1),0)</f>
        <v>0</v>
      </c>
      <c r="Z29" s="68">
        <f ca="1">IF(OFFSET(Planning!$E$25,COLUMN(Q26),ROW(Q26),1,1)&lt;&gt;"",OFFSET(Planning!$D$25,COLUMN(Q26),0,1,1),0)</f>
        <v>0</v>
      </c>
      <c r="AA29" s="68">
        <f ca="1">IF(OFFSET(Planning!$E$25,COLUMN(R26),ROW(R26),1,1)&lt;&gt;"",OFFSET(Planning!$D$25,COLUMN(R26),0,1,1),0)</f>
        <v>0</v>
      </c>
      <c r="AB29" s="68">
        <f ca="1">IF(OFFSET(Planning!$E$25,COLUMN(S26),ROW(S26),1,1)&lt;&gt;"",OFFSET(Planning!$D$25,COLUMN(S26),0,1,1),0)</f>
        <v>0</v>
      </c>
      <c r="AC29" s="68">
        <f ca="1">IF(OFFSET(Planning!$E$25,COLUMN(T26),ROW(T26),1,1)&lt;&gt;"",OFFSET(Planning!$D$25,COLUMN(T26),0,1,1),0)</f>
        <v>0</v>
      </c>
      <c r="AD29" s="68">
        <f ca="1">VLOOKUP($B29,'Summary Calculations (hide)'!$D$15:$U$67,17,0)</f>
        <v>14.254500348202729</v>
      </c>
      <c r="AE29" s="68">
        <f ca="1">VLOOKUP($B29,'Summary Calculations (hide)'!$D$15:$U$67,18,0)</f>
        <v>2.9077629903405398</v>
      </c>
    </row>
    <row r="30" spans="1:31" x14ac:dyDescent="0.2">
      <c r="A30" s="88">
        <f t="shared" ca="1" si="3"/>
        <v>43768</v>
      </c>
      <c r="B30" s="68">
        <f t="shared" ca="1" si="0"/>
        <v>44</v>
      </c>
      <c r="C30" s="5">
        <f ca="1">IF(Planning!$C$8="No",VLOOKUP(B30,'Summary Calculations (hide)'!$D$15:$U$67,17,0),VLOOKUP(B30,'Summary Calculations (hide)'!$D$15:$F$67,2,0)*IF(Planning!$C$11="",1,1+Planning!$C$11)*'Summary Calculations (hide)'!$L$4/IF(Summary!$C$8="Patients",'Summary Calculations (hide)'!$I$9,1))</f>
        <v>14.254500348202729</v>
      </c>
      <c r="D30" s="5">
        <f ca="1">IF(Planning!$C$8="No",VLOOKUP('Planning (hide)'!B30,'Summary Calculations (hide)'!$D$15:$U$67,18,0),VLOOKUP(B30,'Summary Calculations (hide)'!$D$15:$F$67,3,0)*IF(Planning!$C$11="",1,1+Planning!$C$11)*'Summary Calculations (hide)'!$L$4/IF(Summary!$C$8="Patients",'Summary Calculations (hide)'!$I$9,1))-IF(Planning!$C$8="No",0,C30)</f>
        <v>2.9077629903405398</v>
      </c>
      <c r="E30" s="5">
        <f ca="1">VLOOKUP($B30,'Summary Calculations (hide)'!$D$15:$U$66,15,0)</f>
        <v>10.392307692307693</v>
      </c>
      <c r="F30" s="5">
        <f ca="1">VLOOKUP($B30,'Summary Calculations (hide)'!$D$15:$U$66,16,0)</f>
        <v>3.6923076923076925</v>
      </c>
      <c r="G30" s="5">
        <f t="shared" ca="1" si="1"/>
        <v>14.084615384615386</v>
      </c>
      <c r="H30" s="5">
        <f t="shared" ca="1" si="2"/>
        <v>14.084615384615386</v>
      </c>
      <c r="I30" s="68">
        <f ca="1">IF(OFFSET(Planning!$E$25,0,ROW(A27),1,1)&lt;&gt;"",-'Planning (hide)'!$G30,0)</f>
        <v>0</v>
      </c>
      <c r="J30" s="68">
        <f ca="1">IF(OFFSET(Planning!$E$25,COLUMN(A27),ROW(A27),1,1)&lt;&gt;"",OFFSET(Planning!$D$25,COLUMN(A27),0,1,1),0)</f>
        <v>0</v>
      </c>
      <c r="K30" s="68">
        <f ca="1">IF(OFFSET(Planning!$E$25,COLUMN(B27),ROW(B27),1,1)&lt;&gt;"",OFFSET(Planning!$D$25,COLUMN(B27),0,1,1),0)</f>
        <v>0</v>
      </c>
      <c r="L30" s="68">
        <f ca="1">IF(OFFSET(Planning!$E$25,COLUMN(C27),ROW(C27),1,1)&lt;&gt;"",OFFSET(Planning!$D$25,COLUMN(C27),0,1,1),0)</f>
        <v>0</v>
      </c>
      <c r="M30" s="68">
        <f ca="1">IF(OFFSET(Planning!$E$25,COLUMN(D27),ROW(D27),1,1)&lt;&gt;"",OFFSET(Planning!$D$25,COLUMN(D27),0,1,1),0)</f>
        <v>0</v>
      </c>
      <c r="N30" s="68">
        <f ca="1">IF(OFFSET(Planning!$E$25,COLUMN(E27),ROW(E27),1,1)&lt;&gt;"",OFFSET(Planning!$D$25,COLUMN(E27),0,1,1),0)</f>
        <v>0</v>
      </c>
      <c r="O30" s="68">
        <f ca="1">IF(OFFSET(Planning!$E$25,COLUMN(F27),ROW(F27),1,1)&lt;&gt;"",OFFSET(Planning!$D$25,COLUMN(F27),0,1,1),0)</f>
        <v>0</v>
      </c>
      <c r="P30" s="68">
        <f ca="1">IF(OFFSET(Planning!$E$25,COLUMN(G27),ROW(G27),1,1)&lt;&gt;"",OFFSET(Planning!$D$25,COLUMN(G27),0,1,1),0)</f>
        <v>0</v>
      </c>
      <c r="Q30" s="68">
        <f ca="1">IF(OFFSET(Planning!$E$25,COLUMN(H27),ROW(H27),1,1)&lt;&gt;"",OFFSET(Planning!$D$25,COLUMN(H27),0,1,1),0)</f>
        <v>0</v>
      </c>
      <c r="R30" s="68">
        <f ca="1">IF(OFFSET(Planning!$E$25,COLUMN(I27),ROW(I27),1,1)&lt;&gt;"",OFFSET(Planning!$D$25,COLUMN(I27),0,1,1),0)</f>
        <v>0</v>
      </c>
      <c r="S30" s="68">
        <f ca="1">IF(OFFSET(Planning!$E$25,COLUMN(J27),ROW(J27),1,1)&lt;&gt;"",OFFSET(Planning!$D$25,COLUMN(J27),0,1,1),0)</f>
        <v>0</v>
      </c>
      <c r="T30" s="68">
        <f ca="1">IF(OFFSET(Planning!$E$25,COLUMN(K27),ROW(K27),1,1)&lt;&gt;"",OFFSET(Planning!$D$25,COLUMN(K27),0,1,1),0)</f>
        <v>0</v>
      </c>
      <c r="U30" s="68">
        <f ca="1">IF(OFFSET(Planning!$E$25,COLUMN(L27),ROW(L27),1,1)&lt;&gt;"",OFFSET(Planning!$D$25,COLUMN(L27),0,1,1),0)</f>
        <v>0</v>
      </c>
      <c r="V30" s="68">
        <f ca="1">IF(OFFSET(Planning!$E$25,COLUMN(M27),ROW(M27),1,1)&lt;&gt;"",OFFSET(Planning!$D$25,COLUMN(M27),0,1,1),0)</f>
        <v>0</v>
      </c>
      <c r="W30" s="68">
        <f ca="1">IF(OFFSET(Planning!$E$25,COLUMN(N27),ROW(N27),1,1)&lt;&gt;"",OFFSET(Planning!$D$25,COLUMN(N27),0,1,1),0)</f>
        <v>0</v>
      </c>
      <c r="X30" s="68">
        <f ca="1">IF(OFFSET(Planning!$E$25,COLUMN(O27),ROW(O27),1,1)&lt;&gt;"",OFFSET(Planning!$D$25,COLUMN(O27),0,1,1),0)</f>
        <v>0</v>
      </c>
      <c r="Y30" s="68">
        <f ca="1">IF(OFFSET(Planning!$E$25,COLUMN(P27),ROW(P27),1,1)&lt;&gt;"",OFFSET(Planning!$D$25,COLUMN(P27),0,1,1),0)</f>
        <v>0</v>
      </c>
      <c r="Z30" s="68">
        <f ca="1">IF(OFFSET(Planning!$E$25,COLUMN(Q27),ROW(Q27),1,1)&lt;&gt;"",OFFSET(Planning!$D$25,COLUMN(Q27),0,1,1),0)</f>
        <v>0</v>
      </c>
      <c r="AA30" s="68">
        <f ca="1">IF(OFFSET(Planning!$E$25,COLUMN(R27),ROW(R27),1,1)&lt;&gt;"",OFFSET(Planning!$D$25,COLUMN(R27),0,1,1),0)</f>
        <v>0</v>
      </c>
      <c r="AB30" s="68">
        <f ca="1">IF(OFFSET(Planning!$E$25,COLUMN(S27),ROW(S27),1,1)&lt;&gt;"",OFFSET(Planning!$D$25,COLUMN(S27),0,1,1),0)</f>
        <v>0</v>
      </c>
      <c r="AC30" s="68">
        <f ca="1">IF(OFFSET(Planning!$E$25,COLUMN(T27),ROW(T27),1,1)&lt;&gt;"",OFFSET(Planning!$D$25,COLUMN(T27),0,1,1),0)</f>
        <v>0</v>
      </c>
      <c r="AD30" s="68">
        <f ca="1">VLOOKUP($B30,'Summary Calculations (hide)'!$D$15:$U$67,17,0)</f>
        <v>14.254500348202729</v>
      </c>
      <c r="AE30" s="68">
        <f ca="1">VLOOKUP($B30,'Summary Calculations (hide)'!$D$15:$U$67,18,0)</f>
        <v>2.9077629903405398</v>
      </c>
    </row>
    <row r="31" spans="1:31" x14ac:dyDescent="0.2">
      <c r="A31" s="88">
        <f t="shared" ca="1" si="3"/>
        <v>43775</v>
      </c>
      <c r="B31" s="68">
        <f t="shared" ca="1" si="0"/>
        <v>45</v>
      </c>
      <c r="C31" s="5">
        <f ca="1">IF(Planning!$C$8="No",VLOOKUP(B31,'Summary Calculations (hide)'!$D$15:$U$67,17,0),VLOOKUP(B31,'Summary Calculations (hide)'!$D$15:$F$67,2,0)*IF(Planning!$C$11="",1,1+Planning!$C$11)*'Summary Calculations (hide)'!$L$4/IF(Summary!$C$8="Patients",'Summary Calculations (hide)'!$I$9,1))</f>
        <v>14.254500348202729</v>
      </c>
      <c r="D31" s="5">
        <f ca="1">IF(Planning!$C$8="No",VLOOKUP('Planning (hide)'!B31,'Summary Calculations (hide)'!$D$15:$U$67,18,0),VLOOKUP(B31,'Summary Calculations (hide)'!$D$15:$F$67,3,0)*IF(Planning!$C$11="",1,1+Planning!$C$11)*'Summary Calculations (hide)'!$L$4/IF(Summary!$C$8="Patients",'Summary Calculations (hide)'!$I$9,1))-IF(Planning!$C$8="No",0,C31)</f>
        <v>2.9077629903405398</v>
      </c>
      <c r="E31" s="5">
        <f ca="1">VLOOKUP($B31,'Summary Calculations (hide)'!$D$15:$U$66,15,0)</f>
        <v>10.392307692307693</v>
      </c>
      <c r="F31" s="5">
        <f ca="1">VLOOKUP($B31,'Summary Calculations (hide)'!$D$15:$U$66,16,0)</f>
        <v>7.6923076923076925</v>
      </c>
      <c r="G31" s="5">
        <f t="shared" ca="1" si="1"/>
        <v>18.084615384615386</v>
      </c>
      <c r="H31" s="5">
        <f t="shared" ca="1" si="2"/>
        <v>18.084615384615386</v>
      </c>
      <c r="I31" s="68">
        <f ca="1">IF(OFFSET(Planning!$E$25,0,ROW(A28),1,1)&lt;&gt;"",-'Planning (hide)'!$G31,0)</f>
        <v>0</v>
      </c>
      <c r="J31" s="68">
        <f ca="1">IF(OFFSET(Planning!$E$25,COLUMN(A28),ROW(A28),1,1)&lt;&gt;"",OFFSET(Planning!$D$25,COLUMN(A28),0,1,1),0)</f>
        <v>0</v>
      </c>
      <c r="K31" s="68">
        <f ca="1">IF(OFFSET(Planning!$E$25,COLUMN(B28),ROW(B28),1,1)&lt;&gt;"",OFFSET(Planning!$D$25,COLUMN(B28),0,1,1),0)</f>
        <v>0</v>
      </c>
      <c r="L31" s="68">
        <f ca="1">IF(OFFSET(Planning!$E$25,COLUMN(C28),ROW(C28),1,1)&lt;&gt;"",OFFSET(Planning!$D$25,COLUMN(C28),0,1,1),0)</f>
        <v>0</v>
      </c>
      <c r="M31" s="68">
        <f ca="1">IF(OFFSET(Planning!$E$25,COLUMN(D28),ROW(D28),1,1)&lt;&gt;"",OFFSET(Planning!$D$25,COLUMN(D28),0,1,1),0)</f>
        <v>0</v>
      </c>
      <c r="N31" s="68">
        <f ca="1">IF(OFFSET(Planning!$E$25,COLUMN(E28),ROW(E28),1,1)&lt;&gt;"",OFFSET(Planning!$D$25,COLUMN(E28),0,1,1),0)</f>
        <v>0</v>
      </c>
      <c r="O31" s="68">
        <f ca="1">IF(OFFSET(Planning!$E$25,COLUMN(F28),ROW(F28),1,1)&lt;&gt;"",OFFSET(Planning!$D$25,COLUMN(F28),0,1,1),0)</f>
        <v>0</v>
      </c>
      <c r="P31" s="68">
        <f ca="1">IF(OFFSET(Planning!$E$25,COLUMN(G28),ROW(G28),1,1)&lt;&gt;"",OFFSET(Planning!$D$25,COLUMN(G28),0,1,1),0)</f>
        <v>0</v>
      </c>
      <c r="Q31" s="68">
        <f ca="1">IF(OFFSET(Planning!$E$25,COLUMN(H28),ROW(H28),1,1)&lt;&gt;"",OFFSET(Planning!$D$25,COLUMN(H28),0,1,1),0)</f>
        <v>0</v>
      </c>
      <c r="R31" s="68">
        <f ca="1">IF(OFFSET(Planning!$E$25,COLUMN(I28),ROW(I28),1,1)&lt;&gt;"",OFFSET(Planning!$D$25,COLUMN(I28),0,1,1),0)</f>
        <v>0</v>
      </c>
      <c r="S31" s="68">
        <f ca="1">IF(OFFSET(Planning!$E$25,COLUMN(J28),ROW(J28),1,1)&lt;&gt;"",OFFSET(Planning!$D$25,COLUMN(J28),0,1,1),0)</f>
        <v>0</v>
      </c>
      <c r="T31" s="68">
        <f ca="1">IF(OFFSET(Planning!$E$25,COLUMN(K28),ROW(K28),1,1)&lt;&gt;"",OFFSET(Planning!$D$25,COLUMN(K28),0,1,1),0)</f>
        <v>0</v>
      </c>
      <c r="U31" s="68">
        <f ca="1">IF(OFFSET(Planning!$E$25,COLUMN(L28),ROW(L28),1,1)&lt;&gt;"",OFFSET(Planning!$D$25,COLUMN(L28),0,1,1),0)</f>
        <v>0</v>
      </c>
      <c r="V31" s="68">
        <f ca="1">IF(OFFSET(Planning!$E$25,COLUMN(M28),ROW(M28),1,1)&lt;&gt;"",OFFSET(Planning!$D$25,COLUMN(M28),0,1,1),0)</f>
        <v>0</v>
      </c>
      <c r="W31" s="68">
        <f ca="1">IF(OFFSET(Planning!$E$25,COLUMN(N28),ROW(N28),1,1)&lt;&gt;"",OFFSET(Planning!$D$25,COLUMN(N28),0,1,1),0)</f>
        <v>0</v>
      </c>
      <c r="X31" s="68">
        <f ca="1">IF(OFFSET(Planning!$E$25,COLUMN(O28),ROW(O28),1,1)&lt;&gt;"",OFFSET(Planning!$D$25,COLUMN(O28),0,1,1),0)</f>
        <v>0</v>
      </c>
      <c r="Y31" s="68">
        <f ca="1">IF(OFFSET(Planning!$E$25,COLUMN(P28),ROW(P28),1,1)&lt;&gt;"",OFFSET(Planning!$D$25,COLUMN(P28),0,1,1),0)</f>
        <v>0</v>
      </c>
      <c r="Z31" s="68">
        <f ca="1">IF(OFFSET(Planning!$E$25,COLUMN(Q28),ROW(Q28),1,1)&lt;&gt;"",OFFSET(Planning!$D$25,COLUMN(Q28),0,1,1),0)</f>
        <v>0</v>
      </c>
      <c r="AA31" s="68">
        <f ca="1">IF(OFFSET(Planning!$E$25,COLUMN(R28),ROW(R28),1,1)&lt;&gt;"",OFFSET(Planning!$D$25,COLUMN(R28),0,1,1),0)</f>
        <v>0</v>
      </c>
      <c r="AB31" s="68">
        <f ca="1">IF(OFFSET(Planning!$E$25,COLUMN(S28),ROW(S28),1,1)&lt;&gt;"",OFFSET(Planning!$D$25,COLUMN(S28),0,1,1),0)</f>
        <v>0</v>
      </c>
      <c r="AC31" s="68">
        <f ca="1">IF(OFFSET(Planning!$E$25,COLUMN(T28),ROW(T28),1,1)&lt;&gt;"",OFFSET(Planning!$D$25,COLUMN(T28),0,1,1),0)</f>
        <v>0</v>
      </c>
      <c r="AD31" s="68">
        <f ca="1">VLOOKUP($B31,'Summary Calculations (hide)'!$D$15:$U$67,17,0)</f>
        <v>14.254500348202729</v>
      </c>
      <c r="AE31" s="68">
        <f ca="1">VLOOKUP($B31,'Summary Calculations (hide)'!$D$15:$U$67,18,0)</f>
        <v>2.9077629903405398</v>
      </c>
    </row>
    <row r="32" spans="1:31" x14ac:dyDescent="0.2">
      <c r="A32" s="88">
        <f t="shared" ca="1" si="3"/>
        <v>43782</v>
      </c>
      <c r="B32" s="68">
        <f t="shared" ca="1" si="0"/>
        <v>46</v>
      </c>
      <c r="C32" s="5">
        <f ca="1">IF(Planning!$C$8="No",VLOOKUP(B32,'Summary Calculations (hide)'!$D$15:$U$67,17,0),VLOOKUP(B32,'Summary Calculations (hide)'!$D$15:$F$67,2,0)*IF(Planning!$C$11="",1,1+Planning!$C$11)*'Summary Calculations (hide)'!$L$4/IF(Summary!$C$8="Patients",'Summary Calculations (hide)'!$I$9,1))</f>
        <v>14.254500348202729</v>
      </c>
      <c r="D32" s="5">
        <f ca="1">IF(Planning!$C$8="No",VLOOKUP('Planning (hide)'!B32,'Summary Calculations (hide)'!$D$15:$U$67,18,0),VLOOKUP(B32,'Summary Calculations (hide)'!$D$15:$F$67,3,0)*IF(Planning!$C$11="",1,1+Planning!$C$11)*'Summary Calculations (hide)'!$L$4/IF(Summary!$C$8="Patients",'Summary Calculations (hide)'!$I$9,1))-IF(Planning!$C$8="No",0,C32)</f>
        <v>2.9077629903405398</v>
      </c>
      <c r="E32" s="5">
        <f ca="1">VLOOKUP($B32,'Summary Calculations (hide)'!$D$15:$U$66,15,0)</f>
        <v>10.392307692307693</v>
      </c>
      <c r="F32" s="5">
        <f ca="1">VLOOKUP($B32,'Summary Calculations (hide)'!$D$15:$U$66,16,0)</f>
        <v>7.6923076923076925</v>
      </c>
      <c r="G32" s="5">
        <f t="shared" ca="1" si="1"/>
        <v>18.084615384615386</v>
      </c>
      <c r="H32" s="5">
        <f t="shared" ca="1" si="2"/>
        <v>18.084615384615386</v>
      </c>
      <c r="I32" s="68">
        <f ca="1">IF(OFFSET(Planning!$E$25,0,ROW(A29),1,1)&lt;&gt;"",-'Planning (hide)'!$G32,0)</f>
        <v>0</v>
      </c>
      <c r="J32" s="68">
        <f ca="1">IF(OFFSET(Planning!$E$25,COLUMN(A29),ROW(A29),1,1)&lt;&gt;"",OFFSET(Planning!$D$25,COLUMN(A29),0,1,1),0)</f>
        <v>0</v>
      </c>
      <c r="K32" s="68">
        <f ca="1">IF(OFFSET(Planning!$E$25,COLUMN(B29),ROW(B29),1,1)&lt;&gt;"",OFFSET(Planning!$D$25,COLUMN(B29),0,1,1),0)</f>
        <v>0</v>
      </c>
      <c r="L32" s="68">
        <f ca="1">IF(OFFSET(Planning!$E$25,COLUMN(C29),ROW(C29),1,1)&lt;&gt;"",OFFSET(Planning!$D$25,COLUMN(C29),0,1,1),0)</f>
        <v>0</v>
      </c>
      <c r="M32" s="68">
        <f ca="1">IF(OFFSET(Planning!$E$25,COLUMN(D29),ROW(D29),1,1)&lt;&gt;"",OFFSET(Planning!$D$25,COLUMN(D29),0,1,1),0)</f>
        <v>0</v>
      </c>
      <c r="N32" s="68">
        <f ca="1">IF(OFFSET(Planning!$E$25,COLUMN(E29),ROW(E29),1,1)&lt;&gt;"",OFFSET(Planning!$D$25,COLUMN(E29),0,1,1),0)</f>
        <v>0</v>
      </c>
      <c r="O32" s="68">
        <f ca="1">IF(OFFSET(Planning!$E$25,COLUMN(F29),ROW(F29),1,1)&lt;&gt;"",OFFSET(Planning!$D$25,COLUMN(F29),0,1,1),0)</f>
        <v>0</v>
      </c>
      <c r="P32" s="68">
        <f ca="1">IF(OFFSET(Planning!$E$25,COLUMN(G29),ROW(G29),1,1)&lt;&gt;"",OFFSET(Planning!$D$25,COLUMN(G29),0,1,1),0)</f>
        <v>0</v>
      </c>
      <c r="Q32" s="68">
        <f ca="1">IF(OFFSET(Planning!$E$25,COLUMN(H29),ROW(H29),1,1)&lt;&gt;"",OFFSET(Planning!$D$25,COLUMN(H29),0,1,1),0)</f>
        <v>0</v>
      </c>
      <c r="R32" s="68">
        <f ca="1">IF(OFFSET(Planning!$E$25,COLUMN(I29),ROW(I29),1,1)&lt;&gt;"",OFFSET(Planning!$D$25,COLUMN(I29),0,1,1),0)</f>
        <v>0</v>
      </c>
      <c r="S32" s="68">
        <f ca="1">IF(OFFSET(Planning!$E$25,COLUMN(J29),ROW(J29),1,1)&lt;&gt;"",OFFSET(Planning!$D$25,COLUMN(J29),0,1,1),0)</f>
        <v>0</v>
      </c>
      <c r="T32" s="68">
        <f ca="1">IF(OFFSET(Planning!$E$25,COLUMN(K29),ROW(K29),1,1)&lt;&gt;"",OFFSET(Planning!$D$25,COLUMN(K29),0,1,1),0)</f>
        <v>0</v>
      </c>
      <c r="U32" s="68">
        <f ca="1">IF(OFFSET(Planning!$E$25,COLUMN(L29),ROW(L29),1,1)&lt;&gt;"",OFFSET(Planning!$D$25,COLUMN(L29),0,1,1),0)</f>
        <v>0</v>
      </c>
      <c r="V32" s="68">
        <f ca="1">IF(OFFSET(Planning!$E$25,COLUMN(M29),ROW(M29),1,1)&lt;&gt;"",OFFSET(Planning!$D$25,COLUMN(M29),0,1,1),0)</f>
        <v>0</v>
      </c>
      <c r="W32" s="68">
        <f ca="1">IF(OFFSET(Planning!$E$25,COLUMN(N29),ROW(N29),1,1)&lt;&gt;"",OFFSET(Planning!$D$25,COLUMN(N29),0,1,1),0)</f>
        <v>0</v>
      </c>
      <c r="X32" s="68">
        <f ca="1">IF(OFFSET(Planning!$E$25,COLUMN(O29),ROW(O29),1,1)&lt;&gt;"",OFFSET(Planning!$D$25,COLUMN(O29),0,1,1),0)</f>
        <v>0</v>
      </c>
      <c r="Y32" s="68">
        <f ca="1">IF(OFFSET(Planning!$E$25,COLUMN(P29),ROW(P29),1,1)&lt;&gt;"",OFFSET(Planning!$D$25,COLUMN(P29),0,1,1),0)</f>
        <v>0</v>
      </c>
      <c r="Z32" s="68">
        <f ca="1">IF(OFFSET(Planning!$E$25,COLUMN(Q29),ROW(Q29),1,1)&lt;&gt;"",OFFSET(Planning!$D$25,COLUMN(Q29),0,1,1),0)</f>
        <v>0</v>
      </c>
      <c r="AA32" s="68">
        <f ca="1">IF(OFFSET(Planning!$E$25,COLUMN(R29),ROW(R29),1,1)&lt;&gt;"",OFFSET(Planning!$D$25,COLUMN(R29),0,1,1),0)</f>
        <v>0</v>
      </c>
      <c r="AB32" s="68">
        <f ca="1">IF(OFFSET(Planning!$E$25,COLUMN(S29),ROW(S29),1,1)&lt;&gt;"",OFFSET(Planning!$D$25,COLUMN(S29),0,1,1),0)</f>
        <v>0</v>
      </c>
      <c r="AC32" s="68">
        <f ca="1">IF(OFFSET(Planning!$E$25,COLUMN(T29),ROW(T29),1,1)&lt;&gt;"",OFFSET(Planning!$D$25,COLUMN(T29),0,1,1),0)</f>
        <v>0</v>
      </c>
      <c r="AD32" s="68">
        <f ca="1">VLOOKUP($B32,'Summary Calculations (hide)'!$D$15:$U$67,17,0)</f>
        <v>14.254500348202729</v>
      </c>
      <c r="AE32" s="68">
        <f ca="1">VLOOKUP($B32,'Summary Calculations (hide)'!$D$15:$U$67,18,0)</f>
        <v>2.9077629903405398</v>
      </c>
    </row>
    <row r="33" spans="1:31" x14ac:dyDescent="0.2">
      <c r="A33" s="88">
        <f t="shared" ca="1" si="3"/>
        <v>43789</v>
      </c>
      <c r="B33" s="68">
        <f t="shared" ca="1" si="0"/>
        <v>47</v>
      </c>
      <c r="C33" s="5">
        <f ca="1">IF(Planning!$C$8="No",VLOOKUP(B33,'Summary Calculations (hide)'!$D$15:$U$67,17,0),VLOOKUP(B33,'Summary Calculations (hide)'!$D$15:$F$67,2,0)*IF(Planning!$C$11="",1,1+Planning!$C$11)*'Summary Calculations (hide)'!$L$4/IF(Summary!$C$8="Patients",'Summary Calculations (hide)'!$I$9,1))</f>
        <v>14.254500348202729</v>
      </c>
      <c r="D33" s="5">
        <f ca="1">IF(Planning!$C$8="No",VLOOKUP('Planning (hide)'!B33,'Summary Calculations (hide)'!$D$15:$U$67,18,0),VLOOKUP(B33,'Summary Calculations (hide)'!$D$15:$F$67,3,0)*IF(Planning!$C$11="",1,1+Planning!$C$11)*'Summary Calculations (hide)'!$L$4/IF(Summary!$C$8="Patients",'Summary Calculations (hide)'!$I$9,1))-IF(Planning!$C$8="No",0,C33)</f>
        <v>2.9077629903405398</v>
      </c>
      <c r="E33" s="5">
        <f ca="1">VLOOKUP($B33,'Summary Calculations (hide)'!$D$15:$U$66,15,0)</f>
        <v>10.392307692307693</v>
      </c>
      <c r="F33" s="5">
        <f ca="1">VLOOKUP($B33,'Summary Calculations (hide)'!$D$15:$U$66,16,0)</f>
        <v>3.6923076923076925</v>
      </c>
      <c r="G33" s="5">
        <f t="shared" ca="1" si="1"/>
        <v>14.084615384615386</v>
      </c>
      <c r="H33" s="5">
        <f t="shared" ca="1" si="2"/>
        <v>14.084615384615386</v>
      </c>
      <c r="I33" s="68">
        <f ca="1">IF(OFFSET(Planning!$E$25,0,ROW(A30),1,1)&lt;&gt;"",-'Planning (hide)'!$G33,0)</f>
        <v>0</v>
      </c>
      <c r="J33" s="68">
        <f ca="1">IF(OFFSET(Planning!$E$25,COLUMN(A30),ROW(A30),1,1)&lt;&gt;"",OFFSET(Planning!$D$25,COLUMN(A30),0,1,1),0)</f>
        <v>0</v>
      </c>
      <c r="K33" s="68">
        <f ca="1">IF(OFFSET(Planning!$E$25,COLUMN(B30),ROW(B30),1,1)&lt;&gt;"",OFFSET(Planning!$D$25,COLUMN(B30),0,1,1),0)</f>
        <v>0</v>
      </c>
      <c r="L33" s="68">
        <f ca="1">IF(OFFSET(Planning!$E$25,COLUMN(C30),ROW(C30),1,1)&lt;&gt;"",OFFSET(Planning!$D$25,COLUMN(C30),0,1,1),0)</f>
        <v>0</v>
      </c>
      <c r="M33" s="68">
        <f ca="1">IF(OFFSET(Planning!$E$25,COLUMN(D30),ROW(D30),1,1)&lt;&gt;"",OFFSET(Planning!$D$25,COLUMN(D30),0,1,1),0)</f>
        <v>0</v>
      </c>
      <c r="N33" s="68">
        <f ca="1">IF(OFFSET(Planning!$E$25,COLUMN(E30),ROW(E30),1,1)&lt;&gt;"",OFFSET(Planning!$D$25,COLUMN(E30),0,1,1),0)</f>
        <v>0</v>
      </c>
      <c r="O33" s="68">
        <f ca="1">IF(OFFSET(Planning!$E$25,COLUMN(F30),ROW(F30),1,1)&lt;&gt;"",OFFSET(Planning!$D$25,COLUMN(F30),0,1,1),0)</f>
        <v>0</v>
      </c>
      <c r="P33" s="68">
        <f ca="1">IF(OFFSET(Planning!$E$25,COLUMN(G30),ROW(G30),1,1)&lt;&gt;"",OFFSET(Planning!$D$25,COLUMN(G30),0,1,1),0)</f>
        <v>0</v>
      </c>
      <c r="Q33" s="68">
        <f ca="1">IF(OFFSET(Planning!$E$25,COLUMN(H30),ROW(H30),1,1)&lt;&gt;"",OFFSET(Planning!$D$25,COLUMN(H30),0,1,1),0)</f>
        <v>0</v>
      </c>
      <c r="R33" s="68">
        <f ca="1">IF(OFFSET(Planning!$E$25,COLUMN(I30),ROW(I30),1,1)&lt;&gt;"",OFFSET(Planning!$D$25,COLUMN(I30),0,1,1),0)</f>
        <v>0</v>
      </c>
      <c r="S33" s="68">
        <f ca="1">IF(OFFSET(Planning!$E$25,COLUMN(J30),ROW(J30),1,1)&lt;&gt;"",OFFSET(Planning!$D$25,COLUMN(J30),0,1,1),0)</f>
        <v>0</v>
      </c>
      <c r="T33" s="68">
        <f ca="1">IF(OFFSET(Planning!$E$25,COLUMN(K30),ROW(K30),1,1)&lt;&gt;"",OFFSET(Planning!$D$25,COLUMN(K30),0,1,1),0)</f>
        <v>0</v>
      </c>
      <c r="U33" s="68">
        <f ca="1">IF(OFFSET(Planning!$E$25,COLUMN(L30),ROW(L30),1,1)&lt;&gt;"",OFFSET(Planning!$D$25,COLUMN(L30),0,1,1),0)</f>
        <v>0</v>
      </c>
      <c r="V33" s="68">
        <f ca="1">IF(OFFSET(Planning!$E$25,COLUMN(M30),ROW(M30),1,1)&lt;&gt;"",OFFSET(Planning!$D$25,COLUMN(M30),0,1,1),0)</f>
        <v>0</v>
      </c>
      <c r="W33" s="68">
        <f ca="1">IF(OFFSET(Planning!$E$25,COLUMN(N30),ROW(N30),1,1)&lt;&gt;"",OFFSET(Planning!$D$25,COLUMN(N30),0,1,1),0)</f>
        <v>0</v>
      </c>
      <c r="X33" s="68">
        <f ca="1">IF(OFFSET(Planning!$E$25,COLUMN(O30),ROW(O30),1,1)&lt;&gt;"",OFFSET(Planning!$D$25,COLUMN(O30),0,1,1),0)</f>
        <v>0</v>
      </c>
      <c r="Y33" s="68">
        <f ca="1">IF(OFFSET(Planning!$E$25,COLUMN(P30),ROW(P30),1,1)&lt;&gt;"",OFFSET(Planning!$D$25,COLUMN(P30),0,1,1),0)</f>
        <v>0</v>
      </c>
      <c r="Z33" s="68">
        <f ca="1">IF(OFFSET(Planning!$E$25,COLUMN(Q30),ROW(Q30),1,1)&lt;&gt;"",OFFSET(Planning!$D$25,COLUMN(Q30),0,1,1),0)</f>
        <v>0</v>
      </c>
      <c r="AA33" s="68">
        <f ca="1">IF(OFFSET(Planning!$E$25,COLUMN(R30),ROW(R30),1,1)&lt;&gt;"",OFFSET(Planning!$D$25,COLUMN(R30),0,1,1),0)</f>
        <v>0</v>
      </c>
      <c r="AB33" s="68">
        <f ca="1">IF(OFFSET(Planning!$E$25,COLUMN(S30),ROW(S30),1,1)&lt;&gt;"",OFFSET(Planning!$D$25,COLUMN(S30),0,1,1),0)</f>
        <v>0</v>
      </c>
      <c r="AC33" s="68">
        <f ca="1">IF(OFFSET(Planning!$E$25,COLUMN(T30),ROW(T30),1,1)&lt;&gt;"",OFFSET(Planning!$D$25,COLUMN(T30),0,1,1),0)</f>
        <v>0</v>
      </c>
      <c r="AD33" s="68">
        <f ca="1">VLOOKUP($B33,'Summary Calculations (hide)'!$D$15:$U$67,17,0)</f>
        <v>14.254500348202729</v>
      </c>
      <c r="AE33" s="68">
        <f ca="1">VLOOKUP($B33,'Summary Calculations (hide)'!$D$15:$U$67,18,0)</f>
        <v>2.9077629903405398</v>
      </c>
    </row>
    <row r="34" spans="1:31" x14ac:dyDescent="0.2">
      <c r="A34" s="88">
        <f t="shared" ca="1" si="3"/>
        <v>43796</v>
      </c>
      <c r="B34" s="68">
        <f t="shared" ca="1" si="0"/>
        <v>48</v>
      </c>
      <c r="C34" s="5">
        <f ca="1">IF(Planning!$C$8="No",VLOOKUP(B34,'Summary Calculations (hide)'!$D$15:$U$67,17,0),VLOOKUP(B34,'Summary Calculations (hide)'!$D$15:$F$67,2,0)*IF(Planning!$C$11="",1,1+Planning!$C$11)*'Summary Calculations (hide)'!$L$4/IF(Summary!$C$8="Patients",'Summary Calculations (hide)'!$I$9,1))</f>
        <v>14.254500348202729</v>
      </c>
      <c r="D34" s="5">
        <f ca="1">IF(Planning!$C$8="No",VLOOKUP('Planning (hide)'!B34,'Summary Calculations (hide)'!$D$15:$U$67,18,0),VLOOKUP(B34,'Summary Calculations (hide)'!$D$15:$F$67,3,0)*IF(Planning!$C$11="",1,1+Planning!$C$11)*'Summary Calculations (hide)'!$L$4/IF(Summary!$C$8="Patients",'Summary Calculations (hide)'!$I$9,1))-IF(Planning!$C$8="No",0,C34)</f>
        <v>2.9077629903405398</v>
      </c>
      <c r="E34" s="5">
        <f ca="1">VLOOKUP($B34,'Summary Calculations (hide)'!$D$15:$U$66,15,0)</f>
        <v>10.392307692307693</v>
      </c>
      <c r="F34" s="5">
        <f ca="1">VLOOKUP($B34,'Summary Calculations (hide)'!$D$15:$U$66,16,0)</f>
        <v>3.6923076923076925</v>
      </c>
      <c r="G34" s="5">
        <f t="shared" ca="1" si="1"/>
        <v>14.084615384615386</v>
      </c>
      <c r="H34" s="5">
        <f t="shared" ca="1" si="2"/>
        <v>14.084615384615386</v>
      </c>
      <c r="I34" s="68">
        <f ca="1">IF(OFFSET(Planning!$E$25,0,ROW(A31),1,1)&lt;&gt;"",-'Planning (hide)'!$G34,0)</f>
        <v>0</v>
      </c>
      <c r="J34" s="68">
        <f ca="1">IF(OFFSET(Planning!$E$25,COLUMN(A31),ROW(A31),1,1)&lt;&gt;"",OFFSET(Planning!$D$25,COLUMN(A31),0,1,1),0)</f>
        <v>0</v>
      </c>
      <c r="K34" s="68">
        <f ca="1">IF(OFFSET(Planning!$E$25,COLUMN(B31),ROW(B31),1,1)&lt;&gt;"",OFFSET(Planning!$D$25,COLUMN(B31),0,1,1),0)</f>
        <v>0</v>
      </c>
      <c r="L34" s="68">
        <f ca="1">IF(OFFSET(Planning!$E$25,COLUMN(C31),ROW(C31),1,1)&lt;&gt;"",OFFSET(Planning!$D$25,COLUMN(C31),0,1,1),0)</f>
        <v>0</v>
      </c>
      <c r="M34" s="68">
        <f ca="1">IF(OFFSET(Planning!$E$25,COLUMN(D31),ROW(D31),1,1)&lt;&gt;"",OFFSET(Planning!$D$25,COLUMN(D31),0,1,1),0)</f>
        <v>0</v>
      </c>
      <c r="N34" s="68">
        <f ca="1">IF(OFFSET(Planning!$E$25,COLUMN(E31),ROW(E31),1,1)&lt;&gt;"",OFFSET(Planning!$D$25,COLUMN(E31),0,1,1),0)</f>
        <v>0</v>
      </c>
      <c r="O34" s="68">
        <f ca="1">IF(OFFSET(Planning!$E$25,COLUMN(F31),ROW(F31),1,1)&lt;&gt;"",OFFSET(Planning!$D$25,COLUMN(F31),0,1,1),0)</f>
        <v>0</v>
      </c>
      <c r="P34" s="68">
        <f ca="1">IF(OFFSET(Planning!$E$25,COLUMN(G31),ROW(G31),1,1)&lt;&gt;"",OFFSET(Planning!$D$25,COLUMN(G31),0,1,1),0)</f>
        <v>0</v>
      </c>
      <c r="Q34" s="68">
        <f ca="1">IF(OFFSET(Planning!$E$25,COLUMN(H31),ROW(H31),1,1)&lt;&gt;"",OFFSET(Planning!$D$25,COLUMN(H31),0,1,1),0)</f>
        <v>0</v>
      </c>
      <c r="R34" s="68">
        <f ca="1">IF(OFFSET(Planning!$E$25,COLUMN(I31),ROW(I31),1,1)&lt;&gt;"",OFFSET(Planning!$D$25,COLUMN(I31),0,1,1),0)</f>
        <v>0</v>
      </c>
      <c r="S34" s="68">
        <f ca="1">IF(OFFSET(Planning!$E$25,COLUMN(J31),ROW(J31),1,1)&lt;&gt;"",OFFSET(Planning!$D$25,COLUMN(J31),0,1,1),0)</f>
        <v>0</v>
      </c>
      <c r="T34" s="68">
        <f ca="1">IF(OFFSET(Planning!$E$25,COLUMN(K31),ROW(K31),1,1)&lt;&gt;"",OFFSET(Planning!$D$25,COLUMN(K31),0,1,1),0)</f>
        <v>0</v>
      </c>
      <c r="U34" s="68">
        <f ca="1">IF(OFFSET(Planning!$E$25,COLUMN(L31),ROW(L31),1,1)&lt;&gt;"",OFFSET(Planning!$D$25,COLUMN(L31),0,1,1),0)</f>
        <v>0</v>
      </c>
      <c r="V34" s="68">
        <f ca="1">IF(OFFSET(Planning!$E$25,COLUMN(M31),ROW(M31),1,1)&lt;&gt;"",OFFSET(Planning!$D$25,COLUMN(M31),0,1,1),0)</f>
        <v>0</v>
      </c>
      <c r="W34" s="68">
        <f ca="1">IF(OFFSET(Planning!$E$25,COLUMN(N31),ROW(N31),1,1)&lt;&gt;"",OFFSET(Planning!$D$25,COLUMN(N31),0,1,1),0)</f>
        <v>0</v>
      </c>
      <c r="X34" s="68">
        <f ca="1">IF(OFFSET(Planning!$E$25,COLUMN(O31),ROW(O31),1,1)&lt;&gt;"",OFFSET(Planning!$D$25,COLUMN(O31),0,1,1),0)</f>
        <v>0</v>
      </c>
      <c r="Y34" s="68">
        <f ca="1">IF(OFFSET(Planning!$E$25,COLUMN(P31),ROW(P31),1,1)&lt;&gt;"",OFFSET(Planning!$D$25,COLUMN(P31),0,1,1),0)</f>
        <v>0</v>
      </c>
      <c r="Z34" s="68">
        <f ca="1">IF(OFFSET(Planning!$E$25,COLUMN(Q31),ROW(Q31),1,1)&lt;&gt;"",OFFSET(Planning!$D$25,COLUMN(Q31),0,1,1),0)</f>
        <v>0</v>
      </c>
      <c r="AA34" s="68">
        <f ca="1">IF(OFFSET(Planning!$E$25,COLUMN(R31),ROW(R31),1,1)&lt;&gt;"",OFFSET(Planning!$D$25,COLUMN(R31),0,1,1),0)</f>
        <v>0</v>
      </c>
      <c r="AB34" s="68">
        <f ca="1">IF(OFFSET(Planning!$E$25,COLUMN(S31),ROW(S31),1,1)&lt;&gt;"",OFFSET(Planning!$D$25,COLUMN(S31),0,1,1),0)</f>
        <v>0</v>
      </c>
      <c r="AC34" s="68">
        <f ca="1">IF(OFFSET(Planning!$E$25,COLUMN(T31),ROW(T31),1,1)&lt;&gt;"",OFFSET(Planning!$D$25,COLUMN(T31),0,1,1),0)</f>
        <v>0</v>
      </c>
      <c r="AD34" s="68">
        <f ca="1">VLOOKUP($B34,'Summary Calculations (hide)'!$D$15:$U$67,17,0)</f>
        <v>14.254500348202729</v>
      </c>
      <c r="AE34" s="68">
        <f ca="1">VLOOKUP($B34,'Summary Calculations (hide)'!$D$15:$U$67,18,0)</f>
        <v>2.9077629903405398</v>
      </c>
    </row>
    <row r="35" spans="1:31" x14ac:dyDescent="0.2">
      <c r="A35" s="88">
        <f t="shared" ca="1" si="3"/>
        <v>43803</v>
      </c>
      <c r="B35" s="68">
        <f t="shared" ca="1" si="0"/>
        <v>49</v>
      </c>
      <c r="C35" s="5">
        <f ca="1">IF(Planning!$C$8="No",VLOOKUP(B35,'Summary Calculations (hide)'!$D$15:$U$67,17,0),VLOOKUP(B35,'Summary Calculations (hide)'!$D$15:$F$67,2,0)*IF(Planning!$C$11="",1,1+Planning!$C$11)*'Summary Calculations (hide)'!$L$4/IF(Summary!$C$8="Patients",'Summary Calculations (hide)'!$I$9,1))</f>
        <v>14.254500348202729</v>
      </c>
      <c r="D35" s="5">
        <f ca="1">IF(Planning!$C$8="No",VLOOKUP('Planning (hide)'!B35,'Summary Calculations (hide)'!$D$15:$U$67,18,0),VLOOKUP(B35,'Summary Calculations (hide)'!$D$15:$F$67,3,0)*IF(Planning!$C$11="",1,1+Planning!$C$11)*'Summary Calculations (hide)'!$L$4/IF(Summary!$C$8="Patients",'Summary Calculations (hide)'!$I$9,1))-IF(Planning!$C$8="No",0,C35)</f>
        <v>2.9077629903405398</v>
      </c>
      <c r="E35" s="5">
        <f ca="1">VLOOKUP($B35,'Summary Calculations (hide)'!$D$15:$U$66,15,0)</f>
        <v>10.392307692307693</v>
      </c>
      <c r="F35" s="5">
        <f ca="1">VLOOKUP($B35,'Summary Calculations (hide)'!$D$15:$U$66,16,0)</f>
        <v>3.6923076923076925</v>
      </c>
      <c r="G35" s="5">
        <f t="shared" ca="1" si="1"/>
        <v>14.084615384615386</v>
      </c>
      <c r="H35" s="5">
        <f t="shared" ca="1" si="2"/>
        <v>14.084615384615386</v>
      </c>
      <c r="I35" s="68">
        <f ca="1">IF(OFFSET(Planning!$E$25,0,ROW(A32),1,1)&lt;&gt;"",-'Planning (hide)'!$G35,0)</f>
        <v>0</v>
      </c>
      <c r="J35" s="68">
        <f ca="1">IF(OFFSET(Planning!$E$25,COLUMN(A32),ROW(A32),1,1)&lt;&gt;"",OFFSET(Planning!$D$25,COLUMN(A32),0,1,1),0)</f>
        <v>0</v>
      </c>
      <c r="K35" s="68">
        <f ca="1">IF(OFFSET(Planning!$E$25,COLUMN(B32),ROW(B32),1,1)&lt;&gt;"",OFFSET(Planning!$D$25,COLUMN(B32),0,1,1),0)</f>
        <v>0</v>
      </c>
      <c r="L35" s="68">
        <f ca="1">IF(OFFSET(Planning!$E$25,COLUMN(C32),ROW(C32),1,1)&lt;&gt;"",OFFSET(Planning!$D$25,COLUMN(C32),0,1,1),0)</f>
        <v>0</v>
      </c>
      <c r="M35" s="68">
        <f ca="1">IF(OFFSET(Planning!$E$25,COLUMN(D32),ROW(D32),1,1)&lt;&gt;"",OFFSET(Planning!$D$25,COLUMN(D32),0,1,1),0)</f>
        <v>0</v>
      </c>
      <c r="N35" s="68">
        <f ca="1">IF(OFFSET(Planning!$E$25,COLUMN(E32),ROW(E32),1,1)&lt;&gt;"",OFFSET(Planning!$D$25,COLUMN(E32),0,1,1),0)</f>
        <v>0</v>
      </c>
      <c r="O35" s="68">
        <f ca="1">IF(OFFSET(Planning!$E$25,COLUMN(F32),ROW(F32),1,1)&lt;&gt;"",OFFSET(Planning!$D$25,COLUMN(F32),0,1,1),0)</f>
        <v>0</v>
      </c>
      <c r="P35" s="68">
        <f ca="1">IF(OFFSET(Planning!$E$25,COLUMN(G32),ROW(G32),1,1)&lt;&gt;"",OFFSET(Planning!$D$25,COLUMN(G32),0,1,1),0)</f>
        <v>0</v>
      </c>
      <c r="Q35" s="68">
        <f ca="1">IF(OFFSET(Planning!$E$25,COLUMN(H32),ROW(H32),1,1)&lt;&gt;"",OFFSET(Planning!$D$25,COLUMN(H32),0,1,1),0)</f>
        <v>0</v>
      </c>
      <c r="R35" s="68">
        <f ca="1">IF(OFFSET(Planning!$E$25,COLUMN(I32),ROW(I32),1,1)&lt;&gt;"",OFFSET(Planning!$D$25,COLUMN(I32),0,1,1),0)</f>
        <v>0</v>
      </c>
      <c r="S35" s="68">
        <f ca="1">IF(OFFSET(Planning!$E$25,COLUMN(J32),ROW(J32),1,1)&lt;&gt;"",OFFSET(Planning!$D$25,COLUMN(J32),0,1,1),0)</f>
        <v>0</v>
      </c>
      <c r="T35" s="68">
        <f ca="1">IF(OFFSET(Planning!$E$25,COLUMN(K32),ROW(K32),1,1)&lt;&gt;"",OFFSET(Planning!$D$25,COLUMN(K32),0,1,1),0)</f>
        <v>0</v>
      </c>
      <c r="U35" s="68">
        <f ca="1">IF(OFFSET(Planning!$E$25,COLUMN(L32),ROW(L32),1,1)&lt;&gt;"",OFFSET(Planning!$D$25,COLUMN(L32),0,1,1),0)</f>
        <v>0</v>
      </c>
      <c r="V35" s="68">
        <f ca="1">IF(OFFSET(Planning!$E$25,COLUMN(M32),ROW(M32),1,1)&lt;&gt;"",OFFSET(Planning!$D$25,COLUMN(M32),0,1,1),0)</f>
        <v>0</v>
      </c>
      <c r="W35" s="68">
        <f ca="1">IF(OFFSET(Planning!$E$25,COLUMN(N32),ROW(N32),1,1)&lt;&gt;"",OFFSET(Planning!$D$25,COLUMN(N32),0,1,1),0)</f>
        <v>0</v>
      </c>
      <c r="X35" s="68">
        <f ca="1">IF(OFFSET(Planning!$E$25,COLUMN(O32),ROW(O32),1,1)&lt;&gt;"",OFFSET(Planning!$D$25,COLUMN(O32),0,1,1),0)</f>
        <v>0</v>
      </c>
      <c r="Y35" s="68">
        <f ca="1">IF(OFFSET(Planning!$E$25,COLUMN(P32),ROW(P32),1,1)&lt;&gt;"",OFFSET(Planning!$D$25,COLUMN(P32),0,1,1),0)</f>
        <v>0</v>
      </c>
      <c r="Z35" s="68">
        <f ca="1">IF(OFFSET(Planning!$E$25,COLUMN(Q32),ROW(Q32),1,1)&lt;&gt;"",OFFSET(Planning!$D$25,COLUMN(Q32),0,1,1),0)</f>
        <v>0</v>
      </c>
      <c r="AA35" s="68">
        <f ca="1">IF(OFFSET(Planning!$E$25,COLUMN(R32),ROW(R32),1,1)&lt;&gt;"",OFFSET(Planning!$D$25,COLUMN(R32),0,1,1),0)</f>
        <v>0</v>
      </c>
      <c r="AB35" s="68">
        <f ca="1">IF(OFFSET(Planning!$E$25,COLUMN(S32),ROW(S32),1,1)&lt;&gt;"",OFFSET(Planning!$D$25,COLUMN(S32),0,1,1),0)</f>
        <v>0</v>
      </c>
      <c r="AC35" s="68">
        <f ca="1">IF(OFFSET(Planning!$E$25,COLUMN(T32),ROW(T32),1,1)&lt;&gt;"",OFFSET(Planning!$D$25,COLUMN(T32),0,1,1),0)</f>
        <v>0</v>
      </c>
      <c r="AD35" s="68">
        <f ca="1">VLOOKUP($B35,'Summary Calculations (hide)'!$D$15:$U$67,17,0)</f>
        <v>14.254500348202729</v>
      </c>
      <c r="AE35" s="68">
        <f ca="1">VLOOKUP($B35,'Summary Calculations (hide)'!$D$15:$U$67,18,0)</f>
        <v>2.9077629903405398</v>
      </c>
    </row>
    <row r="36" spans="1:31" x14ac:dyDescent="0.2">
      <c r="A36" s="88">
        <f t="shared" ca="1" si="3"/>
        <v>43810</v>
      </c>
      <c r="B36" s="68">
        <f t="shared" ca="1" si="0"/>
        <v>50</v>
      </c>
      <c r="C36" s="5">
        <f ca="1">IF(Planning!$C$8="No",VLOOKUP(B36,'Summary Calculations (hide)'!$D$15:$U$67,17,0),VLOOKUP(B36,'Summary Calculations (hide)'!$D$15:$F$67,2,0)*IF(Planning!$C$11="",1,1+Planning!$C$11)*'Summary Calculations (hide)'!$L$4/IF(Summary!$C$8="Patients",'Summary Calculations (hide)'!$I$9,1))</f>
        <v>14.254500348202729</v>
      </c>
      <c r="D36" s="5">
        <f ca="1">IF(Planning!$C$8="No",VLOOKUP('Planning (hide)'!B36,'Summary Calculations (hide)'!$D$15:$U$67,18,0),VLOOKUP(B36,'Summary Calculations (hide)'!$D$15:$F$67,3,0)*IF(Planning!$C$11="",1,1+Planning!$C$11)*'Summary Calculations (hide)'!$L$4/IF(Summary!$C$8="Patients",'Summary Calculations (hide)'!$I$9,1))-IF(Planning!$C$8="No",0,C36)</f>
        <v>2.9077629903405398</v>
      </c>
      <c r="E36" s="5">
        <f ca="1">VLOOKUP($B36,'Summary Calculations (hide)'!$D$15:$U$66,15,0)</f>
        <v>10.392307692307693</v>
      </c>
      <c r="F36" s="5">
        <f ca="1">VLOOKUP($B36,'Summary Calculations (hide)'!$D$15:$U$66,16,0)</f>
        <v>3.6923076923076925</v>
      </c>
      <c r="G36" s="5">
        <f t="shared" ca="1" si="1"/>
        <v>14.084615384615386</v>
      </c>
      <c r="H36" s="5">
        <f t="shared" ca="1" si="2"/>
        <v>14.084615384615386</v>
      </c>
      <c r="I36" s="68">
        <f ca="1">IF(OFFSET(Planning!$E$25,0,ROW(A33),1,1)&lt;&gt;"",-'Planning (hide)'!$G36,0)</f>
        <v>0</v>
      </c>
      <c r="J36" s="68">
        <f ca="1">IF(OFFSET(Planning!$E$25,COLUMN(A33),ROW(A33),1,1)&lt;&gt;"",OFFSET(Planning!$D$25,COLUMN(A33),0,1,1),0)</f>
        <v>0</v>
      </c>
      <c r="K36" s="68">
        <f ca="1">IF(OFFSET(Planning!$E$25,COLUMN(B33),ROW(B33),1,1)&lt;&gt;"",OFFSET(Planning!$D$25,COLUMN(B33),0,1,1),0)</f>
        <v>0</v>
      </c>
      <c r="L36" s="68">
        <f ca="1">IF(OFFSET(Planning!$E$25,COLUMN(C33),ROW(C33),1,1)&lt;&gt;"",OFFSET(Planning!$D$25,COLUMN(C33),0,1,1),0)</f>
        <v>0</v>
      </c>
      <c r="M36" s="68">
        <f ca="1">IF(OFFSET(Planning!$E$25,COLUMN(D33),ROW(D33),1,1)&lt;&gt;"",OFFSET(Planning!$D$25,COLUMN(D33),0,1,1),0)</f>
        <v>0</v>
      </c>
      <c r="N36" s="68">
        <f ca="1">IF(OFFSET(Planning!$E$25,COLUMN(E33),ROW(E33),1,1)&lt;&gt;"",OFFSET(Planning!$D$25,COLUMN(E33),0,1,1),0)</f>
        <v>0</v>
      </c>
      <c r="O36" s="68">
        <f ca="1">IF(OFFSET(Planning!$E$25,COLUMN(F33),ROW(F33),1,1)&lt;&gt;"",OFFSET(Planning!$D$25,COLUMN(F33),0,1,1),0)</f>
        <v>0</v>
      </c>
      <c r="P36" s="68">
        <f ca="1">IF(OFFSET(Planning!$E$25,COLUMN(G33),ROW(G33),1,1)&lt;&gt;"",OFFSET(Planning!$D$25,COLUMN(G33),0,1,1),0)</f>
        <v>0</v>
      </c>
      <c r="Q36" s="68">
        <f ca="1">IF(OFFSET(Planning!$E$25,COLUMN(H33),ROW(H33),1,1)&lt;&gt;"",OFFSET(Planning!$D$25,COLUMN(H33),0,1,1),0)</f>
        <v>0</v>
      </c>
      <c r="R36" s="68">
        <f ca="1">IF(OFFSET(Planning!$E$25,COLUMN(I33),ROW(I33),1,1)&lt;&gt;"",OFFSET(Planning!$D$25,COLUMN(I33),0,1,1),0)</f>
        <v>0</v>
      </c>
      <c r="S36" s="68">
        <f ca="1">IF(OFFSET(Planning!$E$25,COLUMN(J33),ROW(J33),1,1)&lt;&gt;"",OFFSET(Planning!$D$25,COLUMN(J33),0,1,1),0)</f>
        <v>0</v>
      </c>
      <c r="T36" s="68">
        <f ca="1">IF(OFFSET(Planning!$E$25,COLUMN(K33),ROW(K33),1,1)&lt;&gt;"",OFFSET(Planning!$D$25,COLUMN(K33),0,1,1),0)</f>
        <v>0</v>
      </c>
      <c r="U36" s="68">
        <f ca="1">IF(OFFSET(Planning!$E$25,COLUMN(L33),ROW(L33),1,1)&lt;&gt;"",OFFSET(Planning!$D$25,COLUMN(L33),0,1,1),0)</f>
        <v>0</v>
      </c>
      <c r="V36" s="68">
        <f ca="1">IF(OFFSET(Planning!$E$25,COLUMN(M33),ROW(M33),1,1)&lt;&gt;"",OFFSET(Planning!$D$25,COLUMN(M33),0,1,1),0)</f>
        <v>0</v>
      </c>
      <c r="W36" s="68">
        <f ca="1">IF(OFFSET(Planning!$E$25,COLUMN(N33),ROW(N33),1,1)&lt;&gt;"",OFFSET(Planning!$D$25,COLUMN(N33),0,1,1),0)</f>
        <v>0</v>
      </c>
      <c r="X36" s="68">
        <f ca="1">IF(OFFSET(Planning!$E$25,COLUMN(O33),ROW(O33),1,1)&lt;&gt;"",OFFSET(Planning!$D$25,COLUMN(O33),0,1,1),0)</f>
        <v>0</v>
      </c>
      <c r="Y36" s="68">
        <f ca="1">IF(OFFSET(Planning!$E$25,COLUMN(P33),ROW(P33),1,1)&lt;&gt;"",OFFSET(Planning!$D$25,COLUMN(P33),0,1,1),0)</f>
        <v>0</v>
      </c>
      <c r="Z36" s="68">
        <f ca="1">IF(OFFSET(Planning!$E$25,COLUMN(Q33),ROW(Q33),1,1)&lt;&gt;"",OFFSET(Planning!$D$25,COLUMN(Q33),0,1,1),0)</f>
        <v>0</v>
      </c>
      <c r="AA36" s="68">
        <f ca="1">IF(OFFSET(Planning!$E$25,COLUMN(R33),ROW(R33),1,1)&lt;&gt;"",OFFSET(Planning!$D$25,COLUMN(R33),0,1,1),0)</f>
        <v>0</v>
      </c>
      <c r="AB36" s="68">
        <f ca="1">IF(OFFSET(Planning!$E$25,COLUMN(S33),ROW(S33),1,1)&lt;&gt;"",OFFSET(Planning!$D$25,COLUMN(S33),0,1,1),0)</f>
        <v>0</v>
      </c>
      <c r="AC36" s="68">
        <f ca="1">IF(OFFSET(Planning!$E$25,COLUMN(T33),ROW(T33),1,1)&lt;&gt;"",OFFSET(Planning!$D$25,COLUMN(T33),0,1,1),0)</f>
        <v>0</v>
      </c>
      <c r="AD36" s="68">
        <f ca="1">VLOOKUP($B36,'Summary Calculations (hide)'!$D$15:$U$67,17,0)</f>
        <v>14.254500348202729</v>
      </c>
      <c r="AE36" s="68">
        <f ca="1">VLOOKUP($B36,'Summary Calculations (hide)'!$D$15:$U$67,18,0)</f>
        <v>2.9077629903405398</v>
      </c>
    </row>
    <row r="37" spans="1:31" x14ac:dyDescent="0.2">
      <c r="A37" s="88">
        <f t="shared" ca="1" si="3"/>
        <v>43817</v>
      </c>
      <c r="B37" s="68">
        <f t="shared" ca="1" si="0"/>
        <v>51</v>
      </c>
      <c r="C37" s="5">
        <f ca="1">IF(Planning!$C$8="No",VLOOKUP(B37,'Summary Calculations (hide)'!$D$15:$U$67,17,0),VLOOKUP(B37,'Summary Calculations (hide)'!$D$15:$F$67,2,0)*IF(Planning!$C$11="",1,1+Planning!$C$11)*'Summary Calculations (hide)'!$L$4/IF(Summary!$C$8="Patients",'Summary Calculations (hide)'!$I$9,1))</f>
        <v>14.254500348202729</v>
      </c>
      <c r="D37" s="5">
        <f ca="1">IF(Planning!$C$8="No",VLOOKUP('Planning (hide)'!B37,'Summary Calculations (hide)'!$D$15:$U$67,18,0),VLOOKUP(B37,'Summary Calculations (hide)'!$D$15:$F$67,3,0)*IF(Planning!$C$11="",1,1+Planning!$C$11)*'Summary Calculations (hide)'!$L$4/IF(Summary!$C$8="Patients",'Summary Calculations (hide)'!$I$9,1))-IF(Planning!$C$8="No",0,C37)</f>
        <v>2.9077629903405398</v>
      </c>
      <c r="E37" s="5">
        <f ca="1">VLOOKUP($B37,'Summary Calculations (hide)'!$D$15:$U$66,15,0)</f>
        <v>10.392307692307693</v>
      </c>
      <c r="F37" s="5">
        <f ca="1">VLOOKUP($B37,'Summary Calculations (hide)'!$D$15:$U$66,16,0)</f>
        <v>3.6923076923076925</v>
      </c>
      <c r="G37" s="5">
        <f t="shared" ca="1" si="1"/>
        <v>14.084615384615386</v>
      </c>
      <c r="H37" s="5">
        <f t="shared" ca="1" si="2"/>
        <v>14.084615384615386</v>
      </c>
      <c r="I37" s="68">
        <f ca="1">IF(OFFSET(Planning!$E$25,0,ROW(A34),1,1)&lt;&gt;"",-'Planning (hide)'!$G37,0)</f>
        <v>0</v>
      </c>
      <c r="J37" s="68">
        <f ca="1">IF(OFFSET(Planning!$E$25,COLUMN(A34),ROW(A34),1,1)&lt;&gt;"",OFFSET(Planning!$D$25,COLUMN(A34),0,1,1),0)</f>
        <v>0</v>
      </c>
      <c r="K37" s="68">
        <f ca="1">IF(OFFSET(Planning!$E$25,COLUMN(B34),ROW(B34),1,1)&lt;&gt;"",OFFSET(Planning!$D$25,COLUMN(B34),0,1,1),0)</f>
        <v>0</v>
      </c>
      <c r="L37" s="68">
        <f ca="1">IF(OFFSET(Planning!$E$25,COLUMN(C34),ROW(C34),1,1)&lt;&gt;"",OFFSET(Planning!$D$25,COLUMN(C34),0,1,1),0)</f>
        <v>0</v>
      </c>
      <c r="M37" s="68">
        <f ca="1">IF(OFFSET(Planning!$E$25,COLUMN(D34),ROW(D34),1,1)&lt;&gt;"",OFFSET(Planning!$D$25,COLUMN(D34),0,1,1),0)</f>
        <v>0</v>
      </c>
      <c r="N37" s="68">
        <f ca="1">IF(OFFSET(Planning!$E$25,COLUMN(E34),ROW(E34),1,1)&lt;&gt;"",OFFSET(Planning!$D$25,COLUMN(E34),0,1,1),0)</f>
        <v>0</v>
      </c>
      <c r="O37" s="68">
        <f ca="1">IF(OFFSET(Planning!$E$25,COLUMN(F34),ROW(F34),1,1)&lt;&gt;"",OFFSET(Planning!$D$25,COLUMN(F34),0,1,1),0)</f>
        <v>0</v>
      </c>
      <c r="P37" s="68">
        <f ca="1">IF(OFFSET(Planning!$E$25,COLUMN(G34),ROW(G34),1,1)&lt;&gt;"",OFFSET(Planning!$D$25,COLUMN(G34),0,1,1),0)</f>
        <v>0</v>
      </c>
      <c r="Q37" s="68">
        <f ca="1">IF(OFFSET(Planning!$E$25,COLUMN(H34),ROW(H34),1,1)&lt;&gt;"",OFFSET(Planning!$D$25,COLUMN(H34),0,1,1),0)</f>
        <v>0</v>
      </c>
      <c r="R37" s="68">
        <f ca="1">IF(OFFSET(Planning!$E$25,COLUMN(I34),ROW(I34),1,1)&lt;&gt;"",OFFSET(Planning!$D$25,COLUMN(I34),0,1,1),0)</f>
        <v>0</v>
      </c>
      <c r="S37" s="68">
        <f ca="1">IF(OFFSET(Planning!$E$25,COLUMN(J34),ROW(J34),1,1)&lt;&gt;"",OFFSET(Planning!$D$25,COLUMN(J34),0,1,1),0)</f>
        <v>0</v>
      </c>
      <c r="T37" s="68">
        <f ca="1">IF(OFFSET(Planning!$E$25,COLUMN(K34),ROW(K34),1,1)&lt;&gt;"",OFFSET(Planning!$D$25,COLUMN(K34),0,1,1),0)</f>
        <v>0</v>
      </c>
      <c r="U37" s="68">
        <f ca="1">IF(OFFSET(Planning!$E$25,COLUMN(L34),ROW(L34),1,1)&lt;&gt;"",OFFSET(Planning!$D$25,COLUMN(L34),0,1,1),0)</f>
        <v>0</v>
      </c>
      <c r="V37" s="68">
        <f ca="1">IF(OFFSET(Planning!$E$25,COLUMN(M34),ROW(M34),1,1)&lt;&gt;"",OFFSET(Planning!$D$25,COLUMN(M34),0,1,1),0)</f>
        <v>0</v>
      </c>
      <c r="W37" s="68">
        <f ca="1">IF(OFFSET(Planning!$E$25,COLUMN(N34),ROW(N34),1,1)&lt;&gt;"",OFFSET(Planning!$D$25,COLUMN(N34),0,1,1),0)</f>
        <v>0</v>
      </c>
      <c r="X37" s="68">
        <f ca="1">IF(OFFSET(Planning!$E$25,COLUMN(O34),ROW(O34),1,1)&lt;&gt;"",OFFSET(Planning!$D$25,COLUMN(O34),0,1,1),0)</f>
        <v>0</v>
      </c>
      <c r="Y37" s="68">
        <f ca="1">IF(OFFSET(Planning!$E$25,COLUMN(P34),ROW(P34),1,1)&lt;&gt;"",OFFSET(Planning!$D$25,COLUMN(P34),0,1,1),0)</f>
        <v>0</v>
      </c>
      <c r="Z37" s="68">
        <f ca="1">IF(OFFSET(Planning!$E$25,COLUMN(Q34),ROW(Q34),1,1)&lt;&gt;"",OFFSET(Planning!$D$25,COLUMN(Q34),0,1,1),0)</f>
        <v>0</v>
      </c>
      <c r="AA37" s="68">
        <f ca="1">IF(OFFSET(Planning!$E$25,COLUMN(R34),ROW(R34),1,1)&lt;&gt;"",OFFSET(Planning!$D$25,COLUMN(R34),0,1,1),0)</f>
        <v>0</v>
      </c>
      <c r="AB37" s="68">
        <f ca="1">IF(OFFSET(Planning!$E$25,COLUMN(S34),ROW(S34),1,1)&lt;&gt;"",OFFSET(Planning!$D$25,COLUMN(S34),0,1,1),0)</f>
        <v>0</v>
      </c>
      <c r="AC37" s="68">
        <f ca="1">IF(OFFSET(Planning!$E$25,COLUMN(T34),ROW(T34),1,1)&lt;&gt;"",OFFSET(Planning!$D$25,COLUMN(T34),0,1,1),0)</f>
        <v>0</v>
      </c>
      <c r="AD37" s="68">
        <f ca="1">VLOOKUP($B37,'Summary Calculations (hide)'!$D$15:$U$67,17,0)</f>
        <v>14.254500348202729</v>
      </c>
      <c r="AE37" s="68">
        <f ca="1">VLOOKUP($B37,'Summary Calculations (hide)'!$D$15:$U$67,18,0)</f>
        <v>2.9077629903405398</v>
      </c>
    </row>
    <row r="38" spans="1:31" x14ac:dyDescent="0.2">
      <c r="A38" s="88">
        <f t="shared" ca="1" si="3"/>
        <v>43824</v>
      </c>
      <c r="B38" s="68">
        <f t="shared" ca="1" si="0"/>
        <v>52</v>
      </c>
      <c r="C38" s="5">
        <f ca="1">IF(Planning!$C$8="No",VLOOKUP(B38,'Summary Calculations (hide)'!$D$15:$U$67,17,0),VLOOKUP(B38,'Summary Calculations (hide)'!$D$15:$F$67,2,0)*IF(Planning!$C$11="",1,1+Planning!$C$11)*'Summary Calculations (hide)'!$L$4/IF(Summary!$C$8="Patients",'Summary Calculations (hide)'!$I$9,1))</f>
        <v>14.254500348202729</v>
      </c>
      <c r="D38" s="5">
        <f ca="1">IF(Planning!$C$8="No",VLOOKUP('Planning (hide)'!B38,'Summary Calculations (hide)'!$D$15:$U$67,18,0),VLOOKUP(B38,'Summary Calculations (hide)'!$D$15:$F$67,3,0)*IF(Planning!$C$11="",1,1+Planning!$C$11)*'Summary Calculations (hide)'!$L$4/IF(Summary!$C$8="Patients",'Summary Calculations (hide)'!$I$9,1))-IF(Planning!$C$8="No",0,C38)</f>
        <v>2.9077629903405398</v>
      </c>
      <c r="E38" s="5">
        <f ca="1">VLOOKUP($B38,'Summary Calculations (hide)'!$D$15:$U$66,15,0)</f>
        <v>10.392307692307693</v>
      </c>
      <c r="F38" s="5">
        <f ca="1">VLOOKUP($B38,'Summary Calculations (hide)'!$D$15:$U$66,16,0)</f>
        <v>3.6923076923076925</v>
      </c>
      <c r="G38" s="5">
        <f t="shared" ca="1" si="1"/>
        <v>14.084615384615386</v>
      </c>
      <c r="H38" s="5">
        <f t="shared" ca="1" si="2"/>
        <v>14.084615384615386</v>
      </c>
      <c r="I38" s="68">
        <f ca="1">IF(OFFSET(Planning!$E$25,0,ROW(A35),1,1)&lt;&gt;"",-'Planning (hide)'!$G38,0)</f>
        <v>0</v>
      </c>
      <c r="J38" s="68">
        <f ca="1">IF(OFFSET(Planning!$E$25,COLUMN(A35),ROW(A35),1,1)&lt;&gt;"",OFFSET(Planning!$D$25,COLUMN(A35),0,1,1),0)</f>
        <v>0</v>
      </c>
      <c r="K38" s="68">
        <f ca="1">IF(OFFSET(Planning!$E$25,COLUMN(B35),ROW(B35),1,1)&lt;&gt;"",OFFSET(Planning!$D$25,COLUMN(B35),0,1,1),0)</f>
        <v>0</v>
      </c>
      <c r="L38" s="68">
        <f ca="1">IF(OFFSET(Planning!$E$25,COLUMN(C35),ROW(C35),1,1)&lt;&gt;"",OFFSET(Planning!$D$25,COLUMN(C35),0,1,1),0)</f>
        <v>0</v>
      </c>
      <c r="M38" s="68">
        <f ca="1">IF(OFFSET(Planning!$E$25,COLUMN(D35),ROW(D35),1,1)&lt;&gt;"",OFFSET(Planning!$D$25,COLUMN(D35),0,1,1),0)</f>
        <v>0</v>
      </c>
      <c r="N38" s="68">
        <f ca="1">IF(OFFSET(Planning!$E$25,COLUMN(E35),ROW(E35),1,1)&lt;&gt;"",OFFSET(Planning!$D$25,COLUMN(E35),0,1,1),0)</f>
        <v>0</v>
      </c>
      <c r="O38" s="68">
        <f ca="1">IF(OFFSET(Planning!$E$25,COLUMN(F35),ROW(F35),1,1)&lt;&gt;"",OFFSET(Planning!$D$25,COLUMN(F35),0,1,1),0)</f>
        <v>0</v>
      </c>
      <c r="P38" s="68">
        <f ca="1">IF(OFFSET(Planning!$E$25,COLUMN(G35),ROW(G35),1,1)&lt;&gt;"",OFFSET(Planning!$D$25,COLUMN(G35),0,1,1),0)</f>
        <v>0</v>
      </c>
      <c r="Q38" s="68">
        <f ca="1">IF(OFFSET(Planning!$E$25,COLUMN(H35),ROW(H35),1,1)&lt;&gt;"",OFFSET(Planning!$D$25,COLUMN(H35),0,1,1),0)</f>
        <v>0</v>
      </c>
      <c r="R38" s="68">
        <f ca="1">IF(OFFSET(Planning!$E$25,COLUMN(I35),ROW(I35),1,1)&lt;&gt;"",OFFSET(Planning!$D$25,COLUMN(I35),0,1,1),0)</f>
        <v>0</v>
      </c>
      <c r="S38" s="68">
        <f ca="1">IF(OFFSET(Planning!$E$25,COLUMN(J35),ROW(J35),1,1)&lt;&gt;"",OFFSET(Planning!$D$25,COLUMN(J35),0,1,1),0)</f>
        <v>0</v>
      </c>
      <c r="T38" s="68">
        <f ca="1">IF(OFFSET(Planning!$E$25,COLUMN(K35),ROW(K35),1,1)&lt;&gt;"",OFFSET(Planning!$D$25,COLUMN(K35),0,1,1),0)</f>
        <v>0</v>
      </c>
      <c r="U38" s="68">
        <f ca="1">IF(OFFSET(Planning!$E$25,COLUMN(L35),ROW(L35),1,1)&lt;&gt;"",OFFSET(Planning!$D$25,COLUMN(L35),0,1,1),0)</f>
        <v>0</v>
      </c>
      <c r="V38" s="68">
        <f ca="1">IF(OFFSET(Planning!$E$25,COLUMN(M35),ROW(M35),1,1)&lt;&gt;"",OFFSET(Planning!$D$25,COLUMN(M35),0,1,1),0)</f>
        <v>0</v>
      </c>
      <c r="W38" s="68">
        <f ca="1">IF(OFFSET(Planning!$E$25,COLUMN(N35),ROW(N35),1,1)&lt;&gt;"",OFFSET(Planning!$D$25,COLUMN(N35),0,1,1),0)</f>
        <v>0</v>
      </c>
      <c r="X38" s="68">
        <f ca="1">IF(OFFSET(Planning!$E$25,COLUMN(O35),ROW(O35),1,1)&lt;&gt;"",OFFSET(Planning!$D$25,COLUMN(O35),0,1,1),0)</f>
        <v>0</v>
      </c>
      <c r="Y38" s="68">
        <f ca="1">IF(OFFSET(Planning!$E$25,COLUMN(P35),ROW(P35),1,1)&lt;&gt;"",OFFSET(Planning!$D$25,COLUMN(P35),0,1,1),0)</f>
        <v>0</v>
      </c>
      <c r="Z38" s="68">
        <f ca="1">IF(OFFSET(Planning!$E$25,COLUMN(Q35),ROW(Q35),1,1)&lt;&gt;"",OFFSET(Planning!$D$25,COLUMN(Q35),0,1,1),0)</f>
        <v>0</v>
      </c>
      <c r="AA38" s="68">
        <f ca="1">IF(OFFSET(Planning!$E$25,COLUMN(R35),ROW(R35),1,1)&lt;&gt;"",OFFSET(Planning!$D$25,COLUMN(R35),0,1,1),0)</f>
        <v>0</v>
      </c>
      <c r="AB38" s="68">
        <f ca="1">IF(OFFSET(Planning!$E$25,COLUMN(S35),ROW(S35),1,1)&lt;&gt;"",OFFSET(Planning!$D$25,COLUMN(S35),0,1,1),0)</f>
        <v>0</v>
      </c>
      <c r="AC38" s="68">
        <f ca="1">IF(OFFSET(Planning!$E$25,COLUMN(T35),ROW(T35),1,1)&lt;&gt;"",OFFSET(Planning!$D$25,COLUMN(T35),0,1,1),0)</f>
        <v>0</v>
      </c>
      <c r="AD38" s="68">
        <f ca="1">VLOOKUP($B38,'Summary Calculations (hide)'!$D$15:$U$67,17,0)</f>
        <v>14.254500348202729</v>
      </c>
      <c r="AE38" s="68">
        <f ca="1">VLOOKUP($B38,'Summary Calculations (hide)'!$D$15:$U$67,18,0)</f>
        <v>2.9077629903405398</v>
      </c>
    </row>
    <row r="39" spans="1:31" x14ac:dyDescent="0.2">
      <c r="A39" s="88">
        <f t="shared" ca="1" si="3"/>
        <v>43831</v>
      </c>
      <c r="B39" s="68">
        <f t="shared" ca="1" si="0"/>
        <v>1</v>
      </c>
      <c r="C39" s="5">
        <f ca="1">IF(Planning!$C$8="No",VLOOKUP(B39,'Summary Calculations (hide)'!$D$15:$U$67,17,0),VLOOKUP(B39,'Summary Calculations (hide)'!$D$15:$F$67,2,0)*IF(Planning!$C$11="",1,1+Planning!$C$11)*'Summary Calculations (hide)'!$L$4/IF(Summary!$C$8="Patients",'Summary Calculations (hide)'!$I$9,1))</f>
        <v>14.254500348202729</v>
      </c>
      <c r="D39" s="5">
        <f ca="1">IF(Planning!$C$8="No",VLOOKUP('Planning (hide)'!B39,'Summary Calculations (hide)'!$D$15:$U$67,18,0),VLOOKUP(B39,'Summary Calculations (hide)'!$D$15:$F$67,3,0)*IF(Planning!$C$11="",1,1+Planning!$C$11)*'Summary Calculations (hide)'!$L$4/IF(Summary!$C$8="Patients",'Summary Calculations (hide)'!$I$9,1))-IF(Planning!$C$8="No",0,C39)</f>
        <v>2.9077629903405398</v>
      </c>
      <c r="E39" s="5">
        <f ca="1">VLOOKUP($B39,'Summary Calculations (hide)'!$D$15:$U$66,15,0)</f>
        <v>10.392307692307693</v>
      </c>
      <c r="F39" s="5">
        <f ca="1">VLOOKUP($B39,'Summary Calculations (hide)'!$D$15:$U$66,16,0)</f>
        <v>0</v>
      </c>
      <c r="G39" s="5">
        <f t="shared" ca="1" si="1"/>
        <v>10.392307692307693</v>
      </c>
      <c r="H39" s="5">
        <f t="shared" ca="1" si="2"/>
        <v>10.392307692307693</v>
      </c>
      <c r="I39" s="68">
        <f ca="1">IF(OFFSET(Planning!$E$25,0,ROW(A36),1,1)&lt;&gt;"",-'Planning (hide)'!$G39,0)</f>
        <v>0</v>
      </c>
      <c r="J39" s="68">
        <f ca="1">IF(OFFSET(Planning!$E$25,COLUMN(A36),ROW(A36),1,1)&lt;&gt;"",OFFSET(Planning!$D$25,COLUMN(A36),0,1,1),0)</f>
        <v>0</v>
      </c>
      <c r="K39" s="68">
        <f ca="1">IF(OFFSET(Planning!$E$25,COLUMN(B36),ROW(B36),1,1)&lt;&gt;"",OFFSET(Planning!$D$25,COLUMN(B36),0,1,1),0)</f>
        <v>0</v>
      </c>
      <c r="L39" s="68">
        <f ca="1">IF(OFFSET(Planning!$E$25,COLUMN(C36),ROW(C36),1,1)&lt;&gt;"",OFFSET(Planning!$D$25,COLUMN(C36),0,1,1),0)</f>
        <v>0</v>
      </c>
      <c r="M39" s="68">
        <f ca="1">IF(OFFSET(Planning!$E$25,COLUMN(D36),ROW(D36),1,1)&lt;&gt;"",OFFSET(Planning!$D$25,COLUMN(D36),0,1,1),0)</f>
        <v>0</v>
      </c>
      <c r="N39" s="68">
        <f ca="1">IF(OFFSET(Planning!$E$25,COLUMN(E36),ROW(E36),1,1)&lt;&gt;"",OFFSET(Planning!$D$25,COLUMN(E36),0,1,1),0)</f>
        <v>0</v>
      </c>
      <c r="O39" s="68">
        <f ca="1">IF(OFFSET(Planning!$E$25,COLUMN(F36),ROW(F36),1,1)&lt;&gt;"",OFFSET(Planning!$D$25,COLUMN(F36),0,1,1),0)</f>
        <v>0</v>
      </c>
      <c r="P39" s="68">
        <f ca="1">IF(OFFSET(Planning!$E$25,COLUMN(G36),ROW(G36),1,1)&lt;&gt;"",OFFSET(Planning!$D$25,COLUMN(G36),0,1,1),0)</f>
        <v>0</v>
      </c>
      <c r="Q39" s="68">
        <f ca="1">IF(OFFSET(Planning!$E$25,COLUMN(H36),ROW(H36),1,1)&lt;&gt;"",OFFSET(Planning!$D$25,COLUMN(H36),0,1,1),0)</f>
        <v>0</v>
      </c>
      <c r="R39" s="68">
        <f ca="1">IF(OFFSET(Planning!$E$25,COLUMN(I36),ROW(I36),1,1)&lt;&gt;"",OFFSET(Planning!$D$25,COLUMN(I36),0,1,1),0)</f>
        <v>0</v>
      </c>
      <c r="S39" s="68">
        <f ca="1">IF(OFFSET(Planning!$E$25,COLUMN(J36),ROW(J36),1,1)&lt;&gt;"",OFFSET(Planning!$D$25,COLUMN(J36),0,1,1),0)</f>
        <v>0</v>
      </c>
      <c r="T39" s="68">
        <f ca="1">IF(OFFSET(Planning!$E$25,COLUMN(K36),ROW(K36),1,1)&lt;&gt;"",OFFSET(Planning!$D$25,COLUMN(K36),0,1,1),0)</f>
        <v>0</v>
      </c>
      <c r="U39" s="68">
        <f ca="1">IF(OFFSET(Planning!$E$25,COLUMN(L36),ROW(L36),1,1)&lt;&gt;"",OFFSET(Planning!$D$25,COLUMN(L36),0,1,1),0)</f>
        <v>0</v>
      </c>
      <c r="V39" s="68">
        <f ca="1">IF(OFFSET(Planning!$E$25,COLUMN(M36),ROW(M36),1,1)&lt;&gt;"",OFFSET(Planning!$D$25,COLUMN(M36),0,1,1),0)</f>
        <v>0</v>
      </c>
      <c r="W39" s="68">
        <f ca="1">IF(OFFSET(Planning!$E$25,COLUMN(N36),ROW(N36),1,1)&lt;&gt;"",OFFSET(Planning!$D$25,COLUMN(N36),0,1,1),0)</f>
        <v>0</v>
      </c>
      <c r="X39" s="68">
        <f ca="1">IF(OFFSET(Planning!$E$25,COLUMN(O36),ROW(O36),1,1)&lt;&gt;"",OFFSET(Planning!$D$25,COLUMN(O36),0,1,1),0)</f>
        <v>0</v>
      </c>
      <c r="Y39" s="68">
        <f ca="1">IF(OFFSET(Planning!$E$25,COLUMN(P36),ROW(P36),1,1)&lt;&gt;"",OFFSET(Planning!$D$25,COLUMN(P36),0,1,1),0)</f>
        <v>0</v>
      </c>
      <c r="Z39" s="68">
        <f ca="1">IF(OFFSET(Planning!$E$25,COLUMN(Q36),ROW(Q36),1,1)&lt;&gt;"",OFFSET(Planning!$D$25,COLUMN(Q36),0,1,1),0)</f>
        <v>0</v>
      </c>
      <c r="AA39" s="68">
        <f ca="1">IF(OFFSET(Planning!$E$25,COLUMN(R36),ROW(R36),1,1)&lt;&gt;"",OFFSET(Planning!$D$25,COLUMN(R36),0,1,1),0)</f>
        <v>0</v>
      </c>
      <c r="AB39" s="68">
        <f ca="1">IF(OFFSET(Planning!$E$25,COLUMN(S36),ROW(S36),1,1)&lt;&gt;"",OFFSET(Planning!$D$25,COLUMN(S36),0,1,1),0)</f>
        <v>0</v>
      </c>
      <c r="AC39" s="68">
        <f ca="1">IF(OFFSET(Planning!$E$25,COLUMN(T36),ROW(T36),1,1)&lt;&gt;"",OFFSET(Planning!$D$25,COLUMN(T36),0,1,1),0)</f>
        <v>0</v>
      </c>
      <c r="AD39" s="68">
        <f ca="1">VLOOKUP($B39,'Summary Calculations (hide)'!$D$15:$U$67,17,0)</f>
        <v>14.254500348202729</v>
      </c>
      <c r="AE39" s="68">
        <f ca="1">VLOOKUP($B39,'Summary Calculations (hide)'!$D$15:$U$67,18,0)</f>
        <v>2.9077629903405398</v>
      </c>
    </row>
    <row r="40" spans="1:31" x14ac:dyDescent="0.2">
      <c r="A40" s="88">
        <f t="shared" ca="1" si="3"/>
        <v>43838</v>
      </c>
      <c r="B40" s="68">
        <f t="shared" ca="1" si="0"/>
        <v>2</v>
      </c>
      <c r="C40" s="5">
        <f ca="1">IF(Planning!$C$8="No",VLOOKUP(B40,'Summary Calculations (hide)'!$D$15:$U$67,17,0),VLOOKUP(B40,'Summary Calculations (hide)'!$D$15:$F$67,2,0)*IF(Planning!$C$11="",1,1+Planning!$C$11)*'Summary Calculations (hide)'!$L$4/IF(Summary!$C$8="Patients",'Summary Calculations (hide)'!$I$9,1))</f>
        <v>14.254500348202729</v>
      </c>
      <c r="D40" s="5">
        <f ca="1">IF(Planning!$C$8="No",VLOOKUP('Planning (hide)'!B40,'Summary Calculations (hide)'!$D$15:$U$67,18,0),VLOOKUP(B40,'Summary Calculations (hide)'!$D$15:$F$67,3,0)*IF(Planning!$C$11="",1,1+Planning!$C$11)*'Summary Calculations (hide)'!$L$4/IF(Summary!$C$8="Patients",'Summary Calculations (hide)'!$I$9,1))-IF(Planning!$C$8="No",0,C40)</f>
        <v>2.9077629903405398</v>
      </c>
      <c r="E40" s="5">
        <f ca="1">VLOOKUP($B40,'Summary Calculations (hide)'!$D$15:$U$66,15,0)</f>
        <v>10.392307692307693</v>
      </c>
      <c r="F40" s="5">
        <f ca="1">VLOOKUP($B40,'Summary Calculations (hide)'!$D$15:$U$66,16,0)</f>
        <v>4</v>
      </c>
      <c r="G40" s="5">
        <f t="shared" ca="1" si="1"/>
        <v>14.392307692307693</v>
      </c>
      <c r="H40" s="5">
        <f t="shared" ca="1" si="2"/>
        <v>14.392307692307693</v>
      </c>
      <c r="I40" s="68">
        <f ca="1">IF(OFFSET(Planning!$E$25,0,ROW(A37),1,1)&lt;&gt;"",-'Planning (hide)'!$G40,0)</f>
        <v>0</v>
      </c>
      <c r="J40" s="68">
        <f ca="1">IF(OFFSET(Planning!$E$25,COLUMN(A37),ROW(A37),1,1)&lt;&gt;"",OFFSET(Planning!$D$25,COLUMN(A37),0,1,1),0)</f>
        <v>0</v>
      </c>
      <c r="K40" s="68">
        <f ca="1">IF(OFFSET(Planning!$E$25,COLUMN(B37),ROW(B37),1,1)&lt;&gt;"",OFFSET(Planning!$D$25,COLUMN(B37),0,1,1),0)</f>
        <v>0</v>
      </c>
      <c r="L40" s="68">
        <f ca="1">IF(OFFSET(Planning!$E$25,COLUMN(C37),ROW(C37),1,1)&lt;&gt;"",OFFSET(Planning!$D$25,COLUMN(C37),0,1,1),0)</f>
        <v>0</v>
      </c>
      <c r="M40" s="68">
        <f ca="1">IF(OFFSET(Planning!$E$25,COLUMN(D37),ROW(D37),1,1)&lt;&gt;"",OFFSET(Planning!$D$25,COLUMN(D37),0,1,1),0)</f>
        <v>0</v>
      </c>
      <c r="N40" s="68">
        <f ca="1">IF(OFFSET(Planning!$E$25,COLUMN(E37),ROW(E37),1,1)&lt;&gt;"",OFFSET(Planning!$D$25,COLUMN(E37),0,1,1),0)</f>
        <v>0</v>
      </c>
      <c r="O40" s="68">
        <f ca="1">IF(OFFSET(Planning!$E$25,COLUMN(F37),ROW(F37),1,1)&lt;&gt;"",OFFSET(Planning!$D$25,COLUMN(F37),0,1,1),0)</f>
        <v>0</v>
      </c>
      <c r="P40" s="68">
        <f ca="1">IF(OFFSET(Planning!$E$25,COLUMN(G37),ROW(G37),1,1)&lt;&gt;"",OFFSET(Planning!$D$25,COLUMN(G37),0,1,1),0)</f>
        <v>0</v>
      </c>
      <c r="Q40" s="68">
        <f ca="1">IF(OFFSET(Planning!$E$25,COLUMN(H37),ROW(H37),1,1)&lt;&gt;"",OFFSET(Planning!$D$25,COLUMN(H37),0,1,1),0)</f>
        <v>0</v>
      </c>
      <c r="R40" s="68">
        <f ca="1">IF(OFFSET(Planning!$E$25,COLUMN(I37),ROW(I37),1,1)&lt;&gt;"",OFFSET(Planning!$D$25,COLUMN(I37),0,1,1),0)</f>
        <v>0</v>
      </c>
      <c r="S40" s="68">
        <f ca="1">IF(OFFSET(Planning!$E$25,COLUMN(J37),ROW(J37),1,1)&lt;&gt;"",OFFSET(Planning!$D$25,COLUMN(J37),0,1,1),0)</f>
        <v>0</v>
      </c>
      <c r="T40" s="68">
        <f ca="1">IF(OFFSET(Planning!$E$25,COLUMN(K37),ROW(K37),1,1)&lt;&gt;"",OFFSET(Planning!$D$25,COLUMN(K37),0,1,1),0)</f>
        <v>0</v>
      </c>
      <c r="U40" s="68">
        <f ca="1">IF(OFFSET(Planning!$E$25,COLUMN(L37),ROW(L37),1,1)&lt;&gt;"",OFFSET(Planning!$D$25,COLUMN(L37),0,1,1),0)</f>
        <v>0</v>
      </c>
      <c r="V40" s="68">
        <f ca="1">IF(OFFSET(Planning!$E$25,COLUMN(M37),ROW(M37),1,1)&lt;&gt;"",OFFSET(Planning!$D$25,COLUMN(M37),0,1,1),0)</f>
        <v>0</v>
      </c>
      <c r="W40" s="68">
        <f ca="1">IF(OFFSET(Planning!$E$25,COLUMN(N37),ROW(N37),1,1)&lt;&gt;"",OFFSET(Planning!$D$25,COLUMN(N37),0,1,1),0)</f>
        <v>0</v>
      </c>
      <c r="X40" s="68">
        <f ca="1">IF(OFFSET(Planning!$E$25,COLUMN(O37),ROW(O37),1,1)&lt;&gt;"",OFFSET(Planning!$D$25,COLUMN(O37),0,1,1),0)</f>
        <v>0</v>
      </c>
      <c r="Y40" s="68">
        <f ca="1">IF(OFFSET(Planning!$E$25,COLUMN(P37),ROW(P37),1,1)&lt;&gt;"",OFFSET(Planning!$D$25,COLUMN(P37),0,1,1),0)</f>
        <v>0</v>
      </c>
      <c r="Z40" s="68">
        <f ca="1">IF(OFFSET(Planning!$E$25,COLUMN(Q37),ROW(Q37),1,1)&lt;&gt;"",OFFSET(Planning!$D$25,COLUMN(Q37),0,1,1),0)</f>
        <v>0</v>
      </c>
      <c r="AA40" s="68">
        <f ca="1">IF(OFFSET(Planning!$E$25,COLUMN(R37),ROW(R37),1,1)&lt;&gt;"",OFFSET(Planning!$D$25,COLUMN(R37),0,1,1),0)</f>
        <v>0</v>
      </c>
      <c r="AB40" s="68">
        <f ca="1">IF(OFFSET(Planning!$E$25,COLUMN(S37),ROW(S37),1,1)&lt;&gt;"",OFFSET(Planning!$D$25,COLUMN(S37),0,1,1),0)</f>
        <v>0</v>
      </c>
      <c r="AC40" s="68">
        <f ca="1">IF(OFFSET(Planning!$E$25,COLUMN(T37),ROW(T37),1,1)&lt;&gt;"",OFFSET(Planning!$D$25,COLUMN(T37),0,1,1),0)</f>
        <v>0</v>
      </c>
      <c r="AD40" s="68">
        <f ca="1">VLOOKUP($B40,'Summary Calculations (hide)'!$D$15:$U$67,17,0)</f>
        <v>14.254500348202729</v>
      </c>
      <c r="AE40" s="68">
        <f ca="1">VLOOKUP($B40,'Summary Calculations (hide)'!$D$15:$U$67,18,0)</f>
        <v>2.9077629903405398</v>
      </c>
    </row>
    <row r="41" spans="1:31" x14ac:dyDescent="0.2">
      <c r="A41" s="88">
        <f t="shared" ca="1" si="3"/>
        <v>43845</v>
      </c>
      <c r="B41" s="68">
        <f t="shared" ca="1" si="0"/>
        <v>3</v>
      </c>
      <c r="C41" s="5">
        <f ca="1">IF(Planning!$C$8="No",VLOOKUP(B41,'Summary Calculations (hide)'!$D$15:$U$67,17,0),VLOOKUP(B41,'Summary Calculations (hide)'!$D$15:$F$67,2,0)*IF(Planning!$C$11="",1,1+Planning!$C$11)*'Summary Calculations (hide)'!$L$4/IF(Summary!$C$8="Patients",'Summary Calculations (hide)'!$I$9,1))</f>
        <v>14.254500348202729</v>
      </c>
      <c r="D41" s="5">
        <f ca="1">IF(Planning!$C$8="No",VLOOKUP('Planning (hide)'!B41,'Summary Calculations (hide)'!$D$15:$U$67,18,0),VLOOKUP(B41,'Summary Calculations (hide)'!$D$15:$F$67,3,0)*IF(Planning!$C$11="",1,1+Planning!$C$11)*'Summary Calculations (hide)'!$L$4/IF(Summary!$C$8="Patients",'Summary Calculations (hide)'!$I$9,1))-IF(Planning!$C$8="No",0,C41)</f>
        <v>2.9077629903405398</v>
      </c>
      <c r="E41" s="5">
        <f ca="1">VLOOKUP($B41,'Summary Calculations (hide)'!$D$15:$U$66,15,0)</f>
        <v>10.392307692307693</v>
      </c>
      <c r="F41" s="5">
        <f ca="1">VLOOKUP($B41,'Summary Calculations (hide)'!$D$15:$U$66,16,0)</f>
        <v>0</v>
      </c>
      <c r="G41" s="5">
        <f t="shared" ca="1" si="1"/>
        <v>10.392307692307693</v>
      </c>
      <c r="H41" s="5">
        <f t="shared" ca="1" si="2"/>
        <v>10.392307692307693</v>
      </c>
      <c r="I41" s="68">
        <f ca="1">IF(OFFSET(Planning!$E$25,0,ROW(A38),1,1)&lt;&gt;"",-'Planning (hide)'!$G41,0)</f>
        <v>0</v>
      </c>
      <c r="J41" s="68">
        <f ca="1">IF(OFFSET(Planning!$E$25,COLUMN(A38),ROW(A38),1,1)&lt;&gt;"",OFFSET(Planning!$D$25,COLUMN(A38),0,1,1),0)</f>
        <v>0</v>
      </c>
      <c r="K41" s="68">
        <f ca="1">IF(OFFSET(Planning!$E$25,COLUMN(B38),ROW(B38),1,1)&lt;&gt;"",OFFSET(Planning!$D$25,COLUMN(B38),0,1,1),0)</f>
        <v>0</v>
      </c>
      <c r="L41" s="68">
        <f ca="1">IF(OFFSET(Planning!$E$25,COLUMN(C38),ROW(C38),1,1)&lt;&gt;"",OFFSET(Planning!$D$25,COLUMN(C38),0,1,1),0)</f>
        <v>0</v>
      </c>
      <c r="M41" s="68">
        <f ca="1">IF(OFFSET(Planning!$E$25,COLUMN(D38),ROW(D38),1,1)&lt;&gt;"",OFFSET(Planning!$D$25,COLUMN(D38),0,1,1),0)</f>
        <v>0</v>
      </c>
      <c r="N41" s="68">
        <f ca="1">IF(OFFSET(Planning!$E$25,COLUMN(E38),ROW(E38),1,1)&lt;&gt;"",OFFSET(Planning!$D$25,COLUMN(E38),0,1,1),0)</f>
        <v>0</v>
      </c>
      <c r="O41" s="68">
        <f ca="1">IF(OFFSET(Planning!$E$25,COLUMN(F38),ROW(F38),1,1)&lt;&gt;"",OFFSET(Planning!$D$25,COLUMN(F38),0,1,1),0)</f>
        <v>0</v>
      </c>
      <c r="P41" s="68">
        <f ca="1">IF(OFFSET(Planning!$E$25,COLUMN(G38),ROW(G38),1,1)&lt;&gt;"",OFFSET(Planning!$D$25,COLUMN(G38),0,1,1),0)</f>
        <v>0</v>
      </c>
      <c r="Q41" s="68">
        <f ca="1">IF(OFFSET(Planning!$E$25,COLUMN(H38),ROW(H38),1,1)&lt;&gt;"",OFFSET(Planning!$D$25,COLUMN(H38),0,1,1),0)</f>
        <v>0</v>
      </c>
      <c r="R41" s="68">
        <f ca="1">IF(OFFSET(Planning!$E$25,COLUMN(I38),ROW(I38),1,1)&lt;&gt;"",OFFSET(Planning!$D$25,COLUMN(I38),0,1,1),0)</f>
        <v>0</v>
      </c>
      <c r="S41" s="68">
        <f ca="1">IF(OFFSET(Planning!$E$25,COLUMN(J38),ROW(J38),1,1)&lt;&gt;"",OFFSET(Planning!$D$25,COLUMN(J38),0,1,1),0)</f>
        <v>0</v>
      </c>
      <c r="T41" s="68">
        <f ca="1">IF(OFFSET(Planning!$E$25,COLUMN(K38),ROW(K38),1,1)&lt;&gt;"",OFFSET(Planning!$D$25,COLUMN(K38),0,1,1),0)</f>
        <v>0</v>
      </c>
      <c r="U41" s="68">
        <f ca="1">IF(OFFSET(Planning!$E$25,COLUMN(L38),ROW(L38),1,1)&lt;&gt;"",OFFSET(Planning!$D$25,COLUMN(L38),0,1,1),0)</f>
        <v>0</v>
      </c>
      <c r="V41" s="68">
        <f ca="1">IF(OFFSET(Planning!$E$25,COLUMN(M38),ROW(M38),1,1)&lt;&gt;"",OFFSET(Planning!$D$25,COLUMN(M38),0,1,1),0)</f>
        <v>0</v>
      </c>
      <c r="W41" s="68">
        <f ca="1">IF(OFFSET(Planning!$E$25,COLUMN(N38),ROW(N38),1,1)&lt;&gt;"",OFFSET(Planning!$D$25,COLUMN(N38),0,1,1),0)</f>
        <v>0</v>
      </c>
      <c r="X41" s="68">
        <f ca="1">IF(OFFSET(Planning!$E$25,COLUMN(O38),ROW(O38),1,1)&lt;&gt;"",OFFSET(Planning!$D$25,COLUMN(O38),0,1,1),0)</f>
        <v>0</v>
      </c>
      <c r="Y41" s="68">
        <f ca="1">IF(OFFSET(Planning!$E$25,COLUMN(P38),ROW(P38),1,1)&lt;&gt;"",OFFSET(Planning!$D$25,COLUMN(P38),0,1,1),0)</f>
        <v>0</v>
      </c>
      <c r="Z41" s="68">
        <f ca="1">IF(OFFSET(Planning!$E$25,COLUMN(Q38),ROW(Q38),1,1)&lt;&gt;"",OFFSET(Planning!$D$25,COLUMN(Q38),0,1,1),0)</f>
        <v>0</v>
      </c>
      <c r="AA41" s="68">
        <f ca="1">IF(OFFSET(Planning!$E$25,COLUMN(R38),ROW(R38),1,1)&lt;&gt;"",OFFSET(Planning!$D$25,COLUMN(R38),0,1,1),0)</f>
        <v>0</v>
      </c>
      <c r="AB41" s="68">
        <f ca="1">IF(OFFSET(Planning!$E$25,COLUMN(S38),ROW(S38),1,1)&lt;&gt;"",OFFSET(Planning!$D$25,COLUMN(S38),0,1,1),0)</f>
        <v>0</v>
      </c>
      <c r="AC41" s="68">
        <f ca="1">IF(OFFSET(Planning!$E$25,COLUMN(T38),ROW(T38),1,1)&lt;&gt;"",OFFSET(Planning!$D$25,COLUMN(T38),0,1,1),0)</f>
        <v>0</v>
      </c>
      <c r="AD41" s="68">
        <f ca="1">VLOOKUP($B41,'Summary Calculations (hide)'!$D$15:$U$67,17,0)</f>
        <v>14.254500348202729</v>
      </c>
      <c r="AE41" s="68">
        <f ca="1">VLOOKUP($B41,'Summary Calculations (hide)'!$D$15:$U$67,18,0)</f>
        <v>2.9077629903405398</v>
      </c>
    </row>
    <row r="42" spans="1:31" x14ac:dyDescent="0.2">
      <c r="A42" s="88">
        <f ca="1">A41+7</f>
        <v>43852</v>
      </c>
      <c r="B42" s="68">
        <f t="shared" ca="1" si="0"/>
        <v>4</v>
      </c>
      <c r="C42" s="5">
        <f ca="1">IF(Planning!$C$8="No",VLOOKUP(B42,'Summary Calculations (hide)'!$D$15:$U$67,17,0),VLOOKUP(B42,'Summary Calculations (hide)'!$D$15:$F$67,2,0)*IF(Planning!$C$11="",1,1+Planning!$C$11)*'Summary Calculations (hide)'!$L$4/IF(Summary!$C$8="Patients",'Summary Calculations (hide)'!$I$9,1))</f>
        <v>14.254500348202729</v>
      </c>
      <c r="D42" s="5">
        <f ca="1">IF(Planning!$C$8="No",VLOOKUP('Planning (hide)'!B42,'Summary Calculations (hide)'!$D$15:$U$67,18,0),VLOOKUP(B42,'Summary Calculations (hide)'!$D$15:$F$67,3,0)*IF(Planning!$C$11="",1,1+Planning!$C$11)*'Summary Calculations (hide)'!$L$4/IF(Summary!$C$8="Patients",'Summary Calculations (hide)'!$I$9,1))-IF(Planning!$C$8="No",0,C42)</f>
        <v>2.9077629903405398</v>
      </c>
      <c r="E42" s="5">
        <f ca="1">VLOOKUP($B42,'Summary Calculations (hide)'!$D$15:$U$66,15,0)</f>
        <v>10.392307692307693</v>
      </c>
      <c r="F42" s="5">
        <f ca="1">VLOOKUP($B42,'Summary Calculations (hide)'!$D$15:$U$66,16,0)</f>
        <v>0</v>
      </c>
      <c r="G42" s="5">
        <f t="shared" ca="1" si="1"/>
        <v>10.392307692307693</v>
      </c>
      <c r="H42" s="5">
        <f t="shared" ca="1" si="2"/>
        <v>10.392307692307693</v>
      </c>
      <c r="I42" s="68">
        <f ca="1">IF(OFFSET(Planning!$E$25,0,ROW(A39),1,1)&lt;&gt;"",-'Planning (hide)'!$G42,0)</f>
        <v>0</v>
      </c>
      <c r="J42" s="68">
        <f ca="1">IF(OFFSET(Planning!$E$25,COLUMN(A39),ROW(A39),1,1)&lt;&gt;"",OFFSET(Planning!$D$25,COLUMN(A39),0,1,1),0)</f>
        <v>0</v>
      </c>
      <c r="K42" s="68">
        <f ca="1">IF(OFFSET(Planning!$E$25,COLUMN(B39),ROW(B39),1,1)&lt;&gt;"",OFFSET(Planning!$D$25,COLUMN(B39),0,1,1),0)</f>
        <v>0</v>
      </c>
      <c r="L42" s="68">
        <f ca="1">IF(OFFSET(Planning!$E$25,COLUMN(C39),ROW(C39),1,1)&lt;&gt;"",OFFSET(Planning!$D$25,COLUMN(C39),0,1,1),0)</f>
        <v>0</v>
      </c>
      <c r="M42" s="68">
        <f ca="1">IF(OFFSET(Planning!$E$25,COLUMN(D39),ROW(D39),1,1)&lt;&gt;"",OFFSET(Planning!$D$25,COLUMN(D39),0,1,1),0)</f>
        <v>0</v>
      </c>
      <c r="N42" s="68">
        <f ca="1">IF(OFFSET(Planning!$E$25,COLUMN(E39),ROW(E39),1,1)&lt;&gt;"",OFFSET(Planning!$D$25,COLUMN(E39),0,1,1),0)</f>
        <v>0</v>
      </c>
      <c r="O42" s="68">
        <f ca="1">IF(OFFSET(Planning!$E$25,COLUMN(F39),ROW(F39),1,1)&lt;&gt;"",OFFSET(Planning!$D$25,COLUMN(F39),0,1,1),0)</f>
        <v>0</v>
      </c>
      <c r="P42" s="68">
        <f ca="1">IF(OFFSET(Planning!$E$25,COLUMN(G39),ROW(G39),1,1)&lt;&gt;"",OFFSET(Planning!$D$25,COLUMN(G39),0,1,1),0)</f>
        <v>0</v>
      </c>
      <c r="Q42" s="68">
        <f ca="1">IF(OFFSET(Planning!$E$25,COLUMN(H39),ROW(H39),1,1)&lt;&gt;"",OFFSET(Planning!$D$25,COLUMN(H39),0,1,1),0)</f>
        <v>0</v>
      </c>
      <c r="R42" s="68">
        <f ca="1">IF(OFFSET(Planning!$E$25,COLUMN(I39),ROW(I39),1,1)&lt;&gt;"",OFFSET(Planning!$D$25,COLUMN(I39),0,1,1),0)</f>
        <v>0</v>
      </c>
      <c r="S42" s="68">
        <f ca="1">IF(OFFSET(Planning!$E$25,COLUMN(J39),ROW(J39),1,1)&lt;&gt;"",OFFSET(Planning!$D$25,COLUMN(J39),0,1,1),0)</f>
        <v>0</v>
      </c>
      <c r="T42" s="68">
        <f ca="1">IF(OFFSET(Planning!$E$25,COLUMN(K39),ROW(K39),1,1)&lt;&gt;"",OFFSET(Planning!$D$25,COLUMN(K39),0,1,1),0)</f>
        <v>0</v>
      </c>
      <c r="U42" s="68">
        <f ca="1">IF(OFFSET(Planning!$E$25,COLUMN(L39),ROW(L39),1,1)&lt;&gt;"",OFFSET(Planning!$D$25,COLUMN(L39),0,1,1),0)</f>
        <v>0</v>
      </c>
      <c r="V42" s="68">
        <f ca="1">IF(OFFSET(Planning!$E$25,COLUMN(M39),ROW(M39),1,1)&lt;&gt;"",OFFSET(Planning!$D$25,COLUMN(M39),0,1,1),0)</f>
        <v>0</v>
      </c>
      <c r="W42" s="68">
        <f ca="1">IF(OFFSET(Planning!$E$25,COLUMN(N39),ROW(N39),1,1)&lt;&gt;"",OFFSET(Planning!$D$25,COLUMN(N39),0,1,1),0)</f>
        <v>0</v>
      </c>
      <c r="X42" s="68">
        <f ca="1">IF(OFFSET(Planning!$E$25,COLUMN(O39),ROW(O39),1,1)&lt;&gt;"",OFFSET(Planning!$D$25,COLUMN(O39),0,1,1),0)</f>
        <v>0</v>
      </c>
      <c r="Y42" s="68">
        <f ca="1">IF(OFFSET(Planning!$E$25,COLUMN(P39),ROW(P39),1,1)&lt;&gt;"",OFFSET(Planning!$D$25,COLUMN(P39),0,1,1),0)</f>
        <v>0</v>
      </c>
      <c r="Z42" s="68">
        <f ca="1">IF(OFFSET(Planning!$E$25,COLUMN(Q39),ROW(Q39),1,1)&lt;&gt;"",OFFSET(Planning!$D$25,COLUMN(Q39),0,1,1),0)</f>
        <v>0</v>
      </c>
      <c r="AA42" s="68">
        <f ca="1">IF(OFFSET(Planning!$E$25,COLUMN(R39),ROW(R39),1,1)&lt;&gt;"",OFFSET(Planning!$D$25,COLUMN(R39),0,1,1),0)</f>
        <v>0</v>
      </c>
      <c r="AB42" s="68">
        <f ca="1">IF(OFFSET(Planning!$E$25,COLUMN(S39),ROW(S39),1,1)&lt;&gt;"",OFFSET(Planning!$D$25,COLUMN(S39),0,1,1),0)</f>
        <v>0</v>
      </c>
      <c r="AC42" s="68">
        <f ca="1">IF(OFFSET(Planning!$E$25,COLUMN(T39),ROW(T39),1,1)&lt;&gt;"",OFFSET(Planning!$D$25,COLUMN(T39),0,1,1),0)</f>
        <v>0</v>
      </c>
      <c r="AD42" s="68">
        <f ca="1">VLOOKUP($B42,'Summary Calculations (hide)'!$D$15:$U$67,17,0)</f>
        <v>14.254500348202729</v>
      </c>
      <c r="AE42" s="68">
        <f ca="1">VLOOKUP($B42,'Summary Calculations (hide)'!$D$15:$U$67,18,0)</f>
        <v>2.9077629903405398</v>
      </c>
    </row>
    <row r="43" spans="1:31" x14ac:dyDescent="0.2">
      <c r="A43" s="88">
        <f t="shared" ca="1" si="3"/>
        <v>43859</v>
      </c>
      <c r="B43" s="68">
        <f t="shared" ca="1" si="0"/>
        <v>5</v>
      </c>
      <c r="C43" s="5">
        <f ca="1">IF(Planning!$C$8="No",VLOOKUP(B43,'Summary Calculations (hide)'!$D$15:$U$67,17,0),VLOOKUP(B43,'Summary Calculations (hide)'!$D$15:$F$67,2,0)*IF(Planning!$C$11="",1,1+Planning!$C$11)*'Summary Calculations (hide)'!$L$4/IF(Summary!$C$8="Patients",'Summary Calculations (hide)'!$I$9,1))</f>
        <v>14.254500348202729</v>
      </c>
      <c r="D43" s="5">
        <f ca="1">IF(Planning!$C$8="No",VLOOKUP('Planning (hide)'!B43,'Summary Calculations (hide)'!$D$15:$U$67,18,0),VLOOKUP(B43,'Summary Calculations (hide)'!$D$15:$F$67,3,0)*IF(Planning!$C$11="",1,1+Planning!$C$11)*'Summary Calculations (hide)'!$L$4/IF(Summary!$C$8="Patients",'Summary Calculations (hide)'!$I$9,1))-IF(Planning!$C$8="No",0,C43)</f>
        <v>2.9077629903405398</v>
      </c>
      <c r="E43" s="5">
        <f ca="1">VLOOKUP($B43,'Summary Calculations (hide)'!$D$15:$U$66,15,0)</f>
        <v>10.392307692307693</v>
      </c>
      <c r="F43" s="5">
        <f ca="1">VLOOKUP($B43,'Summary Calculations (hide)'!$D$15:$U$66,16,0)</f>
        <v>0</v>
      </c>
      <c r="G43" s="5">
        <f t="shared" ca="1" si="1"/>
        <v>10.392307692307693</v>
      </c>
      <c r="H43" s="5">
        <f t="shared" ca="1" si="2"/>
        <v>10.392307692307693</v>
      </c>
      <c r="I43" s="68">
        <f ca="1">IF(OFFSET(Planning!$E$25,0,ROW(A40),1,1)&lt;&gt;"",-'Planning (hide)'!$G43,0)</f>
        <v>0</v>
      </c>
      <c r="J43" s="68">
        <f ca="1">IF(OFFSET(Planning!$E$25,COLUMN(A40),ROW(A40),1,1)&lt;&gt;"",OFFSET(Planning!$D$25,COLUMN(A40),0,1,1),0)</f>
        <v>0</v>
      </c>
      <c r="K43" s="68">
        <f ca="1">IF(OFFSET(Planning!$E$25,COLUMN(B40),ROW(B40),1,1)&lt;&gt;"",OFFSET(Planning!$D$25,COLUMN(B40),0,1,1),0)</f>
        <v>0</v>
      </c>
      <c r="L43" s="68">
        <f ca="1">IF(OFFSET(Planning!$E$25,COLUMN(C40),ROW(C40),1,1)&lt;&gt;"",OFFSET(Planning!$D$25,COLUMN(C40),0,1,1),0)</f>
        <v>0</v>
      </c>
      <c r="M43" s="68">
        <f ca="1">IF(OFFSET(Planning!$E$25,COLUMN(D40),ROW(D40),1,1)&lt;&gt;"",OFFSET(Planning!$D$25,COLUMN(D40),0,1,1),0)</f>
        <v>0</v>
      </c>
      <c r="N43" s="68">
        <f ca="1">IF(OFFSET(Planning!$E$25,COLUMN(E40),ROW(E40),1,1)&lt;&gt;"",OFFSET(Planning!$D$25,COLUMN(E40),0,1,1),0)</f>
        <v>0</v>
      </c>
      <c r="O43" s="68">
        <f ca="1">IF(OFFSET(Planning!$E$25,COLUMN(F40),ROW(F40),1,1)&lt;&gt;"",OFFSET(Planning!$D$25,COLUMN(F40),0,1,1),0)</f>
        <v>0</v>
      </c>
      <c r="P43" s="68">
        <f ca="1">IF(OFFSET(Planning!$E$25,COLUMN(G40),ROW(G40),1,1)&lt;&gt;"",OFFSET(Planning!$D$25,COLUMN(G40),0,1,1),0)</f>
        <v>0</v>
      </c>
      <c r="Q43" s="68">
        <f ca="1">IF(OFFSET(Planning!$E$25,COLUMN(H40),ROW(H40),1,1)&lt;&gt;"",OFFSET(Planning!$D$25,COLUMN(H40),0,1,1),0)</f>
        <v>0</v>
      </c>
      <c r="R43" s="68">
        <f ca="1">IF(OFFSET(Planning!$E$25,COLUMN(I40),ROW(I40),1,1)&lt;&gt;"",OFFSET(Planning!$D$25,COLUMN(I40),0,1,1),0)</f>
        <v>0</v>
      </c>
      <c r="S43" s="68">
        <f ca="1">IF(OFFSET(Planning!$E$25,COLUMN(J40),ROW(J40),1,1)&lt;&gt;"",OFFSET(Planning!$D$25,COLUMN(J40),0,1,1),0)</f>
        <v>0</v>
      </c>
      <c r="T43" s="68">
        <f ca="1">IF(OFFSET(Planning!$E$25,COLUMN(K40),ROW(K40),1,1)&lt;&gt;"",OFFSET(Planning!$D$25,COLUMN(K40),0,1,1),0)</f>
        <v>0</v>
      </c>
      <c r="U43" s="68">
        <f ca="1">IF(OFFSET(Planning!$E$25,COLUMN(L40),ROW(L40),1,1)&lt;&gt;"",OFFSET(Planning!$D$25,COLUMN(L40),0,1,1),0)</f>
        <v>0</v>
      </c>
      <c r="V43" s="68">
        <f ca="1">IF(OFFSET(Planning!$E$25,COLUMN(M40),ROW(M40),1,1)&lt;&gt;"",OFFSET(Planning!$D$25,COLUMN(M40),0,1,1),0)</f>
        <v>0</v>
      </c>
      <c r="W43" s="68">
        <f ca="1">IF(OFFSET(Planning!$E$25,COLUMN(N40),ROW(N40),1,1)&lt;&gt;"",OFFSET(Planning!$D$25,COLUMN(N40),0,1,1),0)</f>
        <v>0</v>
      </c>
      <c r="X43" s="68">
        <f ca="1">IF(OFFSET(Planning!$E$25,COLUMN(O40),ROW(O40),1,1)&lt;&gt;"",OFFSET(Planning!$D$25,COLUMN(O40),0,1,1),0)</f>
        <v>0</v>
      </c>
      <c r="Y43" s="68">
        <f ca="1">IF(OFFSET(Planning!$E$25,COLUMN(P40),ROW(P40),1,1)&lt;&gt;"",OFFSET(Planning!$D$25,COLUMN(P40),0,1,1),0)</f>
        <v>0</v>
      </c>
      <c r="Z43" s="68">
        <f ca="1">IF(OFFSET(Planning!$E$25,COLUMN(Q40),ROW(Q40),1,1)&lt;&gt;"",OFFSET(Planning!$D$25,COLUMN(Q40),0,1,1),0)</f>
        <v>0</v>
      </c>
      <c r="AA43" s="68">
        <f ca="1">IF(OFFSET(Planning!$E$25,COLUMN(R40),ROW(R40),1,1)&lt;&gt;"",OFFSET(Planning!$D$25,COLUMN(R40),0,1,1),0)</f>
        <v>0</v>
      </c>
      <c r="AB43" s="68">
        <f ca="1">IF(OFFSET(Planning!$E$25,COLUMN(S40),ROW(S40),1,1)&lt;&gt;"",OFFSET(Planning!$D$25,COLUMN(S40),0,1,1),0)</f>
        <v>0</v>
      </c>
      <c r="AC43" s="68">
        <f ca="1">IF(OFFSET(Planning!$E$25,COLUMN(T40),ROW(T40),1,1)&lt;&gt;"",OFFSET(Planning!$D$25,COLUMN(T40),0,1,1),0)</f>
        <v>0</v>
      </c>
      <c r="AD43" s="68">
        <f ca="1">VLOOKUP($B43,'Summary Calculations (hide)'!$D$15:$U$67,17,0)</f>
        <v>14.254500348202729</v>
      </c>
      <c r="AE43" s="68">
        <f ca="1">VLOOKUP($B43,'Summary Calculations (hide)'!$D$15:$U$67,18,0)</f>
        <v>2.9077629903405398</v>
      </c>
    </row>
    <row r="44" spans="1:31" x14ac:dyDescent="0.2">
      <c r="A44" s="88">
        <f t="shared" ca="1" si="3"/>
        <v>43866</v>
      </c>
      <c r="B44" s="68">
        <f t="shared" ca="1" si="0"/>
        <v>6</v>
      </c>
      <c r="C44" s="5">
        <f ca="1">IF(Planning!$C$8="No",VLOOKUP(B44,'Summary Calculations (hide)'!$D$15:$U$67,17,0),VLOOKUP(B44,'Summary Calculations (hide)'!$D$15:$F$67,2,0)*IF(Planning!$C$11="",1,1+Planning!$C$11)*'Summary Calculations (hide)'!$L$4/IF(Summary!$C$8="Patients",'Summary Calculations (hide)'!$I$9,1))</f>
        <v>14.254500348202729</v>
      </c>
      <c r="D44" s="5">
        <f ca="1">IF(Planning!$C$8="No",VLOOKUP('Planning (hide)'!B44,'Summary Calculations (hide)'!$D$15:$U$67,18,0),VLOOKUP(B44,'Summary Calculations (hide)'!$D$15:$F$67,3,0)*IF(Planning!$C$11="",1,1+Planning!$C$11)*'Summary Calculations (hide)'!$L$4/IF(Summary!$C$8="Patients",'Summary Calculations (hide)'!$I$9,1))-IF(Planning!$C$8="No",0,C44)</f>
        <v>2.9077629903405398</v>
      </c>
      <c r="E44" s="5">
        <f ca="1">VLOOKUP($B44,'Summary Calculations (hide)'!$D$15:$U$66,15,0)</f>
        <v>10.392307692307693</v>
      </c>
      <c r="F44" s="5">
        <f ca="1">VLOOKUP($B44,'Summary Calculations (hide)'!$D$15:$U$66,16,0)</f>
        <v>0</v>
      </c>
      <c r="G44" s="5">
        <f t="shared" ca="1" si="1"/>
        <v>10.392307692307693</v>
      </c>
      <c r="H44" s="5">
        <f t="shared" ca="1" si="2"/>
        <v>10.392307692307693</v>
      </c>
      <c r="I44" s="68">
        <f ca="1">IF(OFFSET(Planning!$E$25,0,ROW(A41),1,1)&lt;&gt;"",-'Planning (hide)'!$G44,0)</f>
        <v>0</v>
      </c>
      <c r="J44" s="68">
        <f ca="1">IF(OFFSET(Planning!$E$25,COLUMN(A41),ROW(A41),1,1)&lt;&gt;"",OFFSET(Planning!$D$25,COLUMN(A41),0,1,1),0)</f>
        <v>0</v>
      </c>
      <c r="K44" s="68">
        <f ca="1">IF(OFFSET(Planning!$E$25,COLUMN(B41),ROW(B41),1,1)&lt;&gt;"",OFFSET(Planning!$D$25,COLUMN(B41),0,1,1),0)</f>
        <v>0</v>
      </c>
      <c r="L44" s="68">
        <f ca="1">IF(OFFSET(Planning!$E$25,COLUMN(C41),ROW(C41),1,1)&lt;&gt;"",OFFSET(Planning!$D$25,COLUMN(C41),0,1,1),0)</f>
        <v>0</v>
      </c>
      <c r="M44" s="68">
        <f ca="1">IF(OFFSET(Planning!$E$25,COLUMN(D41),ROW(D41),1,1)&lt;&gt;"",OFFSET(Planning!$D$25,COLUMN(D41),0,1,1),0)</f>
        <v>0</v>
      </c>
      <c r="N44" s="68">
        <f ca="1">IF(OFFSET(Planning!$E$25,COLUMN(E41),ROW(E41),1,1)&lt;&gt;"",OFFSET(Planning!$D$25,COLUMN(E41),0,1,1),0)</f>
        <v>0</v>
      </c>
      <c r="O44" s="68">
        <f ca="1">IF(OFFSET(Planning!$E$25,COLUMN(F41),ROW(F41),1,1)&lt;&gt;"",OFFSET(Planning!$D$25,COLUMN(F41),0,1,1),0)</f>
        <v>0</v>
      </c>
      <c r="P44" s="68">
        <f ca="1">IF(OFFSET(Planning!$E$25,COLUMN(G41),ROW(G41),1,1)&lt;&gt;"",OFFSET(Planning!$D$25,COLUMN(G41),0,1,1),0)</f>
        <v>0</v>
      </c>
      <c r="Q44" s="68">
        <f ca="1">IF(OFFSET(Planning!$E$25,COLUMN(H41),ROW(H41),1,1)&lt;&gt;"",OFFSET(Planning!$D$25,COLUMN(H41),0,1,1),0)</f>
        <v>0</v>
      </c>
      <c r="R44" s="68">
        <f ca="1">IF(OFFSET(Planning!$E$25,COLUMN(I41),ROW(I41),1,1)&lt;&gt;"",OFFSET(Planning!$D$25,COLUMN(I41),0,1,1),0)</f>
        <v>0</v>
      </c>
      <c r="S44" s="68">
        <f ca="1">IF(OFFSET(Planning!$E$25,COLUMN(J41),ROW(J41),1,1)&lt;&gt;"",OFFSET(Planning!$D$25,COLUMN(J41),0,1,1),0)</f>
        <v>0</v>
      </c>
      <c r="T44" s="68">
        <f ca="1">IF(OFFSET(Planning!$E$25,COLUMN(K41),ROW(K41),1,1)&lt;&gt;"",OFFSET(Planning!$D$25,COLUMN(K41),0,1,1),0)</f>
        <v>0</v>
      </c>
      <c r="U44" s="68">
        <f ca="1">IF(OFFSET(Planning!$E$25,COLUMN(L41),ROW(L41),1,1)&lt;&gt;"",OFFSET(Planning!$D$25,COLUMN(L41),0,1,1),0)</f>
        <v>0</v>
      </c>
      <c r="V44" s="68">
        <f ca="1">IF(OFFSET(Planning!$E$25,COLUMN(M41),ROW(M41),1,1)&lt;&gt;"",OFFSET(Planning!$D$25,COLUMN(M41),0,1,1),0)</f>
        <v>0</v>
      </c>
      <c r="W44" s="68">
        <f ca="1">IF(OFFSET(Planning!$E$25,COLUMN(N41),ROW(N41),1,1)&lt;&gt;"",OFFSET(Planning!$D$25,COLUMN(N41),0,1,1),0)</f>
        <v>0</v>
      </c>
      <c r="X44" s="68">
        <f ca="1">IF(OFFSET(Planning!$E$25,COLUMN(O41),ROW(O41),1,1)&lt;&gt;"",OFFSET(Planning!$D$25,COLUMN(O41),0,1,1),0)</f>
        <v>0</v>
      </c>
      <c r="Y44" s="68">
        <f ca="1">IF(OFFSET(Planning!$E$25,COLUMN(P41),ROW(P41),1,1)&lt;&gt;"",OFFSET(Planning!$D$25,COLUMN(P41),0,1,1),0)</f>
        <v>0</v>
      </c>
      <c r="Z44" s="68">
        <f ca="1">IF(OFFSET(Planning!$E$25,COLUMN(Q41),ROW(Q41),1,1)&lt;&gt;"",OFFSET(Planning!$D$25,COLUMN(Q41),0,1,1),0)</f>
        <v>0</v>
      </c>
      <c r="AA44" s="68">
        <f ca="1">IF(OFFSET(Planning!$E$25,COLUMN(R41),ROW(R41),1,1)&lt;&gt;"",OFFSET(Planning!$D$25,COLUMN(R41),0,1,1),0)</f>
        <v>0</v>
      </c>
      <c r="AB44" s="68">
        <f ca="1">IF(OFFSET(Planning!$E$25,COLUMN(S41),ROW(S41),1,1)&lt;&gt;"",OFFSET(Planning!$D$25,COLUMN(S41),0,1,1),0)</f>
        <v>0</v>
      </c>
      <c r="AC44" s="68">
        <f ca="1">IF(OFFSET(Planning!$E$25,COLUMN(T41),ROW(T41),1,1)&lt;&gt;"",OFFSET(Planning!$D$25,COLUMN(T41),0,1,1),0)</f>
        <v>0</v>
      </c>
      <c r="AD44" s="68">
        <f ca="1">VLOOKUP($B44,'Summary Calculations (hide)'!$D$15:$U$67,17,0)</f>
        <v>14.254500348202729</v>
      </c>
      <c r="AE44" s="68">
        <f ca="1">VLOOKUP($B44,'Summary Calculations (hide)'!$D$15:$U$67,18,0)</f>
        <v>2.9077629903405398</v>
      </c>
    </row>
    <row r="45" spans="1:31" x14ac:dyDescent="0.2">
      <c r="A45" s="88">
        <f t="shared" ca="1" si="3"/>
        <v>43873</v>
      </c>
      <c r="B45" s="68">
        <f t="shared" ca="1" si="0"/>
        <v>7</v>
      </c>
      <c r="C45" s="5">
        <f ca="1">IF(Planning!$C$8="No",VLOOKUP(B45,'Summary Calculations (hide)'!$D$15:$U$67,17,0),VLOOKUP(B45,'Summary Calculations (hide)'!$D$15:$F$67,2,0)*IF(Planning!$C$11="",1,1+Planning!$C$11)*'Summary Calculations (hide)'!$L$4/IF(Summary!$C$8="Patients",'Summary Calculations (hide)'!$I$9,1))</f>
        <v>14.254500348202729</v>
      </c>
      <c r="D45" s="5">
        <f ca="1">IF(Planning!$C$8="No",VLOOKUP('Planning (hide)'!B45,'Summary Calculations (hide)'!$D$15:$U$67,18,0),VLOOKUP(B45,'Summary Calculations (hide)'!$D$15:$F$67,3,0)*IF(Planning!$C$11="",1,1+Planning!$C$11)*'Summary Calculations (hide)'!$L$4/IF(Summary!$C$8="Patients",'Summary Calculations (hide)'!$I$9,1))-IF(Planning!$C$8="No",0,C45)</f>
        <v>2.9077629903405398</v>
      </c>
      <c r="E45" s="5">
        <f ca="1">VLOOKUP($B45,'Summary Calculations (hide)'!$D$15:$U$66,15,0)</f>
        <v>10.392307692307693</v>
      </c>
      <c r="F45" s="5">
        <f ca="1">VLOOKUP($B45,'Summary Calculations (hide)'!$D$15:$U$66,16,0)</f>
        <v>0</v>
      </c>
      <c r="G45" s="5">
        <f t="shared" ca="1" si="1"/>
        <v>10.392307692307693</v>
      </c>
      <c r="H45" s="5">
        <f t="shared" ca="1" si="2"/>
        <v>10.392307692307693</v>
      </c>
      <c r="I45" s="68">
        <f ca="1">IF(OFFSET(Planning!$E$25,0,ROW(A42),1,1)&lt;&gt;"",-'Planning (hide)'!$G45,0)</f>
        <v>0</v>
      </c>
      <c r="J45" s="68">
        <f ca="1">IF(OFFSET(Planning!$E$25,COLUMN(A42),ROW(A42),1,1)&lt;&gt;"",OFFSET(Planning!$D$25,COLUMN(A42),0,1,1),0)</f>
        <v>0</v>
      </c>
      <c r="K45" s="68">
        <f ca="1">IF(OFFSET(Planning!$E$25,COLUMN(B42),ROW(B42),1,1)&lt;&gt;"",OFFSET(Planning!$D$25,COLUMN(B42),0,1,1),0)</f>
        <v>0</v>
      </c>
      <c r="L45" s="68">
        <f ca="1">IF(OFFSET(Planning!$E$25,COLUMN(C42),ROW(C42),1,1)&lt;&gt;"",OFFSET(Planning!$D$25,COLUMN(C42),0,1,1),0)</f>
        <v>0</v>
      </c>
      <c r="M45" s="68">
        <f ca="1">IF(OFFSET(Planning!$E$25,COLUMN(D42),ROW(D42),1,1)&lt;&gt;"",OFFSET(Planning!$D$25,COLUMN(D42),0,1,1),0)</f>
        <v>0</v>
      </c>
      <c r="N45" s="68">
        <f ca="1">IF(OFFSET(Planning!$E$25,COLUMN(E42),ROW(E42),1,1)&lt;&gt;"",OFFSET(Planning!$D$25,COLUMN(E42),0,1,1),0)</f>
        <v>0</v>
      </c>
      <c r="O45" s="68">
        <f ca="1">IF(OFFSET(Planning!$E$25,COLUMN(F42),ROW(F42),1,1)&lt;&gt;"",OFFSET(Planning!$D$25,COLUMN(F42),0,1,1),0)</f>
        <v>0</v>
      </c>
      <c r="P45" s="68">
        <f ca="1">IF(OFFSET(Planning!$E$25,COLUMN(G42),ROW(G42),1,1)&lt;&gt;"",OFFSET(Planning!$D$25,COLUMN(G42),0,1,1),0)</f>
        <v>0</v>
      </c>
      <c r="Q45" s="68">
        <f ca="1">IF(OFFSET(Planning!$E$25,COLUMN(H42),ROW(H42),1,1)&lt;&gt;"",OFFSET(Planning!$D$25,COLUMN(H42),0,1,1),0)</f>
        <v>0</v>
      </c>
      <c r="R45" s="68">
        <f ca="1">IF(OFFSET(Planning!$E$25,COLUMN(I42),ROW(I42),1,1)&lt;&gt;"",OFFSET(Planning!$D$25,COLUMN(I42),0,1,1),0)</f>
        <v>0</v>
      </c>
      <c r="S45" s="68">
        <f ca="1">IF(OFFSET(Planning!$E$25,COLUMN(J42),ROW(J42),1,1)&lt;&gt;"",OFFSET(Planning!$D$25,COLUMN(J42),0,1,1),0)</f>
        <v>0</v>
      </c>
      <c r="T45" s="68">
        <f ca="1">IF(OFFSET(Planning!$E$25,COLUMN(K42),ROW(K42),1,1)&lt;&gt;"",OFFSET(Planning!$D$25,COLUMN(K42),0,1,1),0)</f>
        <v>0</v>
      </c>
      <c r="U45" s="68">
        <f ca="1">IF(OFFSET(Planning!$E$25,COLUMN(L42),ROW(L42),1,1)&lt;&gt;"",OFFSET(Planning!$D$25,COLUMN(L42),0,1,1),0)</f>
        <v>0</v>
      </c>
      <c r="V45" s="68">
        <f ca="1">IF(OFFSET(Planning!$E$25,COLUMN(M42),ROW(M42),1,1)&lt;&gt;"",OFFSET(Planning!$D$25,COLUMN(M42),0,1,1),0)</f>
        <v>0</v>
      </c>
      <c r="W45" s="68">
        <f ca="1">IF(OFFSET(Planning!$E$25,COLUMN(N42),ROW(N42),1,1)&lt;&gt;"",OFFSET(Planning!$D$25,COLUMN(N42),0,1,1),0)</f>
        <v>0</v>
      </c>
      <c r="X45" s="68">
        <f ca="1">IF(OFFSET(Planning!$E$25,COLUMN(O42),ROW(O42),1,1)&lt;&gt;"",OFFSET(Planning!$D$25,COLUMN(O42),0,1,1),0)</f>
        <v>0</v>
      </c>
      <c r="Y45" s="68">
        <f ca="1">IF(OFFSET(Planning!$E$25,COLUMN(P42),ROW(P42),1,1)&lt;&gt;"",OFFSET(Planning!$D$25,COLUMN(P42),0,1,1),0)</f>
        <v>0</v>
      </c>
      <c r="Z45" s="68">
        <f ca="1">IF(OFFSET(Planning!$E$25,COLUMN(Q42),ROW(Q42),1,1)&lt;&gt;"",OFFSET(Planning!$D$25,COLUMN(Q42),0,1,1),0)</f>
        <v>0</v>
      </c>
      <c r="AA45" s="68">
        <f ca="1">IF(OFFSET(Planning!$E$25,COLUMN(R42),ROW(R42),1,1)&lt;&gt;"",OFFSET(Planning!$D$25,COLUMN(R42),0,1,1),0)</f>
        <v>0</v>
      </c>
      <c r="AB45" s="68">
        <f ca="1">IF(OFFSET(Planning!$E$25,COLUMN(S42),ROW(S42),1,1)&lt;&gt;"",OFFSET(Planning!$D$25,COLUMN(S42),0,1,1),0)</f>
        <v>0</v>
      </c>
      <c r="AC45" s="68">
        <f ca="1">IF(OFFSET(Planning!$E$25,COLUMN(T42),ROW(T42),1,1)&lt;&gt;"",OFFSET(Planning!$D$25,COLUMN(T42),0,1,1),0)</f>
        <v>0</v>
      </c>
      <c r="AD45" s="68">
        <f ca="1">VLOOKUP($B45,'Summary Calculations (hide)'!$D$15:$U$67,17,0)</f>
        <v>14.254500348202729</v>
      </c>
      <c r="AE45" s="68">
        <f ca="1">VLOOKUP($B45,'Summary Calculations (hide)'!$D$15:$U$67,18,0)</f>
        <v>2.9077629903405398</v>
      </c>
    </row>
    <row r="46" spans="1:31" x14ac:dyDescent="0.2">
      <c r="A46" s="88">
        <f t="shared" ca="1" si="3"/>
        <v>43880</v>
      </c>
      <c r="B46" s="68">
        <f t="shared" ca="1" si="0"/>
        <v>8</v>
      </c>
      <c r="C46" s="5">
        <f ca="1">IF(Planning!$C$8="No",VLOOKUP(B46,'Summary Calculations (hide)'!$D$15:$U$67,17,0),VLOOKUP(B46,'Summary Calculations (hide)'!$D$15:$F$67,2,0)*IF(Planning!$C$11="",1,1+Planning!$C$11)*'Summary Calculations (hide)'!$L$4/IF(Summary!$C$8="Patients",'Summary Calculations (hide)'!$I$9,1))</f>
        <v>14.254500348202729</v>
      </c>
      <c r="D46" s="5">
        <f ca="1">IF(Planning!$C$8="No",VLOOKUP('Planning (hide)'!B46,'Summary Calculations (hide)'!$D$15:$U$67,18,0),VLOOKUP(B46,'Summary Calculations (hide)'!$D$15:$F$67,3,0)*IF(Planning!$C$11="",1,1+Planning!$C$11)*'Summary Calculations (hide)'!$L$4/IF(Summary!$C$8="Patients",'Summary Calculations (hide)'!$I$9,1))-IF(Planning!$C$8="No",0,C46)</f>
        <v>2.9077629903405398</v>
      </c>
      <c r="E46" s="5">
        <f ca="1">VLOOKUP($B46,'Summary Calculations (hide)'!$D$15:$U$66,15,0)</f>
        <v>10.392307692307693</v>
      </c>
      <c r="F46" s="5">
        <f ca="1">VLOOKUP($B46,'Summary Calculations (hide)'!$D$15:$U$66,16,0)</f>
        <v>0</v>
      </c>
      <c r="G46" s="5">
        <f t="shared" ca="1" si="1"/>
        <v>10.392307692307693</v>
      </c>
      <c r="H46" s="5">
        <f t="shared" ca="1" si="2"/>
        <v>10.392307692307693</v>
      </c>
      <c r="I46" s="68">
        <f ca="1">IF(OFFSET(Planning!$E$25,0,ROW(A43),1,1)&lt;&gt;"",-'Planning (hide)'!$G46,0)</f>
        <v>0</v>
      </c>
      <c r="J46" s="68">
        <f ca="1">IF(OFFSET(Planning!$E$25,COLUMN(A43),ROW(A43),1,1)&lt;&gt;"",OFFSET(Planning!$D$25,COLUMN(A43),0,1,1),0)</f>
        <v>0</v>
      </c>
      <c r="K46" s="68">
        <f ca="1">IF(OFFSET(Planning!$E$25,COLUMN(B43),ROW(B43),1,1)&lt;&gt;"",OFFSET(Planning!$D$25,COLUMN(B43),0,1,1),0)</f>
        <v>0</v>
      </c>
      <c r="L46" s="68">
        <f ca="1">IF(OFFSET(Planning!$E$25,COLUMN(C43),ROW(C43),1,1)&lt;&gt;"",OFFSET(Planning!$D$25,COLUMN(C43),0,1,1),0)</f>
        <v>0</v>
      </c>
      <c r="M46" s="68">
        <f ca="1">IF(OFFSET(Planning!$E$25,COLUMN(D43),ROW(D43),1,1)&lt;&gt;"",OFFSET(Planning!$D$25,COLUMN(D43),0,1,1),0)</f>
        <v>0</v>
      </c>
      <c r="N46" s="68">
        <f ca="1">IF(OFFSET(Planning!$E$25,COLUMN(E43),ROW(E43),1,1)&lt;&gt;"",OFFSET(Planning!$D$25,COLUMN(E43),0,1,1),0)</f>
        <v>0</v>
      </c>
      <c r="O46" s="68">
        <f ca="1">IF(OFFSET(Planning!$E$25,COLUMN(F43),ROW(F43),1,1)&lt;&gt;"",OFFSET(Planning!$D$25,COLUMN(F43),0,1,1),0)</f>
        <v>0</v>
      </c>
      <c r="P46" s="68">
        <f ca="1">IF(OFFSET(Planning!$E$25,COLUMN(G43),ROW(G43),1,1)&lt;&gt;"",OFFSET(Planning!$D$25,COLUMN(G43),0,1,1),0)</f>
        <v>0</v>
      </c>
      <c r="Q46" s="68">
        <f ca="1">IF(OFFSET(Planning!$E$25,COLUMN(H43),ROW(H43),1,1)&lt;&gt;"",OFFSET(Planning!$D$25,COLUMN(H43),0,1,1),0)</f>
        <v>0</v>
      </c>
      <c r="R46" s="68">
        <f ca="1">IF(OFFSET(Planning!$E$25,COLUMN(I43),ROW(I43),1,1)&lt;&gt;"",OFFSET(Planning!$D$25,COLUMN(I43),0,1,1),0)</f>
        <v>0</v>
      </c>
      <c r="S46" s="68">
        <f ca="1">IF(OFFSET(Planning!$E$25,COLUMN(J43),ROW(J43),1,1)&lt;&gt;"",OFFSET(Planning!$D$25,COLUMN(J43),0,1,1),0)</f>
        <v>0</v>
      </c>
      <c r="T46" s="68">
        <f ca="1">IF(OFFSET(Planning!$E$25,COLUMN(K43),ROW(K43),1,1)&lt;&gt;"",OFFSET(Planning!$D$25,COLUMN(K43),0,1,1),0)</f>
        <v>0</v>
      </c>
      <c r="U46" s="68">
        <f ca="1">IF(OFFSET(Planning!$E$25,COLUMN(L43),ROW(L43),1,1)&lt;&gt;"",OFFSET(Planning!$D$25,COLUMN(L43),0,1,1),0)</f>
        <v>0</v>
      </c>
      <c r="V46" s="68">
        <f ca="1">IF(OFFSET(Planning!$E$25,COLUMN(M43),ROW(M43),1,1)&lt;&gt;"",OFFSET(Planning!$D$25,COLUMN(M43),0,1,1),0)</f>
        <v>0</v>
      </c>
      <c r="W46" s="68">
        <f ca="1">IF(OFFSET(Planning!$E$25,COLUMN(N43),ROW(N43),1,1)&lt;&gt;"",OFFSET(Planning!$D$25,COLUMN(N43),0,1,1),0)</f>
        <v>0</v>
      </c>
      <c r="X46" s="68">
        <f ca="1">IF(OFFSET(Planning!$E$25,COLUMN(O43),ROW(O43),1,1)&lt;&gt;"",OFFSET(Planning!$D$25,COLUMN(O43),0,1,1),0)</f>
        <v>0</v>
      </c>
      <c r="Y46" s="68">
        <f ca="1">IF(OFFSET(Planning!$E$25,COLUMN(P43),ROW(P43),1,1)&lt;&gt;"",OFFSET(Planning!$D$25,COLUMN(P43),0,1,1),0)</f>
        <v>0</v>
      </c>
      <c r="Z46" s="68">
        <f ca="1">IF(OFFSET(Planning!$E$25,COLUMN(Q43),ROW(Q43),1,1)&lt;&gt;"",OFFSET(Planning!$D$25,COLUMN(Q43),0,1,1),0)</f>
        <v>0</v>
      </c>
      <c r="AA46" s="68">
        <f ca="1">IF(OFFSET(Planning!$E$25,COLUMN(R43),ROW(R43),1,1)&lt;&gt;"",OFFSET(Planning!$D$25,COLUMN(R43),0,1,1),0)</f>
        <v>0</v>
      </c>
      <c r="AB46" s="68">
        <f ca="1">IF(OFFSET(Planning!$E$25,COLUMN(S43),ROW(S43),1,1)&lt;&gt;"",OFFSET(Planning!$D$25,COLUMN(S43),0,1,1),0)</f>
        <v>0</v>
      </c>
      <c r="AC46" s="68">
        <f ca="1">IF(OFFSET(Planning!$E$25,COLUMN(T43),ROW(T43),1,1)&lt;&gt;"",OFFSET(Planning!$D$25,COLUMN(T43),0,1,1),0)</f>
        <v>0</v>
      </c>
      <c r="AD46" s="68">
        <f ca="1">VLOOKUP($B46,'Summary Calculations (hide)'!$D$15:$U$67,17,0)</f>
        <v>14.254500348202729</v>
      </c>
      <c r="AE46" s="68">
        <f ca="1">VLOOKUP($B46,'Summary Calculations (hide)'!$D$15:$U$67,18,0)</f>
        <v>2.9077629903405398</v>
      </c>
    </row>
    <row r="47" spans="1:31" x14ac:dyDescent="0.2">
      <c r="A47" s="88">
        <f t="shared" ca="1" si="3"/>
        <v>43887</v>
      </c>
      <c r="B47" s="68">
        <f t="shared" ca="1" si="0"/>
        <v>9</v>
      </c>
      <c r="C47" s="5">
        <f ca="1">IF(Planning!$C$8="No",VLOOKUP(B47,'Summary Calculations (hide)'!$D$15:$U$67,17,0),VLOOKUP(B47,'Summary Calculations (hide)'!$D$15:$F$67,2,0)*IF(Planning!$C$11="",1,1+Planning!$C$11)*'Summary Calculations (hide)'!$L$4/IF(Summary!$C$8="Patients",'Summary Calculations (hide)'!$I$9,1))</f>
        <v>14.254500348202729</v>
      </c>
      <c r="D47" s="5">
        <f ca="1">IF(Planning!$C$8="No",VLOOKUP('Planning (hide)'!B47,'Summary Calculations (hide)'!$D$15:$U$67,18,0),VLOOKUP(B47,'Summary Calculations (hide)'!$D$15:$F$67,3,0)*IF(Planning!$C$11="",1,1+Planning!$C$11)*'Summary Calculations (hide)'!$L$4/IF(Summary!$C$8="Patients",'Summary Calculations (hide)'!$I$9,1))-IF(Planning!$C$8="No",0,C47)</f>
        <v>2.9077629903405398</v>
      </c>
      <c r="E47" s="5">
        <f ca="1">VLOOKUP($B47,'Summary Calculations (hide)'!$D$15:$U$66,15,0)</f>
        <v>10.392307692307693</v>
      </c>
      <c r="F47" s="5">
        <f ca="1">VLOOKUP($B47,'Summary Calculations (hide)'!$D$15:$U$66,16,0)</f>
        <v>0</v>
      </c>
      <c r="G47" s="5">
        <f t="shared" ca="1" si="1"/>
        <v>10.392307692307693</v>
      </c>
      <c r="H47" s="5">
        <f t="shared" ca="1" si="2"/>
        <v>10.392307692307693</v>
      </c>
      <c r="I47" s="68">
        <f ca="1">IF(OFFSET(Planning!$E$25,0,ROW(A44),1,1)&lt;&gt;"",-'Planning (hide)'!$G47,0)</f>
        <v>0</v>
      </c>
      <c r="J47" s="68">
        <f ca="1">IF(OFFSET(Planning!$E$25,COLUMN(A44),ROW(A44),1,1)&lt;&gt;"",OFFSET(Planning!$D$25,COLUMN(A44),0,1,1),0)</f>
        <v>0</v>
      </c>
      <c r="K47" s="68">
        <f ca="1">IF(OFFSET(Planning!$E$25,COLUMN(B44),ROW(B44),1,1)&lt;&gt;"",OFFSET(Planning!$D$25,COLUMN(B44),0,1,1),0)</f>
        <v>0</v>
      </c>
      <c r="L47" s="68">
        <f ca="1">IF(OFFSET(Planning!$E$25,COLUMN(C44),ROW(C44),1,1)&lt;&gt;"",OFFSET(Planning!$D$25,COLUMN(C44),0,1,1),0)</f>
        <v>0</v>
      </c>
      <c r="M47" s="68">
        <f ca="1">IF(OFFSET(Planning!$E$25,COLUMN(D44),ROW(D44),1,1)&lt;&gt;"",OFFSET(Planning!$D$25,COLUMN(D44),0,1,1),0)</f>
        <v>0</v>
      </c>
      <c r="N47" s="68">
        <f ca="1">IF(OFFSET(Planning!$E$25,COLUMN(E44),ROW(E44),1,1)&lt;&gt;"",OFFSET(Planning!$D$25,COLUMN(E44),0,1,1),0)</f>
        <v>0</v>
      </c>
      <c r="O47" s="68">
        <f ca="1">IF(OFFSET(Planning!$E$25,COLUMN(F44),ROW(F44),1,1)&lt;&gt;"",OFFSET(Planning!$D$25,COLUMN(F44),0,1,1),0)</f>
        <v>0</v>
      </c>
      <c r="P47" s="68">
        <f ca="1">IF(OFFSET(Planning!$E$25,COLUMN(G44),ROW(G44),1,1)&lt;&gt;"",OFFSET(Planning!$D$25,COLUMN(G44),0,1,1),0)</f>
        <v>0</v>
      </c>
      <c r="Q47" s="68">
        <f ca="1">IF(OFFSET(Planning!$E$25,COLUMN(H44),ROW(H44),1,1)&lt;&gt;"",OFFSET(Planning!$D$25,COLUMN(H44),0,1,1),0)</f>
        <v>0</v>
      </c>
      <c r="R47" s="68">
        <f ca="1">IF(OFFSET(Planning!$E$25,COLUMN(I44),ROW(I44),1,1)&lt;&gt;"",OFFSET(Planning!$D$25,COLUMN(I44),0,1,1),0)</f>
        <v>0</v>
      </c>
      <c r="S47" s="68">
        <f ca="1">IF(OFFSET(Planning!$E$25,COLUMN(J44),ROW(J44),1,1)&lt;&gt;"",OFFSET(Planning!$D$25,COLUMN(J44),0,1,1),0)</f>
        <v>0</v>
      </c>
      <c r="T47" s="68">
        <f ca="1">IF(OFFSET(Planning!$E$25,COLUMN(K44),ROW(K44),1,1)&lt;&gt;"",OFFSET(Planning!$D$25,COLUMN(K44),0,1,1),0)</f>
        <v>0</v>
      </c>
      <c r="U47" s="68">
        <f ca="1">IF(OFFSET(Planning!$E$25,COLUMN(L44),ROW(L44),1,1)&lt;&gt;"",OFFSET(Planning!$D$25,COLUMN(L44),0,1,1),0)</f>
        <v>0</v>
      </c>
      <c r="V47" s="68">
        <f ca="1">IF(OFFSET(Planning!$E$25,COLUMN(M44),ROW(M44),1,1)&lt;&gt;"",OFFSET(Planning!$D$25,COLUMN(M44),0,1,1),0)</f>
        <v>0</v>
      </c>
      <c r="W47" s="68">
        <f ca="1">IF(OFFSET(Planning!$E$25,COLUMN(N44),ROW(N44),1,1)&lt;&gt;"",OFFSET(Planning!$D$25,COLUMN(N44),0,1,1),0)</f>
        <v>0</v>
      </c>
      <c r="X47" s="68">
        <f ca="1">IF(OFFSET(Planning!$E$25,COLUMN(O44),ROW(O44),1,1)&lt;&gt;"",OFFSET(Planning!$D$25,COLUMN(O44),0,1,1),0)</f>
        <v>0</v>
      </c>
      <c r="Y47" s="68">
        <f ca="1">IF(OFFSET(Planning!$E$25,COLUMN(P44),ROW(P44),1,1)&lt;&gt;"",OFFSET(Planning!$D$25,COLUMN(P44),0,1,1),0)</f>
        <v>0</v>
      </c>
      <c r="Z47" s="68">
        <f ca="1">IF(OFFSET(Planning!$E$25,COLUMN(Q44),ROW(Q44),1,1)&lt;&gt;"",OFFSET(Planning!$D$25,COLUMN(Q44),0,1,1),0)</f>
        <v>0</v>
      </c>
      <c r="AA47" s="68">
        <f ca="1">IF(OFFSET(Planning!$E$25,COLUMN(R44),ROW(R44),1,1)&lt;&gt;"",OFFSET(Planning!$D$25,COLUMN(R44),0,1,1),0)</f>
        <v>0</v>
      </c>
      <c r="AB47" s="68">
        <f ca="1">IF(OFFSET(Planning!$E$25,COLUMN(S44),ROW(S44),1,1)&lt;&gt;"",OFFSET(Planning!$D$25,COLUMN(S44),0,1,1),0)</f>
        <v>0</v>
      </c>
      <c r="AC47" s="68">
        <f ca="1">IF(OFFSET(Planning!$E$25,COLUMN(T44),ROW(T44),1,1)&lt;&gt;"",OFFSET(Planning!$D$25,COLUMN(T44),0,1,1),0)</f>
        <v>0</v>
      </c>
      <c r="AD47" s="68">
        <f ca="1">VLOOKUP($B47,'Summary Calculations (hide)'!$D$15:$U$67,17,0)</f>
        <v>14.254500348202729</v>
      </c>
      <c r="AE47" s="68">
        <f ca="1">VLOOKUP($B47,'Summary Calculations (hide)'!$D$15:$U$67,18,0)</f>
        <v>2.9077629903405398</v>
      </c>
    </row>
    <row r="48" spans="1:31" x14ac:dyDescent="0.2">
      <c r="A48" s="88">
        <f t="shared" ca="1" si="3"/>
        <v>43894</v>
      </c>
      <c r="B48" s="68">
        <f t="shared" ca="1" si="0"/>
        <v>10</v>
      </c>
      <c r="C48" s="5">
        <f ca="1">IF(Planning!$C$8="No",VLOOKUP(B48,'Summary Calculations (hide)'!$D$15:$U$67,17,0),VLOOKUP(B48,'Summary Calculations (hide)'!$D$15:$F$67,2,0)*IF(Planning!$C$11="",1,1+Planning!$C$11)*'Summary Calculations (hide)'!$L$4/IF(Summary!$C$8="Patients",'Summary Calculations (hide)'!$I$9,1))</f>
        <v>14.254500348202729</v>
      </c>
      <c r="D48" s="5">
        <f ca="1">IF(Planning!$C$8="No",VLOOKUP('Planning (hide)'!B48,'Summary Calculations (hide)'!$D$15:$U$67,18,0),VLOOKUP(B48,'Summary Calculations (hide)'!$D$15:$F$67,3,0)*IF(Planning!$C$11="",1,1+Planning!$C$11)*'Summary Calculations (hide)'!$L$4/IF(Summary!$C$8="Patients",'Summary Calculations (hide)'!$I$9,1))-IF(Planning!$C$8="No",0,C48)</f>
        <v>2.9077629903405398</v>
      </c>
      <c r="E48" s="5">
        <f ca="1">VLOOKUP($B48,'Summary Calculations (hide)'!$D$15:$U$66,15,0)</f>
        <v>10.392307692307693</v>
      </c>
      <c r="F48" s="5">
        <f ca="1">VLOOKUP($B48,'Summary Calculations (hide)'!$D$15:$U$66,16,0)</f>
        <v>0</v>
      </c>
      <c r="G48" s="5">
        <f t="shared" ca="1" si="1"/>
        <v>10.392307692307693</v>
      </c>
      <c r="H48" s="5">
        <f t="shared" ca="1" si="2"/>
        <v>112.3923076923077</v>
      </c>
      <c r="I48" s="68">
        <f ca="1">IF(OFFSET(Planning!$E$25,0,ROW(A45),1,1)&lt;&gt;"",-'Planning (hide)'!$G48,0)</f>
        <v>0</v>
      </c>
      <c r="J48" s="68">
        <f ca="1">IF(OFFSET(Planning!$E$25,COLUMN(A45),ROW(A45),1,1)&lt;&gt;"",OFFSET(Planning!$D$25,COLUMN(A45),0,1,1),0)</f>
        <v>0</v>
      </c>
      <c r="K48" s="68">
        <f ca="1">IF(OFFSET(Planning!$E$25,COLUMN(B45),ROW(B45),1,1)&lt;&gt;"",OFFSET(Planning!$D$25,COLUMN(B45),0,1,1),0)</f>
        <v>102</v>
      </c>
      <c r="L48" s="68">
        <f ca="1">IF(OFFSET(Planning!$E$25,COLUMN(C45),ROW(C45),1,1)&lt;&gt;"",OFFSET(Planning!$D$25,COLUMN(C45),0,1,1),0)</f>
        <v>0</v>
      </c>
      <c r="M48" s="68">
        <f ca="1">IF(OFFSET(Planning!$E$25,COLUMN(D45),ROW(D45),1,1)&lt;&gt;"",OFFSET(Planning!$D$25,COLUMN(D45),0,1,1),0)</f>
        <v>0</v>
      </c>
      <c r="N48" s="68">
        <f ca="1">IF(OFFSET(Planning!$E$25,COLUMN(E45),ROW(E45),1,1)&lt;&gt;"",OFFSET(Planning!$D$25,COLUMN(E45),0,1,1),0)</f>
        <v>0</v>
      </c>
      <c r="O48" s="68">
        <f ca="1">IF(OFFSET(Planning!$E$25,COLUMN(F45),ROW(F45),1,1)&lt;&gt;"",OFFSET(Planning!$D$25,COLUMN(F45),0,1,1),0)</f>
        <v>0</v>
      </c>
      <c r="P48" s="68">
        <f ca="1">IF(OFFSET(Planning!$E$25,COLUMN(G45),ROW(G45),1,1)&lt;&gt;"",OFFSET(Planning!$D$25,COLUMN(G45),0,1,1),0)</f>
        <v>0</v>
      </c>
      <c r="Q48" s="68">
        <f ca="1">IF(OFFSET(Planning!$E$25,COLUMN(H45),ROW(H45),1,1)&lt;&gt;"",OFFSET(Planning!$D$25,COLUMN(H45),0,1,1),0)</f>
        <v>0</v>
      </c>
      <c r="R48" s="68">
        <f ca="1">IF(OFFSET(Planning!$E$25,COLUMN(I45),ROW(I45),1,1)&lt;&gt;"",OFFSET(Planning!$D$25,COLUMN(I45),0,1,1),0)</f>
        <v>0</v>
      </c>
      <c r="S48" s="68">
        <f ca="1">IF(OFFSET(Planning!$E$25,COLUMN(J45),ROW(J45),1,1)&lt;&gt;"",OFFSET(Planning!$D$25,COLUMN(J45),0,1,1),0)</f>
        <v>0</v>
      </c>
      <c r="T48" s="68">
        <f ca="1">IF(OFFSET(Planning!$E$25,COLUMN(K45),ROW(K45),1,1)&lt;&gt;"",OFFSET(Planning!$D$25,COLUMN(K45),0,1,1),0)</f>
        <v>0</v>
      </c>
      <c r="U48" s="68">
        <f ca="1">IF(OFFSET(Planning!$E$25,COLUMN(L45),ROW(L45),1,1)&lt;&gt;"",OFFSET(Planning!$D$25,COLUMN(L45),0,1,1),0)</f>
        <v>0</v>
      </c>
      <c r="V48" s="68">
        <f ca="1">IF(OFFSET(Planning!$E$25,COLUMN(M45),ROW(M45),1,1)&lt;&gt;"",OFFSET(Planning!$D$25,COLUMN(M45),0,1,1),0)</f>
        <v>0</v>
      </c>
      <c r="W48" s="68">
        <f ca="1">IF(OFFSET(Planning!$E$25,COLUMN(N45),ROW(N45),1,1)&lt;&gt;"",OFFSET(Planning!$D$25,COLUMN(N45),0,1,1),0)</f>
        <v>0</v>
      </c>
      <c r="X48" s="68">
        <f ca="1">IF(OFFSET(Planning!$E$25,COLUMN(O45),ROW(O45),1,1)&lt;&gt;"",OFFSET(Planning!$D$25,COLUMN(O45),0,1,1),0)</f>
        <v>0</v>
      </c>
      <c r="Y48" s="68">
        <f ca="1">IF(OFFSET(Planning!$E$25,COLUMN(P45),ROW(P45),1,1)&lt;&gt;"",OFFSET(Planning!$D$25,COLUMN(P45),0,1,1),0)</f>
        <v>0</v>
      </c>
      <c r="Z48" s="68">
        <f ca="1">IF(OFFSET(Planning!$E$25,COLUMN(Q45),ROW(Q45),1,1)&lt;&gt;"",OFFSET(Planning!$D$25,COLUMN(Q45),0,1,1),0)</f>
        <v>0</v>
      </c>
      <c r="AA48" s="68">
        <f ca="1">IF(OFFSET(Planning!$E$25,COLUMN(R45),ROW(R45),1,1)&lt;&gt;"",OFFSET(Planning!$D$25,COLUMN(R45),0,1,1),0)</f>
        <v>0</v>
      </c>
      <c r="AB48" s="68">
        <f ca="1">IF(OFFSET(Planning!$E$25,COLUMN(S45),ROW(S45),1,1)&lt;&gt;"",OFFSET(Planning!$D$25,COLUMN(S45),0,1,1),0)</f>
        <v>0</v>
      </c>
      <c r="AC48" s="68">
        <f ca="1">IF(OFFSET(Planning!$E$25,COLUMN(T45),ROW(T45),1,1)&lt;&gt;"",OFFSET(Planning!$D$25,COLUMN(T45),0,1,1),0)</f>
        <v>0</v>
      </c>
      <c r="AD48" s="68">
        <f ca="1">VLOOKUP($B48,'Summary Calculations (hide)'!$D$15:$U$67,17,0)</f>
        <v>14.254500348202729</v>
      </c>
      <c r="AE48" s="68">
        <f ca="1">VLOOKUP($B48,'Summary Calculations (hide)'!$D$15:$U$67,18,0)</f>
        <v>2.9077629903405398</v>
      </c>
    </row>
    <row r="49" spans="1:31" x14ac:dyDescent="0.2">
      <c r="A49" s="88">
        <f t="shared" ca="1" si="3"/>
        <v>43901</v>
      </c>
      <c r="B49" s="68">
        <f t="shared" ca="1" si="0"/>
        <v>11</v>
      </c>
      <c r="C49" s="5">
        <f ca="1">IF(Planning!$C$8="No",VLOOKUP(B49,'Summary Calculations (hide)'!$D$15:$U$67,17,0),VLOOKUP(B49,'Summary Calculations (hide)'!$D$15:$F$67,2,0)*IF(Planning!$C$11="",1,1+Planning!$C$11)*'Summary Calculations (hide)'!$L$4/IF(Summary!$C$8="Patients",'Summary Calculations (hide)'!$I$9,1))</f>
        <v>14.254500348202729</v>
      </c>
      <c r="D49" s="5">
        <f ca="1">IF(Planning!$C$8="No",VLOOKUP('Planning (hide)'!B49,'Summary Calculations (hide)'!$D$15:$U$67,18,0),VLOOKUP(B49,'Summary Calculations (hide)'!$D$15:$F$67,3,0)*IF(Planning!$C$11="",1,1+Planning!$C$11)*'Summary Calculations (hide)'!$L$4/IF(Summary!$C$8="Patients",'Summary Calculations (hide)'!$I$9,1))-IF(Planning!$C$8="No",0,C49)</f>
        <v>2.9077629903405398</v>
      </c>
      <c r="E49" s="5">
        <f ca="1">VLOOKUP($B49,'Summary Calculations (hide)'!$D$15:$U$66,15,0)</f>
        <v>10.392307692307693</v>
      </c>
      <c r="F49" s="5">
        <f ca="1">VLOOKUP($B49,'Summary Calculations (hide)'!$D$15:$U$66,16,0)</f>
        <v>0</v>
      </c>
      <c r="G49" s="5">
        <f t="shared" ca="1" si="1"/>
        <v>10.392307692307693</v>
      </c>
      <c r="H49" s="5">
        <f t="shared" ca="1" si="2"/>
        <v>112.3923076923077</v>
      </c>
      <c r="I49" s="68">
        <f ca="1">IF(OFFSET(Planning!$E$25,0,ROW(A46),1,1)&lt;&gt;"",-'Planning (hide)'!$G49,0)</f>
        <v>0</v>
      </c>
      <c r="J49" s="68">
        <f ca="1">IF(OFFSET(Planning!$E$25,COLUMN(A46),ROW(A46),1,1)&lt;&gt;"",OFFSET(Planning!$D$25,COLUMN(A46),0,1,1),0)</f>
        <v>0</v>
      </c>
      <c r="K49" s="68">
        <f ca="1">IF(OFFSET(Planning!$E$25,COLUMN(B46),ROW(B46),1,1)&lt;&gt;"",OFFSET(Planning!$D$25,COLUMN(B46),0,1,1),0)</f>
        <v>102</v>
      </c>
      <c r="L49" s="68">
        <f ca="1">IF(OFFSET(Planning!$E$25,COLUMN(C46),ROW(C46),1,1)&lt;&gt;"",OFFSET(Planning!$D$25,COLUMN(C46),0,1,1),0)</f>
        <v>0</v>
      </c>
      <c r="M49" s="68">
        <f ca="1">IF(OFFSET(Planning!$E$25,COLUMN(D46),ROW(D46),1,1)&lt;&gt;"",OFFSET(Planning!$D$25,COLUMN(D46),0,1,1),0)</f>
        <v>0</v>
      </c>
      <c r="N49" s="68">
        <f ca="1">IF(OFFSET(Planning!$E$25,COLUMN(E46),ROW(E46),1,1)&lt;&gt;"",OFFSET(Planning!$D$25,COLUMN(E46),0,1,1),0)</f>
        <v>0</v>
      </c>
      <c r="O49" s="68">
        <f ca="1">IF(OFFSET(Planning!$E$25,COLUMN(F46),ROW(F46),1,1)&lt;&gt;"",OFFSET(Planning!$D$25,COLUMN(F46),0,1,1),0)</f>
        <v>0</v>
      </c>
      <c r="P49" s="68">
        <f ca="1">IF(OFFSET(Planning!$E$25,COLUMN(G46),ROW(G46),1,1)&lt;&gt;"",OFFSET(Planning!$D$25,COLUMN(G46),0,1,1),0)</f>
        <v>0</v>
      </c>
      <c r="Q49" s="68">
        <f ca="1">IF(OFFSET(Planning!$E$25,COLUMN(H46),ROW(H46),1,1)&lt;&gt;"",OFFSET(Planning!$D$25,COLUMN(H46),0,1,1),0)</f>
        <v>0</v>
      </c>
      <c r="R49" s="68">
        <f ca="1">IF(OFFSET(Planning!$E$25,COLUMN(I46),ROW(I46),1,1)&lt;&gt;"",OFFSET(Planning!$D$25,COLUMN(I46),0,1,1),0)</f>
        <v>0</v>
      </c>
      <c r="S49" s="68">
        <f ca="1">IF(OFFSET(Planning!$E$25,COLUMN(J46),ROW(J46),1,1)&lt;&gt;"",OFFSET(Planning!$D$25,COLUMN(J46),0,1,1),0)</f>
        <v>0</v>
      </c>
      <c r="T49" s="68">
        <f ca="1">IF(OFFSET(Planning!$E$25,COLUMN(K46),ROW(K46),1,1)&lt;&gt;"",OFFSET(Planning!$D$25,COLUMN(K46),0,1,1),0)</f>
        <v>0</v>
      </c>
      <c r="U49" s="68">
        <f ca="1">IF(OFFSET(Planning!$E$25,COLUMN(L46),ROW(L46),1,1)&lt;&gt;"",OFFSET(Planning!$D$25,COLUMN(L46),0,1,1),0)</f>
        <v>0</v>
      </c>
      <c r="V49" s="68">
        <f ca="1">IF(OFFSET(Planning!$E$25,COLUMN(M46),ROW(M46),1,1)&lt;&gt;"",OFFSET(Planning!$D$25,COLUMN(M46),0,1,1),0)</f>
        <v>0</v>
      </c>
      <c r="W49" s="68">
        <f ca="1">IF(OFFSET(Planning!$E$25,COLUMN(N46),ROW(N46),1,1)&lt;&gt;"",OFFSET(Planning!$D$25,COLUMN(N46),0,1,1),0)</f>
        <v>0</v>
      </c>
      <c r="X49" s="68">
        <f ca="1">IF(OFFSET(Planning!$E$25,COLUMN(O46),ROW(O46),1,1)&lt;&gt;"",OFFSET(Planning!$D$25,COLUMN(O46),0,1,1),0)</f>
        <v>0</v>
      </c>
      <c r="Y49" s="68">
        <f ca="1">IF(OFFSET(Planning!$E$25,COLUMN(P46),ROW(P46),1,1)&lt;&gt;"",OFFSET(Planning!$D$25,COLUMN(P46),0,1,1),0)</f>
        <v>0</v>
      </c>
      <c r="Z49" s="68">
        <f ca="1">IF(OFFSET(Planning!$E$25,COLUMN(Q46),ROW(Q46),1,1)&lt;&gt;"",OFFSET(Planning!$D$25,COLUMN(Q46),0,1,1),0)</f>
        <v>0</v>
      </c>
      <c r="AA49" s="68">
        <f ca="1">IF(OFFSET(Planning!$E$25,COLUMN(R46),ROW(R46),1,1)&lt;&gt;"",OFFSET(Planning!$D$25,COLUMN(R46),0,1,1),0)</f>
        <v>0</v>
      </c>
      <c r="AB49" s="68">
        <f ca="1">IF(OFFSET(Planning!$E$25,COLUMN(S46),ROW(S46),1,1)&lt;&gt;"",OFFSET(Planning!$D$25,COLUMN(S46),0,1,1),0)</f>
        <v>0</v>
      </c>
      <c r="AC49" s="68">
        <f ca="1">IF(OFFSET(Planning!$E$25,COLUMN(T46),ROW(T46),1,1)&lt;&gt;"",OFFSET(Planning!$D$25,COLUMN(T46),0,1,1),0)</f>
        <v>0</v>
      </c>
      <c r="AD49" s="68">
        <f ca="1">VLOOKUP($B49,'Summary Calculations (hide)'!$D$15:$U$67,17,0)</f>
        <v>14.254500348202729</v>
      </c>
      <c r="AE49" s="68">
        <f ca="1">VLOOKUP($B49,'Summary Calculations (hide)'!$D$15:$U$67,18,0)</f>
        <v>2.9077629903405398</v>
      </c>
    </row>
    <row r="50" spans="1:31" x14ac:dyDescent="0.2">
      <c r="A50" s="88">
        <f t="shared" ca="1" si="3"/>
        <v>43908</v>
      </c>
      <c r="B50" s="68">
        <f t="shared" ca="1" si="0"/>
        <v>12</v>
      </c>
      <c r="C50" s="5">
        <f ca="1">IF(Planning!$C$8="No",VLOOKUP(B50,'Summary Calculations (hide)'!$D$15:$U$67,17,0),VLOOKUP(B50,'Summary Calculations (hide)'!$D$15:$F$67,2,0)*IF(Planning!$C$11="",1,1+Planning!$C$11)*'Summary Calculations (hide)'!$L$4/IF(Summary!$C$8="Patients",'Summary Calculations (hide)'!$I$9,1))</f>
        <v>14.254500348202729</v>
      </c>
      <c r="D50" s="5">
        <f ca="1">IF(Planning!$C$8="No",VLOOKUP('Planning (hide)'!B50,'Summary Calculations (hide)'!$D$15:$U$67,18,0),VLOOKUP(B50,'Summary Calculations (hide)'!$D$15:$F$67,3,0)*IF(Planning!$C$11="",1,1+Planning!$C$11)*'Summary Calculations (hide)'!$L$4/IF(Summary!$C$8="Patients",'Summary Calculations (hide)'!$I$9,1))-IF(Planning!$C$8="No",0,C50)</f>
        <v>2.9077629903405398</v>
      </c>
      <c r="E50" s="5">
        <f ca="1">VLOOKUP($B50,'Summary Calculations (hide)'!$D$15:$U$66,15,0)</f>
        <v>10.392307692307693</v>
      </c>
      <c r="F50" s="5">
        <f ca="1">VLOOKUP($B50,'Summary Calculations (hide)'!$D$15:$U$66,16,0)</f>
        <v>0</v>
      </c>
      <c r="G50" s="5">
        <f t="shared" ca="1" si="1"/>
        <v>10.392307692307693</v>
      </c>
      <c r="H50" s="5">
        <f t="shared" ca="1" si="2"/>
        <v>10.392307692307693</v>
      </c>
      <c r="I50" s="68">
        <f ca="1">IF(OFFSET(Planning!$E$25,0,ROW(A47),1,1)&lt;&gt;"",-'Planning (hide)'!$G50,0)</f>
        <v>0</v>
      </c>
      <c r="J50" s="68">
        <f ca="1">IF(OFFSET(Planning!$E$25,COLUMN(A47),ROW(A47),1,1)&lt;&gt;"",OFFSET(Planning!$D$25,COLUMN(A47),0,1,1),0)</f>
        <v>0</v>
      </c>
      <c r="K50" s="68">
        <f ca="1">IF(OFFSET(Planning!$E$25,COLUMN(B47),ROW(B47),1,1)&lt;&gt;"",OFFSET(Planning!$D$25,COLUMN(B47),0,1,1),0)</f>
        <v>0</v>
      </c>
      <c r="L50" s="68">
        <f ca="1">IF(OFFSET(Planning!$E$25,COLUMN(C47),ROW(C47),1,1)&lt;&gt;"",OFFSET(Planning!$D$25,COLUMN(C47),0,1,1),0)</f>
        <v>0</v>
      </c>
      <c r="M50" s="68">
        <f ca="1">IF(OFFSET(Planning!$E$25,COLUMN(D47),ROW(D47),1,1)&lt;&gt;"",OFFSET(Planning!$D$25,COLUMN(D47),0,1,1),0)</f>
        <v>0</v>
      </c>
      <c r="N50" s="68">
        <f ca="1">IF(OFFSET(Planning!$E$25,COLUMN(E47),ROW(E47),1,1)&lt;&gt;"",OFFSET(Planning!$D$25,COLUMN(E47),0,1,1),0)</f>
        <v>0</v>
      </c>
      <c r="O50" s="68">
        <f ca="1">IF(OFFSET(Planning!$E$25,COLUMN(F47),ROW(F47),1,1)&lt;&gt;"",OFFSET(Planning!$D$25,COLUMN(F47),0,1,1),0)</f>
        <v>0</v>
      </c>
      <c r="P50" s="68">
        <f ca="1">IF(OFFSET(Planning!$E$25,COLUMN(G47),ROW(G47),1,1)&lt;&gt;"",OFFSET(Planning!$D$25,COLUMN(G47),0,1,1),0)</f>
        <v>0</v>
      </c>
      <c r="Q50" s="68">
        <f ca="1">IF(OFFSET(Planning!$E$25,COLUMN(H47),ROW(H47),1,1)&lt;&gt;"",OFFSET(Planning!$D$25,COLUMN(H47),0,1,1),0)</f>
        <v>0</v>
      </c>
      <c r="R50" s="68">
        <f ca="1">IF(OFFSET(Planning!$E$25,COLUMN(I47),ROW(I47),1,1)&lt;&gt;"",OFFSET(Planning!$D$25,COLUMN(I47),0,1,1),0)</f>
        <v>0</v>
      </c>
      <c r="S50" s="68">
        <f ca="1">IF(OFFSET(Planning!$E$25,COLUMN(J47),ROW(J47),1,1)&lt;&gt;"",OFFSET(Planning!$D$25,COLUMN(J47),0,1,1),0)</f>
        <v>0</v>
      </c>
      <c r="T50" s="68">
        <f ca="1">IF(OFFSET(Planning!$E$25,COLUMN(K47),ROW(K47),1,1)&lt;&gt;"",OFFSET(Planning!$D$25,COLUMN(K47),0,1,1),0)</f>
        <v>0</v>
      </c>
      <c r="U50" s="68">
        <f ca="1">IF(OFFSET(Planning!$E$25,COLUMN(L47),ROW(L47),1,1)&lt;&gt;"",OFFSET(Planning!$D$25,COLUMN(L47),0,1,1),0)</f>
        <v>0</v>
      </c>
      <c r="V50" s="68">
        <f ca="1">IF(OFFSET(Planning!$E$25,COLUMN(M47),ROW(M47),1,1)&lt;&gt;"",OFFSET(Planning!$D$25,COLUMN(M47),0,1,1),0)</f>
        <v>0</v>
      </c>
      <c r="W50" s="68">
        <f ca="1">IF(OFFSET(Planning!$E$25,COLUMN(N47),ROW(N47),1,1)&lt;&gt;"",OFFSET(Planning!$D$25,COLUMN(N47),0,1,1),0)</f>
        <v>0</v>
      </c>
      <c r="X50" s="68">
        <f ca="1">IF(OFFSET(Planning!$E$25,COLUMN(O47),ROW(O47),1,1)&lt;&gt;"",OFFSET(Planning!$D$25,COLUMN(O47),0,1,1),0)</f>
        <v>0</v>
      </c>
      <c r="Y50" s="68">
        <f ca="1">IF(OFFSET(Planning!$E$25,COLUMN(P47),ROW(P47),1,1)&lt;&gt;"",OFFSET(Planning!$D$25,COLUMN(P47),0,1,1),0)</f>
        <v>0</v>
      </c>
      <c r="Z50" s="68">
        <f ca="1">IF(OFFSET(Planning!$E$25,COLUMN(Q47),ROW(Q47),1,1)&lt;&gt;"",OFFSET(Planning!$D$25,COLUMN(Q47),0,1,1),0)</f>
        <v>0</v>
      </c>
      <c r="AA50" s="68">
        <f ca="1">IF(OFFSET(Planning!$E$25,COLUMN(R47),ROW(R47),1,1)&lt;&gt;"",OFFSET(Planning!$D$25,COLUMN(R47),0,1,1),0)</f>
        <v>0</v>
      </c>
      <c r="AB50" s="68">
        <f ca="1">IF(OFFSET(Planning!$E$25,COLUMN(S47),ROW(S47),1,1)&lt;&gt;"",OFFSET(Planning!$D$25,COLUMN(S47),0,1,1),0)</f>
        <v>0</v>
      </c>
      <c r="AC50" s="68">
        <f ca="1">IF(OFFSET(Planning!$E$25,COLUMN(T47),ROW(T47),1,1)&lt;&gt;"",OFFSET(Planning!$D$25,COLUMN(T47),0,1,1),0)</f>
        <v>0</v>
      </c>
      <c r="AD50" s="68">
        <f ca="1">VLOOKUP($B50,'Summary Calculations (hide)'!$D$15:$U$67,17,0)</f>
        <v>14.254500348202729</v>
      </c>
      <c r="AE50" s="68">
        <f ca="1">VLOOKUP($B50,'Summary Calculations (hide)'!$D$15:$U$67,18,0)</f>
        <v>2.9077629903405398</v>
      </c>
    </row>
    <row r="51" spans="1:31" x14ac:dyDescent="0.2">
      <c r="A51" s="88">
        <f t="shared" ca="1" si="3"/>
        <v>43915</v>
      </c>
      <c r="B51" s="68">
        <f t="shared" ca="1" si="0"/>
        <v>13</v>
      </c>
      <c r="C51" s="5">
        <f ca="1">IF(Planning!$C$8="No",VLOOKUP(B51,'Summary Calculations (hide)'!$D$15:$U$67,17,0),VLOOKUP(B51,'Summary Calculations (hide)'!$D$15:$F$67,2,0)*IF(Planning!$C$11="",1,1+Planning!$C$11)*'Summary Calculations (hide)'!$L$4/IF(Summary!$C$8="Patients",'Summary Calculations (hide)'!$I$9,1))</f>
        <v>14.254500348202729</v>
      </c>
      <c r="D51" s="5">
        <f ca="1">IF(Planning!$C$8="No",VLOOKUP('Planning (hide)'!B51,'Summary Calculations (hide)'!$D$15:$U$67,18,0),VLOOKUP(B51,'Summary Calculations (hide)'!$D$15:$F$67,3,0)*IF(Planning!$C$11="",1,1+Planning!$C$11)*'Summary Calculations (hide)'!$L$4/IF(Summary!$C$8="Patients",'Summary Calculations (hide)'!$I$9,1))-IF(Planning!$C$8="No",0,C51)</f>
        <v>2.9077629903405398</v>
      </c>
      <c r="E51" s="5">
        <f ca="1">VLOOKUP($B51,'Summary Calculations (hide)'!$D$15:$U$66,15,0)</f>
        <v>10.392307692307693</v>
      </c>
      <c r="F51" s="5">
        <f ca="1">VLOOKUP($B51,'Summary Calculations (hide)'!$D$15:$U$66,16,0)</f>
        <v>0</v>
      </c>
      <c r="G51" s="5">
        <f t="shared" ca="1" si="1"/>
        <v>10.392307692307693</v>
      </c>
      <c r="H51" s="5">
        <f t="shared" ca="1" si="2"/>
        <v>10.392307692307693</v>
      </c>
      <c r="I51" s="68">
        <f ca="1">IF(OFFSET(Planning!$E$25,0,ROW(A48),1,1)&lt;&gt;"",-'Planning (hide)'!$G51,0)</f>
        <v>0</v>
      </c>
      <c r="J51" s="68">
        <f ca="1">IF(OFFSET(Planning!$E$25,COLUMN(A48),ROW(A48),1,1)&lt;&gt;"",OFFSET(Planning!$D$25,COLUMN(A48),0,1,1),0)</f>
        <v>0</v>
      </c>
      <c r="K51" s="68">
        <f ca="1">IF(OFFSET(Planning!$E$25,COLUMN(B48),ROW(B48),1,1)&lt;&gt;"",OFFSET(Planning!$D$25,COLUMN(B48),0,1,1),0)</f>
        <v>0</v>
      </c>
      <c r="L51" s="68">
        <f ca="1">IF(OFFSET(Planning!$E$25,COLUMN(C48),ROW(C48),1,1)&lt;&gt;"",OFFSET(Planning!$D$25,COLUMN(C48),0,1,1),0)</f>
        <v>0</v>
      </c>
      <c r="M51" s="68">
        <f ca="1">IF(OFFSET(Planning!$E$25,COLUMN(D48),ROW(D48),1,1)&lt;&gt;"",OFFSET(Planning!$D$25,COLUMN(D48),0,1,1),0)</f>
        <v>0</v>
      </c>
      <c r="N51" s="68">
        <f ca="1">IF(OFFSET(Planning!$E$25,COLUMN(E48),ROW(E48),1,1)&lt;&gt;"",OFFSET(Planning!$D$25,COLUMN(E48),0,1,1),0)</f>
        <v>0</v>
      </c>
      <c r="O51" s="68">
        <f ca="1">IF(OFFSET(Planning!$E$25,COLUMN(F48),ROW(F48),1,1)&lt;&gt;"",OFFSET(Planning!$D$25,COLUMN(F48),0,1,1),0)</f>
        <v>0</v>
      </c>
      <c r="P51" s="68">
        <f ca="1">IF(OFFSET(Planning!$E$25,COLUMN(G48),ROW(G48),1,1)&lt;&gt;"",OFFSET(Planning!$D$25,COLUMN(G48),0,1,1),0)</f>
        <v>0</v>
      </c>
      <c r="Q51" s="68">
        <f ca="1">IF(OFFSET(Planning!$E$25,COLUMN(H48),ROW(H48),1,1)&lt;&gt;"",OFFSET(Planning!$D$25,COLUMN(H48),0,1,1),0)</f>
        <v>0</v>
      </c>
      <c r="R51" s="68">
        <f ca="1">IF(OFFSET(Planning!$E$25,COLUMN(I48),ROW(I48),1,1)&lt;&gt;"",OFFSET(Planning!$D$25,COLUMN(I48),0,1,1),0)</f>
        <v>0</v>
      </c>
      <c r="S51" s="68">
        <f ca="1">IF(OFFSET(Planning!$E$25,COLUMN(J48),ROW(J48),1,1)&lt;&gt;"",OFFSET(Planning!$D$25,COLUMN(J48),0,1,1),0)</f>
        <v>0</v>
      </c>
      <c r="T51" s="68">
        <f ca="1">IF(OFFSET(Planning!$E$25,COLUMN(K48),ROW(K48),1,1)&lt;&gt;"",OFFSET(Planning!$D$25,COLUMN(K48),0,1,1),0)</f>
        <v>0</v>
      </c>
      <c r="U51" s="68">
        <f ca="1">IF(OFFSET(Planning!$E$25,COLUMN(L48),ROW(L48),1,1)&lt;&gt;"",OFFSET(Planning!$D$25,COLUMN(L48),0,1,1),0)</f>
        <v>0</v>
      </c>
      <c r="V51" s="68">
        <f ca="1">IF(OFFSET(Planning!$E$25,COLUMN(M48),ROW(M48),1,1)&lt;&gt;"",OFFSET(Planning!$D$25,COLUMN(M48),0,1,1),0)</f>
        <v>0</v>
      </c>
      <c r="W51" s="68">
        <f ca="1">IF(OFFSET(Planning!$E$25,COLUMN(N48),ROW(N48),1,1)&lt;&gt;"",OFFSET(Planning!$D$25,COLUMN(N48),0,1,1),0)</f>
        <v>0</v>
      </c>
      <c r="X51" s="68">
        <f ca="1">IF(OFFSET(Planning!$E$25,COLUMN(O48),ROW(O48),1,1)&lt;&gt;"",OFFSET(Planning!$D$25,COLUMN(O48),0,1,1),0)</f>
        <v>0</v>
      </c>
      <c r="Y51" s="68">
        <f ca="1">IF(OFFSET(Planning!$E$25,COLUMN(P48),ROW(P48),1,1)&lt;&gt;"",OFFSET(Planning!$D$25,COLUMN(P48),0,1,1),0)</f>
        <v>0</v>
      </c>
      <c r="Z51" s="68">
        <f ca="1">IF(OFFSET(Planning!$E$25,COLUMN(Q48),ROW(Q48),1,1)&lt;&gt;"",OFFSET(Planning!$D$25,COLUMN(Q48),0,1,1),0)</f>
        <v>0</v>
      </c>
      <c r="AA51" s="68">
        <f ca="1">IF(OFFSET(Planning!$E$25,COLUMN(R48),ROW(R48),1,1)&lt;&gt;"",OFFSET(Planning!$D$25,COLUMN(R48),0,1,1),0)</f>
        <v>0</v>
      </c>
      <c r="AB51" s="68">
        <f ca="1">IF(OFFSET(Planning!$E$25,COLUMN(S48),ROW(S48),1,1)&lt;&gt;"",OFFSET(Planning!$D$25,COLUMN(S48),0,1,1),0)</f>
        <v>0</v>
      </c>
      <c r="AC51" s="68">
        <f ca="1">IF(OFFSET(Planning!$E$25,COLUMN(T48),ROW(T48),1,1)&lt;&gt;"",OFFSET(Planning!$D$25,COLUMN(T48),0,1,1),0)</f>
        <v>0</v>
      </c>
      <c r="AD51" s="68">
        <f ca="1">VLOOKUP($B51,'Summary Calculations (hide)'!$D$15:$U$67,17,0)</f>
        <v>14.254500348202729</v>
      </c>
      <c r="AE51" s="68">
        <f ca="1">VLOOKUP($B51,'Summary Calculations (hide)'!$D$15:$U$67,18,0)</f>
        <v>2.9077629903405398</v>
      </c>
    </row>
    <row r="52" spans="1:31" x14ac:dyDescent="0.2">
      <c r="A52" s="88">
        <f t="shared" ca="1" si="3"/>
        <v>43922</v>
      </c>
      <c r="B52" s="68">
        <f t="shared" ca="1" si="0"/>
        <v>14</v>
      </c>
      <c r="C52" s="5">
        <f ca="1">IF(Planning!$C$8="No",VLOOKUP(B52,'Summary Calculations (hide)'!$D$15:$U$67,17,0),VLOOKUP(B52,'Summary Calculations (hide)'!$D$15:$F$67,2,0)*IF(Planning!$C$11="",1,1+Planning!$C$11)*'Summary Calculations (hide)'!$L$4/IF(Summary!$C$8="Patients",'Summary Calculations (hide)'!$I$9,1))</f>
        <v>14.254500348202729</v>
      </c>
      <c r="D52" s="5">
        <f ca="1">IF(Planning!$C$8="No",VLOOKUP('Planning (hide)'!B52,'Summary Calculations (hide)'!$D$15:$U$67,18,0),VLOOKUP(B52,'Summary Calculations (hide)'!$D$15:$F$67,3,0)*IF(Planning!$C$11="",1,1+Planning!$C$11)*'Summary Calculations (hide)'!$L$4/IF(Summary!$C$8="Patients",'Summary Calculations (hide)'!$I$9,1))-IF(Planning!$C$8="No",0,C52)</f>
        <v>2.9077629903405398</v>
      </c>
      <c r="E52" s="5">
        <f ca="1">VLOOKUP($B52,'Summary Calculations (hide)'!$D$15:$U$66,15,0)</f>
        <v>10.392307692307693</v>
      </c>
      <c r="F52" s="5">
        <f ca="1">VLOOKUP($B52,'Summary Calculations (hide)'!$D$15:$U$66,16,0)</f>
        <v>0</v>
      </c>
      <c r="G52" s="5">
        <f t="shared" ca="1" si="1"/>
        <v>10.392307692307693</v>
      </c>
      <c r="H52" s="5">
        <f t="shared" ca="1" si="2"/>
        <v>10.392307692307693</v>
      </c>
      <c r="I52" s="68">
        <f ca="1">IF(OFFSET(Planning!$E$25,0,ROW(A49),1,1)&lt;&gt;"",-'Planning (hide)'!$G52,0)</f>
        <v>0</v>
      </c>
      <c r="J52" s="68">
        <f ca="1">IF(OFFSET(Planning!$E$25,COLUMN(A49),ROW(A49),1,1)&lt;&gt;"",OFFSET(Planning!$D$25,COLUMN(A49),0,1,1),0)</f>
        <v>0</v>
      </c>
      <c r="K52" s="68">
        <f ca="1">IF(OFFSET(Planning!$E$25,COLUMN(B49),ROW(B49),1,1)&lt;&gt;"",OFFSET(Planning!$D$25,COLUMN(B49),0,1,1),0)</f>
        <v>0</v>
      </c>
      <c r="L52" s="68">
        <f ca="1">IF(OFFSET(Planning!$E$25,COLUMN(C49),ROW(C49),1,1)&lt;&gt;"",OFFSET(Planning!$D$25,COLUMN(C49),0,1,1),0)</f>
        <v>0</v>
      </c>
      <c r="M52" s="68">
        <f ca="1">IF(OFFSET(Planning!$E$25,COLUMN(D49),ROW(D49),1,1)&lt;&gt;"",OFFSET(Planning!$D$25,COLUMN(D49),0,1,1),0)</f>
        <v>0</v>
      </c>
      <c r="N52" s="68">
        <f ca="1">IF(OFFSET(Planning!$E$25,COLUMN(E49),ROW(E49),1,1)&lt;&gt;"",OFFSET(Planning!$D$25,COLUMN(E49),0,1,1),0)</f>
        <v>0</v>
      </c>
      <c r="O52" s="68">
        <f ca="1">IF(OFFSET(Planning!$E$25,COLUMN(F49),ROW(F49),1,1)&lt;&gt;"",OFFSET(Planning!$D$25,COLUMN(F49),0,1,1),0)</f>
        <v>0</v>
      </c>
      <c r="P52" s="68">
        <f ca="1">IF(OFFSET(Planning!$E$25,COLUMN(G49),ROW(G49),1,1)&lt;&gt;"",OFFSET(Planning!$D$25,COLUMN(G49),0,1,1),0)</f>
        <v>0</v>
      </c>
      <c r="Q52" s="68">
        <f ca="1">IF(OFFSET(Planning!$E$25,COLUMN(H49),ROW(H49),1,1)&lt;&gt;"",OFFSET(Planning!$D$25,COLUMN(H49),0,1,1),0)</f>
        <v>0</v>
      </c>
      <c r="R52" s="68">
        <f ca="1">IF(OFFSET(Planning!$E$25,COLUMN(I49),ROW(I49),1,1)&lt;&gt;"",OFFSET(Planning!$D$25,COLUMN(I49),0,1,1),0)</f>
        <v>0</v>
      </c>
      <c r="S52" s="68">
        <f ca="1">IF(OFFSET(Planning!$E$25,COLUMN(J49),ROW(J49),1,1)&lt;&gt;"",OFFSET(Planning!$D$25,COLUMN(J49),0,1,1),0)</f>
        <v>0</v>
      </c>
      <c r="T52" s="68">
        <f ca="1">IF(OFFSET(Planning!$E$25,COLUMN(K49),ROW(K49),1,1)&lt;&gt;"",OFFSET(Planning!$D$25,COLUMN(K49),0,1,1),0)</f>
        <v>0</v>
      </c>
      <c r="U52" s="68">
        <f ca="1">IF(OFFSET(Planning!$E$25,COLUMN(L49),ROW(L49),1,1)&lt;&gt;"",OFFSET(Planning!$D$25,COLUMN(L49),0,1,1),0)</f>
        <v>0</v>
      </c>
      <c r="V52" s="68">
        <f ca="1">IF(OFFSET(Planning!$E$25,COLUMN(M49),ROW(M49),1,1)&lt;&gt;"",OFFSET(Planning!$D$25,COLUMN(M49),0,1,1),0)</f>
        <v>0</v>
      </c>
      <c r="W52" s="68">
        <f ca="1">IF(OFFSET(Planning!$E$25,COLUMN(N49),ROW(N49),1,1)&lt;&gt;"",OFFSET(Planning!$D$25,COLUMN(N49),0,1,1),0)</f>
        <v>0</v>
      </c>
      <c r="X52" s="68">
        <f ca="1">IF(OFFSET(Planning!$E$25,COLUMN(O49),ROW(O49),1,1)&lt;&gt;"",OFFSET(Planning!$D$25,COLUMN(O49),0,1,1),0)</f>
        <v>0</v>
      </c>
      <c r="Y52" s="68">
        <f ca="1">IF(OFFSET(Planning!$E$25,COLUMN(P49),ROW(P49),1,1)&lt;&gt;"",OFFSET(Planning!$D$25,COLUMN(P49),0,1,1),0)</f>
        <v>0</v>
      </c>
      <c r="Z52" s="68">
        <f ca="1">IF(OFFSET(Planning!$E$25,COLUMN(Q49),ROW(Q49),1,1)&lt;&gt;"",OFFSET(Planning!$D$25,COLUMN(Q49),0,1,1),0)</f>
        <v>0</v>
      </c>
      <c r="AA52" s="68">
        <f ca="1">IF(OFFSET(Planning!$E$25,COLUMN(R49),ROW(R49),1,1)&lt;&gt;"",OFFSET(Planning!$D$25,COLUMN(R49),0,1,1),0)</f>
        <v>0</v>
      </c>
      <c r="AB52" s="68">
        <f ca="1">IF(OFFSET(Planning!$E$25,COLUMN(S49),ROW(S49),1,1)&lt;&gt;"",OFFSET(Planning!$D$25,COLUMN(S49),0,1,1),0)</f>
        <v>0</v>
      </c>
      <c r="AC52" s="68">
        <f ca="1">IF(OFFSET(Planning!$E$25,COLUMN(T49),ROW(T49),1,1)&lt;&gt;"",OFFSET(Planning!$D$25,COLUMN(T49),0,1,1),0)</f>
        <v>0</v>
      </c>
      <c r="AD52" s="68">
        <f ca="1">VLOOKUP($B52,'Summary Calculations (hide)'!$D$15:$U$67,17,0)</f>
        <v>14.254500348202729</v>
      </c>
      <c r="AE52" s="68">
        <f ca="1">VLOOKUP($B52,'Summary Calculations (hide)'!$D$15:$U$67,18,0)</f>
        <v>2.9077629903405398</v>
      </c>
    </row>
    <row r="53" spans="1:31" x14ac:dyDescent="0.2">
      <c r="A53" s="88">
        <f t="shared" ca="1" si="3"/>
        <v>43929</v>
      </c>
      <c r="B53" s="68">
        <f t="shared" ca="1" si="0"/>
        <v>15</v>
      </c>
      <c r="C53" s="5">
        <f ca="1">IF(Planning!$C$8="No",VLOOKUP(B53,'Summary Calculations (hide)'!$D$15:$U$67,17,0),VLOOKUP(B53,'Summary Calculations (hide)'!$D$15:$F$67,2,0)*IF(Planning!$C$11="",1,1+Planning!$C$11)*'Summary Calculations (hide)'!$L$4/IF(Summary!$C$8="Patients",'Summary Calculations (hide)'!$I$9,1))</f>
        <v>14.254500348202729</v>
      </c>
      <c r="D53" s="5">
        <f ca="1">IF(Planning!$C$8="No",VLOOKUP('Planning (hide)'!B53,'Summary Calculations (hide)'!$D$15:$U$67,18,0),VLOOKUP(B53,'Summary Calculations (hide)'!$D$15:$F$67,3,0)*IF(Planning!$C$11="",1,1+Planning!$C$11)*'Summary Calculations (hide)'!$L$4/IF(Summary!$C$8="Patients",'Summary Calculations (hide)'!$I$9,1))-IF(Planning!$C$8="No",0,C53)</f>
        <v>2.9077629903405398</v>
      </c>
      <c r="E53" s="5">
        <f ca="1">VLOOKUP($B53,'Summary Calculations (hide)'!$D$15:$U$66,15,0)</f>
        <v>10.392307692307693</v>
      </c>
      <c r="F53" s="5">
        <f ca="1">VLOOKUP($B53,'Summary Calculations (hide)'!$D$15:$U$66,16,0)</f>
        <v>0</v>
      </c>
      <c r="G53" s="5">
        <f t="shared" ca="1" si="1"/>
        <v>10.392307692307693</v>
      </c>
      <c r="H53" s="5">
        <f t="shared" ca="1" si="2"/>
        <v>10.392307692307693</v>
      </c>
      <c r="I53" s="68">
        <f ca="1">IF(OFFSET(Planning!$E$25,0,ROW(A50),1,1)&lt;&gt;"",-'Planning (hide)'!$G53,0)</f>
        <v>0</v>
      </c>
      <c r="J53" s="68">
        <f ca="1">IF(OFFSET(Planning!$E$25,COLUMN(A50),ROW(A50),1,1)&lt;&gt;"",OFFSET(Planning!$D$25,COLUMN(A50),0,1,1),0)</f>
        <v>0</v>
      </c>
      <c r="K53" s="68">
        <f ca="1">IF(OFFSET(Planning!$E$25,COLUMN(B50),ROW(B50),1,1)&lt;&gt;"",OFFSET(Planning!$D$25,COLUMN(B50),0,1,1),0)</f>
        <v>0</v>
      </c>
      <c r="L53" s="68">
        <f ca="1">IF(OFFSET(Planning!$E$25,COLUMN(C50),ROW(C50),1,1)&lt;&gt;"",OFFSET(Planning!$D$25,COLUMN(C50),0,1,1),0)</f>
        <v>0</v>
      </c>
      <c r="M53" s="68">
        <f ca="1">IF(OFFSET(Planning!$E$25,COLUMN(D50),ROW(D50),1,1)&lt;&gt;"",OFFSET(Planning!$D$25,COLUMN(D50),0,1,1),0)</f>
        <v>0</v>
      </c>
      <c r="N53" s="68">
        <f ca="1">IF(OFFSET(Planning!$E$25,COLUMN(E50),ROW(E50),1,1)&lt;&gt;"",OFFSET(Planning!$D$25,COLUMN(E50),0,1,1),0)</f>
        <v>0</v>
      </c>
      <c r="O53" s="68">
        <f ca="1">IF(OFFSET(Planning!$E$25,COLUMN(F50),ROW(F50),1,1)&lt;&gt;"",OFFSET(Planning!$D$25,COLUMN(F50),0,1,1),0)</f>
        <v>0</v>
      </c>
      <c r="P53" s="68">
        <f ca="1">IF(OFFSET(Planning!$E$25,COLUMN(G50),ROW(G50),1,1)&lt;&gt;"",OFFSET(Planning!$D$25,COLUMN(G50),0,1,1),0)</f>
        <v>0</v>
      </c>
      <c r="Q53" s="68">
        <f ca="1">IF(OFFSET(Planning!$E$25,COLUMN(H50),ROW(H50),1,1)&lt;&gt;"",OFFSET(Planning!$D$25,COLUMN(H50),0,1,1),0)</f>
        <v>0</v>
      </c>
      <c r="R53" s="68">
        <f ca="1">IF(OFFSET(Planning!$E$25,COLUMN(I50),ROW(I50),1,1)&lt;&gt;"",OFFSET(Planning!$D$25,COLUMN(I50),0,1,1),0)</f>
        <v>0</v>
      </c>
      <c r="S53" s="68">
        <f ca="1">IF(OFFSET(Planning!$E$25,COLUMN(J50),ROW(J50),1,1)&lt;&gt;"",OFFSET(Planning!$D$25,COLUMN(J50),0,1,1),0)</f>
        <v>0</v>
      </c>
      <c r="T53" s="68">
        <f ca="1">IF(OFFSET(Planning!$E$25,COLUMN(K50),ROW(K50),1,1)&lt;&gt;"",OFFSET(Planning!$D$25,COLUMN(K50),0,1,1),0)</f>
        <v>0</v>
      </c>
      <c r="U53" s="68">
        <f ca="1">IF(OFFSET(Planning!$E$25,COLUMN(L50),ROW(L50),1,1)&lt;&gt;"",OFFSET(Planning!$D$25,COLUMN(L50),0,1,1),0)</f>
        <v>0</v>
      </c>
      <c r="V53" s="68">
        <f ca="1">IF(OFFSET(Planning!$E$25,COLUMN(M50),ROW(M50),1,1)&lt;&gt;"",OFFSET(Planning!$D$25,COLUMN(M50),0,1,1),0)</f>
        <v>0</v>
      </c>
      <c r="W53" s="68">
        <f ca="1">IF(OFFSET(Planning!$E$25,COLUMN(N50),ROW(N50),1,1)&lt;&gt;"",OFFSET(Planning!$D$25,COLUMN(N50),0,1,1),0)</f>
        <v>0</v>
      </c>
      <c r="X53" s="68">
        <f ca="1">IF(OFFSET(Planning!$E$25,COLUMN(O50),ROW(O50),1,1)&lt;&gt;"",OFFSET(Planning!$D$25,COLUMN(O50),0,1,1),0)</f>
        <v>0</v>
      </c>
      <c r="Y53" s="68">
        <f ca="1">IF(OFFSET(Planning!$E$25,COLUMN(P50),ROW(P50),1,1)&lt;&gt;"",OFFSET(Planning!$D$25,COLUMN(P50),0,1,1),0)</f>
        <v>0</v>
      </c>
      <c r="Z53" s="68">
        <f ca="1">IF(OFFSET(Planning!$E$25,COLUMN(Q50),ROW(Q50),1,1)&lt;&gt;"",OFFSET(Planning!$D$25,COLUMN(Q50),0,1,1),0)</f>
        <v>0</v>
      </c>
      <c r="AA53" s="68">
        <f ca="1">IF(OFFSET(Planning!$E$25,COLUMN(R50),ROW(R50),1,1)&lt;&gt;"",OFFSET(Planning!$D$25,COLUMN(R50),0,1,1),0)</f>
        <v>0</v>
      </c>
      <c r="AB53" s="68">
        <f ca="1">IF(OFFSET(Planning!$E$25,COLUMN(S50),ROW(S50),1,1)&lt;&gt;"",OFFSET(Planning!$D$25,COLUMN(S50),0,1,1),0)</f>
        <v>0</v>
      </c>
      <c r="AC53" s="68">
        <f ca="1">IF(OFFSET(Planning!$E$25,COLUMN(T50),ROW(T50),1,1)&lt;&gt;"",OFFSET(Planning!$D$25,COLUMN(T50),0,1,1),0)</f>
        <v>0</v>
      </c>
      <c r="AD53" s="68">
        <f ca="1">VLOOKUP($B53,'Summary Calculations (hide)'!$D$15:$U$67,17,0)</f>
        <v>14.254500348202729</v>
      </c>
      <c r="AE53" s="68">
        <f ca="1">VLOOKUP($B53,'Summary Calculations (hide)'!$D$15:$U$67,18,0)</f>
        <v>2.9077629903405398</v>
      </c>
    </row>
    <row r="54" spans="1:31" x14ac:dyDescent="0.2">
      <c r="A54" s="88">
        <f t="shared" ca="1" si="3"/>
        <v>43936</v>
      </c>
      <c r="B54" s="68">
        <f t="shared" ca="1" si="0"/>
        <v>16</v>
      </c>
      <c r="C54" s="5">
        <f ca="1">IF(Planning!$C$8="No",VLOOKUP(B54,'Summary Calculations (hide)'!$D$15:$U$67,17,0),VLOOKUP(B54,'Summary Calculations (hide)'!$D$15:$F$67,2,0)*IF(Planning!$C$11="",1,1+Planning!$C$11)*'Summary Calculations (hide)'!$L$4/IF(Summary!$C$8="Patients",'Summary Calculations (hide)'!$I$9,1))</f>
        <v>14.254500348202729</v>
      </c>
      <c r="D54" s="5">
        <f ca="1">IF(Planning!$C$8="No",VLOOKUP('Planning (hide)'!B54,'Summary Calculations (hide)'!$D$15:$U$67,18,0),VLOOKUP(B54,'Summary Calculations (hide)'!$D$15:$F$67,3,0)*IF(Planning!$C$11="",1,1+Planning!$C$11)*'Summary Calculations (hide)'!$L$4/IF(Summary!$C$8="Patients",'Summary Calculations (hide)'!$I$9,1))-IF(Planning!$C$8="No",0,C54)</f>
        <v>2.9077629903405398</v>
      </c>
      <c r="E54" s="5">
        <f ca="1">VLOOKUP($B54,'Summary Calculations (hide)'!$D$15:$U$66,15,0)</f>
        <v>10.392307692307693</v>
      </c>
      <c r="F54" s="5">
        <f ca="1">VLOOKUP($B54,'Summary Calculations (hide)'!$D$15:$U$66,16,0)</f>
        <v>0</v>
      </c>
      <c r="G54" s="5">
        <f t="shared" ca="1" si="1"/>
        <v>10.392307692307693</v>
      </c>
      <c r="H54" s="5">
        <f t="shared" ca="1" si="2"/>
        <v>10.392307692307693</v>
      </c>
      <c r="I54" s="68">
        <f ca="1">IF(OFFSET(Planning!$E$25,0,ROW(A51),1,1)&lt;&gt;"",-'Planning (hide)'!$G54,0)</f>
        <v>0</v>
      </c>
      <c r="J54" s="68">
        <f ca="1">IF(OFFSET(Planning!$E$25,COLUMN(A51),ROW(A51),1,1)&lt;&gt;"",OFFSET(Planning!$D$25,COLUMN(A51),0,1,1),0)</f>
        <v>0</v>
      </c>
      <c r="K54" s="68">
        <f ca="1">IF(OFFSET(Planning!$E$25,COLUMN(B51),ROW(B51),1,1)&lt;&gt;"",OFFSET(Planning!$D$25,COLUMN(B51),0,1,1),0)</f>
        <v>0</v>
      </c>
      <c r="L54" s="68">
        <f ca="1">IF(OFFSET(Planning!$E$25,COLUMN(C51),ROW(C51),1,1)&lt;&gt;"",OFFSET(Planning!$D$25,COLUMN(C51),0,1,1),0)</f>
        <v>0</v>
      </c>
      <c r="M54" s="68">
        <f ca="1">IF(OFFSET(Planning!$E$25,COLUMN(D51),ROW(D51),1,1)&lt;&gt;"",OFFSET(Planning!$D$25,COLUMN(D51),0,1,1),0)</f>
        <v>0</v>
      </c>
      <c r="N54" s="68">
        <f ca="1">IF(OFFSET(Planning!$E$25,COLUMN(E51),ROW(E51),1,1)&lt;&gt;"",OFFSET(Planning!$D$25,COLUMN(E51),0,1,1),0)</f>
        <v>0</v>
      </c>
      <c r="O54" s="68">
        <f ca="1">IF(OFFSET(Planning!$E$25,COLUMN(F51),ROW(F51),1,1)&lt;&gt;"",OFFSET(Planning!$D$25,COLUMN(F51),0,1,1),0)</f>
        <v>0</v>
      </c>
      <c r="P54" s="68">
        <f ca="1">IF(OFFSET(Planning!$E$25,COLUMN(G51),ROW(G51),1,1)&lt;&gt;"",OFFSET(Planning!$D$25,COLUMN(G51),0,1,1),0)</f>
        <v>0</v>
      </c>
      <c r="Q54" s="68">
        <f ca="1">IF(OFFSET(Planning!$E$25,COLUMN(H51),ROW(H51),1,1)&lt;&gt;"",OFFSET(Planning!$D$25,COLUMN(H51),0,1,1),0)</f>
        <v>0</v>
      </c>
      <c r="R54" s="68">
        <f ca="1">IF(OFFSET(Planning!$E$25,COLUMN(I51),ROW(I51),1,1)&lt;&gt;"",OFFSET(Planning!$D$25,COLUMN(I51),0,1,1),0)</f>
        <v>0</v>
      </c>
      <c r="S54" s="68">
        <f ca="1">IF(OFFSET(Planning!$E$25,COLUMN(J51),ROW(J51),1,1)&lt;&gt;"",OFFSET(Planning!$D$25,COLUMN(J51),0,1,1),0)</f>
        <v>0</v>
      </c>
      <c r="T54" s="68">
        <f ca="1">IF(OFFSET(Planning!$E$25,COLUMN(K51),ROW(K51),1,1)&lt;&gt;"",OFFSET(Planning!$D$25,COLUMN(K51),0,1,1),0)</f>
        <v>0</v>
      </c>
      <c r="U54" s="68">
        <f ca="1">IF(OFFSET(Planning!$E$25,COLUMN(L51),ROW(L51),1,1)&lt;&gt;"",OFFSET(Planning!$D$25,COLUMN(L51),0,1,1),0)</f>
        <v>0</v>
      </c>
      <c r="V54" s="68">
        <f ca="1">IF(OFFSET(Planning!$E$25,COLUMN(M51),ROW(M51),1,1)&lt;&gt;"",OFFSET(Planning!$D$25,COLUMN(M51),0,1,1),0)</f>
        <v>0</v>
      </c>
      <c r="W54" s="68">
        <f ca="1">IF(OFFSET(Planning!$E$25,COLUMN(N51),ROW(N51),1,1)&lt;&gt;"",OFFSET(Planning!$D$25,COLUMN(N51),0,1,1),0)</f>
        <v>0</v>
      </c>
      <c r="X54" s="68">
        <f ca="1">IF(OFFSET(Planning!$E$25,COLUMN(O51),ROW(O51),1,1)&lt;&gt;"",OFFSET(Planning!$D$25,COLUMN(O51),0,1,1),0)</f>
        <v>0</v>
      </c>
      <c r="Y54" s="68">
        <f ca="1">IF(OFFSET(Planning!$E$25,COLUMN(P51),ROW(P51),1,1)&lt;&gt;"",OFFSET(Planning!$D$25,COLUMN(P51),0,1,1),0)</f>
        <v>0</v>
      </c>
      <c r="Z54" s="68">
        <f ca="1">IF(OFFSET(Planning!$E$25,COLUMN(Q51),ROW(Q51),1,1)&lt;&gt;"",OFFSET(Planning!$D$25,COLUMN(Q51),0,1,1),0)</f>
        <v>0</v>
      </c>
      <c r="AA54" s="68">
        <f ca="1">IF(OFFSET(Planning!$E$25,COLUMN(R51),ROW(R51),1,1)&lt;&gt;"",OFFSET(Planning!$D$25,COLUMN(R51),0,1,1),0)</f>
        <v>0</v>
      </c>
      <c r="AB54" s="68">
        <f ca="1">IF(OFFSET(Planning!$E$25,COLUMN(S51),ROW(S51),1,1)&lt;&gt;"",OFFSET(Planning!$D$25,COLUMN(S51),0,1,1),0)</f>
        <v>0</v>
      </c>
      <c r="AC54" s="68">
        <f ca="1">IF(OFFSET(Planning!$E$25,COLUMN(T51),ROW(T51),1,1)&lt;&gt;"",OFFSET(Planning!$D$25,COLUMN(T51),0,1,1),0)</f>
        <v>0</v>
      </c>
      <c r="AD54" s="68">
        <f ca="1">VLOOKUP($B54,'Summary Calculations (hide)'!$D$15:$U$67,17,0)</f>
        <v>14.254500348202729</v>
      </c>
      <c r="AE54" s="68">
        <f ca="1">VLOOKUP($B54,'Summary Calculations (hide)'!$D$15:$U$67,18,0)</f>
        <v>2.9077629903405398</v>
      </c>
    </row>
    <row r="55" spans="1:31" x14ac:dyDescent="0.2">
      <c r="A55" s="88">
        <f t="shared" ca="1" si="3"/>
        <v>43943</v>
      </c>
      <c r="B55" s="68">
        <f t="shared" ca="1" si="0"/>
        <v>17</v>
      </c>
      <c r="C55" s="5">
        <f ca="1">IF(Planning!$C$8="No",VLOOKUP(B55,'Summary Calculations (hide)'!$D$15:$U$67,17,0),VLOOKUP(B55,'Summary Calculations (hide)'!$D$15:$F$67,2,0)*IF(Planning!$C$11="",1,1+Planning!$C$11)*'Summary Calculations (hide)'!$L$4/IF(Summary!$C$8="Patients",'Summary Calculations (hide)'!$I$9,1))</f>
        <v>14.254500348202729</v>
      </c>
      <c r="D55" s="5">
        <f ca="1">IF(Planning!$C$8="No",VLOOKUP('Planning (hide)'!B55,'Summary Calculations (hide)'!$D$15:$U$67,18,0),VLOOKUP(B55,'Summary Calculations (hide)'!$D$15:$F$67,3,0)*IF(Planning!$C$11="",1,1+Planning!$C$11)*'Summary Calculations (hide)'!$L$4/IF(Summary!$C$8="Patients",'Summary Calculations (hide)'!$I$9,1))-IF(Planning!$C$8="No",0,C55)</f>
        <v>2.9077629903405398</v>
      </c>
      <c r="E55" s="5">
        <f ca="1">VLOOKUP($B55,'Summary Calculations (hide)'!$D$15:$U$66,15,0)</f>
        <v>10.392307692307693</v>
      </c>
      <c r="F55" s="5">
        <f ca="1">VLOOKUP($B55,'Summary Calculations (hide)'!$D$15:$U$66,16,0)</f>
        <v>0</v>
      </c>
      <c r="G55" s="5">
        <f t="shared" ca="1" si="1"/>
        <v>10.392307692307693</v>
      </c>
      <c r="H55" s="5">
        <f t="shared" ca="1" si="2"/>
        <v>10.392307692307693</v>
      </c>
      <c r="I55" s="68">
        <f ca="1">IF(OFFSET(Planning!$E$25,0,ROW(A52),1,1)&lt;&gt;"",-'Planning (hide)'!$G55,0)</f>
        <v>0</v>
      </c>
      <c r="J55" s="68">
        <f ca="1">IF(OFFSET(Planning!$E$25,COLUMN(A52),ROW(A52),1,1)&lt;&gt;"",OFFSET(Planning!$D$25,COLUMN(A52),0,1,1),0)</f>
        <v>0</v>
      </c>
      <c r="K55" s="68">
        <f ca="1">IF(OFFSET(Planning!$E$25,COLUMN(B52),ROW(B52),1,1)&lt;&gt;"",OFFSET(Planning!$D$25,COLUMN(B52),0,1,1),0)</f>
        <v>0</v>
      </c>
      <c r="L55" s="68">
        <f ca="1">IF(OFFSET(Planning!$E$25,COLUMN(C52),ROW(C52),1,1)&lt;&gt;"",OFFSET(Planning!$D$25,COLUMN(C52),0,1,1),0)</f>
        <v>0</v>
      </c>
      <c r="M55" s="68">
        <f ca="1">IF(OFFSET(Planning!$E$25,COLUMN(D52),ROW(D52),1,1)&lt;&gt;"",OFFSET(Planning!$D$25,COLUMN(D52),0,1,1),0)</f>
        <v>0</v>
      </c>
      <c r="N55" s="68">
        <f ca="1">IF(OFFSET(Planning!$E$25,COLUMN(E52),ROW(E52),1,1)&lt;&gt;"",OFFSET(Planning!$D$25,COLUMN(E52),0,1,1),0)</f>
        <v>0</v>
      </c>
      <c r="O55" s="68">
        <f ca="1">IF(OFFSET(Planning!$E$25,COLUMN(F52),ROW(F52),1,1)&lt;&gt;"",OFFSET(Planning!$D$25,COLUMN(F52),0,1,1),0)</f>
        <v>0</v>
      </c>
      <c r="P55" s="68">
        <f ca="1">IF(OFFSET(Planning!$E$25,COLUMN(G52),ROW(G52),1,1)&lt;&gt;"",OFFSET(Planning!$D$25,COLUMN(G52),0,1,1),0)</f>
        <v>0</v>
      </c>
      <c r="Q55" s="68">
        <f ca="1">IF(OFFSET(Planning!$E$25,COLUMN(H52),ROW(H52),1,1)&lt;&gt;"",OFFSET(Planning!$D$25,COLUMN(H52),0,1,1),0)</f>
        <v>0</v>
      </c>
      <c r="R55" s="68">
        <f ca="1">IF(OFFSET(Planning!$E$25,COLUMN(I52),ROW(I52),1,1)&lt;&gt;"",OFFSET(Planning!$D$25,COLUMN(I52),0,1,1),0)</f>
        <v>0</v>
      </c>
      <c r="S55" s="68">
        <f ca="1">IF(OFFSET(Planning!$E$25,COLUMN(J52),ROW(J52),1,1)&lt;&gt;"",OFFSET(Planning!$D$25,COLUMN(J52),0,1,1),0)</f>
        <v>0</v>
      </c>
      <c r="T55" s="68">
        <f ca="1">IF(OFFSET(Planning!$E$25,COLUMN(K52),ROW(K52),1,1)&lt;&gt;"",OFFSET(Planning!$D$25,COLUMN(K52),0,1,1),0)</f>
        <v>0</v>
      </c>
      <c r="U55" s="68">
        <f ca="1">IF(OFFSET(Planning!$E$25,COLUMN(L52),ROW(L52),1,1)&lt;&gt;"",OFFSET(Planning!$D$25,COLUMN(L52),0,1,1),0)</f>
        <v>0</v>
      </c>
      <c r="V55" s="68">
        <f ca="1">IF(OFFSET(Planning!$E$25,COLUMN(M52),ROW(M52),1,1)&lt;&gt;"",OFFSET(Planning!$D$25,COLUMN(M52),0,1,1),0)</f>
        <v>0</v>
      </c>
      <c r="W55" s="68">
        <f ca="1">IF(OFFSET(Planning!$E$25,COLUMN(N52),ROW(N52),1,1)&lt;&gt;"",OFFSET(Planning!$D$25,COLUMN(N52),0,1,1),0)</f>
        <v>0</v>
      </c>
      <c r="X55" s="68">
        <f ca="1">IF(OFFSET(Planning!$E$25,COLUMN(O52),ROW(O52),1,1)&lt;&gt;"",OFFSET(Planning!$D$25,COLUMN(O52),0,1,1),0)</f>
        <v>0</v>
      </c>
      <c r="Y55" s="68">
        <f ca="1">IF(OFFSET(Planning!$E$25,COLUMN(P52),ROW(P52),1,1)&lt;&gt;"",OFFSET(Planning!$D$25,COLUMN(P52),0,1,1),0)</f>
        <v>0</v>
      </c>
      <c r="Z55" s="68">
        <f ca="1">IF(OFFSET(Planning!$E$25,COLUMN(Q52),ROW(Q52),1,1)&lt;&gt;"",OFFSET(Planning!$D$25,COLUMN(Q52),0,1,1),0)</f>
        <v>0</v>
      </c>
      <c r="AA55" s="68">
        <f ca="1">IF(OFFSET(Planning!$E$25,COLUMN(R52),ROW(R52),1,1)&lt;&gt;"",OFFSET(Planning!$D$25,COLUMN(R52),0,1,1),0)</f>
        <v>0</v>
      </c>
      <c r="AB55" s="68">
        <f ca="1">IF(OFFSET(Planning!$E$25,COLUMN(S52),ROW(S52),1,1)&lt;&gt;"",OFFSET(Planning!$D$25,COLUMN(S52),0,1,1),0)</f>
        <v>0</v>
      </c>
      <c r="AC55" s="68">
        <f ca="1">IF(OFFSET(Planning!$E$25,COLUMN(T52),ROW(T52),1,1)&lt;&gt;"",OFFSET(Planning!$D$25,COLUMN(T52),0,1,1),0)</f>
        <v>0</v>
      </c>
      <c r="AD55" s="68">
        <f ca="1">VLOOKUP($B55,'Summary Calculations (hide)'!$D$15:$U$67,17,0)</f>
        <v>14.254500348202729</v>
      </c>
      <c r="AE55" s="68">
        <f ca="1">VLOOKUP($B55,'Summary Calculations (hide)'!$D$15:$U$67,18,0)</f>
        <v>2.9077629903405398</v>
      </c>
    </row>
  </sheetData>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dimension ref="A3:C18"/>
  <sheetViews>
    <sheetView workbookViewId="0">
      <selection activeCell="C18" sqref="C18"/>
    </sheetView>
  </sheetViews>
  <sheetFormatPr defaultRowHeight="14.25" x14ac:dyDescent="0.2"/>
  <cols>
    <col min="1" max="1" width="36.25" customWidth="1"/>
    <col min="2" max="2" width="38.125" customWidth="1"/>
  </cols>
  <sheetData>
    <row r="3" spans="1:3" ht="15" x14ac:dyDescent="0.25">
      <c r="A3" s="167" t="s">
        <v>531</v>
      </c>
      <c r="B3" s="167" t="s">
        <v>11</v>
      </c>
    </row>
    <row r="4" spans="1:3" x14ac:dyDescent="0.2">
      <c r="A4" s="168" t="s">
        <v>532</v>
      </c>
      <c r="B4" s="168" t="s">
        <v>533</v>
      </c>
      <c r="C4" s="5">
        <f ca="1">'Summary Calculations (hide)'!X72</f>
        <v>12.794157157498374</v>
      </c>
    </row>
    <row r="5" spans="1:3" x14ac:dyDescent="0.2">
      <c r="A5" s="168" t="s">
        <v>534</v>
      </c>
      <c r="B5" s="168" t="s">
        <v>535</v>
      </c>
      <c r="C5" s="5">
        <f ca="1">'Summary Calculations (hide)'!M70</f>
        <v>14.254500348202729</v>
      </c>
    </row>
    <row r="6" spans="1:3" x14ac:dyDescent="0.2">
      <c r="A6" s="168" t="s">
        <v>536</v>
      </c>
      <c r="B6" s="168" t="s">
        <v>537</v>
      </c>
      <c r="C6" s="5">
        <f ca="1">'Summary Calculations (hide)'!N70</f>
        <v>17.162263338543283</v>
      </c>
    </row>
    <row r="7" spans="1:3" ht="42.75" x14ac:dyDescent="0.2">
      <c r="A7" s="168" t="s">
        <v>101</v>
      </c>
      <c r="B7" s="168" t="s">
        <v>538</v>
      </c>
      <c r="C7">
        <f ca="1">'Parameters calculator (hide)'!B45</f>
        <v>9.9999999999999992E-2</v>
      </c>
    </row>
    <row r="8" spans="1:3" ht="28.5" x14ac:dyDescent="0.2">
      <c r="A8" s="168" t="s">
        <v>539</v>
      </c>
      <c r="B8" s="168" t="s">
        <v>540</v>
      </c>
      <c r="C8">
        <f ca="1">'Parameters calculator (hide)'!B46</f>
        <v>0.2</v>
      </c>
    </row>
    <row r="9" spans="1:3" ht="42.75" x14ac:dyDescent="0.2">
      <c r="A9" s="168" t="s">
        <v>541</v>
      </c>
      <c r="B9" s="168" t="s">
        <v>542</v>
      </c>
      <c r="C9">
        <v>0</v>
      </c>
    </row>
    <row r="10" spans="1:3" ht="28.5" x14ac:dyDescent="0.2">
      <c r="A10" s="168" t="s">
        <v>543</v>
      </c>
      <c r="B10" s="168" t="s">
        <v>544</v>
      </c>
      <c r="C10">
        <v>0</v>
      </c>
    </row>
    <row r="11" spans="1:3" ht="57" x14ac:dyDescent="0.2">
      <c r="A11" s="168" t="s">
        <v>545</v>
      </c>
      <c r="B11" s="168" t="s">
        <v>546</v>
      </c>
      <c r="C11">
        <f ca="1">'Parameters calculator (hide)'!B47</f>
        <v>0.8</v>
      </c>
    </row>
    <row r="12" spans="1:3" x14ac:dyDescent="0.2">
      <c r="A12" s="168" t="s">
        <v>497</v>
      </c>
      <c r="B12" s="168" t="s">
        <v>547</v>
      </c>
      <c r="C12" s="5">
        <f ca="1">SUM('Summary Calculations (hide)'!R70:S70)</f>
        <v>12.122351233671976</v>
      </c>
    </row>
    <row r="13" spans="1:3" x14ac:dyDescent="0.2">
      <c r="A13" s="168" t="s">
        <v>548</v>
      </c>
      <c r="B13" s="168" t="s">
        <v>549</v>
      </c>
      <c r="C13" s="5">
        <f ca="1">'Parameters calculator (hide)'!F63</f>
        <v>44.802582033351257</v>
      </c>
    </row>
    <row r="14" spans="1:3" x14ac:dyDescent="0.2">
      <c r="A14" s="168" t="s">
        <v>550</v>
      </c>
      <c r="B14" s="168" t="s">
        <v>551</v>
      </c>
      <c r="C14" s="5">
        <f ca="1">'Parameters calculator (hide)'!B79</f>
        <v>60</v>
      </c>
    </row>
    <row r="15" spans="1:3" x14ac:dyDescent="0.2">
      <c r="A15" s="168" t="s">
        <v>77</v>
      </c>
      <c r="B15" s="168" t="s">
        <v>552</v>
      </c>
      <c r="C15">
        <f ca="1">'Parameters calculator (hide)'!B43+'Parameters calculator (hide)'!B44</f>
        <v>0.1244830082198503</v>
      </c>
    </row>
    <row r="16" spans="1:3" x14ac:dyDescent="0.2">
      <c r="A16" s="168" t="s">
        <v>553</v>
      </c>
      <c r="B16" s="168" t="s">
        <v>554</v>
      </c>
      <c r="C16">
        <v>0</v>
      </c>
    </row>
    <row r="17" spans="1:3" x14ac:dyDescent="0.2">
      <c r="A17" s="168" t="s">
        <v>555</v>
      </c>
      <c r="B17" s="168" t="s">
        <v>556</v>
      </c>
      <c r="C17">
        <f>IF(Summary!$C$8="Patients",0,1)</f>
        <v>0</v>
      </c>
    </row>
    <row r="18" spans="1:3" ht="28.5" x14ac:dyDescent="0.2">
      <c r="A18" s="168" t="s">
        <v>557</v>
      </c>
      <c r="B18" s="168" t="s">
        <v>558</v>
      </c>
      <c r="C18">
        <f>IF(C17=0,1,'Summary Calculations (hide)'!$I$9)</f>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Version control</vt:lpstr>
      <vt:lpstr>List</vt:lpstr>
      <vt:lpstr>Control sheet (hide)</vt:lpstr>
      <vt:lpstr>Notes</vt:lpstr>
      <vt:lpstr>Setup</vt:lpstr>
      <vt:lpstr>Demand</vt:lpstr>
      <vt:lpstr>Demand background (hide)</vt:lpstr>
      <vt:lpstr>SPC Chart</vt:lpstr>
      <vt:lpstr>SPC background (hide)</vt:lpstr>
      <vt:lpstr>Planned</vt:lpstr>
      <vt:lpstr>Planned background (hide)</vt:lpstr>
      <vt:lpstr>Planned SPC</vt:lpstr>
      <vt:lpstr>Capacity</vt:lpstr>
      <vt:lpstr>Critical resources</vt:lpstr>
      <vt:lpstr>Capacity setup</vt:lpstr>
      <vt:lpstr>Capacity summary</vt:lpstr>
      <vt:lpstr>Critical resources (hide)</vt:lpstr>
      <vt:lpstr>Capacity calculation (hide)</vt:lpstr>
      <vt:lpstr>Parameters</vt:lpstr>
      <vt:lpstr>Parameters calculator</vt:lpstr>
      <vt:lpstr>Parameters calculator (hide)</vt:lpstr>
      <vt:lpstr>Pathway</vt:lpstr>
      <vt:lpstr>Summary</vt:lpstr>
      <vt:lpstr>Lock (hide)</vt:lpstr>
      <vt:lpstr>Summary Calculations (hide)</vt:lpstr>
      <vt:lpstr>WL PI Backing (hide)</vt:lpstr>
      <vt:lpstr>Planning</vt:lpstr>
      <vt:lpstr>Planning (hide)</vt:lpstr>
      <vt:lpstr>Export (hide)</vt:lpstr>
      <vt:lpstr>Cap_Chart_Xaxis</vt:lpstr>
      <vt:lpstr>Emergency1</vt:lpstr>
      <vt:lpstr>Emergency2</vt:lpstr>
      <vt:lpstr>Emergency3</vt:lpstr>
      <vt:lpstr>Emergency4</vt:lpstr>
      <vt:lpstr>MaxRows</vt:lpstr>
      <vt:lpstr>Mean1</vt:lpstr>
      <vt:lpstr>Mean2</vt:lpstr>
      <vt:lpstr>Mean3</vt:lpstr>
      <vt:lpstr>Mean4</vt:lpstr>
      <vt:lpstr>Num_Modalities</vt:lpstr>
      <vt:lpstr>PercLower1</vt:lpstr>
      <vt:lpstr>PercLower2</vt:lpstr>
      <vt:lpstr>PercLower3</vt:lpstr>
      <vt:lpstr>PercLower4</vt:lpstr>
      <vt:lpstr>PercUpper1</vt:lpstr>
      <vt:lpstr>PercUpper2</vt:lpstr>
      <vt:lpstr>PercUpper3</vt:lpstr>
      <vt:lpstr>PercUpper4</vt:lpstr>
      <vt:lpstr>PMaxRows</vt:lpstr>
      <vt:lpstr>Range_Blank</vt:lpstr>
      <vt:lpstr>SampleLength</vt:lpstr>
      <vt:lpstr>Sigma1</vt:lpstr>
      <vt:lpstr>Sigma2</vt:lpstr>
      <vt:lpstr>Sigma3</vt:lpstr>
      <vt:lpstr>Sigma4</vt:lpstr>
      <vt:lpstr>SPC_Type</vt:lpstr>
    </vt:vector>
  </TitlesOfParts>
  <Company>IMS3</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Khunpha, Keith</dc:creator>
  <cp:lastModifiedBy>Bytheway, Mark</cp:lastModifiedBy>
  <cp:lastPrinted>2021-11-11T13:35:19Z</cp:lastPrinted>
  <dcterms:created xsi:type="dcterms:W3CDTF">2018-01-30T12:52:20Z</dcterms:created>
  <dcterms:modified xsi:type="dcterms:W3CDTF">2021-11-12T16:53:00Z</dcterms:modified>
</cp:coreProperties>
</file>